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ables/table2.xml" ContentType="application/vnd.openxmlformats-officedocument.spreadsheetml.table+xml"/>
  <Override PartName="/xl/worksheets/sheet12.xml" ContentType="application/vnd.openxmlformats-officedocument.spreadsheetml.worksheet+xml"/>
  <Override PartName="/xl/tables/table3.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Assumptions" sheetId="2" state="visible" r:id="rId2"/>
    <sheet name="Syn_Lines" sheetId="3" state="visible" r:id="rId3"/>
    <sheet name="Syn_Suppliers" sheetId="4" state="visible" r:id="rId4"/>
    <sheet name="Supplier_Summary" sheetId="5" state="visible" r:id="rId5"/>
    <sheet name="Dependency" sheetId="6" state="visible" r:id="rId6"/>
    <sheet name="Scorecard" sheetId="7" state="visible" r:id="rId7"/>
    <sheet name="Delivery_Trend" sheetId="8" state="visible" r:id="rId8"/>
    <sheet name="Exceptions" sheetId="9" state="visible" r:id="rId9"/>
    <sheet name="Scenario" sheetId="10" state="visible" r:id="rId10"/>
    <sheet name="Austin_Vendors" sheetId="11" state="visible" r:id="rId11"/>
    <sheet name="Austin_Categories" sheetId="12" state="visible" r:id="rId12"/>
    <sheet name="Austin_Families" sheetId="13" state="visible" r:id="rId13"/>
    <sheet name="Austin_Prices" sheetId="14" state="visible" r:id="rId14"/>
    <sheet name="Action_List" sheetId="15" state="visible" r:id="rId15"/>
    <sheet name="Data_Dictionary" sheetId="16" state="visible" r:id="rId16"/>
    <sheet name="Validation" sheetId="17" state="visible" r:id="rId17"/>
  </sheets>
  <definedNames/>
  <calcPr calcId="124519" fullCalcOnLoad="1"/>
</workbook>
</file>

<file path=xl/styles.xml><?xml version="1.0" encoding="utf-8"?>
<styleSheet xmlns="http://schemas.openxmlformats.org/spreadsheetml/2006/main">
  <numFmts count="12">
    <numFmt numFmtId="164" formatCode="yyyy-mm-dd h:mm:ss"/>
    <numFmt numFmtId="165" formatCode="yyyy-mm-dd"/>
    <numFmt numFmtId="166" formatCode="0.0%"/>
    <numFmt numFmtId="167" formatCode="#,##0.0"/>
    <numFmt numFmtId="168" formatCode="&quot;$&quot;#,##0"/>
    <numFmt numFmtId="169" formatCode="&quot;$&quot;#,##0.00"/>
    <numFmt numFmtId="170" formatCode="yyyy-mm"/>
    <numFmt numFmtId="171" formatCode="0.0"/>
    <numFmt numFmtId="172" formatCode="mmm yyyy"/>
    <numFmt numFmtId="173" formatCode="0.00x"/>
    <numFmt numFmtId="174" formatCode="#,##0.0000"/>
    <numFmt numFmtId="175" formatCode="0.000000"/>
  </numFmts>
  <fonts count="9">
    <font>
      <name val="Calibri"/>
      <family val="2"/>
      <color theme="1"/>
      <sz val="11"/>
      <scheme val="minor"/>
    </font>
    <font>
      <b val="1"/>
      <color rgb="001F2A44"/>
      <sz val="16"/>
    </font>
    <font>
      <i val="1"/>
      <color rgb="00475569"/>
      <sz val="10"/>
    </font>
    <font>
      <b val="1"/>
      <color rgb="00FFFFFF"/>
    </font>
    <font>
      <b val="1"/>
      <color rgb="001F2A44"/>
    </font>
    <font>
      <color rgb="00475569"/>
    </font>
    <font>
      <color rgb="00475569"/>
      <sz val="9"/>
    </font>
    <font>
      <i val="1"/>
      <color rgb="00475569"/>
    </font>
    <font>
      <b val="1"/>
      <color rgb="000F766E"/>
    </font>
  </fonts>
  <fills count="5">
    <fill>
      <patternFill/>
    </fill>
    <fill>
      <patternFill patternType="gray125"/>
    </fill>
    <fill>
      <patternFill patternType="solid">
        <fgColor rgb="001F2A44"/>
      </patternFill>
    </fill>
    <fill>
      <patternFill patternType="solid">
        <fgColor rgb="00FFF7E6"/>
      </patternFill>
    </fill>
    <fill>
      <patternFill patternType="solid">
        <fgColor rgb="000F766E"/>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0" fillId="0" borderId="0" applyAlignment="1" pivotButton="0" quotePrefix="0" xfId="0">
      <alignment vertical="top" wrapText="1"/>
    </xf>
    <xf numFmtId="0" fontId="8" fillId="0" borderId="0" pivotButton="0" quotePrefix="0" xfId="0"/>
    <xf numFmtId="0" fontId="0" fillId="0" borderId="0" applyAlignment="1" pivotButton="0" quotePrefix="0" xfId="0">
      <alignment wrapText="1"/>
    </xf>
    <xf numFmtId="0" fontId="7" fillId="0" borderId="0" pivotButton="0" quotePrefix="0" xfId="0"/>
    <xf numFmtId="0" fontId="3" fillId="2" borderId="1" applyAlignment="1" pivotButton="0" quotePrefix="0" xfId="0">
      <alignment vertical="center" wrapText="1"/>
    </xf>
    <xf numFmtId="165" fontId="0" fillId="3" borderId="1" pivotButton="0" quotePrefix="0" xfId="0"/>
    <xf numFmtId="0" fontId="5" fillId="0" borderId="0" pivotButton="0" quotePrefix="0" xfId="0"/>
    <xf numFmtId="3" fontId="0" fillId="3" borderId="1" pivotButton="0" quotePrefix="0" xfId="0"/>
    <xf numFmtId="166" fontId="0" fillId="3" borderId="1" pivotButton="0" quotePrefix="0" xfId="0"/>
    <xf numFmtId="167" fontId="0" fillId="3" borderId="1" pivotButton="0" quotePrefix="0" xfId="0"/>
    <xf numFmtId="168" fontId="0" fillId="3" borderId="1" pivotButton="0" quotePrefix="0" xfId="0"/>
    <xf numFmtId="166" fontId="0" fillId="0" borderId="0" pivotButton="0" quotePrefix="0" xfId="0"/>
    <xf numFmtId="0" fontId="3" fillId="4" borderId="1" applyAlignment="1" pivotButton="0" quotePrefix="0" xfId="0">
      <alignment vertical="center" wrapText="1"/>
    </xf>
    <xf numFmtId="165" fontId="0" fillId="0" borderId="0" pivotButton="0" quotePrefix="0" xfId="0"/>
    <xf numFmtId="3" fontId="0" fillId="0" borderId="0" pivotButton="0" quotePrefix="0" xfId="0"/>
    <xf numFmtId="169" fontId="0" fillId="0" borderId="0" pivotButton="0" quotePrefix="0" xfId="0"/>
    <xf numFmtId="1" fontId="0" fillId="0" borderId="0" pivotButton="0" quotePrefix="0" xfId="0"/>
    <xf numFmtId="170" fontId="0" fillId="0" borderId="0" pivotButton="0" quotePrefix="0" xfId="0"/>
    <xf numFmtId="0" fontId="6" fillId="0" borderId="0" pivotButton="0" quotePrefix="0" xfId="0"/>
    <xf numFmtId="167" fontId="0" fillId="0" borderId="0" pivotButton="0" quotePrefix="0" xfId="0"/>
    <xf numFmtId="10" fontId="0" fillId="0" borderId="0" pivotButton="0" quotePrefix="0" xfId="0"/>
    <xf numFmtId="168" fontId="0" fillId="0" borderId="0" pivotButton="0" quotePrefix="0" xfId="0"/>
    <xf numFmtId="3" fontId="4" fillId="0" borderId="0" pivotButton="0" quotePrefix="0" xfId="0"/>
    <xf numFmtId="168" fontId="4" fillId="0" borderId="0" pivotButton="0" quotePrefix="0" xfId="0"/>
    <xf numFmtId="171" fontId="0" fillId="0" borderId="0" pivotButton="0" quotePrefix="0" xfId="0"/>
    <xf numFmtId="172" fontId="0" fillId="0" borderId="0" pivotButton="0" quotePrefix="0" xfId="0"/>
    <xf numFmtId="0" fontId="0" fillId="3" borderId="1" pivotButton="0" quotePrefix="0" xfId="0"/>
    <xf numFmtId="166" fontId="0" fillId="3" borderId="0" pivotButton="0" quotePrefix="0" xfId="0"/>
    <xf numFmtId="3" fontId="0" fillId="3" borderId="0" pivotButton="0" quotePrefix="0" xfId="0"/>
    <xf numFmtId="0" fontId="0" fillId="3" borderId="0" pivotButton="0" quotePrefix="0" xfId="0"/>
    <xf numFmtId="173" fontId="0" fillId="0" borderId="0" pivotButton="0" quotePrefix="0" xfId="0"/>
    <xf numFmtId="174" fontId="0" fillId="0" borderId="0" pivotButton="0" quotePrefix="0" xfId="0"/>
    <xf numFmtId="175" fontId="0" fillId="0" borderId="0" pivotButton="0" quotePrefix="0" xfId="0"/>
  </cellXfs>
  <cellStyles count="1">
    <cellStyle name="Normal" xfId="0" builtinId="0" hidden="0"/>
  </cellStyles>
  <dxfs count="5">
    <dxf>
      <fill>
        <patternFill patternType="solid">
          <fgColor rgb="00FEE2E2"/>
        </patternFill>
      </fill>
    </dxf>
    <dxf>
      <fill>
        <patternFill patternType="solid">
          <fgColor rgb="00FEF3C7"/>
        </patternFill>
      </fill>
    </dxf>
    <dxf>
      <fill>
        <patternFill patternType="solid">
          <fgColor rgb="00DCFCE7"/>
        </patternFill>
      </fill>
    </dxf>
    <dxf>
      <font>
        <b val="1"/>
      </font>
      <fill>
        <patternFill patternType="solid">
          <fgColor rgb="00FEE2E2"/>
        </patternFill>
      </fill>
    </dxf>
    <dxf>
      <font>
        <b val="1"/>
        <color rgb="00991B1B"/>
      </font>
      <fill>
        <patternFill patternType="solid">
          <f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ables/table1.xml><?xml version="1.0" encoding="utf-8"?>
<table xmlns="http://schemas.openxmlformats.org/spreadsheetml/2006/main" id="1" name="tblLines" displayName="tblLines" ref="A1:AG4838" headerRowCount="1">
  <autoFilter ref="A1:AG4838"/>
  <tableColumns count="33">
    <tableColumn id="1" name="po_line_id"/>
    <tableColumn id="2" name="po_id"/>
    <tableColumn id="3" name="supplier_id"/>
    <tableColumn id="4" name="category_id"/>
    <tableColumn id="5" name="item_id"/>
    <tableColumn id="6" name="order_date"/>
    <tableColumn id="7" name="promised_date"/>
    <tableColumn id="8" name="ordered_qty"/>
    <tableColumn id="9" name="unit_price"/>
    <tableColumn id="10" name="standard_price"/>
    <tableColumn id="11" name="cancelled"/>
    <tableColumn id="12" name="short_closed"/>
    <tableColumn id="13" name="received_qty"/>
    <tableColumn id="14" name="qty_by_promise"/>
    <tableColumn id="15" name="rejected_qty"/>
    <tableColumn id="16" name="first_receipt_date"/>
    <tableColumn id="17" name="completion_date"/>
    <tableColumn id="18" name="last_receipt_or_close_date"/>
    <tableColumn id="19" name="line_value"/>
    <tableColumn id="20" name="standard_value"/>
    <tableColumn id="21" name="due"/>
    <tableColumn id="22" name="on_time"/>
    <tableColumn id="23" name="in_full"/>
    <tableColumn id="24" name="otif"/>
    <tableColumn id="25" name="complete"/>
    <tableColumn id="26" name="open"/>
    <tableColumn id="27" name="overdue"/>
    <tableColumn id="28" name="days_late"/>
    <tableColumn id="29" name="lead_time_days"/>
    <tableColumn id="30" name="lead_time_sq"/>
    <tableColumn id="31" name="open_value"/>
    <tableColumn id="32" name="due_period"/>
    <tableColumn id="33" name="due_month"/>
  </tableColumns>
  <tableStyleInfo name="TableStyleLight1" showRowStripes="1"/>
</table>
</file>

<file path=xl/tables/table2.xml><?xml version="1.0" encoding="utf-8"?>
<table xmlns="http://schemas.openxmlformats.org/spreadsheetml/2006/main" id="2" name="tblAustinVendors" displayName="tblAustinVendors" ref="A4:L155" headerRowCount="1">
  <autoFilter ref="A4:L155"/>
  <tableColumns count="12">
    <tableColumn id="1" name="Vendor code"/>
    <tableColumn id="2" name="Vendor name"/>
    <tableColumn id="3" name="Spend (USD)"/>
    <tableColumn id="4" name="POs"/>
    <tableColumn id="5" name="NIGP classes"/>
    <tableColumn id="6" name="Spend on master agreements"/>
    <tableColumn id="7" name="Share of total"/>
    <tableColumn id="8" name="Cumulative share"/>
    <tableColumn id="9" name="Rank"/>
    <tableColumn id="10" name="Pareto class"/>
    <tableColumn id="11" name="Avg PO value"/>
    <tableColumn id="12" name="Agreement share"/>
  </tableColumns>
  <tableStyleInfo name="TableStyleLight1" showRowStripes="1"/>
</table>
</file>

<file path=xl/tables/table3.xml><?xml version="1.0" encoding="utf-8"?>
<table xmlns="http://schemas.openxmlformats.org/spreadsheetml/2006/main" id="3" name="tblAustinCategories" displayName="tblAustinCategories" ref="A5:N84" headerRowCount="1">
  <autoFilter ref="A5:N84"/>
  <tableColumns count="14">
    <tableColumn id="1" name="NIGP class"/>
    <tableColumn id="2" name="Class label"/>
    <tableColumn id="3" name="Spend family"/>
    <tableColumn id="4" name="Spend (USD)"/>
    <tableColumn id="5" name="Vendors"/>
    <tableColumn id="6" name="Top vendor"/>
    <tableColumn id="7" name="Top vendor share"/>
    <tableColumn id="8" name="Top vendor orders"/>
    <tableColumn id="9" name="HHI"/>
    <tableColumn id="10" name="Standalone spend (no master agreement)"/>
    <tableColumn id="11" name="Share of total"/>
    <tableColumn id="12" name="Spend rank"/>
    <tableColumn id="13" name="Dependency flag"/>
    <tableColumn id="14" name="Agreement coverage"/>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11.xml.rels><Relationships xmlns="http://schemas.openxmlformats.org/package/2006/relationships"><Relationship Type="http://schemas.openxmlformats.org/officeDocument/2006/relationships/table" Target="/xl/tables/table2.xml" Id="rId1" /></Relationships>
</file>

<file path=xl/worksheets/_rels/sheet12.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C32"/>
  <sheetViews>
    <sheetView showGridLines="0" workbookViewId="0">
      <selection activeCell="A1" sqref="A1"/>
    </sheetView>
  </sheetViews>
  <sheetFormatPr baseColWidth="8" defaultRowHeight="15"/>
  <cols>
    <col width="22" customWidth="1" min="1" max="1"/>
    <col width="100" customWidth="1" min="2" max="2"/>
    <col width="4" customWidth="1" min="3" max="3"/>
  </cols>
  <sheetData>
    <row r="1">
      <c r="A1" s="1" t="inlineStr">
        <is>
          <t>SupplierPulse - Supplier Performance &amp; Procurement Analytics</t>
        </is>
      </c>
    </row>
    <row r="2">
      <c r="A2" s="2" t="inlineStr">
        <is>
          <t>Procurement analysis workbook - author: Harjot Sandhu</t>
        </is>
      </c>
    </row>
    <row r="4">
      <c r="A4" s="3" t="inlineStr">
        <is>
          <t>What this workbook does</t>
        </is>
      </c>
    </row>
    <row r="5" ht="32" customHeight="1">
      <c r="A5" s="4" t="inlineStr">
        <is>
          <t>Evaluates supplier reliability, purchasing spend and procurement risk, and turns them into a prioritised action list.</t>
        </is>
      </c>
    </row>
    <row r="6">
      <c r="A6" s="3" t="inlineStr">
        <is>
          <t>Two data sources - never mixed</t>
        </is>
      </c>
    </row>
    <row r="7" ht="32" customHeight="1">
      <c r="A7" s="4" t="inlineStr">
        <is>
          <t>OBSERVED: City of Austin purchase-order lines, FY2022-FY2026 (1 Oct 2021 - 30 Sep 2026), from data.austintexas.gov. Supports spend, concentration, agreement coverage and like-for-like price analysis. It has no delivery dates.</t>
        </is>
      </c>
    </row>
    <row r="8" ht="32" customHeight="1">
      <c r="A8" s="4" t="inlineStr">
        <is>
          <t>SYNTHETIC: a deterministic demonstration dataset of 14 anonymous suppliers (SUP-01 ... SUP-14), purchase orders and goods receipts. Used only to demonstrate delivery, quality, scorecard and scenario methods. Not real suppliers or real performance.</t>
        </is>
      </c>
    </row>
    <row r="9">
      <c r="A9" s="3" t="inlineStr">
        <is>
          <t>Header colours</t>
        </is>
      </c>
    </row>
    <row r="10" ht="32" customHeight="1">
      <c r="A10" s="4" t="inlineStr">
        <is>
          <t>Navy header = data loaded from the Python pipeline (values).   Teal header = live Excel formula.</t>
        </is>
      </c>
    </row>
    <row r="11">
      <c r="A11" s="3" t="inlineStr">
        <is>
          <t>Sheets</t>
        </is>
      </c>
    </row>
    <row r="12">
      <c r="A12" s="5" t="inlineStr">
        <is>
          <t>Assumptions</t>
        </is>
      </c>
      <c r="B12" s="6" t="inlineStr">
        <is>
          <t>Inputs and thresholds used by every formula (yellow cells).</t>
        </is>
      </c>
    </row>
    <row r="13">
      <c r="A13" s="5" t="inlineStr">
        <is>
          <t>Syn_Lines</t>
        </is>
      </c>
      <c r="B13" s="6" t="inlineStr">
        <is>
          <t>Synthetic PO lines (Excel table tblLines): loaded line facts + formula columns for due, on-time, in-full, OTIF, days late, lead time.</t>
        </is>
      </c>
    </row>
    <row r="14">
      <c r="A14" s="5" t="inlineStr">
        <is>
          <t>Syn_Suppliers</t>
        </is>
      </c>
      <c r="B14" s="6" t="inlineStr">
        <is>
          <t>Synthetic supplier master and the designed behaviour of each supplier.</t>
        </is>
      </c>
    </row>
    <row r="15">
      <c r="A15" s="5" t="inlineStr">
        <is>
          <t>Supplier_Summary</t>
        </is>
      </c>
      <c r="B15" s="6" t="inlineStr">
        <is>
          <t>Per-supplier delivery, quality, spend and PPV metrics (COUNTIFS / SUMIFS / AVERAGEIFS).</t>
        </is>
      </c>
    </row>
    <row r="16">
      <c r="A16" s="5" t="inlineStr">
        <is>
          <t>Dependency</t>
        </is>
      </c>
      <c r="B16" s="6" t="inlineStr">
        <is>
          <t>Supplier spend share by category, main category and dependency tier.</t>
        </is>
      </c>
    </row>
    <row r="17">
      <c r="A17" s="5" t="inlineStr">
        <is>
          <t>Scorecard</t>
        </is>
      </c>
      <c r="B17" s="6" t="inlineStr">
        <is>
          <t>Weighted 0-100 performance score, evidence status, competition rank, tier and action quadrant (XLOOKUP for names).</t>
        </is>
      </c>
    </row>
    <row r="18">
      <c r="A18" s="5" t="inlineStr">
        <is>
          <t>Delivery_Trend</t>
        </is>
      </c>
      <c r="B18" s="6" t="inlineStr">
        <is>
          <t>Monthly OTIF by promised month.</t>
        </is>
      </c>
    </row>
    <row r="19">
      <c r="A19" s="5" t="inlineStr">
        <is>
          <t>Exceptions</t>
        </is>
      </c>
      <c r="B19" s="6" t="inlineStr">
        <is>
          <t>Live supplier exception flags S1-S8 and the overdue-line list.</t>
        </is>
      </c>
    </row>
    <row r="20">
      <c r="A20" s="5" t="inlineStr">
        <is>
          <t>Scenario</t>
        </is>
      </c>
      <c r="B20" s="6" t="inlineStr">
        <is>
          <t>A: volume reallocation model with inputs and sensitivity; B: OTIF-target scenario; C: observed price harmonisation.</t>
        </is>
      </c>
    </row>
    <row r="21">
      <c r="A21" s="5" t="inlineStr">
        <is>
          <t>Austin_Vendors</t>
        </is>
      </c>
      <c r="B21" s="6" t="inlineStr">
        <is>
          <t>Observed vendor spend, share, cumulative share, rank and Pareto class (top 150 + aggregate).</t>
        </is>
      </c>
    </row>
    <row r="22">
      <c r="A22" s="5" t="inlineStr">
        <is>
          <t>Austin_Categories</t>
        </is>
      </c>
      <c r="B22" s="6" t="inlineStr">
        <is>
          <t>Observed category spend, top-vendor share, HHI and dependency flags.</t>
        </is>
      </c>
    </row>
    <row r="23">
      <c r="A23" s="5" t="inlineStr">
        <is>
          <t>Austin_Families</t>
        </is>
      </c>
      <c r="B23" s="6" t="inlineStr">
        <is>
          <t>Observed spend by family and fiscal year.</t>
        </is>
      </c>
    </row>
    <row r="24">
      <c r="A24" s="5" t="inlineStr">
        <is>
          <t>Austin_Prices</t>
        </is>
      </c>
      <c r="B24" s="6" t="inlineStr">
        <is>
          <t>Observed like-for-like price variance and year-over-year price changes.</t>
        </is>
      </c>
    </row>
    <row r="25">
      <c r="A25" s="5" t="inlineStr">
        <is>
          <t>Action_List</t>
        </is>
      </c>
      <c r="B25" s="6" t="inlineStr">
        <is>
          <t>Prioritised actions with metric, significance, action and data limitation.</t>
        </is>
      </c>
    </row>
    <row r="26">
      <c r="A26" s="5" t="inlineStr">
        <is>
          <t>Data_Dictionary</t>
        </is>
      </c>
      <c r="B26" s="6" t="inlineStr">
        <is>
          <t>Field definitions.</t>
        </is>
      </c>
    </row>
    <row r="27">
      <c r="A27" s="5" t="inlineStr">
        <is>
          <t>Validation</t>
        </is>
      </c>
      <c r="B27" s="6" t="inlineStr">
        <is>
          <t>Excel formulas reconciled against the Python pipeline.</t>
        </is>
      </c>
    </row>
    <row r="29">
      <c r="A29" s="3" t="inlineStr">
        <is>
          <t>Testing note</t>
        </is>
      </c>
    </row>
    <row r="30" ht="48" customHeight="1">
      <c r="A30" s="4" t="inlineStr">
        <is>
          <t>Formulas calculate when the file is opened (full recalculation on load). This workbook was generated with openpyxl and verified by recalculating it with the Python 'formulas' engine and comparing results with pandas and SQL; it has not been manually opened in Microsoft Excel by the author's build process.</t>
        </is>
      </c>
    </row>
    <row r="32">
      <c r="A32" s="7" t="inlineStr">
        <is>
          <t>Modelled values (scenarios, price opportunity) are estimates under stated assumptions, not realised savings.</t>
        </is>
      </c>
    </row>
  </sheetData>
  <mergeCells count="5">
    <mergeCell ref="A10:C10"/>
    <mergeCell ref="A5:C5"/>
    <mergeCell ref="A8:C8"/>
    <mergeCell ref="A30:C30"/>
    <mergeCell ref="A7:C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5"/>
  <sheetViews>
    <sheetView showGridLines="0" workbookViewId="0">
      <selection activeCell="A1" sqref="A1"/>
    </sheetView>
  </sheetViews>
  <sheetFormatPr baseColWidth="8" defaultRowHeight="15"/>
  <cols>
    <col width="2" customWidth="1" min="1" max="1"/>
    <col width="48" customWidth="1" min="2" max="2"/>
    <col width="16" customWidth="1" min="3" max="3"/>
    <col width="44" customWidth="1" min="4" max="4"/>
  </cols>
  <sheetData>
    <row r="1">
      <c r="A1" s="1" t="inlineStr">
        <is>
          <t>Assumptions and thresholds</t>
        </is>
      </c>
    </row>
    <row r="2">
      <c r="A2" s="2" t="inlineStr">
        <is>
          <t>Yellow cells are inputs. Every formula in the workbook reads its thresholds from this sheet.</t>
        </is>
      </c>
    </row>
    <row r="4">
      <c r="B4" s="8" t="inlineStr">
        <is>
          <t>Assumption</t>
        </is>
      </c>
      <c r="C4" s="8" t="inlineStr">
        <is>
          <t>Value</t>
        </is>
      </c>
      <c r="D4" s="8" t="inlineStr">
        <is>
          <t>Used by / note</t>
        </is>
      </c>
    </row>
    <row r="5">
      <c r="B5" s="3" t="inlineStr">
        <is>
          <t>Reporting (synthetic delivery data)</t>
        </is>
      </c>
    </row>
    <row r="6">
      <c r="B6" t="inlineStr">
        <is>
          <t>As-of (reporting) date</t>
        </is>
      </c>
      <c r="C6" s="9" t="n">
        <v>46295</v>
      </c>
      <c r="D6" s="10" t="inlineStr">
        <is>
          <t>Lines promised after this date are not yet due</t>
        </is>
      </c>
    </row>
    <row r="7">
      <c r="B7" t="inlineStr">
        <is>
          <t>On-time grace days</t>
        </is>
      </c>
      <c r="C7" s="11" t="n">
        <v>0</v>
      </c>
      <c r="D7" s="10" t="inlineStr">
        <is>
          <t>Days after promised date still counted on time</t>
        </is>
      </c>
    </row>
    <row r="8">
      <c r="B8" t="inlineStr">
        <is>
          <t>In-full tolerance</t>
        </is>
      </c>
      <c r="C8" s="12" t="n">
        <v>0</v>
      </c>
      <c r="D8" s="10" t="inlineStr">
        <is>
          <t>0% = full ordered quantity required</t>
        </is>
      </c>
    </row>
    <row r="9">
      <c r="B9" s="3" t="inlineStr">
        <is>
          <t>Scorecard weights (must total 100%)</t>
        </is>
      </c>
    </row>
    <row r="10">
      <c r="B10" t="inlineStr">
        <is>
          <t>Weight: OTIF</t>
        </is>
      </c>
      <c r="C10" s="12" t="n">
        <v>0.4</v>
      </c>
      <c r="D10" s="10" t="inlineStr"/>
    </row>
    <row r="11">
      <c r="B11" t="inlineStr">
        <is>
          <t>Weight: quality (reject rate)</t>
        </is>
      </c>
      <c r="C11" s="12" t="n">
        <v>0.25</v>
      </c>
      <c r="D11" s="10" t="inlineStr"/>
    </row>
    <row r="12">
      <c r="B12" t="inlineStr">
        <is>
          <t>Weight: lead-time consistency</t>
        </is>
      </c>
      <c r="C12" s="12" t="n">
        <v>0.2</v>
      </c>
      <c r="D12" s="10" t="inlineStr"/>
    </row>
    <row r="13">
      <c r="B13" t="inlineStr">
        <is>
          <t>Weight: lateness (avg days late)</t>
        </is>
      </c>
      <c r="C13" s="12" t="n">
        <v>0.15</v>
      </c>
      <c r="D13" s="10" t="inlineStr"/>
    </row>
    <row r="14">
      <c r="B14" s="3" t="inlineStr">
        <is>
          <t>Scorecard scaling (target = 100 points, poor = 0 points)</t>
        </is>
      </c>
    </row>
    <row r="15">
      <c r="B15" t="inlineStr">
        <is>
          <t>OTIF target</t>
        </is>
      </c>
      <c r="C15" s="12" t="n">
        <v>0.95</v>
      </c>
      <c r="D15" s="10" t="inlineStr"/>
    </row>
    <row r="16">
      <c r="B16" t="inlineStr">
        <is>
          <t>OTIF poor</t>
        </is>
      </c>
      <c r="C16" s="12" t="n">
        <v>0.7</v>
      </c>
      <c r="D16" s="10" t="inlineStr"/>
    </row>
    <row r="17">
      <c r="B17" t="inlineStr">
        <is>
          <t>Reject rate target</t>
        </is>
      </c>
      <c r="C17" s="12" t="n">
        <v>0.005</v>
      </c>
      <c r="D17" s="10" t="inlineStr"/>
    </row>
    <row r="18">
      <c r="B18" t="inlineStr">
        <is>
          <t>Reject rate poor</t>
        </is>
      </c>
      <c r="C18" s="12" t="n">
        <v>0.05</v>
      </c>
      <c r="D18" s="10" t="inlineStr"/>
    </row>
    <row r="19">
      <c r="B19" t="inlineStr">
        <is>
          <t>Lead-time SD target (days)</t>
        </is>
      </c>
      <c r="C19" s="13" t="n">
        <v>2</v>
      </c>
      <c r="D19" s="10" t="inlineStr"/>
    </row>
    <row r="20">
      <c r="B20" t="inlineStr">
        <is>
          <t>Lead-time SD poor (days)</t>
        </is>
      </c>
      <c r="C20" s="13" t="n">
        <v>7</v>
      </c>
      <c r="D20" s="10" t="inlineStr"/>
    </row>
    <row r="21">
      <c r="B21" t="inlineStr">
        <is>
          <t>Avg days late target</t>
        </is>
      </c>
      <c r="C21" s="13" t="n">
        <v>0</v>
      </c>
      <c r="D21" s="10" t="inlineStr"/>
    </row>
    <row r="22">
      <c r="B22" t="inlineStr">
        <is>
          <t>Avg days late poor</t>
        </is>
      </c>
      <c r="C22" s="13" t="n">
        <v>5</v>
      </c>
      <c r="D22" s="10" t="inlineStr"/>
    </row>
    <row r="23">
      <c r="B23" s="3" t="inlineStr">
        <is>
          <t>Evidence and tiers</t>
        </is>
      </c>
    </row>
    <row r="24">
      <c r="B24" t="inlineStr">
        <is>
          <t>Due lines needed to rank</t>
        </is>
      </c>
      <c r="C24" s="11" t="n">
        <v>30</v>
      </c>
      <c r="D24" s="10" t="inlineStr"/>
    </row>
    <row r="25">
      <c r="B25" t="inlineStr">
        <is>
          <t>Due lines needed for a provisional score</t>
        </is>
      </c>
      <c r="C25" s="11" t="n">
        <v>10</v>
      </c>
      <c r="D25" s="10" t="inlineStr"/>
    </row>
    <row r="26">
      <c r="B26" t="inlineStr">
        <is>
          <t>Completed lines needed for lead-time variability</t>
        </is>
      </c>
      <c r="C26" s="11" t="n">
        <v>20</v>
      </c>
      <c r="D26" s="10" t="inlineStr"/>
    </row>
    <row r="27">
      <c r="B27" t="inlineStr">
        <is>
          <t>Tier: Preferred at or above</t>
        </is>
      </c>
      <c r="C27" s="11" t="n">
        <v>85</v>
      </c>
      <c r="D27" s="10" t="inlineStr"/>
    </row>
    <row r="28">
      <c r="B28" t="inlineStr">
        <is>
          <t>Tier: Acceptable at or above</t>
        </is>
      </c>
      <c r="C28" s="11" t="n">
        <v>70</v>
      </c>
      <c r="D28" s="10" t="inlineStr"/>
    </row>
    <row r="29">
      <c r="B29" t="inlineStr">
        <is>
          <t>Tier: Improvement needed at or above</t>
        </is>
      </c>
      <c r="C29" s="11" t="n">
        <v>55</v>
      </c>
      <c r="D29" s="10" t="inlineStr"/>
    </row>
    <row r="30">
      <c r="B30" s="3" t="inlineStr">
        <is>
          <t>Exception thresholds</t>
        </is>
      </c>
    </row>
    <row r="31">
      <c r="B31" t="inlineStr">
        <is>
          <t>Chronic late: OTIF below</t>
        </is>
      </c>
      <c r="C31" s="12" t="n">
        <v>0.8</v>
      </c>
      <c r="D31" s="10" t="inlineStr">
        <is>
          <t>S1</t>
        </is>
      </c>
    </row>
    <row r="32">
      <c r="B32" t="inlineStr">
        <is>
          <t>Minimum due lines for rate-based flags</t>
        </is>
      </c>
      <c r="C32" s="11" t="n">
        <v>30</v>
      </c>
      <c r="D32" s="10" t="inlineStr">
        <is>
          <t>S1, S2, S4, S5</t>
        </is>
      </c>
    </row>
    <row r="33">
      <c r="B33" t="inlineStr">
        <is>
          <t>Unstable lead time: SD at or above (days)</t>
        </is>
      </c>
      <c r="C33" s="13" t="n">
        <v>5</v>
      </c>
      <c r="D33" s="10" t="inlineStr">
        <is>
          <t>S3</t>
        </is>
      </c>
    </row>
    <row r="34">
      <c r="B34" t="inlineStr">
        <is>
          <t>Incomplete deliveries: in-full below</t>
        </is>
      </c>
      <c r="C34" s="12" t="n">
        <v>0.9</v>
      </c>
      <c r="D34" s="10" t="inlineStr">
        <is>
          <t>S4</t>
        </is>
      </c>
    </row>
    <row r="35">
      <c r="B35" t="inlineStr">
        <is>
          <t>Quality: reject rate at or above</t>
        </is>
      </c>
      <c r="C35" s="12" t="n">
        <v>0.02</v>
      </c>
      <c r="D35" s="10" t="inlineStr">
        <is>
          <t>S5</t>
        </is>
      </c>
    </row>
    <row r="36">
      <c r="B36" t="inlineStr">
        <is>
          <t>Deterioration: OTIF drop of at least</t>
        </is>
      </c>
      <c r="C36" s="12" t="n">
        <v>0.1</v>
      </c>
      <c r="D36" s="10" t="inlineStr">
        <is>
          <t>S2</t>
        </is>
      </c>
    </row>
    <row r="37">
      <c r="B37" t="inlineStr">
        <is>
          <t>PPV: paid above contract by at least</t>
        </is>
      </c>
      <c r="C37" s="12" t="n">
        <v>0.1</v>
      </c>
      <c r="D37" s="10" t="inlineStr">
        <is>
          <t>S6</t>
        </is>
      </c>
    </row>
    <row r="38">
      <c r="B38" t="inlineStr">
        <is>
          <t>High dependency: category share at or above</t>
        </is>
      </c>
      <c r="C38" s="12" t="n">
        <v>0.6</v>
      </c>
      <c r="D38" s="10" t="inlineStr">
        <is>
          <t>S8</t>
        </is>
      </c>
    </row>
    <row r="39">
      <c r="B39" t="inlineStr">
        <is>
          <t>High dependency: share of total at or above</t>
        </is>
      </c>
      <c r="C39" s="12" t="n">
        <v>0.15</v>
      </c>
      <c r="D39" s="10" t="inlineStr">
        <is>
          <t>S8</t>
        </is>
      </c>
    </row>
    <row r="40">
      <c r="B40" t="inlineStr">
        <is>
          <t>Medium dependency: category share at or above</t>
        </is>
      </c>
      <c r="C40" s="12" t="n">
        <v>0.35</v>
      </c>
      <c r="D40" s="10" t="inlineStr"/>
    </row>
    <row r="41">
      <c r="B41" t="inlineStr">
        <is>
          <t>Medium dependency: share of total at or above</t>
        </is>
      </c>
      <c r="C41" s="12" t="n">
        <v>0.08</v>
      </c>
      <c r="D41" s="10" t="inlineStr"/>
    </row>
    <row r="42">
      <c r="B42" s="3" t="inlineStr">
        <is>
          <t>Scenario assumptions (modelled, not realised)</t>
        </is>
      </c>
    </row>
    <row r="43">
      <c r="B43" t="inlineStr">
        <is>
          <t>Cost of handling one late PO line (USD)</t>
        </is>
      </c>
      <c r="C43" s="14" t="n">
        <v>150</v>
      </c>
      <c r="D43" s="10" t="inlineStr">
        <is>
          <t>Expediting and disruption; an assumption</t>
        </is>
      </c>
    </row>
    <row r="45">
      <c r="B45" s="3" t="inlineStr">
        <is>
          <t>Weights total (check)</t>
        </is>
      </c>
      <c r="C45" s="15">
        <f>Assumptions!$C$10+Assumptions!$C$11+Assumptions!$C$12+Assumptions!$C$13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483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s>
  <sheetData>
    <row r="1">
      <c r="A1" s="8" t="inlineStr">
        <is>
          <t>po_line_id</t>
        </is>
      </c>
      <c r="B1" s="8" t="inlineStr">
        <is>
          <t>po_id</t>
        </is>
      </c>
      <c r="C1" s="8" t="inlineStr">
        <is>
          <t>supplier_id</t>
        </is>
      </c>
      <c r="D1" s="8" t="inlineStr">
        <is>
          <t>category_id</t>
        </is>
      </c>
      <c r="E1" s="8" t="inlineStr">
        <is>
          <t>item_id</t>
        </is>
      </c>
      <c r="F1" s="8" t="inlineStr">
        <is>
          <t>order_date</t>
        </is>
      </c>
      <c r="G1" s="8" t="inlineStr">
        <is>
          <t>promised_date</t>
        </is>
      </c>
      <c r="H1" s="8" t="inlineStr">
        <is>
          <t>ordered_qty</t>
        </is>
      </c>
      <c r="I1" s="8" t="inlineStr">
        <is>
          <t>unit_price</t>
        </is>
      </c>
      <c r="J1" s="8" t="inlineStr">
        <is>
          <t>standard_price</t>
        </is>
      </c>
      <c r="K1" s="8" t="inlineStr">
        <is>
          <t>cancelled</t>
        </is>
      </c>
      <c r="L1" s="8" t="inlineStr">
        <is>
          <t>short_closed</t>
        </is>
      </c>
      <c r="M1" s="8" t="inlineStr">
        <is>
          <t>received_qty</t>
        </is>
      </c>
      <c r="N1" s="8" t="inlineStr">
        <is>
          <t>qty_by_promise</t>
        </is>
      </c>
      <c r="O1" s="8" t="inlineStr">
        <is>
          <t>rejected_qty</t>
        </is>
      </c>
      <c r="P1" s="8" t="inlineStr">
        <is>
          <t>first_receipt_date</t>
        </is>
      </c>
      <c r="Q1" s="8" t="inlineStr">
        <is>
          <t>completion_date</t>
        </is>
      </c>
      <c r="R1" s="8" t="inlineStr">
        <is>
          <t>last_receipt_or_close_date</t>
        </is>
      </c>
      <c r="S1" s="16" t="inlineStr">
        <is>
          <t>line_value</t>
        </is>
      </c>
      <c r="T1" s="16" t="inlineStr">
        <is>
          <t>standard_value</t>
        </is>
      </c>
      <c r="U1" s="16" t="inlineStr">
        <is>
          <t>due</t>
        </is>
      </c>
      <c r="V1" s="16" t="inlineStr">
        <is>
          <t>on_time</t>
        </is>
      </c>
      <c r="W1" s="16" t="inlineStr">
        <is>
          <t>in_full</t>
        </is>
      </c>
      <c r="X1" s="16" t="inlineStr">
        <is>
          <t>otif</t>
        </is>
      </c>
      <c r="Y1" s="16" t="inlineStr">
        <is>
          <t>complete</t>
        </is>
      </c>
      <c r="Z1" s="16" t="inlineStr">
        <is>
          <t>open</t>
        </is>
      </c>
      <c r="AA1" s="16" t="inlineStr">
        <is>
          <t>overdue</t>
        </is>
      </c>
      <c r="AB1" s="16" t="inlineStr">
        <is>
          <t>days_late</t>
        </is>
      </c>
      <c r="AC1" s="16" t="inlineStr">
        <is>
          <t>lead_time_days</t>
        </is>
      </c>
      <c r="AD1" s="16" t="inlineStr">
        <is>
          <t>lead_time_sq</t>
        </is>
      </c>
      <c r="AE1" s="16" t="inlineStr">
        <is>
          <t>open_value</t>
        </is>
      </c>
      <c r="AF1" s="16" t="inlineStr">
        <is>
          <t>due_period</t>
        </is>
      </c>
      <c r="AG1" s="16" t="inlineStr">
        <is>
          <t>due_month</t>
        </is>
      </c>
    </row>
    <row r="2">
      <c r="A2" t="inlineStr">
        <is>
          <t>SPO-00001-1</t>
        </is>
      </c>
      <c r="B2" t="inlineStr">
        <is>
          <t>SPO-00001</t>
        </is>
      </c>
      <c r="C2" t="inlineStr">
        <is>
          <t>SUP-14</t>
        </is>
      </c>
      <c r="D2" t="inlineStr">
        <is>
          <t>FLEET</t>
        </is>
      </c>
      <c r="E2" t="inlineStr">
        <is>
          <t>FLEET-05</t>
        </is>
      </c>
      <c r="F2" s="17" t="n">
        <v>45566</v>
      </c>
      <c r="G2" s="17" t="n">
        <v>45580</v>
      </c>
      <c r="H2" s="18" t="n">
        <v>8</v>
      </c>
      <c r="I2" s="19" t="n">
        <v>161.89</v>
      </c>
      <c r="J2" s="19" t="n">
        <v>168</v>
      </c>
      <c r="K2" s="20" t="n">
        <v>0</v>
      </c>
      <c r="L2" s="20" t="n">
        <v>0</v>
      </c>
      <c r="M2" s="18" t="n">
        <v>8</v>
      </c>
      <c r="N2" s="18" t="n">
        <v>8</v>
      </c>
      <c r="O2" s="18" t="n">
        <v>0</v>
      </c>
      <c r="P2" s="17" t="n">
        <v>45578</v>
      </c>
      <c r="Q2" s="17" t="n">
        <v>45578</v>
      </c>
      <c r="R2" s="17" t="n">
        <v>45578</v>
      </c>
      <c r="S2" s="19">
        <f>H2*I2</f>
        <v/>
      </c>
      <c r="T2" s="19">
        <f>H2*J2</f>
        <v/>
      </c>
      <c r="U2">
        <f>IF(AND(K2=0,G2&lt;=Assumptions!$C$6),1,0)</f>
        <v/>
      </c>
      <c r="V2">
        <f>IF(U2=1,IF(M2&gt;0,IF(P2&lt;=G2+Assumptions!$C$7,1,0),0),0)</f>
        <v/>
      </c>
      <c r="W2">
        <f>IF(AND(U2=1,M2&gt;=H2*(1-Assumptions!$C$8)),1,0)</f>
        <v/>
      </c>
      <c r="X2">
        <f>IF(AND(U2=1,N2&gt;=H2*(1-Assumptions!$C$8)),1,0)</f>
        <v/>
      </c>
      <c r="Y2">
        <f>IF(ISNUMBER(Q2),1,0)</f>
        <v/>
      </c>
      <c r="Z2">
        <f>IF(AND(K2=0,L2=0,Y2=0),1,0)</f>
        <v/>
      </c>
      <c r="AA2">
        <f>IF(AND(Z2=1,G2&lt;Assumptions!$C$6),1,0)</f>
        <v/>
      </c>
      <c r="AB2">
        <f>IF(U2=0,"",IF(Y2=1,MAX(0,Q2-G2),IF(L2=1,MAX(0,R2-G2),MAX(0,Assumptions!$C$6-G2))))</f>
        <v/>
      </c>
      <c r="AC2">
        <f>IF(Y2=1,Q2-F2,"")</f>
        <v/>
      </c>
      <c r="AD2">
        <f>IF(Y2=1,AC2^2,"")</f>
        <v/>
      </c>
      <c r="AE2" s="19">
        <f>IF(Z2=1,(H2-M2)*I2,0)</f>
        <v/>
      </c>
      <c r="AF2">
        <f>IF(G2&lt;EDATE(Assumptions!$C$6,-12)+1,"prior_12m","last_12m")</f>
        <v/>
      </c>
      <c r="AG2" s="21">
        <f>DATE(YEAR(G2),MONTH(G2),1)</f>
        <v/>
      </c>
    </row>
    <row r="3">
      <c r="A3" t="inlineStr">
        <is>
          <t>SPO-00001-2</t>
        </is>
      </c>
      <c r="B3" t="inlineStr">
        <is>
          <t>SPO-00001</t>
        </is>
      </c>
      <c r="C3" t="inlineStr">
        <is>
          <t>SUP-14</t>
        </is>
      </c>
      <c r="D3" t="inlineStr">
        <is>
          <t>FLEET</t>
        </is>
      </c>
      <c r="E3" t="inlineStr">
        <is>
          <t>FLEET-08</t>
        </is>
      </c>
      <c r="F3" s="17" t="n">
        <v>45566</v>
      </c>
      <c r="G3" s="17" t="n">
        <v>45580</v>
      </c>
      <c r="H3" s="18" t="n">
        <v>267</v>
      </c>
      <c r="I3" s="19" t="n">
        <v>5.81</v>
      </c>
      <c r="J3" s="19" t="n">
        <v>6.4</v>
      </c>
      <c r="K3" s="20" t="n">
        <v>0</v>
      </c>
      <c r="L3" s="20" t="n">
        <v>0</v>
      </c>
      <c r="M3" s="18" t="n">
        <v>267</v>
      </c>
      <c r="N3" s="18" t="n">
        <v>267</v>
      </c>
      <c r="O3" s="18" t="n">
        <v>0</v>
      </c>
      <c r="P3" s="17" t="n">
        <v>45575</v>
      </c>
      <c r="Q3" s="17" t="n">
        <v>45575</v>
      </c>
      <c r="R3" s="17" t="n">
        <v>45575</v>
      </c>
      <c r="S3" s="19">
        <f>H3*I3</f>
        <v/>
      </c>
      <c r="T3" s="19">
        <f>H3*J3</f>
        <v/>
      </c>
      <c r="U3">
        <f>IF(AND(K3=0,G3&lt;=Assumptions!$C$6),1,0)</f>
        <v/>
      </c>
      <c r="V3">
        <f>IF(U3=1,IF(M3&gt;0,IF(P3&lt;=G3+Assumptions!$C$7,1,0),0),0)</f>
        <v/>
      </c>
      <c r="W3">
        <f>IF(AND(U3=1,M3&gt;=H3*(1-Assumptions!$C$8)),1,0)</f>
        <v/>
      </c>
      <c r="X3">
        <f>IF(AND(U3=1,N3&gt;=H3*(1-Assumptions!$C$8)),1,0)</f>
        <v/>
      </c>
      <c r="Y3">
        <f>IF(ISNUMBER(Q3),1,0)</f>
        <v/>
      </c>
      <c r="Z3">
        <f>IF(AND(K3=0,L3=0,Y3=0),1,0)</f>
        <v/>
      </c>
      <c r="AA3">
        <f>IF(AND(Z3=1,G3&lt;Assumptions!$C$6),1,0)</f>
        <v/>
      </c>
      <c r="AB3">
        <f>IF(U3=0,"",IF(Y3=1,MAX(0,Q3-G3),IF(L3=1,MAX(0,R3-G3),MAX(0,Assumptions!$C$6-G3))))</f>
        <v/>
      </c>
      <c r="AC3">
        <f>IF(Y3=1,Q3-F3,"")</f>
        <v/>
      </c>
      <c r="AD3">
        <f>IF(Y3=1,AC3^2,"")</f>
        <v/>
      </c>
      <c r="AE3" s="19">
        <f>IF(Z3=1,(H3-M3)*I3,0)</f>
        <v/>
      </c>
      <c r="AF3">
        <f>IF(G3&lt;EDATE(Assumptions!$C$6,-12)+1,"prior_12m","last_12m")</f>
        <v/>
      </c>
      <c r="AG3" s="21">
        <f>DATE(YEAR(G3),MONTH(G3),1)</f>
        <v/>
      </c>
    </row>
    <row r="4">
      <c r="A4" t="inlineStr">
        <is>
          <t>SPO-00002-1</t>
        </is>
      </c>
      <c r="B4" t="inlineStr">
        <is>
          <t>SPO-00002</t>
        </is>
      </c>
      <c r="C4" t="inlineStr">
        <is>
          <t>SUP-01</t>
        </is>
      </c>
      <c r="D4" t="inlineStr">
        <is>
          <t>ELEC</t>
        </is>
      </c>
      <c r="E4" t="inlineStr">
        <is>
          <t>ELEC-02</t>
        </is>
      </c>
      <c r="F4" s="17" t="n">
        <v>45566</v>
      </c>
      <c r="G4" s="17" t="n">
        <v>45584</v>
      </c>
      <c r="H4" s="18" t="n">
        <v>675</v>
      </c>
      <c r="I4" s="19" t="n">
        <v>4.25</v>
      </c>
      <c r="J4" s="19" t="n">
        <v>4.2</v>
      </c>
      <c r="K4" s="20" t="n">
        <v>0</v>
      </c>
      <c r="L4" s="20" t="n">
        <v>0</v>
      </c>
      <c r="M4" s="18" t="n">
        <v>675</v>
      </c>
      <c r="N4" s="18" t="n">
        <v>0</v>
      </c>
      <c r="O4" s="18" t="n">
        <v>0</v>
      </c>
      <c r="P4" s="17" t="n">
        <v>45586</v>
      </c>
      <c r="Q4" s="17" t="n">
        <v>45586</v>
      </c>
      <c r="R4" s="17" t="n">
        <v>45586</v>
      </c>
      <c r="S4" s="19">
        <f>H4*I4</f>
        <v/>
      </c>
      <c r="T4" s="19">
        <f>H4*J4</f>
        <v/>
      </c>
      <c r="U4">
        <f>IF(AND(K4=0,G4&lt;=Assumptions!$C$6),1,0)</f>
        <v/>
      </c>
      <c r="V4">
        <f>IF(U4=1,IF(M4&gt;0,IF(P4&lt;=G4+Assumptions!$C$7,1,0),0),0)</f>
        <v/>
      </c>
      <c r="W4">
        <f>IF(AND(U4=1,M4&gt;=H4*(1-Assumptions!$C$8)),1,0)</f>
        <v/>
      </c>
      <c r="X4">
        <f>IF(AND(U4=1,N4&gt;=H4*(1-Assumptions!$C$8)),1,0)</f>
        <v/>
      </c>
      <c r="Y4">
        <f>IF(ISNUMBER(Q4),1,0)</f>
        <v/>
      </c>
      <c r="Z4">
        <f>IF(AND(K4=0,L4=0,Y4=0),1,0)</f>
        <v/>
      </c>
      <c r="AA4">
        <f>IF(AND(Z4=1,G4&lt;Assumptions!$C$6),1,0)</f>
        <v/>
      </c>
      <c r="AB4">
        <f>IF(U4=0,"",IF(Y4=1,MAX(0,Q4-G4),IF(L4=1,MAX(0,R4-G4),MAX(0,Assumptions!$C$6-G4))))</f>
        <v/>
      </c>
      <c r="AC4">
        <f>IF(Y4=1,Q4-F4,"")</f>
        <v/>
      </c>
      <c r="AD4">
        <f>IF(Y4=1,AC4^2,"")</f>
        <v/>
      </c>
      <c r="AE4" s="19">
        <f>IF(Z4=1,(H4-M4)*I4,0)</f>
        <v/>
      </c>
      <c r="AF4">
        <f>IF(G4&lt;EDATE(Assumptions!$C$6,-12)+1,"prior_12m","last_12m")</f>
        <v/>
      </c>
      <c r="AG4" s="21">
        <f>DATE(YEAR(G4),MONTH(G4),1)</f>
        <v/>
      </c>
    </row>
    <row r="5">
      <c r="A5" t="inlineStr">
        <is>
          <t>SPO-00002-2</t>
        </is>
      </c>
      <c r="B5" t="inlineStr">
        <is>
          <t>SPO-00002</t>
        </is>
      </c>
      <c r="C5" t="inlineStr">
        <is>
          <t>SUP-01</t>
        </is>
      </c>
      <c r="D5" t="inlineStr">
        <is>
          <t>ELEC</t>
        </is>
      </c>
      <c r="E5" t="inlineStr">
        <is>
          <t>ELEC-08</t>
        </is>
      </c>
      <c r="F5" s="17" t="n">
        <v>45566</v>
      </c>
      <c r="G5" s="17" t="n">
        <v>45584</v>
      </c>
      <c r="H5" s="18" t="n">
        <v>121</v>
      </c>
      <c r="I5" s="19" t="n">
        <v>18.87</v>
      </c>
      <c r="J5" s="19" t="n">
        <v>18</v>
      </c>
      <c r="K5" s="20" t="n">
        <v>0</v>
      </c>
      <c r="L5" s="20" t="n">
        <v>0</v>
      </c>
      <c r="M5" s="18" t="n">
        <v>121</v>
      </c>
      <c r="N5" s="18" t="n">
        <v>121</v>
      </c>
      <c r="O5" s="18" t="n">
        <v>0</v>
      </c>
      <c r="P5" s="17" t="n">
        <v>45578</v>
      </c>
      <c r="Q5" s="17" t="n">
        <v>45578</v>
      </c>
      <c r="R5" s="17" t="n">
        <v>45578</v>
      </c>
      <c r="S5" s="19">
        <f>H5*I5</f>
        <v/>
      </c>
      <c r="T5" s="19">
        <f>H5*J5</f>
        <v/>
      </c>
      <c r="U5">
        <f>IF(AND(K5=0,G5&lt;=Assumptions!$C$6),1,0)</f>
        <v/>
      </c>
      <c r="V5">
        <f>IF(U5=1,IF(M5&gt;0,IF(P5&lt;=G5+Assumptions!$C$7,1,0),0),0)</f>
        <v/>
      </c>
      <c r="W5">
        <f>IF(AND(U5=1,M5&gt;=H5*(1-Assumptions!$C$8)),1,0)</f>
        <v/>
      </c>
      <c r="X5">
        <f>IF(AND(U5=1,N5&gt;=H5*(1-Assumptions!$C$8)),1,0)</f>
        <v/>
      </c>
      <c r="Y5">
        <f>IF(ISNUMBER(Q5),1,0)</f>
        <v/>
      </c>
      <c r="Z5">
        <f>IF(AND(K5=0,L5=0,Y5=0),1,0)</f>
        <v/>
      </c>
      <c r="AA5">
        <f>IF(AND(Z5=1,G5&lt;Assumptions!$C$6),1,0)</f>
        <v/>
      </c>
      <c r="AB5">
        <f>IF(U5=0,"",IF(Y5=1,MAX(0,Q5-G5),IF(L5=1,MAX(0,R5-G5),MAX(0,Assumptions!$C$6-G5))))</f>
        <v/>
      </c>
      <c r="AC5">
        <f>IF(Y5=1,Q5-F5,"")</f>
        <v/>
      </c>
      <c r="AD5">
        <f>IF(Y5=1,AC5^2,"")</f>
        <v/>
      </c>
      <c r="AE5" s="19">
        <f>IF(Z5=1,(H5-M5)*I5,0)</f>
        <v/>
      </c>
      <c r="AF5">
        <f>IF(G5&lt;EDATE(Assumptions!$C$6,-12)+1,"prior_12m","last_12m")</f>
        <v/>
      </c>
      <c r="AG5" s="21">
        <f>DATE(YEAR(G5),MONTH(G5),1)</f>
        <v/>
      </c>
    </row>
    <row r="6">
      <c r="A6" t="inlineStr">
        <is>
          <t>SPO-00002-3</t>
        </is>
      </c>
      <c r="B6" t="inlineStr">
        <is>
          <t>SPO-00002</t>
        </is>
      </c>
      <c r="C6" t="inlineStr">
        <is>
          <t>SUP-01</t>
        </is>
      </c>
      <c r="D6" t="inlineStr">
        <is>
          <t>ELEC</t>
        </is>
      </c>
      <c r="E6" t="inlineStr">
        <is>
          <t>ELEC-07</t>
        </is>
      </c>
      <c r="F6" s="17" t="n">
        <v>45566</v>
      </c>
      <c r="G6" s="17" t="n">
        <v>45584</v>
      </c>
      <c r="H6" s="18" t="n">
        <v>416</v>
      </c>
      <c r="I6" s="19" t="n">
        <v>10.12</v>
      </c>
      <c r="J6" s="19" t="n">
        <v>9.800000000000001</v>
      </c>
      <c r="K6" s="20" t="n">
        <v>0</v>
      </c>
      <c r="L6" s="20" t="n">
        <v>0</v>
      </c>
      <c r="M6" s="18" t="n">
        <v>416</v>
      </c>
      <c r="N6" s="18" t="n">
        <v>416</v>
      </c>
      <c r="O6" s="18" t="n">
        <v>0</v>
      </c>
      <c r="P6" s="17" t="n">
        <v>45584</v>
      </c>
      <c r="Q6" s="17" t="n">
        <v>45584</v>
      </c>
      <c r="R6" s="17" t="n">
        <v>45584</v>
      </c>
      <c r="S6" s="19">
        <f>H6*I6</f>
        <v/>
      </c>
      <c r="T6" s="19">
        <f>H6*J6</f>
        <v/>
      </c>
      <c r="U6">
        <f>IF(AND(K6=0,G6&lt;=Assumptions!$C$6),1,0)</f>
        <v/>
      </c>
      <c r="V6">
        <f>IF(U6=1,IF(M6&gt;0,IF(P6&lt;=G6+Assumptions!$C$7,1,0),0),0)</f>
        <v/>
      </c>
      <c r="W6">
        <f>IF(AND(U6=1,M6&gt;=H6*(1-Assumptions!$C$8)),1,0)</f>
        <v/>
      </c>
      <c r="X6">
        <f>IF(AND(U6=1,N6&gt;=H6*(1-Assumptions!$C$8)),1,0)</f>
        <v/>
      </c>
      <c r="Y6">
        <f>IF(ISNUMBER(Q6),1,0)</f>
        <v/>
      </c>
      <c r="Z6">
        <f>IF(AND(K6=0,L6=0,Y6=0),1,0)</f>
        <v/>
      </c>
      <c r="AA6">
        <f>IF(AND(Z6=1,G6&lt;Assumptions!$C$6),1,0)</f>
        <v/>
      </c>
      <c r="AB6">
        <f>IF(U6=0,"",IF(Y6=1,MAX(0,Q6-G6),IF(L6=1,MAX(0,R6-G6),MAX(0,Assumptions!$C$6-G6))))</f>
        <v/>
      </c>
      <c r="AC6">
        <f>IF(Y6=1,Q6-F6,"")</f>
        <v/>
      </c>
      <c r="AD6">
        <f>IF(Y6=1,AC6^2,"")</f>
        <v/>
      </c>
      <c r="AE6" s="19">
        <f>IF(Z6=1,(H6-M6)*I6,0)</f>
        <v/>
      </c>
      <c r="AF6">
        <f>IF(G6&lt;EDATE(Assumptions!$C$6,-12)+1,"prior_12m","last_12m")</f>
        <v/>
      </c>
      <c r="AG6" s="21">
        <f>DATE(YEAR(G6),MONTH(G6),1)</f>
        <v/>
      </c>
    </row>
    <row r="7">
      <c r="A7" t="inlineStr">
        <is>
          <t>SPO-00003-1</t>
        </is>
      </c>
      <c r="B7" t="inlineStr">
        <is>
          <t>SPO-00003</t>
        </is>
      </c>
      <c r="C7" t="inlineStr">
        <is>
          <t>SUP-09</t>
        </is>
      </c>
      <c r="D7" t="inlineStr">
        <is>
          <t>CHEM</t>
        </is>
      </c>
      <c r="E7" t="inlineStr">
        <is>
          <t>CHEM-04</t>
        </is>
      </c>
      <c r="F7" s="17" t="n">
        <v>45567</v>
      </c>
      <c r="G7" s="17" t="n">
        <v>45581</v>
      </c>
      <c r="H7" s="18" t="n">
        <v>4</v>
      </c>
      <c r="I7" s="19" t="n">
        <v>815.23</v>
      </c>
      <c r="J7" s="19" t="n">
        <v>820</v>
      </c>
      <c r="K7" s="20" t="n">
        <v>0</v>
      </c>
      <c r="L7" s="20" t="n">
        <v>0</v>
      </c>
      <c r="M7" s="18" t="n">
        <v>4</v>
      </c>
      <c r="N7" s="18" t="n">
        <v>4</v>
      </c>
      <c r="O7" s="18" t="n">
        <v>0</v>
      </c>
      <c r="P7" s="17" t="n">
        <v>45578</v>
      </c>
      <c r="Q7" s="17" t="n">
        <v>45578</v>
      </c>
      <c r="R7" s="17" t="n">
        <v>45578</v>
      </c>
      <c r="S7" s="19">
        <f>H7*I7</f>
        <v/>
      </c>
      <c r="T7" s="19">
        <f>H7*J7</f>
        <v/>
      </c>
      <c r="U7">
        <f>IF(AND(K7=0,G7&lt;=Assumptions!$C$6),1,0)</f>
        <v/>
      </c>
      <c r="V7">
        <f>IF(U7=1,IF(M7&gt;0,IF(P7&lt;=G7+Assumptions!$C$7,1,0),0),0)</f>
        <v/>
      </c>
      <c r="W7">
        <f>IF(AND(U7=1,M7&gt;=H7*(1-Assumptions!$C$8)),1,0)</f>
        <v/>
      </c>
      <c r="X7">
        <f>IF(AND(U7=1,N7&gt;=H7*(1-Assumptions!$C$8)),1,0)</f>
        <v/>
      </c>
      <c r="Y7">
        <f>IF(ISNUMBER(Q7),1,0)</f>
        <v/>
      </c>
      <c r="Z7">
        <f>IF(AND(K7=0,L7=0,Y7=0),1,0)</f>
        <v/>
      </c>
      <c r="AA7">
        <f>IF(AND(Z7=1,G7&lt;Assumptions!$C$6),1,0)</f>
        <v/>
      </c>
      <c r="AB7">
        <f>IF(U7=0,"",IF(Y7=1,MAX(0,Q7-G7),IF(L7=1,MAX(0,R7-G7),MAX(0,Assumptions!$C$6-G7))))</f>
        <v/>
      </c>
      <c r="AC7">
        <f>IF(Y7=1,Q7-F7,"")</f>
        <v/>
      </c>
      <c r="AD7">
        <f>IF(Y7=1,AC7^2,"")</f>
        <v/>
      </c>
      <c r="AE7" s="19">
        <f>IF(Z7=1,(H7-M7)*I7,0)</f>
        <v/>
      </c>
      <c r="AF7">
        <f>IF(G7&lt;EDATE(Assumptions!$C$6,-12)+1,"prior_12m","last_12m")</f>
        <v/>
      </c>
      <c r="AG7" s="21">
        <f>DATE(YEAR(G7),MONTH(G7),1)</f>
        <v/>
      </c>
    </row>
    <row r="8">
      <c r="A8" t="inlineStr">
        <is>
          <t>SPO-00003-2</t>
        </is>
      </c>
      <c r="B8" t="inlineStr">
        <is>
          <t>SPO-00003</t>
        </is>
      </c>
      <c r="C8" t="inlineStr">
        <is>
          <t>SUP-09</t>
        </is>
      </c>
      <c r="D8" t="inlineStr">
        <is>
          <t>CHEM</t>
        </is>
      </c>
      <c r="E8" t="inlineStr">
        <is>
          <t>CHEM-05</t>
        </is>
      </c>
      <c r="F8" s="17" t="n">
        <v>45567</v>
      </c>
      <c r="G8" s="17" t="n">
        <v>45581</v>
      </c>
      <c r="H8" s="18" t="n">
        <v>2</v>
      </c>
      <c r="I8" s="19" t="n">
        <v>967.79</v>
      </c>
      <c r="J8" s="19" t="n">
        <v>930</v>
      </c>
      <c r="K8" s="20" t="n">
        <v>0</v>
      </c>
      <c r="L8" s="20" t="n">
        <v>0</v>
      </c>
      <c r="M8" s="18" t="n">
        <v>2</v>
      </c>
      <c r="N8" s="18" t="n">
        <v>2</v>
      </c>
      <c r="O8" s="18" t="n">
        <v>0</v>
      </c>
      <c r="P8" s="17" t="n">
        <v>45580</v>
      </c>
      <c r="Q8" s="17" t="n">
        <v>45580</v>
      </c>
      <c r="R8" s="17" t="n">
        <v>45580</v>
      </c>
      <c r="S8" s="19">
        <f>H8*I8</f>
        <v/>
      </c>
      <c r="T8" s="19">
        <f>H8*J8</f>
        <v/>
      </c>
      <c r="U8">
        <f>IF(AND(K8=0,G8&lt;=Assumptions!$C$6),1,0)</f>
        <v/>
      </c>
      <c r="V8">
        <f>IF(U8=1,IF(M8&gt;0,IF(P8&lt;=G8+Assumptions!$C$7,1,0),0),0)</f>
        <v/>
      </c>
      <c r="W8">
        <f>IF(AND(U8=1,M8&gt;=H8*(1-Assumptions!$C$8)),1,0)</f>
        <v/>
      </c>
      <c r="X8">
        <f>IF(AND(U8=1,N8&gt;=H8*(1-Assumptions!$C$8)),1,0)</f>
        <v/>
      </c>
      <c r="Y8">
        <f>IF(ISNUMBER(Q8),1,0)</f>
        <v/>
      </c>
      <c r="Z8">
        <f>IF(AND(K8=0,L8=0,Y8=0),1,0)</f>
        <v/>
      </c>
      <c r="AA8">
        <f>IF(AND(Z8=1,G8&lt;Assumptions!$C$6),1,0)</f>
        <v/>
      </c>
      <c r="AB8">
        <f>IF(U8=0,"",IF(Y8=1,MAX(0,Q8-G8),IF(L8=1,MAX(0,R8-G8),MAX(0,Assumptions!$C$6-G8))))</f>
        <v/>
      </c>
      <c r="AC8">
        <f>IF(Y8=1,Q8-F8,"")</f>
        <v/>
      </c>
      <c r="AD8">
        <f>IF(Y8=1,AC8^2,"")</f>
        <v/>
      </c>
      <c r="AE8" s="19">
        <f>IF(Z8=1,(H8-M8)*I8,0)</f>
        <v/>
      </c>
      <c r="AF8">
        <f>IF(G8&lt;EDATE(Assumptions!$C$6,-12)+1,"prior_12m","last_12m")</f>
        <v/>
      </c>
      <c r="AG8" s="21">
        <f>DATE(YEAR(G8),MONTH(G8),1)</f>
        <v/>
      </c>
    </row>
    <row r="9">
      <c r="A9" t="inlineStr">
        <is>
          <t>SPO-00003-3</t>
        </is>
      </c>
      <c r="B9" t="inlineStr">
        <is>
          <t>SPO-00003</t>
        </is>
      </c>
      <c r="C9" t="inlineStr">
        <is>
          <t>SUP-09</t>
        </is>
      </c>
      <c r="D9" t="inlineStr">
        <is>
          <t>CHEM</t>
        </is>
      </c>
      <c r="E9" t="inlineStr">
        <is>
          <t>CHEM-03</t>
        </is>
      </c>
      <c r="F9" s="17" t="n">
        <v>45567</v>
      </c>
      <c r="G9" s="17" t="n">
        <v>45581</v>
      </c>
      <c r="H9" s="18" t="n">
        <v>4</v>
      </c>
      <c r="I9" s="19" t="n">
        <v>274.27</v>
      </c>
      <c r="J9" s="19" t="n">
        <v>265</v>
      </c>
      <c r="K9" s="20" t="n">
        <v>0</v>
      </c>
      <c r="L9" s="20" t="n">
        <v>0</v>
      </c>
      <c r="M9" s="18" t="n">
        <v>4</v>
      </c>
      <c r="N9" s="18" t="n">
        <v>4</v>
      </c>
      <c r="O9" s="18" t="n">
        <v>0</v>
      </c>
      <c r="P9" s="17" t="n">
        <v>45578</v>
      </c>
      <c r="Q9" s="17" t="n">
        <v>45578</v>
      </c>
      <c r="R9" s="17" t="n">
        <v>45578</v>
      </c>
      <c r="S9" s="19">
        <f>H9*I9</f>
        <v/>
      </c>
      <c r="T9" s="19">
        <f>H9*J9</f>
        <v/>
      </c>
      <c r="U9">
        <f>IF(AND(K9=0,G9&lt;=Assumptions!$C$6),1,0)</f>
        <v/>
      </c>
      <c r="V9">
        <f>IF(U9=1,IF(M9&gt;0,IF(P9&lt;=G9+Assumptions!$C$7,1,0),0),0)</f>
        <v/>
      </c>
      <c r="W9">
        <f>IF(AND(U9=1,M9&gt;=H9*(1-Assumptions!$C$8)),1,0)</f>
        <v/>
      </c>
      <c r="X9">
        <f>IF(AND(U9=1,N9&gt;=H9*(1-Assumptions!$C$8)),1,0)</f>
        <v/>
      </c>
      <c r="Y9">
        <f>IF(ISNUMBER(Q9),1,0)</f>
        <v/>
      </c>
      <c r="Z9">
        <f>IF(AND(K9=0,L9=0,Y9=0),1,0)</f>
        <v/>
      </c>
      <c r="AA9">
        <f>IF(AND(Z9=1,G9&lt;Assumptions!$C$6),1,0)</f>
        <v/>
      </c>
      <c r="AB9">
        <f>IF(U9=0,"",IF(Y9=1,MAX(0,Q9-G9),IF(L9=1,MAX(0,R9-G9),MAX(0,Assumptions!$C$6-G9))))</f>
        <v/>
      </c>
      <c r="AC9">
        <f>IF(Y9=1,Q9-F9,"")</f>
        <v/>
      </c>
      <c r="AD9">
        <f>IF(Y9=1,AC9^2,"")</f>
        <v/>
      </c>
      <c r="AE9" s="19">
        <f>IF(Z9=1,(H9-M9)*I9,0)</f>
        <v/>
      </c>
      <c r="AF9">
        <f>IF(G9&lt;EDATE(Assumptions!$C$6,-12)+1,"prior_12m","last_12m")</f>
        <v/>
      </c>
      <c r="AG9" s="21">
        <f>DATE(YEAR(G9),MONTH(G9),1)</f>
        <v/>
      </c>
    </row>
    <row r="10">
      <c r="A10" t="inlineStr">
        <is>
          <t>SPO-00004-1</t>
        </is>
      </c>
      <c r="B10" t="inlineStr">
        <is>
          <t>SPO-00004</t>
        </is>
      </c>
      <c r="C10" t="inlineStr">
        <is>
          <t>SUP-07</t>
        </is>
      </c>
      <c r="D10" t="inlineStr">
        <is>
          <t>MRO</t>
        </is>
      </c>
      <c r="E10" t="inlineStr">
        <is>
          <t>MRO-02</t>
        </is>
      </c>
      <c r="F10" s="17" t="n">
        <v>45567</v>
      </c>
      <c r="G10" s="17" t="n">
        <v>45577</v>
      </c>
      <c r="H10" s="18" t="n">
        <v>32</v>
      </c>
      <c r="I10" s="19" t="n">
        <v>39.84</v>
      </c>
      <c r="J10" s="19" t="n">
        <v>41</v>
      </c>
      <c r="K10" s="20" t="n">
        <v>0</v>
      </c>
      <c r="L10" s="20" t="n">
        <v>0</v>
      </c>
      <c r="M10" s="18" t="n">
        <v>32</v>
      </c>
      <c r="N10" s="18" t="n">
        <v>32</v>
      </c>
      <c r="O10" s="18" t="n">
        <v>0</v>
      </c>
      <c r="P10" s="17" t="n">
        <v>45576</v>
      </c>
      <c r="Q10" s="17" t="n">
        <v>45576</v>
      </c>
      <c r="R10" s="17" t="n">
        <v>45576</v>
      </c>
      <c r="S10" s="19">
        <f>H10*I10</f>
        <v/>
      </c>
      <c r="T10" s="19">
        <f>H10*J10</f>
        <v/>
      </c>
      <c r="U10">
        <f>IF(AND(K10=0,G10&lt;=Assumptions!$C$6),1,0)</f>
        <v/>
      </c>
      <c r="V10">
        <f>IF(U10=1,IF(M10&gt;0,IF(P10&lt;=G10+Assumptions!$C$7,1,0),0),0)</f>
        <v/>
      </c>
      <c r="W10">
        <f>IF(AND(U10=1,M10&gt;=H10*(1-Assumptions!$C$8)),1,0)</f>
        <v/>
      </c>
      <c r="X10">
        <f>IF(AND(U10=1,N10&gt;=H10*(1-Assumptions!$C$8)),1,0)</f>
        <v/>
      </c>
      <c r="Y10">
        <f>IF(ISNUMBER(Q10),1,0)</f>
        <v/>
      </c>
      <c r="Z10">
        <f>IF(AND(K10=0,L10=0,Y10=0),1,0)</f>
        <v/>
      </c>
      <c r="AA10">
        <f>IF(AND(Z10=1,G10&lt;Assumptions!$C$6),1,0)</f>
        <v/>
      </c>
      <c r="AB10">
        <f>IF(U10=0,"",IF(Y10=1,MAX(0,Q10-G10),IF(L10=1,MAX(0,R10-G10),MAX(0,Assumptions!$C$6-G10))))</f>
        <v/>
      </c>
      <c r="AC10">
        <f>IF(Y10=1,Q10-F10,"")</f>
        <v/>
      </c>
      <c r="AD10">
        <f>IF(Y10=1,AC10^2,"")</f>
        <v/>
      </c>
      <c r="AE10" s="19">
        <f>IF(Z10=1,(H10-M10)*I10,0)</f>
        <v/>
      </c>
      <c r="AF10">
        <f>IF(G10&lt;EDATE(Assumptions!$C$6,-12)+1,"prior_12m","last_12m")</f>
        <v/>
      </c>
      <c r="AG10" s="21">
        <f>DATE(YEAR(G10),MONTH(G10),1)</f>
        <v/>
      </c>
    </row>
    <row r="11">
      <c r="A11" t="inlineStr">
        <is>
          <t>SPO-00004-2</t>
        </is>
      </c>
      <c r="B11" t="inlineStr">
        <is>
          <t>SPO-00004</t>
        </is>
      </c>
      <c r="C11" t="inlineStr">
        <is>
          <t>SUP-07</t>
        </is>
      </c>
      <c r="D11" t="inlineStr">
        <is>
          <t>MRO</t>
        </is>
      </c>
      <c r="E11" t="inlineStr">
        <is>
          <t>MRO-01</t>
        </is>
      </c>
      <c r="F11" s="17" t="n">
        <v>45567</v>
      </c>
      <c r="G11" s="17" t="n">
        <v>45577</v>
      </c>
      <c r="H11" s="18" t="n">
        <v>26</v>
      </c>
      <c r="I11" s="19" t="n">
        <v>53.75</v>
      </c>
      <c r="J11" s="19" t="n">
        <v>52</v>
      </c>
      <c r="K11" s="20" t="n">
        <v>0</v>
      </c>
      <c r="L11" s="20" t="n">
        <v>0</v>
      </c>
      <c r="M11" s="18" t="n">
        <v>26</v>
      </c>
      <c r="N11" s="18" t="n">
        <v>26</v>
      </c>
      <c r="O11" s="18" t="n">
        <v>0</v>
      </c>
      <c r="P11" s="17" t="n">
        <v>45576</v>
      </c>
      <c r="Q11" s="17" t="n">
        <v>45576</v>
      </c>
      <c r="R11" s="17" t="n">
        <v>45576</v>
      </c>
      <c r="S11" s="19">
        <f>H11*I11</f>
        <v/>
      </c>
      <c r="T11" s="19">
        <f>H11*J11</f>
        <v/>
      </c>
      <c r="U11">
        <f>IF(AND(K11=0,G11&lt;=Assumptions!$C$6),1,0)</f>
        <v/>
      </c>
      <c r="V11">
        <f>IF(U11=1,IF(M11&gt;0,IF(P11&lt;=G11+Assumptions!$C$7,1,0),0),0)</f>
        <v/>
      </c>
      <c r="W11">
        <f>IF(AND(U11=1,M11&gt;=H11*(1-Assumptions!$C$8)),1,0)</f>
        <v/>
      </c>
      <c r="X11">
        <f>IF(AND(U11=1,N11&gt;=H11*(1-Assumptions!$C$8)),1,0)</f>
        <v/>
      </c>
      <c r="Y11">
        <f>IF(ISNUMBER(Q11),1,0)</f>
        <v/>
      </c>
      <c r="Z11">
        <f>IF(AND(K11=0,L11=0,Y11=0),1,0)</f>
        <v/>
      </c>
      <c r="AA11">
        <f>IF(AND(Z11=1,G11&lt;Assumptions!$C$6),1,0)</f>
        <v/>
      </c>
      <c r="AB11">
        <f>IF(U11=0,"",IF(Y11=1,MAX(0,Q11-G11),IF(L11=1,MAX(0,R11-G11),MAX(0,Assumptions!$C$6-G11))))</f>
        <v/>
      </c>
      <c r="AC11">
        <f>IF(Y11=1,Q11-F11,"")</f>
        <v/>
      </c>
      <c r="AD11">
        <f>IF(Y11=1,AC11^2,"")</f>
        <v/>
      </c>
      <c r="AE11" s="19">
        <f>IF(Z11=1,(H11-M11)*I11,0)</f>
        <v/>
      </c>
      <c r="AF11">
        <f>IF(G11&lt;EDATE(Assumptions!$C$6,-12)+1,"prior_12m","last_12m")</f>
        <v/>
      </c>
      <c r="AG11" s="21">
        <f>DATE(YEAR(G11),MONTH(G11),1)</f>
        <v/>
      </c>
    </row>
    <row r="12">
      <c r="A12" t="inlineStr">
        <is>
          <t>SPO-00004-3</t>
        </is>
      </c>
      <c r="B12" t="inlineStr">
        <is>
          <t>SPO-00004</t>
        </is>
      </c>
      <c r="C12" t="inlineStr">
        <is>
          <t>SUP-07</t>
        </is>
      </c>
      <c r="D12" t="inlineStr">
        <is>
          <t>MRO</t>
        </is>
      </c>
      <c r="E12" t="inlineStr">
        <is>
          <t>MRO-06</t>
        </is>
      </c>
      <c r="F12" s="17" t="n">
        <v>45567</v>
      </c>
      <c r="G12" s="17" t="n">
        <v>45577</v>
      </c>
      <c r="H12" s="18" t="n">
        <v>510</v>
      </c>
      <c r="I12" s="19" t="n">
        <v>6.09</v>
      </c>
      <c r="J12" s="19" t="n">
        <v>6.1</v>
      </c>
      <c r="K12" s="20" t="n">
        <v>0</v>
      </c>
      <c r="L12" s="20" t="n">
        <v>0</v>
      </c>
      <c r="M12" s="18" t="n">
        <v>510</v>
      </c>
      <c r="N12" s="18" t="n">
        <v>510</v>
      </c>
      <c r="O12" s="18" t="n">
        <v>0</v>
      </c>
      <c r="P12" s="17" t="n">
        <v>45572</v>
      </c>
      <c r="Q12" s="17" t="n">
        <v>45572</v>
      </c>
      <c r="R12" s="17" t="n">
        <v>45572</v>
      </c>
      <c r="S12" s="19">
        <f>H12*I12</f>
        <v/>
      </c>
      <c r="T12" s="19">
        <f>H12*J12</f>
        <v/>
      </c>
      <c r="U12">
        <f>IF(AND(K12=0,G12&lt;=Assumptions!$C$6),1,0)</f>
        <v/>
      </c>
      <c r="V12">
        <f>IF(U12=1,IF(M12&gt;0,IF(P12&lt;=G12+Assumptions!$C$7,1,0),0),0)</f>
        <v/>
      </c>
      <c r="W12">
        <f>IF(AND(U12=1,M12&gt;=H12*(1-Assumptions!$C$8)),1,0)</f>
        <v/>
      </c>
      <c r="X12">
        <f>IF(AND(U12=1,N12&gt;=H12*(1-Assumptions!$C$8)),1,0)</f>
        <v/>
      </c>
      <c r="Y12">
        <f>IF(ISNUMBER(Q12),1,0)</f>
        <v/>
      </c>
      <c r="Z12">
        <f>IF(AND(K12=0,L12=0,Y12=0),1,0)</f>
        <v/>
      </c>
      <c r="AA12">
        <f>IF(AND(Z12=1,G12&lt;Assumptions!$C$6),1,0)</f>
        <v/>
      </c>
      <c r="AB12">
        <f>IF(U12=0,"",IF(Y12=1,MAX(0,Q12-G12),IF(L12=1,MAX(0,R12-G12),MAX(0,Assumptions!$C$6-G12))))</f>
        <v/>
      </c>
      <c r="AC12">
        <f>IF(Y12=1,Q12-F12,"")</f>
        <v/>
      </c>
      <c r="AD12">
        <f>IF(Y12=1,AC12^2,"")</f>
        <v/>
      </c>
      <c r="AE12" s="19">
        <f>IF(Z12=1,(H12-M12)*I12,0)</f>
        <v/>
      </c>
      <c r="AF12">
        <f>IF(G12&lt;EDATE(Assumptions!$C$6,-12)+1,"prior_12m","last_12m")</f>
        <v/>
      </c>
      <c r="AG12" s="21">
        <f>DATE(YEAR(G12),MONTH(G12),1)</f>
        <v/>
      </c>
    </row>
    <row r="13">
      <c r="A13" t="inlineStr">
        <is>
          <t>SPO-00004-4</t>
        </is>
      </c>
      <c r="B13" t="inlineStr">
        <is>
          <t>SPO-00004</t>
        </is>
      </c>
      <c r="C13" t="inlineStr">
        <is>
          <t>SUP-07</t>
        </is>
      </c>
      <c r="D13" t="inlineStr">
        <is>
          <t>MRO</t>
        </is>
      </c>
      <c r="E13" t="inlineStr">
        <is>
          <t>MRO-07</t>
        </is>
      </c>
      <c r="F13" s="17" t="n">
        <v>45567</v>
      </c>
      <c r="G13" s="17" t="n">
        <v>45577</v>
      </c>
      <c r="H13" s="18" t="n">
        <v>157</v>
      </c>
      <c r="I13" s="19" t="n">
        <v>14.19</v>
      </c>
      <c r="J13" s="19" t="n">
        <v>14</v>
      </c>
      <c r="K13" s="20" t="n">
        <v>0</v>
      </c>
      <c r="L13" s="20" t="n">
        <v>1</v>
      </c>
      <c r="M13" s="18" t="n">
        <v>115</v>
      </c>
      <c r="N13" s="18" t="n">
        <v>115</v>
      </c>
      <c r="O13" s="18" t="n">
        <v>0</v>
      </c>
      <c r="P13" s="17" t="n">
        <v>45570</v>
      </c>
      <c r="Q13" s="17" t="n"/>
      <c r="R13" s="17" t="n">
        <v>45570</v>
      </c>
      <c r="S13" s="19">
        <f>H13*I13</f>
        <v/>
      </c>
      <c r="T13" s="19">
        <f>H13*J13</f>
        <v/>
      </c>
      <c r="U13">
        <f>IF(AND(K13=0,G13&lt;=Assumptions!$C$6),1,0)</f>
        <v/>
      </c>
      <c r="V13">
        <f>IF(U13=1,IF(M13&gt;0,IF(P13&lt;=G13+Assumptions!$C$7,1,0),0),0)</f>
        <v/>
      </c>
      <c r="W13">
        <f>IF(AND(U13=1,M13&gt;=H13*(1-Assumptions!$C$8)),1,0)</f>
        <v/>
      </c>
      <c r="X13">
        <f>IF(AND(U13=1,N13&gt;=H13*(1-Assumptions!$C$8)),1,0)</f>
        <v/>
      </c>
      <c r="Y13">
        <f>IF(ISNUMBER(Q13),1,0)</f>
        <v/>
      </c>
      <c r="Z13">
        <f>IF(AND(K13=0,L13=0,Y13=0),1,0)</f>
        <v/>
      </c>
      <c r="AA13">
        <f>IF(AND(Z13=1,G13&lt;Assumptions!$C$6),1,0)</f>
        <v/>
      </c>
      <c r="AB13">
        <f>IF(U13=0,"",IF(Y13=1,MAX(0,Q13-G13),IF(L13=1,MAX(0,R13-G13),MAX(0,Assumptions!$C$6-G13))))</f>
        <v/>
      </c>
      <c r="AC13">
        <f>IF(Y13=1,Q13-F13,"")</f>
        <v/>
      </c>
      <c r="AD13">
        <f>IF(Y13=1,AC13^2,"")</f>
        <v/>
      </c>
      <c r="AE13" s="19">
        <f>IF(Z13=1,(H13-M13)*I13,0)</f>
        <v/>
      </c>
      <c r="AF13">
        <f>IF(G13&lt;EDATE(Assumptions!$C$6,-12)+1,"prior_12m","last_12m")</f>
        <v/>
      </c>
      <c r="AG13" s="21">
        <f>DATE(YEAR(G13),MONTH(G13),1)</f>
        <v/>
      </c>
    </row>
    <row r="14">
      <c r="A14" t="inlineStr">
        <is>
          <t>SPO-00005-1</t>
        </is>
      </c>
      <c r="B14" t="inlineStr">
        <is>
          <t>SPO-00005</t>
        </is>
      </c>
      <c r="C14" t="inlineStr">
        <is>
          <t>SUP-09</t>
        </is>
      </c>
      <c r="D14" t="inlineStr">
        <is>
          <t>CHEM</t>
        </is>
      </c>
      <c r="E14" t="inlineStr">
        <is>
          <t>CHEM-03</t>
        </is>
      </c>
      <c r="F14" s="17" t="n">
        <v>45568</v>
      </c>
      <c r="G14" s="17" t="n">
        <v>45582</v>
      </c>
      <c r="H14" s="18" t="n">
        <v>6</v>
      </c>
      <c r="I14" s="19" t="n">
        <v>276.03</v>
      </c>
      <c r="J14" s="19" t="n">
        <v>265</v>
      </c>
      <c r="K14" s="20" t="n">
        <v>0</v>
      </c>
      <c r="L14" s="20" t="n">
        <v>0</v>
      </c>
      <c r="M14" s="18" t="n">
        <v>6</v>
      </c>
      <c r="N14" s="18" t="n">
        <v>6</v>
      </c>
      <c r="O14" s="18" t="n">
        <v>0</v>
      </c>
      <c r="P14" s="17" t="n">
        <v>45582</v>
      </c>
      <c r="Q14" s="17" t="n">
        <v>45582</v>
      </c>
      <c r="R14" s="17" t="n">
        <v>45582</v>
      </c>
      <c r="S14" s="19">
        <f>H14*I14</f>
        <v/>
      </c>
      <c r="T14" s="19">
        <f>H14*J14</f>
        <v/>
      </c>
      <c r="U14">
        <f>IF(AND(K14=0,G14&lt;=Assumptions!$C$6),1,0)</f>
        <v/>
      </c>
      <c r="V14">
        <f>IF(U14=1,IF(M14&gt;0,IF(P14&lt;=G14+Assumptions!$C$7,1,0),0),0)</f>
        <v/>
      </c>
      <c r="W14">
        <f>IF(AND(U14=1,M14&gt;=H14*(1-Assumptions!$C$8)),1,0)</f>
        <v/>
      </c>
      <c r="X14">
        <f>IF(AND(U14=1,N14&gt;=H14*(1-Assumptions!$C$8)),1,0)</f>
        <v/>
      </c>
      <c r="Y14">
        <f>IF(ISNUMBER(Q14),1,0)</f>
        <v/>
      </c>
      <c r="Z14">
        <f>IF(AND(K14=0,L14=0,Y14=0),1,0)</f>
        <v/>
      </c>
      <c r="AA14">
        <f>IF(AND(Z14=1,G14&lt;Assumptions!$C$6),1,0)</f>
        <v/>
      </c>
      <c r="AB14">
        <f>IF(U14=0,"",IF(Y14=1,MAX(0,Q14-G14),IF(L14=1,MAX(0,R14-G14),MAX(0,Assumptions!$C$6-G14))))</f>
        <v/>
      </c>
      <c r="AC14">
        <f>IF(Y14=1,Q14-F14,"")</f>
        <v/>
      </c>
      <c r="AD14">
        <f>IF(Y14=1,AC14^2,"")</f>
        <v/>
      </c>
      <c r="AE14" s="19">
        <f>IF(Z14=1,(H14-M14)*I14,0)</f>
        <v/>
      </c>
      <c r="AF14">
        <f>IF(G14&lt;EDATE(Assumptions!$C$6,-12)+1,"prior_12m","last_12m")</f>
        <v/>
      </c>
      <c r="AG14" s="21">
        <f>DATE(YEAR(G14),MONTH(G14),1)</f>
        <v/>
      </c>
    </row>
    <row r="15">
      <c r="A15" t="inlineStr">
        <is>
          <t>SPO-00005-2</t>
        </is>
      </c>
      <c r="B15" t="inlineStr">
        <is>
          <t>SPO-00005</t>
        </is>
      </c>
      <c r="C15" t="inlineStr">
        <is>
          <t>SUP-09</t>
        </is>
      </c>
      <c r="D15" t="inlineStr">
        <is>
          <t>CHEM</t>
        </is>
      </c>
      <c r="E15" t="inlineStr">
        <is>
          <t>CHEM-01</t>
        </is>
      </c>
      <c r="F15" s="17" t="n">
        <v>45568</v>
      </c>
      <c r="G15" s="17" t="n">
        <v>45582</v>
      </c>
      <c r="H15" s="18" t="n">
        <v>2</v>
      </c>
      <c r="I15" s="19" t="n">
        <v>680.98</v>
      </c>
      <c r="J15" s="19" t="n">
        <v>640</v>
      </c>
      <c r="K15" s="20" t="n">
        <v>0</v>
      </c>
      <c r="L15" s="20" t="n">
        <v>0</v>
      </c>
      <c r="M15" s="18" t="n">
        <v>2</v>
      </c>
      <c r="N15" s="18" t="n">
        <v>2</v>
      </c>
      <c r="O15" s="18" t="n">
        <v>0</v>
      </c>
      <c r="P15" s="17" t="n">
        <v>45580</v>
      </c>
      <c r="Q15" s="17" t="n">
        <v>45580</v>
      </c>
      <c r="R15" s="17" t="n">
        <v>45580</v>
      </c>
      <c r="S15" s="19">
        <f>H15*I15</f>
        <v/>
      </c>
      <c r="T15" s="19">
        <f>H15*J15</f>
        <v/>
      </c>
      <c r="U15">
        <f>IF(AND(K15=0,G15&lt;=Assumptions!$C$6),1,0)</f>
        <v/>
      </c>
      <c r="V15">
        <f>IF(U15=1,IF(M15&gt;0,IF(P15&lt;=G15+Assumptions!$C$7,1,0),0),0)</f>
        <v/>
      </c>
      <c r="W15">
        <f>IF(AND(U15=1,M15&gt;=H15*(1-Assumptions!$C$8)),1,0)</f>
        <v/>
      </c>
      <c r="X15">
        <f>IF(AND(U15=1,N15&gt;=H15*(1-Assumptions!$C$8)),1,0)</f>
        <v/>
      </c>
      <c r="Y15">
        <f>IF(ISNUMBER(Q15),1,0)</f>
        <v/>
      </c>
      <c r="Z15">
        <f>IF(AND(K15=0,L15=0,Y15=0),1,0)</f>
        <v/>
      </c>
      <c r="AA15">
        <f>IF(AND(Z15=1,G15&lt;Assumptions!$C$6),1,0)</f>
        <v/>
      </c>
      <c r="AB15">
        <f>IF(U15=0,"",IF(Y15=1,MAX(0,Q15-G15),IF(L15=1,MAX(0,R15-G15),MAX(0,Assumptions!$C$6-G15))))</f>
        <v/>
      </c>
      <c r="AC15">
        <f>IF(Y15=1,Q15-F15,"")</f>
        <v/>
      </c>
      <c r="AD15">
        <f>IF(Y15=1,AC15^2,"")</f>
        <v/>
      </c>
      <c r="AE15" s="19">
        <f>IF(Z15=1,(H15-M15)*I15,0)</f>
        <v/>
      </c>
      <c r="AF15">
        <f>IF(G15&lt;EDATE(Assumptions!$C$6,-12)+1,"prior_12m","last_12m")</f>
        <v/>
      </c>
      <c r="AG15" s="21">
        <f>DATE(YEAR(G15),MONTH(G15),1)</f>
        <v/>
      </c>
    </row>
    <row r="16">
      <c r="A16" t="inlineStr">
        <is>
          <t>SPO-00005-3</t>
        </is>
      </c>
      <c r="B16" t="inlineStr">
        <is>
          <t>SPO-00005</t>
        </is>
      </c>
      <c r="C16" t="inlineStr">
        <is>
          <t>SUP-09</t>
        </is>
      </c>
      <c r="D16" t="inlineStr">
        <is>
          <t>CHEM</t>
        </is>
      </c>
      <c r="E16" t="inlineStr">
        <is>
          <t>CHEM-05</t>
        </is>
      </c>
      <c r="F16" s="17" t="n">
        <v>45568</v>
      </c>
      <c r="G16" s="17" t="n">
        <v>45582</v>
      </c>
      <c r="H16" s="18" t="n">
        <v>2</v>
      </c>
      <c r="I16" s="19" t="n">
        <v>962.73</v>
      </c>
      <c r="J16" s="19" t="n">
        <v>930</v>
      </c>
      <c r="K16" s="20" t="n">
        <v>0</v>
      </c>
      <c r="L16" s="20" t="n">
        <v>0</v>
      </c>
      <c r="M16" s="18" t="n">
        <v>2</v>
      </c>
      <c r="N16" s="18" t="n">
        <v>2</v>
      </c>
      <c r="O16" s="18" t="n">
        <v>0</v>
      </c>
      <c r="P16" s="17" t="n">
        <v>45582</v>
      </c>
      <c r="Q16" s="17" t="n">
        <v>45582</v>
      </c>
      <c r="R16" s="17" t="n">
        <v>45582</v>
      </c>
      <c r="S16" s="19">
        <f>H16*I16</f>
        <v/>
      </c>
      <c r="T16" s="19">
        <f>H16*J16</f>
        <v/>
      </c>
      <c r="U16">
        <f>IF(AND(K16=0,G16&lt;=Assumptions!$C$6),1,0)</f>
        <v/>
      </c>
      <c r="V16">
        <f>IF(U16=1,IF(M16&gt;0,IF(P16&lt;=G16+Assumptions!$C$7,1,0),0),0)</f>
        <v/>
      </c>
      <c r="W16">
        <f>IF(AND(U16=1,M16&gt;=H16*(1-Assumptions!$C$8)),1,0)</f>
        <v/>
      </c>
      <c r="X16">
        <f>IF(AND(U16=1,N16&gt;=H16*(1-Assumptions!$C$8)),1,0)</f>
        <v/>
      </c>
      <c r="Y16">
        <f>IF(ISNUMBER(Q16),1,0)</f>
        <v/>
      </c>
      <c r="Z16">
        <f>IF(AND(K16=0,L16=0,Y16=0),1,0)</f>
        <v/>
      </c>
      <c r="AA16">
        <f>IF(AND(Z16=1,G16&lt;Assumptions!$C$6),1,0)</f>
        <v/>
      </c>
      <c r="AB16">
        <f>IF(U16=0,"",IF(Y16=1,MAX(0,Q16-G16),IF(L16=1,MAX(0,R16-G16),MAX(0,Assumptions!$C$6-G16))))</f>
        <v/>
      </c>
      <c r="AC16">
        <f>IF(Y16=1,Q16-F16,"")</f>
        <v/>
      </c>
      <c r="AD16">
        <f>IF(Y16=1,AC16^2,"")</f>
        <v/>
      </c>
      <c r="AE16" s="19">
        <f>IF(Z16=1,(H16-M16)*I16,0)</f>
        <v/>
      </c>
      <c r="AF16">
        <f>IF(G16&lt;EDATE(Assumptions!$C$6,-12)+1,"prior_12m","last_12m")</f>
        <v/>
      </c>
      <c r="AG16" s="21">
        <f>DATE(YEAR(G16),MONTH(G16),1)</f>
        <v/>
      </c>
    </row>
    <row r="17">
      <c r="A17" t="inlineStr">
        <is>
          <t>SPO-00006-1</t>
        </is>
      </c>
      <c r="B17" t="inlineStr">
        <is>
          <t>SPO-00006</t>
        </is>
      </c>
      <c r="C17" t="inlineStr">
        <is>
          <t>SUP-14</t>
        </is>
      </c>
      <c r="D17" t="inlineStr">
        <is>
          <t>FLEET</t>
        </is>
      </c>
      <c r="E17" t="inlineStr">
        <is>
          <t>FLEET-08</t>
        </is>
      </c>
      <c r="F17" s="17" t="n">
        <v>45569</v>
      </c>
      <c r="G17" s="17" t="n">
        <v>45583</v>
      </c>
      <c r="H17" s="18" t="n">
        <v>398</v>
      </c>
      <c r="I17" s="19" t="n">
        <v>6.45</v>
      </c>
      <c r="J17" s="19" t="n">
        <v>6.4</v>
      </c>
      <c r="K17" s="20" t="n">
        <v>0</v>
      </c>
      <c r="L17" s="20" t="n">
        <v>0</v>
      </c>
      <c r="M17" s="18" t="n">
        <v>398</v>
      </c>
      <c r="N17" s="18" t="n">
        <v>0</v>
      </c>
      <c r="O17" s="18" t="n">
        <v>0</v>
      </c>
      <c r="P17" s="17" t="n">
        <v>45584</v>
      </c>
      <c r="Q17" s="17" t="n">
        <v>45584</v>
      </c>
      <c r="R17" s="17" t="n">
        <v>45584</v>
      </c>
      <c r="S17" s="19">
        <f>H17*I17</f>
        <v/>
      </c>
      <c r="T17" s="19">
        <f>H17*J17</f>
        <v/>
      </c>
      <c r="U17">
        <f>IF(AND(K17=0,G17&lt;=Assumptions!$C$6),1,0)</f>
        <v/>
      </c>
      <c r="V17">
        <f>IF(U17=1,IF(M17&gt;0,IF(P17&lt;=G17+Assumptions!$C$7,1,0),0),0)</f>
        <v/>
      </c>
      <c r="W17">
        <f>IF(AND(U17=1,M17&gt;=H17*(1-Assumptions!$C$8)),1,0)</f>
        <v/>
      </c>
      <c r="X17">
        <f>IF(AND(U17=1,N17&gt;=H17*(1-Assumptions!$C$8)),1,0)</f>
        <v/>
      </c>
      <c r="Y17">
        <f>IF(ISNUMBER(Q17),1,0)</f>
        <v/>
      </c>
      <c r="Z17">
        <f>IF(AND(K17=0,L17=0,Y17=0),1,0)</f>
        <v/>
      </c>
      <c r="AA17">
        <f>IF(AND(Z17=1,G17&lt;Assumptions!$C$6),1,0)</f>
        <v/>
      </c>
      <c r="AB17">
        <f>IF(U17=0,"",IF(Y17=1,MAX(0,Q17-G17),IF(L17=1,MAX(0,R17-G17),MAX(0,Assumptions!$C$6-G17))))</f>
        <v/>
      </c>
      <c r="AC17">
        <f>IF(Y17=1,Q17-F17,"")</f>
        <v/>
      </c>
      <c r="AD17">
        <f>IF(Y17=1,AC17^2,"")</f>
        <v/>
      </c>
      <c r="AE17" s="19">
        <f>IF(Z17=1,(H17-M17)*I17,0)</f>
        <v/>
      </c>
      <c r="AF17">
        <f>IF(G17&lt;EDATE(Assumptions!$C$6,-12)+1,"prior_12m","last_12m")</f>
        <v/>
      </c>
      <c r="AG17" s="21">
        <f>DATE(YEAR(G17),MONTH(G17),1)</f>
        <v/>
      </c>
    </row>
    <row r="18">
      <c r="A18" t="inlineStr">
        <is>
          <t>SPO-00007-1</t>
        </is>
      </c>
      <c r="B18" t="inlineStr">
        <is>
          <t>SPO-00007</t>
        </is>
      </c>
      <c r="C18" t="inlineStr">
        <is>
          <t>SUP-08</t>
        </is>
      </c>
      <c r="D18" t="inlineStr">
        <is>
          <t>MRO</t>
        </is>
      </c>
      <c r="E18" t="inlineStr">
        <is>
          <t>MRO-06</t>
        </is>
      </c>
      <c r="F18" s="17" t="n">
        <v>45569</v>
      </c>
      <c r="G18" s="17" t="n">
        <v>45580</v>
      </c>
      <c r="H18" s="18" t="n">
        <v>486</v>
      </c>
      <c r="I18" s="19" t="n">
        <v>5.89</v>
      </c>
      <c r="J18" s="19" t="n">
        <v>6.1</v>
      </c>
      <c r="K18" s="20" t="n">
        <v>0</v>
      </c>
      <c r="L18" s="20" t="n">
        <v>0</v>
      </c>
      <c r="M18" s="18" t="n">
        <v>486</v>
      </c>
      <c r="N18" s="18" t="n">
        <v>486</v>
      </c>
      <c r="O18" s="18" t="n">
        <v>0</v>
      </c>
      <c r="P18" s="17" t="n">
        <v>45577</v>
      </c>
      <c r="Q18" s="17" t="n">
        <v>45577</v>
      </c>
      <c r="R18" s="17" t="n">
        <v>45577</v>
      </c>
      <c r="S18" s="19">
        <f>H18*I18</f>
        <v/>
      </c>
      <c r="T18" s="19">
        <f>H18*J18</f>
        <v/>
      </c>
      <c r="U18">
        <f>IF(AND(K18=0,G18&lt;=Assumptions!$C$6),1,0)</f>
        <v/>
      </c>
      <c r="V18">
        <f>IF(U18=1,IF(M18&gt;0,IF(P18&lt;=G18+Assumptions!$C$7,1,0),0),0)</f>
        <v/>
      </c>
      <c r="W18">
        <f>IF(AND(U18=1,M18&gt;=H18*(1-Assumptions!$C$8)),1,0)</f>
        <v/>
      </c>
      <c r="X18">
        <f>IF(AND(U18=1,N18&gt;=H18*(1-Assumptions!$C$8)),1,0)</f>
        <v/>
      </c>
      <c r="Y18">
        <f>IF(ISNUMBER(Q18),1,0)</f>
        <v/>
      </c>
      <c r="Z18">
        <f>IF(AND(K18=0,L18=0,Y18=0),1,0)</f>
        <v/>
      </c>
      <c r="AA18">
        <f>IF(AND(Z18=1,G18&lt;Assumptions!$C$6),1,0)</f>
        <v/>
      </c>
      <c r="AB18">
        <f>IF(U18=0,"",IF(Y18=1,MAX(0,Q18-G18),IF(L18=1,MAX(0,R18-G18),MAX(0,Assumptions!$C$6-G18))))</f>
        <v/>
      </c>
      <c r="AC18">
        <f>IF(Y18=1,Q18-F18,"")</f>
        <v/>
      </c>
      <c r="AD18">
        <f>IF(Y18=1,AC18^2,"")</f>
        <v/>
      </c>
      <c r="AE18" s="19">
        <f>IF(Z18=1,(H18-M18)*I18,0)</f>
        <v/>
      </c>
      <c r="AF18">
        <f>IF(G18&lt;EDATE(Assumptions!$C$6,-12)+1,"prior_12m","last_12m")</f>
        <v/>
      </c>
      <c r="AG18" s="21">
        <f>DATE(YEAR(G18),MONTH(G18),1)</f>
        <v/>
      </c>
    </row>
    <row r="19">
      <c r="A19" t="inlineStr">
        <is>
          <t>SPO-00008-1</t>
        </is>
      </c>
      <c r="B19" t="inlineStr">
        <is>
          <t>SPO-00008</t>
        </is>
      </c>
      <c r="C19" t="inlineStr">
        <is>
          <t>SUP-06</t>
        </is>
      </c>
      <c r="D19" t="inlineStr">
        <is>
          <t>MRO</t>
        </is>
      </c>
      <c r="E19" t="inlineStr">
        <is>
          <t>MRO-03</t>
        </is>
      </c>
      <c r="F19" s="17" t="n">
        <v>45569</v>
      </c>
      <c r="G19" s="17" t="n">
        <v>45577</v>
      </c>
      <c r="H19" s="18" t="n">
        <v>415</v>
      </c>
      <c r="I19" s="19" t="n">
        <v>8.59</v>
      </c>
      <c r="J19" s="19" t="n">
        <v>8.9</v>
      </c>
      <c r="K19" s="20" t="n">
        <v>0</v>
      </c>
      <c r="L19" s="20" t="n">
        <v>0</v>
      </c>
      <c r="M19" s="18" t="n">
        <v>415</v>
      </c>
      <c r="N19" s="18" t="n">
        <v>415</v>
      </c>
      <c r="O19" s="18" t="n">
        <v>0</v>
      </c>
      <c r="P19" s="17" t="n">
        <v>45576</v>
      </c>
      <c r="Q19" s="17" t="n">
        <v>45576</v>
      </c>
      <c r="R19" s="17" t="n">
        <v>45576</v>
      </c>
      <c r="S19" s="19">
        <f>H19*I19</f>
        <v/>
      </c>
      <c r="T19" s="19">
        <f>H19*J19</f>
        <v/>
      </c>
      <c r="U19">
        <f>IF(AND(K19=0,G19&lt;=Assumptions!$C$6),1,0)</f>
        <v/>
      </c>
      <c r="V19">
        <f>IF(U19=1,IF(M19&gt;0,IF(P19&lt;=G19+Assumptions!$C$7,1,0),0),0)</f>
        <v/>
      </c>
      <c r="W19">
        <f>IF(AND(U19=1,M19&gt;=H19*(1-Assumptions!$C$8)),1,0)</f>
        <v/>
      </c>
      <c r="X19">
        <f>IF(AND(U19=1,N19&gt;=H19*(1-Assumptions!$C$8)),1,0)</f>
        <v/>
      </c>
      <c r="Y19">
        <f>IF(ISNUMBER(Q19),1,0)</f>
        <v/>
      </c>
      <c r="Z19">
        <f>IF(AND(K19=0,L19=0,Y19=0),1,0)</f>
        <v/>
      </c>
      <c r="AA19">
        <f>IF(AND(Z19=1,G19&lt;Assumptions!$C$6),1,0)</f>
        <v/>
      </c>
      <c r="AB19">
        <f>IF(U19=0,"",IF(Y19=1,MAX(0,Q19-G19),IF(L19=1,MAX(0,R19-G19),MAX(0,Assumptions!$C$6-G19))))</f>
        <v/>
      </c>
      <c r="AC19">
        <f>IF(Y19=1,Q19-F19,"")</f>
        <v/>
      </c>
      <c r="AD19">
        <f>IF(Y19=1,AC19^2,"")</f>
        <v/>
      </c>
      <c r="AE19" s="19">
        <f>IF(Z19=1,(H19-M19)*I19,0)</f>
        <v/>
      </c>
      <c r="AF19">
        <f>IF(G19&lt;EDATE(Assumptions!$C$6,-12)+1,"prior_12m","last_12m")</f>
        <v/>
      </c>
      <c r="AG19" s="21">
        <f>DATE(YEAR(G19),MONTH(G19),1)</f>
        <v/>
      </c>
    </row>
    <row r="20">
      <c r="A20" t="inlineStr">
        <is>
          <t>SPO-00008-2</t>
        </is>
      </c>
      <c r="B20" t="inlineStr">
        <is>
          <t>SPO-00008</t>
        </is>
      </c>
      <c r="C20" t="inlineStr">
        <is>
          <t>SUP-06</t>
        </is>
      </c>
      <c r="D20" t="inlineStr">
        <is>
          <t>MRO</t>
        </is>
      </c>
      <c r="E20" t="inlineStr">
        <is>
          <t>MRO-08</t>
        </is>
      </c>
      <c r="F20" s="17" t="n">
        <v>45569</v>
      </c>
      <c r="G20" s="17" t="n">
        <v>45577</v>
      </c>
      <c r="H20" s="18" t="n">
        <v>344</v>
      </c>
      <c r="I20" s="19" t="n">
        <v>7.3</v>
      </c>
      <c r="J20" s="19" t="n">
        <v>7.2</v>
      </c>
      <c r="K20" s="20" t="n">
        <v>0</v>
      </c>
      <c r="L20" s="20" t="n">
        <v>0</v>
      </c>
      <c r="M20" s="18" t="n">
        <v>344</v>
      </c>
      <c r="N20" s="18" t="n">
        <v>344</v>
      </c>
      <c r="O20" s="18" t="n">
        <v>0</v>
      </c>
      <c r="P20" s="17" t="n">
        <v>45575</v>
      </c>
      <c r="Q20" s="17" t="n">
        <v>45575</v>
      </c>
      <c r="R20" s="17" t="n">
        <v>45575</v>
      </c>
      <c r="S20" s="19">
        <f>H20*I20</f>
        <v/>
      </c>
      <c r="T20" s="19">
        <f>H20*J20</f>
        <v/>
      </c>
      <c r="U20">
        <f>IF(AND(K20=0,G20&lt;=Assumptions!$C$6),1,0)</f>
        <v/>
      </c>
      <c r="V20">
        <f>IF(U20=1,IF(M20&gt;0,IF(P20&lt;=G20+Assumptions!$C$7,1,0),0),0)</f>
        <v/>
      </c>
      <c r="W20">
        <f>IF(AND(U20=1,M20&gt;=H20*(1-Assumptions!$C$8)),1,0)</f>
        <v/>
      </c>
      <c r="X20">
        <f>IF(AND(U20=1,N20&gt;=H20*(1-Assumptions!$C$8)),1,0)</f>
        <v/>
      </c>
      <c r="Y20">
        <f>IF(ISNUMBER(Q20),1,0)</f>
        <v/>
      </c>
      <c r="Z20">
        <f>IF(AND(K20=0,L20=0,Y20=0),1,0)</f>
        <v/>
      </c>
      <c r="AA20">
        <f>IF(AND(Z20=1,G20&lt;Assumptions!$C$6),1,0)</f>
        <v/>
      </c>
      <c r="AB20">
        <f>IF(U20=0,"",IF(Y20=1,MAX(0,Q20-G20),IF(L20=1,MAX(0,R20-G20),MAX(0,Assumptions!$C$6-G20))))</f>
        <v/>
      </c>
      <c r="AC20">
        <f>IF(Y20=1,Q20-F20,"")</f>
        <v/>
      </c>
      <c r="AD20">
        <f>IF(Y20=1,AC20^2,"")</f>
        <v/>
      </c>
      <c r="AE20" s="19">
        <f>IF(Z20=1,(H20-M20)*I20,0)</f>
        <v/>
      </c>
      <c r="AF20">
        <f>IF(G20&lt;EDATE(Assumptions!$C$6,-12)+1,"prior_12m","last_12m")</f>
        <v/>
      </c>
      <c r="AG20" s="21">
        <f>DATE(YEAR(G20),MONTH(G20),1)</f>
        <v/>
      </c>
    </row>
    <row r="21">
      <c r="A21" t="inlineStr">
        <is>
          <t>SPO-00009-1</t>
        </is>
      </c>
      <c r="B21" t="inlineStr">
        <is>
          <t>SPO-00009</t>
        </is>
      </c>
      <c r="C21" t="inlineStr">
        <is>
          <t>SUP-01</t>
        </is>
      </c>
      <c r="D21" t="inlineStr">
        <is>
          <t>ELEC</t>
        </is>
      </c>
      <c r="E21" t="inlineStr">
        <is>
          <t>ELEC-03</t>
        </is>
      </c>
      <c r="F21" s="17" t="n">
        <v>45569</v>
      </c>
      <c r="G21" s="17" t="n">
        <v>45587</v>
      </c>
      <c r="H21" s="18" t="n">
        <v>24</v>
      </c>
      <c r="I21" s="19" t="n">
        <v>100.42</v>
      </c>
      <c r="J21" s="19" t="n">
        <v>96</v>
      </c>
      <c r="K21" s="20" t="n">
        <v>0</v>
      </c>
      <c r="L21" s="20" t="n">
        <v>0</v>
      </c>
      <c r="M21" s="18" t="n">
        <v>24</v>
      </c>
      <c r="N21" s="18" t="n">
        <v>24</v>
      </c>
      <c r="O21" s="18" t="n">
        <v>0</v>
      </c>
      <c r="P21" s="17" t="n">
        <v>45586</v>
      </c>
      <c r="Q21" s="17" t="n">
        <v>45586</v>
      </c>
      <c r="R21" s="17" t="n">
        <v>45586</v>
      </c>
      <c r="S21" s="19">
        <f>H21*I21</f>
        <v/>
      </c>
      <c r="T21" s="19">
        <f>H21*J21</f>
        <v/>
      </c>
      <c r="U21">
        <f>IF(AND(K21=0,G21&lt;=Assumptions!$C$6),1,0)</f>
        <v/>
      </c>
      <c r="V21">
        <f>IF(U21=1,IF(M21&gt;0,IF(P21&lt;=G21+Assumptions!$C$7,1,0),0),0)</f>
        <v/>
      </c>
      <c r="W21">
        <f>IF(AND(U21=1,M21&gt;=H21*(1-Assumptions!$C$8)),1,0)</f>
        <v/>
      </c>
      <c r="X21">
        <f>IF(AND(U21=1,N21&gt;=H21*(1-Assumptions!$C$8)),1,0)</f>
        <v/>
      </c>
      <c r="Y21">
        <f>IF(ISNUMBER(Q21),1,0)</f>
        <v/>
      </c>
      <c r="Z21">
        <f>IF(AND(K21=0,L21=0,Y21=0),1,0)</f>
        <v/>
      </c>
      <c r="AA21">
        <f>IF(AND(Z21=1,G21&lt;Assumptions!$C$6),1,0)</f>
        <v/>
      </c>
      <c r="AB21">
        <f>IF(U21=0,"",IF(Y21=1,MAX(0,Q21-G21),IF(L21=1,MAX(0,R21-G21),MAX(0,Assumptions!$C$6-G21))))</f>
        <v/>
      </c>
      <c r="AC21">
        <f>IF(Y21=1,Q21-F21,"")</f>
        <v/>
      </c>
      <c r="AD21">
        <f>IF(Y21=1,AC21^2,"")</f>
        <v/>
      </c>
      <c r="AE21" s="19">
        <f>IF(Z21=1,(H21-M21)*I21,0)</f>
        <v/>
      </c>
      <c r="AF21">
        <f>IF(G21&lt;EDATE(Assumptions!$C$6,-12)+1,"prior_12m","last_12m")</f>
        <v/>
      </c>
      <c r="AG21" s="21">
        <f>DATE(YEAR(G21),MONTH(G21),1)</f>
        <v/>
      </c>
    </row>
    <row r="22">
      <c r="A22" t="inlineStr">
        <is>
          <t>SPO-00009-2</t>
        </is>
      </c>
      <c r="B22" t="inlineStr">
        <is>
          <t>SPO-00009</t>
        </is>
      </c>
      <c r="C22" t="inlineStr">
        <is>
          <t>SUP-01</t>
        </is>
      </c>
      <c r="D22" t="inlineStr">
        <is>
          <t>ELEC</t>
        </is>
      </c>
      <c r="E22" t="inlineStr">
        <is>
          <t>ELEC-01</t>
        </is>
      </c>
      <c r="F22" s="17" t="n">
        <v>45569</v>
      </c>
      <c r="G22" s="17" t="n">
        <v>45587</v>
      </c>
      <c r="H22" s="18" t="n">
        <v>56</v>
      </c>
      <c r="I22" s="19" t="n">
        <v>38.16</v>
      </c>
      <c r="J22" s="19" t="n">
        <v>38</v>
      </c>
      <c r="K22" s="20" t="n">
        <v>0</v>
      </c>
      <c r="L22" s="20" t="n">
        <v>0</v>
      </c>
      <c r="M22" s="18" t="n">
        <v>56</v>
      </c>
      <c r="N22" s="18" t="n">
        <v>56</v>
      </c>
      <c r="O22" s="18" t="n">
        <v>0</v>
      </c>
      <c r="P22" s="17" t="n">
        <v>45586</v>
      </c>
      <c r="Q22" s="17" t="n">
        <v>45586</v>
      </c>
      <c r="R22" s="17" t="n">
        <v>45586</v>
      </c>
      <c r="S22" s="19">
        <f>H22*I22</f>
        <v/>
      </c>
      <c r="T22" s="19">
        <f>H22*J22</f>
        <v/>
      </c>
      <c r="U22">
        <f>IF(AND(K22=0,G22&lt;=Assumptions!$C$6),1,0)</f>
        <v/>
      </c>
      <c r="V22">
        <f>IF(U22=1,IF(M22&gt;0,IF(P22&lt;=G22+Assumptions!$C$7,1,0),0),0)</f>
        <v/>
      </c>
      <c r="W22">
        <f>IF(AND(U22=1,M22&gt;=H22*(1-Assumptions!$C$8)),1,0)</f>
        <v/>
      </c>
      <c r="X22">
        <f>IF(AND(U22=1,N22&gt;=H22*(1-Assumptions!$C$8)),1,0)</f>
        <v/>
      </c>
      <c r="Y22">
        <f>IF(ISNUMBER(Q22),1,0)</f>
        <v/>
      </c>
      <c r="Z22">
        <f>IF(AND(K22=0,L22=0,Y22=0),1,0)</f>
        <v/>
      </c>
      <c r="AA22">
        <f>IF(AND(Z22=1,G22&lt;Assumptions!$C$6),1,0)</f>
        <v/>
      </c>
      <c r="AB22">
        <f>IF(U22=0,"",IF(Y22=1,MAX(0,Q22-G22),IF(L22=1,MAX(0,R22-G22),MAX(0,Assumptions!$C$6-G22))))</f>
        <v/>
      </c>
      <c r="AC22">
        <f>IF(Y22=1,Q22-F22,"")</f>
        <v/>
      </c>
      <c r="AD22">
        <f>IF(Y22=1,AC22^2,"")</f>
        <v/>
      </c>
      <c r="AE22" s="19">
        <f>IF(Z22=1,(H22-M22)*I22,0)</f>
        <v/>
      </c>
      <c r="AF22">
        <f>IF(G22&lt;EDATE(Assumptions!$C$6,-12)+1,"prior_12m","last_12m")</f>
        <v/>
      </c>
      <c r="AG22" s="21">
        <f>DATE(YEAR(G22),MONTH(G22),1)</f>
        <v/>
      </c>
    </row>
    <row r="23">
      <c r="A23" t="inlineStr">
        <is>
          <t>SPO-00009-3</t>
        </is>
      </c>
      <c r="B23" t="inlineStr">
        <is>
          <t>SPO-00009</t>
        </is>
      </c>
      <c r="C23" t="inlineStr">
        <is>
          <t>SUP-01</t>
        </is>
      </c>
      <c r="D23" t="inlineStr">
        <is>
          <t>ELEC</t>
        </is>
      </c>
      <c r="E23" t="inlineStr">
        <is>
          <t>ELEC-06</t>
        </is>
      </c>
      <c r="F23" s="17" t="n">
        <v>45569</v>
      </c>
      <c r="G23" s="17" t="n">
        <v>45587</v>
      </c>
      <c r="H23" s="18" t="n">
        <v>48</v>
      </c>
      <c r="I23" s="19" t="n">
        <v>153.53</v>
      </c>
      <c r="J23" s="19" t="n">
        <v>145</v>
      </c>
      <c r="K23" s="20" t="n">
        <v>0</v>
      </c>
      <c r="L23" s="20" t="n">
        <v>0</v>
      </c>
      <c r="M23" s="18" t="n">
        <v>48</v>
      </c>
      <c r="N23" s="18" t="n">
        <v>48</v>
      </c>
      <c r="O23" s="18" t="n">
        <v>0</v>
      </c>
      <c r="P23" s="17" t="n">
        <v>45583</v>
      </c>
      <c r="Q23" s="17" t="n">
        <v>45583</v>
      </c>
      <c r="R23" s="17" t="n">
        <v>45583</v>
      </c>
      <c r="S23" s="19">
        <f>H23*I23</f>
        <v/>
      </c>
      <c r="T23" s="19">
        <f>H23*J23</f>
        <v/>
      </c>
      <c r="U23">
        <f>IF(AND(K23=0,G23&lt;=Assumptions!$C$6),1,0)</f>
        <v/>
      </c>
      <c r="V23">
        <f>IF(U23=1,IF(M23&gt;0,IF(P23&lt;=G23+Assumptions!$C$7,1,0),0),0)</f>
        <v/>
      </c>
      <c r="W23">
        <f>IF(AND(U23=1,M23&gt;=H23*(1-Assumptions!$C$8)),1,0)</f>
        <v/>
      </c>
      <c r="X23">
        <f>IF(AND(U23=1,N23&gt;=H23*(1-Assumptions!$C$8)),1,0)</f>
        <v/>
      </c>
      <c r="Y23">
        <f>IF(ISNUMBER(Q23),1,0)</f>
        <v/>
      </c>
      <c r="Z23">
        <f>IF(AND(K23=0,L23=0,Y23=0),1,0)</f>
        <v/>
      </c>
      <c r="AA23">
        <f>IF(AND(Z23=1,G23&lt;Assumptions!$C$6),1,0)</f>
        <v/>
      </c>
      <c r="AB23">
        <f>IF(U23=0,"",IF(Y23=1,MAX(0,Q23-G23),IF(L23=1,MAX(0,R23-G23),MAX(0,Assumptions!$C$6-G23))))</f>
        <v/>
      </c>
      <c r="AC23">
        <f>IF(Y23=1,Q23-F23,"")</f>
        <v/>
      </c>
      <c r="AD23">
        <f>IF(Y23=1,AC23^2,"")</f>
        <v/>
      </c>
      <c r="AE23" s="19">
        <f>IF(Z23=1,(H23-M23)*I23,0)</f>
        <v/>
      </c>
      <c r="AF23">
        <f>IF(G23&lt;EDATE(Assumptions!$C$6,-12)+1,"prior_12m","last_12m")</f>
        <v/>
      </c>
      <c r="AG23" s="21">
        <f>DATE(YEAR(G23),MONTH(G23),1)</f>
        <v/>
      </c>
    </row>
    <row r="24">
      <c r="A24" t="inlineStr">
        <is>
          <t>SPO-00009-4</t>
        </is>
      </c>
      <c r="B24" t="inlineStr">
        <is>
          <t>SPO-00009</t>
        </is>
      </c>
      <c r="C24" t="inlineStr">
        <is>
          <t>SUP-01</t>
        </is>
      </c>
      <c r="D24" t="inlineStr">
        <is>
          <t>ELEC</t>
        </is>
      </c>
      <c r="E24" t="inlineStr">
        <is>
          <t>ELEC-05</t>
        </is>
      </c>
      <c r="F24" s="17" t="n">
        <v>45569</v>
      </c>
      <c r="G24" s="17" t="n">
        <v>45587</v>
      </c>
      <c r="H24" s="18" t="n">
        <v>234</v>
      </c>
      <c r="I24" s="19" t="n">
        <v>11.59</v>
      </c>
      <c r="J24" s="19" t="n">
        <v>11.5</v>
      </c>
      <c r="K24" s="20" t="n">
        <v>0</v>
      </c>
      <c r="L24" s="20" t="n">
        <v>0</v>
      </c>
      <c r="M24" s="18" t="n">
        <v>234</v>
      </c>
      <c r="N24" s="18" t="n">
        <v>234</v>
      </c>
      <c r="O24" s="18" t="n">
        <v>0</v>
      </c>
      <c r="P24" s="17" t="n">
        <v>45583</v>
      </c>
      <c r="Q24" s="17" t="n">
        <v>45583</v>
      </c>
      <c r="R24" s="17" t="n">
        <v>45583</v>
      </c>
      <c r="S24" s="19">
        <f>H24*I24</f>
        <v/>
      </c>
      <c r="T24" s="19">
        <f>H24*J24</f>
        <v/>
      </c>
      <c r="U24">
        <f>IF(AND(K24=0,G24&lt;=Assumptions!$C$6),1,0)</f>
        <v/>
      </c>
      <c r="V24">
        <f>IF(U24=1,IF(M24&gt;0,IF(P24&lt;=G24+Assumptions!$C$7,1,0),0),0)</f>
        <v/>
      </c>
      <c r="W24">
        <f>IF(AND(U24=1,M24&gt;=H24*(1-Assumptions!$C$8)),1,0)</f>
        <v/>
      </c>
      <c r="X24">
        <f>IF(AND(U24=1,N24&gt;=H24*(1-Assumptions!$C$8)),1,0)</f>
        <v/>
      </c>
      <c r="Y24">
        <f>IF(ISNUMBER(Q24),1,0)</f>
        <v/>
      </c>
      <c r="Z24">
        <f>IF(AND(K24=0,L24=0,Y24=0),1,0)</f>
        <v/>
      </c>
      <c r="AA24">
        <f>IF(AND(Z24=1,G24&lt;Assumptions!$C$6),1,0)</f>
        <v/>
      </c>
      <c r="AB24">
        <f>IF(U24=0,"",IF(Y24=1,MAX(0,Q24-G24),IF(L24=1,MAX(0,R24-G24),MAX(0,Assumptions!$C$6-G24))))</f>
        <v/>
      </c>
      <c r="AC24">
        <f>IF(Y24=1,Q24-F24,"")</f>
        <v/>
      </c>
      <c r="AD24">
        <f>IF(Y24=1,AC24^2,"")</f>
        <v/>
      </c>
      <c r="AE24" s="19">
        <f>IF(Z24=1,(H24-M24)*I24,0)</f>
        <v/>
      </c>
      <c r="AF24">
        <f>IF(G24&lt;EDATE(Assumptions!$C$6,-12)+1,"prior_12m","last_12m")</f>
        <v/>
      </c>
      <c r="AG24" s="21">
        <f>DATE(YEAR(G24),MONTH(G24),1)</f>
        <v/>
      </c>
    </row>
    <row r="25">
      <c r="A25" t="inlineStr">
        <is>
          <t>SPO-00010-1</t>
        </is>
      </c>
      <c r="B25" t="inlineStr">
        <is>
          <t>SPO-00010</t>
        </is>
      </c>
      <c r="C25" t="inlineStr">
        <is>
          <t>SUP-06</t>
        </is>
      </c>
      <c r="D25" t="inlineStr">
        <is>
          <t>MRO</t>
        </is>
      </c>
      <c r="E25" t="inlineStr">
        <is>
          <t>MRO-03</t>
        </is>
      </c>
      <c r="F25" s="17" t="n">
        <v>45569</v>
      </c>
      <c r="G25" s="17" t="n">
        <v>45577</v>
      </c>
      <c r="H25" s="18" t="n">
        <v>131</v>
      </c>
      <c r="I25" s="19" t="n">
        <v>8.720000000000001</v>
      </c>
      <c r="J25" s="19" t="n">
        <v>8.9</v>
      </c>
      <c r="K25" s="20" t="n">
        <v>0</v>
      </c>
      <c r="L25" s="20" t="n">
        <v>0</v>
      </c>
      <c r="M25" s="18" t="n">
        <v>131</v>
      </c>
      <c r="N25" s="18" t="n">
        <v>131</v>
      </c>
      <c r="O25" s="18" t="n">
        <v>0</v>
      </c>
      <c r="P25" s="17" t="n">
        <v>45574</v>
      </c>
      <c r="Q25" s="17" t="n">
        <v>45574</v>
      </c>
      <c r="R25" s="17" t="n">
        <v>45574</v>
      </c>
      <c r="S25" s="19">
        <f>H25*I25</f>
        <v/>
      </c>
      <c r="T25" s="19">
        <f>H25*J25</f>
        <v/>
      </c>
      <c r="U25">
        <f>IF(AND(K25=0,G25&lt;=Assumptions!$C$6),1,0)</f>
        <v/>
      </c>
      <c r="V25">
        <f>IF(U25=1,IF(M25&gt;0,IF(P25&lt;=G25+Assumptions!$C$7,1,0),0),0)</f>
        <v/>
      </c>
      <c r="W25">
        <f>IF(AND(U25=1,M25&gt;=H25*(1-Assumptions!$C$8)),1,0)</f>
        <v/>
      </c>
      <c r="X25">
        <f>IF(AND(U25=1,N25&gt;=H25*(1-Assumptions!$C$8)),1,0)</f>
        <v/>
      </c>
      <c r="Y25">
        <f>IF(ISNUMBER(Q25),1,0)</f>
        <v/>
      </c>
      <c r="Z25">
        <f>IF(AND(K25=0,L25=0,Y25=0),1,0)</f>
        <v/>
      </c>
      <c r="AA25">
        <f>IF(AND(Z25=1,G25&lt;Assumptions!$C$6),1,0)</f>
        <v/>
      </c>
      <c r="AB25">
        <f>IF(U25=0,"",IF(Y25=1,MAX(0,Q25-G25),IF(L25=1,MAX(0,R25-G25),MAX(0,Assumptions!$C$6-G25))))</f>
        <v/>
      </c>
      <c r="AC25">
        <f>IF(Y25=1,Q25-F25,"")</f>
        <v/>
      </c>
      <c r="AD25">
        <f>IF(Y25=1,AC25^2,"")</f>
        <v/>
      </c>
      <c r="AE25" s="19">
        <f>IF(Z25=1,(H25-M25)*I25,0)</f>
        <v/>
      </c>
      <c r="AF25">
        <f>IF(G25&lt;EDATE(Assumptions!$C$6,-12)+1,"prior_12m","last_12m")</f>
        <v/>
      </c>
      <c r="AG25" s="21">
        <f>DATE(YEAR(G25),MONTH(G25),1)</f>
        <v/>
      </c>
    </row>
    <row r="26">
      <c r="A26" t="inlineStr">
        <is>
          <t>SPO-00010-2</t>
        </is>
      </c>
      <c r="B26" t="inlineStr">
        <is>
          <t>SPO-00010</t>
        </is>
      </c>
      <c r="C26" t="inlineStr">
        <is>
          <t>SUP-06</t>
        </is>
      </c>
      <c r="D26" t="inlineStr">
        <is>
          <t>MRO</t>
        </is>
      </c>
      <c r="E26" t="inlineStr">
        <is>
          <t>MRO-08</t>
        </is>
      </c>
      <c r="F26" s="17" t="n">
        <v>45569</v>
      </c>
      <c r="G26" s="17" t="n">
        <v>45577</v>
      </c>
      <c r="H26" s="18" t="n">
        <v>341</v>
      </c>
      <c r="I26" s="19" t="n">
        <v>7.49</v>
      </c>
      <c r="J26" s="19" t="n">
        <v>7.2</v>
      </c>
      <c r="K26" s="20" t="n">
        <v>0</v>
      </c>
      <c r="L26" s="20" t="n">
        <v>0</v>
      </c>
      <c r="M26" s="18" t="n">
        <v>341</v>
      </c>
      <c r="N26" s="18" t="n">
        <v>341</v>
      </c>
      <c r="O26" s="18" t="n">
        <v>0</v>
      </c>
      <c r="P26" s="17" t="n">
        <v>45574</v>
      </c>
      <c r="Q26" s="17" t="n">
        <v>45574</v>
      </c>
      <c r="R26" s="17" t="n">
        <v>45574</v>
      </c>
      <c r="S26" s="19">
        <f>H26*I26</f>
        <v/>
      </c>
      <c r="T26" s="19">
        <f>H26*J26</f>
        <v/>
      </c>
      <c r="U26">
        <f>IF(AND(K26=0,G26&lt;=Assumptions!$C$6),1,0)</f>
        <v/>
      </c>
      <c r="V26">
        <f>IF(U26=1,IF(M26&gt;0,IF(P26&lt;=G26+Assumptions!$C$7,1,0),0),0)</f>
        <v/>
      </c>
      <c r="W26">
        <f>IF(AND(U26=1,M26&gt;=H26*(1-Assumptions!$C$8)),1,0)</f>
        <v/>
      </c>
      <c r="X26">
        <f>IF(AND(U26=1,N26&gt;=H26*(1-Assumptions!$C$8)),1,0)</f>
        <v/>
      </c>
      <c r="Y26">
        <f>IF(ISNUMBER(Q26),1,0)</f>
        <v/>
      </c>
      <c r="Z26">
        <f>IF(AND(K26=0,L26=0,Y26=0),1,0)</f>
        <v/>
      </c>
      <c r="AA26">
        <f>IF(AND(Z26=1,G26&lt;Assumptions!$C$6),1,0)</f>
        <v/>
      </c>
      <c r="AB26">
        <f>IF(U26=0,"",IF(Y26=1,MAX(0,Q26-G26),IF(L26=1,MAX(0,R26-G26),MAX(0,Assumptions!$C$6-G26))))</f>
        <v/>
      </c>
      <c r="AC26">
        <f>IF(Y26=1,Q26-F26,"")</f>
        <v/>
      </c>
      <c r="AD26">
        <f>IF(Y26=1,AC26^2,"")</f>
        <v/>
      </c>
      <c r="AE26" s="19">
        <f>IF(Z26=1,(H26-M26)*I26,0)</f>
        <v/>
      </c>
      <c r="AF26">
        <f>IF(G26&lt;EDATE(Assumptions!$C$6,-12)+1,"prior_12m","last_12m")</f>
        <v/>
      </c>
      <c r="AG26" s="21">
        <f>DATE(YEAR(G26),MONTH(G26),1)</f>
        <v/>
      </c>
    </row>
    <row r="27">
      <c r="A27" t="inlineStr">
        <is>
          <t>SPO-00011-1</t>
        </is>
      </c>
      <c r="B27" t="inlineStr">
        <is>
          <t>SPO-00011</t>
        </is>
      </c>
      <c r="C27" t="inlineStr">
        <is>
          <t>SUP-09</t>
        </is>
      </c>
      <c r="D27" t="inlineStr">
        <is>
          <t>CHEM</t>
        </is>
      </c>
      <c r="E27" t="inlineStr">
        <is>
          <t>CHEM-03</t>
        </is>
      </c>
      <c r="F27" s="17" t="n">
        <v>45570</v>
      </c>
      <c r="G27" s="17" t="n">
        <v>45584</v>
      </c>
      <c r="H27" s="18" t="n">
        <v>7</v>
      </c>
      <c r="I27" s="19" t="n">
        <v>254.87</v>
      </c>
      <c r="J27" s="19" t="n">
        <v>265</v>
      </c>
      <c r="K27" s="20" t="n">
        <v>0</v>
      </c>
      <c r="L27" s="20" t="n">
        <v>0</v>
      </c>
      <c r="M27" s="18" t="n">
        <v>7</v>
      </c>
      <c r="N27" s="18" t="n">
        <v>7</v>
      </c>
      <c r="O27" s="18" t="n">
        <v>0</v>
      </c>
      <c r="P27" s="17" t="n">
        <v>45580</v>
      </c>
      <c r="Q27" s="17" t="n">
        <v>45580</v>
      </c>
      <c r="R27" s="17" t="n">
        <v>45580</v>
      </c>
      <c r="S27" s="19">
        <f>H27*I27</f>
        <v/>
      </c>
      <c r="T27" s="19">
        <f>H27*J27</f>
        <v/>
      </c>
      <c r="U27">
        <f>IF(AND(K27=0,G27&lt;=Assumptions!$C$6),1,0)</f>
        <v/>
      </c>
      <c r="V27">
        <f>IF(U27=1,IF(M27&gt;0,IF(P27&lt;=G27+Assumptions!$C$7,1,0),0),0)</f>
        <v/>
      </c>
      <c r="W27">
        <f>IF(AND(U27=1,M27&gt;=H27*(1-Assumptions!$C$8)),1,0)</f>
        <v/>
      </c>
      <c r="X27">
        <f>IF(AND(U27=1,N27&gt;=H27*(1-Assumptions!$C$8)),1,0)</f>
        <v/>
      </c>
      <c r="Y27">
        <f>IF(ISNUMBER(Q27),1,0)</f>
        <v/>
      </c>
      <c r="Z27">
        <f>IF(AND(K27=0,L27=0,Y27=0),1,0)</f>
        <v/>
      </c>
      <c r="AA27">
        <f>IF(AND(Z27=1,G27&lt;Assumptions!$C$6),1,0)</f>
        <v/>
      </c>
      <c r="AB27">
        <f>IF(U27=0,"",IF(Y27=1,MAX(0,Q27-G27),IF(L27=1,MAX(0,R27-G27),MAX(0,Assumptions!$C$6-G27))))</f>
        <v/>
      </c>
      <c r="AC27">
        <f>IF(Y27=1,Q27-F27,"")</f>
        <v/>
      </c>
      <c r="AD27">
        <f>IF(Y27=1,AC27^2,"")</f>
        <v/>
      </c>
      <c r="AE27" s="19">
        <f>IF(Z27=1,(H27-M27)*I27,0)</f>
        <v/>
      </c>
      <c r="AF27">
        <f>IF(G27&lt;EDATE(Assumptions!$C$6,-12)+1,"prior_12m","last_12m")</f>
        <v/>
      </c>
      <c r="AG27" s="21">
        <f>DATE(YEAR(G27),MONTH(G27),1)</f>
        <v/>
      </c>
    </row>
    <row r="28">
      <c r="A28" t="inlineStr">
        <is>
          <t>SPO-00012-1</t>
        </is>
      </c>
      <c r="B28" t="inlineStr">
        <is>
          <t>SPO-00012</t>
        </is>
      </c>
      <c r="C28" t="inlineStr">
        <is>
          <t>SUP-04</t>
        </is>
      </c>
      <c r="D28" t="inlineStr">
        <is>
          <t>FLEET</t>
        </is>
      </c>
      <c r="E28" t="inlineStr">
        <is>
          <t>FLEET-08</t>
        </is>
      </c>
      <c r="F28" s="17" t="n">
        <v>45570</v>
      </c>
      <c r="G28" s="17" t="n">
        <v>45583</v>
      </c>
      <c r="H28" s="18" t="n">
        <v>167</v>
      </c>
      <c r="I28" s="19" t="n">
        <v>6.43</v>
      </c>
      <c r="J28" s="19" t="n">
        <v>6.4</v>
      </c>
      <c r="K28" s="20" t="n">
        <v>0</v>
      </c>
      <c r="L28" s="20" t="n">
        <v>0</v>
      </c>
      <c r="M28" s="18" t="n">
        <v>167</v>
      </c>
      <c r="N28" s="18" t="n">
        <v>167</v>
      </c>
      <c r="O28" s="18" t="n">
        <v>0</v>
      </c>
      <c r="P28" s="17" t="n">
        <v>45582</v>
      </c>
      <c r="Q28" s="17" t="n">
        <v>45582</v>
      </c>
      <c r="R28" s="17" t="n">
        <v>45582</v>
      </c>
      <c r="S28" s="19">
        <f>H28*I28</f>
        <v/>
      </c>
      <c r="T28" s="19">
        <f>H28*J28</f>
        <v/>
      </c>
      <c r="U28">
        <f>IF(AND(K28=0,G28&lt;=Assumptions!$C$6),1,0)</f>
        <v/>
      </c>
      <c r="V28">
        <f>IF(U28=1,IF(M28&gt;0,IF(P28&lt;=G28+Assumptions!$C$7,1,0),0),0)</f>
        <v/>
      </c>
      <c r="W28">
        <f>IF(AND(U28=1,M28&gt;=H28*(1-Assumptions!$C$8)),1,0)</f>
        <v/>
      </c>
      <c r="X28">
        <f>IF(AND(U28=1,N28&gt;=H28*(1-Assumptions!$C$8)),1,0)</f>
        <v/>
      </c>
      <c r="Y28">
        <f>IF(ISNUMBER(Q28),1,0)</f>
        <v/>
      </c>
      <c r="Z28">
        <f>IF(AND(K28=0,L28=0,Y28=0),1,0)</f>
        <v/>
      </c>
      <c r="AA28">
        <f>IF(AND(Z28=1,G28&lt;Assumptions!$C$6),1,0)</f>
        <v/>
      </c>
      <c r="AB28">
        <f>IF(U28=0,"",IF(Y28=1,MAX(0,Q28-G28),IF(L28=1,MAX(0,R28-G28),MAX(0,Assumptions!$C$6-G28))))</f>
        <v/>
      </c>
      <c r="AC28">
        <f>IF(Y28=1,Q28-F28,"")</f>
        <v/>
      </c>
      <c r="AD28">
        <f>IF(Y28=1,AC28^2,"")</f>
        <v/>
      </c>
      <c r="AE28" s="19">
        <f>IF(Z28=1,(H28-M28)*I28,0)</f>
        <v/>
      </c>
      <c r="AF28">
        <f>IF(G28&lt;EDATE(Assumptions!$C$6,-12)+1,"prior_12m","last_12m")</f>
        <v/>
      </c>
      <c r="AG28" s="21">
        <f>DATE(YEAR(G28),MONTH(G28),1)</f>
        <v/>
      </c>
    </row>
    <row r="29">
      <c r="A29" t="inlineStr">
        <is>
          <t>SPO-00012-2</t>
        </is>
      </c>
      <c r="B29" t="inlineStr">
        <is>
          <t>SPO-00012</t>
        </is>
      </c>
      <c r="C29" t="inlineStr">
        <is>
          <t>SUP-04</t>
        </is>
      </c>
      <c r="D29" t="inlineStr">
        <is>
          <t>FLEET</t>
        </is>
      </c>
      <c r="E29" t="inlineStr">
        <is>
          <t>FLEET-03</t>
        </is>
      </c>
      <c r="F29" s="17" t="n">
        <v>45570</v>
      </c>
      <c r="G29" s="17" t="n">
        <v>45583</v>
      </c>
      <c r="H29" s="18" t="n">
        <v>33</v>
      </c>
      <c r="I29" s="19" t="n">
        <v>21.28</v>
      </c>
      <c r="J29" s="19" t="n">
        <v>21</v>
      </c>
      <c r="K29" s="20" t="n">
        <v>0</v>
      </c>
      <c r="L29" s="20" t="n">
        <v>0</v>
      </c>
      <c r="M29" s="18" t="n">
        <v>33</v>
      </c>
      <c r="N29" s="18" t="n">
        <v>33</v>
      </c>
      <c r="O29" s="18" t="n">
        <v>0</v>
      </c>
      <c r="P29" s="17" t="n">
        <v>45579</v>
      </c>
      <c r="Q29" s="17" t="n">
        <v>45579</v>
      </c>
      <c r="R29" s="17" t="n">
        <v>45579</v>
      </c>
      <c r="S29" s="19">
        <f>H29*I29</f>
        <v/>
      </c>
      <c r="T29" s="19">
        <f>H29*J29</f>
        <v/>
      </c>
      <c r="U29">
        <f>IF(AND(K29=0,G29&lt;=Assumptions!$C$6),1,0)</f>
        <v/>
      </c>
      <c r="V29">
        <f>IF(U29=1,IF(M29&gt;0,IF(P29&lt;=G29+Assumptions!$C$7,1,0),0),0)</f>
        <v/>
      </c>
      <c r="W29">
        <f>IF(AND(U29=1,M29&gt;=H29*(1-Assumptions!$C$8)),1,0)</f>
        <v/>
      </c>
      <c r="X29">
        <f>IF(AND(U29=1,N29&gt;=H29*(1-Assumptions!$C$8)),1,0)</f>
        <v/>
      </c>
      <c r="Y29">
        <f>IF(ISNUMBER(Q29),1,0)</f>
        <v/>
      </c>
      <c r="Z29">
        <f>IF(AND(K29=0,L29=0,Y29=0),1,0)</f>
        <v/>
      </c>
      <c r="AA29">
        <f>IF(AND(Z29=1,G29&lt;Assumptions!$C$6),1,0)</f>
        <v/>
      </c>
      <c r="AB29">
        <f>IF(U29=0,"",IF(Y29=1,MAX(0,Q29-G29),IF(L29=1,MAX(0,R29-G29),MAX(0,Assumptions!$C$6-G29))))</f>
        <v/>
      </c>
      <c r="AC29">
        <f>IF(Y29=1,Q29-F29,"")</f>
        <v/>
      </c>
      <c r="AD29">
        <f>IF(Y29=1,AC29^2,"")</f>
        <v/>
      </c>
      <c r="AE29" s="19">
        <f>IF(Z29=1,(H29-M29)*I29,0)</f>
        <v/>
      </c>
      <c r="AF29">
        <f>IF(G29&lt;EDATE(Assumptions!$C$6,-12)+1,"prior_12m","last_12m")</f>
        <v/>
      </c>
      <c r="AG29" s="21">
        <f>DATE(YEAR(G29),MONTH(G29),1)</f>
        <v/>
      </c>
    </row>
    <row r="30">
      <c r="A30" t="inlineStr">
        <is>
          <t>SPO-00013-1</t>
        </is>
      </c>
      <c r="B30" t="inlineStr">
        <is>
          <t>SPO-00013</t>
        </is>
      </c>
      <c r="C30" t="inlineStr">
        <is>
          <t>SUP-05</t>
        </is>
      </c>
      <c r="D30" t="inlineStr">
        <is>
          <t>FLEET</t>
        </is>
      </c>
      <c r="E30" t="inlineStr">
        <is>
          <t>FLEET-04</t>
        </is>
      </c>
      <c r="F30" s="17" t="n">
        <v>45570</v>
      </c>
      <c r="G30" s="17" t="n">
        <v>45584</v>
      </c>
      <c r="H30" s="18" t="n">
        <v>255</v>
      </c>
      <c r="I30" s="19" t="n">
        <v>9.4</v>
      </c>
      <c r="J30" s="19" t="n">
        <v>9</v>
      </c>
      <c r="K30" s="20" t="n">
        <v>0</v>
      </c>
      <c r="L30" s="20" t="n">
        <v>0</v>
      </c>
      <c r="M30" s="18" t="n">
        <v>255</v>
      </c>
      <c r="N30" s="18" t="n">
        <v>255</v>
      </c>
      <c r="O30" s="18" t="n">
        <v>0</v>
      </c>
      <c r="P30" s="17" t="n">
        <v>45580</v>
      </c>
      <c r="Q30" s="17" t="n">
        <v>45580</v>
      </c>
      <c r="R30" s="17" t="n">
        <v>45580</v>
      </c>
      <c r="S30" s="19">
        <f>H30*I30</f>
        <v/>
      </c>
      <c r="T30" s="19">
        <f>H30*J30</f>
        <v/>
      </c>
      <c r="U30">
        <f>IF(AND(K30=0,G30&lt;=Assumptions!$C$6),1,0)</f>
        <v/>
      </c>
      <c r="V30">
        <f>IF(U30=1,IF(M30&gt;0,IF(P30&lt;=G30+Assumptions!$C$7,1,0),0),0)</f>
        <v/>
      </c>
      <c r="W30">
        <f>IF(AND(U30=1,M30&gt;=H30*(1-Assumptions!$C$8)),1,0)</f>
        <v/>
      </c>
      <c r="X30">
        <f>IF(AND(U30=1,N30&gt;=H30*(1-Assumptions!$C$8)),1,0)</f>
        <v/>
      </c>
      <c r="Y30">
        <f>IF(ISNUMBER(Q30),1,0)</f>
        <v/>
      </c>
      <c r="Z30">
        <f>IF(AND(K30=0,L30=0,Y30=0),1,0)</f>
        <v/>
      </c>
      <c r="AA30">
        <f>IF(AND(Z30=1,G30&lt;Assumptions!$C$6),1,0)</f>
        <v/>
      </c>
      <c r="AB30">
        <f>IF(U30=0,"",IF(Y30=1,MAX(0,Q30-G30),IF(L30=1,MAX(0,R30-G30),MAX(0,Assumptions!$C$6-G30))))</f>
        <v/>
      </c>
      <c r="AC30">
        <f>IF(Y30=1,Q30-F30,"")</f>
        <v/>
      </c>
      <c r="AD30">
        <f>IF(Y30=1,AC30^2,"")</f>
        <v/>
      </c>
      <c r="AE30" s="19">
        <f>IF(Z30=1,(H30-M30)*I30,0)</f>
        <v/>
      </c>
      <c r="AF30">
        <f>IF(G30&lt;EDATE(Assumptions!$C$6,-12)+1,"prior_12m","last_12m")</f>
        <v/>
      </c>
      <c r="AG30" s="21">
        <f>DATE(YEAR(G30),MONTH(G30),1)</f>
        <v/>
      </c>
    </row>
    <row r="31">
      <c r="A31" t="inlineStr">
        <is>
          <t>SPO-00013-2</t>
        </is>
      </c>
      <c r="B31" t="inlineStr">
        <is>
          <t>SPO-00013</t>
        </is>
      </c>
      <c r="C31" t="inlineStr">
        <is>
          <t>SUP-05</t>
        </is>
      </c>
      <c r="D31" t="inlineStr">
        <is>
          <t>FLEET</t>
        </is>
      </c>
      <c r="E31" t="inlineStr">
        <is>
          <t>FLEET-02</t>
        </is>
      </c>
      <c r="F31" s="17" t="n">
        <v>45570</v>
      </c>
      <c r="G31" s="17" t="n">
        <v>45584</v>
      </c>
      <c r="H31" s="18" t="n">
        <v>105</v>
      </c>
      <c r="I31" s="19" t="n">
        <v>7.48</v>
      </c>
      <c r="J31" s="19" t="n">
        <v>7.5</v>
      </c>
      <c r="K31" s="20" t="n">
        <v>0</v>
      </c>
      <c r="L31" s="20" t="n">
        <v>0</v>
      </c>
      <c r="M31" s="18" t="n">
        <v>105</v>
      </c>
      <c r="N31" s="18" t="n">
        <v>83</v>
      </c>
      <c r="O31" s="18" t="n">
        <v>0</v>
      </c>
      <c r="P31" s="17" t="n">
        <v>45580</v>
      </c>
      <c r="Q31" s="17" t="n">
        <v>45591</v>
      </c>
      <c r="R31" s="17" t="n">
        <v>45591</v>
      </c>
      <c r="S31" s="19">
        <f>H31*I31</f>
        <v/>
      </c>
      <c r="T31" s="19">
        <f>H31*J31</f>
        <v/>
      </c>
      <c r="U31">
        <f>IF(AND(K31=0,G31&lt;=Assumptions!$C$6),1,0)</f>
        <v/>
      </c>
      <c r="V31">
        <f>IF(U31=1,IF(M31&gt;0,IF(P31&lt;=G31+Assumptions!$C$7,1,0),0),0)</f>
        <v/>
      </c>
      <c r="W31">
        <f>IF(AND(U31=1,M31&gt;=H31*(1-Assumptions!$C$8)),1,0)</f>
        <v/>
      </c>
      <c r="X31">
        <f>IF(AND(U31=1,N31&gt;=H31*(1-Assumptions!$C$8)),1,0)</f>
        <v/>
      </c>
      <c r="Y31">
        <f>IF(ISNUMBER(Q31),1,0)</f>
        <v/>
      </c>
      <c r="Z31">
        <f>IF(AND(K31=0,L31=0,Y31=0),1,0)</f>
        <v/>
      </c>
      <c r="AA31">
        <f>IF(AND(Z31=1,G31&lt;Assumptions!$C$6),1,0)</f>
        <v/>
      </c>
      <c r="AB31">
        <f>IF(U31=0,"",IF(Y31=1,MAX(0,Q31-G31),IF(L31=1,MAX(0,R31-G31),MAX(0,Assumptions!$C$6-G31))))</f>
        <v/>
      </c>
      <c r="AC31">
        <f>IF(Y31=1,Q31-F31,"")</f>
        <v/>
      </c>
      <c r="AD31">
        <f>IF(Y31=1,AC31^2,"")</f>
        <v/>
      </c>
      <c r="AE31" s="19">
        <f>IF(Z31=1,(H31-M31)*I31,0)</f>
        <v/>
      </c>
      <c r="AF31">
        <f>IF(G31&lt;EDATE(Assumptions!$C$6,-12)+1,"prior_12m","last_12m")</f>
        <v/>
      </c>
      <c r="AG31" s="21">
        <f>DATE(YEAR(G31),MONTH(G31),1)</f>
        <v/>
      </c>
    </row>
    <row r="32">
      <c r="A32" t="inlineStr">
        <is>
          <t>SPO-00013-3</t>
        </is>
      </c>
      <c r="B32" t="inlineStr">
        <is>
          <t>SPO-00013</t>
        </is>
      </c>
      <c r="C32" t="inlineStr">
        <is>
          <t>SUP-05</t>
        </is>
      </c>
      <c r="D32" t="inlineStr">
        <is>
          <t>FLEET</t>
        </is>
      </c>
      <c r="E32" t="inlineStr">
        <is>
          <t>FLEET-01</t>
        </is>
      </c>
      <c r="F32" s="17" t="n">
        <v>45570</v>
      </c>
      <c r="G32" s="17" t="n">
        <v>45584</v>
      </c>
      <c r="H32" s="18" t="n">
        <v>32</v>
      </c>
      <c r="I32" s="19" t="n">
        <v>66.34999999999999</v>
      </c>
      <c r="J32" s="19" t="n">
        <v>64</v>
      </c>
      <c r="K32" s="20" t="n">
        <v>0</v>
      </c>
      <c r="L32" s="20" t="n">
        <v>0</v>
      </c>
      <c r="M32" s="18" t="n">
        <v>32</v>
      </c>
      <c r="N32" s="18" t="n">
        <v>32</v>
      </c>
      <c r="O32" s="18" t="n">
        <v>0</v>
      </c>
      <c r="P32" s="17" t="n">
        <v>45579</v>
      </c>
      <c r="Q32" s="17" t="n">
        <v>45579</v>
      </c>
      <c r="R32" s="17" t="n">
        <v>45579</v>
      </c>
      <c r="S32" s="19">
        <f>H32*I32</f>
        <v/>
      </c>
      <c r="T32" s="19">
        <f>H32*J32</f>
        <v/>
      </c>
      <c r="U32">
        <f>IF(AND(K32=0,G32&lt;=Assumptions!$C$6),1,0)</f>
        <v/>
      </c>
      <c r="V32">
        <f>IF(U32=1,IF(M32&gt;0,IF(P32&lt;=G32+Assumptions!$C$7,1,0),0),0)</f>
        <v/>
      </c>
      <c r="W32">
        <f>IF(AND(U32=1,M32&gt;=H32*(1-Assumptions!$C$8)),1,0)</f>
        <v/>
      </c>
      <c r="X32">
        <f>IF(AND(U32=1,N32&gt;=H32*(1-Assumptions!$C$8)),1,0)</f>
        <v/>
      </c>
      <c r="Y32">
        <f>IF(ISNUMBER(Q32),1,0)</f>
        <v/>
      </c>
      <c r="Z32">
        <f>IF(AND(K32=0,L32=0,Y32=0),1,0)</f>
        <v/>
      </c>
      <c r="AA32">
        <f>IF(AND(Z32=1,G32&lt;Assumptions!$C$6),1,0)</f>
        <v/>
      </c>
      <c r="AB32">
        <f>IF(U32=0,"",IF(Y32=1,MAX(0,Q32-G32),IF(L32=1,MAX(0,R32-G32),MAX(0,Assumptions!$C$6-G32))))</f>
        <v/>
      </c>
      <c r="AC32">
        <f>IF(Y32=1,Q32-F32,"")</f>
        <v/>
      </c>
      <c r="AD32">
        <f>IF(Y32=1,AC32^2,"")</f>
        <v/>
      </c>
      <c r="AE32" s="19">
        <f>IF(Z32=1,(H32-M32)*I32,0)</f>
        <v/>
      </c>
      <c r="AF32">
        <f>IF(G32&lt;EDATE(Assumptions!$C$6,-12)+1,"prior_12m","last_12m")</f>
        <v/>
      </c>
      <c r="AG32" s="21">
        <f>DATE(YEAR(G32),MONTH(G32),1)</f>
        <v/>
      </c>
    </row>
    <row r="33">
      <c r="A33" t="inlineStr">
        <is>
          <t>SPO-00014-1</t>
        </is>
      </c>
      <c r="B33" t="inlineStr">
        <is>
          <t>SPO-00014</t>
        </is>
      </c>
      <c r="C33" t="inlineStr">
        <is>
          <t>SUP-02</t>
        </is>
      </c>
      <c r="D33" t="inlineStr">
        <is>
          <t>ELEC</t>
        </is>
      </c>
      <c r="E33" t="inlineStr">
        <is>
          <t>ELEC-01</t>
        </is>
      </c>
      <c r="F33" s="17" t="n">
        <v>45570</v>
      </c>
      <c r="G33" s="17" t="n">
        <v>45586</v>
      </c>
      <c r="H33" s="18" t="n">
        <v>52</v>
      </c>
      <c r="I33" s="19" t="n">
        <v>36.52</v>
      </c>
      <c r="J33" s="19" t="n">
        <v>38</v>
      </c>
      <c r="K33" s="20" t="n">
        <v>0</v>
      </c>
      <c r="L33" s="20" t="n">
        <v>0</v>
      </c>
      <c r="M33" s="18" t="n">
        <v>52</v>
      </c>
      <c r="N33" s="18" t="n">
        <v>52</v>
      </c>
      <c r="O33" s="18" t="n">
        <v>0</v>
      </c>
      <c r="P33" s="17" t="n">
        <v>45582</v>
      </c>
      <c r="Q33" s="17" t="n">
        <v>45582</v>
      </c>
      <c r="R33" s="17" t="n">
        <v>45582</v>
      </c>
      <c r="S33" s="19">
        <f>H33*I33</f>
        <v/>
      </c>
      <c r="T33" s="19">
        <f>H33*J33</f>
        <v/>
      </c>
      <c r="U33">
        <f>IF(AND(K33=0,G33&lt;=Assumptions!$C$6),1,0)</f>
        <v/>
      </c>
      <c r="V33">
        <f>IF(U33=1,IF(M33&gt;0,IF(P33&lt;=G33+Assumptions!$C$7,1,0),0),0)</f>
        <v/>
      </c>
      <c r="W33">
        <f>IF(AND(U33=1,M33&gt;=H33*(1-Assumptions!$C$8)),1,0)</f>
        <v/>
      </c>
      <c r="X33">
        <f>IF(AND(U33=1,N33&gt;=H33*(1-Assumptions!$C$8)),1,0)</f>
        <v/>
      </c>
      <c r="Y33">
        <f>IF(ISNUMBER(Q33),1,0)</f>
        <v/>
      </c>
      <c r="Z33">
        <f>IF(AND(K33=0,L33=0,Y33=0),1,0)</f>
        <v/>
      </c>
      <c r="AA33">
        <f>IF(AND(Z33=1,G33&lt;Assumptions!$C$6),1,0)</f>
        <v/>
      </c>
      <c r="AB33">
        <f>IF(U33=0,"",IF(Y33=1,MAX(0,Q33-G33),IF(L33=1,MAX(0,R33-G33),MAX(0,Assumptions!$C$6-G33))))</f>
        <v/>
      </c>
      <c r="AC33">
        <f>IF(Y33=1,Q33-F33,"")</f>
        <v/>
      </c>
      <c r="AD33">
        <f>IF(Y33=1,AC33^2,"")</f>
        <v/>
      </c>
      <c r="AE33" s="19">
        <f>IF(Z33=1,(H33-M33)*I33,0)</f>
        <v/>
      </c>
      <c r="AF33">
        <f>IF(G33&lt;EDATE(Assumptions!$C$6,-12)+1,"prior_12m","last_12m")</f>
        <v/>
      </c>
      <c r="AG33" s="21">
        <f>DATE(YEAR(G33),MONTH(G33),1)</f>
        <v/>
      </c>
    </row>
    <row r="34">
      <c r="A34" t="inlineStr">
        <is>
          <t>SPO-00014-2</t>
        </is>
      </c>
      <c r="B34" t="inlineStr">
        <is>
          <t>SPO-00014</t>
        </is>
      </c>
      <c r="C34" t="inlineStr">
        <is>
          <t>SUP-02</t>
        </is>
      </c>
      <c r="D34" t="inlineStr">
        <is>
          <t>ELEC</t>
        </is>
      </c>
      <c r="E34" t="inlineStr">
        <is>
          <t>ELEC-07</t>
        </is>
      </c>
      <c r="F34" s="17" t="n">
        <v>45570</v>
      </c>
      <c r="G34" s="17" t="n">
        <v>45586</v>
      </c>
      <c r="H34" s="18" t="n">
        <v>204</v>
      </c>
      <c r="I34" s="19" t="n">
        <v>9.65</v>
      </c>
      <c r="J34" s="19" t="n">
        <v>9.800000000000001</v>
      </c>
      <c r="K34" s="20" t="n">
        <v>0</v>
      </c>
      <c r="L34" s="20" t="n">
        <v>0</v>
      </c>
      <c r="M34" s="18" t="n">
        <v>204</v>
      </c>
      <c r="N34" s="18" t="n">
        <v>204</v>
      </c>
      <c r="O34" s="18" t="n">
        <v>0</v>
      </c>
      <c r="P34" s="17" t="n">
        <v>45583</v>
      </c>
      <c r="Q34" s="17" t="n">
        <v>45583</v>
      </c>
      <c r="R34" s="17" t="n">
        <v>45583</v>
      </c>
      <c r="S34" s="19">
        <f>H34*I34</f>
        <v/>
      </c>
      <c r="T34" s="19">
        <f>H34*J34</f>
        <v/>
      </c>
      <c r="U34">
        <f>IF(AND(K34=0,G34&lt;=Assumptions!$C$6),1,0)</f>
        <v/>
      </c>
      <c r="V34">
        <f>IF(U34=1,IF(M34&gt;0,IF(P34&lt;=G34+Assumptions!$C$7,1,0),0),0)</f>
        <v/>
      </c>
      <c r="W34">
        <f>IF(AND(U34=1,M34&gt;=H34*(1-Assumptions!$C$8)),1,0)</f>
        <v/>
      </c>
      <c r="X34">
        <f>IF(AND(U34=1,N34&gt;=H34*(1-Assumptions!$C$8)),1,0)</f>
        <v/>
      </c>
      <c r="Y34">
        <f>IF(ISNUMBER(Q34),1,0)</f>
        <v/>
      </c>
      <c r="Z34">
        <f>IF(AND(K34=0,L34=0,Y34=0),1,0)</f>
        <v/>
      </c>
      <c r="AA34">
        <f>IF(AND(Z34=1,G34&lt;Assumptions!$C$6),1,0)</f>
        <v/>
      </c>
      <c r="AB34">
        <f>IF(U34=0,"",IF(Y34=1,MAX(0,Q34-G34),IF(L34=1,MAX(0,R34-G34),MAX(0,Assumptions!$C$6-G34))))</f>
        <v/>
      </c>
      <c r="AC34">
        <f>IF(Y34=1,Q34-F34,"")</f>
        <v/>
      </c>
      <c r="AD34">
        <f>IF(Y34=1,AC34^2,"")</f>
        <v/>
      </c>
      <c r="AE34" s="19">
        <f>IF(Z34=1,(H34-M34)*I34,0)</f>
        <v/>
      </c>
      <c r="AF34">
        <f>IF(G34&lt;EDATE(Assumptions!$C$6,-12)+1,"prior_12m","last_12m")</f>
        <v/>
      </c>
      <c r="AG34" s="21">
        <f>DATE(YEAR(G34),MONTH(G34),1)</f>
        <v/>
      </c>
    </row>
    <row r="35">
      <c r="A35" t="inlineStr">
        <is>
          <t>SPO-00015-1</t>
        </is>
      </c>
      <c r="B35" t="inlineStr">
        <is>
          <t>SPO-00015</t>
        </is>
      </c>
      <c r="C35" t="inlineStr">
        <is>
          <t>SUP-12</t>
        </is>
      </c>
      <c r="D35" t="inlineStr">
        <is>
          <t>IT</t>
        </is>
      </c>
      <c r="E35" t="inlineStr">
        <is>
          <t>IT-01</t>
        </is>
      </c>
      <c r="F35" s="17" t="n">
        <v>45570</v>
      </c>
      <c r="G35" s="17" t="n">
        <v>45580</v>
      </c>
      <c r="H35" s="18" t="n">
        <v>4</v>
      </c>
      <c r="I35" s="19" t="n">
        <v>218.34</v>
      </c>
      <c r="J35" s="19" t="n">
        <v>189</v>
      </c>
      <c r="K35" s="20" t="n">
        <v>0</v>
      </c>
      <c r="L35" s="20" t="n">
        <v>0</v>
      </c>
      <c r="M35" s="18" t="n">
        <v>4</v>
      </c>
      <c r="N35" s="18" t="n">
        <v>4</v>
      </c>
      <c r="O35" s="18" t="n">
        <v>0</v>
      </c>
      <c r="P35" s="17" t="n">
        <v>45579</v>
      </c>
      <c r="Q35" s="17" t="n">
        <v>45579</v>
      </c>
      <c r="R35" s="17" t="n">
        <v>45579</v>
      </c>
      <c r="S35" s="19">
        <f>H35*I35</f>
        <v/>
      </c>
      <c r="T35" s="19">
        <f>H35*J35</f>
        <v/>
      </c>
      <c r="U35">
        <f>IF(AND(K35=0,G35&lt;=Assumptions!$C$6),1,0)</f>
        <v/>
      </c>
      <c r="V35">
        <f>IF(U35=1,IF(M35&gt;0,IF(P35&lt;=G35+Assumptions!$C$7,1,0),0),0)</f>
        <v/>
      </c>
      <c r="W35">
        <f>IF(AND(U35=1,M35&gt;=H35*(1-Assumptions!$C$8)),1,0)</f>
        <v/>
      </c>
      <c r="X35">
        <f>IF(AND(U35=1,N35&gt;=H35*(1-Assumptions!$C$8)),1,0)</f>
        <v/>
      </c>
      <c r="Y35">
        <f>IF(ISNUMBER(Q35),1,0)</f>
        <v/>
      </c>
      <c r="Z35">
        <f>IF(AND(K35=0,L35=0,Y35=0),1,0)</f>
        <v/>
      </c>
      <c r="AA35">
        <f>IF(AND(Z35=1,G35&lt;Assumptions!$C$6),1,0)</f>
        <v/>
      </c>
      <c r="AB35">
        <f>IF(U35=0,"",IF(Y35=1,MAX(0,Q35-G35),IF(L35=1,MAX(0,R35-G35),MAX(0,Assumptions!$C$6-G35))))</f>
        <v/>
      </c>
      <c r="AC35">
        <f>IF(Y35=1,Q35-F35,"")</f>
        <v/>
      </c>
      <c r="AD35">
        <f>IF(Y35=1,AC35^2,"")</f>
        <v/>
      </c>
      <c r="AE35" s="19">
        <f>IF(Z35=1,(H35-M35)*I35,0)</f>
        <v/>
      </c>
      <c r="AF35">
        <f>IF(G35&lt;EDATE(Assumptions!$C$6,-12)+1,"prior_12m","last_12m")</f>
        <v/>
      </c>
      <c r="AG35" s="21">
        <f>DATE(YEAR(G35),MONTH(G35),1)</f>
        <v/>
      </c>
    </row>
    <row r="36">
      <c r="A36" t="inlineStr">
        <is>
          <t>SPO-00016-1</t>
        </is>
      </c>
      <c r="B36" t="inlineStr">
        <is>
          <t>SPO-00016</t>
        </is>
      </c>
      <c r="C36" t="inlineStr">
        <is>
          <t>SUP-01</t>
        </is>
      </c>
      <c r="D36" t="inlineStr">
        <is>
          <t>ELEC</t>
        </is>
      </c>
      <c r="E36" t="inlineStr">
        <is>
          <t>ELEC-07</t>
        </is>
      </c>
      <c r="F36" s="17" t="n">
        <v>45570</v>
      </c>
      <c r="G36" s="17" t="n">
        <v>45588</v>
      </c>
      <c r="H36" s="18" t="n">
        <v>236</v>
      </c>
      <c r="I36" s="19" t="n">
        <v>10.25</v>
      </c>
      <c r="J36" s="19" t="n">
        <v>9.800000000000001</v>
      </c>
      <c r="K36" s="20" t="n">
        <v>0</v>
      </c>
      <c r="L36" s="20" t="n">
        <v>0</v>
      </c>
      <c r="M36" s="18" t="n">
        <v>236</v>
      </c>
      <c r="N36" s="18" t="n">
        <v>236</v>
      </c>
      <c r="O36" s="18" t="n">
        <v>0</v>
      </c>
      <c r="P36" s="17" t="n">
        <v>45585</v>
      </c>
      <c r="Q36" s="17" t="n">
        <v>45585</v>
      </c>
      <c r="R36" s="17" t="n">
        <v>45585</v>
      </c>
      <c r="S36" s="19">
        <f>H36*I36</f>
        <v/>
      </c>
      <c r="T36" s="19">
        <f>H36*J36</f>
        <v/>
      </c>
      <c r="U36">
        <f>IF(AND(K36=0,G36&lt;=Assumptions!$C$6),1,0)</f>
        <v/>
      </c>
      <c r="V36">
        <f>IF(U36=1,IF(M36&gt;0,IF(P36&lt;=G36+Assumptions!$C$7,1,0),0),0)</f>
        <v/>
      </c>
      <c r="W36">
        <f>IF(AND(U36=1,M36&gt;=H36*(1-Assumptions!$C$8)),1,0)</f>
        <v/>
      </c>
      <c r="X36">
        <f>IF(AND(U36=1,N36&gt;=H36*(1-Assumptions!$C$8)),1,0)</f>
        <v/>
      </c>
      <c r="Y36">
        <f>IF(ISNUMBER(Q36),1,0)</f>
        <v/>
      </c>
      <c r="Z36">
        <f>IF(AND(K36=0,L36=0,Y36=0),1,0)</f>
        <v/>
      </c>
      <c r="AA36">
        <f>IF(AND(Z36=1,G36&lt;Assumptions!$C$6),1,0)</f>
        <v/>
      </c>
      <c r="AB36">
        <f>IF(U36=0,"",IF(Y36=1,MAX(0,Q36-G36),IF(L36=1,MAX(0,R36-G36),MAX(0,Assumptions!$C$6-G36))))</f>
        <v/>
      </c>
      <c r="AC36">
        <f>IF(Y36=1,Q36-F36,"")</f>
        <v/>
      </c>
      <c r="AD36">
        <f>IF(Y36=1,AC36^2,"")</f>
        <v/>
      </c>
      <c r="AE36" s="19">
        <f>IF(Z36=1,(H36-M36)*I36,0)</f>
        <v/>
      </c>
      <c r="AF36">
        <f>IF(G36&lt;EDATE(Assumptions!$C$6,-12)+1,"prior_12m","last_12m")</f>
        <v/>
      </c>
      <c r="AG36" s="21">
        <f>DATE(YEAR(G36),MONTH(G36),1)</f>
        <v/>
      </c>
    </row>
    <row r="37">
      <c r="A37" t="inlineStr">
        <is>
          <t>SPO-00017-1</t>
        </is>
      </c>
      <c r="B37" t="inlineStr">
        <is>
          <t>SPO-00017</t>
        </is>
      </c>
      <c r="C37" t="inlineStr">
        <is>
          <t>SUP-14</t>
        </is>
      </c>
      <c r="D37" t="inlineStr">
        <is>
          <t>FLEET</t>
        </is>
      </c>
      <c r="E37" t="inlineStr">
        <is>
          <t>FLEET-04</t>
        </is>
      </c>
      <c r="F37" s="17" t="n">
        <v>45570</v>
      </c>
      <c r="G37" s="17" t="n">
        <v>45584</v>
      </c>
      <c r="H37" s="18" t="n">
        <v>114</v>
      </c>
      <c r="I37" s="19" t="n">
        <v>9.26</v>
      </c>
      <c r="J37" s="19" t="n">
        <v>9</v>
      </c>
      <c r="K37" s="20" t="n">
        <v>0</v>
      </c>
      <c r="L37" s="20" t="n">
        <v>0</v>
      </c>
      <c r="M37" s="18" t="n">
        <v>114</v>
      </c>
      <c r="N37" s="18" t="n">
        <v>114</v>
      </c>
      <c r="O37" s="18" t="n">
        <v>0</v>
      </c>
      <c r="P37" s="17" t="n">
        <v>45575</v>
      </c>
      <c r="Q37" s="17" t="n">
        <v>45575</v>
      </c>
      <c r="R37" s="17" t="n">
        <v>45575</v>
      </c>
      <c r="S37" s="19">
        <f>H37*I37</f>
        <v/>
      </c>
      <c r="T37" s="19">
        <f>H37*J37</f>
        <v/>
      </c>
      <c r="U37">
        <f>IF(AND(K37=0,G37&lt;=Assumptions!$C$6),1,0)</f>
        <v/>
      </c>
      <c r="V37">
        <f>IF(U37=1,IF(M37&gt;0,IF(P37&lt;=G37+Assumptions!$C$7,1,0),0),0)</f>
        <v/>
      </c>
      <c r="W37">
        <f>IF(AND(U37=1,M37&gt;=H37*(1-Assumptions!$C$8)),1,0)</f>
        <v/>
      </c>
      <c r="X37">
        <f>IF(AND(U37=1,N37&gt;=H37*(1-Assumptions!$C$8)),1,0)</f>
        <v/>
      </c>
      <c r="Y37">
        <f>IF(ISNUMBER(Q37),1,0)</f>
        <v/>
      </c>
      <c r="Z37">
        <f>IF(AND(K37=0,L37=0,Y37=0),1,0)</f>
        <v/>
      </c>
      <c r="AA37">
        <f>IF(AND(Z37=1,G37&lt;Assumptions!$C$6),1,0)</f>
        <v/>
      </c>
      <c r="AB37">
        <f>IF(U37=0,"",IF(Y37=1,MAX(0,Q37-G37),IF(L37=1,MAX(0,R37-G37),MAX(0,Assumptions!$C$6-G37))))</f>
        <v/>
      </c>
      <c r="AC37">
        <f>IF(Y37=1,Q37-F37,"")</f>
        <v/>
      </c>
      <c r="AD37">
        <f>IF(Y37=1,AC37^2,"")</f>
        <v/>
      </c>
      <c r="AE37" s="19">
        <f>IF(Z37=1,(H37-M37)*I37,0)</f>
        <v/>
      </c>
      <c r="AF37">
        <f>IF(G37&lt;EDATE(Assumptions!$C$6,-12)+1,"prior_12m","last_12m")</f>
        <v/>
      </c>
      <c r="AG37" s="21">
        <f>DATE(YEAR(G37),MONTH(G37),1)</f>
        <v/>
      </c>
    </row>
    <row r="38">
      <c r="A38" t="inlineStr">
        <is>
          <t>SPO-00018-1</t>
        </is>
      </c>
      <c r="B38" t="inlineStr">
        <is>
          <t>SPO-00018</t>
        </is>
      </c>
      <c r="C38" t="inlineStr">
        <is>
          <t>SUP-05</t>
        </is>
      </c>
      <c r="D38" t="inlineStr">
        <is>
          <t>FLEET</t>
        </is>
      </c>
      <c r="E38" t="inlineStr">
        <is>
          <t>FLEET-04</t>
        </is>
      </c>
      <c r="F38" s="17" t="n">
        <v>45570</v>
      </c>
      <c r="G38" s="17" t="n">
        <v>45584</v>
      </c>
      <c r="H38" s="18" t="n">
        <v>142</v>
      </c>
      <c r="I38" s="19" t="n">
        <v>9.390000000000001</v>
      </c>
      <c r="J38" s="19" t="n">
        <v>9</v>
      </c>
      <c r="K38" s="20" t="n">
        <v>0</v>
      </c>
      <c r="L38" s="20" t="n">
        <v>0</v>
      </c>
      <c r="M38" s="18" t="n">
        <v>142</v>
      </c>
      <c r="N38" s="18" t="n">
        <v>142</v>
      </c>
      <c r="O38" s="18" t="n">
        <v>0</v>
      </c>
      <c r="P38" s="17" t="n">
        <v>45581</v>
      </c>
      <c r="Q38" s="17" t="n">
        <v>45581</v>
      </c>
      <c r="R38" s="17" t="n">
        <v>45581</v>
      </c>
      <c r="S38" s="19">
        <f>H38*I38</f>
        <v/>
      </c>
      <c r="T38" s="19">
        <f>H38*J38</f>
        <v/>
      </c>
      <c r="U38">
        <f>IF(AND(K38=0,G38&lt;=Assumptions!$C$6),1,0)</f>
        <v/>
      </c>
      <c r="V38">
        <f>IF(U38=1,IF(M38&gt;0,IF(P38&lt;=G38+Assumptions!$C$7,1,0),0),0)</f>
        <v/>
      </c>
      <c r="W38">
        <f>IF(AND(U38=1,M38&gt;=H38*(1-Assumptions!$C$8)),1,0)</f>
        <v/>
      </c>
      <c r="X38">
        <f>IF(AND(U38=1,N38&gt;=H38*(1-Assumptions!$C$8)),1,0)</f>
        <v/>
      </c>
      <c r="Y38">
        <f>IF(ISNUMBER(Q38),1,0)</f>
        <v/>
      </c>
      <c r="Z38">
        <f>IF(AND(K38=0,L38=0,Y38=0),1,0)</f>
        <v/>
      </c>
      <c r="AA38">
        <f>IF(AND(Z38=1,G38&lt;Assumptions!$C$6),1,0)</f>
        <v/>
      </c>
      <c r="AB38">
        <f>IF(U38=0,"",IF(Y38=1,MAX(0,Q38-G38),IF(L38=1,MAX(0,R38-G38),MAX(0,Assumptions!$C$6-G38))))</f>
        <v/>
      </c>
      <c r="AC38">
        <f>IF(Y38=1,Q38-F38,"")</f>
        <v/>
      </c>
      <c r="AD38">
        <f>IF(Y38=1,AC38^2,"")</f>
        <v/>
      </c>
      <c r="AE38" s="19">
        <f>IF(Z38=1,(H38-M38)*I38,0)</f>
        <v/>
      </c>
      <c r="AF38">
        <f>IF(G38&lt;EDATE(Assumptions!$C$6,-12)+1,"prior_12m","last_12m")</f>
        <v/>
      </c>
      <c r="AG38" s="21">
        <f>DATE(YEAR(G38),MONTH(G38),1)</f>
        <v/>
      </c>
    </row>
    <row r="39">
      <c r="A39" t="inlineStr">
        <is>
          <t>SPO-00018-2</t>
        </is>
      </c>
      <c r="B39" t="inlineStr">
        <is>
          <t>SPO-00018</t>
        </is>
      </c>
      <c r="C39" t="inlineStr">
        <is>
          <t>SUP-05</t>
        </is>
      </c>
      <c r="D39" t="inlineStr">
        <is>
          <t>FLEET</t>
        </is>
      </c>
      <c r="E39" t="inlineStr">
        <is>
          <t>FLEET-02</t>
        </is>
      </c>
      <c r="F39" s="17" t="n">
        <v>45570</v>
      </c>
      <c r="G39" s="17" t="n">
        <v>45584</v>
      </c>
      <c r="H39" s="18" t="n">
        <v>104</v>
      </c>
      <c r="I39" s="19" t="n">
        <v>7.88</v>
      </c>
      <c r="J39" s="19" t="n">
        <v>7.5</v>
      </c>
      <c r="K39" s="20" t="n">
        <v>0</v>
      </c>
      <c r="L39" s="20" t="n">
        <v>0</v>
      </c>
      <c r="M39" s="18" t="n">
        <v>104</v>
      </c>
      <c r="N39" s="18" t="n">
        <v>104</v>
      </c>
      <c r="O39" s="18" t="n">
        <v>0</v>
      </c>
      <c r="P39" s="17" t="n">
        <v>45578</v>
      </c>
      <c r="Q39" s="17" t="n">
        <v>45578</v>
      </c>
      <c r="R39" s="17" t="n">
        <v>45578</v>
      </c>
      <c r="S39" s="19">
        <f>H39*I39</f>
        <v/>
      </c>
      <c r="T39" s="19">
        <f>H39*J39</f>
        <v/>
      </c>
      <c r="U39">
        <f>IF(AND(K39=0,G39&lt;=Assumptions!$C$6),1,0)</f>
        <v/>
      </c>
      <c r="V39">
        <f>IF(U39=1,IF(M39&gt;0,IF(P39&lt;=G39+Assumptions!$C$7,1,0),0),0)</f>
        <v/>
      </c>
      <c r="W39">
        <f>IF(AND(U39=1,M39&gt;=H39*(1-Assumptions!$C$8)),1,0)</f>
        <v/>
      </c>
      <c r="X39">
        <f>IF(AND(U39=1,N39&gt;=H39*(1-Assumptions!$C$8)),1,0)</f>
        <v/>
      </c>
      <c r="Y39">
        <f>IF(ISNUMBER(Q39),1,0)</f>
        <v/>
      </c>
      <c r="Z39">
        <f>IF(AND(K39=0,L39=0,Y39=0),1,0)</f>
        <v/>
      </c>
      <c r="AA39">
        <f>IF(AND(Z39=1,G39&lt;Assumptions!$C$6),1,0)</f>
        <v/>
      </c>
      <c r="AB39">
        <f>IF(U39=0,"",IF(Y39=1,MAX(0,Q39-G39),IF(L39=1,MAX(0,R39-G39),MAX(0,Assumptions!$C$6-G39))))</f>
        <v/>
      </c>
      <c r="AC39">
        <f>IF(Y39=1,Q39-F39,"")</f>
        <v/>
      </c>
      <c r="AD39">
        <f>IF(Y39=1,AC39^2,"")</f>
        <v/>
      </c>
      <c r="AE39" s="19">
        <f>IF(Z39=1,(H39-M39)*I39,0)</f>
        <v/>
      </c>
      <c r="AF39">
        <f>IF(G39&lt;EDATE(Assumptions!$C$6,-12)+1,"prior_12m","last_12m")</f>
        <v/>
      </c>
      <c r="AG39" s="21">
        <f>DATE(YEAR(G39),MONTH(G39),1)</f>
        <v/>
      </c>
    </row>
    <row r="40">
      <c r="A40" t="inlineStr">
        <is>
          <t>SPO-00018-3</t>
        </is>
      </c>
      <c r="B40" t="inlineStr">
        <is>
          <t>SPO-00018</t>
        </is>
      </c>
      <c r="C40" t="inlineStr">
        <is>
          <t>SUP-05</t>
        </is>
      </c>
      <c r="D40" t="inlineStr">
        <is>
          <t>FLEET</t>
        </is>
      </c>
      <c r="E40" t="inlineStr">
        <is>
          <t>FLEET-01</t>
        </is>
      </c>
      <c r="F40" s="17" t="n">
        <v>45570</v>
      </c>
      <c r="G40" s="17" t="n">
        <v>45584</v>
      </c>
      <c r="H40" s="18" t="n">
        <v>7</v>
      </c>
      <c r="I40" s="19" t="n">
        <v>66.06999999999999</v>
      </c>
      <c r="J40" s="19" t="n">
        <v>64</v>
      </c>
      <c r="K40" s="20" t="n">
        <v>0</v>
      </c>
      <c r="L40" s="20" t="n">
        <v>0</v>
      </c>
      <c r="M40" s="18" t="n">
        <v>7</v>
      </c>
      <c r="N40" s="18" t="n">
        <v>7</v>
      </c>
      <c r="O40" s="18" t="n">
        <v>0</v>
      </c>
      <c r="P40" s="17" t="n">
        <v>45580</v>
      </c>
      <c r="Q40" s="17" t="n">
        <v>45580</v>
      </c>
      <c r="R40" s="17" t="n">
        <v>45580</v>
      </c>
      <c r="S40" s="19">
        <f>H40*I40</f>
        <v/>
      </c>
      <c r="T40" s="19">
        <f>H40*J40</f>
        <v/>
      </c>
      <c r="U40">
        <f>IF(AND(K40=0,G40&lt;=Assumptions!$C$6),1,0)</f>
        <v/>
      </c>
      <c r="V40">
        <f>IF(U40=1,IF(M40&gt;0,IF(P40&lt;=G40+Assumptions!$C$7,1,0),0),0)</f>
        <v/>
      </c>
      <c r="W40">
        <f>IF(AND(U40=1,M40&gt;=H40*(1-Assumptions!$C$8)),1,0)</f>
        <v/>
      </c>
      <c r="X40">
        <f>IF(AND(U40=1,N40&gt;=H40*(1-Assumptions!$C$8)),1,0)</f>
        <v/>
      </c>
      <c r="Y40">
        <f>IF(ISNUMBER(Q40),1,0)</f>
        <v/>
      </c>
      <c r="Z40">
        <f>IF(AND(K40=0,L40=0,Y40=0),1,0)</f>
        <v/>
      </c>
      <c r="AA40">
        <f>IF(AND(Z40=1,G40&lt;Assumptions!$C$6),1,0)</f>
        <v/>
      </c>
      <c r="AB40">
        <f>IF(U40=0,"",IF(Y40=1,MAX(0,Q40-G40),IF(L40=1,MAX(0,R40-G40),MAX(0,Assumptions!$C$6-G40))))</f>
        <v/>
      </c>
      <c r="AC40">
        <f>IF(Y40=1,Q40-F40,"")</f>
        <v/>
      </c>
      <c r="AD40">
        <f>IF(Y40=1,AC40^2,"")</f>
        <v/>
      </c>
      <c r="AE40" s="19">
        <f>IF(Z40=1,(H40-M40)*I40,0)</f>
        <v/>
      </c>
      <c r="AF40">
        <f>IF(G40&lt;EDATE(Assumptions!$C$6,-12)+1,"prior_12m","last_12m")</f>
        <v/>
      </c>
      <c r="AG40" s="21">
        <f>DATE(YEAR(G40),MONTH(G40),1)</f>
        <v/>
      </c>
    </row>
    <row r="41">
      <c r="A41" t="inlineStr">
        <is>
          <t>SPO-00018-4</t>
        </is>
      </c>
      <c r="B41" t="inlineStr">
        <is>
          <t>SPO-00018</t>
        </is>
      </c>
      <c r="C41" t="inlineStr">
        <is>
          <t>SUP-05</t>
        </is>
      </c>
      <c r="D41" t="inlineStr">
        <is>
          <t>FLEET</t>
        </is>
      </c>
      <c r="E41" t="inlineStr">
        <is>
          <t>FLEET-03</t>
        </is>
      </c>
      <c r="F41" s="17" t="n">
        <v>45570</v>
      </c>
      <c r="G41" s="17" t="n">
        <v>45584</v>
      </c>
      <c r="H41" s="18" t="n">
        <v>120</v>
      </c>
      <c r="I41" s="19" t="n">
        <v>21.03</v>
      </c>
      <c r="J41" s="19" t="n">
        <v>21</v>
      </c>
      <c r="K41" s="20" t="n">
        <v>0</v>
      </c>
      <c r="L41" s="20" t="n">
        <v>0</v>
      </c>
      <c r="M41" s="18" t="n">
        <v>120</v>
      </c>
      <c r="N41" s="18" t="n">
        <v>120</v>
      </c>
      <c r="O41" s="18" t="n">
        <v>0</v>
      </c>
      <c r="P41" s="17" t="n">
        <v>45583</v>
      </c>
      <c r="Q41" s="17" t="n">
        <v>45583</v>
      </c>
      <c r="R41" s="17" t="n">
        <v>45583</v>
      </c>
      <c r="S41" s="19">
        <f>H41*I41</f>
        <v/>
      </c>
      <c r="T41" s="19">
        <f>H41*J41</f>
        <v/>
      </c>
      <c r="U41">
        <f>IF(AND(K41=0,G41&lt;=Assumptions!$C$6),1,0)</f>
        <v/>
      </c>
      <c r="V41">
        <f>IF(U41=1,IF(M41&gt;0,IF(P41&lt;=G41+Assumptions!$C$7,1,0),0),0)</f>
        <v/>
      </c>
      <c r="W41">
        <f>IF(AND(U41=1,M41&gt;=H41*(1-Assumptions!$C$8)),1,0)</f>
        <v/>
      </c>
      <c r="X41">
        <f>IF(AND(U41=1,N41&gt;=H41*(1-Assumptions!$C$8)),1,0)</f>
        <v/>
      </c>
      <c r="Y41">
        <f>IF(ISNUMBER(Q41),1,0)</f>
        <v/>
      </c>
      <c r="Z41">
        <f>IF(AND(K41=0,L41=0,Y41=0),1,0)</f>
        <v/>
      </c>
      <c r="AA41">
        <f>IF(AND(Z41=1,G41&lt;Assumptions!$C$6),1,0)</f>
        <v/>
      </c>
      <c r="AB41">
        <f>IF(U41=0,"",IF(Y41=1,MAX(0,Q41-G41),IF(L41=1,MAX(0,R41-G41),MAX(0,Assumptions!$C$6-G41))))</f>
        <v/>
      </c>
      <c r="AC41">
        <f>IF(Y41=1,Q41-F41,"")</f>
        <v/>
      </c>
      <c r="AD41">
        <f>IF(Y41=1,AC41^2,"")</f>
        <v/>
      </c>
      <c r="AE41" s="19">
        <f>IF(Z41=1,(H41-M41)*I41,0)</f>
        <v/>
      </c>
      <c r="AF41">
        <f>IF(G41&lt;EDATE(Assumptions!$C$6,-12)+1,"prior_12m","last_12m")</f>
        <v/>
      </c>
      <c r="AG41" s="21">
        <f>DATE(YEAR(G41),MONTH(G41),1)</f>
        <v/>
      </c>
    </row>
    <row r="42">
      <c r="A42" t="inlineStr">
        <is>
          <t>SPO-00019-1</t>
        </is>
      </c>
      <c r="B42" t="inlineStr">
        <is>
          <t>SPO-00019</t>
        </is>
      </c>
      <c r="C42" t="inlineStr">
        <is>
          <t>SUP-09</t>
        </is>
      </c>
      <c r="D42" t="inlineStr">
        <is>
          <t>CHEM</t>
        </is>
      </c>
      <c r="E42" t="inlineStr">
        <is>
          <t>CHEM-06</t>
        </is>
      </c>
      <c r="F42" s="17" t="n">
        <v>45570</v>
      </c>
      <c r="G42" s="17" t="n">
        <v>45584</v>
      </c>
      <c r="H42" s="18" t="n">
        <v>3</v>
      </c>
      <c r="I42" s="19" t="n">
        <v>379.15</v>
      </c>
      <c r="J42" s="19" t="n">
        <v>380</v>
      </c>
      <c r="K42" s="20" t="n">
        <v>0</v>
      </c>
      <c r="L42" s="20" t="n">
        <v>0</v>
      </c>
      <c r="M42" s="18" t="n">
        <v>3</v>
      </c>
      <c r="N42" s="18" t="n">
        <v>3</v>
      </c>
      <c r="O42" s="18" t="n">
        <v>0</v>
      </c>
      <c r="P42" s="17" t="n">
        <v>45582</v>
      </c>
      <c r="Q42" s="17" t="n">
        <v>45582</v>
      </c>
      <c r="R42" s="17" t="n">
        <v>45582</v>
      </c>
      <c r="S42" s="19">
        <f>H42*I42</f>
        <v/>
      </c>
      <c r="T42" s="19">
        <f>H42*J42</f>
        <v/>
      </c>
      <c r="U42">
        <f>IF(AND(K42=0,G42&lt;=Assumptions!$C$6),1,0)</f>
        <v/>
      </c>
      <c r="V42">
        <f>IF(U42=1,IF(M42&gt;0,IF(P42&lt;=G42+Assumptions!$C$7,1,0),0),0)</f>
        <v/>
      </c>
      <c r="W42">
        <f>IF(AND(U42=1,M42&gt;=H42*(1-Assumptions!$C$8)),1,0)</f>
        <v/>
      </c>
      <c r="X42">
        <f>IF(AND(U42=1,N42&gt;=H42*(1-Assumptions!$C$8)),1,0)</f>
        <v/>
      </c>
      <c r="Y42">
        <f>IF(ISNUMBER(Q42),1,0)</f>
        <v/>
      </c>
      <c r="Z42">
        <f>IF(AND(K42=0,L42=0,Y42=0),1,0)</f>
        <v/>
      </c>
      <c r="AA42">
        <f>IF(AND(Z42=1,G42&lt;Assumptions!$C$6),1,0)</f>
        <v/>
      </c>
      <c r="AB42">
        <f>IF(U42=0,"",IF(Y42=1,MAX(0,Q42-G42),IF(L42=1,MAX(0,R42-G42),MAX(0,Assumptions!$C$6-G42))))</f>
        <v/>
      </c>
      <c r="AC42">
        <f>IF(Y42=1,Q42-F42,"")</f>
        <v/>
      </c>
      <c r="AD42">
        <f>IF(Y42=1,AC42^2,"")</f>
        <v/>
      </c>
      <c r="AE42" s="19">
        <f>IF(Z42=1,(H42-M42)*I42,0)</f>
        <v/>
      </c>
      <c r="AF42">
        <f>IF(G42&lt;EDATE(Assumptions!$C$6,-12)+1,"prior_12m","last_12m")</f>
        <v/>
      </c>
      <c r="AG42" s="21">
        <f>DATE(YEAR(G42),MONTH(G42),1)</f>
        <v/>
      </c>
    </row>
    <row r="43">
      <c r="A43" t="inlineStr">
        <is>
          <t>SPO-00020-1</t>
        </is>
      </c>
      <c r="B43" t="inlineStr">
        <is>
          <t>SPO-00020</t>
        </is>
      </c>
      <c r="C43" t="inlineStr">
        <is>
          <t>SUP-06</t>
        </is>
      </c>
      <c r="D43" t="inlineStr">
        <is>
          <t>MRO</t>
        </is>
      </c>
      <c r="E43" t="inlineStr">
        <is>
          <t>MRO-05</t>
        </is>
      </c>
      <c r="F43" s="17" t="n">
        <v>45570</v>
      </c>
      <c r="G43" s="17" t="n">
        <v>45578</v>
      </c>
      <c r="H43" s="18" t="n">
        <v>42</v>
      </c>
      <c r="I43" s="19" t="n">
        <v>36.13</v>
      </c>
      <c r="J43" s="19" t="n">
        <v>36</v>
      </c>
      <c r="K43" s="20" t="n">
        <v>0</v>
      </c>
      <c r="L43" s="20" t="n">
        <v>0</v>
      </c>
      <c r="M43" s="18" t="n">
        <v>42</v>
      </c>
      <c r="N43" s="18" t="n">
        <v>42</v>
      </c>
      <c r="O43" s="18" t="n">
        <v>0</v>
      </c>
      <c r="P43" s="17" t="n">
        <v>45577</v>
      </c>
      <c r="Q43" s="17" t="n">
        <v>45577</v>
      </c>
      <c r="R43" s="17" t="n">
        <v>45577</v>
      </c>
      <c r="S43" s="19">
        <f>H43*I43</f>
        <v/>
      </c>
      <c r="T43" s="19">
        <f>H43*J43</f>
        <v/>
      </c>
      <c r="U43">
        <f>IF(AND(K43=0,G43&lt;=Assumptions!$C$6),1,0)</f>
        <v/>
      </c>
      <c r="V43">
        <f>IF(U43=1,IF(M43&gt;0,IF(P43&lt;=G43+Assumptions!$C$7,1,0),0),0)</f>
        <v/>
      </c>
      <c r="W43">
        <f>IF(AND(U43=1,M43&gt;=H43*(1-Assumptions!$C$8)),1,0)</f>
        <v/>
      </c>
      <c r="X43">
        <f>IF(AND(U43=1,N43&gt;=H43*(1-Assumptions!$C$8)),1,0)</f>
        <v/>
      </c>
      <c r="Y43">
        <f>IF(ISNUMBER(Q43),1,0)</f>
        <v/>
      </c>
      <c r="Z43">
        <f>IF(AND(K43=0,L43=0,Y43=0),1,0)</f>
        <v/>
      </c>
      <c r="AA43">
        <f>IF(AND(Z43=1,G43&lt;Assumptions!$C$6),1,0)</f>
        <v/>
      </c>
      <c r="AB43">
        <f>IF(U43=0,"",IF(Y43=1,MAX(0,Q43-G43),IF(L43=1,MAX(0,R43-G43),MAX(0,Assumptions!$C$6-G43))))</f>
        <v/>
      </c>
      <c r="AC43">
        <f>IF(Y43=1,Q43-F43,"")</f>
        <v/>
      </c>
      <c r="AD43">
        <f>IF(Y43=1,AC43^2,"")</f>
        <v/>
      </c>
      <c r="AE43" s="19">
        <f>IF(Z43=1,(H43-M43)*I43,0)</f>
        <v/>
      </c>
      <c r="AF43">
        <f>IF(G43&lt;EDATE(Assumptions!$C$6,-12)+1,"prior_12m","last_12m")</f>
        <v/>
      </c>
      <c r="AG43" s="21">
        <f>DATE(YEAR(G43),MONTH(G43),1)</f>
        <v/>
      </c>
    </row>
    <row r="44">
      <c r="A44" t="inlineStr">
        <is>
          <t>SPO-00020-2</t>
        </is>
      </c>
      <c r="B44" t="inlineStr">
        <is>
          <t>SPO-00020</t>
        </is>
      </c>
      <c r="C44" t="inlineStr">
        <is>
          <t>SUP-06</t>
        </is>
      </c>
      <c r="D44" t="inlineStr">
        <is>
          <t>MRO</t>
        </is>
      </c>
      <c r="E44" t="inlineStr">
        <is>
          <t>MRO-07</t>
        </is>
      </c>
      <c r="F44" s="17" t="n">
        <v>45570</v>
      </c>
      <c r="G44" s="17" t="n">
        <v>45578</v>
      </c>
      <c r="H44" s="18" t="n">
        <v>164</v>
      </c>
      <c r="I44" s="19" t="n">
        <v>13.26</v>
      </c>
      <c r="J44" s="19" t="n">
        <v>14</v>
      </c>
      <c r="K44" s="20" t="n">
        <v>0</v>
      </c>
      <c r="L44" s="20" t="n">
        <v>0</v>
      </c>
      <c r="M44" s="18" t="n">
        <v>164</v>
      </c>
      <c r="N44" s="18" t="n">
        <v>164</v>
      </c>
      <c r="O44" s="18" t="n">
        <v>0</v>
      </c>
      <c r="P44" s="17" t="n">
        <v>45575</v>
      </c>
      <c r="Q44" s="17" t="n">
        <v>45575</v>
      </c>
      <c r="R44" s="17" t="n">
        <v>45575</v>
      </c>
      <c r="S44" s="19">
        <f>H44*I44</f>
        <v/>
      </c>
      <c r="T44" s="19">
        <f>H44*J44</f>
        <v/>
      </c>
      <c r="U44">
        <f>IF(AND(K44=0,G44&lt;=Assumptions!$C$6),1,0)</f>
        <v/>
      </c>
      <c r="V44">
        <f>IF(U44=1,IF(M44&gt;0,IF(P44&lt;=G44+Assumptions!$C$7,1,0),0),0)</f>
        <v/>
      </c>
      <c r="W44">
        <f>IF(AND(U44=1,M44&gt;=H44*(1-Assumptions!$C$8)),1,0)</f>
        <v/>
      </c>
      <c r="X44">
        <f>IF(AND(U44=1,N44&gt;=H44*(1-Assumptions!$C$8)),1,0)</f>
        <v/>
      </c>
      <c r="Y44">
        <f>IF(ISNUMBER(Q44),1,0)</f>
        <v/>
      </c>
      <c r="Z44">
        <f>IF(AND(K44=0,L44=0,Y44=0),1,0)</f>
        <v/>
      </c>
      <c r="AA44">
        <f>IF(AND(Z44=1,G44&lt;Assumptions!$C$6),1,0)</f>
        <v/>
      </c>
      <c r="AB44">
        <f>IF(U44=0,"",IF(Y44=1,MAX(0,Q44-G44),IF(L44=1,MAX(0,R44-G44),MAX(0,Assumptions!$C$6-G44))))</f>
        <v/>
      </c>
      <c r="AC44">
        <f>IF(Y44=1,Q44-F44,"")</f>
        <v/>
      </c>
      <c r="AD44">
        <f>IF(Y44=1,AC44^2,"")</f>
        <v/>
      </c>
      <c r="AE44" s="19">
        <f>IF(Z44=1,(H44-M44)*I44,0)</f>
        <v/>
      </c>
      <c r="AF44">
        <f>IF(G44&lt;EDATE(Assumptions!$C$6,-12)+1,"prior_12m","last_12m")</f>
        <v/>
      </c>
      <c r="AG44" s="21">
        <f>DATE(YEAR(G44),MONTH(G44),1)</f>
        <v/>
      </c>
    </row>
    <row r="45">
      <c r="A45" t="inlineStr">
        <is>
          <t>SPO-00021-1</t>
        </is>
      </c>
      <c r="B45" t="inlineStr">
        <is>
          <t>SPO-00021</t>
        </is>
      </c>
      <c r="C45" t="inlineStr">
        <is>
          <t>SUP-02</t>
        </is>
      </c>
      <c r="D45" t="inlineStr">
        <is>
          <t>ELEC</t>
        </is>
      </c>
      <c r="E45" t="inlineStr">
        <is>
          <t>ELEC-02</t>
        </is>
      </c>
      <c r="F45" s="17" t="n">
        <v>45571</v>
      </c>
      <c r="G45" s="17" t="n">
        <v>45587</v>
      </c>
      <c r="H45" s="18" t="n">
        <v>1286</v>
      </c>
      <c r="I45" s="19" t="n">
        <v>4.19</v>
      </c>
      <c r="J45" s="19" t="n">
        <v>4.2</v>
      </c>
      <c r="K45" s="20" t="n">
        <v>0</v>
      </c>
      <c r="L45" s="20" t="n">
        <v>0</v>
      </c>
      <c r="M45" s="18" t="n">
        <v>1286</v>
      </c>
      <c r="N45" s="18" t="n">
        <v>1286</v>
      </c>
      <c r="O45" s="18" t="n">
        <v>0</v>
      </c>
      <c r="P45" s="17" t="n">
        <v>45582</v>
      </c>
      <c r="Q45" s="17" t="n">
        <v>45582</v>
      </c>
      <c r="R45" s="17" t="n">
        <v>45582</v>
      </c>
      <c r="S45" s="19">
        <f>H45*I45</f>
        <v/>
      </c>
      <c r="T45" s="19">
        <f>H45*J45</f>
        <v/>
      </c>
      <c r="U45">
        <f>IF(AND(K45=0,G45&lt;=Assumptions!$C$6),1,0)</f>
        <v/>
      </c>
      <c r="V45">
        <f>IF(U45=1,IF(M45&gt;0,IF(P45&lt;=G45+Assumptions!$C$7,1,0),0),0)</f>
        <v/>
      </c>
      <c r="W45">
        <f>IF(AND(U45=1,M45&gt;=H45*(1-Assumptions!$C$8)),1,0)</f>
        <v/>
      </c>
      <c r="X45">
        <f>IF(AND(U45=1,N45&gt;=H45*(1-Assumptions!$C$8)),1,0)</f>
        <v/>
      </c>
      <c r="Y45">
        <f>IF(ISNUMBER(Q45),1,0)</f>
        <v/>
      </c>
      <c r="Z45">
        <f>IF(AND(K45=0,L45=0,Y45=0),1,0)</f>
        <v/>
      </c>
      <c r="AA45">
        <f>IF(AND(Z45=1,G45&lt;Assumptions!$C$6),1,0)</f>
        <v/>
      </c>
      <c r="AB45">
        <f>IF(U45=0,"",IF(Y45=1,MAX(0,Q45-G45),IF(L45=1,MAX(0,R45-G45),MAX(0,Assumptions!$C$6-G45))))</f>
        <v/>
      </c>
      <c r="AC45">
        <f>IF(Y45=1,Q45-F45,"")</f>
        <v/>
      </c>
      <c r="AD45">
        <f>IF(Y45=1,AC45^2,"")</f>
        <v/>
      </c>
      <c r="AE45" s="19">
        <f>IF(Z45=1,(H45-M45)*I45,0)</f>
        <v/>
      </c>
      <c r="AF45">
        <f>IF(G45&lt;EDATE(Assumptions!$C$6,-12)+1,"prior_12m","last_12m")</f>
        <v/>
      </c>
      <c r="AG45" s="21">
        <f>DATE(YEAR(G45),MONTH(G45),1)</f>
        <v/>
      </c>
    </row>
    <row r="46">
      <c r="A46" t="inlineStr">
        <is>
          <t>SPO-00022-1</t>
        </is>
      </c>
      <c r="B46" t="inlineStr">
        <is>
          <t>SPO-00022</t>
        </is>
      </c>
      <c r="C46" t="inlineStr">
        <is>
          <t>SUP-09</t>
        </is>
      </c>
      <c r="D46" t="inlineStr">
        <is>
          <t>CHEM</t>
        </is>
      </c>
      <c r="E46" t="inlineStr">
        <is>
          <t>CHEM-01</t>
        </is>
      </c>
      <c r="F46" s="17" t="n">
        <v>45571</v>
      </c>
      <c r="G46" s="17" t="n">
        <v>45585</v>
      </c>
      <c r="H46" s="18" t="n">
        <v>5</v>
      </c>
      <c r="I46" s="19" t="n">
        <v>660.34</v>
      </c>
      <c r="J46" s="19" t="n">
        <v>640</v>
      </c>
      <c r="K46" s="20" t="n">
        <v>0</v>
      </c>
      <c r="L46" s="20" t="n">
        <v>0</v>
      </c>
      <c r="M46" s="18" t="n">
        <v>5</v>
      </c>
      <c r="N46" s="18" t="n">
        <v>2</v>
      </c>
      <c r="O46" s="18" t="n">
        <v>0</v>
      </c>
      <c r="P46" s="17" t="n">
        <v>45581</v>
      </c>
      <c r="Q46" s="17" t="n">
        <v>45588</v>
      </c>
      <c r="R46" s="17" t="n">
        <v>45588</v>
      </c>
      <c r="S46" s="19">
        <f>H46*I46</f>
        <v/>
      </c>
      <c r="T46" s="19">
        <f>H46*J46</f>
        <v/>
      </c>
      <c r="U46">
        <f>IF(AND(K46=0,G46&lt;=Assumptions!$C$6),1,0)</f>
        <v/>
      </c>
      <c r="V46">
        <f>IF(U46=1,IF(M46&gt;0,IF(P46&lt;=G46+Assumptions!$C$7,1,0),0),0)</f>
        <v/>
      </c>
      <c r="W46">
        <f>IF(AND(U46=1,M46&gt;=H46*(1-Assumptions!$C$8)),1,0)</f>
        <v/>
      </c>
      <c r="X46">
        <f>IF(AND(U46=1,N46&gt;=H46*(1-Assumptions!$C$8)),1,0)</f>
        <v/>
      </c>
      <c r="Y46">
        <f>IF(ISNUMBER(Q46),1,0)</f>
        <v/>
      </c>
      <c r="Z46">
        <f>IF(AND(K46=0,L46=0,Y46=0),1,0)</f>
        <v/>
      </c>
      <c r="AA46">
        <f>IF(AND(Z46=1,G46&lt;Assumptions!$C$6),1,0)</f>
        <v/>
      </c>
      <c r="AB46">
        <f>IF(U46=0,"",IF(Y46=1,MAX(0,Q46-G46),IF(L46=1,MAX(0,R46-G46),MAX(0,Assumptions!$C$6-G46))))</f>
        <v/>
      </c>
      <c r="AC46">
        <f>IF(Y46=1,Q46-F46,"")</f>
        <v/>
      </c>
      <c r="AD46">
        <f>IF(Y46=1,AC46^2,"")</f>
        <v/>
      </c>
      <c r="AE46" s="19">
        <f>IF(Z46=1,(H46-M46)*I46,0)</f>
        <v/>
      </c>
      <c r="AF46">
        <f>IF(G46&lt;EDATE(Assumptions!$C$6,-12)+1,"prior_12m","last_12m")</f>
        <v/>
      </c>
      <c r="AG46" s="21">
        <f>DATE(YEAR(G46),MONTH(G46),1)</f>
        <v/>
      </c>
    </row>
    <row r="47">
      <c r="A47" t="inlineStr">
        <is>
          <t>SPO-00022-2</t>
        </is>
      </c>
      <c r="B47" t="inlineStr">
        <is>
          <t>SPO-00022</t>
        </is>
      </c>
      <c r="C47" t="inlineStr">
        <is>
          <t>SUP-09</t>
        </is>
      </c>
      <c r="D47" t="inlineStr">
        <is>
          <t>CHEM</t>
        </is>
      </c>
      <c r="E47" t="inlineStr">
        <is>
          <t>CHEM-06</t>
        </is>
      </c>
      <c r="F47" s="17" t="n">
        <v>45571</v>
      </c>
      <c r="G47" s="17" t="n">
        <v>45585</v>
      </c>
      <c r="H47" s="18" t="n">
        <v>3</v>
      </c>
      <c r="I47" s="19" t="n">
        <v>396.17</v>
      </c>
      <c r="J47" s="19" t="n">
        <v>380</v>
      </c>
      <c r="K47" s="20" t="n">
        <v>0</v>
      </c>
      <c r="L47" s="20" t="n">
        <v>0</v>
      </c>
      <c r="M47" s="18" t="n">
        <v>3</v>
      </c>
      <c r="N47" s="18" t="n">
        <v>3</v>
      </c>
      <c r="O47" s="18" t="n">
        <v>0</v>
      </c>
      <c r="P47" s="17" t="n">
        <v>45585</v>
      </c>
      <c r="Q47" s="17" t="n">
        <v>45585</v>
      </c>
      <c r="R47" s="17" t="n">
        <v>45585</v>
      </c>
      <c r="S47" s="19">
        <f>H47*I47</f>
        <v/>
      </c>
      <c r="T47" s="19">
        <f>H47*J47</f>
        <v/>
      </c>
      <c r="U47">
        <f>IF(AND(K47=0,G47&lt;=Assumptions!$C$6),1,0)</f>
        <v/>
      </c>
      <c r="V47">
        <f>IF(U47=1,IF(M47&gt;0,IF(P47&lt;=G47+Assumptions!$C$7,1,0),0),0)</f>
        <v/>
      </c>
      <c r="W47">
        <f>IF(AND(U47=1,M47&gt;=H47*(1-Assumptions!$C$8)),1,0)</f>
        <v/>
      </c>
      <c r="X47">
        <f>IF(AND(U47=1,N47&gt;=H47*(1-Assumptions!$C$8)),1,0)</f>
        <v/>
      </c>
      <c r="Y47">
        <f>IF(ISNUMBER(Q47),1,0)</f>
        <v/>
      </c>
      <c r="Z47">
        <f>IF(AND(K47=0,L47=0,Y47=0),1,0)</f>
        <v/>
      </c>
      <c r="AA47">
        <f>IF(AND(Z47=1,G47&lt;Assumptions!$C$6),1,0)</f>
        <v/>
      </c>
      <c r="AB47">
        <f>IF(U47=0,"",IF(Y47=1,MAX(0,Q47-G47),IF(L47=1,MAX(0,R47-G47),MAX(0,Assumptions!$C$6-G47))))</f>
        <v/>
      </c>
      <c r="AC47">
        <f>IF(Y47=1,Q47-F47,"")</f>
        <v/>
      </c>
      <c r="AD47">
        <f>IF(Y47=1,AC47^2,"")</f>
        <v/>
      </c>
      <c r="AE47" s="19">
        <f>IF(Z47=1,(H47-M47)*I47,0)</f>
        <v/>
      </c>
      <c r="AF47">
        <f>IF(G47&lt;EDATE(Assumptions!$C$6,-12)+1,"prior_12m","last_12m")</f>
        <v/>
      </c>
      <c r="AG47" s="21">
        <f>DATE(YEAR(G47),MONTH(G47),1)</f>
        <v/>
      </c>
    </row>
    <row r="48">
      <c r="A48" t="inlineStr">
        <is>
          <t>SPO-00022-3</t>
        </is>
      </c>
      <c r="B48" t="inlineStr">
        <is>
          <t>SPO-00022</t>
        </is>
      </c>
      <c r="C48" t="inlineStr">
        <is>
          <t>SUP-09</t>
        </is>
      </c>
      <c r="D48" t="inlineStr">
        <is>
          <t>CHEM</t>
        </is>
      </c>
      <c r="E48" t="inlineStr">
        <is>
          <t>CHEM-05</t>
        </is>
      </c>
      <c r="F48" s="17" t="n">
        <v>45571</v>
      </c>
      <c r="G48" s="17" t="n">
        <v>45585</v>
      </c>
      <c r="H48" s="18" t="n">
        <v>2</v>
      </c>
      <c r="I48" s="19" t="n">
        <v>984.25</v>
      </c>
      <c r="J48" s="19" t="n">
        <v>930</v>
      </c>
      <c r="K48" s="20" t="n">
        <v>0</v>
      </c>
      <c r="L48" s="20" t="n">
        <v>0</v>
      </c>
      <c r="M48" s="18" t="n">
        <v>2</v>
      </c>
      <c r="N48" s="18" t="n">
        <v>2</v>
      </c>
      <c r="O48" s="18" t="n">
        <v>0</v>
      </c>
      <c r="P48" s="17" t="n">
        <v>45583</v>
      </c>
      <c r="Q48" s="17" t="n">
        <v>45583</v>
      </c>
      <c r="R48" s="17" t="n">
        <v>45583</v>
      </c>
      <c r="S48" s="19">
        <f>H48*I48</f>
        <v/>
      </c>
      <c r="T48" s="19">
        <f>H48*J48</f>
        <v/>
      </c>
      <c r="U48">
        <f>IF(AND(K48=0,G48&lt;=Assumptions!$C$6),1,0)</f>
        <v/>
      </c>
      <c r="V48">
        <f>IF(U48=1,IF(M48&gt;0,IF(P48&lt;=G48+Assumptions!$C$7,1,0),0),0)</f>
        <v/>
      </c>
      <c r="W48">
        <f>IF(AND(U48=1,M48&gt;=H48*(1-Assumptions!$C$8)),1,0)</f>
        <v/>
      </c>
      <c r="X48">
        <f>IF(AND(U48=1,N48&gt;=H48*(1-Assumptions!$C$8)),1,0)</f>
        <v/>
      </c>
      <c r="Y48">
        <f>IF(ISNUMBER(Q48),1,0)</f>
        <v/>
      </c>
      <c r="Z48">
        <f>IF(AND(K48=0,L48=0,Y48=0),1,0)</f>
        <v/>
      </c>
      <c r="AA48">
        <f>IF(AND(Z48=1,G48&lt;Assumptions!$C$6),1,0)</f>
        <v/>
      </c>
      <c r="AB48">
        <f>IF(U48=0,"",IF(Y48=1,MAX(0,Q48-G48),IF(L48=1,MAX(0,R48-G48),MAX(0,Assumptions!$C$6-G48))))</f>
        <v/>
      </c>
      <c r="AC48">
        <f>IF(Y48=1,Q48-F48,"")</f>
        <v/>
      </c>
      <c r="AD48">
        <f>IF(Y48=1,AC48^2,"")</f>
        <v/>
      </c>
      <c r="AE48" s="19">
        <f>IF(Z48=1,(H48-M48)*I48,0)</f>
        <v/>
      </c>
      <c r="AF48">
        <f>IF(G48&lt;EDATE(Assumptions!$C$6,-12)+1,"prior_12m","last_12m")</f>
        <v/>
      </c>
      <c r="AG48" s="21">
        <f>DATE(YEAR(G48),MONTH(G48),1)</f>
        <v/>
      </c>
    </row>
    <row r="49">
      <c r="A49" t="inlineStr">
        <is>
          <t>SPO-00023-1</t>
        </is>
      </c>
      <c r="B49" t="inlineStr">
        <is>
          <t>SPO-00023</t>
        </is>
      </c>
      <c r="C49" t="inlineStr">
        <is>
          <t>SUP-05</t>
        </is>
      </c>
      <c r="D49" t="inlineStr">
        <is>
          <t>FLEET</t>
        </is>
      </c>
      <c r="E49" t="inlineStr">
        <is>
          <t>FLEET-01</t>
        </is>
      </c>
      <c r="F49" s="17" t="n">
        <v>45571</v>
      </c>
      <c r="G49" s="17" t="n">
        <v>45585</v>
      </c>
      <c r="H49" s="18" t="n">
        <v>44</v>
      </c>
      <c r="I49" s="19" t="n">
        <v>67.73</v>
      </c>
      <c r="J49" s="19" t="n">
        <v>64</v>
      </c>
      <c r="K49" s="20" t="n">
        <v>1</v>
      </c>
      <c r="L49" s="20" t="n">
        <v>0</v>
      </c>
      <c r="M49" s="18" t="n">
        <v>0</v>
      </c>
      <c r="N49" s="18" t="n">
        <v>0</v>
      </c>
      <c r="O49" s="18" t="n">
        <v>0</v>
      </c>
      <c r="P49" s="17" t="n"/>
      <c r="Q49" s="17" t="n"/>
      <c r="R49" s="17" t="n"/>
      <c r="S49" s="19">
        <f>H49*I49</f>
        <v/>
      </c>
      <c r="T49" s="19">
        <f>H49*J49</f>
        <v/>
      </c>
      <c r="U49">
        <f>IF(AND(K49=0,G49&lt;=Assumptions!$C$6),1,0)</f>
        <v/>
      </c>
      <c r="V49">
        <f>IF(U49=1,IF(M49&gt;0,IF(P49&lt;=G49+Assumptions!$C$7,1,0),0),0)</f>
        <v/>
      </c>
      <c r="W49">
        <f>IF(AND(U49=1,M49&gt;=H49*(1-Assumptions!$C$8)),1,0)</f>
        <v/>
      </c>
      <c r="X49">
        <f>IF(AND(U49=1,N49&gt;=H49*(1-Assumptions!$C$8)),1,0)</f>
        <v/>
      </c>
      <c r="Y49">
        <f>IF(ISNUMBER(Q49),1,0)</f>
        <v/>
      </c>
      <c r="Z49">
        <f>IF(AND(K49=0,L49=0,Y49=0),1,0)</f>
        <v/>
      </c>
      <c r="AA49">
        <f>IF(AND(Z49=1,G49&lt;Assumptions!$C$6),1,0)</f>
        <v/>
      </c>
      <c r="AB49">
        <f>IF(U49=0,"",IF(Y49=1,MAX(0,Q49-G49),IF(L49=1,MAX(0,R49-G49),MAX(0,Assumptions!$C$6-G49))))</f>
        <v/>
      </c>
      <c r="AC49">
        <f>IF(Y49=1,Q49-F49,"")</f>
        <v/>
      </c>
      <c r="AD49">
        <f>IF(Y49=1,AC49^2,"")</f>
        <v/>
      </c>
      <c r="AE49" s="19">
        <f>IF(Z49=1,(H49-M49)*I49,0)</f>
        <v/>
      </c>
      <c r="AF49">
        <f>IF(G49&lt;EDATE(Assumptions!$C$6,-12)+1,"prior_12m","last_12m")</f>
        <v/>
      </c>
      <c r="AG49" s="21">
        <f>DATE(YEAR(G49),MONTH(G49),1)</f>
        <v/>
      </c>
    </row>
    <row r="50">
      <c r="A50" t="inlineStr">
        <is>
          <t>SPO-00023-2</t>
        </is>
      </c>
      <c r="B50" t="inlineStr">
        <is>
          <t>SPO-00023</t>
        </is>
      </c>
      <c r="C50" t="inlineStr">
        <is>
          <t>SUP-05</t>
        </is>
      </c>
      <c r="D50" t="inlineStr">
        <is>
          <t>FLEET</t>
        </is>
      </c>
      <c r="E50" t="inlineStr">
        <is>
          <t>FLEET-03</t>
        </is>
      </c>
      <c r="F50" s="17" t="n">
        <v>45571</v>
      </c>
      <c r="G50" s="17" t="n">
        <v>45585</v>
      </c>
      <c r="H50" s="18" t="n">
        <v>35</v>
      </c>
      <c r="I50" s="19" t="n">
        <v>21.3</v>
      </c>
      <c r="J50" s="19" t="n">
        <v>21</v>
      </c>
      <c r="K50" s="20" t="n">
        <v>0</v>
      </c>
      <c r="L50" s="20" t="n">
        <v>0</v>
      </c>
      <c r="M50" s="18" t="n">
        <v>35</v>
      </c>
      <c r="N50" s="18" t="n">
        <v>35</v>
      </c>
      <c r="O50" s="18" t="n">
        <v>0</v>
      </c>
      <c r="P50" s="17" t="n">
        <v>45581</v>
      </c>
      <c r="Q50" s="17" t="n">
        <v>45581</v>
      </c>
      <c r="R50" s="17" t="n">
        <v>45581</v>
      </c>
      <c r="S50" s="19">
        <f>H50*I50</f>
        <v/>
      </c>
      <c r="T50" s="19">
        <f>H50*J50</f>
        <v/>
      </c>
      <c r="U50">
        <f>IF(AND(K50=0,G50&lt;=Assumptions!$C$6),1,0)</f>
        <v/>
      </c>
      <c r="V50">
        <f>IF(U50=1,IF(M50&gt;0,IF(P50&lt;=G50+Assumptions!$C$7,1,0),0),0)</f>
        <v/>
      </c>
      <c r="W50">
        <f>IF(AND(U50=1,M50&gt;=H50*(1-Assumptions!$C$8)),1,0)</f>
        <v/>
      </c>
      <c r="X50">
        <f>IF(AND(U50=1,N50&gt;=H50*(1-Assumptions!$C$8)),1,0)</f>
        <v/>
      </c>
      <c r="Y50">
        <f>IF(ISNUMBER(Q50),1,0)</f>
        <v/>
      </c>
      <c r="Z50">
        <f>IF(AND(K50=0,L50=0,Y50=0),1,0)</f>
        <v/>
      </c>
      <c r="AA50">
        <f>IF(AND(Z50=1,G50&lt;Assumptions!$C$6),1,0)</f>
        <v/>
      </c>
      <c r="AB50">
        <f>IF(U50=0,"",IF(Y50=1,MAX(0,Q50-G50),IF(L50=1,MAX(0,R50-G50),MAX(0,Assumptions!$C$6-G50))))</f>
        <v/>
      </c>
      <c r="AC50">
        <f>IF(Y50=1,Q50-F50,"")</f>
        <v/>
      </c>
      <c r="AD50">
        <f>IF(Y50=1,AC50^2,"")</f>
        <v/>
      </c>
      <c r="AE50" s="19">
        <f>IF(Z50=1,(H50-M50)*I50,0)</f>
        <v/>
      </c>
      <c r="AF50">
        <f>IF(G50&lt;EDATE(Assumptions!$C$6,-12)+1,"prior_12m","last_12m")</f>
        <v/>
      </c>
      <c r="AG50" s="21">
        <f>DATE(YEAR(G50),MONTH(G50),1)</f>
        <v/>
      </c>
    </row>
    <row r="51">
      <c r="A51" t="inlineStr">
        <is>
          <t>SPO-00023-3</t>
        </is>
      </c>
      <c r="B51" t="inlineStr">
        <is>
          <t>SPO-00023</t>
        </is>
      </c>
      <c r="C51" t="inlineStr">
        <is>
          <t>SUP-05</t>
        </is>
      </c>
      <c r="D51" t="inlineStr">
        <is>
          <t>FLEET</t>
        </is>
      </c>
      <c r="E51" t="inlineStr">
        <is>
          <t>FLEET-06</t>
        </is>
      </c>
      <c r="F51" s="17" t="n">
        <v>45571</v>
      </c>
      <c r="G51" s="17" t="n">
        <v>45585</v>
      </c>
      <c r="H51" s="18" t="n">
        <v>36</v>
      </c>
      <c r="I51" s="19" t="n">
        <v>31.73</v>
      </c>
      <c r="J51" s="19" t="n">
        <v>33</v>
      </c>
      <c r="K51" s="20" t="n">
        <v>0</v>
      </c>
      <c r="L51" s="20" t="n">
        <v>0</v>
      </c>
      <c r="M51" s="18" t="n">
        <v>36</v>
      </c>
      <c r="N51" s="18" t="n">
        <v>36</v>
      </c>
      <c r="O51" s="18" t="n">
        <v>0</v>
      </c>
      <c r="P51" s="17" t="n">
        <v>45583</v>
      </c>
      <c r="Q51" s="17" t="n">
        <v>45583</v>
      </c>
      <c r="R51" s="17" t="n">
        <v>45583</v>
      </c>
      <c r="S51" s="19">
        <f>H51*I51</f>
        <v/>
      </c>
      <c r="T51" s="19">
        <f>H51*J51</f>
        <v/>
      </c>
      <c r="U51">
        <f>IF(AND(K51=0,G51&lt;=Assumptions!$C$6),1,0)</f>
        <v/>
      </c>
      <c r="V51">
        <f>IF(U51=1,IF(M51&gt;0,IF(P51&lt;=G51+Assumptions!$C$7,1,0),0),0)</f>
        <v/>
      </c>
      <c r="W51">
        <f>IF(AND(U51=1,M51&gt;=H51*(1-Assumptions!$C$8)),1,0)</f>
        <v/>
      </c>
      <c r="X51">
        <f>IF(AND(U51=1,N51&gt;=H51*(1-Assumptions!$C$8)),1,0)</f>
        <v/>
      </c>
      <c r="Y51">
        <f>IF(ISNUMBER(Q51),1,0)</f>
        <v/>
      </c>
      <c r="Z51">
        <f>IF(AND(K51=0,L51=0,Y51=0),1,0)</f>
        <v/>
      </c>
      <c r="AA51">
        <f>IF(AND(Z51=1,G51&lt;Assumptions!$C$6),1,0)</f>
        <v/>
      </c>
      <c r="AB51">
        <f>IF(U51=0,"",IF(Y51=1,MAX(0,Q51-G51),IF(L51=1,MAX(0,R51-G51),MAX(0,Assumptions!$C$6-G51))))</f>
        <v/>
      </c>
      <c r="AC51">
        <f>IF(Y51=1,Q51-F51,"")</f>
        <v/>
      </c>
      <c r="AD51">
        <f>IF(Y51=1,AC51^2,"")</f>
        <v/>
      </c>
      <c r="AE51" s="19">
        <f>IF(Z51=1,(H51-M51)*I51,0)</f>
        <v/>
      </c>
      <c r="AF51">
        <f>IF(G51&lt;EDATE(Assumptions!$C$6,-12)+1,"prior_12m","last_12m")</f>
        <v/>
      </c>
      <c r="AG51" s="21">
        <f>DATE(YEAR(G51),MONTH(G51),1)</f>
        <v/>
      </c>
    </row>
    <row r="52">
      <c r="A52" t="inlineStr">
        <is>
          <t>SPO-00023-4</t>
        </is>
      </c>
      <c r="B52" t="inlineStr">
        <is>
          <t>SPO-00023</t>
        </is>
      </c>
      <c r="C52" t="inlineStr">
        <is>
          <t>SUP-05</t>
        </is>
      </c>
      <c r="D52" t="inlineStr">
        <is>
          <t>FLEET</t>
        </is>
      </c>
      <c r="E52" t="inlineStr">
        <is>
          <t>FLEET-08</t>
        </is>
      </c>
      <c r="F52" s="17" t="n">
        <v>45571</v>
      </c>
      <c r="G52" s="17" t="n">
        <v>45585</v>
      </c>
      <c r="H52" s="18" t="n">
        <v>175</v>
      </c>
      <c r="I52" s="19" t="n">
        <v>6.58</v>
      </c>
      <c r="J52" s="19" t="n">
        <v>6.4</v>
      </c>
      <c r="K52" s="20" t="n">
        <v>0</v>
      </c>
      <c r="L52" s="20" t="n">
        <v>0</v>
      </c>
      <c r="M52" s="18" t="n">
        <v>175</v>
      </c>
      <c r="N52" s="18" t="n">
        <v>175</v>
      </c>
      <c r="O52" s="18" t="n">
        <v>0</v>
      </c>
      <c r="P52" s="17" t="n">
        <v>45583</v>
      </c>
      <c r="Q52" s="17" t="n">
        <v>45583</v>
      </c>
      <c r="R52" s="17" t="n">
        <v>45583</v>
      </c>
      <c r="S52" s="19">
        <f>H52*I52</f>
        <v/>
      </c>
      <c r="T52" s="19">
        <f>H52*J52</f>
        <v/>
      </c>
      <c r="U52">
        <f>IF(AND(K52=0,G52&lt;=Assumptions!$C$6),1,0)</f>
        <v/>
      </c>
      <c r="V52">
        <f>IF(U52=1,IF(M52&gt;0,IF(P52&lt;=G52+Assumptions!$C$7,1,0),0),0)</f>
        <v/>
      </c>
      <c r="W52">
        <f>IF(AND(U52=1,M52&gt;=H52*(1-Assumptions!$C$8)),1,0)</f>
        <v/>
      </c>
      <c r="X52">
        <f>IF(AND(U52=1,N52&gt;=H52*(1-Assumptions!$C$8)),1,0)</f>
        <v/>
      </c>
      <c r="Y52">
        <f>IF(ISNUMBER(Q52),1,0)</f>
        <v/>
      </c>
      <c r="Z52">
        <f>IF(AND(K52=0,L52=0,Y52=0),1,0)</f>
        <v/>
      </c>
      <c r="AA52">
        <f>IF(AND(Z52=1,G52&lt;Assumptions!$C$6),1,0)</f>
        <v/>
      </c>
      <c r="AB52">
        <f>IF(U52=0,"",IF(Y52=1,MAX(0,Q52-G52),IF(L52=1,MAX(0,R52-G52),MAX(0,Assumptions!$C$6-G52))))</f>
        <v/>
      </c>
      <c r="AC52">
        <f>IF(Y52=1,Q52-F52,"")</f>
        <v/>
      </c>
      <c r="AD52">
        <f>IF(Y52=1,AC52^2,"")</f>
        <v/>
      </c>
      <c r="AE52" s="19">
        <f>IF(Z52=1,(H52-M52)*I52,0)</f>
        <v/>
      </c>
      <c r="AF52">
        <f>IF(G52&lt;EDATE(Assumptions!$C$6,-12)+1,"prior_12m","last_12m")</f>
        <v/>
      </c>
      <c r="AG52" s="21">
        <f>DATE(YEAR(G52),MONTH(G52),1)</f>
        <v/>
      </c>
    </row>
    <row r="53">
      <c r="A53" t="inlineStr">
        <is>
          <t>SPO-00024-1</t>
        </is>
      </c>
      <c r="B53" t="inlineStr">
        <is>
          <t>SPO-00024</t>
        </is>
      </c>
      <c r="C53" t="inlineStr">
        <is>
          <t>SUP-04</t>
        </is>
      </c>
      <c r="D53" t="inlineStr">
        <is>
          <t>FLEET</t>
        </is>
      </c>
      <c r="E53" t="inlineStr">
        <is>
          <t>FLEET-06</t>
        </is>
      </c>
      <c r="F53" s="17" t="n">
        <v>45571</v>
      </c>
      <c r="G53" s="17" t="n">
        <v>45584</v>
      </c>
      <c r="H53" s="18" t="n">
        <v>38</v>
      </c>
      <c r="I53" s="19" t="n">
        <v>31.84</v>
      </c>
      <c r="J53" s="19" t="n">
        <v>33</v>
      </c>
      <c r="K53" s="20" t="n">
        <v>0</v>
      </c>
      <c r="L53" s="20" t="n">
        <v>0</v>
      </c>
      <c r="M53" s="18" t="n">
        <v>38</v>
      </c>
      <c r="N53" s="18" t="n">
        <v>0</v>
      </c>
      <c r="O53" s="18" t="n">
        <v>0</v>
      </c>
      <c r="P53" s="17" t="n">
        <v>45728</v>
      </c>
      <c r="Q53" s="17" t="n">
        <v>45728</v>
      </c>
      <c r="R53" s="17" t="n">
        <v>45728</v>
      </c>
      <c r="S53" s="19">
        <f>H53*I53</f>
        <v/>
      </c>
      <c r="T53" s="19">
        <f>H53*J53</f>
        <v/>
      </c>
      <c r="U53">
        <f>IF(AND(K53=0,G53&lt;=Assumptions!$C$6),1,0)</f>
        <v/>
      </c>
      <c r="V53">
        <f>IF(U53=1,IF(M53&gt;0,IF(P53&lt;=G53+Assumptions!$C$7,1,0),0),0)</f>
        <v/>
      </c>
      <c r="W53">
        <f>IF(AND(U53=1,M53&gt;=H53*(1-Assumptions!$C$8)),1,0)</f>
        <v/>
      </c>
      <c r="X53">
        <f>IF(AND(U53=1,N53&gt;=H53*(1-Assumptions!$C$8)),1,0)</f>
        <v/>
      </c>
      <c r="Y53">
        <f>IF(ISNUMBER(Q53),1,0)</f>
        <v/>
      </c>
      <c r="Z53">
        <f>IF(AND(K53=0,L53=0,Y53=0),1,0)</f>
        <v/>
      </c>
      <c r="AA53">
        <f>IF(AND(Z53=1,G53&lt;Assumptions!$C$6),1,0)</f>
        <v/>
      </c>
      <c r="AB53">
        <f>IF(U53=0,"",IF(Y53=1,MAX(0,Q53-G53),IF(L53=1,MAX(0,R53-G53),MAX(0,Assumptions!$C$6-G53))))</f>
        <v/>
      </c>
      <c r="AC53">
        <f>IF(Y53=1,Q53-F53,"")</f>
        <v/>
      </c>
      <c r="AD53">
        <f>IF(Y53=1,AC53^2,"")</f>
        <v/>
      </c>
      <c r="AE53" s="19">
        <f>IF(Z53=1,(H53-M53)*I53,0)</f>
        <v/>
      </c>
      <c r="AF53">
        <f>IF(G53&lt;EDATE(Assumptions!$C$6,-12)+1,"prior_12m","last_12m")</f>
        <v/>
      </c>
      <c r="AG53" s="21">
        <f>DATE(YEAR(G53),MONTH(G53),1)</f>
        <v/>
      </c>
    </row>
    <row r="54">
      <c r="A54" t="inlineStr">
        <is>
          <t>SPO-00024-2</t>
        </is>
      </c>
      <c r="B54" t="inlineStr">
        <is>
          <t>SPO-00024</t>
        </is>
      </c>
      <c r="C54" t="inlineStr">
        <is>
          <t>SUP-04</t>
        </is>
      </c>
      <c r="D54" t="inlineStr">
        <is>
          <t>FLEET</t>
        </is>
      </c>
      <c r="E54" t="inlineStr">
        <is>
          <t>FLEET-05</t>
        </is>
      </c>
      <c r="F54" s="17" t="n">
        <v>45571</v>
      </c>
      <c r="G54" s="17" t="n">
        <v>45584</v>
      </c>
      <c r="H54" s="18" t="n">
        <v>4</v>
      </c>
      <c r="I54" s="19" t="n">
        <v>161.58</v>
      </c>
      <c r="J54" s="19" t="n">
        <v>168</v>
      </c>
      <c r="K54" s="20" t="n">
        <v>0</v>
      </c>
      <c r="L54" s="20" t="n">
        <v>0</v>
      </c>
      <c r="M54" s="18" t="n">
        <v>4</v>
      </c>
      <c r="N54" s="18" t="n">
        <v>4</v>
      </c>
      <c r="O54" s="18" t="n">
        <v>0</v>
      </c>
      <c r="P54" s="17" t="n">
        <v>45577</v>
      </c>
      <c r="Q54" s="17" t="n">
        <v>45582</v>
      </c>
      <c r="R54" s="17" t="n">
        <v>45582</v>
      </c>
      <c r="S54" s="19">
        <f>H54*I54</f>
        <v/>
      </c>
      <c r="T54" s="19">
        <f>H54*J54</f>
        <v/>
      </c>
      <c r="U54">
        <f>IF(AND(K54=0,G54&lt;=Assumptions!$C$6),1,0)</f>
        <v/>
      </c>
      <c r="V54">
        <f>IF(U54=1,IF(M54&gt;0,IF(P54&lt;=G54+Assumptions!$C$7,1,0),0),0)</f>
        <v/>
      </c>
      <c r="W54">
        <f>IF(AND(U54=1,M54&gt;=H54*(1-Assumptions!$C$8)),1,0)</f>
        <v/>
      </c>
      <c r="X54">
        <f>IF(AND(U54=1,N54&gt;=H54*(1-Assumptions!$C$8)),1,0)</f>
        <v/>
      </c>
      <c r="Y54">
        <f>IF(ISNUMBER(Q54),1,0)</f>
        <v/>
      </c>
      <c r="Z54">
        <f>IF(AND(K54=0,L54=0,Y54=0),1,0)</f>
        <v/>
      </c>
      <c r="AA54">
        <f>IF(AND(Z54=1,G54&lt;Assumptions!$C$6),1,0)</f>
        <v/>
      </c>
      <c r="AB54">
        <f>IF(U54=0,"",IF(Y54=1,MAX(0,Q54-G54),IF(L54=1,MAX(0,R54-G54),MAX(0,Assumptions!$C$6-G54))))</f>
        <v/>
      </c>
      <c r="AC54">
        <f>IF(Y54=1,Q54-F54,"")</f>
        <v/>
      </c>
      <c r="AD54">
        <f>IF(Y54=1,AC54^2,"")</f>
        <v/>
      </c>
      <c r="AE54" s="19">
        <f>IF(Z54=1,(H54-M54)*I54,0)</f>
        <v/>
      </c>
      <c r="AF54">
        <f>IF(G54&lt;EDATE(Assumptions!$C$6,-12)+1,"prior_12m","last_12m")</f>
        <v/>
      </c>
      <c r="AG54" s="21">
        <f>DATE(YEAR(G54),MONTH(G54),1)</f>
        <v/>
      </c>
    </row>
    <row r="55">
      <c r="A55" t="inlineStr">
        <is>
          <t>SPO-00025-1</t>
        </is>
      </c>
      <c r="B55" t="inlineStr">
        <is>
          <t>SPO-00025</t>
        </is>
      </c>
      <c r="C55" t="inlineStr">
        <is>
          <t>SUP-01</t>
        </is>
      </c>
      <c r="D55" t="inlineStr">
        <is>
          <t>ELEC</t>
        </is>
      </c>
      <c r="E55" t="inlineStr">
        <is>
          <t>ELEC-06</t>
        </is>
      </c>
      <c r="F55" s="17" t="n">
        <v>45571</v>
      </c>
      <c r="G55" s="17" t="n">
        <v>45589</v>
      </c>
      <c r="H55" s="18" t="n">
        <v>19</v>
      </c>
      <c r="I55" s="19" t="n">
        <v>147</v>
      </c>
      <c r="J55" s="19" t="n">
        <v>145</v>
      </c>
      <c r="K55" s="20" t="n">
        <v>0</v>
      </c>
      <c r="L55" s="20" t="n">
        <v>0</v>
      </c>
      <c r="M55" s="18" t="n">
        <v>19</v>
      </c>
      <c r="N55" s="18" t="n">
        <v>19</v>
      </c>
      <c r="O55" s="18" t="n">
        <v>0</v>
      </c>
      <c r="P55" s="17" t="n">
        <v>45588</v>
      </c>
      <c r="Q55" s="17" t="n">
        <v>45588</v>
      </c>
      <c r="R55" s="17" t="n">
        <v>45588</v>
      </c>
      <c r="S55" s="19">
        <f>H55*I55</f>
        <v/>
      </c>
      <c r="T55" s="19">
        <f>H55*J55</f>
        <v/>
      </c>
      <c r="U55">
        <f>IF(AND(K55=0,G55&lt;=Assumptions!$C$6),1,0)</f>
        <v/>
      </c>
      <c r="V55">
        <f>IF(U55=1,IF(M55&gt;0,IF(P55&lt;=G55+Assumptions!$C$7,1,0),0),0)</f>
        <v/>
      </c>
      <c r="W55">
        <f>IF(AND(U55=1,M55&gt;=H55*(1-Assumptions!$C$8)),1,0)</f>
        <v/>
      </c>
      <c r="X55">
        <f>IF(AND(U55=1,N55&gt;=H55*(1-Assumptions!$C$8)),1,0)</f>
        <v/>
      </c>
      <c r="Y55">
        <f>IF(ISNUMBER(Q55),1,0)</f>
        <v/>
      </c>
      <c r="Z55">
        <f>IF(AND(K55=0,L55=0,Y55=0),1,0)</f>
        <v/>
      </c>
      <c r="AA55">
        <f>IF(AND(Z55=1,G55&lt;Assumptions!$C$6),1,0)</f>
        <v/>
      </c>
      <c r="AB55">
        <f>IF(U55=0,"",IF(Y55=1,MAX(0,Q55-G55),IF(L55=1,MAX(0,R55-G55),MAX(0,Assumptions!$C$6-G55))))</f>
        <v/>
      </c>
      <c r="AC55">
        <f>IF(Y55=1,Q55-F55,"")</f>
        <v/>
      </c>
      <c r="AD55">
        <f>IF(Y55=1,AC55^2,"")</f>
        <v/>
      </c>
      <c r="AE55" s="19">
        <f>IF(Z55=1,(H55-M55)*I55,0)</f>
        <v/>
      </c>
      <c r="AF55">
        <f>IF(G55&lt;EDATE(Assumptions!$C$6,-12)+1,"prior_12m","last_12m")</f>
        <v/>
      </c>
      <c r="AG55" s="21">
        <f>DATE(YEAR(G55),MONTH(G55),1)</f>
        <v/>
      </c>
    </row>
    <row r="56">
      <c r="A56" t="inlineStr">
        <is>
          <t>SPO-00026-1</t>
        </is>
      </c>
      <c r="B56" t="inlineStr">
        <is>
          <t>SPO-00026</t>
        </is>
      </c>
      <c r="C56" t="inlineStr">
        <is>
          <t>SUP-06</t>
        </is>
      </c>
      <c r="D56" t="inlineStr">
        <is>
          <t>MRO</t>
        </is>
      </c>
      <c r="E56" t="inlineStr">
        <is>
          <t>MRO-06</t>
        </is>
      </c>
      <c r="F56" s="17" t="n">
        <v>45571</v>
      </c>
      <c r="G56" s="17" t="n">
        <v>45579</v>
      </c>
      <c r="H56" s="18" t="n">
        <v>183</v>
      </c>
      <c r="I56" s="19" t="n">
        <v>5.83</v>
      </c>
      <c r="J56" s="19" t="n">
        <v>6.1</v>
      </c>
      <c r="K56" s="20" t="n">
        <v>0</v>
      </c>
      <c r="L56" s="20" t="n">
        <v>0</v>
      </c>
      <c r="M56" s="18" t="n">
        <v>183</v>
      </c>
      <c r="N56" s="18" t="n">
        <v>183</v>
      </c>
      <c r="O56" s="18" t="n">
        <v>0</v>
      </c>
      <c r="P56" s="17" t="n">
        <v>45576</v>
      </c>
      <c r="Q56" s="17" t="n">
        <v>45576</v>
      </c>
      <c r="R56" s="17" t="n">
        <v>45576</v>
      </c>
      <c r="S56" s="19">
        <f>H56*I56</f>
        <v/>
      </c>
      <c r="T56" s="19">
        <f>H56*J56</f>
        <v/>
      </c>
      <c r="U56">
        <f>IF(AND(K56=0,G56&lt;=Assumptions!$C$6),1,0)</f>
        <v/>
      </c>
      <c r="V56">
        <f>IF(U56=1,IF(M56&gt;0,IF(P56&lt;=G56+Assumptions!$C$7,1,0),0),0)</f>
        <v/>
      </c>
      <c r="W56">
        <f>IF(AND(U56=1,M56&gt;=H56*(1-Assumptions!$C$8)),1,0)</f>
        <v/>
      </c>
      <c r="X56">
        <f>IF(AND(U56=1,N56&gt;=H56*(1-Assumptions!$C$8)),1,0)</f>
        <v/>
      </c>
      <c r="Y56">
        <f>IF(ISNUMBER(Q56),1,0)</f>
        <v/>
      </c>
      <c r="Z56">
        <f>IF(AND(K56=0,L56=0,Y56=0),1,0)</f>
        <v/>
      </c>
      <c r="AA56">
        <f>IF(AND(Z56=1,G56&lt;Assumptions!$C$6),1,0)</f>
        <v/>
      </c>
      <c r="AB56">
        <f>IF(U56=0,"",IF(Y56=1,MAX(0,Q56-G56),IF(L56=1,MAX(0,R56-G56),MAX(0,Assumptions!$C$6-G56))))</f>
        <v/>
      </c>
      <c r="AC56">
        <f>IF(Y56=1,Q56-F56,"")</f>
        <v/>
      </c>
      <c r="AD56">
        <f>IF(Y56=1,AC56^2,"")</f>
        <v/>
      </c>
      <c r="AE56" s="19">
        <f>IF(Z56=1,(H56-M56)*I56,0)</f>
        <v/>
      </c>
      <c r="AF56">
        <f>IF(G56&lt;EDATE(Assumptions!$C$6,-12)+1,"prior_12m","last_12m")</f>
        <v/>
      </c>
      <c r="AG56" s="21">
        <f>DATE(YEAR(G56),MONTH(G56),1)</f>
        <v/>
      </c>
    </row>
    <row r="57">
      <c r="A57" t="inlineStr">
        <is>
          <t>SPO-00026-2</t>
        </is>
      </c>
      <c r="B57" t="inlineStr">
        <is>
          <t>SPO-00026</t>
        </is>
      </c>
      <c r="C57" t="inlineStr">
        <is>
          <t>SUP-06</t>
        </is>
      </c>
      <c r="D57" t="inlineStr">
        <is>
          <t>MRO</t>
        </is>
      </c>
      <c r="E57" t="inlineStr">
        <is>
          <t>MRO-03</t>
        </is>
      </c>
      <c r="F57" s="17" t="n">
        <v>45571</v>
      </c>
      <c r="G57" s="17" t="n">
        <v>45579</v>
      </c>
      <c r="H57" s="18" t="n">
        <v>153</v>
      </c>
      <c r="I57" s="19" t="n">
        <v>8.81</v>
      </c>
      <c r="J57" s="19" t="n">
        <v>8.9</v>
      </c>
      <c r="K57" s="20" t="n">
        <v>0</v>
      </c>
      <c r="L57" s="20" t="n">
        <v>0</v>
      </c>
      <c r="M57" s="18" t="n">
        <v>153</v>
      </c>
      <c r="N57" s="18" t="n">
        <v>153</v>
      </c>
      <c r="O57" s="18" t="n">
        <v>0</v>
      </c>
      <c r="P57" s="17" t="n">
        <v>45575</v>
      </c>
      <c r="Q57" s="17" t="n">
        <v>45575</v>
      </c>
      <c r="R57" s="17" t="n">
        <v>45575</v>
      </c>
      <c r="S57" s="19">
        <f>H57*I57</f>
        <v/>
      </c>
      <c r="T57" s="19">
        <f>H57*J57</f>
        <v/>
      </c>
      <c r="U57">
        <f>IF(AND(K57=0,G57&lt;=Assumptions!$C$6),1,0)</f>
        <v/>
      </c>
      <c r="V57">
        <f>IF(U57=1,IF(M57&gt;0,IF(P57&lt;=G57+Assumptions!$C$7,1,0),0),0)</f>
        <v/>
      </c>
      <c r="W57">
        <f>IF(AND(U57=1,M57&gt;=H57*(1-Assumptions!$C$8)),1,0)</f>
        <v/>
      </c>
      <c r="X57">
        <f>IF(AND(U57=1,N57&gt;=H57*(1-Assumptions!$C$8)),1,0)</f>
        <v/>
      </c>
      <c r="Y57">
        <f>IF(ISNUMBER(Q57),1,0)</f>
        <v/>
      </c>
      <c r="Z57">
        <f>IF(AND(K57=0,L57=0,Y57=0),1,0)</f>
        <v/>
      </c>
      <c r="AA57">
        <f>IF(AND(Z57=1,G57&lt;Assumptions!$C$6),1,0)</f>
        <v/>
      </c>
      <c r="AB57">
        <f>IF(U57=0,"",IF(Y57=1,MAX(0,Q57-G57),IF(L57=1,MAX(0,R57-G57),MAX(0,Assumptions!$C$6-G57))))</f>
        <v/>
      </c>
      <c r="AC57">
        <f>IF(Y57=1,Q57-F57,"")</f>
        <v/>
      </c>
      <c r="AD57">
        <f>IF(Y57=1,AC57^2,"")</f>
        <v/>
      </c>
      <c r="AE57" s="19">
        <f>IF(Z57=1,(H57-M57)*I57,0)</f>
        <v/>
      </c>
      <c r="AF57">
        <f>IF(G57&lt;EDATE(Assumptions!$C$6,-12)+1,"prior_12m","last_12m")</f>
        <v/>
      </c>
      <c r="AG57" s="21">
        <f>DATE(YEAR(G57),MONTH(G57),1)</f>
        <v/>
      </c>
    </row>
    <row r="58">
      <c r="A58" t="inlineStr">
        <is>
          <t>SPO-00026-3</t>
        </is>
      </c>
      <c r="B58" t="inlineStr">
        <is>
          <t>SPO-00026</t>
        </is>
      </c>
      <c r="C58" t="inlineStr">
        <is>
          <t>SUP-06</t>
        </is>
      </c>
      <c r="D58" t="inlineStr">
        <is>
          <t>MRO</t>
        </is>
      </c>
      <c r="E58" t="inlineStr">
        <is>
          <t>MRO-01</t>
        </is>
      </c>
      <c r="F58" s="17" t="n">
        <v>45571</v>
      </c>
      <c r="G58" s="17" t="n">
        <v>45579</v>
      </c>
      <c r="H58" s="18" t="n">
        <v>53</v>
      </c>
      <c r="I58" s="19" t="n">
        <v>51.36</v>
      </c>
      <c r="J58" s="19" t="n">
        <v>52</v>
      </c>
      <c r="K58" s="20" t="n">
        <v>0</v>
      </c>
      <c r="L58" s="20" t="n">
        <v>0</v>
      </c>
      <c r="M58" s="18" t="n">
        <v>53</v>
      </c>
      <c r="N58" s="18" t="n">
        <v>53</v>
      </c>
      <c r="O58" s="18" t="n">
        <v>0</v>
      </c>
      <c r="P58" s="17" t="n">
        <v>45577</v>
      </c>
      <c r="Q58" s="17" t="n">
        <v>45577</v>
      </c>
      <c r="R58" s="17" t="n">
        <v>45577</v>
      </c>
      <c r="S58" s="19">
        <f>H58*I58</f>
        <v/>
      </c>
      <c r="T58" s="19">
        <f>H58*J58</f>
        <v/>
      </c>
      <c r="U58">
        <f>IF(AND(K58=0,G58&lt;=Assumptions!$C$6),1,0)</f>
        <v/>
      </c>
      <c r="V58">
        <f>IF(U58=1,IF(M58&gt;0,IF(P58&lt;=G58+Assumptions!$C$7,1,0),0),0)</f>
        <v/>
      </c>
      <c r="W58">
        <f>IF(AND(U58=1,M58&gt;=H58*(1-Assumptions!$C$8)),1,0)</f>
        <v/>
      </c>
      <c r="X58">
        <f>IF(AND(U58=1,N58&gt;=H58*(1-Assumptions!$C$8)),1,0)</f>
        <v/>
      </c>
      <c r="Y58">
        <f>IF(ISNUMBER(Q58),1,0)</f>
        <v/>
      </c>
      <c r="Z58">
        <f>IF(AND(K58=0,L58=0,Y58=0),1,0)</f>
        <v/>
      </c>
      <c r="AA58">
        <f>IF(AND(Z58=1,G58&lt;Assumptions!$C$6),1,0)</f>
        <v/>
      </c>
      <c r="AB58">
        <f>IF(U58=0,"",IF(Y58=1,MAX(0,Q58-G58),IF(L58=1,MAX(0,R58-G58),MAX(0,Assumptions!$C$6-G58))))</f>
        <v/>
      </c>
      <c r="AC58">
        <f>IF(Y58=1,Q58-F58,"")</f>
        <v/>
      </c>
      <c r="AD58">
        <f>IF(Y58=1,AC58^2,"")</f>
        <v/>
      </c>
      <c r="AE58" s="19">
        <f>IF(Z58=1,(H58-M58)*I58,0)</f>
        <v/>
      </c>
      <c r="AF58">
        <f>IF(G58&lt;EDATE(Assumptions!$C$6,-12)+1,"prior_12m","last_12m")</f>
        <v/>
      </c>
      <c r="AG58" s="21">
        <f>DATE(YEAR(G58),MONTH(G58),1)</f>
        <v/>
      </c>
    </row>
    <row r="59">
      <c r="A59" t="inlineStr">
        <is>
          <t>SPO-00027-1</t>
        </is>
      </c>
      <c r="B59" t="inlineStr">
        <is>
          <t>SPO-00027</t>
        </is>
      </c>
      <c r="C59" t="inlineStr">
        <is>
          <t>SUP-01</t>
        </is>
      </c>
      <c r="D59" t="inlineStr">
        <is>
          <t>ELEC</t>
        </is>
      </c>
      <c r="E59" t="inlineStr">
        <is>
          <t>ELEC-04</t>
        </is>
      </c>
      <c r="F59" s="17" t="n">
        <v>45572</v>
      </c>
      <c r="G59" s="17" t="n">
        <v>45590</v>
      </c>
      <c r="H59" s="18" t="n">
        <v>40</v>
      </c>
      <c r="I59" s="19" t="n">
        <v>72.7</v>
      </c>
      <c r="J59" s="19" t="n">
        <v>72</v>
      </c>
      <c r="K59" s="20" t="n">
        <v>0</v>
      </c>
      <c r="L59" s="20" t="n">
        <v>0</v>
      </c>
      <c r="M59" s="18" t="n">
        <v>40</v>
      </c>
      <c r="N59" s="18" t="n">
        <v>40</v>
      </c>
      <c r="O59" s="18" t="n">
        <v>0</v>
      </c>
      <c r="P59" s="17" t="n">
        <v>45585</v>
      </c>
      <c r="Q59" s="17" t="n">
        <v>45585</v>
      </c>
      <c r="R59" s="17" t="n">
        <v>45585</v>
      </c>
      <c r="S59" s="19">
        <f>H59*I59</f>
        <v/>
      </c>
      <c r="T59" s="19">
        <f>H59*J59</f>
        <v/>
      </c>
      <c r="U59">
        <f>IF(AND(K59=0,G59&lt;=Assumptions!$C$6),1,0)</f>
        <v/>
      </c>
      <c r="V59">
        <f>IF(U59=1,IF(M59&gt;0,IF(P59&lt;=G59+Assumptions!$C$7,1,0),0),0)</f>
        <v/>
      </c>
      <c r="W59">
        <f>IF(AND(U59=1,M59&gt;=H59*(1-Assumptions!$C$8)),1,0)</f>
        <v/>
      </c>
      <c r="X59">
        <f>IF(AND(U59=1,N59&gt;=H59*(1-Assumptions!$C$8)),1,0)</f>
        <v/>
      </c>
      <c r="Y59">
        <f>IF(ISNUMBER(Q59),1,0)</f>
        <v/>
      </c>
      <c r="Z59">
        <f>IF(AND(K59=0,L59=0,Y59=0),1,0)</f>
        <v/>
      </c>
      <c r="AA59">
        <f>IF(AND(Z59=1,G59&lt;Assumptions!$C$6),1,0)</f>
        <v/>
      </c>
      <c r="AB59">
        <f>IF(U59=0,"",IF(Y59=1,MAX(0,Q59-G59),IF(L59=1,MAX(0,R59-G59),MAX(0,Assumptions!$C$6-G59))))</f>
        <v/>
      </c>
      <c r="AC59">
        <f>IF(Y59=1,Q59-F59,"")</f>
        <v/>
      </c>
      <c r="AD59">
        <f>IF(Y59=1,AC59^2,"")</f>
        <v/>
      </c>
      <c r="AE59" s="19">
        <f>IF(Z59=1,(H59-M59)*I59,0)</f>
        <v/>
      </c>
      <c r="AF59">
        <f>IF(G59&lt;EDATE(Assumptions!$C$6,-12)+1,"prior_12m","last_12m")</f>
        <v/>
      </c>
      <c r="AG59" s="21">
        <f>DATE(YEAR(G59),MONTH(G59),1)</f>
        <v/>
      </c>
    </row>
    <row r="60">
      <c r="A60" t="inlineStr">
        <is>
          <t>SPO-00028-1</t>
        </is>
      </c>
      <c r="B60" t="inlineStr">
        <is>
          <t>SPO-00028</t>
        </is>
      </c>
      <c r="C60" t="inlineStr">
        <is>
          <t>SUP-10</t>
        </is>
      </c>
      <c r="D60" t="inlineStr">
        <is>
          <t>PPE</t>
        </is>
      </c>
      <c r="E60" t="inlineStr">
        <is>
          <t>PPE-05</t>
        </is>
      </c>
      <c r="F60" s="17" t="n">
        <v>45572</v>
      </c>
      <c r="G60" s="17" t="n">
        <v>45585</v>
      </c>
      <c r="H60" s="18" t="n">
        <v>189</v>
      </c>
      <c r="I60" s="19" t="n">
        <v>10.92</v>
      </c>
      <c r="J60" s="19" t="n">
        <v>11</v>
      </c>
      <c r="K60" s="20" t="n">
        <v>0</v>
      </c>
      <c r="L60" s="20" t="n">
        <v>0</v>
      </c>
      <c r="M60" s="18" t="n">
        <v>189</v>
      </c>
      <c r="N60" s="18" t="n">
        <v>89</v>
      </c>
      <c r="O60" s="18" t="n">
        <v>0</v>
      </c>
      <c r="P60" s="17" t="n">
        <v>45582</v>
      </c>
      <c r="Q60" s="17" t="n">
        <v>45590</v>
      </c>
      <c r="R60" s="17" t="n">
        <v>45590</v>
      </c>
      <c r="S60" s="19">
        <f>H60*I60</f>
        <v/>
      </c>
      <c r="T60" s="19">
        <f>H60*J60</f>
        <v/>
      </c>
      <c r="U60">
        <f>IF(AND(K60=0,G60&lt;=Assumptions!$C$6),1,0)</f>
        <v/>
      </c>
      <c r="V60">
        <f>IF(U60=1,IF(M60&gt;0,IF(P60&lt;=G60+Assumptions!$C$7,1,0),0),0)</f>
        <v/>
      </c>
      <c r="W60">
        <f>IF(AND(U60=1,M60&gt;=H60*(1-Assumptions!$C$8)),1,0)</f>
        <v/>
      </c>
      <c r="X60">
        <f>IF(AND(U60=1,N60&gt;=H60*(1-Assumptions!$C$8)),1,0)</f>
        <v/>
      </c>
      <c r="Y60">
        <f>IF(ISNUMBER(Q60),1,0)</f>
        <v/>
      </c>
      <c r="Z60">
        <f>IF(AND(K60=0,L60=0,Y60=0),1,0)</f>
        <v/>
      </c>
      <c r="AA60">
        <f>IF(AND(Z60=1,G60&lt;Assumptions!$C$6),1,0)</f>
        <v/>
      </c>
      <c r="AB60">
        <f>IF(U60=0,"",IF(Y60=1,MAX(0,Q60-G60),IF(L60=1,MAX(0,R60-G60),MAX(0,Assumptions!$C$6-G60))))</f>
        <v/>
      </c>
      <c r="AC60">
        <f>IF(Y60=1,Q60-F60,"")</f>
        <v/>
      </c>
      <c r="AD60">
        <f>IF(Y60=1,AC60^2,"")</f>
        <v/>
      </c>
      <c r="AE60" s="19">
        <f>IF(Z60=1,(H60-M60)*I60,0)</f>
        <v/>
      </c>
      <c r="AF60">
        <f>IF(G60&lt;EDATE(Assumptions!$C$6,-12)+1,"prior_12m","last_12m")</f>
        <v/>
      </c>
      <c r="AG60" s="21">
        <f>DATE(YEAR(G60),MONTH(G60),1)</f>
        <v/>
      </c>
    </row>
    <row r="61">
      <c r="A61" t="inlineStr">
        <is>
          <t>SPO-00029-1</t>
        </is>
      </c>
      <c r="B61" t="inlineStr">
        <is>
          <t>SPO-00029</t>
        </is>
      </c>
      <c r="C61" t="inlineStr">
        <is>
          <t>SUP-01</t>
        </is>
      </c>
      <c r="D61" t="inlineStr">
        <is>
          <t>ELEC</t>
        </is>
      </c>
      <c r="E61" t="inlineStr">
        <is>
          <t>ELEC-04</t>
        </is>
      </c>
      <c r="F61" s="17" t="n">
        <v>45573</v>
      </c>
      <c r="G61" s="17" t="n">
        <v>45591</v>
      </c>
      <c r="H61" s="18" t="n">
        <v>73</v>
      </c>
      <c r="I61" s="19" t="n">
        <v>69.23999999999999</v>
      </c>
      <c r="J61" s="19" t="n">
        <v>72</v>
      </c>
      <c r="K61" s="20" t="n">
        <v>0</v>
      </c>
      <c r="L61" s="20" t="n">
        <v>0</v>
      </c>
      <c r="M61" s="18" t="n">
        <v>73</v>
      </c>
      <c r="N61" s="18" t="n">
        <v>73</v>
      </c>
      <c r="O61" s="18" t="n">
        <v>0</v>
      </c>
      <c r="P61" s="17" t="n">
        <v>45585</v>
      </c>
      <c r="Q61" s="17" t="n">
        <v>45585</v>
      </c>
      <c r="R61" s="17" t="n">
        <v>45585</v>
      </c>
      <c r="S61" s="19">
        <f>H61*I61</f>
        <v/>
      </c>
      <c r="T61" s="19">
        <f>H61*J61</f>
        <v/>
      </c>
      <c r="U61">
        <f>IF(AND(K61=0,G61&lt;=Assumptions!$C$6),1,0)</f>
        <v/>
      </c>
      <c r="V61">
        <f>IF(U61=1,IF(M61&gt;0,IF(P61&lt;=G61+Assumptions!$C$7,1,0),0),0)</f>
        <v/>
      </c>
      <c r="W61">
        <f>IF(AND(U61=1,M61&gt;=H61*(1-Assumptions!$C$8)),1,0)</f>
        <v/>
      </c>
      <c r="X61">
        <f>IF(AND(U61=1,N61&gt;=H61*(1-Assumptions!$C$8)),1,0)</f>
        <v/>
      </c>
      <c r="Y61">
        <f>IF(ISNUMBER(Q61),1,0)</f>
        <v/>
      </c>
      <c r="Z61">
        <f>IF(AND(K61=0,L61=0,Y61=0),1,0)</f>
        <v/>
      </c>
      <c r="AA61">
        <f>IF(AND(Z61=1,G61&lt;Assumptions!$C$6),1,0)</f>
        <v/>
      </c>
      <c r="AB61">
        <f>IF(U61=0,"",IF(Y61=1,MAX(0,Q61-G61),IF(L61=1,MAX(0,R61-G61),MAX(0,Assumptions!$C$6-G61))))</f>
        <v/>
      </c>
      <c r="AC61">
        <f>IF(Y61=1,Q61-F61,"")</f>
        <v/>
      </c>
      <c r="AD61">
        <f>IF(Y61=1,AC61^2,"")</f>
        <v/>
      </c>
      <c r="AE61" s="19">
        <f>IF(Z61=1,(H61-M61)*I61,0)</f>
        <v/>
      </c>
      <c r="AF61">
        <f>IF(G61&lt;EDATE(Assumptions!$C$6,-12)+1,"prior_12m","last_12m")</f>
        <v/>
      </c>
      <c r="AG61" s="21">
        <f>DATE(YEAR(G61),MONTH(G61),1)</f>
        <v/>
      </c>
    </row>
    <row r="62">
      <c r="A62" t="inlineStr">
        <is>
          <t>SPO-00029-2</t>
        </is>
      </c>
      <c r="B62" t="inlineStr">
        <is>
          <t>SPO-00029</t>
        </is>
      </c>
      <c r="C62" t="inlineStr">
        <is>
          <t>SUP-01</t>
        </is>
      </c>
      <c r="D62" t="inlineStr">
        <is>
          <t>ELEC</t>
        </is>
      </c>
      <c r="E62" t="inlineStr">
        <is>
          <t>ELEC-05</t>
        </is>
      </c>
      <c r="F62" s="17" t="n">
        <v>45573</v>
      </c>
      <c r="G62" s="17" t="n">
        <v>45591</v>
      </c>
      <c r="H62" s="18" t="n">
        <v>402</v>
      </c>
      <c r="I62" s="19" t="n">
        <v>11.87</v>
      </c>
      <c r="J62" s="19" t="n">
        <v>11.5</v>
      </c>
      <c r="K62" s="20" t="n">
        <v>1</v>
      </c>
      <c r="L62" s="20" t="n">
        <v>0</v>
      </c>
      <c r="M62" s="18" t="n">
        <v>0</v>
      </c>
      <c r="N62" s="18" t="n">
        <v>0</v>
      </c>
      <c r="O62" s="18" t="n">
        <v>0</v>
      </c>
      <c r="P62" s="17" t="n"/>
      <c r="Q62" s="17" t="n"/>
      <c r="R62" s="17" t="n"/>
      <c r="S62" s="19">
        <f>H62*I62</f>
        <v/>
      </c>
      <c r="T62" s="19">
        <f>H62*J62</f>
        <v/>
      </c>
      <c r="U62">
        <f>IF(AND(K62=0,G62&lt;=Assumptions!$C$6),1,0)</f>
        <v/>
      </c>
      <c r="V62">
        <f>IF(U62=1,IF(M62&gt;0,IF(P62&lt;=G62+Assumptions!$C$7,1,0),0),0)</f>
        <v/>
      </c>
      <c r="W62">
        <f>IF(AND(U62=1,M62&gt;=H62*(1-Assumptions!$C$8)),1,0)</f>
        <v/>
      </c>
      <c r="X62">
        <f>IF(AND(U62=1,N62&gt;=H62*(1-Assumptions!$C$8)),1,0)</f>
        <v/>
      </c>
      <c r="Y62">
        <f>IF(ISNUMBER(Q62),1,0)</f>
        <v/>
      </c>
      <c r="Z62">
        <f>IF(AND(K62=0,L62=0,Y62=0),1,0)</f>
        <v/>
      </c>
      <c r="AA62">
        <f>IF(AND(Z62=1,G62&lt;Assumptions!$C$6),1,0)</f>
        <v/>
      </c>
      <c r="AB62">
        <f>IF(U62=0,"",IF(Y62=1,MAX(0,Q62-G62),IF(L62=1,MAX(0,R62-G62),MAX(0,Assumptions!$C$6-G62))))</f>
        <v/>
      </c>
      <c r="AC62">
        <f>IF(Y62=1,Q62-F62,"")</f>
        <v/>
      </c>
      <c r="AD62">
        <f>IF(Y62=1,AC62^2,"")</f>
        <v/>
      </c>
      <c r="AE62" s="19">
        <f>IF(Z62=1,(H62-M62)*I62,0)</f>
        <v/>
      </c>
      <c r="AF62">
        <f>IF(G62&lt;EDATE(Assumptions!$C$6,-12)+1,"prior_12m","last_12m")</f>
        <v/>
      </c>
      <c r="AG62" s="21">
        <f>DATE(YEAR(G62),MONTH(G62),1)</f>
        <v/>
      </c>
    </row>
    <row r="63">
      <c r="A63" t="inlineStr">
        <is>
          <t>SPO-00029-3</t>
        </is>
      </c>
      <c r="B63" t="inlineStr">
        <is>
          <t>SPO-00029</t>
        </is>
      </c>
      <c r="C63" t="inlineStr">
        <is>
          <t>SUP-01</t>
        </is>
      </c>
      <c r="D63" t="inlineStr">
        <is>
          <t>ELEC</t>
        </is>
      </c>
      <c r="E63" t="inlineStr">
        <is>
          <t>ELEC-08</t>
        </is>
      </c>
      <c r="F63" s="17" t="n">
        <v>45573</v>
      </c>
      <c r="G63" s="17" t="n">
        <v>45591</v>
      </c>
      <c r="H63" s="18" t="n">
        <v>288</v>
      </c>
      <c r="I63" s="19" t="n">
        <v>18.32</v>
      </c>
      <c r="J63" s="19" t="n">
        <v>18</v>
      </c>
      <c r="K63" s="20" t="n">
        <v>0</v>
      </c>
      <c r="L63" s="20" t="n">
        <v>0</v>
      </c>
      <c r="M63" s="18" t="n">
        <v>288</v>
      </c>
      <c r="N63" s="18" t="n">
        <v>288</v>
      </c>
      <c r="O63" s="18" t="n">
        <v>0</v>
      </c>
      <c r="P63" s="17" t="n">
        <v>45585</v>
      </c>
      <c r="Q63" s="17" t="n">
        <v>45585</v>
      </c>
      <c r="R63" s="17" t="n">
        <v>45585</v>
      </c>
      <c r="S63" s="19">
        <f>H63*I63</f>
        <v/>
      </c>
      <c r="T63" s="19">
        <f>H63*J63</f>
        <v/>
      </c>
      <c r="U63">
        <f>IF(AND(K63=0,G63&lt;=Assumptions!$C$6),1,0)</f>
        <v/>
      </c>
      <c r="V63">
        <f>IF(U63=1,IF(M63&gt;0,IF(P63&lt;=G63+Assumptions!$C$7,1,0),0),0)</f>
        <v/>
      </c>
      <c r="W63">
        <f>IF(AND(U63=1,M63&gt;=H63*(1-Assumptions!$C$8)),1,0)</f>
        <v/>
      </c>
      <c r="X63">
        <f>IF(AND(U63=1,N63&gt;=H63*(1-Assumptions!$C$8)),1,0)</f>
        <v/>
      </c>
      <c r="Y63">
        <f>IF(ISNUMBER(Q63),1,0)</f>
        <v/>
      </c>
      <c r="Z63">
        <f>IF(AND(K63=0,L63=0,Y63=0),1,0)</f>
        <v/>
      </c>
      <c r="AA63">
        <f>IF(AND(Z63=1,G63&lt;Assumptions!$C$6),1,0)</f>
        <v/>
      </c>
      <c r="AB63">
        <f>IF(U63=0,"",IF(Y63=1,MAX(0,Q63-G63),IF(L63=1,MAX(0,R63-G63),MAX(0,Assumptions!$C$6-G63))))</f>
        <v/>
      </c>
      <c r="AC63">
        <f>IF(Y63=1,Q63-F63,"")</f>
        <v/>
      </c>
      <c r="AD63">
        <f>IF(Y63=1,AC63^2,"")</f>
        <v/>
      </c>
      <c r="AE63" s="19">
        <f>IF(Z63=1,(H63-M63)*I63,0)</f>
        <v/>
      </c>
      <c r="AF63">
        <f>IF(G63&lt;EDATE(Assumptions!$C$6,-12)+1,"prior_12m","last_12m")</f>
        <v/>
      </c>
      <c r="AG63" s="21">
        <f>DATE(YEAR(G63),MONTH(G63),1)</f>
        <v/>
      </c>
    </row>
    <row r="64">
      <c r="A64" t="inlineStr">
        <is>
          <t>SPO-00030-1</t>
        </is>
      </c>
      <c r="B64" t="inlineStr">
        <is>
          <t>SPO-00030</t>
        </is>
      </c>
      <c r="C64" t="inlineStr">
        <is>
          <t>SUP-01</t>
        </is>
      </c>
      <c r="D64" t="inlineStr">
        <is>
          <t>ELEC</t>
        </is>
      </c>
      <c r="E64" t="inlineStr">
        <is>
          <t>ELEC-07</t>
        </is>
      </c>
      <c r="F64" s="17" t="n">
        <v>45573</v>
      </c>
      <c r="G64" s="17" t="n">
        <v>45591</v>
      </c>
      <c r="H64" s="18" t="n">
        <v>218</v>
      </c>
      <c r="I64" s="19" t="n">
        <v>10</v>
      </c>
      <c r="J64" s="19" t="n">
        <v>9.800000000000001</v>
      </c>
      <c r="K64" s="20" t="n">
        <v>0</v>
      </c>
      <c r="L64" s="20" t="n">
        <v>0</v>
      </c>
      <c r="M64" s="18" t="n">
        <v>218</v>
      </c>
      <c r="N64" s="18" t="n">
        <v>218</v>
      </c>
      <c r="O64" s="18" t="n">
        <v>0</v>
      </c>
      <c r="P64" s="17" t="n">
        <v>45590</v>
      </c>
      <c r="Q64" s="17" t="n">
        <v>45590</v>
      </c>
      <c r="R64" s="17" t="n">
        <v>45590</v>
      </c>
      <c r="S64" s="19">
        <f>H64*I64</f>
        <v/>
      </c>
      <c r="T64" s="19">
        <f>H64*J64</f>
        <v/>
      </c>
      <c r="U64">
        <f>IF(AND(K64=0,G64&lt;=Assumptions!$C$6),1,0)</f>
        <v/>
      </c>
      <c r="V64">
        <f>IF(U64=1,IF(M64&gt;0,IF(P64&lt;=G64+Assumptions!$C$7,1,0),0),0)</f>
        <v/>
      </c>
      <c r="W64">
        <f>IF(AND(U64=1,M64&gt;=H64*(1-Assumptions!$C$8)),1,0)</f>
        <v/>
      </c>
      <c r="X64">
        <f>IF(AND(U64=1,N64&gt;=H64*(1-Assumptions!$C$8)),1,0)</f>
        <v/>
      </c>
      <c r="Y64">
        <f>IF(ISNUMBER(Q64),1,0)</f>
        <v/>
      </c>
      <c r="Z64">
        <f>IF(AND(K64=0,L64=0,Y64=0),1,0)</f>
        <v/>
      </c>
      <c r="AA64">
        <f>IF(AND(Z64=1,G64&lt;Assumptions!$C$6),1,0)</f>
        <v/>
      </c>
      <c r="AB64">
        <f>IF(U64=0,"",IF(Y64=1,MAX(0,Q64-G64),IF(L64=1,MAX(0,R64-G64),MAX(0,Assumptions!$C$6-G64))))</f>
        <v/>
      </c>
      <c r="AC64">
        <f>IF(Y64=1,Q64-F64,"")</f>
        <v/>
      </c>
      <c r="AD64">
        <f>IF(Y64=1,AC64^2,"")</f>
        <v/>
      </c>
      <c r="AE64" s="19">
        <f>IF(Z64=1,(H64-M64)*I64,0)</f>
        <v/>
      </c>
      <c r="AF64">
        <f>IF(G64&lt;EDATE(Assumptions!$C$6,-12)+1,"prior_12m","last_12m")</f>
        <v/>
      </c>
      <c r="AG64" s="21">
        <f>DATE(YEAR(G64),MONTH(G64),1)</f>
        <v/>
      </c>
    </row>
    <row r="65">
      <c r="A65" t="inlineStr">
        <is>
          <t>SPO-00030-2</t>
        </is>
      </c>
      <c r="B65" t="inlineStr">
        <is>
          <t>SPO-00030</t>
        </is>
      </c>
      <c r="C65" t="inlineStr">
        <is>
          <t>SUP-01</t>
        </is>
      </c>
      <c r="D65" t="inlineStr">
        <is>
          <t>ELEC</t>
        </is>
      </c>
      <c r="E65" t="inlineStr">
        <is>
          <t>ELEC-08</t>
        </is>
      </c>
      <c r="F65" s="17" t="n">
        <v>45573</v>
      </c>
      <c r="G65" s="17" t="n">
        <v>45591</v>
      </c>
      <c r="H65" s="18" t="n">
        <v>79</v>
      </c>
      <c r="I65" s="19" t="n">
        <v>17.6</v>
      </c>
      <c r="J65" s="19" t="n">
        <v>18</v>
      </c>
      <c r="K65" s="20" t="n">
        <v>0</v>
      </c>
      <c r="L65" s="20" t="n">
        <v>0</v>
      </c>
      <c r="M65" s="18" t="n">
        <v>79</v>
      </c>
      <c r="N65" s="18" t="n">
        <v>79</v>
      </c>
      <c r="O65" s="18" t="n">
        <v>0</v>
      </c>
      <c r="P65" s="17" t="n">
        <v>45591</v>
      </c>
      <c r="Q65" s="17" t="n">
        <v>45591</v>
      </c>
      <c r="R65" s="17" t="n">
        <v>45591</v>
      </c>
      <c r="S65" s="19">
        <f>H65*I65</f>
        <v/>
      </c>
      <c r="T65" s="19">
        <f>H65*J65</f>
        <v/>
      </c>
      <c r="U65">
        <f>IF(AND(K65=0,G65&lt;=Assumptions!$C$6),1,0)</f>
        <v/>
      </c>
      <c r="V65">
        <f>IF(U65=1,IF(M65&gt;0,IF(P65&lt;=G65+Assumptions!$C$7,1,0),0),0)</f>
        <v/>
      </c>
      <c r="W65">
        <f>IF(AND(U65=1,M65&gt;=H65*(1-Assumptions!$C$8)),1,0)</f>
        <v/>
      </c>
      <c r="X65">
        <f>IF(AND(U65=1,N65&gt;=H65*(1-Assumptions!$C$8)),1,0)</f>
        <v/>
      </c>
      <c r="Y65">
        <f>IF(ISNUMBER(Q65),1,0)</f>
        <v/>
      </c>
      <c r="Z65">
        <f>IF(AND(K65=0,L65=0,Y65=0),1,0)</f>
        <v/>
      </c>
      <c r="AA65">
        <f>IF(AND(Z65=1,G65&lt;Assumptions!$C$6),1,0)</f>
        <v/>
      </c>
      <c r="AB65">
        <f>IF(U65=0,"",IF(Y65=1,MAX(0,Q65-G65),IF(L65=1,MAX(0,R65-G65),MAX(0,Assumptions!$C$6-G65))))</f>
        <v/>
      </c>
      <c r="AC65">
        <f>IF(Y65=1,Q65-F65,"")</f>
        <v/>
      </c>
      <c r="AD65">
        <f>IF(Y65=1,AC65^2,"")</f>
        <v/>
      </c>
      <c r="AE65" s="19">
        <f>IF(Z65=1,(H65-M65)*I65,0)</f>
        <v/>
      </c>
      <c r="AF65">
        <f>IF(G65&lt;EDATE(Assumptions!$C$6,-12)+1,"prior_12m","last_12m")</f>
        <v/>
      </c>
      <c r="AG65" s="21">
        <f>DATE(YEAR(G65),MONTH(G65),1)</f>
        <v/>
      </c>
    </row>
    <row r="66">
      <c r="A66" t="inlineStr">
        <is>
          <t>SPO-00031-1</t>
        </is>
      </c>
      <c r="B66" t="inlineStr">
        <is>
          <t>SPO-00031</t>
        </is>
      </c>
      <c r="C66" t="inlineStr">
        <is>
          <t>SUP-12</t>
        </is>
      </c>
      <c r="D66" t="inlineStr">
        <is>
          <t>IT</t>
        </is>
      </c>
      <c r="E66" t="inlineStr">
        <is>
          <t>IT-08</t>
        </is>
      </c>
      <c r="F66" s="17" t="n">
        <v>45574</v>
      </c>
      <c r="G66" s="17" t="n">
        <v>45584</v>
      </c>
      <c r="H66" s="18" t="n">
        <v>3</v>
      </c>
      <c r="I66" s="19" t="n">
        <v>274.38</v>
      </c>
      <c r="J66" s="19" t="n">
        <v>245</v>
      </c>
      <c r="K66" s="20" t="n">
        <v>0</v>
      </c>
      <c r="L66" s="20" t="n">
        <v>0</v>
      </c>
      <c r="M66" s="18" t="n">
        <v>3</v>
      </c>
      <c r="N66" s="18" t="n">
        <v>3</v>
      </c>
      <c r="O66" s="18" t="n">
        <v>0</v>
      </c>
      <c r="P66" s="17" t="n">
        <v>45579</v>
      </c>
      <c r="Q66" s="17" t="n">
        <v>45579</v>
      </c>
      <c r="R66" s="17" t="n">
        <v>45579</v>
      </c>
      <c r="S66" s="19">
        <f>H66*I66</f>
        <v/>
      </c>
      <c r="T66" s="19">
        <f>H66*J66</f>
        <v/>
      </c>
      <c r="U66">
        <f>IF(AND(K66=0,G66&lt;=Assumptions!$C$6),1,0)</f>
        <v/>
      </c>
      <c r="V66">
        <f>IF(U66=1,IF(M66&gt;0,IF(P66&lt;=G66+Assumptions!$C$7,1,0),0),0)</f>
        <v/>
      </c>
      <c r="W66">
        <f>IF(AND(U66=1,M66&gt;=H66*(1-Assumptions!$C$8)),1,0)</f>
        <v/>
      </c>
      <c r="X66">
        <f>IF(AND(U66=1,N66&gt;=H66*(1-Assumptions!$C$8)),1,0)</f>
        <v/>
      </c>
      <c r="Y66">
        <f>IF(ISNUMBER(Q66),1,0)</f>
        <v/>
      </c>
      <c r="Z66">
        <f>IF(AND(K66=0,L66=0,Y66=0),1,0)</f>
        <v/>
      </c>
      <c r="AA66">
        <f>IF(AND(Z66=1,G66&lt;Assumptions!$C$6),1,0)</f>
        <v/>
      </c>
      <c r="AB66">
        <f>IF(U66=0,"",IF(Y66=1,MAX(0,Q66-G66),IF(L66=1,MAX(0,R66-G66),MAX(0,Assumptions!$C$6-G66))))</f>
        <v/>
      </c>
      <c r="AC66">
        <f>IF(Y66=1,Q66-F66,"")</f>
        <v/>
      </c>
      <c r="AD66">
        <f>IF(Y66=1,AC66^2,"")</f>
        <v/>
      </c>
      <c r="AE66" s="19">
        <f>IF(Z66=1,(H66-M66)*I66,0)</f>
        <v/>
      </c>
      <c r="AF66">
        <f>IF(G66&lt;EDATE(Assumptions!$C$6,-12)+1,"prior_12m","last_12m")</f>
        <v/>
      </c>
      <c r="AG66" s="21">
        <f>DATE(YEAR(G66),MONTH(G66),1)</f>
        <v/>
      </c>
    </row>
    <row r="67">
      <c r="A67" t="inlineStr">
        <is>
          <t>SPO-00031-2</t>
        </is>
      </c>
      <c r="B67" t="inlineStr">
        <is>
          <t>SPO-00031</t>
        </is>
      </c>
      <c r="C67" t="inlineStr">
        <is>
          <t>SUP-12</t>
        </is>
      </c>
      <c r="D67" t="inlineStr">
        <is>
          <t>IT</t>
        </is>
      </c>
      <c r="E67" t="inlineStr">
        <is>
          <t>IT-03</t>
        </is>
      </c>
      <c r="F67" s="17" t="n">
        <v>45574</v>
      </c>
      <c r="G67" s="17" t="n">
        <v>45584</v>
      </c>
      <c r="H67" s="18" t="n">
        <v>81</v>
      </c>
      <c r="I67" s="19" t="n">
        <v>43.78</v>
      </c>
      <c r="J67" s="19" t="n">
        <v>38</v>
      </c>
      <c r="K67" s="20" t="n">
        <v>0</v>
      </c>
      <c r="L67" s="20" t="n">
        <v>0</v>
      </c>
      <c r="M67" s="18" t="n">
        <v>81</v>
      </c>
      <c r="N67" s="18" t="n">
        <v>81</v>
      </c>
      <c r="O67" s="18" t="n">
        <v>0</v>
      </c>
      <c r="P67" s="17" t="n">
        <v>45584</v>
      </c>
      <c r="Q67" s="17" t="n">
        <v>45584</v>
      </c>
      <c r="R67" s="17" t="n">
        <v>45584</v>
      </c>
      <c r="S67" s="19">
        <f>H67*I67</f>
        <v/>
      </c>
      <c r="T67" s="19">
        <f>H67*J67</f>
        <v/>
      </c>
      <c r="U67">
        <f>IF(AND(K67=0,G67&lt;=Assumptions!$C$6),1,0)</f>
        <v/>
      </c>
      <c r="V67">
        <f>IF(U67=1,IF(M67&gt;0,IF(P67&lt;=G67+Assumptions!$C$7,1,0),0),0)</f>
        <v/>
      </c>
      <c r="W67">
        <f>IF(AND(U67=1,M67&gt;=H67*(1-Assumptions!$C$8)),1,0)</f>
        <v/>
      </c>
      <c r="X67">
        <f>IF(AND(U67=1,N67&gt;=H67*(1-Assumptions!$C$8)),1,0)</f>
        <v/>
      </c>
      <c r="Y67">
        <f>IF(ISNUMBER(Q67),1,0)</f>
        <v/>
      </c>
      <c r="Z67">
        <f>IF(AND(K67=0,L67=0,Y67=0),1,0)</f>
        <v/>
      </c>
      <c r="AA67">
        <f>IF(AND(Z67=1,G67&lt;Assumptions!$C$6),1,0)</f>
        <v/>
      </c>
      <c r="AB67">
        <f>IF(U67=0,"",IF(Y67=1,MAX(0,Q67-G67),IF(L67=1,MAX(0,R67-G67),MAX(0,Assumptions!$C$6-G67))))</f>
        <v/>
      </c>
      <c r="AC67">
        <f>IF(Y67=1,Q67-F67,"")</f>
        <v/>
      </c>
      <c r="AD67">
        <f>IF(Y67=1,AC67^2,"")</f>
        <v/>
      </c>
      <c r="AE67" s="19">
        <f>IF(Z67=1,(H67-M67)*I67,0)</f>
        <v/>
      </c>
      <c r="AF67">
        <f>IF(G67&lt;EDATE(Assumptions!$C$6,-12)+1,"prior_12m","last_12m")</f>
        <v/>
      </c>
      <c r="AG67" s="21">
        <f>DATE(YEAR(G67),MONTH(G67),1)</f>
        <v/>
      </c>
    </row>
    <row r="68">
      <c r="A68" t="inlineStr">
        <is>
          <t>SPO-00032-1</t>
        </is>
      </c>
      <c r="B68" t="inlineStr">
        <is>
          <t>SPO-00032</t>
        </is>
      </c>
      <c r="C68" t="inlineStr">
        <is>
          <t>SUP-01</t>
        </is>
      </c>
      <c r="D68" t="inlineStr">
        <is>
          <t>ELEC</t>
        </is>
      </c>
      <c r="E68" t="inlineStr">
        <is>
          <t>ELEC-08</t>
        </is>
      </c>
      <c r="F68" s="17" t="n">
        <v>45575</v>
      </c>
      <c r="G68" s="17" t="n">
        <v>45593</v>
      </c>
      <c r="H68" s="18" t="n">
        <v>191</v>
      </c>
      <c r="I68" s="19" t="n">
        <v>18.07</v>
      </c>
      <c r="J68" s="19" t="n">
        <v>18</v>
      </c>
      <c r="K68" s="20" t="n">
        <v>0</v>
      </c>
      <c r="L68" s="20" t="n">
        <v>0</v>
      </c>
      <c r="M68" s="18" t="n">
        <v>191</v>
      </c>
      <c r="N68" s="18" t="n">
        <v>191</v>
      </c>
      <c r="O68" s="18" t="n">
        <v>0</v>
      </c>
      <c r="P68" s="17" t="n">
        <v>45590</v>
      </c>
      <c r="Q68" s="17" t="n">
        <v>45590</v>
      </c>
      <c r="R68" s="17" t="n">
        <v>45590</v>
      </c>
      <c r="S68" s="19">
        <f>H68*I68</f>
        <v/>
      </c>
      <c r="T68" s="19">
        <f>H68*J68</f>
        <v/>
      </c>
      <c r="U68">
        <f>IF(AND(K68=0,G68&lt;=Assumptions!$C$6),1,0)</f>
        <v/>
      </c>
      <c r="V68">
        <f>IF(U68=1,IF(M68&gt;0,IF(P68&lt;=G68+Assumptions!$C$7,1,0),0),0)</f>
        <v/>
      </c>
      <c r="W68">
        <f>IF(AND(U68=1,M68&gt;=H68*(1-Assumptions!$C$8)),1,0)</f>
        <v/>
      </c>
      <c r="X68">
        <f>IF(AND(U68=1,N68&gt;=H68*(1-Assumptions!$C$8)),1,0)</f>
        <v/>
      </c>
      <c r="Y68">
        <f>IF(ISNUMBER(Q68),1,0)</f>
        <v/>
      </c>
      <c r="Z68">
        <f>IF(AND(K68=0,L68=0,Y68=0),1,0)</f>
        <v/>
      </c>
      <c r="AA68">
        <f>IF(AND(Z68=1,G68&lt;Assumptions!$C$6),1,0)</f>
        <v/>
      </c>
      <c r="AB68">
        <f>IF(U68=0,"",IF(Y68=1,MAX(0,Q68-G68),IF(L68=1,MAX(0,R68-G68),MAX(0,Assumptions!$C$6-G68))))</f>
        <v/>
      </c>
      <c r="AC68">
        <f>IF(Y68=1,Q68-F68,"")</f>
        <v/>
      </c>
      <c r="AD68">
        <f>IF(Y68=1,AC68^2,"")</f>
        <v/>
      </c>
      <c r="AE68" s="19">
        <f>IF(Z68=1,(H68-M68)*I68,0)</f>
        <v/>
      </c>
      <c r="AF68">
        <f>IF(G68&lt;EDATE(Assumptions!$C$6,-12)+1,"prior_12m","last_12m")</f>
        <v/>
      </c>
      <c r="AG68" s="21">
        <f>DATE(YEAR(G68),MONTH(G68),1)</f>
        <v/>
      </c>
    </row>
    <row r="69">
      <c r="A69" t="inlineStr">
        <is>
          <t>SPO-00033-1</t>
        </is>
      </c>
      <c r="B69" t="inlineStr">
        <is>
          <t>SPO-00033</t>
        </is>
      </c>
      <c r="C69" t="inlineStr">
        <is>
          <t>SUP-06</t>
        </is>
      </c>
      <c r="D69" t="inlineStr">
        <is>
          <t>MRO</t>
        </is>
      </c>
      <c r="E69" t="inlineStr">
        <is>
          <t>MRO-04</t>
        </is>
      </c>
      <c r="F69" s="17" t="n">
        <v>45575</v>
      </c>
      <c r="G69" s="17" t="n">
        <v>45583</v>
      </c>
      <c r="H69" s="18" t="n">
        <v>55</v>
      </c>
      <c r="I69" s="19" t="n">
        <v>56.95</v>
      </c>
      <c r="J69" s="19" t="n">
        <v>58</v>
      </c>
      <c r="K69" s="20" t="n">
        <v>0</v>
      </c>
      <c r="L69" s="20" t="n">
        <v>0</v>
      </c>
      <c r="M69" s="18" t="n">
        <v>55</v>
      </c>
      <c r="N69" s="18" t="n">
        <v>55</v>
      </c>
      <c r="O69" s="18" t="n">
        <v>0</v>
      </c>
      <c r="P69" s="17" t="n">
        <v>45580</v>
      </c>
      <c r="Q69" s="17" t="n">
        <v>45580</v>
      </c>
      <c r="R69" s="17" t="n">
        <v>45580</v>
      </c>
      <c r="S69" s="19">
        <f>H69*I69</f>
        <v/>
      </c>
      <c r="T69" s="19">
        <f>H69*J69</f>
        <v/>
      </c>
      <c r="U69">
        <f>IF(AND(K69=0,G69&lt;=Assumptions!$C$6),1,0)</f>
        <v/>
      </c>
      <c r="V69">
        <f>IF(U69=1,IF(M69&gt;0,IF(P69&lt;=G69+Assumptions!$C$7,1,0),0),0)</f>
        <v/>
      </c>
      <c r="W69">
        <f>IF(AND(U69=1,M69&gt;=H69*(1-Assumptions!$C$8)),1,0)</f>
        <v/>
      </c>
      <c r="X69">
        <f>IF(AND(U69=1,N69&gt;=H69*(1-Assumptions!$C$8)),1,0)</f>
        <v/>
      </c>
      <c r="Y69">
        <f>IF(ISNUMBER(Q69),1,0)</f>
        <v/>
      </c>
      <c r="Z69">
        <f>IF(AND(K69=0,L69=0,Y69=0),1,0)</f>
        <v/>
      </c>
      <c r="AA69">
        <f>IF(AND(Z69=1,G69&lt;Assumptions!$C$6),1,0)</f>
        <v/>
      </c>
      <c r="AB69">
        <f>IF(U69=0,"",IF(Y69=1,MAX(0,Q69-G69),IF(L69=1,MAX(0,R69-G69),MAX(0,Assumptions!$C$6-G69))))</f>
        <v/>
      </c>
      <c r="AC69">
        <f>IF(Y69=1,Q69-F69,"")</f>
        <v/>
      </c>
      <c r="AD69">
        <f>IF(Y69=1,AC69^2,"")</f>
        <v/>
      </c>
      <c r="AE69" s="19">
        <f>IF(Z69=1,(H69-M69)*I69,0)</f>
        <v/>
      </c>
      <c r="AF69">
        <f>IF(G69&lt;EDATE(Assumptions!$C$6,-12)+1,"prior_12m","last_12m")</f>
        <v/>
      </c>
      <c r="AG69" s="21">
        <f>DATE(YEAR(G69),MONTH(G69),1)</f>
        <v/>
      </c>
    </row>
    <row r="70">
      <c r="A70" t="inlineStr">
        <is>
          <t>SPO-00033-2</t>
        </is>
      </c>
      <c r="B70" t="inlineStr">
        <is>
          <t>SPO-00033</t>
        </is>
      </c>
      <c r="C70" t="inlineStr">
        <is>
          <t>SUP-06</t>
        </is>
      </c>
      <c r="D70" t="inlineStr">
        <is>
          <t>MRO</t>
        </is>
      </c>
      <c r="E70" t="inlineStr">
        <is>
          <t>MRO-01</t>
        </is>
      </c>
      <c r="F70" s="17" t="n">
        <v>45575</v>
      </c>
      <c r="G70" s="17" t="n">
        <v>45583</v>
      </c>
      <c r="H70" s="18" t="n">
        <v>37</v>
      </c>
      <c r="I70" s="19" t="n">
        <v>52.47</v>
      </c>
      <c r="J70" s="19" t="n">
        <v>52</v>
      </c>
      <c r="K70" s="20" t="n">
        <v>0</v>
      </c>
      <c r="L70" s="20" t="n">
        <v>0</v>
      </c>
      <c r="M70" s="18" t="n">
        <v>37</v>
      </c>
      <c r="N70" s="18" t="n">
        <v>37</v>
      </c>
      <c r="O70" s="18" t="n">
        <v>0</v>
      </c>
      <c r="P70" s="17" t="n">
        <v>45582</v>
      </c>
      <c r="Q70" s="17" t="n">
        <v>45582</v>
      </c>
      <c r="R70" s="17" t="n">
        <v>45582</v>
      </c>
      <c r="S70" s="19">
        <f>H70*I70</f>
        <v/>
      </c>
      <c r="T70" s="19">
        <f>H70*J70</f>
        <v/>
      </c>
      <c r="U70">
        <f>IF(AND(K70=0,G70&lt;=Assumptions!$C$6),1,0)</f>
        <v/>
      </c>
      <c r="V70">
        <f>IF(U70=1,IF(M70&gt;0,IF(P70&lt;=G70+Assumptions!$C$7,1,0),0),0)</f>
        <v/>
      </c>
      <c r="W70">
        <f>IF(AND(U70=1,M70&gt;=H70*(1-Assumptions!$C$8)),1,0)</f>
        <v/>
      </c>
      <c r="X70">
        <f>IF(AND(U70=1,N70&gt;=H70*(1-Assumptions!$C$8)),1,0)</f>
        <v/>
      </c>
      <c r="Y70">
        <f>IF(ISNUMBER(Q70),1,0)</f>
        <v/>
      </c>
      <c r="Z70">
        <f>IF(AND(K70=0,L70=0,Y70=0),1,0)</f>
        <v/>
      </c>
      <c r="AA70">
        <f>IF(AND(Z70=1,G70&lt;Assumptions!$C$6),1,0)</f>
        <v/>
      </c>
      <c r="AB70">
        <f>IF(U70=0,"",IF(Y70=1,MAX(0,Q70-G70),IF(L70=1,MAX(0,R70-G70),MAX(0,Assumptions!$C$6-G70))))</f>
        <v/>
      </c>
      <c r="AC70">
        <f>IF(Y70=1,Q70-F70,"")</f>
        <v/>
      </c>
      <c r="AD70">
        <f>IF(Y70=1,AC70^2,"")</f>
        <v/>
      </c>
      <c r="AE70" s="19">
        <f>IF(Z70=1,(H70-M70)*I70,0)</f>
        <v/>
      </c>
      <c r="AF70">
        <f>IF(G70&lt;EDATE(Assumptions!$C$6,-12)+1,"prior_12m","last_12m")</f>
        <v/>
      </c>
      <c r="AG70" s="21">
        <f>DATE(YEAR(G70),MONTH(G70),1)</f>
        <v/>
      </c>
    </row>
    <row r="71">
      <c r="A71" t="inlineStr">
        <is>
          <t>SPO-00033-3</t>
        </is>
      </c>
      <c r="B71" t="inlineStr">
        <is>
          <t>SPO-00033</t>
        </is>
      </c>
      <c r="C71" t="inlineStr">
        <is>
          <t>SUP-06</t>
        </is>
      </c>
      <c r="D71" t="inlineStr">
        <is>
          <t>MRO</t>
        </is>
      </c>
      <c r="E71" t="inlineStr">
        <is>
          <t>MRO-03</t>
        </is>
      </c>
      <c r="F71" s="17" t="n">
        <v>45575</v>
      </c>
      <c r="G71" s="17" t="n">
        <v>45583</v>
      </c>
      <c r="H71" s="18" t="n">
        <v>168</v>
      </c>
      <c r="I71" s="19" t="n">
        <v>8.66</v>
      </c>
      <c r="J71" s="19" t="n">
        <v>8.9</v>
      </c>
      <c r="K71" s="20" t="n">
        <v>0</v>
      </c>
      <c r="L71" s="20" t="n">
        <v>0</v>
      </c>
      <c r="M71" s="18" t="n">
        <v>168</v>
      </c>
      <c r="N71" s="18" t="n">
        <v>168</v>
      </c>
      <c r="O71" s="18" t="n">
        <v>0</v>
      </c>
      <c r="P71" s="17" t="n">
        <v>45581</v>
      </c>
      <c r="Q71" s="17" t="n">
        <v>45581</v>
      </c>
      <c r="R71" s="17" t="n">
        <v>45581</v>
      </c>
      <c r="S71" s="19">
        <f>H71*I71</f>
        <v/>
      </c>
      <c r="T71" s="19">
        <f>H71*J71</f>
        <v/>
      </c>
      <c r="U71">
        <f>IF(AND(K71=0,G71&lt;=Assumptions!$C$6),1,0)</f>
        <v/>
      </c>
      <c r="V71">
        <f>IF(U71=1,IF(M71&gt;0,IF(P71&lt;=G71+Assumptions!$C$7,1,0),0),0)</f>
        <v/>
      </c>
      <c r="W71">
        <f>IF(AND(U71=1,M71&gt;=H71*(1-Assumptions!$C$8)),1,0)</f>
        <v/>
      </c>
      <c r="X71">
        <f>IF(AND(U71=1,N71&gt;=H71*(1-Assumptions!$C$8)),1,0)</f>
        <v/>
      </c>
      <c r="Y71">
        <f>IF(ISNUMBER(Q71),1,0)</f>
        <v/>
      </c>
      <c r="Z71">
        <f>IF(AND(K71=0,L71=0,Y71=0),1,0)</f>
        <v/>
      </c>
      <c r="AA71">
        <f>IF(AND(Z71=1,G71&lt;Assumptions!$C$6),1,0)</f>
        <v/>
      </c>
      <c r="AB71">
        <f>IF(U71=0,"",IF(Y71=1,MAX(0,Q71-G71),IF(L71=1,MAX(0,R71-G71),MAX(0,Assumptions!$C$6-G71))))</f>
        <v/>
      </c>
      <c r="AC71">
        <f>IF(Y71=1,Q71-F71,"")</f>
        <v/>
      </c>
      <c r="AD71">
        <f>IF(Y71=1,AC71^2,"")</f>
        <v/>
      </c>
      <c r="AE71" s="19">
        <f>IF(Z71=1,(H71-M71)*I71,0)</f>
        <v/>
      </c>
      <c r="AF71">
        <f>IF(G71&lt;EDATE(Assumptions!$C$6,-12)+1,"prior_12m","last_12m")</f>
        <v/>
      </c>
      <c r="AG71" s="21">
        <f>DATE(YEAR(G71),MONTH(G71),1)</f>
        <v/>
      </c>
    </row>
    <row r="72">
      <c r="A72" t="inlineStr">
        <is>
          <t>SPO-00034-1</t>
        </is>
      </c>
      <c r="B72" t="inlineStr">
        <is>
          <t>SPO-00034</t>
        </is>
      </c>
      <c r="C72" t="inlineStr">
        <is>
          <t>SUP-02</t>
        </is>
      </c>
      <c r="D72" t="inlineStr">
        <is>
          <t>ELEC</t>
        </is>
      </c>
      <c r="E72" t="inlineStr">
        <is>
          <t>ELEC-05</t>
        </is>
      </c>
      <c r="F72" s="17" t="n">
        <v>45575</v>
      </c>
      <c r="G72" s="17" t="n">
        <v>45591</v>
      </c>
      <c r="H72" s="18" t="n">
        <v>81</v>
      </c>
      <c r="I72" s="19" t="n">
        <v>11.4</v>
      </c>
      <c r="J72" s="19" t="n">
        <v>11.5</v>
      </c>
      <c r="K72" s="20" t="n">
        <v>0</v>
      </c>
      <c r="L72" s="20" t="n">
        <v>0</v>
      </c>
      <c r="M72" s="18" t="n">
        <v>81</v>
      </c>
      <c r="N72" s="18" t="n">
        <v>81</v>
      </c>
      <c r="O72" s="18" t="n">
        <v>0</v>
      </c>
      <c r="P72" s="17" t="n">
        <v>45590</v>
      </c>
      <c r="Q72" s="17" t="n">
        <v>45590</v>
      </c>
      <c r="R72" s="17" t="n">
        <v>45590</v>
      </c>
      <c r="S72" s="19">
        <f>H72*I72</f>
        <v/>
      </c>
      <c r="T72" s="19">
        <f>H72*J72</f>
        <v/>
      </c>
      <c r="U72">
        <f>IF(AND(K72=0,G72&lt;=Assumptions!$C$6),1,0)</f>
        <v/>
      </c>
      <c r="V72">
        <f>IF(U72=1,IF(M72&gt;0,IF(P72&lt;=G72+Assumptions!$C$7,1,0),0),0)</f>
        <v/>
      </c>
      <c r="W72">
        <f>IF(AND(U72=1,M72&gt;=H72*(1-Assumptions!$C$8)),1,0)</f>
        <v/>
      </c>
      <c r="X72">
        <f>IF(AND(U72=1,N72&gt;=H72*(1-Assumptions!$C$8)),1,0)</f>
        <v/>
      </c>
      <c r="Y72">
        <f>IF(ISNUMBER(Q72),1,0)</f>
        <v/>
      </c>
      <c r="Z72">
        <f>IF(AND(K72=0,L72=0,Y72=0),1,0)</f>
        <v/>
      </c>
      <c r="AA72">
        <f>IF(AND(Z72=1,G72&lt;Assumptions!$C$6),1,0)</f>
        <v/>
      </c>
      <c r="AB72">
        <f>IF(U72=0,"",IF(Y72=1,MAX(0,Q72-G72),IF(L72=1,MAX(0,R72-G72),MAX(0,Assumptions!$C$6-G72))))</f>
        <v/>
      </c>
      <c r="AC72">
        <f>IF(Y72=1,Q72-F72,"")</f>
        <v/>
      </c>
      <c r="AD72">
        <f>IF(Y72=1,AC72^2,"")</f>
        <v/>
      </c>
      <c r="AE72" s="19">
        <f>IF(Z72=1,(H72-M72)*I72,0)</f>
        <v/>
      </c>
      <c r="AF72">
        <f>IF(G72&lt;EDATE(Assumptions!$C$6,-12)+1,"prior_12m","last_12m")</f>
        <v/>
      </c>
      <c r="AG72" s="21">
        <f>DATE(YEAR(G72),MONTH(G72),1)</f>
        <v/>
      </c>
    </row>
    <row r="73">
      <c r="A73" t="inlineStr">
        <is>
          <t>SPO-00034-2</t>
        </is>
      </c>
      <c r="B73" t="inlineStr">
        <is>
          <t>SPO-00034</t>
        </is>
      </c>
      <c r="C73" t="inlineStr">
        <is>
          <t>SUP-02</t>
        </is>
      </c>
      <c r="D73" t="inlineStr">
        <is>
          <t>ELEC</t>
        </is>
      </c>
      <c r="E73" t="inlineStr">
        <is>
          <t>ELEC-04</t>
        </is>
      </c>
      <c r="F73" s="17" t="n">
        <v>45575</v>
      </c>
      <c r="G73" s="17" t="n">
        <v>45591</v>
      </c>
      <c r="H73" s="18" t="n">
        <v>23</v>
      </c>
      <c r="I73" s="19" t="n">
        <v>67.78</v>
      </c>
      <c r="J73" s="19" t="n">
        <v>72</v>
      </c>
      <c r="K73" s="20" t="n">
        <v>0</v>
      </c>
      <c r="L73" s="20" t="n">
        <v>0</v>
      </c>
      <c r="M73" s="18" t="n">
        <v>23</v>
      </c>
      <c r="N73" s="18" t="n">
        <v>23</v>
      </c>
      <c r="O73" s="18" t="n">
        <v>0</v>
      </c>
      <c r="P73" s="17" t="n">
        <v>45587</v>
      </c>
      <c r="Q73" s="17" t="n">
        <v>45587</v>
      </c>
      <c r="R73" s="17" t="n">
        <v>45587</v>
      </c>
      <c r="S73" s="19">
        <f>H73*I73</f>
        <v/>
      </c>
      <c r="T73" s="19">
        <f>H73*J73</f>
        <v/>
      </c>
      <c r="U73">
        <f>IF(AND(K73=0,G73&lt;=Assumptions!$C$6),1,0)</f>
        <v/>
      </c>
      <c r="V73">
        <f>IF(U73=1,IF(M73&gt;0,IF(P73&lt;=G73+Assumptions!$C$7,1,0),0),0)</f>
        <v/>
      </c>
      <c r="W73">
        <f>IF(AND(U73=1,M73&gt;=H73*(1-Assumptions!$C$8)),1,0)</f>
        <v/>
      </c>
      <c r="X73">
        <f>IF(AND(U73=1,N73&gt;=H73*(1-Assumptions!$C$8)),1,0)</f>
        <v/>
      </c>
      <c r="Y73">
        <f>IF(ISNUMBER(Q73),1,0)</f>
        <v/>
      </c>
      <c r="Z73">
        <f>IF(AND(K73=0,L73=0,Y73=0),1,0)</f>
        <v/>
      </c>
      <c r="AA73">
        <f>IF(AND(Z73=1,G73&lt;Assumptions!$C$6),1,0)</f>
        <v/>
      </c>
      <c r="AB73">
        <f>IF(U73=0,"",IF(Y73=1,MAX(0,Q73-G73),IF(L73=1,MAX(0,R73-G73),MAX(0,Assumptions!$C$6-G73))))</f>
        <v/>
      </c>
      <c r="AC73">
        <f>IF(Y73=1,Q73-F73,"")</f>
        <v/>
      </c>
      <c r="AD73">
        <f>IF(Y73=1,AC73^2,"")</f>
        <v/>
      </c>
      <c r="AE73" s="19">
        <f>IF(Z73=1,(H73-M73)*I73,0)</f>
        <v/>
      </c>
      <c r="AF73">
        <f>IF(G73&lt;EDATE(Assumptions!$C$6,-12)+1,"prior_12m","last_12m")</f>
        <v/>
      </c>
      <c r="AG73" s="21">
        <f>DATE(YEAR(G73),MONTH(G73),1)</f>
        <v/>
      </c>
    </row>
    <row r="74">
      <c r="A74" t="inlineStr">
        <is>
          <t>SPO-00035-1</t>
        </is>
      </c>
      <c r="B74" t="inlineStr">
        <is>
          <t>SPO-00035</t>
        </is>
      </c>
      <c r="C74" t="inlineStr">
        <is>
          <t>SUP-14</t>
        </is>
      </c>
      <c r="D74" t="inlineStr">
        <is>
          <t>FLEET</t>
        </is>
      </c>
      <c r="E74" t="inlineStr">
        <is>
          <t>FLEET-07</t>
        </is>
      </c>
      <c r="F74" s="17" t="n">
        <v>45575</v>
      </c>
      <c r="G74" s="17" t="n">
        <v>45589</v>
      </c>
      <c r="H74" s="18" t="n">
        <v>7</v>
      </c>
      <c r="I74" s="19" t="n">
        <v>115.4</v>
      </c>
      <c r="J74" s="19" t="n">
        <v>118</v>
      </c>
      <c r="K74" s="20" t="n">
        <v>0</v>
      </c>
      <c r="L74" s="20" t="n">
        <v>0</v>
      </c>
      <c r="M74" s="18" t="n">
        <v>7</v>
      </c>
      <c r="N74" s="18" t="n">
        <v>7</v>
      </c>
      <c r="O74" s="18" t="n">
        <v>2</v>
      </c>
      <c r="P74" s="17" t="n">
        <v>45583</v>
      </c>
      <c r="Q74" s="17" t="n">
        <v>45583</v>
      </c>
      <c r="R74" s="17" t="n">
        <v>45583</v>
      </c>
      <c r="S74" s="19">
        <f>H74*I74</f>
        <v/>
      </c>
      <c r="T74" s="19">
        <f>H74*J74</f>
        <v/>
      </c>
      <c r="U74">
        <f>IF(AND(K74=0,G74&lt;=Assumptions!$C$6),1,0)</f>
        <v/>
      </c>
      <c r="V74">
        <f>IF(U74=1,IF(M74&gt;0,IF(P74&lt;=G74+Assumptions!$C$7,1,0),0),0)</f>
        <v/>
      </c>
      <c r="W74">
        <f>IF(AND(U74=1,M74&gt;=H74*(1-Assumptions!$C$8)),1,0)</f>
        <v/>
      </c>
      <c r="X74">
        <f>IF(AND(U74=1,N74&gt;=H74*(1-Assumptions!$C$8)),1,0)</f>
        <v/>
      </c>
      <c r="Y74">
        <f>IF(ISNUMBER(Q74),1,0)</f>
        <v/>
      </c>
      <c r="Z74">
        <f>IF(AND(K74=0,L74=0,Y74=0),1,0)</f>
        <v/>
      </c>
      <c r="AA74">
        <f>IF(AND(Z74=1,G74&lt;Assumptions!$C$6),1,0)</f>
        <v/>
      </c>
      <c r="AB74">
        <f>IF(U74=0,"",IF(Y74=1,MAX(0,Q74-G74),IF(L74=1,MAX(0,R74-G74),MAX(0,Assumptions!$C$6-G74))))</f>
        <v/>
      </c>
      <c r="AC74">
        <f>IF(Y74=1,Q74-F74,"")</f>
        <v/>
      </c>
      <c r="AD74">
        <f>IF(Y74=1,AC74^2,"")</f>
        <v/>
      </c>
      <c r="AE74" s="19">
        <f>IF(Z74=1,(H74-M74)*I74,0)</f>
        <v/>
      </c>
      <c r="AF74">
        <f>IF(G74&lt;EDATE(Assumptions!$C$6,-12)+1,"prior_12m","last_12m")</f>
        <v/>
      </c>
      <c r="AG74" s="21">
        <f>DATE(YEAR(G74),MONTH(G74),1)</f>
        <v/>
      </c>
    </row>
    <row r="75">
      <c r="A75" t="inlineStr">
        <is>
          <t>SPO-00035-2</t>
        </is>
      </c>
      <c r="B75" t="inlineStr">
        <is>
          <t>SPO-00035</t>
        </is>
      </c>
      <c r="C75" t="inlineStr">
        <is>
          <t>SUP-14</t>
        </is>
      </c>
      <c r="D75" t="inlineStr">
        <is>
          <t>FLEET</t>
        </is>
      </c>
      <c r="E75" t="inlineStr">
        <is>
          <t>FLEET-08</t>
        </is>
      </c>
      <c r="F75" s="17" t="n">
        <v>45575</v>
      </c>
      <c r="G75" s="17" t="n">
        <v>45589</v>
      </c>
      <c r="H75" s="18" t="n">
        <v>975</v>
      </c>
      <c r="I75" s="19" t="n">
        <v>6.54</v>
      </c>
      <c r="J75" s="19" t="n">
        <v>6.4</v>
      </c>
      <c r="K75" s="20" t="n">
        <v>0</v>
      </c>
      <c r="L75" s="20" t="n">
        <v>0</v>
      </c>
      <c r="M75" s="18" t="n">
        <v>975</v>
      </c>
      <c r="N75" s="18" t="n">
        <v>975</v>
      </c>
      <c r="O75" s="18" t="n">
        <v>0</v>
      </c>
      <c r="P75" s="17" t="n">
        <v>45584</v>
      </c>
      <c r="Q75" s="17" t="n">
        <v>45584</v>
      </c>
      <c r="R75" s="17" t="n">
        <v>45584</v>
      </c>
      <c r="S75" s="19">
        <f>H75*I75</f>
        <v/>
      </c>
      <c r="T75" s="19">
        <f>H75*J75</f>
        <v/>
      </c>
      <c r="U75">
        <f>IF(AND(K75=0,G75&lt;=Assumptions!$C$6),1,0)</f>
        <v/>
      </c>
      <c r="V75">
        <f>IF(U75=1,IF(M75&gt;0,IF(P75&lt;=G75+Assumptions!$C$7,1,0),0),0)</f>
        <v/>
      </c>
      <c r="W75">
        <f>IF(AND(U75=1,M75&gt;=H75*(1-Assumptions!$C$8)),1,0)</f>
        <v/>
      </c>
      <c r="X75">
        <f>IF(AND(U75=1,N75&gt;=H75*(1-Assumptions!$C$8)),1,0)</f>
        <v/>
      </c>
      <c r="Y75">
        <f>IF(ISNUMBER(Q75),1,0)</f>
        <v/>
      </c>
      <c r="Z75">
        <f>IF(AND(K75=0,L75=0,Y75=0),1,0)</f>
        <v/>
      </c>
      <c r="AA75">
        <f>IF(AND(Z75=1,G75&lt;Assumptions!$C$6),1,0)</f>
        <v/>
      </c>
      <c r="AB75">
        <f>IF(U75=0,"",IF(Y75=1,MAX(0,Q75-G75),IF(L75=1,MAX(0,R75-G75),MAX(0,Assumptions!$C$6-G75))))</f>
        <v/>
      </c>
      <c r="AC75">
        <f>IF(Y75=1,Q75-F75,"")</f>
        <v/>
      </c>
      <c r="AD75">
        <f>IF(Y75=1,AC75^2,"")</f>
        <v/>
      </c>
      <c r="AE75" s="19">
        <f>IF(Z75=1,(H75-M75)*I75,0)</f>
        <v/>
      </c>
      <c r="AF75">
        <f>IF(G75&lt;EDATE(Assumptions!$C$6,-12)+1,"prior_12m","last_12m")</f>
        <v/>
      </c>
      <c r="AG75" s="21">
        <f>DATE(YEAR(G75),MONTH(G75),1)</f>
        <v/>
      </c>
    </row>
    <row r="76">
      <c r="A76" t="inlineStr">
        <is>
          <t>SPO-00036-1</t>
        </is>
      </c>
      <c r="B76" t="inlineStr">
        <is>
          <t>SPO-00036</t>
        </is>
      </c>
      <c r="C76" t="inlineStr">
        <is>
          <t>SUP-07</t>
        </is>
      </c>
      <c r="D76" t="inlineStr">
        <is>
          <t>MRO</t>
        </is>
      </c>
      <c r="E76" t="inlineStr">
        <is>
          <t>MRO-06</t>
        </is>
      </c>
      <c r="F76" s="17" t="n">
        <v>45575</v>
      </c>
      <c r="G76" s="17" t="n">
        <v>45585</v>
      </c>
      <c r="H76" s="18" t="n">
        <v>171</v>
      </c>
      <c r="I76" s="19" t="n">
        <v>5.88</v>
      </c>
      <c r="J76" s="19" t="n">
        <v>6.1</v>
      </c>
      <c r="K76" s="20" t="n">
        <v>0</v>
      </c>
      <c r="L76" s="20" t="n">
        <v>0</v>
      </c>
      <c r="M76" s="18" t="n">
        <v>171</v>
      </c>
      <c r="N76" s="18" t="n">
        <v>171</v>
      </c>
      <c r="O76" s="18" t="n">
        <v>0</v>
      </c>
      <c r="P76" s="17" t="n">
        <v>45581</v>
      </c>
      <c r="Q76" s="17" t="n">
        <v>45581</v>
      </c>
      <c r="R76" s="17" t="n">
        <v>45581</v>
      </c>
      <c r="S76" s="19">
        <f>H76*I76</f>
        <v/>
      </c>
      <c r="T76" s="19">
        <f>H76*J76</f>
        <v/>
      </c>
      <c r="U76">
        <f>IF(AND(K76=0,G76&lt;=Assumptions!$C$6),1,0)</f>
        <v/>
      </c>
      <c r="V76">
        <f>IF(U76=1,IF(M76&gt;0,IF(P76&lt;=G76+Assumptions!$C$7,1,0),0),0)</f>
        <v/>
      </c>
      <c r="W76">
        <f>IF(AND(U76=1,M76&gt;=H76*(1-Assumptions!$C$8)),1,0)</f>
        <v/>
      </c>
      <c r="X76">
        <f>IF(AND(U76=1,N76&gt;=H76*(1-Assumptions!$C$8)),1,0)</f>
        <v/>
      </c>
      <c r="Y76">
        <f>IF(ISNUMBER(Q76),1,0)</f>
        <v/>
      </c>
      <c r="Z76">
        <f>IF(AND(K76=0,L76=0,Y76=0),1,0)</f>
        <v/>
      </c>
      <c r="AA76">
        <f>IF(AND(Z76=1,G76&lt;Assumptions!$C$6),1,0)</f>
        <v/>
      </c>
      <c r="AB76">
        <f>IF(U76=0,"",IF(Y76=1,MAX(0,Q76-G76),IF(L76=1,MAX(0,R76-G76),MAX(0,Assumptions!$C$6-G76))))</f>
        <v/>
      </c>
      <c r="AC76">
        <f>IF(Y76=1,Q76-F76,"")</f>
        <v/>
      </c>
      <c r="AD76">
        <f>IF(Y76=1,AC76^2,"")</f>
        <v/>
      </c>
      <c r="AE76" s="19">
        <f>IF(Z76=1,(H76-M76)*I76,0)</f>
        <v/>
      </c>
      <c r="AF76">
        <f>IF(G76&lt;EDATE(Assumptions!$C$6,-12)+1,"prior_12m","last_12m")</f>
        <v/>
      </c>
      <c r="AG76" s="21">
        <f>DATE(YEAR(G76),MONTH(G76),1)</f>
        <v/>
      </c>
    </row>
    <row r="77">
      <c r="A77" t="inlineStr">
        <is>
          <t>SPO-00036-2</t>
        </is>
      </c>
      <c r="B77" t="inlineStr">
        <is>
          <t>SPO-00036</t>
        </is>
      </c>
      <c r="C77" t="inlineStr">
        <is>
          <t>SUP-07</t>
        </is>
      </c>
      <c r="D77" t="inlineStr">
        <is>
          <t>MRO</t>
        </is>
      </c>
      <c r="E77" t="inlineStr">
        <is>
          <t>MRO-01</t>
        </is>
      </c>
      <c r="F77" s="17" t="n">
        <v>45575</v>
      </c>
      <c r="G77" s="17" t="n">
        <v>45585</v>
      </c>
      <c r="H77" s="18" t="n">
        <v>36</v>
      </c>
      <c r="I77" s="19" t="n">
        <v>49.21</v>
      </c>
      <c r="J77" s="19" t="n">
        <v>52</v>
      </c>
      <c r="K77" s="20" t="n">
        <v>0</v>
      </c>
      <c r="L77" s="20" t="n">
        <v>0</v>
      </c>
      <c r="M77" s="18" t="n">
        <v>36</v>
      </c>
      <c r="N77" s="18" t="n">
        <v>36</v>
      </c>
      <c r="O77" s="18" t="n">
        <v>0</v>
      </c>
      <c r="P77" s="17" t="n">
        <v>45583</v>
      </c>
      <c r="Q77" s="17" t="n">
        <v>45583</v>
      </c>
      <c r="R77" s="17" t="n">
        <v>45583</v>
      </c>
      <c r="S77" s="19">
        <f>H77*I77</f>
        <v/>
      </c>
      <c r="T77" s="19">
        <f>H77*J77</f>
        <v/>
      </c>
      <c r="U77">
        <f>IF(AND(K77=0,G77&lt;=Assumptions!$C$6),1,0)</f>
        <v/>
      </c>
      <c r="V77">
        <f>IF(U77=1,IF(M77&gt;0,IF(P77&lt;=G77+Assumptions!$C$7,1,0),0),0)</f>
        <v/>
      </c>
      <c r="W77">
        <f>IF(AND(U77=1,M77&gt;=H77*(1-Assumptions!$C$8)),1,0)</f>
        <v/>
      </c>
      <c r="X77">
        <f>IF(AND(U77=1,N77&gt;=H77*(1-Assumptions!$C$8)),1,0)</f>
        <v/>
      </c>
      <c r="Y77">
        <f>IF(ISNUMBER(Q77),1,0)</f>
        <v/>
      </c>
      <c r="Z77">
        <f>IF(AND(K77=0,L77=0,Y77=0),1,0)</f>
        <v/>
      </c>
      <c r="AA77">
        <f>IF(AND(Z77=1,G77&lt;Assumptions!$C$6),1,0)</f>
        <v/>
      </c>
      <c r="AB77">
        <f>IF(U77=0,"",IF(Y77=1,MAX(0,Q77-G77),IF(L77=1,MAX(0,R77-G77),MAX(0,Assumptions!$C$6-G77))))</f>
        <v/>
      </c>
      <c r="AC77">
        <f>IF(Y77=1,Q77-F77,"")</f>
        <v/>
      </c>
      <c r="AD77">
        <f>IF(Y77=1,AC77^2,"")</f>
        <v/>
      </c>
      <c r="AE77" s="19">
        <f>IF(Z77=1,(H77-M77)*I77,0)</f>
        <v/>
      </c>
      <c r="AF77">
        <f>IF(G77&lt;EDATE(Assumptions!$C$6,-12)+1,"prior_12m","last_12m")</f>
        <v/>
      </c>
      <c r="AG77" s="21">
        <f>DATE(YEAR(G77),MONTH(G77),1)</f>
        <v/>
      </c>
    </row>
    <row r="78">
      <c r="A78" t="inlineStr">
        <is>
          <t>SPO-00037-1</t>
        </is>
      </c>
      <c r="B78" t="inlineStr">
        <is>
          <t>SPO-00037</t>
        </is>
      </c>
      <c r="C78" t="inlineStr">
        <is>
          <t>SUP-04</t>
        </is>
      </c>
      <c r="D78" t="inlineStr">
        <is>
          <t>FLEET</t>
        </is>
      </c>
      <c r="E78" t="inlineStr">
        <is>
          <t>FLEET-02</t>
        </is>
      </c>
      <c r="F78" s="17" t="n">
        <v>45576</v>
      </c>
      <c r="G78" s="17" t="n">
        <v>45589</v>
      </c>
      <c r="H78" s="18" t="n">
        <v>154</v>
      </c>
      <c r="I78" s="19" t="n">
        <v>7.06</v>
      </c>
      <c r="J78" s="19" t="n">
        <v>7.5</v>
      </c>
      <c r="K78" s="20" t="n">
        <v>0</v>
      </c>
      <c r="L78" s="20" t="n">
        <v>0</v>
      </c>
      <c r="M78" s="18" t="n">
        <v>154</v>
      </c>
      <c r="N78" s="18" t="n">
        <v>154</v>
      </c>
      <c r="O78" s="18" t="n">
        <v>0</v>
      </c>
      <c r="P78" s="17" t="n">
        <v>45588</v>
      </c>
      <c r="Q78" s="17" t="n">
        <v>45588</v>
      </c>
      <c r="R78" s="17" t="n">
        <v>45588</v>
      </c>
      <c r="S78" s="19">
        <f>H78*I78</f>
        <v/>
      </c>
      <c r="T78" s="19">
        <f>H78*J78</f>
        <v/>
      </c>
      <c r="U78">
        <f>IF(AND(K78=0,G78&lt;=Assumptions!$C$6),1,0)</f>
        <v/>
      </c>
      <c r="V78">
        <f>IF(U78=1,IF(M78&gt;0,IF(P78&lt;=G78+Assumptions!$C$7,1,0),0),0)</f>
        <v/>
      </c>
      <c r="W78">
        <f>IF(AND(U78=1,M78&gt;=H78*(1-Assumptions!$C$8)),1,0)</f>
        <v/>
      </c>
      <c r="X78">
        <f>IF(AND(U78=1,N78&gt;=H78*(1-Assumptions!$C$8)),1,0)</f>
        <v/>
      </c>
      <c r="Y78">
        <f>IF(ISNUMBER(Q78),1,0)</f>
        <v/>
      </c>
      <c r="Z78">
        <f>IF(AND(K78=0,L78=0,Y78=0),1,0)</f>
        <v/>
      </c>
      <c r="AA78">
        <f>IF(AND(Z78=1,G78&lt;Assumptions!$C$6),1,0)</f>
        <v/>
      </c>
      <c r="AB78">
        <f>IF(U78=0,"",IF(Y78=1,MAX(0,Q78-G78),IF(L78=1,MAX(0,R78-G78),MAX(0,Assumptions!$C$6-G78))))</f>
        <v/>
      </c>
      <c r="AC78">
        <f>IF(Y78=1,Q78-F78,"")</f>
        <v/>
      </c>
      <c r="AD78">
        <f>IF(Y78=1,AC78^2,"")</f>
        <v/>
      </c>
      <c r="AE78" s="19">
        <f>IF(Z78=1,(H78-M78)*I78,0)</f>
        <v/>
      </c>
      <c r="AF78">
        <f>IF(G78&lt;EDATE(Assumptions!$C$6,-12)+1,"prior_12m","last_12m")</f>
        <v/>
      </c>
      <c r="AG78" s="21">
        <f>DATE(YEAR(G78),MONTH(G78),1)</f>
        <v/>
      </c>
    </row>
    <row r="79">
      <c r="A79" t="inlineStr">
        <is>
          <t>SPO-00037-2</t>
        </is>
      </c>
      <c r="B79" t="inlineStr">
        <is>
          <t>SPO-00037</t>
        </is>
      </c>
      <c r="C79" t="inlineStr">
        <is>
          <t>SUP-04</t>
        </is>
      </c>
      <c r="D79" t="inlineStr">
        <is>
          <t>FLEET</t>
        </is>
      </c>
      <c r="E79" t="inlineStr">
        <is>
          <t>FLEET-07</t>
        </is>
      </c>
      <c r="F79" s="17" t="n">
        <v>45576</v>
      </c>
      <c r="G79" s="17" t="n">
        <v>45589</v>
      </c>
      <c r="H79" s="18" t="n">
        <v>16</v>
      </c>
      <c r="I79" s="19" t="n">
        <v>119.83</v>
      </c>
      <c r="J79" s="19" t="n">
        <v>118</v>
      </c>
      <c r="K79" s="20" t="n">
        <v>0</v>
      </c>
      <c r="L79" s="20" t="n">
        <v>0</v>
      </c>
      <c r="M79" s="18" t="n">
        <v>16</v>
      </c>
      <c r="N79" s="18" t="n">
        <v>0</v>
      </c>
      <c r="O79" s="18" t="n">
        <v>0</v>
      </c>
      <c r="P79" s="17" t="n">
        <v>45594</v>
      </c>
      <c r="Q79" s="17" t="n">
        <v>45594</v>
      </c>
      <c r="R79" s="17" t="n">
        <v>45594</v>
      </c>
      <c r="S79" s="19">
        <f>H79*I79</f>
        <v/>
      </c>
      <c r="T79" s="19">
        <f>H79*J79</f>
        <v/>
      </c>
      <c r="U79">
        <f>IF(AND(K79=0,G79&lt;=Assumptions!$C$6),1,0)</f>
        <v/>
      </c>
      <c r="V79">
        <f>IF(U79=1,IF(M79&gt;0,IF(P79&lt;=G79+Assumptions!$C$7,1,0),0),0)</f>
        <v/>
      </c>
      <c r="W79">
        <f>IF(AND(U79=1,M79&gt;=H79*(1-Assumptions!$C$8)),1,0)</f>
        <v/>
      </c>
      <c r="X79">
        <f>IF(AND(U79=1,N79&gt;=H79*(1-Assumptions!$C$8)),1,0)</f>
        <v/>
      </c>
      <c r="Y79">
        <f>IF(ISNUMBER(Q79),1,0)</f>
        <v/>
      </c>
      <c r="Z79">
        <f>IF(AND(K79=0,L79=0,Y79=0),1,0)</f>
        <v/>
      </c>
      <c r="AA79">
        <f>IF(AND(Z79=1,G79&lt;Assumptions!$C$6),1,0)</f>
        <v/>
      </c>
      <c r="AB79">
        <f>IF(U79=0,"",IF(Y79=1,MAX(0,Q79-G79),IF(L79=1,MAX(0,R79-G79),MAX(0,Assumptions!$C$6-G79))))</f>
        <v/>
      </c>
      <c r="AC79">
        <f>IF(Y79=1,Q79-F79,"")</f>
        <v/>
      </c>
      <c r="AD79">
        <f>IF(Y79=1,AC79^2,"")</f>
        <v/>
      </c>
      <c r="AE79" s="19">
        <f>IF(Z79=1,(H79-M79)*I79,0)</f>
        <v/>
      </c>
      <c r="AF79">
        <f>IF(G79&lt;EDATE(Assumptions!$C$6,-12)+1,"prior_12m","last_12m")</f>
        <v/>
      </c>
      <c r="AG79" s="21">
        <f>DATE(YEAR(G79),MONTH(G79),1)</f>
        <v/>
      </c>
    </row>
    <row r="80">
      <c r="A80" t="inlineStr">
        <is>
          <t>SPO-00037-3</t>
        </is>
      </c>
      <c r="B80" t="inlineStr">
        <is>
          <t>SPO-00037</t>
        </is>
      </c>
      <c r="C80" t="inlineStr">
        <is>
          <t>SUP-04</t>
        </is>
      </c>
      <c r="D80" t="inlineStr">
        <is>
          <t>FLEET</t>
        </is>
      </c>
      <c r="E80" t="inlineStr">
        <is>
          <t>FLEET-05</t>
        </is>
      </c>
      <c r="F80" s="17" t="n">
        <v>45576</v>
      </c>
      <c r="G80" s="17" t="n">
        <v>45589</v>
      </c>
      <c r="H80" s="18" t="n">
        <v>7</v>
      </c>
      <c r="I80" s="19" t="n">
        <v>165.89</v>
      </c>
      <c r="J80" s="19" t="n">
        <v>168</v>
      </c>
      <c r="K80" s="20" t="n">
        <v>0</v>
      </c>
      <c r="L80" s="20" t="n">
        <v>0</v>
      </c>
      <c r="M80" s="18" t="n">
        <v>7</v>
      </c>
      <c r="N80" s="18" t="n">
        <v>0</v>
      </c>
      <c r="O80" s="18" t="n">
        <v>0</v>
      </c>
      <c r="P80" s="17" t="n">
        <v>45598</v>
      </c>
      <c r="Q80" s="17" t="n">
        <v>45598</v>
      </c>
      <c r="R80" s="17" t="n">
        <v>45598</v>
      </c>
      <c r="S80" s="19">
        <f>H80*I80</f>
        <v/>
      </c>
      <c r="T80" s="19">
        <f>H80*J80</f>
        <v/>
      </c>
      <c r="U80">
        <f>IF(AND(K80=0,G80&lt;=Assumptions!$C$6),1,0)</f>
        <v/>
      </c>
      <c r="V80">
        <f>IF(U80=1,IF(M80&gt;0,IF(P80&lt;=G80+Assumptions!$C$7,1,0),0),0)</f>
        <v/>
      </c>
      <c r="W80">
        <f>IF(AND(U80=1,M80&gt;=H80*(1-Assumptions!$C$8)),1,0)</f>
        <v/>
      </c>
      <c r="X80">
        <f>IF(AND(U80=1,N80&gt;=H80*(1-Assumptions!$C$8)),1,0)</f>
        <v/>
      </c>
      <c r="Y80">
        <f>IF(ISNUMBER(Q80),1,0)</f>
        <v/>
      </c>
      <c r="Z80">
        <f>IF(AND(K80=0,L80=0,Y80=0),1,0)</f>
        <v/>
      </c>
      <c r="AA80">
        <f>IF(AND(Z80=1,G80&lt;Assumptions!$C$6),1,0)</f>
        <v/>
      </c>
      <c r="AB80">
        <f>IF(U80=0,"",IF(Y80=1,MAX(0,Q80-G80),IF(L80=1,MAX(0,R80-G80),MAX(0,Assumptions!$C$6-G80))))</f>
        <v/>
      </c>
      <c r="AC80">
        <f>IF(Y80=1,Q80-F80,"")</f>
        <v/>
      </c>
      <c r="AD80">
        <f>IF(Y80=1,AC80^2,"")</f>
        <v/>
      </c>
      <c r="AE80" s="19">
        <f>IF(Z80=1,(H80-M80)*I80,0)</f>
        <v/>
      </c>
      <c r="AF80">
        <f>IF(G80&lt;EDATE(Assumptions!$C$6,-12)+1,"prior_12m","last_12m")</f>
        <v/>
      </c>
      <c r="AG80" s="21">
        <f>DATE(YEAR(G80),MONTH(G80),1)</f>
        <v/>
      </c>
    </row>
    <row r="81">
      <c r="A81" t="inlineStr">
        <is>
          <t>SPO-00038-1</t>
        </is>
      </c>
      <c r="B81" t="inlineStr">
        <is>
          <t>SPO-00038</t>
        </is>
      </c>
      <c r="C81" t="inlineStr">
        <is>
          <t>SUP-01</t>
        </is>
      </c>
      <c r="D81" t="inlineStr">
        <is>
          <t>ELEC</t>
        </is>
      </c>
      <c r="E81" t="inlineStr">
        <is>
          <t>ELEC-05</t>
        </is>
      </c>
      <c r="F81" s="17" t="n">
        <v>45576</v>
      </c>
      <c r="G81" s="17" t="n">
        <v>45594</v>
      </c>
      <c r="H81" s="18" t="n">
        <v>248</v>
      </c>
      <c r="I81" s="19" t="n">
        <v>11.54</v>
      </c>
      <c r="J81" s="19" t="n">
        <v>11.5</v>
      </c>
      <c r="K81" s="20" t="n">
        <v>0</v>
      </c>
      <c r="L81" s="20" t="n">
        <v>0</v>
      </c>
      <c r="M81" s="18" t="n">
        <v>248</v>
      </c>
      <c r="N81" s="18" t="n">
        <v>248</v>
      </c>
      <c r="O81" s="18" t="n">
        <v>0</v>
      </c>
      <c r="P81" s="17" t="n">
        <v>45590</v>
      </c>
      <c r="Q81" s="17" t="n">
        <v>45590</v>
      </c>
      <c r="R81" s="17" t="n">
        <v>45590</v>
      </c>
      <c r="S81" s="19">
        <f>H81*I81</f>
        <v/>
      </c>
      <c r="T81" s="19">
        <f>H81*J81</f>
        <v/>
      </c>
      <c r="U81">
        <f>IF(AND(K81=0,G81&lt;=Assumptions!$C$6),1,0)</f>
        <v/>
      </c>
      <c r="V81">
        <f>IF(U81=1,IF(M81&gt;0,IF(P81&lt;=G81+Assumptions!$C$7,1,0),0),0)</f>
        <v/>
      </c>
      <c r="W81">
        <f>IF(AND(U81=1,M81&gt;=H81*(1-Assumptions!$C$8)),1,0)</f>
        <v/>
      </c>
      <c r="X81">
        <f>IF(AND(U81=1,N81&gt;=H81*(1-Assumptions!$C$8)),1,0)</f>
        <v/>
      </c>
      <c r="Y81">
        <f>IF(ISNUMBER(Q81),1,0)</f>
        <v/>
      </c>
      <c r="Z81">
        <f>IF(AND(K81=0,L81=0,Y81=0),1,0)</f>
        <v/>
      </c>
      <c r="AA81">
        <f>IF(AND(Z81=1,G81&lt;Assumptions!$C$6),1,0)</f>
        <v/>
      </c>
      <c r="AB81">
        <f>IF(U81=0,"",IF(Y81=1,MAX(0,Q81-G81),IF(L81=1,MAX(0,R81-G81),MAX(0,Assumptions!$C$6-G81))))</f>
        <v/>
      </c>
      <c r="AC81">
        <f>IF(Y81=1,Q81-F81,"")</f>
        <v/>
      </c>
      <c r="AD81">
        <f>IF(Y81=1,AC81^2,"")</f>
        <v/>
      </c>
      <c r="AE81" s="19">
        <f>IF(Z81=1,(H81-M81)*I81,0)</f>
        <v/>
      </c>
      <c r="AF81">
        <f>IF(G81&lt;EDATE(Assumptions!$C$6,-12)+1,"prior_12m","last_12m")</f>
        <v/>
      </c>
      <c r="AG81" s="21">
        <f>DATE(YEAR(G81),MONTH(G81),1)</f>
        <v/>
      </c>
    </row>
    <row r="82">
      <c r="A82" t="inlineStr">
        <is>
          <t>SPO-00038-2</t>
        </is>
      </c>
      <c r="B82" t="inlineStr">
        <is>
          <t>SPO-00038</t>
        </is>
      </c>
      <c r="C82" t="inlineStr">
        <is>
          <t>SUP-01</t>
        </is>
      </c>
      <c r="D82" t="inlineStr">
        <is>
          <t>ELEC</t>
        </is>
      </c>
      <c r="E82" t="inlineStr">
        <is>
          <t>ELEC-02</t>
        </is>
      </c>
      <c r="F82" s="17" t="n">
        <v>45576</v>
      </c>
      <c r="G82" s="17" t="n">
        <v>45594</v>
      </c>
      <c r="H82" s="18" t="n">
        <v>808</v>
      </c>
      <c r="I82" s="19" t="n">
        <v>4.42</v>
      </c>
      <c r="J82" s="19" t="n">
        <v>4.2</v>
      </c>
      <c r="K82" s="20" t="n">
        <v>0</v>
      </c>
      <c r="L82" s="20" t="n">
        <v>0</v>
      </c>
      <c r="M82" s="18" t="n">
        <v>808</v>
      </c>
      <c r="N82" s="18" t="n">
        <v>808</v>
      </c>
      <c r="O82" s="18" t="n">
        <v>194</v>
      </c>
      <c r="P82" s="17" t="n">
        <v>45590</v>
      </c>
      <c r="Q82" s="17" t="n">
        <v>45590</v>
      </c>
      <c r="R82" s="17" t="n">
        <v>45590</v>
      </c>
      <c r="S82" s="19">
        <f>H82*I82</f>
        <v/>
      </c>
      <c r="T82" s="19">
        <f>H82*J82</f>
        <v/>
      </c>
      <c r="U82">
        <f>IF(AND(K82=0,G82&lt;=Assumptions!$C$6),1,0)</f>
        <v/>
      </c>
      <c r="V82">
        <f>IF(U82=1,IF(M82&gt;0,IF(P82&lt;=G82+Assumptions!$C$7,1,0),0),0)</f>
        <v/>
      </c>
      <c r="W82">
        <f>IF(AND(U82=1,M82&gt;=H82*(1-Assumptions!$C$8)),1,0)</f>
        <v/>
      </c>
      <c r="X82">
        <f>IF(AND(U82=1,N82&gt;=H82*(1-Assumptions!$C$8)),1,0)</f>
        <v/>
      </c>
      <c r="Y82">
        <f>IF(ISNUMBER(Q82),1,0)</f>
        <v/>
      </c>
      <c r="Z82">
        <f>IF(AND(K82=0,L82=0,Y82=0),1,0)</f>
        <v/>
      </c>
      <c r="AA82">
        <f>IF(AND(Z82=1,G82&lt;Assumptions!$C$6),1,0)</f>
        <v/>
      </c>
      <c r="AB82">
        <f>IF(U82=0,"",IF(Y82=1,MAX(0,Q82-G82),IF(L82=1,MAX(0,R82-G82),MAX(0,Assumptions!$C$6-G82))))</f>
        <v/>
      </c>
      <c r="AC82">
        <f>IF(Y82=1,Q82-F82,"")</f>
        <v/>
      </c>
      <c r="AD82">
        <f>IF(Y82=1,AC82^2,"")</f>
        <v/>
      </c>
      <c r="AE82" s="19">
        <f>IF(Z82=1,(H82-M82)*I82,0)</f>
        <v/>
      </c>
      <c r="AF82">
        <f>IF(G82&lt;EDATE(Assumptions!$C$6,-12)+1,"prior_12m","last_12m")</f>
        <v/>
      </c>
      <c r="AG82" s="21">
        <f>DATE(YEAR(G82),MONTH(G82),1)</f>
        <v/>
      </c>
    </row>
    <row r="83">
      <c r="A83" t="inlineStr">
        <is>
          <t>SPO-00038-3</t>
        </is>
      </c>
      <c r="B83" t="inlineStr">
        <is>
          <t>SPO-00038</t>
        </is>
      </c>
      <c r="C83" t="inlineStr">
        <is>
          <t>SUP-01</t>
        </is>
      </c>
      <c r="D83" t="inlineStr">
        <is>
          <t>ELEC</t>
        </is>
      </c>
      <c r="E83" t="inlineStr">
        <is>
          <t>ELEC-03</t>
        </is>
      </c>
      <c r="F83" s="17" t="n">
        <v>45576</v>
      </c>
      <c r="G83" s="17" t="n">
        <v>45594</v>
      </c>
      <c r="H83" s="18" t="n">
        <v>33</v>
      </c>
      <c r="I83" s="19" t="n">
        <v>95.05</v>
      </c>
      <c r="J83" s="19" t="n">
        <v>96</v>
      </c>
      <c r="K83" s="20" t="n">
        <v>0</v>
      </c>
      <c r="L83" s="20" t="n">
        <v>0</v>
      </c>
      <c r="M83" s="18" t="n">
        <v>33</v>
      </c>
      <c r="N83" s="18" t="n">
        <v>33</v>
      </c>
      <c r="O83" s="18" t="n">
        <v>0</v>
      </c>
      <c r="P83" s="17" t="n">
        <v>45593</v>
      </c>
      <c r="Q83" s="17" t="n">
        <v>45593</v>
      </c>
      <c r="R83" s="17" t="n">
        <v>45593</v>
      </c>
      <c r="S83" s="19">
        <f>H83*I83</f>
        <v/>
      </c>
      <c r="T83" s="19">
        <f>H83*J83</f>
        <v/>
      </c>
      <c r="U83">
        <f>IF(AND(K83=0,G83&lt;=Assumptions!$C$6),1,0)</f>
        <v/>
      </c>
      <c r="V83">
        <f>IF(U83=1,IF(M83&gt;0,IF(P83&lt;=G83+Assumptions!$C$7,1,0),0),0)</f>
        <v/>
      </c>
      <c r="W83">
        <f>IF(AND(U83=1,M83&gt;=H83*(1-Assumptions!$C$8)),1,0)</f>
        <v/>
      </c>
      <c r="X83">
        <f>IF(AND(U83=1,N83&gt;=H83*(1-Assumptions!$C$8)),1,0)</f>
        <v/>
      </c>
      <c r="Y83">
        <f>IF(ISNUMBER(Q83),1,0)</f>
        <v/>
      </c>
      <c r="Z83">
        <f>IF(AND(K83=0,L83=0,Y83=0),1,0)</f>
        <v/>
      </c>
      <c r="AA83">
        <f>IF(AND(Z83=1,G83&lt;Assumptions!$C$6),1,0)</f>
        <v/>
      </c>
      <c r="AB83">
        <f>IF(U83=0,"",IF(Y83=1,MAX(0,Q83-G83),IF(L83=1,MAX(0,R83-G83),MAX(0,Assumptions!$C$6-G83))))</f>
        <v/>
      </c>
      <c r="AC83">
        <f>IF(Y83=1,Q83-F83,"")</f>
        <v/>
      </c>
      <c r="AD83">
        <f>IF(Y83=1,AC83^2,"")</f>
        <v/>
      </c>
      <c r="AE83" s="19">
        <f>IF(Z83=1,(H83-M83)*I83,0)</f>
        <v/>
      </c>
      <c r="AF83">
        <f>IF(G83&lt;EDATE(Assumptions!$C$6,-12)+1,"prior_12m","last_12m")</f>
        <v/>
      </c>
      <c r="AG83" s="21">
        <f>DATE(YEAR(G83),MONTH(G83),1)</f>
        <v/>
      </c>
    </row>
    <row r="84">
      <c r="A84" t="inlineStr">
        <is>
          <t>SPO-00039-1</t>
        </is>
      </c>
      <c r="B84" t="inlineStr">
        <is>
          <t>SPO-00039</t>
        </is>
      </c>
      <c r="C84" t="inlineStr">
        <is>
          <t>SUP-04</t>
        </is>
      </c>
      <c r="D84" t="inlineStr">
        <is>
          <t>FLEET</t>
        </is>
      </c>
      <c r="E84" t="inlineStr">
        <is>
          <t>FLEET-07</t>
        </is>
      </c>
      <c r="F84" s="17" t="n">
        <v>45576</v>
      </c>
      <c r="G84" s="17" t="n">
        <v>45589</v>
      </c>
      <c r="H84" s="18" t="n">
        <v>10</v>
      </c>
      <c r="I84" s="19" t="n">
        <v>119.62</v>
      </c>
      <c r="J84" s="19" t="n">
        <v>118</v>
      </c>
      <c r="K84" s="20" t="n">
        <v>0</v>
      </c>
      <c r="L84" s="20" t="n">
        <v>0</v>
      </c>
      <c r="M84" s="18" t="n">
        <v>10</v>
      </c>
      <c r="N84" s="18" t="n">
        <v>0</v>
      </c>
      <c r="O84" s="18" t="n">
        <v>0</v>
      </c>
      <c r="P84" s="17" t="n">
        <v>45600</v>
      </c>
      <c r="Q84" s="17" t="n">
        <v>45600</v>
      </c>
      <c r="R84" s="17" t="n">
        <v>45600</v>
      </c>
      <c r="S84" s="19">
        <f>H84*I84</f>
        <v/>
      </c>
      <c r="T84" s="19">
        <f>H84*J84</f>
        <v/>
      </c>
      <c r="U84">
        <f>IF(AND(K84=0,G84&lt;=Assumptions!$C$6),1,0)</f>
        <v/>
      </c>
      <c r="V84">
        <f>IF(U84=1,IF(M84&gt;0,IF(P84&lt;=G84+Assumptions!$C$7,1,0),0),0)</f>
        <v/>
      </c>
      <c r="W84">
        <f>IF(AND(U84=1,M84&gt;=H84*(1-Assumptions!$C$8)),1,0)</f>
        <v/>
      </c>
      <c r="X84">
        <f>IF(AND(U84=1,N84&gt;=H84*(1-Assumptions!$C$8)),1,0)</f>
        <v/>
      </c>
      <c r="Y84">
        <f>IF(ISNUMBER(Q84),1,0)</f>
        <v/>
      </c>
      <c r="Z84">
        <f>IF(AND(K84=0,L84=0,Y84=0),1,0)</f>
        <v/>
      </c>
      <c r="AA84">
        <f>IF(AND(Z84=1,G84&lt;Assumptions!$C$6),1,0)</f>
        <v/>
      </c>
      <c r="AB84">
        <f>IF(U84=0,"",IF(Y84=1,MAX(0,Q84-G84),IF(L84=1,MAX(0,R84-G84),MAX(0,Assumptions!$C$6-G84))))</f>
        <v/>
      </c>
      <c r="AC84">
        <f>IF(Y84=1,Q84-F84,"")</f>
        <v/>
      </c>
      <c r="AD84">
        <f>IF(Y84=1,AC84^2,"")</f>
        <v/>
      </c>
      <c r="AE84" s="19">
        <f>IF(Z84=1,(H84-M84)*I84,0)</f>
        <v/>
      </c>
      <c r="AF84">
        <f>IF(G84&lt;EDATE(Assumptions!$C$6,-12)+1,"prior_12m","last_12m")</f>
        <v/>
      </c>
      <c r="AG84" s="21">
        <f>DATE(YEAR(G84),MONTH(G84),1)</f>
        <v/>
      </c>
    </row>
    <row r="85">
      <c r="A85" t="inlineStr">
        <is>
          <t>SPO-00039-2</t>
        </is>
      </c>
      <c r="B85" t="inlineStr">
        <is>
          <t>SPO-00039</t>
        </is>
      </c>
      <c r="C85" t="inlineStr">
        <is>
          <t>SUP-04</t>
        </is>
      </c>
      <c r="D85" t="inlineStr">
        <is>
          <t>FLEET</t>
        </is>
      </c>
      <c r="E85" t="inlineStr">
        <is>
          <t>FLEET-06</t>
        </is>
      </c>
      <c r="F85" s="17" t="n">
        <v>45576</v>
      </c>
      <c r="G85" s="17" t="n">
        <v>45589</v>
      </c>
      <c r="H85" s="18" t="n">
        <v>33</v>
      </c>
      <c r="I85" s="19" t="n">
        <v>33.11</v>
      </c>
      <c r="J85" s="19" t="n">
        <v>33</v>
      </c>
      <c r="K85" s="20" t="n">
        <v>0</v>
      </c>
      <c r="L85" s="20" t="n">
        <v>0</v>
      </c>
      <c r="M85" s="18" t="n">
        <v>33</v>
      </c>
      <c r="N85" s="18" t="n">
        <v>0</v>
      </c>
      <c r="O85" s="18" t="n">
        <v>0</v>
      </c>
      <c r="P85" s="17" t="n">
        <v>45591</v>
      </c>
      <c r="Q85" s="17" t="n">
        <v>45591</v>
      </c>
      <c r="R85" s="17" t="n">
        <v>45591</v>
      </c>
      <c r="S85" s="19">
        <f>H85*I85</f>
        <v/>
      </c>
      <c r="T85" s="19">
        <f>H85*J85</f>
        <v/>
      </c>
      <c r="U85">
        <f>IF(AND(K85=0,G85&lt;=Assumptions!$C$6),1,0)</f>
        <v/>
      </c>
      <c r="V85">
        <f>IF(U85=1,IF(M85&gt;0,IF(P85&lt;=G85+Assumptions!$C$7,1,0),0),0)</f>
        <v/>
      </c>
      <c r="W85">
        <f>IF(AND(U85=1,M85&gt;=H85*(1-Assumptions!$C$8)),1,0)</f>
        <v/>
      </c>
      <c r="X85">
        <f>IF(AND(U85=1,N85&gt;=H85*(1-Assumptions!$C$8)),1,0)</f>
        <v/>
      </c>
      <c r="Y85">
        <f>IF(ISNUMBER(Q85),1,0)</f>
        <v/>
      </c>
      <c r="Z85">
        <f>IF(AND(K85=0,L85=0,Y85=0),1,0)</f>
        <v/>
      </c>
      <c r="AA85">
        <f>IF(AND(Z85=1,G85&lt;Assumptions!$C$6),1,0)</f>
        <v/>
      </c>
      <c r="AB85">
        <f>IF(U85=0,"",IF(Y85=1,MAX(0,Q85-G85),IF(L85=1,MAX(0,R85-G85),MAX(0,Assumptions!$C$6-G85))))</f>
        <v/>
      </c>
      <c r="AC85">
        <f>IF(Y85=1,Q85-F85,"")</f>
        <v/>
      </c>
      <c r="AD85">
        <f>IF(Y85=1,AC85^2,"")</f>
        <v/>
      </c>
      <c r="AE85" s="19">
        <f>IF(Z85=1,(H85-M85)*I85,0)</f>
        <v/>
      </c>
      <c r="AF85">
        <f>IF(G85&lt;EDATE(Assumptions!$C$6,-12)+1,"prior_12m","last_12m")</f>
        <v/>
      </c>
      <c r="AG85" s="21">
        <f>DATE(YEAR(G85),MONTH(G85),1)</f>
        <v/>
      </c>
    </row>
    <row r="86">
      <c r="A86" t="inlineStr">
        <is>
          <t>SPO-00039-3</t>
        </is>
      </c>
      <c r="B86" t="inlineStr">
        <is>
          <t>SPO-00039</t>
        </is>
      </c>
      <c r="C86" t="inlineStr">
        <is>
          <t>SUP-04</t>
        </is>
      </c>
      <c r="D86" t="inlineStr">
        <is>
          <t>FLEET</t>
        </is>
      </c>
      <c r="E86" t="inlineStr">
        <is>
          <t>FLEET-01</t>
        </is>
      </c>
      <c r="F86" s="17" t="n">
        <v>45576</v>
      </c>
      <c r="G86" s="17" t="n">
        <v>45589</v>
      </c>
      <c r="H86" s="18" t="n">
        <v>34</v>
      </c>
      <c r="I86" s="19" t="n">
        <v>63.66</v>
      </c>
      <c r="J86" s="19" t="n">
        <v>64</v>
      </c>
      <c r="K86" s="20" t="n">
        <v>0</v>
      </c>
      <c r="L86" s="20" t="n">
        <v>0</v>
      </c>
      <c r="M86" s="18" t="n">
        <v>34</v>
      </c>
      <c r="N86" s="18" t="n">
        <v>34</v>
      </c>
      <c r="O86" s="18" t="n">
        <v>0</v>
      </c>
      <c r="P86" s="17" t="n">
        <v>45584</v>
      </c>
      <c r="Q86" s="17" t="n">
        <v>45584</v>
      </c>
      <c r="R86" s="17" t="n">
        <v>45584</v>
      </c>
      <c r="S86" s="19">
        <f>H86*I86</f>
        <v/>
      </c>
      <c r="T86" s="19">
        <f>H86*J86</f>
        <v/>
      </c>
      <c r="U86">
        <f>IF(AND(K86=0,G86&lt;=Assumptions!$C$6),1,0)</f>
        <v/>
      </c>
      <c r="V86">
        <f>IF(U86=1,IF(M86&gt;0,IF(P86&lt;=G86+Assumptions!$C$7,1,0),0),0)</f>
        <v/>
      </c>
      <c r="W86">
        <f>IF(AND(U86=1,M86&gt;=H86*(1-Assumptions!$C$8)),1,0)</f>
        <v/>
      </c>
      <c r="X86">
        <f>IF(AND(U86=1,N86&gt;=H86*(1-Assumptions!$C$8)),1,0)</f>
        <v/>
      </c>
      <c r="Y86">
        <f>IF(ISNUMBER(Q86),1,0)</f>
        <v/>
      </c>
      <c r="Z86">
        <f>IF(AND(K86=0,L86=0,Y86=0),1,0)</f>
        <v/>
      </c>
      <c r="AA86">
        <f>IF(AND(Z86=1,G86&lt;Assumptions!$C$6),1,0)</f>
        <v/>
      </c>
      <c r="AB86">
        <f>IF(U86=0,"",IF(Y86=1,MAX(0,Q86-G86),IF(L86=1,MAX(0,R86-G86),MAX(0,Assumptions!$C$6-G86))))</f>
        <v/>
      </c>
      <c r="AC86">
        <f>IF(Y86=1,Q86-F86,"")</f>
        <v/>
      </c>
      <c r="AD86">
        <f>IF(Y86=1,AC86^2,"")</f>
        <v/>
      </c>
      <c r="AE86" s="19">
        <f>IF(Z86=1,(H86-M86)*I86,0)</f>
        <v/>
      </c>
      <c r="AF86">
        <f>IF(G86&lt;EDATE(Assumptions!$C$6,-12)+1,"prior_12m","last_12m")</f>
        <v/>
      </c>
      <c r="AG86" s="21">
        <f>DATE(YEAR(G86),MONTH(G86),1)</f>
        <v/>
      </c>
    </row>
    <row r="87">
      <c r="A87" t="inlineStr">
        <is>
          <t>SPO-00040-1</t>
        </is>
      </c>
      <c r="B87" t="inlineStr">
        <is>
          <t>SPO-00040</t>
        </is>
      </c>
      <c r="C87" t="inlineStr">
        <is>
          <t>SUP-06</t>
        </is>
      </c>
      <c r="D87" t="inlineStr">
        <is>
          <t>MRO</t>
        </is>
      </c>
      <c r="E87" t="inlineStr">
        <is>
          <t>MRO-05</t>
        </is>
      </c>
      <c r="F87" s="17" t="n">
        <v>45576</v>
      </c>
      <c r="G87" s="17" t="n">
        <v>45584</v>
      </c>
      <c r="H87" s="18" t="n">
        <v>74</v>
      </c>
      <c r="I87" s="19" t="n">
        <v>36.89</v>
      </c>
      <c r="J87" s="19" t="n">
        <v>36</v>
      </c>
      <c r="K87" s="20" t="n">
        <v>0</v>
      </c>
      <c r="L87" s="20" t="n">
        <v>0</v>
      </c>
      <c r="M87" s="18" t="n">
        <v>74</v>
      </c>
      <c r="N87" s="18" t="n">
        <v>74</v>
      </c>
      <c r="O87" s="18" t="n">
        <v>0</v>
      </c>
      <c r="P87" s="17" t="n">
        <v>45584</v>
      </c>
      <c r="Q87" s="17" t="n">
        <v>45584</v>
      </c>
      <c r="R87" s="17" t="n">
        <v>45584</v>
      </c>
      <c r="S87" s="19">
        <f>H87*I87</f>
        <v/>
      </c>
      <c r="T87" s="19">
        <f>H87*J87</f>
        <v/>
      </c>
      <c r="U87">
        <f>IF(AND(K87=0,G87&lt;=Assumptions!$C$6),1,0)</f>
        <v/>
      </c>
      <c r="V87">
        <f>IF(U87=1,IF(M87&gt;0,IF(P87&lt;=G87+Assumptions!$C$7,1,0),0),0)</f>
        <v/>
      </c>
      <c r="W87">
        <f>IF(AND(U87=1,M87&gt;=H87*(1-Assumptions!$C$8)),1,0)</f>
        <v/>
      </c>
      <c r="X87">
        <f>IF(AND(U87=1,N87&gt;=H87*(1-Assumptions!$C$8)),1,0)</f>
        <v/>
      </c>
      <c r="Y87">
        <f>IF(ISNUMBER(Q87),1,0)</f>
        <v/>
      </c>
      <c r="Z87">
        <f>IF(AND(K87=0,L87=0,Y87=0),1,0)</f>
        <v/>
      </c>
      <c r="AA87">
        <f>IF(AND(Z87=1,G87&lt;Assumptions!$C$6),1,0)</f>
        <v/>
      </c>
      <c r="AB87">
        <f>IF(U87=0,"",IF(Y87=1,MAX(0,Q87-G87),IF(L87=1,MAX(0,R87-G87),MAX(0,Assumptions!$C$6-G87))))</f>
        <v/>
      </c>
      <c r="AC87">
        <f>IF(Y87=1,Q87-F87,"")</f>
        <v/>
      </c>
      <c r="AD87">
        <f>IF(Y87=1,AC87^2,"")</f>
        <v/>
      </c>
      <c r="AE87" s="19">
        <f>IF(Z87=1,(H87-M87)*I87,0)</f>
        <v/>
      </c>
      <c r="AF87">
        <f>IF(G87&lt;EDATE(Assumptions!$C$6,-12)+1,"prior_12m","last_12m")</f>
        <v/>
      </c>
      <c r="AG87" s="21">
        <f>DATE(YEAR(G87),MONTH(G87),1)</f>
        <v/>
      </c>
    </row>
    <row r="88">
      <c r="A88" t="inlineStr">
        <is>
          <t>SPO-00041-1</t>
        </is>
      </c>
      <c r="B88" t="inlineStr">
        <is>
          <t>SPO-00041</t>
        </is>
      </c>
      <c r="C88" t="inlineStr">
        <is>
          <t>SUP-08</t>
        </is>
      </c>
      <c r="D88" t="inlineStr">
        <is>
          <t>PPE</t>
        </is>
      </c>
      <c r="E88" t="inlineStr">
        <is>
          <t>PPE-01</t>
        </is>
      </c>
      <c r="F88" s="17" t="n">
        <v>45576</v>
      </c>
      <c r="G88" s="17" t="n">
        <v>45587</v>
      </c>
      <c r="H88" s="18" t="n">
        <v>345</v>
      </c>
      <c r="I88" s="19" t="n">
        <v>4.74</v>
      </c>
      <c r="J88" s="19" t="n">
        <v>4.8</v>
      </c>
      <c r="K88" s="20" t="n">
        <v>0</v>
      </c>
      <c r="L88" s="20" t="n">
        <v>0</v>
      </c>
      <c r="M88" s="18" t="n">
        <v>345</v>
      </c>
      <c r="N88" s="18" t="n">
        <v>345</v>
      </c>
      <c r="O88" s="18" t="n">
        <v>0</v>
      </c>
      <c r="P88" s="17" t="n">
        <v>45581</v>
      </c>
      <c r="Q88" s="17" t="n">
        <v>45581</v>
      </c>
      <c r="R88" s="17" t="n">
        <v>45581</v>
      </c>
      <c r="S88" s="19">
        <f>H88*I88</f>
        <v/>
      </c>
      <c r="T88" s="19">
        <f>H88*J88</f>
        <v/>
      </c>
      <c r="U88">
        <f>IF(AND(K88=0,G88&lt;=Assumptions!$C$6),1,0)</f>
        <v/>
      </c>
      <c r="V88">
        <f>IF(U88=1,IF(M88&gt;0,IF(P88&lt;=G88+Assumptions!$C$7,1,0),0),0)</f>
        <v/>
      </c>
      <c r="W88">
        <f>IF(AND(U88=1,M88&gt;=H88*(1-Assumptions!$C$8)),1,0)</f>
        <v/>
      </c>
      <c r="X88">
        <f>IF(AND(U88=1,N88&gt;=H88*(1-Assumptions!$C$8)),1,0)</f>
        <v/>
      </c>
      <c r="Y88">
        <f>IF(ISNUMBER(Q88),1,0)</f>
        <v/>
      </c>
      <c r="Z88">
        <f>IF(AND(K88=0,L88=0,Y88=0),1,0)</f>
        <v/>
      </c>
      <c r="AA88">
        <f>IF(AND(Z88=1,G88&lt;Assumptions!$C$6),1,0)</f>
        <v/>
      </c>
      <c r="AB88">
        <f>IF(U88=0,"",IF(Y88=1,MAX(0,Q88-G88),IF(L88=1,MAX(0,R88-G88),MAX(0,Assumptions!$C$6-G88))))</f>
        <v/>
      </c>
      <c r="AC88">
        <f>IF(Y88=1,Q88-F88,"")</f>
        <v/>
      </c>
      <c r="AD88">
        <f>IF(Y88=1,AC88^2,"")</f>
        <v/>
      </c>
      <c r="AE88" s="19">
        <f>IF(Z88=1,(H88-M88)*I88,0)</f>
        <v/>
      </c>
      <c r="AF88">
        <f>IF(G88&lt;EDATE(Assumptions!$C$6,-12)+1,"prior_12m","last_12m")</f>
        <v/>
      </c>
      <c r="AG88" s="21">
        <f>DATE(YEAR(G88),MONTH(G88),1)</f>
        <v/>
      </c>
    </row>
    <row r="89">
      <c r="A89" t="inlineStr">
        <is>
          <t>SPO-00042-1</t>
        </is>
      </c>
      <c r="B89" t="inlineStr">
        <is>
          <t>SPO-00042</t>
        </is>
      </c>
      <c r="C89" t="inlineStr">
        <is>
          <t>SUP-09</t>
        </is>
      </c>
      <c r="D89" t="inlineStr">
        <is>
          <t>CHEM</t>
        </is>
      </c>
      <c r="E89" t="inlineStr">
        <is>
          <t>CHEM-02</t>
        </is>
      </c>
      <c r="F89" s="17" t="n">
        <v>45576</v>
      </c>
      <c r="G89" s="17" t="n">
        <v>45590</v>
      </c>
      <c r="H89" s="18" t="n">
        <v>3</v>
      </c>
      <c r="I89" s="19" t="n">
        <v>440.63</v>
      </c>
      <c r="J89" s="19" t="n">
        <v>410</v>
      </c>
      <c r="K89" s="20" t="n">
        <v>0</v>
      </c>
      <c r="L89" s="20" t="n">
        <v>0</v>
      </c>
      <c r="M89" s="18" t="n">
        <v>3</v>
      </c>
      <c r="N89" s="18" t="n">
        <v>3</v>
      </c>
      <c r="O89" s="18" t="n">
        <v>0</v>
      </c>
      <c r="P89" s="17" t="n">
        <v>45588</v>
      </c>
      <c r="Q89" s="17" t="n">
        <v>45588</v>
      </c>
      <c r="R89" s="17" t="n">
        <v>45588</v>
      </c>
      <c r="S89" s="19">
        <f>H89*I89</f>
        <v/>
      </c>
      <c r="T89" s="19">
        <f>H89*J89</f>
        <v/>
      </c>
      <c r="U89">
        <f>IF(AND(K89=0,G89&lt;=Assumptions!$C$6),1,0)</f>
        <v/>
      </c>
      <c r="V89">
        <f>IF(U89=1,IF(M89&gt;0,IF(P89&lt;=G89+Assumptions!$C$7,1,0),0),0)</f>
        <v/>
      </c>
      <c r="W89">
        <f>IF(AND(U89=1,M89&gt;=H89*(1-Assumptions!$C$8)),1,0)</f>
        <v/>
      </c>
      <c r="X89">
        <f>IF(AND(U89=1,N89&gt;=H89*(1-Assumptions!$C$8)),1,0)</f>
        <v/>
      </c>
      <c r="Y89">
        <f>IF(ISNUMBER(Q89),1,0)</f>
        <v/>
      </c>
      <c r="Z89">
        <f>IF(AND(K89=0,L89=0,Y89=0),1,0)</f>
        <v/>
      </c>
      <c r="AA89">
        <f>IF(AND(Z89=1,G89&lt;Assumptions!$C$6),1,0)</f>
        <v/>
      </c>
      <c r="AB89">
        <f>IF(U89=0,"",IF(Y89=1,MAX(0,Q89-G89),IF(L89=1,MAX(0,R89-G89),MAX(0,Assumptions!$C$6-G89))))</f>
        <v/>
      </c>
      <c r="AC89">
        <f>IF(Y89=1,Q89-F89,"")</f>
        <v/>
      </c>
      <c r="AD89">
        <f>IF(Y89=1,AC89^2,"")</f>
        <v/>
      </c>
      <c r="AE89" s="19">
        <f>IF(Z89=1,(H89-M89)*I89,0)</f>
        <v/>
      </c>
      <c r="AF89">
        <f>IF(G89&lt;EDATE(Assumptions!$C$6,-12)+1,"prior_12m","last_12m")</f>
        <v/>
      </c>
      <c r="AG89" s="21">
        <f>DATE(YEAR(G89),MONTH(G89),1)</f>
        <v/>
      </c>
    </row>
    <row r="90">
      <c r="A90" t="inlineStr">
        <is>
          <t>SPO-00042-2</t>
        </is>
      </c>
      <c r="B90" t="inlineStr">
        <is>
          <t>SPO-00042</t>
        </is>
      </c>
      <c r="C90" t="inlineStr">
        <is>
          <t>SUP-09</t>
        </is>
      </c>
      <c r="D90" t="inlineStr">
        <is>
          <t>CHEM</t>
        </is>
      </c>
      <c r="E90" t="inlineStr">
        <is>
          <t>CHEM-04</t>
        </is>
      </c>
      <c r="F90" s="17" t="n">
        <v>45576</v>
      </c>
      <c r="G90" s="17" t="n">
        <v>45590</v>
      </c>
      <c r="H90" s="18" t="n">
        <v>3</v>
      </c>
      <c r="I90" s="19" t="n">
        <v>842.5700000000001</v>
      </c>
      <c r="J90" s="19" t="n">
        <v>820</v>
      </c>
      <c r="K90" s="20" t="n">
        <v>0</v>
      </c>
      <c r="L90" s="20" t="n">
        <v>0</v>
      </c>
      <c r="M90" s="18" t="n">
        <v>3</v>
      </c>
      <c r="N90" s="18" t="n">
        <v>3</v>
      </c>
      <c r="O90" s="18" t="n">
        <v>0</v>
      </c>
      <c r="P90" s="17" t="n">
        <v>45587</v>
      </c>
      <c r="Q90" s="17" t="n">
        <v>45587</v>
      </c>
      <c r="R90" s="17" t="n">
        <v>45587</v>
      </c>
      <c r="S90" s="19">
        <f>H90*I90</f>
        <v/>
      </c>
      <c r="T90" s="19">
        <f>H90*J90</f>
        <v/>
      </c>
      <c r="U90">
        <f>IF(AND(K90=0,G90&lt;=Assumptions!$C$6),1,0)</f>
        <v/>
      </c>
      <c r="V90">
        <f>IF(U90=1,IF(M90&gt;0,IF(P90&lt;=G90+Assumptions!$C$7,1,0),0),0)</f>
        <v/>
      </c>
      <c r="W90">
        <f>IF(AND(U90=1,M90&gt;=H90*(1-Assumptions!$C$8)),1,0)</f>
        <v/>
      </c>
      <c r="X90">
        <f>IF(AND(U90=1,N90&gt;=H90*(1-Assumptions!$C$8)),1,0)</f>
        <v/>
      </c>
      <c r="Y90">
        <f>IF(ISNUMBER(Q90),1,0)</f>
        <v/>
      </c>
      <c r="Z90">
        <f>IF(AND(K90=0,L90=0,Y90=0),1,0)</f>
        <v/>
      </c>
      <c r="AA90">
        <f>IF(AND(Z90=1,G90&lt;Assumptions!$C$6),1,0)</f>
        <v/>
      </c>
      <c r="AB90">
        <f>IF(U90=0,"",IF(Y90=1,MAX(0,Q90-G90),IF(L90=1,MAX(0,R90-G90),MAX(0,Assumptions!$C$6-G90))))</f>
        <v/>
      </c>
      <c r="AC90">
        <f>IF(Y90=1,Q90-F90,"")</f>
        <v/>
      </c>
      <c r="AD90">
        <f>IF(Y90=1,AC90^2,"")</f>
        <v/>
      </c>
      <c r="AE90" s="19">
        <f>IF(Z90=1,(H90-M90)*I90,0)</f>
        <v/>
      </c>
      <c r="AF90">
        <f>IF(G90&lt;EDATE(Assumptions!$C$6,-12)+1,"prior_12m","last_12m")</f>
        <v/>
      </c>
      <c r="AG90" s="21">
        <f>DATE(YEAR(G90),MONTH(G90),1)</f>
        <v/>
      </c>
    </row>
    <row r="91">
      <c r="A91" t="inlineStr">
        <is>
          <t>SPO-00043-1</t>
        </is>
      </c>
      <c r="B91" t="inlineStr">
        <is>
          <t>SPO-00043</t>
        </is>
      </c>
      <c r="C91" t="inlineStr">
        <is>
          <t>SUP-02</t>
        </is>
      </c>
      <c r="D91" t="inlineStr">
        <is>
          <t>ELEC</t>
        </is>
      </c>
      <c r="E91" t="inlineStr">
        <is>
          <t>ELEC-02</t>
        </is>
      </c>
      <c r="F91" s="17" t="n">
        <v>45576</v>
      </c>
      <c r="G91" s="17" t="n">
        <v>45592</v>
      </c>
      <c r="H91" s="18" t="n">
        <v>165</v>
      </c>
      <c r="I91" s="19" t="n">
        <v>4.3</v>
      </c>
      <c r="J91" s="19" t="n">
        <v>4.2</v>
      </c>
      <c r="K91" s="20" t="n">
        <v>0</v>
      </c>
      <c r="L91" s="20" t="n">
        <v>0</v>
      </c>
      <c r="M91" s="18" t="n">
        <v>165</v>
      </c>
      <c r="N91" s="18" t="n">
        <v>165</v>
      </c>
      <c r="O91" s="18" t="n">
        <v>0</v>
      </c>
      <c r="P91" s="17" t="n">
        <v>45589</v>
      </c>
      <c r="Q91" s="17" t="n">
        <v>45589</v>
      </c>
      <c r="R91" s="17" t="n">
        <v>45589</v>
      </c>
      <c r="S91" s="19">
        <f>H91*I91</f>
        <v/>
      </c>
      <c r="T91" s="19">
        <f>H91*J91</f>
        <v/>
      </c>
      <c r="U91">
        <f>IF(AND(K91=0,G91&lt;=Assumptions!$C$6),1,0)</f>
        <v/>
      </c>
      <c r="V91">
        <f>IF(U91=1,IF(M91&gt;0,IF(P91&lt;=G91+Assumptions!$C$7,1,0),0),0)</f>
        <v/>
      </c>
      <c r="W91">
        <f>IF(AND(U91=1,M91&gt;=H91*(1-Assumptions!$C$8)),1,0)</f>
        <v/>
      </c>
      <c r="X91">
        <f>IF(AND(U91=1,N91&gt;=H91*(1-Assumptions!$C$8)),1,0)</f>
        <v/>
      </c>
      <c r="Y91">
        <f>IF(ISNUMBER(Q91),1,0)</f>
        <v/>
      </c>
      <c r="Z91">
        <f>IF(AND(K91=0,L91=0,Y91=0),1,0)</f>
        <v/>
      </c>
      <c r="AA91">
        <f>IF(AND(Z91=1,G91&lt;Assumptions!$C$6),1,0)</f>
        <v/>
      </c>
      <c r="AB91">
        <f>IF(U91=0,"",IF(Y91=1,MAX(0,Q91-G91),IF(L91=1,MAX(0,R91-G91),MAX(0,Assumptions!$C$6-G91))))</f>
        <v/>
      </c>
      <c r="AC91">
        <f>IF(Y91=1,Q91-F91,"")</f>
        <v/>
      </c>
      <c r="AD91">
        <f>IF(Y91=1,AC91^2,"")</f>
        <v/>
      </c>
      <c r="AE91" s="19">
        <f>IF(Z91=1,(H91-M91)*I91,0)</f>
        <v/>
      </c>
      <c r="AF91">
        <f>IF(G91&lt;EDATE(Assumptions!$C$6,-12)+1,"prior_12m","last_12m")</f>
        <v/>
      </c>
      <c r="AG91" s="21">
        <f>DATE(YEAR(G91),MONTH(G91),1)</f>
        <v/>
      </c>
    </row>
    <row r="92">
      <c r="A92" t="inlineStr">
        <is>
          <t>SPO-00044-1</t>
        </is>
      </c>
      <c r="B92" t="inlineStr">
        <is>
          <t>SPO-00044</t>
        </is>
      </c>
      <c r="C92" t="inlineStr">
        <is>
          <t>SUP-14</t>
        </is>
      </c>
      <c r="D92" t="inlineStr">
        <is>
          <t>FLEET</t>
        </is>
      </c>
      <c r="E92" t="inlineStr">
        <is>
          <t>FLEET-07</t>
        </is>
      </c>
      <c r="F92" s="17" t="n">
        <v>45576</v>
      </c>
      <c r="G92" s="17" t="n">
        <v>45590</v>
      </c>
      <c r="H92" s="18" t="n">
        <v>11</v>
      </c>
      <c r="I92" s="19" t="n">
        <v>115.91</v>
      </c>
      <c r="J92" s="19" t="n">
        <v>118</v>
      </c>
      <c r="K92" s="20" t="n">
        <v>0</v>
      </c>
      <c r="L92" s="20" t="n">
        <v>0</v>
      </c>
      <c r="M92" s="18" t="n">
        <v>11</v>
      </c>
      <c r="N92" s="18" t="n">
        <v>11</v>
      </c>
      <c r="O92" s="18" t="n">
        <v>0</v>
      </c>
      <c r="P92" s="17" t="n">
        <v>45588</v>
      </c>
      <c r="Q92" s="17" t="n">
        <v>45588</v>
      </c>
      <c r="R92" s="17" t="n">
        <v>45588</v>
      </c>
      <c r="S92" s="19">
        <f>H92*I92</f>
        <v/>
      </c>
      <c r="T92" s="19">
        <f>H92*J92</f>
        <v/>
      </c>
      <c r="U92">
        <f>IF(AND(K92=0,G92&lt;=Assumptions!$C$6),1,0)</f>
        <v/>
      </c>
      <c r="V92">
        <f>IF(U92=1,IF(M92&gt;0,IF(P92&lt;=G92+Assumptions!$C$7,1,0),0),0)</f>
        <v/>
      </c>
      <c r="W92">
        <f>IF(AND(U92=1,M92&gt;=H92*(1-Assumptions!$C$8)),1,0)</f>
        <v/>
      </c>
      <c r="X92">
        <f>IF(AND(U92=1,N92&gt;=H92*(1-Assumptions!$C$8)),1,0)</f>
        <v/>
      </c>
      <c r="Y92">
        <f>IF(ISNUMBER(Q92),1,0)</f>
        <v/>
      </c>
      <c r="Z92">
        <f>IF(AND(K92=0,L92=0,Y92=0),1,0)</f>
        <v/>
      </c>
      <c r="AA92">
        <f>IF(AND(Z92=1,G92&lt;Assumptions!$C$6),1,0)</f>
        <v/>
      </c>
      <c r="AB92">
        <f>IF(U92=0,"",IF(Y92=1,MAX(0,Q92-G92),IF(L92=1,MAX(0,R92-G92),MAX(0,Assumptions!$C$6-G92))))</f>
        <v/>
      </c>
      <c r="AC92">
        <f>IF(Y92=1,Q92-F92,"")</f>
        <v/>
      </c>
      <c r="AD92">
        <f>IF(Y92=1,AC92^2,"")</f>
        <v/>
      </c>
      <c r="AE92" s="19">
        <f>IF(Z92=1,(H92-M92)*I92,0)</f>
        <v/>
      </c>
      <c r="AF92">
        <f>IF(G92&lt;EDATE(Assumptions!$C$6,-12)+1,"prior_12m","last_12m")</f>
        <v/>
      </c>
      <c r="AG92" s="21">
        <f>DATE(YEAR(G92),MONTH(G92),1)</f>
        <v/>
      </c>
    </row>
    <row r="93">
      <c r="A93" t="inlineStr">
        <is>
          <t>SPO-00045-1</t>
        </is>
      </c>
      <c r="B93" t="inlineStr">
        <is>
          <t>SPO-00045</t>
        </is>
      </c>
      <c r="C93" t="inlineStr">
        <is>
          <t>SUP-08</t>
        </is>
      </c>
      <c r="D93" t="inlineStr">
        <is>
          <t>MRO</t>
        </is>
      </c>
      <c r="E93" t="inlineStr">
        <is>
          <t>MRO-04</t>
        </is>
      </c>
      <c r="F93" s="17" t="n">
        <v>45576</v>
      </c>
      <c r="G93" s="17" t="n">
        <v>45587</v>
      </c>
      <c r="H93" s="18" t="n">
        <v>35</v>
      </c>
      <c r="I93" s="19" t="n">
        <v>60.82</v>
      </c>
      <c r="J93" s="19" t="n">
        <v>58</v>
      </c>
      <c r="K93" s="20" t="n">
        <v>0</v>
      </c>
      <c r="L93" s="20" t="n">
        <v>0</v>
      </c>
      <c r="M93" s="18" t="n">
        <v>35</v>
      </c>
      <c r="N93" s="18" t="n">
        <v>35</v>
      </c>
      <c r="O93" s="18" t="n">
        <v>0</v>
      </c>
      <c r="P93" s="17" t="n">
        <v>45584</v>
      </c>
      <c r="Q93" s="17" t="n">
        <v>45584</v>
      </c>
      <c r="R93" s="17" t="n">
        <v>45584</v>
      </c>
      <c r="S93" s="19">
        <f>H93*I93</f>
        <v/>
      </c>
      <c r="T93" s="19">
        <f>H93*J93</f>
        <v/>
      </c>
      <c r="U93">
        <f>IF(AND(K93=0,G93&lt;=Assumptions!$C$6),1,0)</f>
        <v/>
      </c>
      <c r="V93">
        <f>IF(U93=1,IF(M93&gt;0,IF(P93&lt;=G93+Assumptions!$C$7,1,0),0),0)</f>
        <v/>
      </c>
      <c r="W93">
        <f>IF(AND(U93=1,M93&gt;=H93*(1-Assumptions!$C$8)),1,0)</f>
        <v/>
      </c>
      <c r="X93">
        <f>IF(AND(U93=1,N93&gt;=H93*(1-Assumptions!$C$8)),1,0)</f>
        <v/>
      </c>
      <c r="Y93">
        <f>IF(ISNUMBER(Q93),1,0)</f>
        <v/>
      </c>
      <c r="Z93">
        <f>IF(AND(K93=0,L93=0,Y93=0),1,0)</f>
        <v/>
      </c>
      <c r="AA93">
        <f>IF(AND(Z93=1,G93&lt;Assumptions!$C$6),1,0)</f>
        <v/>
      </c>
      <c r="AB93">
        <f>IF(U93=0,"",IF(Y93=1,MAX(0,Q93-G93),IF(L93=1,MAX(0,R93-G93),MAX(0,Assumptions!$C$6-G93))))</f>
        <v/>
      </c>
      <c r="AC93">
        <f>IF(Y93=1,Q93-F93,"")</f>
        <v/>
      </c>
      <c r="AD93">
        <f>IF(Y93=1,AC93^2,"")</f>
        <v/>
      </c>
      <c r="AE93" s="19">
        <f>IF(Z93=1,(H93-M93)*I93,0)</f>
        <v/>
      </c>
      <c r="AF93">
        <f>IF(G93&lt;EDATE(Assumptions!$C$6,-12)+1,"prior_12m","last_12m")</f>
        <v/>
      </c>
      <c r="AG93" s="21">
        <f>DATE(YEAR(G93),MONTH(G93),1)</f>
        <v/>
      </c>
    </row>
    <row r="94">
      <c r="A94" t="inlineStr">
        <is>
          <t>SPO-00046-1</t>
        </is>
      </c>
      <c r="B94" t="inlineStr">
        <is>
          <t>SPO-00046</t>
        </is>
      </c>
      <c r="C94" t="inlineStr">
        <is>
          <t>SUP-11</t>
        </is>
      </c>
      <c r="D94" t="inlineStr">
        <is>
          <t>PPE</t>
        </is>
      </c>
      <c r="E94" t="inlineStr">
        <is>
          <t>PPE-02</t>
        </is>
      </c>
      <c r="F94" s="17" t="n">
        <v>45576</v>
      </c>
      <c r="G94" s="17" t="n">
        <v>45588</v>
      </c>
      <c r="H94" s="18" t="n">
        <v>93</v>
      </c>
      <c r="I94" s="19" t="n">
        <v>12.05</v>
      </c>
      <c r="J94" s="19" t="n">
        <v>12.5</v>
      </c>
      <c r="K94" s="20" t="n">
        <v>0</v>
      </c>
      <c r="L94" s="20" t="n">
        <v>0</v>
      </c>
      <c r="M94" s="18" t="n">
        <v>93</v>
      </c>
      <c r="N94" s="18" t="n">
        <v>93</v>
      </c>
      <c r="O94" s="18" t="n">
        <v>0</v>
      </c>
      <c r="P94" s="17" t="n">
        <v>45587</v>
      </c>
      <c r="Q94" s="17" t="n">
        <v>45587</v>
      </c>
      <c r="R94" s="17" t="n">
        <v>45587</v>
      </c>
      <c r="S94" s="19">
        <f>H94*I94</f>
        <v/>
      </c>
      <c r="T94" s="19">
        <f>H94*J94</f>
        <v/>
      </c>
      <c r="U94">
        <f>IF(AND(K94=0,G94&lt;=Assumptions!$C$6),1,0)</f>
        <v/>
      </c>
      <c r="V94">
        <f>IF(U94=1,IF(M94&gt;0,IF(P94&lt;=G94+Assumptions!$C$7,1,0),0),0)</f>
        <v/>
      </c>
      <c r="W94">
        <f>IF(AND(U94=1,M94&gt;=H94*(1-Assumptions!$C$8)),1,0)</f>
        <v/>
      </c>
      <c r="X94">
        <f>IF(AND(U94=1,N94&gt;=H94*(1-Assumptions!$C$8)),1,0)</f>
        <v/>
      </c>
      <c r="Y94">
        <f>IF(ISNUMBER(Q94),1,0)</f>
        <v/>
      </c>
      <c r="Z94">
        <f>IF(AND(K94=0,L94=0,Y94=0),1,0)</f>
        <v/>
      </c>
      <c r="AA94">
        <f>IF(AND(Z94=1,G94&lt;Assumptions!$C$6),1,0)</f>
        <v/>
      </c>
      <c r="AB94">
        <f>IF(U94=0,"",IF(Y94=1,MAX(0,Q94-G94),IF(L94=1,MAX(0,R94-G94),MAX(0,Assumptions!$C$6-G94))))</f>
        <v/>
      </c>
      <c r="AC94">
        <f>IF(Y94=1,Q94-F94,"")</f>
        <v/>
      </c>
      <c r="AD94">
        <f>IF(Y94=1,AC94^2,"")</f>
        <v/>
      </c>
      <c r="AE94" s="19">
        <f>IF(Z94=1,(H94-M94)*I94,0)</f>
        <v/>
      </c>
      <c r="AF94">
        <f>IF(G94&lt;EDATE(Assumptions!$C$6,-12)+1,"prior_12m","last_12m")</f>
        <v/>
      </c>
      <c r="AG94" s="21">
        <f>DATE(YEAR(G94),MONTH(G94),1)</f>
        <v/>
      </c>
    </row>
    <row r="95">
      <c r="A95" t="inlineStr">
        <is>
          <t>SPO-00047-1</t>
        </is>
      </c>
      <c r="B95" t="inlineStr">
        <is>
          <t>SPO-00047</t>
        </is>
      </c>
      <c r="C95" t="inlineStr">
        <is>
          <t>SUP-08</t>
        </is>
      </c>
      <c r="D95" t="inlineStr">
        <is>
          <t>MRO</t>
        </is>
      </c>
      <c r="E95" t="inlineStr">
        <is>
          <t>MRO-03</t>
        </is>
      </c>
      <c r="F95" s="17" t="n">
        <v>45576</v>
      </c>
      <c r="G95" s="17" t="n">
        <v>45587</v>
      </c>
      <c r="H95" s="18" t="n">
        <v>139</v>
      </c>
      <c r="I95" s="19" t="n">
        <v>9.119999999999999</v>
      </c>
      <c r="J95" s="19" t="n">
        <v>8.9</v>
      </c>
      <c r="K95" s="20" t="n">
        <v>0</v>
      </c>
      <c r="L95" s="20" t="n">
        <v>0</v>
      </c>
      <c r="M95" s="18" t="n">
        <v>139</v>
      </c>
      <c r="N95" s="18" t="n">
        <v>139</v>
      </c>
      <c r="O95" s="18" t="n">
        <v>0</v>
      </c>
      <c r="P95" s="17" t="n">
        <v>45582</v>
      </c>
      <c r="Q95" s="17" t="n">
        <v>45582</v>
      </c>
      <c r="R95" s="17" t="n">
        <v>45582</v>
      </c>
      <c r="S95" s="19">
        <f>H95*I95</f>
        <v/>
      </c>
      <c r="T95" s="19">
        <f>H95*J95</f>
        <v/>
      </c>
      <c r="U95">
        <f>IF(AND(K95=0,G95&lt;=Assumptions!$C$6),1,0)</f>
        <v/>
      </c>
      <c r="V95">
        <f>IF(U95=1,IF(M95&gt;0,IF(P95&lt;=G95+Assumptions!$C$7,1,0),0),0)</f>
        <v/>
      </c>
      <c r="W95">
        <f>IF(AND(U95=1,M95&gt;=H95*(1-Assumptions!$C$8)),1,0)</f>
        <v/>
      </c>
      <c r="X95">
        <f>IF(AND(U95=1,N95&gt;=H95*(1-Assumptions!$C$8)),1,0)</f>
        <v/>
      </c>
      <c r="Y95">
        <f>IF(ISNUMBER(Q95),1,0)</f>
        <v/>
      </c>
      <c r="Z95">
        <f>IF(AND(K95=0,L95=0,Y95=0),1,0)</f>
        <v/>
      </c>
      <c r="AA95">
        <f>IF(AND(Z95=1,G95&lt;Assumptions!$C$6),1,0)</f>
        <v/>
      </c>
      <c r="AB95">
        <f>IF(U95=0,"",IF(Y95=1,MAX(0,Q95-G95),IF(L95=1,MAX(0,R95-G95),MAX(0,Assumptions!$C$6-G95))))</f>
        <v/>
      </c>
      <c r="AC95">
        <f>IF(Y95=1,Q95-F95,"")</f>
        <v/>
      </c>
      <c r="AD95">
        <f>IF(Y95=1,AC95^2,"")</f>
        <v/>
      </c>
      <c r="AE95" s="19">
        <f>IF(Z95=1,(H95-M95)*I95,0)</f>
        <v/>
      </c>
      <c r="AF95">
        <f>IF(G95&lt;EDATE(Assumptions!$C$6,-12)+1,"prior_12m","last_12m")</f>
        <v/>
      </c>
      <c r="AG95" s="21">
        <f>DATE(YEAR(G95),MONTH(G95),1)</f>
        <v/>
      </c>
    </row>
    <row r="96">
      <c r="A96" t="inlineStr">
        <is>
          <t>SPO-00047-2</t>
        </is>
      </c>
      <c r="B96" t="inlineStr">
        <is>
          <t>SPO-00047</t>
        </is>
      </c>
      <c r="C96" t="inlineStr">
        <is>
          <t>SUP-08</t>
        </is>
      </c>
      <c r="D96" t="inlineStr">
        <is>
          <t>MRO</t>
        </is>
      </c>
      <c r="E96" t="inlineStr">
        <is>
          <t>MRO-07</t>
        </is>
      </c>
      <c r="F96" s="17" t="n">
        <v>45576</v>
      </c>
      <c r="G96" s="17" t="n">
        <v>45587</v>
      </c>
      <c r="H96" s="18" t="n">
        <v>187</v>
      </c>
      <c r="I96" s="19" t="n">
        <v>13.59</v>
      </c>
      <c r="J96" s="19" t="n">
        <v>14</v>
      </c>
      <c r="K96" s="20" t="n">
        <v>0</v>
      </c>
      <c r="L96" s="20" t="n">
        <v>0</v>
      </c>
      <c r="M96" s="18" t="n">
        <v>187</v>
      </c>
      <c r="N96" s="18" t="n">
        <v>187</v>
      </c>
      <c r="O96" s="18" t="n">
        <v>0</v>
      </c>
      <c r="P96" s="17" t="n">
        <v>45585</v>
      </c>
      <c r="Q96" s="17" t="n">
        <v>45585</v>
      </c>
      <c r="R96" s="17" t="n">
        <v>45585</v>
      </c>
      <c r="S96" s="19">
        <f>H96*I96</f>
        <v/>
      </c>
      <c r="T96" s="19">
        <f>H96*J96</f>
        <v/>
      </c>
      <c r="U96">
        <f>IF(AND(K96=0,G96&lt;=Assumptions!$C$6),1,0)</f>
        <v/>
      </c>
      <c r="V96">
        <f>IF(U96=1,IF(M96&gt;0,IF(P96&lt;=G96+Assumptions!$C$7,1,0),0),0)</f>
        <v/>
      </c>
      <c r="W96">
        <f>IF(AND(U96=1,M96&gt;=H96*(1-Assumptions!$C$8)),1,0)</f>
        <v/>
      </c>
      <c r="X96">
        <f>IF(AND(U96=1,N96&gt;=H96*(1-Assumptions!$C$8)),1,0)</f>
        <v/>
      </c>
      <c r="Y96">
        <f>IF(ISNUMBER(Q96),1,0)</f>
        <v/>
      </c>
      <c r="Z96">
        <f>IF(AND(K96=0,L96=0,Y96=0),1,0)</f>
        <v/>
      </c>
      <c r="AA96">
        <f>IF(AND(Z96=1,G96&lt;Assumptions!$C$6),1,0)</f>
        <v/>
      </c>
      <c r="AB96">
        <f>IF(U96=0,"",IF(Y96=1,MAX(0,Q96-G96),IF(L96=1,MAX(0,R96-G96),MAX(0,Assumptions!$C$6-G96))))</f>
        <v/>
      </c>
      <c r="AC96">
        <f>IF(Y96=1,Q96-F96,"")</f>
        <v/>
      </c>
      <c r="AD96">
        <f>IF(Y96=1,AC96^2,"")</f>
        <v/>
      </c>
      <c r="AE96" s="19">
        <f>IF(Z96=1,(H96-M96)*I96,0)</f>
        <v/>
      </c>
      <c r="AF96">
        <f>IF(G96&lt;EDATE(Assumptions!$C$6,-12)+1,"prior_12m","last_12m")</f>
        <v/>
      </c>
      <c r="AG96" s="21">
        <f>DATE(YEAR(G96),MONTH(G96),1)</f>
        <v/>
      </c>
    </row>
    <row r="97">
      <c r="A97" t="inlineStr">
        <is>
          <t>SPO-00048-1</t>
        </is>
      </c>
      <c r="B97" t="inlineStr">
        <is>
          <t>SPO-00048</t>
        </is>
      </c>
      <c r="C97" t="inlineStr">
        <is>
          <t>SUP-11</t>
        </is>
      </c>
      <c r="D97" t="inlineStr">
        <is>
          <t>PPE</t>
        </is>
      </c>
      <c r="E97" t="inlineStr">
        <is>
          <t>PPE-01</t>
        </is>
      </c>
      <c r="F97" s="17" t="n">
        <v>45577</v>
      </c>
      <c r="G97" s="17" t="n">
        <v>45589</v>
      </c>
      <c r="H97" s="18" t="n">
        <v>425</v>
      </c>
      <c r="I97" s="19" t="n">
        <v>4.87</v>
      </c>
      <c r="J97" s="19" t="n">
        <v>4.8</v>
      </c>
      <c r="K97" s="20" t="n">
        <v>0</v>
      </c>
      <c r="L97" s="20" t="n">
        <v>0</v>
      </c>
      <c r="M97" s="18" t="n">
        <v>425</v>
      </c>
      <c r="N97" s="18" t="n">
        <v>425</v>
      </c>
      <c r="O97" s="18" t="n">
        <v>0</v>
      </c>
      <c r="P97" s="17" t="n">
        <v>45589</v>
      </c>
      <c r="Q97" s="17" t="n">
        <v>45589</v>
      </c>
      <c r="R97" s="17" t="n">
        <v>45589</v>
      </c>
      <c r="S97" s="19">
        <f>H97*I97</f>
        <v/>
      </c>
      <c r="T97" s="19">
        <f>H97*J97</f>
        <v/>
      </c>
      <c r="U97">
        <f>IF(AND(K97=0,G97&lt;=Assumptions!$C$6),1,0)</f>
        <v/>
      </c>
      <c r="V97">
        <f>IF(U97=1,IF(M97&gt;0,IF(P97&lt;=G97+Assumptions!$C$7,1,0),0),0)</f>
        <v/>
      </c>
      <c r="W97">
        <f>IF(AND(U97=1,M97&gt;=H97*(1-Assumptions!$C$8)),1,0)</f>
        <v/>
      </c>
      <c r="X97">
        <f>IF(AND(U97=1,N97&gt;=H97*(1-Assumptions!$C$8)),1,0)</f>
        <v/>
      </c>
      <c r="Y97">
        <f>IF(ISNUMBER(Q97),1,0)</f>
        <v/>
      </c>
      <c r="Z97">
        <f>IF(AND(K97=0,L97=0,Y97=0),1,0)</f>
        <v/>
      </c>
      <c r="AA97">
        <f>IF(AND(Z97=1,G97&lt;Assumptions!$C$6),1,0)</f>
        <v/>
      </c>
      <c r="AB97">
        <f>IF(U97=0,"",IF(Y97=1,MAX(0,Q97-G97),IF(L97=1,MAX(0,R97-G97),MAX(0,Assumptions!$C$6-G97))))</f>
        <v/>
      </c>
      <c r="AC97">
        <f>IF(Y97=1,Q97-F97,"")</f>
        <v/>
      </c>
      <c r="AD97">
        <f>IF(Y97=1,AC97^2,"")</f>
        <v/>
      </c>
      <c r="AE97" s="19">
        <f>IF(Z97=1,(H97-M97)*I97,0)</f>
        <v/>
      </c>
      <c r="AF97">
        <f>IF(G97&lt;EDATE(Assumptions!$C$6,-12)+1,"prior_12m","last_12m")</f>
        <v/>
      </c>
      <c r="AG97" s="21">
        <f>DATE(YEAR(G97),MONTH(G97),1)</f>
        <v/>
      </c>
    </row>
    <row r="98">
      <c r="A98" t="inlineStr">
        <is>
          <t>SPO-00049-1</t>
        </is>
      </c>
      <c r="B98" t="inlineStr">
        <is>
          <t>SPO-00049</t>
        </is>
      </c>
      <c r="C98" t="inlineStr">
        <is>
          <t>SUP-08</t>
        </is>
      </c>
      <c r="D98" t="inlineStr">
        <is>
          <t>MRO</t>
        </is>
      </c>
      <c r="E98" t="inlineStr">
        <is>
          <t>MRO-02</t>
        </is>
      </c>
      <c r="F98" s="17" t="n">
        <v>45577</v>
      </c>
      <c r="G98" s="17" t="n">
        <v>45588</v>
      </c>
      <c r="H98" s="18" t="n">
        <v>39</v>
      </c>
      <c r="I98" s="19" t="n">
        <v>43.22</v>
      </c>
      <c r="J98" s="19" t="n">
        <v>41</v>
      </c>
      <c r="K98" s="20" t="n">
        <v>0</v>
      </c>
      <c r="L98" s="20" t="n">
        <v>0</v>
      </c>
      <c r="M98" s="18" t="n">
        <v>39</v>
      </c>
      <c r="N98" s="18" t="n">
        <v>39</v>
      </c>
      <c r="O98" s="18" t="n">
        <v>0</v>
      </c>
      <c r="P98" s="17" t="n">
        <v>45585</v>
      </c>
      <c r="Q98" s="17" t="n">
        <v>45585</v>
      </c>
      <c r="R98" s="17" t="n">
        <v>45585</v>
      </c>
      <c r="S98" s="19">
        <f>H98*I98</f>
        <v/>
      </c>
      <c r="T98" s="19">
        <f>H98*J98</f>
        <v/>
      </c>
      <c r="U98">
        <f>IF(AND(K98=0,G98&lt;=Assumptions!$C$6),1,0)</f>
        <v/>
      </c>
      <c r="V98">
        <f>IF(U98=1,IF(M98&gt;0,IF(P98&lt;=G98+Assumptions!$C$7,1,0),0),0)</f>
        <v/>
      </c>
      <c r="W98">
        <f>IF(AND(U98=1,M98&gt;=H98*(1-Assumptions!$C$8)),1,0)</f>
        <v/>
      </c>
      <c r="X98">
        <f>IF(AND(U98=1,N98&gt;=H98*(1-Assumptions!$C$8)),1,0)</f>
        <v/>
      </c>
      <c r="Y98">
        <f>IF(ISNUMBER(Q98),1,0)</f>
        <v/>
      </c>
      <c r="Z98">
        <f>IF(AND(K98=0,L98=0,Y98=0),1,0)</f>
        <v/>
      </c>
      <c r="AA98">
        <f>IF(AND(Z98=1,G98&lt;Assumptions!$C$6),1,0)</f>
        <v/>
      </c>
      <c r="AB98">
        <f>IF(U98=0,"",IF(Y98=1,MAX(0,Q98-G98),IF(L98=1,MAX(0,R98-G98),MAX(0,Assumptions!$C$6-G98))))</f>
        <v/>
      </c>
      <c r="AC98">
        <f>IF(Y98=1,Q98-F98,"")</f>
        <v/>
      </c>
      <c r="AD98">
        <f>IF(Y98=1,AC98^2,"")</f>
        <v/>
      </c>
      <c r="AE98" s="19">
        <f>IF(Z98=1,(H98-M98)*I98,0)</f>
        <v/>
      </c>
      <c r="AF98">
        <f>IF(G98&lt;EDATE(Assumptions!$C$6,-12)+1,"prior_12m","last_12m")</f>
        <v/>
      </c>
      <c r="AG98" s="21">
        <f>DATE(YEAR(G98),MONTH(G98),1)</f>
        <v/>
      </c>
    </row>
    <row r="99">
      <c r="A99" t="inlineStr">
        <is>
          <t>SPO-00049-2</t>
        </is>
      </c>
      <c r="B99" t="inlineStr">
        <is>
          <t>SPO-00049</t>
        </is>
      </c>
      <c r="C99" t="inlineStr">
        <is>
          <t>SUP-08</t>
        </is>
      </c>
      <c r="D99" t="inlineStr">
        <is>
          <t>MRO</t>
        </is>
      </c>
      <c r="E99" t="inlineStr">
        <is>
          <t>MRO-08</t>
        </is>
      </c>
      <c r="F99" s="17" t="n">
        <v>45577</v>
      </c>
      <c r="G99" s="17" t="n">
        <v>45588</v>
      </c>
      <c r="H99" s="18" t="n">
        <v>162</v>
      </c>
      <c r="I99" s="19" t="n">
        <v>7.4</v>
      </c>
      <c r="J99" s="19" t="n">
        <v>7.2</v>
      </c>
      <c r="K99" s="20" t="n">
        <v>0</v>
      </c>
      <c r="L99" s="20" t="n">
        <v>0</v>
      </c>
      <c r="M99" s="18" t="n">
        <v>162</v>
      </c>
      <c r="N99" s="18" t="n">
        <v>162</v>
      </c>
      <c r="O99" s="18" t="n">
        <v>0</v>
      </c>
      <c r="P99" s="17" t="n">
        <v>45584</v>
      </c>
      <c r="Q99" s="17" t="n">
        <v>45584</v>
      </c>
      <c r="R99" s="17" t="n">
        <v>45584</v>
      </c>
      <c r="S99" s="19">
        <f>H99*I99</f>
        <v/>
      </c>
      <c r="T99" s="19">
        <f>H99*J99</f>
        <v/>
      </c>
      <c r="U99">
        <f>IF(AND(K99=0,G99&lt;=Assumptions!$C$6),1,0)</f>
        <v/>
      </c>
      <c r="V99">
        <f>IF(U99=1,IF(M99&gt;0,IF(P99&lt;=G99+Assumptions!$C$7,1,0),0),0)</f>
        <v/>
      </c>
      <c r="W99">
        <f>IF(AND(U99=1,M99&gt;=H99*(1-Assumptions!$C$8)),1,0)</f>
        <v/>
      </c>
      <c r="X99">
        <f>IF(AND(U99=1,N99&gt;=H99*(1-Assumptions!$C$8)),1,0)</f>
        <v/>
      </c>
      <c r="Y99">
        <f>IF(ISNUMBER(Q99),1,0)</f>
        <v/>
      </c>
      <c r="Z99">
        <f>IF(AND(K99=0,L99=0,Y99=0),1,0)</f>
        <v/>
      </c>
      <c r="AA99">
        <f>IF(AND(Z99=1,G99&lt;Assumptions!$C$6),1,0)</f>
        <v/>
      </c>
      <c r="AB99">
        <f>IF(U99=0,"",IF(Y99=1,MAX(0,Q99-G99),IF(L99=1,MAX(0,R99-G99),MAX(0,Assumptions!$C$6-G99))))</f>
        <v/>
      </c>
      <c r="AC99">
        <f>IF(Y99=1,Q99-F99,"")</f>
        <v/>
      </c>
      <c r="AD99">
        <f>IF(Y99=1,AC99^2,"")</f>
        <v/>
      </c>
      <c r="AE99" s="19">
        <f>IF(Z99=1,(H99-M99)*I99,0)</f>
        <v/>
      </c>
      <c r="AF99">
        <f>IF(G99&lt;EDATE(Assumptions!$C$6,-12)+1,"prior_12m","last_12m")</f>
        <v/>
      </c>
      <c r="AG99" s="21">
        <f>DATE(YEAR(G99),MONTH(G99),1)</f>
        <v/>
      </c>
    </row>
    <row r="100">
      <c r="A100" t="inlineStr">
        <is>
          <t>SPO-00049-3</t>
        </is>
      </c>
      <c r="B100" t="inlineStr">
        <is>
          <t>SPO-00049</t>
        </is>
      </c>
      <c r="C100" t="inlineStr">
        <is>
          <t>SUP-08</t>
        </is>
      </c>
      <c r="D100" t="inlineStr">
        <is>
          <t>MRO</t>
        </is>
      </c>
      <c r="E100" t="inlineStr">
        <is>
          <t>MRO-07</t>
        </is>
      </c>
      <c r="F100" s="17" t="n">
        <v>45577</v>
      </c>
      <c r="G100" s="17" t="n">
        <v>45588</v>
      </c>
      <c r="H100" s="18" t="n">
        <v>81</v>
      </c>
      <c r="I100" s="19" t="n">
        <v>14.73</v>
      </c>
      <c r="J100" s="19" t="n">
        <v>14</v>
      </c>
      <c r="K100" s="20" t="n">
        <v>0</v>
      </c>
      <c r="L100" s="20" t="n">
        <v>0</v>
      </c>
      <c r="M100" s="18" t="n">
        <v>81</v>
      </c>
      <c r="N100" s="18" t="n">
        <v>81</v>
      </c>
      <c r="O100" s="18" t="n">
        <v>0</v>
      </c>
      <c r="P100" s="17" t="n">
        <v>45584</v>
      </c>
      <c r="Q100" s="17" t="n">
        <v>45584</v>
      </c>
      <c r="R100" s="17" t="n">
        <v>45584</v>
      </c>
      <c r="S100" s="19">
        <f>H100*I100</f>
        <v/>
      </c>
      <c r="T100" s="19">
        <f>H100*J100</f>
        <v/>
      </c>
      <c r="U100">
        <f>IF(AND(K100=0,G100&lt;=Assumptions!$C$6),1,0)</f>
        <v/>
      </c>
      <c r="V100">
        <f>IF(U100=1,IF(M100&gt;0,IF(P100&lt;=G100+Assumptions!$C$7,1,0),0),0)</f>
        <v/>
      </c>
      <c r="W100">
        <f>IF(AND(U100=1,M100&gt;=H100*(1-Assumptions!$C$8)),1,0)</f>
        <v/>
      </c>
      <c r="X100">
        <f>IF(AND(U100=1,N100&gt;=H100*(1-Assumptions!$C$8)),1,0)</f>
        <v/>
      </c>
      <c r="Y100">
        <f>IF(ISNUMBER(Q100),1,0)</f>
        <v/>
      </c>
      <c r="Z100">
        <f>IF(AND(K100=0,L100=0,Y100=0),1,0)</f>
        <v/>
      </c>
      <c r="AA100">
        <f>IF(AND(Z100=1,G100&lt;Assumptions!$C$6),1,0)</f>
        <v/>
      </c>
      <c r="AB100">
        <f>IF(U100=0,"",IF(Y100=1,MAX(0,Q100-G100),IF(L100=1,MAX(0,R100-G100),MAX(0,Assumptions!$C$6-G100))))</f>
        <v/>
      </c>
      <c r="AC100">
        <f>IF(Y100=1,Q100-F100,"")</f>
        <v/>
      </c>
      <c r="AD100">
        <f>IF(Y100=1,AC100^2,"")</f>
        <v/>
      </c>
      <c r="AE100" s="19">
        <f>IF(Z100=1,(H100-M100)*I100,0)</f>
        <v/>
      </c>
      <c r="AF100">
        <f>IF(G100&lt;EDATE(Assumptions!$C$6,-12)+1,"prior_12m","last_12m")</f>
        <v/>
      </c>
      <c r="AG100" s="21">
        <f>DATE(YEAR(G100),MONTH(G100),1)</f>
        <v/>
      </c>
    </row>
    <row r="101">
      <c r="A101" t="inlineStr">
        <is>
          <t>SPO-00049-4</t>
        </is>
      </c>
      <c r="B101" t="inlineStr">
        <is>
          <t>SPO-00049</t>
        </is>
      </c>
      <c r="C101" t="inlineStr">
        <is>
          <t>SUP-08</t>
        </is>
      </c>
      <c r="D101" t="inlineStr">
        <is>
          <t>MRO</t>
        </is>
      </c>
      <c r="E101" t="inlineStr">
        <is>
          <t>MRO-03</t>
        </is>
      </c>
      <c r="F101" s="17" t="n">
        <v>45577</v>
      </c>
      <c r="G101" s="17" t="n">
        <v>45588</v>
      </c>
      <c r="H101" s="18" t="n">
        <v>197</v>
      </c>
      <c r="I101" s="19" t="n">
        <v>9.109999999999999</v>
      </c>
      <c r="J101" s="19" t="n">
        <v>8.9</v>
      </c>
      <c r="K101" s="20" t="n">
        <v>0</v>
      </c>
      <c r="L101" s="20" t="n">
        <v>0</v>
      </c>
      <c r="M101" s="18" t="n">
        <v>197</v>
      </c>
      <c r="N101" s="18" t="n">
        <v>197</v>
      </c>
      <c r="O101" s="18" t="n">
        <v>0</v>
      </c>
      <c r="P101" s="17" t="n">
        <v>45585</v>
      </c>
      <c r="Q101" s="17" t="n">
        <v>45585</v>
      </c>
      <c r="R101" s="17" t="n">
        <v>45585</v>
      </c>
      <c r="S101" s="19">
        <f>H101*I101</f>
        <v/>
      </c>
      <c r="T101" s="19">
        <f>H101*J101</f>
        <v/>
      </c>
      <c r="U101">
        <f>IF(AND(K101=0,G101&lt;=Assumptions!$C$6),1,0)</f>
        <v/>
      </c>
      <c r="V101">
        <f>IF(U101=1,IF(M101&gt;0,IF(P101&lt;=G101+Assumptions!$C$7,1,0),0),0)</f>
        <v/>
      </c>
      <c r="W101">
        <f>IF(AND(U101=1,M101&gt;=H101*(1-Assumptions!$C$8)),1,0)</f>
        <v/>
      </c>
      <c r="X101">
        <f>IF(AND(U101=1,N101&gt;=H101*(1-Assumptions!$C$8)),1,0)</f>
        <v/>
      </c>
      <c r="Y101">
        <f>IF(ISNUMBER(Q101),1,0)</f>
        <v/>
      </c>
      <c r="Z101">
        <f>IF(AND(K101=0,L101=0,Y101=0),1,0)</f>
        <v/>
      </c>
      <c r="AA101">
        <f>IF(AND(Z101=1,G101&lt;Assumptions!$C$6),1,0)</f>
        <v/>
      </c>
      <c r="AB101">
        <f>IF(U101=0,"",IF(Y101=1,MAX(0,Q101-G101),IF(L101=1,MAX(0,R101-G101),MAX(0,Assumptions!$C$6-G101))))</f>
        <v/>
      </c>
      <c r="AC101">
        <f>IF(Y101=1,Q101-F101,"")</f>
        <v/>
      </c>
      <c r="AD101">
        <f>IF(Y101=1,AC101^2,"")</f>
        <v/>
      </c>
      <c r="AE101" s="19">
        <f>IF(Z101=1,(H101-M101)*I101,0)</f>
        <v/>
      </c>
      <c r="AF101">
        <f>IF(G101&lt;EDATE(Assumptions!$C$6,-12)+1,"prior_12m","last_12m")</f>
        <v/>
      </c>
      <c r="AG101" s="21">
        <f>DATE(YEAR(G101),MONTH(G101),1)</f>
        <v/>
      </c>
    </row>
    <row r="102">
      <c r="A102" t="inlineStr">
        <is>
          <t>SPO-00050-1</t>
        </is>
      </c>
      <c r="B102" t="inlineStr">
        <is>
          <t>SPO-00050</t>
        </is>
      </c>
      <c r="C102" t="inlineStr">
        <is>
          <t>SUP-08</t>
        </is>
      </c>
      <c r="D102" t="inlineStr">
        <is>
          <t>PPE</t>
        </is>
      </c>
      <c r="E102" t="inlineStr">
        <is>
          <t>PPE-03</t>
        </is>
      </c>
      <c r="F102" s="17" t="n">
        <v>45577</v>
      </c>
      <c r="G102" s="17" t="n">
        <v>45588</v>
      </c>
      <c r="H102" s="18" t="n">
        <v>109</v>
      </c>
      <c r="I102" s="19" t="n">
        <v>20.44</v>
      </c>
      <c r="J102" s="19" t="n">
        <v>21</v>
      </c>
      <c r="K102" s="20" t="n">
        <v>0</v>
      </c>
      <c r="L102" s="20" t="n">
        <v>0</v>
      </c>
      <c r="M102" s="18" t="n">
        <v>109</v>
      </c>
      <c r="N102" s="18" t="n">
        <v>109</v>
      </c>
      <c r="O102" s="18" t="n">
        <v>0</v>
      </c>
      <c r="P102" s="17" t="n">
        <v>45582</v>
      </c>
      <c r="Q102" s="17" t="n">
        <v>45582</v>
      </c>
      <c r="R102" s="17" t="n">
        <v>45582</v>
      </c>
      <c r="S102" s="19">
        <f>H102*I102</f>
        <v/>
      </c>
      <c r="T102" s="19">
        <f>H102*J102</f>
        <v/>
      </c>
      <c r="U102">
        <f>IF(AND(K102=0,G102&lt;=Assumptions!$C$6),1,0)</f>
        <v/>
      </c>
      <c r="V102">
        <f>IF(U102=1,IF(M102&gt;0,IF(P102&lt;=G102+Assumptions!$C$7,1,0),0),0)</f>
        <v/>
      </c>
      <c r="W102">
        <f>IF(AND(U102=1,M102&gt;=H102*(1-Assumptions!$C$8)),1,0)</f>
        <v/>
      </c>
      <c r="X102">
        <f>IF(AND(U102=1,N102&gt;=H102*(1-Assumptions!$C$8)),1,0)</f>
        <v/>
      </c>
      <c r="Y102">
        <f>IF(ISNUMBER(Q102),1,0)</f>
        <v/>
      </c>
      <c r="Z102">
        <f>IF(AND(K102=0,L102=0,Y102=0),1,0)</f>
        <v/>
      </c>
      <c r="AA102">
        <f>IF(AND(Z102=1,G102&lt;Assumptions!$C$6),1,0)</f>
        <v/>
      </c>
      <c r="AB102">
        <f>IF(U102=0,"",IF(Y102=1,MAX(0,Q102-G102),IF(L102=1,MAX(0,R102-G102),MAX(0,Assumptions!$C$6-G102))))</f>
        <v/>
      </c>
      <c r="AC102">
        <f>IF(Y102=1,Q102-F102,"")</f>
        <v/>
      </c>
      <c r="AD102">
        <f>IF(Y102=1,AC102^2,"")</f>
        <v/>
      </c>
      <c r="AE102" s="19">
        <f>IF(Z102=1,(H102-M102)*I102,0)</f>
        <v/>
      </c>
      <c r="AF102">
        <f>IF(G102&lt;EDATE(Assumptions!$C$6,-12)+1,"prior_12m","last_12m")</f>
        <v/>
      </c>
      <c r="AG102" s="21">
        <f>DATE(YEAR(G102),MONTH(G102),1)</f>
        <v/>
      </c>
    </row>
    <row r="103">
      <c r="A103" t="inlineStr">
        <is>
          <t>SPO-00051-1</t>
        </is>
      </c>
      <c r="B103" t="inlineStr">
        <is>
          <t>SPO-00051</t>
        </is>
      </c>
      <c r="C103" t="inlineStr">
        <is>
          <t>SUP-14</t>
        </is>
      </c>
      <c r="D103" t="inlineStr">
        <is>
          <t>FLEET</t>
        </is>
      </c>
      <c r="E103" t="inlineStr">
        <is>
          <t>FLEET-06</t>
        </is>
      </c>
      <c r="F103" s="17" t="n">
        <v>45578</v>
      </c>
      <c r="G103" s="17" t="n">
        <v>45592</v>
      </c>
      <c r="H103" s="18" t="n">
        <v>69</v>
      </c>
      <c r="I103" s="19" t="n">
        <v>34.91</v>
      </c>
      <c r="J103" s="19" t="n">
        <v>33</v>
      </c>
      <c r="K103" s="20" t="n">
        <v>1</v>
      </c>
      <c r="L103" s="20" t="n">
        <v>0</v>
      </c>
      <c r="M103" s="18" t="n">
        <v>0</v>
      </c>
      <c r="N103" s="18" t="n">
        <v>0</v>
      </c>
      <c r="O103" s="18" t="n">
        <v>0</v>
      </c>
      <c r="P103" s="17" t="n"/>
      <c r="Q103" s="17" t="n"/>
      <c r="R103" s="17" t="n"/>
      <c r="S103" s="19">
        <f>H103*I103</f>
        <v/>
      </c>
      <c r="T103" s="19">
        <f>H103*J103</f>
        <v/>
      </c>
      <c r="U103">
        <f>IF(AND(K103=0,G103&lt;=Assumptions!$C$6),1,0)</f>
        <v/>
      </c>
      <c r="V103">
        <f>IF(U103=1,IF(M103&gt;0,IF(P103&lt;=G103+Assumptions!$C$7,1,0),0),0)</f>
        <v/>
      </c>
      <c r="W103">
        <f>IF(AND(U103=1,M103&gt;=H103*(1-Assumptions!$C$8)),1,0)</f>
        <v/>
      </c>
      <c r="X103">
        <f>IF(AND(U103=1,N103&gt;=H103*(1-Assumptions!$C$8)),1,0)</f>
        <v/>
      </c>
      <c r="Y103">
        <f>IF(ISNUMBER(Q103),1,0)</f>
        <v/>
      </c>
      <c r="Z103">
        <f>IF(AND(K103=0,L103=0,Y103=0),1,0)</f>
        <v/>
      </c>
      <c r="AA103">
        <f>IF(AND(Z103=1,G103&lt;Assumptions!$C$6),1,0)</f>
        <v/>
      </c>
      <c r="AB103">
        <f>IF(U103=0,"",IF(Y103=1,MAX(0,Q103-G103),IF(L103=1,MAX(0,R103-G103),MAX(0,Assumptions!$C$6-G103))))</f>
        <v/>
      </c>
      <c r="AC103">
        <f>IF(Y103=1,Q103-F103,"")</f>
        <v/>
      </c>
      <c r="AD103">
        <f>IF(Y103=1,AC103^2,"")</f>
        <v/>
      </c>
      <c r="AE103" s="19">
        <f>IF(Z103=1,(H103-M103)*I103,0)</f>
        <v/>
      </c>
      <c r="AF103">
        <f>IF(G103&lt;EDATE(Assumptions!$C$6,-12)+1,"prior_12m","last_12m")</f>
        <v/>
      </c>
      <c r="AG103" s="21">
        <f>DATE(YEAR(G103),MONTH(G103),1)</f>
        <v/>
      </c>
    </row>
    <row r="104">
      <c r="A104" t="inlineStr">
        <is>
          <t>SPO-00052-1</t>
        </is>
      </c>
      <c r="B104" t="inlineStr">
        <is>
          <t>SPO-00052</t>
        </is>
      </c>
      <c r="C104" t="inlineStr">
        <is>
          <t>SUP-02</t>
        </is>
      </c>
      <c r="D104" t="inlineStr">
        <is>
          <t>ELEC</t>
        </is>
      </c>
      <c r="E104" t="inlineStr">
        <is>
          <t>ELEC-03</t>
        </is>
      </c>
      <c r="F104" s="17" t="n">
        <v>45578</v>
      </c>
      <c r="G104" s="17" t="n">
        <v>45594</v>
      </c>
      <c r="H104" s="18" t="n">
        <v>22</v>
      </c>
      <c r="I104" s="19" t="n">
        <v>98.84</v>
      </c>
      <c r="J104" s="19" t="n">
        <v>96</v>
      </c>
      <c r="K104" s="20" t="n">
        <v>0</v>
      </c>
      <c r="L104" s="20" t="n">
        <v>0</v>
      </c>
      <c r="M104" s="18" t="n">
        <v>22</v>
      </c>
      <c r="N104" s="18" t="n">
        <v>22</v>
      </c>
      <c r="O104" s="18" t="n">
        <v>0</v>
      </c>
      <c r="P104" s="17" t="n">
        <v>45592</v>
      </c>
      <c r="Q104" s="17" t="n">
        <v>45592</v>
      </c>
      <c r="R104" s="17" t="n">
        <v>45592</v>
      </c>
      <c r="S104" s="19">
        <f>H104*I104</f>
        <v/>
      </c>
      <c r="T104" s="19">
        <f>H104*J104</f>
        <v/>
      </c>
      <c r="U104">
        <f>IF(AND(K104=0,G104&lt;=Assumptions!$C$6),1,0)</f>
        <v/>
      </c>
      <c r="V104">
        <f>IF(U104=1,IF(M104&gt;0,IF(P104&lt;=G104+Assumptions!$C$7,1,0),0),0)</f>
        <v/>
      </c>
      <c r="W104">
        <f>IF(AND(U104=1,M104&gt;=H104*(1-Assumptions!$C$8)),1,0)</f>
        <v/>
      </c>
      <c r="X104">
        <f>IF(AND(U104=1,N104&gt;=H104*(1-Assumptions!$C$8)),1,0)</f>
        <v/>
      </c>
      <c r="Y104">
        <f>IF(ISNUMBER(Q104),1,0)</f>
        <v/>
      </c>
      <c r="Z104">
        <f>IF(AND(K104=0,L104=0,Y104=0),1,0)</f>
        <v/>
      </c>
      <c r="AA104">
        <f>IF(AND(Z104=1,G104&lt;Assumptions!$C$6),1,0)</f>
        <v/>
      </c>
      <c r="AB104">
        <f>IF(U104=0,"",IF(Y104=1,MAX(0,Q104-G104),IF(L104=1,MAX(0,R104-G104),MAX(0,Assumptions!$C$6-G104))))</f>
        <v/>
      </c>
      <c r="AC104">
        <f>IF(Y104=1,Q104-F104,"")</f>
        <v/>
      </c>
      <c r="AD104">
        <f>IF(Y104=1,AC104^2,"")</f>
        <v/>
      </c>
      <c r="AE104" s="19">
        <f>IF(Z104=1,(H104-M104)*I104,0)</f>
        <v/>
      </c>
      <c r="AF104">
        <f>IF(G104&lt;EDATE(Assumptions!$C$6,-12)+1,"prior_12m","last_12m")</f>
        <v/>
      </c>
      <c r="AG104" s="21">
        <f>DATE(YEAR(G104),MONTH(G104),1)</f>
        <v/>
      </c>
    </row>
    <row r="105">
      <c r="A105" t="inlineStr">
        <is>
          <t>SPO-00052-2</t>
        </is>
      </c>
      <c r="B105" t="inlineStr">
        <is>
          <t>SPO-00052</t>
        </is>
      </c>
      <c r="C105" t="inlineStr">
        <is>
          <t>SUP-02</t>
        </is>
      </c>
      <c r="D105" t="inlineStr">
        <is>
          <t>ELEC</t>
        </is>
      </c>
      <c r="E105" t="inlineStr">
        <is>
          <t>ELEC-01</t>
        </is>
      </c>
      <c r="F105" s="17" t="n">
        <v>45578</v>
      </c>
      <c r="G105" s="17" t="n">
        <v>45594</v>
      </c>
      <c r="H105" s="18" t="n">
        <v>30</v>
      </c>
      <c r="I105" s="19" t="n">
        <v>37.06</v>
      </c>
      <c r="J105" s="19" t="n">
        <v>38</v>
      </c>
      <c r="K105" s="20" t="n">
        <v>0</v>
      </c>
      <c r="L105" s="20" t="n">
        <v>0</v>
      </c>
      <c r="M105" s="18" t="n">
        <v>30</v>
      </c>
      <c r="N105" s="18" t="n">
        <v>30</v>
      </c>
      <c r="O105" s="18" t="n">
        <v>0</v>
      </c>
      <c r="P105" s="17" t="n">
        <v>45591</v>
      </c>
      <c r="Q105" s="17" t="n">
        <v>45591</v>
      </c>
      <c r="R105" s="17" t="n">
        <v>45591</v>
      </c>
      <c r="S105" s="19">
        <f>H105*I105</f>
        <v/>
      </c>
      <c r="T105" s="19">
        <f>H105*J105</f>
        <v/>
      </c>
      <c r="U105">
        <f>IF(AND(K105=0,G105&lt;=Assumptions!$C$6),1,0)</f>
        <v/>
      </c>
      <c r="V105">
        <f>IF(U105=1,IF(M105&gt;0,IF(P105&lt;=G105+Assumptions!$C$7,1,0),0),0)</f>
        <v/>
      </c>
      <c r="W105">
        <f>IF(AND(U105=1,M105&gt;=H105*(1-Assumptions!$C$8)),1,0)</f>
        <v/>
      </c>
      <c r="X105">
        <f>IF(AND(U105=1,N105&gt;=H105*(1-Assumptions!$C$8)),1,0)</f>
        <v/>
      </c>
      <c r="Y105">
        <f>IF(ISNUMBER(Q105),1,0)</f>
        <v/>
      </c>
      <c r="Z105">
        <f>IF(AND(K105=0,L105=0,Y105=0),1,0)</f>
        <v/>
      </c>
      <c r="AA105">
        <f>IF(AND(Z105=1,G105&lt;Assumptions!$C$6),1,0)</f>
        <v/>
      </c>
      <c r="AB105">
        <f>IF(U105=0,"",IF(Y105=1,MAX(0,Q105-G105),IF(L105=1,MAX(0,R105-G105),MAX(0,Assumptions!$C$6-G105))))</f>
        <v/>
      </c>
      <c r="AC105">
        <f>IF(Y105=1,Q105-F105,"")</f>
        <v/>
      </c>
      <c r="AD105">
        <f>IF(Y105=1,AC105^2,"")</f>
        <v/>
      </c>
      <c r="AE105" s="19">
        <f>IF(Z105=1,(H105-M105)*I105,0)</f>
        <v/>
      </c>
      <c r="AF105">
        <f>IF(G105&lt;EDATE(Assumptions!$C$6,-12)+1,"prior_12m","last_12m")</f>
        <v/>
      </c>
      <c r="AG105" s="21">
        <f>DATE(YEAR(G105),MONTH(G105),1)</f>
        <v/>
      </c>
    </row>
    <row r="106">
      <c r="A106" t="inlineStr">
        <is>
          <t>SPO-00053-1</t>
        </is>
      </c>
      <c r="B106" t="inlineStr">
        <is>
          <t>SPO-00053</t>
        </is>
      </c>
      <c r="C106" t="inlineStr">
        <is>
          <t>SUP-05</t>
        </is>
      </c>
      <c r="D106" t="inlineStr">
        <is>
          <t>FLEET</t>
        </is>
      </c>
      <c r="E106" t="inlineStr">
        <is>
          <t>FLEET-02</t>
        </is>
      </c>
      <c r="F106" s="17" t="n">
        <v>45578</v>
      </c>
      <c r="G106" s="17" t="n">
        <v>45592</v>
      </c>
      <c r="H106" s="18" t="n">
        <v>178</v>
      </c>
      <c r="I106" s="19" t="n">
        <v>7.34</v>
      </c>
      <c r="J106" s="19" t="n">
        <v>7.5</v>
      </c>
      <c r="K106" s="20" t="n">
        <v>0</v>
      </c>
      <c r="L106" s="20" t="n">
        <v>0</v>
      </c>
      <c r="M106" s="18" t="n">
        <v>178</v>
      </c>
      <c r="N106" s="18" t="n">
        <v>178</v>
      </c>
      <c r="O106" s="18" t="n">
        <v>0</v>
      </c>
      <c r="P106" s="17" t="n">
        <v>45589</v>
      </c>
      <c r="Q106" s="17" t="n">
        <v>45589</v>
      </c>
      <c r="R106" s="17" t="n">
        <v>45589</v>
      </c>
      <c r="S106" s="19">
        <f>H106*I106</f>
        <v/>
      </c>
      <c r="T106" s="19">
        <f>H106*J106</f>
        <v/>
      </c>
      <c r="U106">
        <f>IF(AND(K106=0,G106&lt;=Assumptions!$C$6),1,0)</f>
        <v/>
      </c>
      <c r="V106">
        <f>IF(U106=1,IF(M106&gt;0,IF(P106&lt;=G106+Assumptions!$C$7,1,0),0),0)</f>
        <v/>
      </c>
      <c r="W106">
        <f>IF(AND(U106=1,M106&gt;=H106*(1-Assumptions!$C$8)),1,0)</f>
        <v/>
      </c>
      <c r="X106">
        <f>IF(AND(U106=1,N106&gt;=H106*(1-Assumptions!$C$8)),1,0)</f>
        <v/>
      </c>
      <c r="Y106">
        <f>IF(ISNUMBER(Q106),1,0)</f>
        <v/>
      </c>
      <c r="Z106">
        <f>IF(AND(K106=0,L106=0,Y106=0),1,0)</f>
        <v/>
      </c>
      <c r="AA106">
        <f>IF(AND(Z106=1,G106&lt;Assumptions!$C$6),1,0)</f>
        <v/>
      </c>
      <c r="AB106">
        <f>IF(U106=0,"",IF(Y106=1,MAX(0,Q106-G106),IF(L106=1,MAX(0,R106-G106),MAX(0,Assumptions!$C$6-G106))))</f>
        <v/>
      </c>
      <c r="AC106">
        <f>IF(Y106=1,Q106-F106,"")</f>
        <v/>
      </c>
      <c r="AD106">
        <f>IF(Y106=1,AC106^2,"")</f>
        <v/>
      </c>
      <c r="AE106" s="19">
        <f>IF(Z106=1,(H106-M106)*I106,0)</f>
        <v/>
      </c>
      <c r="AF106">
        <f>IF(G106&lt;EDATE(Assumptions!$C$6,-12)+1,"prior_12m","last_12m")</f>
        <v/>
      </c>
      <c r="AG106" s="21">
        <f>DATE(YEAR(G106),MONTH(G106),1)</f>
        <v/>
      </c>
    </row>
    <row r="107">
      <c r="A107" t="inlineStr">
        <is>
          <t>SPO-00053-2</t>
        </is>
      </c>
      <c r="B107" t="inlineStr">
        <is>
          <t>SPO-00053</t>
        </is>
      </c>
      <c r="C107" t="inlineStr">
        <is>
          <t>SUP-05</t>
        </is>
      </c>
      <c r="D107" t="inlineStr">
        <is>
          <t>FLEET</t>
        </is>
      </c>
      <c r="E107" t="inlineStr">
        <is>
          <t>FLEET-03</t>
        </is>
      </c>
      <c r="F107" s="17" t="n">
        <v>45578</v>
      </c>
      <c r="G107" s="17" t="n">
        <v>45592</v>
      </c>
      <c r="H107" s="18" t="n">
        <v>69</v>
      </c>
      <c r="I107" s="19" t="n">
        <v>22.24</v>
      </c>
      <c r="J107" s="19" t="n">
        <v>21</v>
      </c>
      <c r="K107" s="20" t="n">
        <v>0</v>
      </c>
      <c r="L107" s="20" t="n">
        <v>0</v>
      </c>
      <c r="M107" s="18" t="n">
        <v>69</v>
      </c>
      <c r="N107" s="18" t="n">
        <v>69</v>
      </c>
      <c r="O107" s="18" t="n">
        <v>0</v>
      </c>
      <c r="P107" s="17" t="n">
        <v>45589</v>
      </c>
      <c r="Q107" s="17" t="n">
        <v>45589</v>
      </c>
      <c r="R107" s="17" t="n">
        <v>45589</v>
      </c>
      <c r="S107" s="19">
        <f>H107*I107</f>
        <v/>
      </c>
      <c r="T107" s="19">
        <f>H107*J107</f>
        <v/>
      </c>
      <c r="U107">
        <f>IF(AND(K107=0,G107&lt;=Assumptions!$C$6),1,0)</f>
        <v/>
      </c>
      <c r="V107">
        <f>IF(U107=1,IF(M107&gt;0,IF(P107&lt;=G107+Assumptions!$C$7,1,0),0),0)</f>
        <v/>
      </c>
      <c r="W107">
        <f>IF(AND(U107=1,M107&gt;=H107*(1-Assumptions!$C$8)),1,0)</f>
        <v/>
      </c>
      <c r="X107">
        <f>IF(AND(U107=1,N107&gt;=H107*(1-Assumptions!$C$8)),1,0)</f>
        <v/>
      </c>
      <c r="Y107">
        <f>IF(ISNUMBER(Q107),1,0)</f>
        <v/>
      </c>
      <c r="Z107">
        <f>IF(AND(K107=0,L107=0,Y107=0),1,0)</f>
        <v/>
      </c>
      <c r="AA107">
        <f>IF(AND(Z107=1,G107&lt;Assumptions!$C$6),1,0)</f>
        <v/>
      </c>
      <c r="AB107">
        <f>IF(U107=0,"",IF(Y107=1,MAX(0,Q107-G107),IF(L107=1,MAX(0,R107-G107),MAX(0,Assumptions!$C$6-G107))))</f>
        <v/>
      </c>
      <c r="AC107">
        <f>IF(Y107=1,Q107-F107,"")</f>
        <v/>
      </c>
      <c r="AD107">
        <f>IF(Y107=1,AC107^2,"")</f>
        <v/>
      </c>
      <c r="AE107" s="19">
        <f>IF(Z107=1,(H107-M107)*I107,0)</f>
        <v/>
      </c>
      <c r="AF107">
        <f>IF(G107&lt;EDATE(Assumptions!$C$6,-12)+1,"prior_12m","last_12m")</f>
        <v/>
      </c>
      <c r="AG107" s="21">
        <f>DATE(YEAR(G107),MONTH(G107),1)</f>
        <v/>
      </c>
    </row>
    <row r="108">
      <c r="A108" t="inlineStr">
        <is>
          <t>SPO-00054-1</t>
        </is>
      </c>
      <c r="B108" t="inlineStr">
        <is>
          <t>SPO-00054</t>
        </is>
      </c>
      <c r="C108" t="inlineStr">
        <is>
          <t>SUP-08</t>
        </is>
      </c>
      <c r="D108" t="inlineStr">
        <is>
          <t>MRO</t>
        </is>
      </c>
      <c r="E108" t="inlineStr">
        <is>
          <t>MRO-03</t>
        </is>
      </c>
      <c r="F108" s="17" t="n">
        <v>45578</v>
      </c>
      <c r="G108" s="17" t="n">
        <v>45589</v>
      </c>
      <c r="H108" s="18" t="n">
        <v>186</v>
      </c>
      <c r="I108" s="19" t="n">
        <v>8.76</v>
      </c>
      <c r="J108" s="19" t="n">
        <v>8.9</v>
      </c>
      <c r="K108" s="20" t="n">
        <v>0</v>
      </c>
      <c r="L108" s="20" t="n">
        <v>0</v>
      </c>
      <c r="M108" s="18" t="n">
        <v>186</v>
      </c>
      <c r="N108" s="18" t="n">
        <v>186</v>
      </c>
      <c r="O108" s="18" t="n">
        <v>0</v>
      </c>
      <c r="P108" s="17" t="n">
        <v>45585</v>
      </c>
      <c r="Q108" s="17" t="n">
        <v>45585</v>
      </c>
      <c r="R108" s="17" t="n">
        <v>45585</v>
      </c>
      <c r="S108" s="19">
        <f>H108*I108</f>
        <v/>
      </c>
      <c r="T108" s="19">
        <f>H108*J108</f>
        <v/>
      </c>
      <c r="U108">
        <f>IF(AND(K108=0,G108&lt;=Assumptions!$C$6),1,0)</f>
        <v/>
      </c>
      <c r="V108">
        <f>IF(U108=1,IF(M108&gt;0,IF(P108&lt;=G108+Assumptions!$C$7,1,0),0),0)</f>
        <v/>
      </c>
      <c r="W108">
        <f>IF(AND(U108=1,M108&gt;=H108*(1-Assumptions!$C$8)),1,0)</f>
        <v/>
      </c>
      <c r="X108">
        <f>IF(AND(U108=1,N108&gt;=H108*(1-Assumptions!$C$8)),1,0)</f>
        <v/>
      </c>
      <c r="Y108">
        <f>IF(ISNUMBER(Q108),1,0)</f>
        <v/>
      </c>
      <c r="Z108">
        <f>IF(AND(K108=0,L108=0,Y108=0),1,0)</f>
        <v/>
      </c>
      <c r="AA108">
        <f>IF(AND(Z108=1,G108&lt;Assumptions!$C$6),1,0)</f>
        <v/>
      </c>
      <c r="AB108">
        <f>IF(U108=0,"",IF(Y108=1,MAX(0,Q108-G108),IF(L108=1,MAX(0,R108-G108),MAX(0,Assumptions!$C$6-G108))))</f>
        <v/>
      </c>
      <c r="AC108">
        <f>IF(Y108=1,Q108-F108,"")</f>
        <v/>
      </c>
      <c r="AD108">
        <f>IF(Y108=1,AC108^2,"")</f>
        <v/>
      </c>
      <c r="AE108" s="19">
        <f>IF(Z108=1,(H108-M108)*I108,0)</f>
        <v/>
      </c>
      <c r="AF108">
        <f>IF(G108&lt;EDATE(Assumptions!$C$6,-12)+1,"prior_12m","last_12m")</f>
        <v/>
      </c>
      <c r="AG108" s="21">
        <f>DATE(YEAR(G108),MONTH(G108),1)</f>
        <v/>
      </c>
    </row>
    <row r="109">
      <c r="A109" t="inlineStr">
        <is>
          <t>SPO-00055-1</t>
        </is>
      </c>
      <c r="B109" t="inlineStr">
        <is>
          <t>SPO-00055</t>
        </is>
      </c>
      <c r="C109" t="inlineStr">
        <is>
          <t>SUP-04</t>
        </is>
      </c>
      <c r="D109" t="inlineStr">
        <is>
          <t>FLEET</t>
        </is>
      </c>
      <c r="E109" t="inlineStr">
        <is>
          <t>FLEET-06</t>
        </is>
      </c>
      <c r="F109" s="17" t="n">
        <v>45579</v>
      </c>
      <c r="G109" s="17" t="n">
        <v>45592</v>
      </c>
      <c r="H109" s="18" t="n">
        <v>45</v>
      </c>
      <c r="I109" s="19" t="n">
        <v>31.51</v>
      </c>
      <c r="J109" s="19" t="n">
        <v>33</v>
      </c>
      <c r="K109" s="20" t="n">
        <v>0</v>
      </c>
      <c r="L109" s="20" t="n">
        <v>0</v>
      </c>
      <c r="M109" s="18" t="n">
        <v>45</v>
      </c>
      <c r="N109" s="18" t="n">
        <v>45</v>
      </c>
      <c r="O109" s="18" t="n">
        <v>0</v>
      </c>
      <c r="P109" s="17" t="n">
        <v>45580</v>
      </c>
      <c r="Q109" s="17" t="n">
        <v>45580</v>
      </c>
      <c r="R109" s="17" t="n">
        <v>45580</v>
      </c>
      <c r="S109" s="19">
        <f>H109*I109</f>
        <v/>
      </c>
      <c r="T109" s="19">
        <f>H109*J109</f>
        <v/>
      </c>
      <c r="U109">
        <f>IF(AND(K109=0,G109&lt;=Assumptions!$C$6),1,0)</f>
        <v/>
      </c>
      <c r="V109">
        <f>IF(U109=1,IF(M109&gt;0,IF(P109&lt;=G109+Assumptions!$C$7,1,0),0),0)</f>
        <v/>
      </c>
      <c r="W109">
        <f>IF(AND(U109=1,M109&gt;=H109*(1-Assumptions!$C$8)),1,0)</f>
        <v/>
      </c>
      <c r="X109">
        <f>IF(AND(U109=1,N109&gt;=H109*(1-Assumptions!$C$8)),1,0)</f>
        <v/>
      </c>
      <c r="Y109">
        <f>IF(ISNUMBER(Q109),1,0)</f>
        <v/>
      </c>
      <c r="Z109">
        <f>IF(AND(K109=0,L109=0,Y109=0),1,0)</f>
        <v/>
      </c>
      <c r="AA109">
        <f>IF(AND(Z109=1,G109&lt;Assumptions!$C$6),1,0)</f>
        <v/>
      </c>
      <c r="AB109">
        <f>IF(U109=0,"",IF(Y109=1,MAX(0,Q109-G109),IF(L109=1,MAX(0,R109-G109),MAX(0,Assumptions!$C$6-G109))))</f>
        <v/>
      </c>
      <c r="AC109">
        <f>IF(Y109=1,Q109-F109,"")</f>
        <v/>
      </c>
      <c r="AD109">
        <f>IF(Y109=1,AC109^2,"")</f>
        <v/>
      </c>
      <c r="AE109" s="19">
        <f>IF(Z109=1,(H109-M109)*I109,0)</f>
        <v/>
      </c>
      <c r="AF109">
        <f>IF(G109&lt;EDATE(Assumptions!$C$6,-12)+1,"prior_12m","last_12m")</f>
        <v/>
      </c>
      <c r="AG109" s="21">
        <f>DATE(YEAR(G109),MONTH(G109),1)</f>
        <v/>
      </c>
    </row>
    <row r="110">
      <c r="A110" t="inlineStr">
        <is>
          <t>SPO-00055-2</t>
        </is>
      </c>
      <c r="B110" t="inlineStr">
        <is>
          <t>SPO-00055</t>
        </is>
      </c>
      <c r="C110" t="inlineStr">
        <is>
          <t>SUP-04</t>
        </is>
      </c>
      <c r="D110" t="inlineStr">
        <is>
          <t>FLEET</t>
        </is>
      </c>
      <c r="E110" t="inlineStr">
        <is>
          <t>FLEET-03</t>
        </is>
      </c>
      <c r="F110" s="17" t="n">
        <v>45579</v>
      </c>
      <c r="G110" s="17" t="n">
        <v>45592</v>
      </c>
      <c r="H110" s="18" t="n">
        <v>60</v>
      </c>
      <c r="I110" s="19" t="n">
        <v>20.19</v>
      </c>
      <c r="J110" s="19" t="n">
        <v>21</v>
      </c>
      <c r="K110" s="20" t="n">
        <v>0</v>
      </c>
      <c r="L110" s="20" t="n">
        <v>0</v>
      </c>
      <c r="M110" s="18" t="n">
        <v>60</v>
      </c>
      <c r="N110" s="18" t="n">
        <v>60</v>
      </c>
      <c r="O110" s="18" t="n">
        <v>0</v>
      </c>
      <c r="P110" s="17" t="n">
        <v>45582</v>
      </c>
      <c r="Q110" s="17" t="n">
        <v>45582</v>
      </c>
      <c r="R110" s="17" t="n">
        <v>45582</v>
      </c>
      <c r="S110" s="19">
        <f>H110*I110</f>
        <v/>
      </c>
      <c r="T110" s="19">
        <f>H110*J110</f>
        <v/>
      </c>
      <c r="U110">
        <f>IF(AND(K110=0,G110&lt;=Assumptions!$C$6),1,0)</f>
        <v/>
      </c>
      <c r="V110">
        <f>IF(U110=1,IF(M110&gt;0,IF(P110&lt;=G110+Assumptions!$C$7,1,0),0),0)</f>
        <v/>
      </c>
      <c r="W110">
        <f>IF(AND(U110=1,M110&gt;=H110*(1-Assumptions!$C$8)),1,0)</f>
        <v/>
      </c>
      <c r="X110">
        <f>IF(AND(U110=1,N110&gt;=H110*(1-Assumptions!$C$8)),1,0)</f>
        <v/>
      </c>
      <c r="Y110">
        <f>IF(ISNUMBER(Q110),1,0)</f>
        <v/>
      </c>
      <c r="Z110">
        <f>IF(AND(K110=0,L110=0,Y110=0),1,0)</f>
        <v/>
      </c>
      <c r="AA110">
        <f>IF(AND(Z110=1,G110&lt;Assumptions!$C$6),1,0)</f>
        <v/>
      </c>
      <c r="AB110">
        <f>IF(U110=0,"",IF(Y110=1,MAX(0,Q110-G110),IF(L110=1,MAX(0,R110-G110),MAX(0,Assumptions!$C$6-G110))))</f>
        <v/>
      </c>
      <c r="AC110">
        <f>IF(Y110=1,Q110-F110,"")</f>
        <v/>
      </c>
      <c r="AD110">
        <f>IF(Y110=1,AC110^2,"")</f>
        <v/>
      </c>
      <c r="AE110" s="19">
        <f>IF(Z110=1,(H110-M110)*I110,0)</f>
        <v/>
      </c>
      <c r="AF110">
        <f>IF(G110&lt;EDATE(Assumptions!$C$6,-12)+1,"prior_12m","last_12m")</f>
        <v/>
      </c>
      <c r="AG110" s="21">
        <f>DATE(YEAR(G110),MONTH(G110),1)</f>
        <v/>
      </c>
    </row>
    <row r="111">
      <c r="A111" t="inlineStr">
        <is>
          <t>SPO-00055-3</t>
        </is>
      </c>
      <c r="B111" t="inlineStr">
        <is>
          <t>SPO-00055</t>
        </is>
      </c>
      <c r="C111" t="inlineStr">
        <is>
          <t>SUP-04</t>
        </is>
      </c>
      <c r="D111" t="inlineStr">
        <is>
          <t>FLEET</t>
        </is>
      </c>
      <c r="E111" t="inlineStr">
        <is>
          <t>FLEET-02</t>
        </is>
      </c>
      <c r="F111" s="17" t="n">
        <v>45579</v>
      </c>
      <c r="G111" s="17" t="n">
        <v>45592</v>
      </c>
      <c r="H111" s="18" t="n">
        <v>94</v>
      </c>
      <c r="I111" s="19" t="n">
        <v>7.13</v>
      </c>
      <c r="J111" s="19" t="n">
        <v>7.5</v>
      </c>
      <c r="K111" s="20" t="n">
        <v>0</v>
      </c>
      <c r="L111" s="20" t="n">
        <v>0</v>
      </c>
      <c r="M111" s="18" t="n">
        <v>94</v>
      </c>
      <c r="N111" s="18" t="n">
        <v>94</v>
      </c>
      <c r="O111" s="18" t="n">
        <v>0</v>
      </c>
      <c r="P111" s="17" t="n">
        <v>45592</v>
      </c>
      <c r="Q111" s="17" t="n">
        <v>45592</v>
      </c>
      <c r="R111" s="17" t="n">
        <v>45592</v>
      </c>
      <c r="S111" s="19">
        <f>H111*I111</f>
        <v/>
      </c>
      <c r="T111" s="19">
        <f>H111*J111</f>
        <v/>
      </c>
      <c r="U111">
        <f>IF(AND(K111=0,G111&lt;=Assumptions!$C$6),1,0)</f>
        <v/>
      </c>
      <c r="V111">
        <f>IF(U111=1,IF(M111&gt;0,IF(P111&lt;=G111+Assumptions!$C$7,1,0),0),0)</f>
        <v/>
      </c>
      <c r="W111">
        <f>IF(AND(U111=1,M111&gt;=H111*(1-Assumptions!$C$8)),1,0)</f>
        <v/>
      </c>
      <c r="X111">
        <f>IF(AND(U111=1,N111&gt;=H111*(1-Assumptions!$C$8)),1,0)</f>
        <v/>
      </c>
      <c r="Y111">
        <f>IF(ISNUMBER(Q111),1,0)</f>
        <v/>
      </c>
      <c r="Z111">
        <f>IF(AND(K111=0,L111=0,Y111=0),1,0)</f>
        <v/>
      </c>
      <c r="AA111">
        <f>IF(AND(Z111=1,G111&lt;Assumptions!$C$6),1,0)</f>
        <v/>
      </c>
      <c r="AB111">
        <f>IF(U111=0,"",IF(Y111=1,MAX(0,Q111-G111),IF(L111=1,MAX(0,R111-G111),MAX(0,Assumptions!$C$6-G111))))</f>
        <v/>
      </c>
      <c r="AC111">
        <f>IF(Y111=1,Q111-F111,"")</f>
        <v/>
      </c>
      <c r="AD111">
        <f>IF(Y111=1,AC111^2,"")</f>
        <v/>
      </c>
      <c r="AE111" s="19">
        <f>IF(Z111=1,(H111-M111)*I111,0)</f>
        <v/>
      </c>
      <c r="AF111">
        <f>IF(G111&lt;EDATE(Assumptions!$C$6,-12)+1,"prior_12m","last_12m")</f>
        <v/>
      </c>
      <c r="AG111" s="21">
        <f>DATE(YEAR(G111),MONTH(G111),1)</f>
        <v/>
      </c>
    </row>
    <row r="112">
      <c r="A112" t="inlineStr">
        <is>
          <t>SPO-00055-4</t>
        </is>
      </c>
      <c r="B112" t="inlineStr">
        <is>
          <t>SPO-00055</t>
        </is>
      </c>
      <c r="C112" t="inlineStr">
        <is>
          <t>SUP-04</t>
        </is>
      </c>
      <c r="D112" t="inlineStr">
        <is>
          <t>FLEET</t>
        </is>
      </c>
      <c r="E112" t="inlineStr">
        <is>
          <t>FLEET-07</t>
        </is>
      </c>
      <c r="F112" s="17" t="n">
        <v>45579</v>
      </c>
      <c r="G112" s="17" t="n">
        <v>45592</v>
      </c>
      <c r="H112" s="18" t="n">
        <v>12</v>
      </c>
      <c r="I112" s="19" t="n">
        <v>118</v>
      </c>
      <c r="J112" s="19" t="n">
        <v>118</v>
      </c>
      <c r="K112" s="20" t="n">
        <v>0</v>
      </c>
      <c r="L112" s="20" t="n">
        <v>0</v>
      </c>
      <c r="M112" s="18" t="n">
        <v>12</v>
      </c>
      <c r="N112" s="18" t="n">
        <v>0</v>
      </c>
      <c r="O112" s="18" t="n">
        <v>0</v>
      </c>
      <c r="P112" s="17" t="n">
        <v>45595</v>
      </c>
      <c r="Q112" s="17" t="n">
        <v>45595</v>
      </c>
      <c r="R112" s="17" t="n">
        <v>45595</v>
      </c>
      <c r="S112" s="19">
        <f>H112*I112</f>
        <v/>
      </c>
      <c r="T112" s="19">
        <f>H112*J112</f>
        <v/>
      </c>
      <c r="U112">
        <f>IF(AND(K112=0,G112&lt;=Assumptions!$C$6),1,0)</f>
        <v/>
      </c>
      <c r="V112">
        <f>IF(U112=1,IF(M112&gt;0,IF(P112&lt;=G112+Assumptions!$C$7,1,0),0),0)</f>
        <v/>
      </c>
      <c r="W112">
        <f>IF(AND(U112=1,M112&gt;=H112*(1-Assumptions!$C$8)),1,0)</f>
        <v/>
      </c>
      <c r="X112">
        <f>IF(AND(U112=1,N112&gt;=H112*(1-Assumptions!$C$8)),1,0)</f>
        <v/>
      </c>
      <c r="Y112">
        <f>IF(ISNUMBER(Q112),1,0)</f>
        <v/>
      </c>
      <c r="Z112">
        <f>IF(AND(K112=0,L112=0,Y112=0),1,0)</f>
        <v/>
      </c>
      <c r="AA112">
        <f>IF(AND(Z112=1,G112&lt;Assumptions!$C$6),1,0)</f>
        <v/>
      </c>
      <c r="AB112">
        <f>IF(U112=0,"",IF(Y112=1,MAX(0,Q112-G112),IF(L112=1,MAX(0,R112-G112),MAX(0,Assumptions!$C$6-G112))))</f>
        <v/>
      </c>
      <c r="AC112">
        <f>IF(Y112=1,Q112-F112,"")</f>
        <v/>
      </c>
      <c r="AD112">
        <f>IF(Y112=1,AC112^2,"")</f>
        <v/>
      </c>
      <c r="AE112" s="19">
        <f>IF(Z112=1,(H112-M112)*I112,0)</f>
        <v/>
      </c>
      <c r="AF112">
        <f>IF(G112&lt;EDATE(Assumptions!$C$6,-12)+1,"prior_12m","last_12m")</f>
        <v/>
      </c>
      <c r="AG112" s="21">
        <f>DATE(YEAR(G112),MONTH(G112),1)</f>
        <v/>
      </c>
    </row>
    <row r="113">
      <c r="A113" t="inlineStr">
        <is>
          <t>SPO-00056-1</t>
        </is>
      </c>
      <c r="B113" t="inlineStr">
        <is>
          <t>SPO-00056</t>
        </is>
      </c>
      <c r="C113" t="inlineStr">
        <is>
          <t>SUP-09</t>
        </is>
      </c>
      <c r="D113" t="inlineStr">
        <is>
          <t>CHEM</t>
        </is>
      </c>
      <c r="E113" t="inlineStr">
        <is>
          <t>CHEM-06</t>
        </is>
      </c>
      <c r="F113" s="17" t="n">
        <v>45579</v>
      </c>
      <c r="G113" s="17" t="n">
        <v>45593</v>
      </c>
      <c r="H113" s="18" t="n">
        <v>5</v>
      </c>
      <c r="I113" s="19" t="n">
        <v>394.54</v>
      </c>
      <c r="J113" s="19" t="n">
        <v>380</v>
      </c>
      <c r="K113" s="20" t="n">
        <v>0</v>
      </c>
      <c r="L113" s="20" t="n">
        <v>0</v>
      </c>
      <c r="M113" s="18" t="n">
        <v>5</v>
      </c>
      <c r="N113" s="18" t="n">
        <v>5</v>
      </c>
      <c r="O113" s="18" t="n">
        <v>0</v>
      </c>
      <c r="P113" s="17" t="n">
        <v>45591</v>
      </c>
      <c r="Q113" s="17" t="n">
        <v>45591</v>
      </c>
      <c r="R113" s="17" t="n">
        <v>45591</v>
      </c>
      <c r="S113" s="19">
        <f>H113*I113</f>
        <v/>
      </c>
      <c r="T113" s="19">
        <f>H113*J113</f>
        <v/>
      </c>
      <c r="U113">
        <f>IF(AND(K113=0,G113&lt;=Assumptions!$C$6),1,0)</f>
        <v/>
      </c>
      <c r="V113">
        <f>IF(U113=1,IF(M113&gt;0,IF(P113&lt;=G113+Assumptions!$C$7,1,0),0),0)</f>
        <v/>
      </c>
      <c r="W113">
        <f>IF(AND(U113=1,M113&gt;=H113*(1-Assumptions!$C$8)),1,0)</f>
        <v/>
      </c>
      <c r="X113">
        <f>IF(AND(U113=1,N113&gt;=H113*(1-Assumptions!$C$8)),1,0)</f>
        <v/>
      </c>
      <c r="Y113">
        <f>IF(ISNUMBER(Q113),1,0)</f>
        <v/>
      </c>
      <c r="Z113">
        <f>IF(AND(K113=0,L113=0,Y113=0),1,0)</f>
        <v/>
      </c>
      <c r="AA113">
        <f>IF(AND(Z113=1,G113&lt;Assumptions!$C$6),1,0)</f>
        <v/>
      </c>
      <c r="AB113">
        <f>IF(U113=0,"",IF(Y113=1,MAX(0,Q113-G113),IF(L113=1,MAX(0,R113-G113),MAX(0,Assumptions!$C$6-G113))))</f>
        <v/>
      </c>
      <c r="AC113">
        <f>IF(Y113=1,Q113-F113,"")</f>
        <v/>
      </c>
      <c r="AD113">
        <f>IF(Y113=1,AC113^2,"")</f>
        <v/>
      </c>
      <c r="AE113" s="19">
        <f>IF(Z113=1,(H113-M113)*I113,0)</f>
        <v/>
      </c>
      <c r="AF113">
        <f>IF(G113&lt;EDATE(Assumptions!$C$6,-12)+1,"prior_12m","last_12m")</f>
        <v/>
      </c>
      <c r="AG113" s="21">
        <f>DATE(YEAR(G113),MONTH(G113),1)</f>
        <v/>
      </c>
    </row>
    <row r="114">
      <c r="A114" t="inlineStr">
        <is>
          <t>SPO-00056-2</t>
        </is>
      </c>
      <c r="B114" t="inlineStr">
        <is>
          <t>SPO-00056</t>
        </is>
      </c>
      <c r="C114" t="inlineStr">
        <is>
          <t>SUP-09</t>
        </is>
      </c>
      <c r="D114" t="inlineStr">
        <is>
          <t>CHEM</t>
        </is>
      </c>
      <c r="E114" t="inlineStr">
        <is>
          <t>CHEM-02</t>
        </is>
      </c>
      <c r="F114" s="17" t="n">
        <v>45579</v>
      </c>
      <c r="G114" s="17" t="n">
        <v>45593</v>
      </c>
      <c r="H114" s="18" t="n">
        <v>7</v>
      </c>
      <c r="I114" s="19" t="n">
        <v>412.96</v>
      </c>
      <c r="J114" s="19" t="n">
        <v>410</v>
      </c>
      <c r="K114" s="20" t="n">
        <v>0</v>
      </c>
      <c r="L114" s="20" t="n">
        <v>0</v>
      </c>
      <c r="M114" s="18" t="n">
        <v>7</v>
      </c>
      <c r="N114" s="18" t="n">
        <v>7</v>
      </c>
      <c r="O114" s="18" t="n">
        <v>0</v>
      </c>
      <c r="P114" s="17" t="n">
        <v>45592</v>
      </c>
      <c r="Q114" s="17" t="n">
        <v>45592</v>
      </c>
      <c r="R114" s="17" t="n">
        <v>45592</v>
      </c>
      <c r="S114" s="19">
        <f>H114*I114</f>
        <v/>
      </c>
      <c r="T114" s="19">
        <f>H114*J114</f>
        <v/>
      </c>
      <c r="U114">
        <f>IF(AND(K114=0,G114&lt;=Assumptions!$C$6),1,0)</f>
        <v/>
      </c>
      <c r="V114">
        <f>IF(U114=1,IF(M114&gt;0,IF(P114&lt;=G114+Assumptions!$C$7,1,0),0),0)</f>
        <v/>
      </c>
      <c r="W114">
        <f>IF(AND(U114=1,M114&gt;=H114*(1-Assumptions!$C$8)),1,0)</f>
        <v/>
      </c>
      <c r="X114">
        <f>IF(AND(U114=1,N114&gt;=H114*(1-Assumptions!$C$8)),1,0)</f>
        <v/>
      </c>
      <c r="Y114">
        <f>IF(ISNUMBER(Q114),1,0)</f>
        <v/>
      </c>
      <c r="Z114">
        <f>IF(AND(K114=0,L114=0,Y114=0),1,0)</f>
        <v/>
      </c>
      <c r="AA114">
        <f>IF(AND(Z114=1,G114&lt;Assumptions!$C$6),1,0)</f>
        <v/>
      </c>
      <c r="AB114">
        <f>IF(U114=0,"",IF(Y114=1,MAX(0,Q114-G114),IF(L114=1,MAX(0,R114-G114),MAX(0,Assumptions!$C$6-G114))))</f>
        <v/>
      </c>
      <c r="AC114">
        <f>IF(Y114=1,Q114-F114,"")</f>
        <v/>
      </c>
      <c r="AD114">
        <f>IF(Y114=1,AC114^2,"")</f>
        <v/>
      </c>
      <c r="AE114" s="19">
        <f>IF(Z114=1,(H114-M114)*I114,0)</f>
        <v/>
      </c>
      <c r="AF114">
        <f>IF(G114&lt;EDATE(Assumptions!$C$6,-12)+1,"prior_12m","last_12m")</f>
        <v/>
      </c>
      <c r="AG114" s="21">
        <f>DATE(YEAR(G114),MONTH(G114),1)</f>
        <v/>
      </c>
    </row>
    <row r="115">
      <c r="A115" t="inlineStr">
        <is>
          <t>SPO-00057-1</t>
        </is>
      </c>
      <c r="B115" t="inlineStr">
        <is>
          <t>SPO-00057</t>
        </is>
      </c>
      <c r="C115" t="inlineStr">
        <is>
          <t>SUP-11</t>
        </is>
      </c>
      <c r="D115" t="inlineStr">
        <is>
          <t>PPE</t>
        </is>
      </c>
      <c r="E115" t="inlineStr">
        <is>
          <t>PPE-03</t>
        </is>
      </c>
      <c r="F115" s="17" t="n">
        <v>45580</v>
      </c>
      <c r="G115" s="17" t="n">
        <v>45592</v>
      </c>
      <c r="H115" s="18" t="n">
        <v>59</v>
      </c>
      <c r="I115" s="19" t="n">
        <v>20.7</v>
      </c>
      <c r="J115" s="19" t="n">
        <v>21</v>
      </c>
      <c r="K115" s="20" t="n">
        <v>0</v>
      </c>
      <c r="L115" s="20" t="n">
        <v>0</v>
      </c>
      <c r="M115" s="18" t="n">
        <v>59</v>
      </c>
      <c r="N115" s="18" t="n">
        <v>59</v>
      </c>
      <c r="O115" s="18" t="n">
        <v>0</v>
      </c>
      <c r="P115" s="17" t="n">
        <v>45590</v>
      </c>
      <c r="Q115" s="17" t="n">
        <v>45590</v>
      </c>
      <c r="R115" s="17" t="n">
        <v>45590</v>
      </c>
      <c r="S115" s="19">
        <f>H115*I115</f>
        <v/>
      </c>
      <c r="T115" s="19">
        <f>H115*J115</f>
        <v/>
      </c>
      <c r="U115">
        <f>IF(AND(K115=0,G115&lt;=Assumptions!$C$6),1,0)</f>
        <v/>
      </c>
      <c r="V115">
        <f>IF(U115=1,IF(M115&gt;0,IF(P115&lt;=G115+Assumptions!$C$7,1,0),0),0)</f>
        <v/>
      </c>
      <c r="W115">
        <f>IF(AND(U115=1,M115&gt;=H115*(1-Assumptions!$C$8)),1,0)</f>
        <v/>
      </c>
      <c r="X115">
        <f>IF(AND(U115=1,N115&gt;=H115*(1-Assumptions!$C$8)),1,0)</f>
        <v/>
      </c>
      <c r="Y115">
        <f>IF(ISNUMBER(Q115),1,0)</f>
        <v/>
      </c>
      <c r="Z115">
        <f>IF(AND(K115=0,L115=0,Y115=0),1,0)</f>
        <v/>
      </c>
      <c r="AA115">
        <f>IF(AND(Z115=1,G115&lt;Assumptions!$C$6),1,0)</f>
        <v/>
      </c>
      <c r="AB115">
        <f>IF(U115=0,"",IF(Y115=1,MAX(0,Q115-G115),IF(L115=1,MAX(0,R115-G115),MAX(0,Assumptions!$C$6-G115))))</f>
        <v/>
      </c>
      <c r="AC115">
        <f>IF(Y115=1,Q115-F115,"")</f>
        <v/>
      </c>
      <c r="AD115">
        <f>IF(Y115=1,AC115^2,"")</f>
        <v/>
      </c>
      <c r="AE115" s="19">
        <f>IF(Z115=1,(H115-M115)*I115,0)</f>
        <v/>
      </c>
      <c r="AF115">
        <f>IF(G115&lt;EDATE(Assumptions!$C$6,-12)+1,"prior_12m","last_12m")</f>
        <v/>
      </c>
      <c r="AG115" s="21">
        <f>DATE(YEAR(G115),MONTH(G115),1)</f>
        <v/>
      </c>
    </row>
    <row r="116">
      <c r="A116" t="inlineStr">
        <is>
          <t>SPO-00057-2</t>
        </is>
      </c>
      <c r="B116" t="inlineStr">
        <is>
          <t>SPO-00057</t>
        </is>
      </c>
      <c r="C116" t="inlineStr">
        <is>
          <t>SUP-11</t>
        </is>
      </c>
      <c r="D116" t="inlineStr">
        <is>
          <t>PPE</t>
        </is>
      </c>
      <c r="E116" t="inlineStr">
        <is>
          <t>PPE-07</t>
        </is>
      </c>
      <c r="F116" s="17" t="n">
        <v>45580</v>
      </c>
      <c r="G116" s="17" t="n">
        <v>45592</v>
      </c>
      <c r="H116" s="18" t="n">
        <v>25</v>
      </c>
      <c r="I116" s="19" t="n">
        <v>30.94</v>
      </c>
      <c r="J116" s="19" t="n">
        <v>31</v>
      </c>
      <c r="K116" s="20" t="n">
        <v>0</v>
      </c>
      <c r="L116" s="20" t="n">
        <v>0</v>
      </c>
      <c r="M116" s="18" t="n">
        <v>25</v>
      </c>
      <c r="N116" s="18" t="n">
        <v>25</v>
      </c>
      <c r="O116" s="18" t="n">
        <v>0</v>
      </c>
      <c r="P116" s="17" t="n">
        <v>45588</v>
      </c>
      <c r="Q116" s="17" t="n">
        <v>45588</v>
      </c>
      <c r="R116" s="17" t="n">
        <v>45588</v>
      </c>
      <c r="S116" s="19">
        <f>H116*I116</f>
        <v/>
      </c>
      <c r="T116" s="19">
        <f>H116*J116</f>
        <v/>
      </c>
      <c r="U116">
        <f>IF(AND(K116=0,G116&lt;=Assumptions!$C$6),1,0)</f>
        <v/>
      </c>
      <c r="V116">
        <f>IF(U116=1,IF(M116&gt;0,IF(P116&lt;=G116+Assumptions!$C$7,1,0),0),0)</f>
        <v/>
      </c>
      <c r="W116">
        <f>IF(AND(U116=1,M116&gt;=H116*(1-Assumptions!$C$8)),1,0)</f>
        <v/>
      </c>
      <c r="X116">
        <f>IF(AND(U116=1,N116&gt;=H116*(1-Assumptions!$C$8)),1,0)</f>
        <v/>
      </c>
      <c r="Y116">
        <f>IF(ISNUMBER(Q116),1,0)</f>
        <v/>
      </c>
      <c r="Z116">
        <f>IF(AND(K116=0,L116=0,Y116=0),1,0)</f>
        <v/>
      </c>
      <c r="AA116">
        <f>IF(AND(Z116=1,G116&lt;Assumptions!$C$6),1,0)</f>
        <v/>
      </c>
      <c r="AB116">
        <f>IF(U116=0,"",IF(Y116=1,MAX(0,Q116-G116),IF(L116=1,MAX(0,R116-G116),MAX(0,Assumptions!$C$6-G116))))</f>
        <v/>
      </c>
      <c r="AC116">
        <f>IF(Y116=1,Q116-F116,"")</f>
        <v/>
      </c>
      <c r="AD116">
        <f>IF(Y116=1,AC116^2,"")</f>
        <v/>
      </c>
      <c r="AE116" s="19">
        <f>IF(Z116=1,(H116-M116)*I116,0)</f>
        <v/>
      </c>
      <c r="AF116">
        <f>IF(G116&lt;EDATE(Assumptions!$C$6,-12)+1,"prior_12m","last_12m")</f>
        <v/>
      </c>
      <c r="AG116" s="21">
        <f>DATE(YEAR(G116),MONTH(G116),1)</f>
        <v/>
      </c>
    </row>
    <row r="117">
      <c r="A117" t="inlineStr">
        <is>
          <t>SPO-00058-1</t>
        </is>
      </c>
      <c r="B117" t="inlineStr">
        <is>
          <t>SPO-00058</t>
        </is>
      </c>
      <c r="C117" t="inlineStr">
        <is>
          <t>SUP-06</t>
        </is>
      </c>
      <c r="D117" t="inlineStr">
        <is>
          <t>MRO</t>
        </is>
      </c>
      <c r="E117" t="inlineStr">
        <is>
          <t>MRO-06</t>
        </is>
      </c>
      <c r="F117" s="17" t="n">
        <v>45580</v>
      </c>
      <c r="G117" s="17" t="n">
        <v>45588</v>
      </c>
      <c r="H117" s="18" t="n">
        <v>115</v>
      </c>
      <c r="I117" s="19" t="n">
        <v>6.06</v>
      </c>
      <c r="J117" s="19" t="n">
        <v>6.1</v>
      </c>
      <c r="K117" s="20" t="n">
        <v>0</v>
      </c>
      <c r="L117" s="20" t="n">
        <v>0</v>
      </c>
      <c r="M117" s="18" t="n">
        <v>115</v>
      </c>
      <c r="N117" s="18" t="n">
        <v>115</v>
      </c>
      <c r="O117" s="18" t="n">
        <v>0</v>
      </c>
      <c r="P117" s="17" t="n">
        <v>45584</v>
      </c>
      <c r="Q117" s="17" t="n">
        <v>45584</v>
      </c>
      <c r="R117" s="17" t="n">
        <v>45584</v>
      </c>
      <c r="S117" s="19">
        <f>H117*I117</f>
        <v/>
      </c>
      <c r="T117" s="19">
        <f>H117*J117</f>
        <v/>
      </c>
      <c r="U117">
        <f>IF(AND(K117=0,G117&lt;=Assumptions!$C$6),1,0)</f>
        <v/>
      </c>
      <c r="V117">
        <f>IF(U117=1,IF(M117&gt;0,IF(P117&lt;=G117+Assumptions!$C$7,1,0),0),0)</f>
        <v/>
      </c>
      <c r="W117">
        <f>IF(AND(U117=1,M117&gt;=H117*(1-Assumptions!$C$8)),1,0)</f>
        <v/>
      </c>
      <c r="X117">
        <f>IF(AND(U117=1,N117&gt;=H117*(1-Assumptions!$C$8)),1,0)</f>
        <v/>
      </c>
      <c r="Y117">
        <f>IF(ISNUMBER(Q117),1,0)</f>
        <v/>
      </c>
      <c r="Z117">
        <f>IF(AND(K117=0,L117=0,Y117=0),1,0)</f>
        <v/>
      </c>
      <c r="AA117">
        <f>IF(AND(Z117=1,G117&lt;Assumptions!$C$6),1,0)</f>
        <v/>
      </c>
      <c r="AB117">
        <f>IF(U117=0,"",IF(Y117=1,MAX(0,Q117-G117),IF(L117=1,MAX(0,R117-G117),MAX(0,Assumptions!$C$6-G117))))</f>
        <v/>
      </c>
      <c r="AC117">
        <f>IF(Y117=1,Q117-F117,"")</f>
        <v/>
      </c>
      <c r="AD117">
        <f>IF(Y117=1,AC117^2,"")</f>
        <v/>
      </c>
      <c r="AE117" s="19">
        <f>IF(Z117=1,(H117-M117)*I117,0)</f>
        <v/>
      </c>
      <c r="AF117">
        <f>IF(G117&lt;EDATE(Assumptions!$C$6,-12)+1,"prior_12m","last_12m")</f>
        <v/>
      </c>
      <c r="AG117" s="21">
        <f>DATE(YEAR(G117),MONTH(G117),1)</f>
        <v/>
      </c>
    </row>
    <row r="118">
      <c r="A118" t="inlineStr">
        <is>
          <t>SPO-00058-2</t>
        </is>
      </c>
      <c r="B118" t="inlineStr">
        <is>
          <t>SPO-00058</t>
        </is>
      </c>
      <c r="C118" t="inlineStr">
        <is>
          <t>SUP-06</t>
        </is>
      </c>
      <c r="D118" t="inlineStr">
        <is>
          <t>MRO</t>
        </is>
      </c>
      <c r="E118" t="inlineStr">
        <is>
          <t>MRO-04</t>
        </is>
      </c>
      <c r="F118" s="17" t="n">
        <v>45580</v>
      </c>
      <c r="G118" s="17" t="n">
        <v>45588</v>
      </c>
      <c r="H118" s="18" t="n">
        <v>25</v>
      </c>
      <c r="I118" s="19" t="n">
        <v>58.36</v>
      </c>
      <c r="J118" s="19" t="n">
        <v>58</v>
      </c>
      <c r="K118" s="20" t="n">
        <v>0</v>
      </c>
      <c r="L118" s="20" t="n">
        <v>0</v>
      </c>
      <c r="M118" s="18" t="n">
        <v>25</v>
      </c>
      <c r="N118" s="18" t="n">
        <v>25</v>
      </c>
      <c r="O118" s="18" t="n">
        <v>0</v>
      </c>
      <c r="P118" s="17" t="n">
        <v>45585</v>
      </c>
      <c r="Q118" s="17" t="n">
        <v>45585</v>
      </c>
      <c r="R118" s="17" t="n">
        <v>45585</v>
      </c>
      <c r="S118" s="19">
        <f>H118*I118</f>
        <v/>
      </c>
      <c r="T118" s="19">
        <f>H118*J118</f>
        <v/>
      </c>
      <c r="U118">
        <f>IF(AND(K118=0,G118&lt;=Assumptions!$C$6),1,0)</f>
        <v/>
      </c>
      <c r="V118">
        <f>IF(U118=1,IF(M118&gt;0,IF(P118&lt;=G118+Assumptions!$C$7,1,0),0),0)</f>
        <v/>
      </c>
      <c r="W118">
        <f>IF(AND(U118=1,M118&gt;=H118*(1-Assumptions!$C$8)),1,0)</f>
        <v/>
      </c>
      <c r="X118">
        <f>IF(AND(U118=1,N118&gt;=H118*(1-Assumptions!$C$8)),1,0)</f>
        <v/>
      </c>
      <c r="Y118">
        <f>IF(ISNUMBER(Q118),1,0)</f>
        <v/>
      </c>
      <c r="Z118">
        <f>IF(AND(K118=0,L118=0,Y118=0),1,0)</f>
        <v/>
      </c>
      <c r="AA118">
        <f>IF(AND(Z118=1,G118&lt;Assumptions!$C$6),1,0)</f>
        <v/>
      </c>
      <c r="AB118">
        <f>IF(U118=0,"",IF(Y118=1,MAX(0,Q118-G118),IF(L118=1,MAX(0,R118-G118),MAX(0,Assumptions!$C$6-G118))))</f>
        <v/>
      </c>
      <c r="AC118">
        <f>IF(Y118=1,Q118-F118,"")</f>
        <v/>
      </c>
      <c r="AD118">
        <f>IF(Y118=1,AC118^2,"")</f>
        <v/>
      </c>
      <c r="AE118" s="19">
        <f>IF(Z118=1,(H118-M118)*I118,0)</f>
        <v/>
      </c>
      <c r="AF118">
        <f>IF(G118&lt;EDATE(Assumptions!$C$6,-12)+1,"prior_12m","last_12m")</f>
        <v/>
      </c>
      <c r="AG118" s="21">
        <f>DATE(YEAR(G118),MONTH(G118),1)</f>
        <v/>
      </c>
    </row>
    <row r="119">
      <c r="A119" t="inlineStr">
        <is>
          <t>SPO-00058-3</t>
        </is>
      </c>
      <c r="B119" t="inlineStr">
        <is>
          <t>SPO-00058</t>
        </is>
      </c>
      <c r="C119" t="inlineStr">
        <is>
          <t>SUP-06</t>
        </is>
      </c>
      <c r="D119" t="inlineStr">
        <is>
          <t>MRO</t>
        </is>
      </c>
      <c r="E119" t="inlineStr">
        <is>
          <t>MRO-03</t>
        </is>
      </c>
      <c r="F119" s="17" t="n">
        <v>45580</v>
      </c>
      <c r="G119" s="17" t="n">
        <v>45588</v>
      </c>
      <c r="H119" s="18" t="n">
        <v>85</v>
      </c>
      <c r="I119" s="19" t="n">
        <v>8.630000000000001</v>
      </c>
      <c r="J119" s="19" t="n">
        <v>8.9</v>
      </c>
      <c r="K119" s="20" t="n">
        <v>0</v>
      </c>
      <c r="L119" s="20" t="n">
        <v>0</v>
      </c>
      <c r="M119" s="18" t="n">
        <v>85</v>
      </c>
      <c r="N119" s="18" t="n">
        <v>85</v>
      </c>
      <c r="O119" s="18" t="n">
        <v>0</v>
      </c>
      <c r="P119" s="17" t="n">
        <v>45586</v>
      </c>
      <c r="Q119" s="17" t="n">
        <v>45586</v>
      </c>
      <c r="R119" s="17" t="n">
        <v>45586</v>
      </c>
      <c r="S119" s="19">
        <f>H119*I119</f>
        <v/>
      </c>
      <c r="T119" s="19">
        <f>H119*J119</f>
        <v/>
      </c>
      <c r="U119">
        <f>IF(AND(K119=0,G119&lt;=Assumptions!$C$6),1,0)</f>
        <v/>
      </c>
      <c r="V119">
        <f>IF(U119=1,IF(M119&gt;0,IF(P119&lt;=G119+Assumptions!$C$7,1,0),0),0)</f>
        <v/>
      </c>
      <c r="W119">
        <f>IF(AND(U119=1,M119&gt;=H119*(1-Assumptions!$C$8)),1,0)</f>
        <v/>
      </c>
      <c r="X119">
        <f>IF(AND(U119=1,N119&gt;=H119*(1-Assumptions!$C$8)),1,0)</f>
        <v/>
      </c>
      <c r="Y119">
        <f>IF(ISNUMBER(Q119),1,0)</f>
        <v/>
      </c>
      <c r="Z119">
        <f>IF(AND(K119=0,L119=0,Y119=0),1,0)</f>
        <v/>
      </c>
      <c r="AA119">
        <f>IF(AND(Z119=1,G119&lt;Assumptions!$C$6),1,0)</f>
        <v/>
      </c>
      <c r="AB119">
        <f>IF(U119=0,"",IF(Y119=1,MAX(0,Q119-G119),IF(L119=1,MAX(0,R119-G119),MAX(0,Assumptions!$C$6-G119))))</f>
        <v/>
      </c>
      <c r="AC119">
        <f>IF(Y119=1,Q119-F119,"")</f>
        <v/>
      </c>
      <c r="AD119">
        <f>IF(Y119=1,AC119^2,"")</f>
        <v/>
      </c>
      <c r="AE119" s="19">
        <f>IF(Z119=1,(H119-M119)*I119,0)</f>
        <v/>
      </c>
      <c r="AF119">
        <f>IF(G119&lt;EDATE(Assumptions!$C$6,-12)+1,"prior_12m","last_12m")</f>
        <v/>
      </c>
      <c r="AG119" s="21">
        <f>DATE(YEAR(G119),MONTH(G119),1)</f>
        <v/>
      </c>
    </row>
    <row r="120">
      <c r="A120" t="inlineStr">
        <is>
          <t>SPO-00059-1</t>
        </is>
      </c>
      <c r="B120" t="inlineStr">
        <is>
          <t>SPO-00059</t>
        </is>
      </c>
      <c r="C120" t="inlineStr">
        <is>
          <t>SUP-12</t>
        </is>
      </c>
      <c r="D120" t="inlineStr">
        <is>
          <t>IT</t>
        </is>
      </c>
      <c r="E120" t="inlineStr">
        <is>
          <t>IT-07</t>
        </is>
      </c>
      <c r="F120" s="17" t="n">
        <v>45580</v>
      </c>
      <c r="G120" s="17" t="n">
        <v>45590</v>
      </c>
      <c r="H120" s="18" t="n">
        <v>10</v>
      </c>
      <c r="I120" s="19" t="n">
        <v>85.06999999999999</v>
      </c>
      <c r="J120" s="19" t="n">
        <v>74</v>
      </c>
      <c r="K120" s="20" t="n">
        <v>0</v>
      </c>
      <c r="L120" s="20" t="n">
        <v>0</v>
      </c>
      <c r="M120" s="18" t="n">
        <v>10</v>
      </c>
      <c r="N120" s="18" t="n">
        <v>10</v>
      </c>
      <c r="O120" s="18" t="n">
        <v>0</v>
      </c>
      <c r="P120" s="17" t="n">
        <v>45583</v>
      </c>
      <c r="Q120" s="17" t="n">
        <v>45583</v>
      </c>
      <c r="R120" s="17" t="n">
        <v>45583</v>
      </c>
      <c r="S120" s="19">
        <f>H120*I120</f>
        <v/>
      </c>
      <c r="T120" s="19">
        <f>H120*J120</f>
        <v/>
      </c>
      <c r="U120">
        <f>IF(AND(K120=0,G120&lt;=Assumptions!$C$6),1,0)</f>
        <v/>
      </c>
      <c r="V120">
        <f>IF(U120=1,IF(M120&gt;0,IF(P120&lt;=G120+Assumptions!$C$7,1,0),0),0)</f>
        <v/>
      </c>
      <c r="W120">
        <f>IF(AND(U120=1,M120&gt;=H120*(1-Assumptions!$C$8)),1,0)</f>
        <v/>
      </c>
      <c r="X120">
        <f>IF(AND(U120=1,N120&gt;=H120*(1-Assumptions!$C$8)),1,0)</f>
        <v/>
      </c>
      <c r="Y120">
        <f>IF(ISNUMBER(Q120),1,0)</f>
        <v/>
      </c>
      <c r="Z120">
        <f>IF(AND(K120=0,L120=0,Y120=0),1,0)</f>
        <v/>
      </c>
      <c r="AA120">
        <f>IF(AND(Z120=1,G120&lt;Assumptions!$C$6),1,0)</f>
        <v/>
      </c>
      <c r="AB120">
        <f>IF(U120=0,"",IF(Y120=1,MAX(0,Q120-G120),IF(L120=1,MAX(0,R120-G120),MAX(0,Assumptions!$C$6-G120))))</f>
        <v/>
      </c>
      <c r="AC120">
        <f>IF(Y120=1,Q120-F120,"")</f>
        <v/>
      </c>
      <c r="AD120">
        <f>IF(Y120=1,AC120^2,"")</f>
        <v/>
      </c>
      <c r="AE120" s="19">
        <f>IF(Z120=1,(H120-M120)*I120,0)</f>
        <v/>
      </c>
      <c r="AF120">
        <f>IF(G120&lt;EDATE(Assumptions!$C$6,-12)+1,"prior_12m","last_12m")</f>
        <v/>
      </c>
      <c r="AG120" s="21">
        <f>DATE(YEAR(G120),MONTH(G120),1)</f>
        <v/>
      </c>
    </row>
    <row r="121">
      <c r="A121" t="inlineStr">
        <is>
          <t>SPO-00060-1</t>
        </is>
      </c>
      <c r="B121" t="inlineStr">
        <is>
          <t>SPO-00060</t>
        </is>
      </c>
      <c r="C121" t="inlineStr">
        <is>
          <t>SUP-06</t>
        </is>
      </c>
      <c r="D121" t="inlineStr">
        <is>
          <t>MRO</t>
        </is>
      </c>
      <c r="E121" t="inlineStr">
        <is>
          <t>MRO-08</t>
        </is>
      </c>
      <c r="F121" s="17" t="n">
        <v>45581</v>
      </c>
      <c r="G121" s="17" t="n">
        <v>45589</v>
      </c>
      <c r="H121" s="18" t="n">
        <v>281</v>
      </c>
      <c r="I121" s="19" t="n">
        <v>7.26</v>
      </c>
      <c r="J121" s="19" t="n">
        <v>7.2</v>
      </c>
      <c r="K121" s="20" t="n">
        <v>0</v>
      </c>
      <c r="L121" s="20" t="n">
        <v>0</v>
      </c>
      <c r="M121" s="18" t="n">
        <v>281</v>
      </c>
      <c r="N121" s="18" t="n">
        <v>281</v>
      </c>
      <c r="O121" s="18" t="n">
        <v>0</v>
      </c>
      <c r="P121" s="17" t="n">
        <v>45585</v>
      </c>
      <c r="Q121" s="17" t="n">
        <v>45585</v>
      </c>
      <c r="R121" s="17" t="n">
        <v>45585</v>
      </c>
      <c r="S121" s="19">
        <f>H121*I121</f>
        <v/>
      </c>
      <c r="T121" s="19">
        <f>H121*J121</f>
        <v/>
      </c>
      <c r="U121">
        <f>IF(AND(K121=0,G121&lt;=Assumptions!$C$6),1,0)</f>
        <v/>
      </c>
      <c r="V121">
        <f>IF(U121=1,IF(M121&gt;0,IF(P121&lt;=G121+Assumptions!$C$7,1,0),0),0)</f>
        <v/>
      </c>
      <c r="W121">
        <f>IF(AND(U121=1,M121&gt;=H121*(1-Assumptions!$C$8)),1,0)</f>
        <v/>
      </c>
      <c r="X121">
        <f>IF(AND(U121=1,N121&gt;=H121*(1-Assumptions!$C$8)),1,0)</f>
        <v/>
      </c>
      <c r="Y121">
        <f>IF(ISNUMBER(Q121),1,0)</f>
        <v/>
      </c>
      <c r="Z121">
        <f>IF(AND(K121=0,L121=0,Y121=0),1,0)</f>
        <v/>
      </c>
      <c r="AA121">
        <f>IF(AND(Z121=1,G121&lt;Assumptions!$C$6),1,0)</f>
        <v/>
      </c>
      <c r="AB121">
        <f>IF(U121=0,"",IF(Y121=1,MAX(0,Q121-G121),IF(L121=1,MAX(0,R121-G121),MAX(0,Assumptions!$C$6-G121))))</f>
        <v/>
      </c>
      <c r="AC121">
        <f>IF(Y121=1,Q121-F121,"")</f>
        <v/>
      </c>
      <c r="AD121">
        <f>IF(Y121=1,AC121^2,"")</f>
        <v/>
      </c>
      <c r="AE121" s="19">
        <f>IF(Z121=1,(H121-M121)*I121,0)</f>
        <v/>
      </c>
      <c r="AF121">
        <f>IF(G121&lt;EDATE(Assumptions!$C$6,-12)+1,"prior_12m","last_12m")</f>
        <v/>
      </c>
      <c r="AG121" s="21">
        <f>DATE(YEAR(G121),MONTH(G121),1)</f>
        <v/>
      </c>
    </row>
    <row r="122">
      <c r="A122" t="inlineStr">
        <is>
          <t>SPO-00060-2</t>
        </is>
      </c>
      <c r="B122" t="inlineStr">
        <is>
          <t>SPO-00060</t>
        </is>
      </c>
      <c r="C122" t="inlineStr">
        <is>
          <t>SUP-06</t>
        </is>
      </c>
      <c r="D122" t="inlineStr">
        <is>
          <t>MRO</t>
        </is>
      </c>
      <c r="E122" t="inlineStr">
        <is>
          <t>MRO-02</t>
        </is>
      </c>
      <c r="F122" s="17" t="n">
        <v>45581</v>
      </c>
      <c r="G122" s="17" t="n">
        <v>45589</v>
      </c>
      <c r="H122" s="18" t="n">
        <v>36</v>
      </c>
      <c r="I122" s="19" t="n">
        <v>38.45</v>
      </c>
      <c r="J122" s="19" t="n">
        <v>41</v>
      </c>
      <c r="K122" s="20" t="n">
        <v>0</v>
      </c>
      <c r="L122" s="20" t="n">
        <v>0</v>
      </c>
      <c r="M122" s="18" t="n">
        <v>36</v>
      </c>
      <c r="N122" s="18" t="n">
        <v>36</v>
      </c>
      <c r="O122" s="18" t="n">
        <v>0</v>
      </c>
      <c r="P122" s="17" t="n">
        <v>45587</v>
      </c>
      <c r="Q122" s="17" t="n">
        <v>45587</v>
      </c>
      <c r="R122" s="17" t="n">
        <v>45587</v>
      </c>
      <c r="S122" s="19">
        <f>H122*I122</f>
        <v/>
      </c>
      <c r="T122" s="19">
        <f>H122*J122</f>
        <v/>
      </c>
      <c r="U122">
        <f>IF(AND(K122=0,G122&lt;=Assumptions!$C$6),1,0)</f>
        <v/>
      </c>
      <c r="V122">
        <f>IF(U122=1,IF(M122&gt;0,IF(P122&lt;=G122+Assumptions!$C$7,1,0),0),0)</f>
        <v/>
      </c>
      <c r="W122">
        <f>IF(AND(U122=1,M122&gt;=H122*(1-Assumptions!$C$8)),1,0)</f>
        <v/>
      </c>
      <c r="X122">
        <f>IF(AND(U122=1,N122&gt;=H122*(1-Assumptions!$C$8)),1,0)</f>
        <v/>
      </c>
      <c r="Y122">
        <f>IF(ISNUMBER(Q122),1,0)</f>
        <v/>
      </c>
      <c r="Z122">
        <f>IF(AND(K122=0,L122=0,Y122=0),1,0)</f>
        <v/>
      </c>
      <c r="AA122">
        <f>IF(AND(Z122=1,G122&lt;Assumptions!$C$6),1,0)</f>
        <v/>
      </c>
      <c r="AB122">
        <f>IF(U122=0,"",IF(Y122=1,MAX(0,Q122-G122),IF(L122=1,MAX(0,R122-G122),MAX(0,Assumptions!$C$6-G122))))</f>
        <v/>
      </c>
      <c r="AC122">
        <f>IF(Y122=1,Q122-F122,"")</f>
        <v/>
      </c>
      <c r="AD122">
        <f>IF(Y122=1,AC122^2,"")</f>
        <v/>
      </c>
      <c r="AE122" s="19">
        <f>IF(Z122=1,(H122-M122)*I122,0)</f>
        <v/>
      </c>
      <c r="AF122">
        <f>IF(G122&lt;EDATE(Assumptions!$C$6,-12)+1,"prior_12m","last_12m")</f>
        <v/>
      </c>
      <c r="AG122" s="21">
        <f>DATE(YEAR(G122),MONTH(G122),1)</f>
        <v/>
      </c>
    </row>
    <row r="123">
      <c r="A123" t="inlineStr">
        <is>
          <t>SPO-00060-3</t>
        </is>
      </c>
      <c r="B123" t="inlineStr">
        <is>
          <t>SPO-00060</t>
        </is>
      </c>
      <c r="C123" t="inlineStr">
        <is>
          <t>SUP-06</t>
        </is>
      </c>
      <c r="D123" t="inlineStr">
        <is>
          <t>MRO</t>
        </is>
      </c>
      <c r="E123" t="inlineStr">
        <is>
          <t>MRO-03</t>
        </is>
      </c>
      <c r="F123" s="17" t="n">
        <v>45581</v>
      </c>
      <c r="G123" s="17" t="n">
        <v>45589</v>
      </c>
      <c r="H123" s="18" t="n">
        <v>55</v>
      </c>
      <c r="I123" s="19" t="n">
        <v>8.800000000000001</v>
      </c>
      <c r="J123" s="19" t="n">
        <v>8.9</v>
      </c>
      <c r="K123" s="20" t="n">
        <v>0</v>
      </c>
      <c r="L123" s="20" t="n">
        <v>0</v>
      </c>
      <c r="M123" s="18" t="n">
        <v>55</v>
      </c>
      <c r="N123" s="18" t="n">
        <v>55</v>
      </c>
      <c r="O123" s="18" t="n">
        <v>0</v>
      </c>
      <c r="P123" s="17" t="n">
        <v>45588</v>
      </c>
      <c r="Q123" s="17" t="n">
        <v>45588</v>
      </c>
      <c r="R123" s="17" t="n">
        <v>45588</v>
      </c>
      <c r="S123" s="19">
        <f>H123*I123</f>
        <v/>
      </c>
      <c r="T123" s="19">
        <f>H123*J123</f>
        <v/>
      </c>
      <c r="U123">
        <f>IF(AND(K123=0,G123&lt;=Assumptions!$C$6),1,0)</f>
        <v/>
      </c>
      <c r="V123">
        <f>IF(U123=1,IF(M123&gt;0,IF(P123&lt;=G123+Assumptions!$C$7,1,0),0),0)</f>
        <v/>
      </c>
      <c r="W123">
        <f>IF(AND(U123=1,M123&gt;=H123*(1-Assumptions!$C$8)),1,0)</f>
        <v/>
      </c>
      <c r="X123">
        <f>IF(AND(U123=1,N123&gt;=H123*(1-Assumptions!$C$8)),1,0)</f>
        <v/>
      </c>
      <c r="Y123">
        <f>IF(ISNUMBER(Q123),1,0)</f>
        <v/>
      </c>
      <c r="Z123">
        <f>IF(AND(K123=0,L123=0,Y123=0),1,0)</f>
        <v/>
      </c>
      <c r="AA123">
        <f>IF(AND(Z123=1,G123&lt;Assumptions!$C$6),1,0)</f>
        <v/>
      </c>
      <c r="AB123">
        <f>IF(U123=0,"",IF(Y123=1,MAX(0,Q123-G123),IF(L123=1,MAX(0,R123-G123),MAX(0,Assumptions!$C$6-G123))))</f>
        <v/>
      </c>
      <c r="AC123">
        <f>IF(Y123=1,Q123-F123,"")</f>
        <v/>
      </c>
      <c r="AD123">
        <f>IF(Y123=1,AC123^2,"")</f>
        <v/>
      </c>
      <c r="AE123" s="19">
        <f>IF(Z123=1,(H123-M123)*I123,0)</f>
        <v/>
      </c>
      <c r="AF123">
        <f>IF(G123&lt;EDATE(Assumptions!$C$6,-12)+1,"prior_12m","last_12m")</f>
        <v/>
      </c>
      <c r="AG123" s="21">
        <f>DATE(YEAR(G123),MONTH(G123),1)</f>
        <v/>
      </c>
    </row>
    <row r="124">
      <c r="A124" t="inlineStr">
        <is>
          <t>SPO-00061-1</t>
        </is>
      </c>
      <c r="B124" t="inlineStr">
        <is>
          <t>SPO-00061</t>
        </is>
      </c>
      <c r="C124" t="inlineStr">
        <is>
          <t>SUP-11</t>
        </is>
      </c>
      <c r="D124" t="inlineStr">
        <is>
          <t>PPE</t>
        </is>
      </c>
      <c r="E124" t="inlineStr">
        <is>
          <t>PPE-04</t>
        </is>
      </c>
      <c r="F124" s="17" t="n">
        <v>45581</v>
      </c>
      <c r="G124" s="17" t="n">
        <v>45593</v>
      </c>
      <c r="H124" s="18" t="n">
        <v>82</v>
      </c>
      <c r="I124" s="19" t="n">
        <v>26.85</v>
      </c>
      <c r="J124" s="19" t="n">
        <v>26</v>
      </c>
      <c r="K124" s="20" t="n">
        <v>0</v>
      </c>
      <c r="L124" s="20" t="n">
        <v>0</v>
      </c>
      <c r="M124" s="18" t="n">
        <v>82</v>
      </c>
      <c r="N124" s="18" t="n">
        <v>82</v>
      </c>
      <c r="O124" s="18" t="n">
        <v>0</v>
      </c>
      <c r="P124" s="17" t="n">
        <v>45592</v>
      </c>
      <c r="Q124" s="17" t="n">
        <v>45592</v>
      </c>
      <c r="R124" s="17" t="n">
        <v>45592</v>
      </c>
      <c r="S124" s="19">
        <f>H124*I124</f>
        <v/>
      </c>
      <c r="T124" s="19">
        <f>H124*J124</f>
        <v/>
      </c>
      <c r="U124">
        <f>IF(AND(K124=0,G124&lt;=Assumptions!$C$6),1,0)</f>
        <v/>
      </c>
      <c r="V124">
        <f>IF(U124=1,IF(M124&gt;0,IF(P124&lt;=G124+Assumptions!$C$7,1,0),0),0)</f>
        <v/>
      </c>
      <c r="W124">
        <f>IF(AND(U124=1,M124&gt;=H124*(1-Assumptions!$C$8)),1,0)</f>
        <v/>
      </c>
      <c r="X124">
        <f>IF(AND(U124=1,N124&gt;=H124*(1-Assumptions!$C$8)),1,0)</f>
        <v/>
      </c>
      <c r="Y124">
        <f>IF(ISNUMBER(Q124),1,0)</f>
        <v/>
      </c>
      <c r="Z124">
        <f>IF(AND(K124=0,L124=0,Y124=0),1,0)</f>
        <v/>
      </c>
      <c r="AA124">
        <f>IF(AND(Z124=1,G124&lt;Assumptions!$C$6),1,0)</f>
        <v/>
      </c>
      <c r="AB124">
        <f>IF(U124=0,"",IF(Y124=1,MAX(0,Q124-G124),IF(L124=1,MAX(0,R124-G124),MAX(0,Assumptions!$C$6-G124))))</f>
        <v/>
      </c>
      <c r="AC124">
        <f>IF(Y124=1,Q124-F124,"")</f>
        <v/>
      </c>
      <c r="AD124">
        <f>IF(Y124=1,AC124^2,"")</f>
        <v/>
      </c>
      <c r="AE124" s="19">
        <f>IF(Z124=1,(H124-M124)*I124,0)</f>
        <v/>
      </c>
      <c r="AF124">
        <f>IF(G124&lt;EDATE(Assumptions!$C$6,-12)+1,"prior_12m","last_12m")</f>
        <v/>
      </c>
      <c r="AG124" s="21">
        <f>DATE(YEAR(G124),MONTH(G124),1)</f>
        <v/>
      </c>
    </row>
    <row r="125">
      <c r="A125" t="inlineStr">
        <is>
          <t>SPO-00062-1</t>
        </is>
      </c>
      <c r="B125" t="inlineStr">
        <is>
          <t>SPO-00062</t>
        </is>
      </c>
      <c r="C125" t="inlineStr">
        <is>
          <t>SUP-04</t>
        </is>
      </c>
      <c r="D125" t="inlineStr">
        <is>
          <t>FLEET</t>
        </is>
      </c>
      <c r="E125" t="inlineStr">
        <is>
          <t>FLEET-05</t>
        </is>
      </c>
      <c r="F125" s="17" t="n">
        <v>45581</v>
      </c>
      <c r="G125" s="17" t="n">
        <v>45594</v>
      </c>
      <c r="H125" s="18" t="n">
        <v>5</v>
      </c>
      <c r="I125" s="19" t="n">
        <v>168.7</v>
      </c>
      <c r="J125" s="19" t="n">
        <v>168</v>
      </c>
      <c r="K125" s="20" t="n">
        <v>0</v>
      </c>
      <c r="L125" s="20" t="n">
        <v>0</v>
      </c>
      <c r="M125" s="18" t="n">
        <v>5</v>
      </c>
      <c r="N125" s="18" t="n">
        <v>5</v>
      </c>
      <c r="O125" s="18" t="n">
        <v>0</v>
      </c>
      <c r="P125" s="17" t="n">
        <v>45594</v>
      </c>
      <c r="Q125" s="17" t="n">
        <v>45594</v>
      </c>
      <c r="R125" s="17" t="n">
        <v>45594</v>
      </c>
      <c r="S125" s="19">
        <f>H125*I125</f>
        <v/>
      </c>
      <c r="T125" s="19">
        <f>H125*J125</f>
        <v/>
      </c>
      <c r="U125">
        <f>IF(AND(K125=0,G125&lt;=Assumptions!$C$6),1,0)</f>
        <v/>
      </c>
      <c r="V125">
        <f>IF(U125=1,IF(M125&gt;0,IF(P125&lt;=G125+Assumptions!$C$7,1,0),0),0)</f>
        <v/>
      </c>
      <c r="W125">
        <f>IF(AND(U125=1,M125&gt;=H125*(1-Assumptions!$C$8)),1,0)</f>
        <v/>
      </c>
      <c r="X125">
        <f>IF(AND(U125=1,N125&gt;=H125*(1-Assumptions!$C$8)),1,0)</f>
        <v/>
      </c>
      <c r="Y125">
        <f>IF(ISNUMBER(Q125),1,0)</f>
        <v/>
      </c>
      <c r="Z125">
        <f>IF(AND(K125=0,L125=0,Y125=0),1,0)</f>
        <v/>
      </c>
      <c r="AA125">
        <f>IF(AND(Z125=1,G125&lt;Assumptions!$C$6),1,0)</f>
        <v/>
      </c>
      <c r="AB125">
        <f>IF(U125=0,"",IF(Y125=1,MAX(0,Q125-G125),IF(L125=1,MAX(0,R125-G125),MAX(0,Assumptions!$C$6-G125))))</f>
        <v/>
      </c>
      <c r="AC125">
        <f>IF(Y125=1,Q125-F125,"")</f>
        <v/>
      </c>
      <c r="AD125">
        <f>IF(Y125=1,AC125^2,"")</f>
        <v/>
      </c>
      <c r="AE125" s="19">
        <f>IF(Z125=1,(H125-M125)*I125,0)</f>
        <v/>
      </c>
      <c r="AF125">
        <f>IF(G125&lt;EDATE(Assumptions!$C$6,-12)+1,"prior_12m","last_12m")</f>
        <v/>
      </c>
      <c r="AG125" s="21">
        <f>DATE(YEAR(G125),MONTH(G125),1)</f>
        <v/>
      </c>
    </row>
    <row r="126">
      <c r="A126" t="inlineStr">
        <is>
          <t>SPO-00063-1</t>
        </is>
      </c>
      <c r="B126" t="inlineStr">
        <is>
          <t>SPO-00063</t>
        </is>
      </c>
      <c r="C126" t="inlineStr">
        <is>
          <t>SUP-09</t>
        </is>
      </c>
      <c r="D126" t="inlineStr">
        <is>
          <t>CHEM</t>
        </is>
      </c>
      <c r="E126" t="inlineStr">
        <is>
          <t>CHEM-01</t>
        </is>
      </c>
      <c r="F126" s="17" t="n">
        <v>45581</v>
      </c>
      <c r="G126" s="17" t="n">
        <v>45595</v>
      </c>
      <c r="H126" s="18" t="n">
        <v>2</v>
      </c>
      <c r="I126" s="19" t="n">
        <v>671.88</v>
      </c>
      <c r="J126" s="19" t="n">
        <v>640</v>
      </c>
      <c r="K126" s="20" t="n">
        <v>0</v>
      </c>
      <c r="L126" s="20" t="n">
        <v>0</v>
      </c>
      <c r="M126" s="18" t="n">
        <v>2</v>
      </c>
      <c r="N126" s="18" t="n">
        <v>2</v>
      </c>
      <c r="O126" s="18" t="n">
        <v>0</v>
      </c>
      <c r="P126" s="17" t="n">
        <v>45595</v>
      </c>
      <c r="Q126" s="17" t="n">
        <v>45595</v>
      </c>
      <c r="R126" s="17" t="n">
        <v>45595</v>
      </c>
      <c r="S126" s="19">
        <f>H126*I126</f>
        <v/>
      </c>
      <c r="T126" s="19">
        <f>H126*J126</f>
        <v/>
      </c>
      <c r="U126">
        <f>IF(AND(K126=0,G126&lt;=Assumptions!$C$6),1,0)</f>
        <v/>
      </c>
      <c r="V126">
        <f>IF(U126=1,IF(M126&gt;0,IF(P126&lt;=G126+Assumptions!$C$7,1,0),0),0)</f>
        <v/>
      </c>
      <c r="W126">
        <f>IF(AND(U126=1,M126&gt;=H126*(1-Assumptions!$C$8)),1,0)</f>
        <v/>
      </c>
      <c r="X126">
        <f>IF(AND(U126=1,N126&gt;=H126*(1-Assumptions!$C$8)),1,0)</f>
        <v/>
      </c>
      <c r="Y126">
        <f>IF(ISNUMBER(Q126),1,0)</f>
        <v/>
      </c>
      <c r="Z126">
        <f>IF(AND(K126=0,L126=0,Y126=0),1,0)</f>
        <v/>
      </c>
      <c r="AA126">
        <f>IF(AND(Z126=1,G126&lt;Assumptions!$C$6),1,0)</f>
        <v/>
      </c>
      <c r="AB126">
        <f>IF(U126=0,"",IF(Y126=1,MAX(0,Q126-G126),IF(L126=1,MAX(0,R126-G126),MAX(0,Assumptions!$C$6-G126))))</f>
        <v/>
      </c>
      <c r="AC126">
        <f>IF(Y126=1,Q126-F126,"")</f>
        <v/>
      </c>
      <c r="AD126">
        <f>IF(Y126=1,AC126^2,"")</f>
        <v/>
      </c>
      <c r="AE126" s="19">
        <f>IF(Z126=1,(H126-M126)*I126,0)</f>
        <v/>
      </c>
      <c r="AF126">
        <f>IF(G126&lt;EDATE(Assumptions!$C$6,-12)+1,"prior_12m","last_12m")</f>
        <v/>
      </c>
      <c r="AG126" s="21">
        <f>DATE(YEAR(G126),MONTH(G126),1)</f>
        <v/>
      </c>
    </row>
    <row r="127">
      <c r="A127" t="inlineStr">
        <is>
          <t>SPO-00063-2</t>
        </is>
      </c>
      <c r="B127" t="inlineStr">
        <is>
          <t>SPO-00063</t>
        </is>
      </c>
      <c r="C127" t="inlineStr">
        <is>
          <t>SUP-09</t>
        </is>
      </c>
      <c r="D127" t="inlineStr">
        <is>
          <t>CHEM</t>
        </is>
      </c>
      <c r="E127" t="inlineStr">
        <is>
          <t>CHEM-03</t>
        </is>
      </c>
      <c r="F127" s="17" t="n">
        <v>45581</v>
      </c>
      <c r="G127" s="17" t="n">
        <v>45595</v>
      </c>
      <c r="H127" s="18" t="n">
        <v>5</v>
      </c>
      <c r="I127" s="19" t="n">
        <v>285.77</v>
      </c>
      <c r="J127" s="19" t="n">
        <v>265</v>
      </c>
      <c r="K127" s="20" t="n">
        <v>0</v>
      </c>
      <c r="L127" s="20" t="n">
        <v>0</v>
      </c>
      <c r="M127" s="18" t="n">
        <v>5</v>
      </c>
      <c r="N127" s="18" t="n">
        <v>5</v>
      </c>
      <c r="O127" s="18" t="n">
        <v>0</v>
      </c>
      <c r="P127" s="17" t="n">
        <v>45590</v>
      </c>
      <c r="Q127" s="17" t="n">
        <v>45590</v>
      </c>
      <c r="R127" s="17" t="n">
        <v>45590</v>
      </c>
      <c r="S127" s="19">
        <f>H127*I127</f>
        <v/>
      </c>
      <c r="T127" s="19">
        <f>H127*J127</f>
        <v/>
      </c>
      <c r="U127">
        <f>IF(AND(K127=0,G127&lt;=Assumptions!$C$6),1,0)</f>
        <v/>
      </c>
      <c r="V127">
        <f>IF(U127=1,IF(M127&gt;0,IF(P127&lt;=G127+Assumptions!$C$7,1,0),0),0)</f>
        <v/>
      </c>
      <c r="W127">
        <f>IF(AND(U127=1,M127&gt;=H127*(1-Assumptions!$C$8)),1,0)</f>
        <v/>
      </c>
      <c r="X127">
        <f>IF(AND(U127=1,N127&gt;=H127*(1-Assumptions!$C$8)),1,0)</f>
        <v/>
      </c>
      <c r="Y127">
        <f>IF(ISNUMBER(Q127),1,0)</f>
        <v/>
      </c>
      <c r="Z127">
        <f>IF(AND(K127=0,L127=0,Y127=0),1,0)</f>
        <v/>
      </c>
      <c r="AA127">
        <f>IF(AND(Z127=1,G127&lt;Assumptions!$C$6),1,0)</f>
        <v/>
      </c>
      <c r="AB127">
        <f>IF(U127=0,"",IF(Y127=1,MAX(0,Q127-G127),IF(L127=1,MAX(0,R127-G127),MAX(0,Assumptions!$C$6-G127))))</f>
        <v/>
      </c>
      <c r="AC127">
        <f>IF(Y127=1,Q127-F127,"")</f>
        <v/>
      </c>
      <c r="AD127">
        <f>IF(Y127=1,AC127^2,"")</f>
        <v/>
      </c>
      <c r="AE127" s="19">
        <f>IF(Z127=1,(H127-M127)*I127,0)</f>
        <v/>
      </c>
      <c r="AF127">
        <f>IF(G127&lt;EDATE(Assumptions!$C$6,-12)+1,"prior_12m","last_12m")</f>
        <v/>
      </c>
      <c r="AG127" s="21">
        <f>DATE(YEAR(G127),MONTH(G127),1)</f>
        <v/>
      </c>
    </row>
    <row r="128">
      <c r="A128" t="inlineStr">
        <is>
          <t>SPO-00064-1</t>
        </is>
      </c>
      <c r="B128" t="inlineStr">
        <is>
          <t>SPO-00064</t>
        </is>
      </c>
      <c r="C128" t="inlineStr">
        <is>
          <t>SUP-04</t>
        </is>
      </c>
      <c r="D128" t="inlineStr">
        <is>
          <t>FLEET</t>
        </is>
      </c>
      <c r="E128" t="inlineStr">
        <is>
          <t>FLEET-02</t>
        </is>
      </c>
      <c r="F128" s="17" t="n">
        <v>45581</v>
      </c>
      <c r="G128" s="17" t="n">
        <v>45594</v>
      </c>
      <c r="H128" s="18" t="n">
        <v>278</v>
      </c>
      <c r="I128" s="19" t="n">
        <v>6.85</v>
      </c>
      <c r="J128" s="19" t="n">
        <v>7.5</v>
      </c>
      <c r="K128" s="20" t="n">
        <v>0</v>
      </c>
      <c r="L128" s="20" t="n">
        <v>0</v>
      </c>
      <c r="M128" s="18" t="n">
        <v>278</v>
      </c>
      <c r="N128" s="18" t="n">
        <v>278</v>
      </c>
      <c r="O128" s="18" t="n">
        <v>0</v>
      </c>
      <c r="P128" s="17" t="n">
        <v>45594</v>
      </c>
      <c r="Q128" s="17" t="n">
        <v>45594</v>
      </c>
      <c r="R128" s="17" t="n">
        <v>45594</v>
      </c>
      <c r="S128" s="19">
        <f>H128*I128</f>
        <v/>
      </c>
      <c r="T128" s="19">
        <f>H128*J128</f>
        <v/>
      </c>
      <c r="U128">
        <f>IF(AND(K128=0,G128&lt;=Assumptions!$C$6),1,0)</f>
        <v/>
      </c>
      <c r="V128">
        <f>IF(U128=1,IF(M128&gt;0,IF(P128&lt;=G128+Assumptions!$C$7,1,0),0),0)</f>
        <v/>
      </c>
      <c r="W128">
        <f>IF(AND(U128=1,M128&gt;=H128*(1-Assumptions!$C$8)),1,0)</f>
        <v/>
      </c>
      <c r="X128">
        <f>IF(AND(U128=1,N128&gt;=H128*(1-Assumptions!$C$8)),1,0)</f>
        <v/>
      </c>
      <c r="Y128">
        <f>IF(ISNUMBER(Q128),1,0)</f>
        <v/>
      </c>
      <c r="Z128">
        <f>IF(AND(K128=0,L128=0,Y128=0),1,0)</f>
        <v/>
      </c>
      <c r="AA128">
        <f>IF(AND(Z128=1,G128&lt;Assumptions!$C$6),1,0)</f>
        <v/>
      </c>
      <c r="AB128">
        <f>IF(U128=0,"",IF(Y128=1,MAX(0,Q128-G128),IF(L128=1,MAX(0,R128-G128),MAX(0,Assumptions!$C$6-G128))))</f>
        <v/>
      </c>
      <c r="AC128">
        <f>IF(Y128=1,Q128-F128,"")</f>
        <v/>
      </c>
      <c r="AD128">
        <f>IF(Y128=1,AC128^2,"")</f>
        <v/>
      </c>
      <c r="AE128" s="19">
        <f>IF(Z128=1,(H128-M128)*I128,0)</f>
        <v/>
      </c>
      <c r="AF128">
        <f>IF(G128&lt;EDATE(Assumptions!$C$6,-12)+1,"prior_12m","last_12m")</f>
        <v/>
      </c>
      <c r="AG128" s="21">
        <f>DATE(YEAR(G128),MONTH(G128),1)</f>
        <v/>
      </c>
    </row>
    <row r="129">
      <c r="A129" t="inlineStr">
        <is>
          <t>SPO-00065-1</t>
        </is>
      </c>
      <c r="B129" t="inlineStr">
        <is>
          <t>SPO-00065</t>
        </is>
      </c>
      <c r="C129" t="inlineStr">
        <is>
          <t>SUP-01</t>
        </is>
      </c>
      <c r="D129" t="inlineStr">
        <is>
          <t>ELEC</t>
        </is>
      </c>
      <c r="E129" t="inlineStr">
        <is>
          <t>ELEC-02</t>
        </is>
      </c>
      <c r="F129" s="17" t="n">
        <v>45582</v>
      </c>
      <c r="G129" s="17" t="n">
        <v>45600</v>
      </c>
      <c r="H129" s="18" t="n">
        <v>1111</v>
      </c>
      <c r="I129" s="19" t="n">
        <v>4.17</v>
      </c>
      <c r="J129" s="19" t="n">
        <v>4.2</v>
      </c>
      <c r="K129" s="20" t="n">
        <v>0</v>
      </c>
      <c r="L129" s="20" t="n">
        <v>0</v>
      </c>
      <c r="M129" s="18" t="n">
        <v>1111</v>
      </c>
      <c r="N129" s="18" t="n">
        <v>1111</v>
      </c>
      <c r="O129" s="18" t="n">
        <v>0</v>
      </c>
      <c r="P129" s="17" t="n">
        <v>45598</v>
      </c>
      <c r="Q129" s="17" t="n">
        <v>45598</v>
      </c>
      <c r="R129" s="17" t="n">
        <v>45598</v>
      </c>
      <c r="S129" s="19">
        <f>H129*I129</f>
        <v/>
      </c>
      <c r="T129" s="19">
        <f>H129*J129</f>
        <v/>
      </c>
      <c r="U129">
        <f>IF(AND(K129=0,G129&lt;=Assumptions!$C$6),1,0)</f>
        <v/>
      </c>
      <c r="V129">
        <f>IF(U129=1,IF(M129&gt;0,IF(P129&lt;=G129+Assumptions!$C$7,1,0),0),0)</f>
        <v/>
      </c>
      <c r="W129">
        <f>IF(AND(U129=1,M129&gt;=H129*(1-Assumptions!$C$8)),1,0)</f>
        <v/>
      </c>
      <c r="X129">
        <f>IF(AND(U129=1,N129&gt;=H129*(1-Assumptions!$C$8)),1,0)</f>
        <v/>
      </c>
      <c r="Y129">
        <f>IF(ISNUMBER(Q129),1,0)</f>
        <v/>
      </c>
      <c r="Z129">
        <f>IF(AND(K129=0,L129=0,Y129=0),1,0)</f>
        <v/>
      </c>
      <c r="AA129">
        <f>IF(AND(Z129=1,G129&lt;Assumptions!$C$6),1,0)</f>
        <v/>
      </c>
      <c r="AB129">
        <f>IF(U129=0,"",IF(Y129=1,MAX(0,Q129-G129),IF(L129=1,MAX(0,R129-G129),MAX(0,Assumptions!$C$6-G129))))</f>
        <v/>
      </c>
      <c r="AC129">
        <f>IF(Y129=1,Q129-F129,"")</f>
        <v/>
      </c>
      <c r="AD129">
        <f>IF(Y129=1,AC129^2,"")</f>
        <v/>
      </c>
      <c r="AE129" s="19">
        <f>IF(Z129=1,(H129-M129)*I129,0)</f>
        <v/>
      </c>
      <c r="AF129">
        <f>IF(G129&lt;EDATE(Assumptions!$C$6,-12)+1,"prior_12m","last_12m")</f>
        <v/>
      </c>
      <c r="AG129" s="21">
        <f>DATE(YEAR(G129),MONTH(G129),1)</f>
        <v/>
      </c>
    </row>
    <row r="130">
      <c r="A130" t="inlineStr">
        <is>
          <t>SPO-00066-1</t>
        </is>
      </c>
      <c r="B130" t="inlineStr">
        <is>
          <t>SPO-00066</t>
        </is>
      </c>
      <c r="C130" t="inlineStr">
        <is>
          <t>SUP-05</t>
        </is>
      </c>
      <c r="D130" t="inlineStr">
        <is>
          <t>FLEET</t>
        </is>
      </c>
      <c r="E130" t="inlineStr">
        <is>
          <t>FLEET-01</t>
        </is>
      </c>
      <c r="F130" s="17" t="n">
        <v>45582</v>
      </c>
      <c r="G130" s="17" t="n">
        <v>45596</v>
      </c>
      <c r="H130" s="18" t="n">
        <v>11</v>
      </c>
      <c r="I130" s="19" t="n">
        <v>66.45</v>
      </c>
      <c r="J130" s="19" t="n">
        <v>64</v>
      </c>
      <c r="K130" s="20" t="n">
        <v>0</v>
      </c>
      <c r="L130" s="20" t="n">
        <v>0</v>
      </c>
      <c r="M130" s="18" t="n">
        <v>11</v>
      </c>
      <c r="N130" s="18" t="n">
        <v>11</v>
      </c>
      <c r="O130" s="18" t="n">
        <v>0</v>
      </c>
      <c r="P130" s="17" t="n">
        <v>45591</v>
      </c>
      <c r="Q130" s="17" t="n">
        <v>45591</v>
      </c>
      <c r="R130" s="17" t="n">
        <v>45591</v>
      </c>
      <c r="S130" s="19">
        <f>H130*I130</f>
        <v/>
      </c>
      <c r="T130" s="19">
        <f>H130*J130</f>
        <v/>
      </c>
      <c r="U130">
        <f>IF(AND(K130=0,G130&lt;=Assumptions!$C$6),1,0)</f>
        <v/>
      </c>
      <c r="V130">
        <f>IF(U130=1,IF(M130&gt;0,IF(P130&lt;=G130+Assumptions!$C$7,1,0),0),0)</f>
        <v/>
      </c>
      <c r="W130">
        <f>IF(AND(U130=1,M130&gt;=H130*(1-Assumptions!$C$8)),1,0)</f>
        <v/>
      </c>
      <c r="X130">
        <f>IF(AND(U130=1,N130&gt;=H130*(1-Assumptions!$C$8)),1,0)</f>
        <v/>
      </c>
      <c r="Y130">
        <f>IF(ISNUMBER(Q130),1,0)</f>
        <v/>
      </c>
      <c r="Z130">
        <f>IF(AND(K130=0,L130=0,Y130=0),1,0)</f>
        <v/>
      </c>
      <c r="AA130">
        <f>IF(AND(Z130=1,G130&lt;Assumptions!$C$6),1,0)</f>
        <v/>
      </c>
      <c r="AB130">
        <f>IF(U130=0,"",IF(Y130=1,MAX(0,Q130-G130),IF(L130=1,MAX(0,R130-G130),MAX(0,Assumptions!$C$6-G130))))</f>
        <v/>
      </c>
      <c r="AC130">
        <f>IF(Y130=1,Q130-F130,"")</f>
        <v/>
      </c>
      <c r="AD130">
        <f>IF(Y130=1,AC130^2,"")</f>
        <v/>
      </c>
      <c r="AE130" s="19">
        <f>IF(Z130=1,(H130-M130)*I130,0)</f>
        <v/>
      </c>
      <c r="AF130">
        <f>IF(G130&lt;EDATE(Assumptions!$C$6,-12)+1,"prior_12m","last_12m")</f>
        <v/>
      </c>
      <c r="AG130" s="21">
        <f>DATE(YEAR(G130),MONTH(G130),1)</f>
        <v/>
      </c>
    </row>
    <row r="131">
      <c r="A131" t="inlineStr">
        <is>
          <t>SPO-00066-2</t>
        </is>
      </c>
      <c r="B131" t="inlineStr">
        <is>
          <t>SPO-00066</t>
        </is>
      </c>
      <c r="C131" t="inlineStr">
        <is>
          <t>SUP-05</t>
        </is>
      </c>
      <c r="D131" t="inlineStr">
        <is>
          <t>FLEET</t>
        </is>
      </c>
      <c r="E131" t="inlineStr">
        <is>
          <t>FLEET-02</t>
        </is>
      </c>
      <c r="F131" s="17" t="n">
        <v>45582</v>
      </c>
      <c r="G131" s="17" t="n">
        <v>45596</v>
      </c>
      <c r="H131" s="18" t="n">
        <v>154</v>
      </c>
      <c r="I131" s="19" t="n">
        <v>7.41</v>
      </c>
      <c r="J131" s="19" t="n">
        <v>7.5</v>
      </c>
      <c r="K131" s="20" t="n">
        <v>0</v>
      </c>
      <c r="L131" s="20" t="n">
        <v>0</v>
      </c>
      <c r="M131" s="18" t="n">
        <v>154</v>
      </c>
      <c r="N131" s="18" t="n">
        <v>154</v>
      </c>
      <c r="O131" s="18" t="n">
        <v>0</v>
      </c>
      <c r="P131" s="17" t="n">
        <v>45596</v>
      </c>
      <c r="Q131" s="17" t="n">
        <v>45596</v>
      </c>
      <c r="R131" s="17" t="n">
        <v>45596</v>
      </c>
      <c r="S131" s="19">
        <f>H131*I131</f>
        <v/>
      </c>
      <c r="T131" s="19">
        <f>H131*J131</f>
        <v/>
      </c>
      <c r="U131">
        <f>IF(AND(K131=0,G131&lt;=Assumptions!$C$6),1,0)</f>
        <v/>
      </c>
      <c r="V131">
        <f>IF(U131=1,IF(M131&gt;0,IF(P131&lt;=G131+Assumptions!$C$7,1,0),0),0)</f>
        <v/>
      </c>
      <c r="W131">
        <f>IF(AND(U131=1,M131&gt;=H131*(1-Assumptions!$C$8)),1,0)</f>
        <v/>
      </c>
      <c r="X131">
        <f>IF(AND(U131=1,N131&gt;=H131*(1-Assumptions!$C$8)),1,0)</f>
        <v/>
      </c>
      <c r="Y131">
        <f>IF(ISNUMBER(Q131),1,0)</f>
        <v/>
      </c>
      <c r="Z131">
        <f>IF(AND(K131=0,L131=0,Y131=0),1,0)</f>
        <v/>
      </c>
      <c r="AA131">
        <f>IF(AND(Z131=1,G131&lt;Assumptions!$C$6),1,0)</f>
        <v/>
      </c>
      <c r="AB131">
        <f>IF(U131=0,"",IF(Y131=1,MAX(0,Q131-G131),IF(L131=1,MAX(0,R131-G131),MAX(0,Assumptions!$C$6-G131))))</f>
        <v/>
      </c>
      <c r="AC131">
        <f>IF(Y131=1,Q131-F131,"")</f>
        <v/>
      </c>
      <c r="AD131">
        <f>IF(Y131=1,AC131^2,"")</f>
        <v/>
      </c>
      <c r="AE131" s="19">
        <f>IF(Z131=1,(H131-M131)*I131,0)</f>
        <v/>
      </c>
      <c r="AF131">
        <f>IF(G131&lt;EDATE(Assumptions!$C$6,-12)+1,"prior_12m","last_12m")</f>
        <v/>
      </c>
      <c r="AG131" s="21">
        <f>DATE(YEAR(G131),MONTH(G131),1)</f>
        <v/>
      </c>
    </row>
    <row r="132">
      <c r="A132" t="inlineStr">
        <is>
          <t>SPO-00066-3</t>
        </is>
      </c>
      <c r="B132" t="inlineStr">
        <is>
          <t>SPO-00066</t>
        </is>
      </c>
      <c r="C132" t="inlineStr">
        <is>
          <t>SUP-05</t>
        </is>
      </c>
      <c r="D132" t="inlineStr">
        <is>
          <t>FLEET</t>
        </is>
      </c>
      <c r="E132" t="inlineStr">
        <is>
          <t>FLEET-05</t>
        </is>
      </c>
      <c r="F132" s="17" t="n">
        <v>45582</v>
      </c>
      <c r="G132" s="17" t="n">
        <v>45596</v>
      </c>
      <c r="H132" s="18" t="n">
        <v>13</v>
      </c>
      <c r="I132" s="19" t="n">
        <v>176.68</v>
      </c>
      <c r="J132" s="19" t="n">
        <v>168</v>
      </c>
      <c r="K132" s="20" t="n">
        <v>0</v>
      </c>
      <c r="L132" s="20" t="n">
        <v>0</v>
      </c>
      <c r="M132" s="18" t="n">
        <v>13</v>
      </c>
      <c r="N132" s="18" t="n">
        <v>13</v>
      </c>
      <c r="O132" s="18" t="n">
        <v>0</v>
      </c>
      <c r="P132" s="17" t="n">
        <v>45596</v>
      </c>
      <c r="Q132" s="17" t="n">
        <v>45596</v>
      </c>
      <c r="R132" s="17" t="n">
        <v>45596</v>
      </c>
      <c r="S132" s="19">
        <f>H132*I132</f>
        <v/>
      </c>
      <c r="T132" s="19">
        <f>H132*J132</f>
        <v/>
      </c>
      <c r="U132">
        <f>IF(AND(K132=0,G132&lt;=Assumptions!$C$6),1,0)</f>
        <v/>
      </c>
      <c r="V132">
        <f>IF(U132=1,IF(M132&gt;0,IF(P132&lt;=G132+Assumptions!$C$7,1,0),0),0)</f>
        <v/>
      </c>
      <c r="W132">
        <f>IF(AND(U132=1,M132&gt;=H132*(1-Assumptions!$C$8)),1,0)</f>
        <v/>
      </c>
      <c r="X132">
        <f>IF(AND(U132=1,N132&gt;=H132*(1-Assumptions!$C$8)),1,0)</f>
        <v/>
      </c>
      <c r="Y132">
        <f>IF(ISNUMBER(Q132),1,0)</f>
        <v/>
      </c>
      <c r="Z132">
        <f>IF(AND(K132=0,L132=0,Y132=0),1,0)</f>
        <v/>
      </c>
      <c r="AA132">
        <f>IF(AND(Z132=1,G132&lt;Assumptions!$C$6),1,0)</f>
        <v/>
      </c>
      <c r="AB132">
        <f>IF(U132=0,"",IF(Y132=1,MAX(0,Q132-G132),IF(L132=1,MAX(0,R132-G132),MAX(0,Assumptions!$C$6-G132))))</f>
        <v/>
      </c>
      <c r="AC132">
        <f>IF(Y132=1,Q132-F132,"")</f>
        <v/>
      </c>
      <c r="AD132">
        <f>IF(Y132=1,AC132^2,"")</f>
        <v/>
      </c>
      <c r="AE132" s="19">
        <f>IF(Z132=1,(H132-M132)*I132,0)</f>
        <v/>
      </c>
      <c r="AF132">
        <f>IF(G132&lt;EDATE(Assumptions!$C$6,-12)+1,"prior_12m","last_12m")</f>
        <v/>
      </c>
      <c r="AG132" s="21">
        <f>DATE(YEAR(G132),MONTH(G132),1)</f>
        <v/>
      </c>
    </row>
    <row r="133">
      <c r="A133" t="inlineStr">
        <is>
          <t>SPO-00066-4</t>
        </is>
      </c>
      <c r="B133" t="inlineStr">
        <is>
          <t>SPO-00066</t>
        </is>
      </c>
      <c r="C133" t="inlineStr">
        <is>
          <t>SUP-05</t>
        </is>
      </c>
      <c r="D133" t="inlineStr">
        <is>
          <t>FLEET</t>
        </is>
      </c>
      <c r="E133" t="inlineStr">
        <is>
          <t>FLEET-07</t>
        </is>
      </c>
      <c r="F133" s="17" t="n">
        <v>45582</v>
      </c>
      <c r="G133" s="17" t="n">
        <v>45596</v>
      </c>
      <c r="H133" s="18" t="n">
        <v>9</v>
      </c>
      <c r="I133" s="19" t="n">
        <v>119</v>
      </c>
      <c r="J133" s="19" t="n">
        <v>118</v>
      </c>
      <c r="K133" s="20" t="n">
        <v>0</v>
      </c>
      <c r="L133" s="20" t="n">
        <v>0</v>
      </c>
      <c r="M133" s="18" t="n">
        <v>9</v>
      </c>
      <c r="N133" s="18" t="n">
        <v>9</v>
      </c>
      <c r="O133" s="18" t="n">
        <v>0</v>
      </c>
      <c r="P133" s="17" t="n">
        <v>45590</v>
      </c>
      <c r="Q133" s="17" t="n">
        <v>45590</v>
      </c>
      <c r="R133" s="17" t="n">
        <v>45590</v>
      </c>
      <c r="S133" s="19">
        <f>H133*I133</f>
        <v/>
      </c>
      <c r="T133" s="19">
        <f>H133*J133</f>
        <v/>
      </c>
      <c r="U133">
        <f>IF(AND(K133=0,G133&lt;=Assumptions!$C$6),1,0)</f>
        <v/>
      </c>
      <c r="V133">
        <f>IF(U133=1,IF(M133&gt;0,IF(P133&lt;=G133+Assumptions!$C$7,1,0),0),0)</f>
        <v/>
      </c>
      <c r="W133">
        <f>IF(AND(U133=1,M133&gt;=H133*(1-Assumptions!$C$8)),1,0)</f>
        <v/>
      </c>
      <c r="X133">
        <f>IF(AND(U133=1,N133&gt;=H133*(1-Assumptions!$C$8)),1,0)</f>
        <v/>
      </c>
      <c r="Y133">
        <f>IF(ISNUMBER(Q133),1,0)</f>
        <v/>
      </c>
      <c r="Z133">
        <f>IF(AND(K133=0,L133=0,Y133=0),1,0)</f>
        <v/>
      </c>
      <c r="AA133">
        <f>IF(AND(Z133=1,G133&lt;Assumptions!$C$6),1,0)</f>
        <v/>
      </c>
      <c r="AB133">
        <f>IF(U133=0,"",IF(Y133=1,MAX(0,Q133-G133),IF(L133=1,MAX(0,R133-G133),MAX(0,Assumptions!$C$6-G133))))</f>
        <v/>
      </c>
      <c r="AC133">
        <f>IF(Y133=1,Q133-F133,"")</f>
        <v/>
      </c>
      <c r="AD133">
        <f>IF(Y133=1,AC133^2,"")</f>
        <v/>
      </c>
      <c r="AE133" s="19">
        <f>IF(Z133=1,(H133-M133)*I133,0)</f>
        <v/>
      </c>
      <c r="AF133">
        <f>IF(G133&lt;EDATE(Assumptions!$C$6,-12)+1,"prior_12m","last_12m")</f>
        <v/>
      </c>
      <c r="AG133" s="21">
        <f>DATE(YEAR(G133),MONTH(G133),1)</f>
        <v/>
      </c>
    </row>
    <row r="134">
      <c r="A134" t="inlineStr">
        <is>
          <t>SPO-00067-1</t>
        </is>
      </c>
      <c r="B134" t="inlineStr">
        <is>
          <t>SPO-00067</t>
        </is>
      </c>
      <c r="C134" t="inlineStr">
        <is>
          <t>SUP-05</t>
        </is>
      </c>
      <c r="D134" t="inlineStr">
        <is>
          <t>FLEET</t>
        </is>
      </c>
      <c r="E134" t="inlineStr">
        <is>
          <t>FLEET-01</t>
        </is>
      </c>
      <c r="F134" s="17" t="n">
        <v>45582</v>
      </c>
      <c r="G134" s="17" t="n">
        <v>45596</v>
      </c>
      <c r="H134" s="18" t="n">
        <v>43</v>
      </c>
      <c r="I134" s="19" t="n">
        <v>64.68000000000001</v>
      </c>
      <c r="J134" s="19" t="n">
        <v>64</v>
      </c>
      <c r="K134" s="20" t="n">
        <v>0</v>
      </c>
      <c r="L134" s="20" t="n">
        <v>0</v>
      </c>
      <c r="M134" s="18" t="n">
        <v>43</v>
      </c>
      <c r="N134" s="18" t="n">
        <v>43</v>
      </c>
      <c r="O134" s="18" t="n">
        <v>2</v>
      </c>
      <c r="P134" s="17" t="n">
        <v>45591</v>
      </c>
      <c r="Q134" s="17" t="n">
        <v>45591</v>
      </c>
      <c r="R134" s="17" t="n">
        <v>45591</v>
      </c>
      <c r="S134" s="19">
        <f>H134*I134</f>
        <v/>
      </c>
      <c r="T134" s="19">
        <f>H134*J134</f>
        <v/>
      </c>
      <c r="U134">
        <f>IF(AND(K134=0,G134&lt;=Assumptions!$C$6),1,0)</f>
        <v/>
      </c>
      <c r="V134">
        <f>IF(U134=1,IF(M134&gt;0,IF(P134&lt;=G134+Assumptions!$C$7,1,0),0),0)</f>
        <v/>
      </c>
      <c r="W134">
        <f>IF(AND(U134=1,M134&gt;=H134*(1-Assumptions!$C$8)),1,0)</f>
        <v/>
      </c>
      <c r="X134">
        <f>IF(AND(U134=1,N134&gt;=H134*(1-Assumptions!$C$8)),1,0)</f>
        <v/>
      </c>
      <c r="Y134">
        <f>IF(ISNUMBER(Q134),1,0)</f>
        <v/>
      </c>
      <c r="Z134">
        <f>IF(AND(K134=0,L134=0,Y134=0),1,0)</f>
        <v/>
      </c>
      <c r="AA134">
        <f>IF(AND(Z134=1,G134&lt;Assumptions!$C$6),1,0)</f>
        <v/>
      </c>
      <c r="AB134">
        <f>IF(U134=0,"",IF(Y134=1,MAX(0,Q134-G134),IF(L134=1,MAX(0,R134-G134),MAX(0,Assumptions!$C$6-G134))))</f>
        <v/>
      </c>
      <c r="AC134">
        <f>IF(Y134=1,Q134-F134,"")</f>
        <v/>
      </c>
      <c r="AD134">
        <f>IF(Y134=1,AC134^2,"")</f>
        <v/>
      </c>
      <c r="AE134" s="19">
        <f>IF(Z134=1,(H134-M134)*I134,0)</f>
        <v/>
      </c>
      <c r="AF134">
        <f>IF(G134&lt;EDATE(Assumptions!$C$6,-12)+1,"prior_12m","last_12m")</f>
        <v/>
      </c>
      <c r="AG134" s="21">
        <f>DATE(YEAR(G134),MONTH(G134),1)</f>
        <v/>
      </c>
    </row>
    <row r="135">
      <c r="A135" t="inlineStr">
        <is>
          <t>SPO-00068-1</t>
        </is>
      </c>
      <c r="B135" t="inlineStr">
        <is>
          <t>SPO-00068</t>
        </is>
      </c>
      <c r="C135" t="inlineStr">
        <is>
          <t>SUP-01</t>
        </is>
      </c>
      <c r="D135" t="inlineStr">
        <is>
          <t>ELEC</t>
        </is>
      </c>
      <c r="E135" t="inlineStr">
        <is>
          <t>ELEC-08</t>
        </is>
      </c>
      <c r="F135" s="17" t="n">
        <v>45582</v>
      </c>
      <c r="G135" s="17" t="n">
        <v>45600</v>
      </c>
      <c r="H135" s="18" t="n">
        <v>162</v>
      </c>
      <c r="I135" s="19" t="n">
        <v>16.87</v>
      </c>
      <c r="J135" s="19" t="n">
        <v>18</v>
      </c>
      <c r="K135" s="20" t="n">
        <v>0</v>
      </c>
      <c r="L135" s="20" t="n">
        <v>0</v>
      </c>
      <c r="M135" s="18" t="n">
        <v>162</v>
      </c>
      <c r="N135" s="18" t="n">
        <v>162</v>
      </c>
      <c r="O135" s="18" t="n">
        <v>0</v>
      </c>
      <c r="P135" s="17" t="n">
        <v>45595</v>
      </c>
      <c r="Q135" s="17" t="n">
        <v>45595</v>
      </c>
      <c r="R135" s="17" t="n">
        <v>45595</v>
      </c>
      <c r="S135" s="19">
        <f>H135*I135</f>
        <v/>
      </c>
      <c r="T135" s="19">
        <f>H135*J135</f>
        <v/>
      </c>
      <c r="U135">
        <f>IF(AND(K135=0,G135&lt;=Assumptions!$C$6),1,0)</f>
        <v/>
      </c>
      <c r="V135">
        <f>IF(U135=1,IF(M135&gt;0,IF(P135&lt;=G135+Assumptions!$C$7,1,0),0),0)</f>
        <v/>
      </c>
      <c r="W135">
        <f>IF(AND(U135=1,M135&gt;=H135*(1-Assumptions!$C$8)),1,0)</f>
        <v/>
      </c>
      <c r="X135">
        <f>IF(AND(U135=1,N135&gt;=H135*(1-Assumptions!$C$8)),1,0)</f>
        <v/>
      </c>
      <c r="Y135">
        <f>IF(ISNUMBER(Q135),1,0)</f>
        <v/>
      </c>
      <c r="Z135">
        <f>IF(AND(K135=0,L135=0,Y135=0),1,0)</f>
        <v/>
      </c>
      <c r="AA135">
        <f>IF(AND(Z135=1,G135&lt;Assumptions!$C$6),1,0)</f>
        <v/>
      </c>
      <c r="AB135">
        <f>IF(U135=0,"",IF(Y135=1,MAX(0,Q135-G135),IF(L135=1,MAX(0,R135-G135),MAX(0,Assumptions!$C$6-G135))))</f>
        <v/>
      </c>
      <c r="AC135">
        <f>IF(Y135=1,Q135-F135,"")</f>
        <v/>
      </c>
      <c r="AD135">
        <f>IF(Y135=1,AC135^2,"")</f>
        <v/>
      </c>
      <c r="AE135" s="19">
        <f>IF(Z135=1,(H135-M135)*I135,0)</f>
        <v/>
      </c>
      <c r="AF135">
        <f>IF(G135&lt;EDATE(Assumptions!$C$6,-12)+1,"prior_12m","last_12m")</f>
        <v/>
      </c>
      <c r="AG135" s="21">
        <f>DATE(YEAR(G135),MONTH(G135),1)</f>
        <v/>
      </c>
    </row>
    <row r="136">
      <c r="A136" t="inlineStr">
        <is>
          <t>SPO-00068-2</t>
        </is>
      </c>
      <c r="B136" t="inlineStr">
        <is>
          <t>SPO-00068</t>
        </is>
      </c>
      <c r="C136" t="inlineStr">
        <is>
          <t>SUP-01</t>
        </is>
      </c>
      <c r="D136" t="inlineStr">
        <is>
          <t>ELEC</t>
        </is>
      </c>
      <c r="E136" t="inlineStr">
        <is>
          <t>ELEC-01</t>
        </is>
      </c>
      <c r="F136" s="17" t="n">
        <v>45582</v>
      </c>
      <c r="G136" s="17" t="n">
        <v>45600</v>
      </c>
      <c r="H136" s="18" t="n">
        <v>95</v>
      </c>
      <c r="I136" s="19" t="n">
        <v>35.4</v>
      </c>
      <c r="J136" s="19" t="n">
        <v>38</v>
      </c>
      <c r="K136" s="20" t="n">
        <v>0</v>
      </c>
      <c r="L136" s="20" t="n">
        <v>0</v>
      </c>
      <c r="M136" s="18" t="n">
        <v>95</v>
      </c>
      <c r="N136" s="18" t="n">
        <v>95</v>
      </c>
      <c r="O136" s="18" t="n">
        <v>0</v>
      </c>
      <c r="P136" s="17" t="n">
        <v>45597</v>
      </c>
      <c r="Q136" s="17" t="n">
        <v>45597</v>
      </c>
      <c r="R136" s="17" t="n">
        <v>45597</v>
      </c>
      <c r="S136" s="19">
        <f>H136*I136</f>
        <v/>
      </c>
      <c r="T136" s="19">
        <f>H136*J136</f>
        <v/>
      </c>
      <c r="U136">
        <f>IF(AND(K136=0,G136&lt;=Assumptions!$C$6),1,0)</f>
        <v/>
      </c>
      <c r="V136">
        <f>IF(U136=1,IF(M136&gt;0,IF(P136&lt;=G136+Assumptions!$C$7,1,0),0),0)</f>
        <v/>
      </c>
      <c r="W136">
        <f>IF(AND(U136=1,M136&gt;=H136*(1-Assumptions!$C$8)),1,0)</f>
        <v/>
      </c>
      <c r="X136">
        <f>IF(AND(U136=1,N136&gt;=H136*(1-Assumptions!$C$8)),1,0)</f>
        <v/>
      </c>
      <c r="Y136">
        <f>IF(ISNUMBER(Q136),1,0)</f>
        <v/>
      </c>
      <c r="Z136">
        <f>IF(AND(K136=0,L136=0,Y136=0),1,0)</f>
        <v/>
      </c>
      <c r="AA136">
        <f>IF(AND(Z136=1,G136&lt;Assumptions!$C$6),1,0)</f>
        <v/>
      </c>
      <c r="AB136">
        <f>IF(U136=0,"",IF(Y136=1,MAX(0,Q136-G136),IF(L136=1,MAX(0,R136-G136),MAX(0,Assumptions!$C$6-G136))))</f>
        <v/>
      </c>
      <c r="AC136">
        <f>IF(Y136=1,Q136-F136,"")</f>
        <v/>
      </c>
      <c r="AD136">
        <f>IF(Y136=1,AC136^2,"")</f>
        <v/>
      </c>
      <c r="AE136" s="19">
        <f>IF(Z136=1,(H136-M136)*I136,0)</f>
        <v/>
      </c>
      <c r="AF136">
        <f>IF(G136&lt;EDATE(Assumptions!$C$6,-12)+1,"prior_12m","last_12m")</f>
        <v/>
      </c>
      <c r="AG136" s="21">
        <f>DATE(YEAR(G136),MONTH(G136),1)</f>
        <v/>
      </c>
    </row>
    <row r="137">
      <c r="A137" t="inlineStr">
        <is>
          <t>SPO-00068-3</t>
        </is>
      </c>
      <c r="B137" t="inlineStr">
        <is>
          <t>SPO-00068</t>
        </is>
      </c>
      <c r="C137" t="inlineStr">
        <is>
          <t>SUP-01</t>
        </is>
      </c>
      <c r="D137" t="inlineStr">
        <is>
          <t>ELEC</t>
        </is>
      </c>
      <c r="E137" t="inlineStr">
        <is>
          <t>ELEC-06</t>
        </is>
      </c>
      <c r="F137" s="17" t="n">
        <v>45582</v>
      </c>
      <c r="G137" s="17" t="n">
        <v>45600</v>
      </c>
      <c r="H137" s="18" t="n">
        <v>33</v>
      </c>
      <c r="I137" s="19" t="n">
        <v>148.85</v>
      </c>
      <c r="J137" s="19" t="n">
        <v>145</v>
      </c>
      <c r="K137" s="20" t="n">
        <v>0</v>
      </c>
      <c r="L137" s="20" t="n">
        <v>0</v>
      </c>
      <c r="M137" s="18" t="n">
        <v>33</v>
      </c>
      <c r="N137" s="18" t="n">
        <v>33</v>
      </c>
      <c r="O137" s="18" t="n">
        <v>0</v>
      </c>
      <c r="P137" s="17" t="n">
        <v>45598</v>
      </c>
      <c r="Q137" s="17" t="n">
        <v>45598</v>
      </c>
      <c r="R137" s="17" t="n">
        <v>45598</v>
      </c>
      <c r="S137" s="19">
        <f>H137*I137</f>
        <v/>
      </c>
      <c r="T137" s="19">
        <f>H137*J137</f>
        <v/>
      </c>
      <c r="U137">
        <f>IF(AND(K137=0,G137&lt;=Assumptions!$C$6),1,0)</f>
        <v/>
      </c>
      <c r="V137">
        <f>IF(U137=1,IF(M137&gt;0,IF(P137&lt;=G137+Assumptions!$C$7,1,0),0),0)</f>
        <v/>
      </c>
      <c r="W137">
        <f>IF(AND(U137=1,M137&gt;=H137*(1-Assumptions!$C$8)),1,0)</f>
        <v/>
      </c>
      <c r="X137">
        <f>IF(AND(U137=1,N137&gt;=H137*(1-Assumptions!$C$8)),1,0)</f>
        <v/>
      </c>
      <c r="Y137">
        <f>IF(ISNUMBER(Q137),1,0)</f>
        <v/>
      </c>
      <c r="Z137">
        <f>IF(AND(K137=0,L137=0,Y137=0),1,0)</f>
        <v/>
      </c>
      <c r="AA137">
        <f>IF(AND(Z137=1,G137&lt;Assumptions!$C$6),1,0)</f>
        <v/>
      </c>
      <c r="AB137">
        <f>IF(U137=0,"",IF(Y137=1,MAX(0,Q137-G137),IF(L137=1,MAX(0,R137-G137),MAX(0,Assumptions!$C$6-G137))))</f>
        <v/>
      </c>
      <c r="AC137">
        <f>IF(Y137=1,Q137-F137,"")</f>
        <v/>
      </c>
      <c r="AD137">
        <f>IF(Y137=1,AC137^2,"")</f>
        <v/>
      </c>
      <c r="AE137" s="19">
        <f>IF(Z137=1,(H137-M137)*I137,0)</f>
        <v/>
      </c>
      <c r="AF137">
        <f>IF(G137&lt;EDATE(Assumptions!$C$6,-12)+1,"prior_12m","last_12m")</f>
        <v/>
      </c>
      <c r="AG137" s="21">
        <f>DATE(YEAR(G137),MONTH(G137),1)</f>
        <v/>
      </c>
    </row>
    <row r="138">
      <c r="A138" t="inlineStr">
        <is>
          <t>SPO-00069-1</t>
        </is>
      </c>
      <c r="B138" t="inlineStr">
        <is>
          <t>SPO-00069</t>
        </is>
      </c>
      <c r="C138" t="inlineStr">
        <is>
          <t>SUP-09</t>
        </is>
      </c>
      <c r="D138" t="inlineStr">
        <is>
          <t>CHEM</t>
        </is>
      </c>
      <c r="E138" t="inlineStr">
        <is>
          <t>CHEM-06</t>
        </is>
      </c>
      <c r="F138" s="17" t="n">
        <v>45582</v>
      </c>
      <c r="G138" s="17" t="n">
        <v>45596</v>
      </c>
      <c r="H138" s="18" t="n">
        <v>6</v>
      </c>
      <c r="I138" s="19" t="n">
        <v>376.62</v>
      </c>
      <c r="J138" s="19" t="n">
        <v>380</v>
      </c>
      <c r="K138" s="20" t="n">
        <v>0</v>
      </c>
      <c r="L138" s="20" t="n">
        <v>0</v>
      </c>
      <c r="M138" s="18" t="n">
        <v>6</v>
      </c>
      <c r="N138" s="18" t="n">
        <v>6</v>
      </c>
      <c r="O138" s="18" t="n">
        <v>0</v>
      </c>
      <c r="P138" s="17" t="n">
        <v>45596</v>
      </c>
      <c r="Q138" s="17" t="n">
        <v>45596</v>
      </c>
      <c r="R138" s="17" t="n">
        <v>45596</v>
      </c>
      <c r="S138" s="19">
        <f>H138*I138</f>
        <v/>
      </c>
      <c r="T138" s="19">
        <f>H138*J138</f>
        <v/>
      </c>
      <c r="U138">
        <f>IF(AND(K138=0,G138&lt;=Assumptions!$C$6),1,0)</f>
        <v/>
      </c>
      <c r="V138">
        <f>IF(U138=1,IF(M138&gt;0,IF(P138&lt;=G138+Assumptions!$C$7,1,0),0),0)</f>
        <v/>
      </c>
      <c r="W138">
        <f>IF(AND(U138=1,M138&gt;=H138*(1-Assumptions!$C$8)),1,0)</f>
        <v/>
      </c>
      <c r="X138">
        <f>IF(AND(U138=1,N138&gt;=H138*(1-Assumptions!$C$8)),1,0)</f>
        <v/>
      </c>
      <c r="Y138">
        <f>IF(ISNUMBER(Q138),1,0)</f>
        <v/>
      </c>
      <c r="Z138">
        <f>IF(AND(K138=0,L138=0,Y138=0),1,0)</f>
        <v/>
      </c>
      <c r="AA138">
        <f>IF(AND(Z138=1,G138&lt;Assumptions!$C$6),1,0)</f>
        <v/>
      </c>
      <c r="AB138">
        <f>IF(U138=0,"",IF(Y138=1,MAX(0,Q138-G138),IF(L138=1,MAX(0,R138-G138),MAX(0,Assumptions!$C$6-G138))))</f>
        <v/>
      </c>
      <c r="AC138">
        <f>IF(Y138=1,Q138-F138,"")</f>
        <v/>
      </c>
      <c r="AD138">
        <f>IF(Y138=1,AC138^2,"")</f>
        <v/>
      </c>
      <c r="AE138" s="19">
        <f>IF(Z138=1,(H138-M138)*I138,0)</f>
        <v/>
      </c>
      <c r="AF138">
        <f>IF(G138&lt;EDATE(Assumptions!$C$6,-12)+1,"prior_12m","last_12m")</f>
        <v/>
      </c>
      <c r="AG138" s="21">
        <f>DATE(YEAR(G138),MONTH(G138),1)</f>
        <v/>
      </c>
    </row>
    <row r="139">
      <c r="A139" t="inlineStr">
        <is>
          <t>SPO-00069-2</t>
        </is>
      </c>
      <c r="B139" t="inlineStr">
        <is>
          <t>SPO-00069</t>
        </is>
      </c>
      <c r="C139" t="inlineStr">
        <is>
          <t>SUP-09</t>
        </is>
      </c>
      <c r="D139" t="inlineStr">
        <is>
          <t>CHEM</t>
        </is>
      </c>
      <c r="E139" t="inlineStr">
        <is>
          <t>CHEM-04</t>
        </is>
      </c>
      <c r="F139" s="17" t="n">
        <v>45582</v>
      </c>
      <c r="G139" s="17" t="n">
        <v>45596</v>
      </c>
      <c r="H139" s="18" t="n">
        <v>2</v>
      </c>
      <c r="I139" s="19" t="n">
        <v>808.34</v>
      </c>
      <c r="J139" s="19" t="n">
        <v>820</v>
      </c>
      <c r="K139" s="20" t="n">
        <v>0</v>
      </c>
      <c r="L139" s="20" t="n">
        <v>0</v>
      </c>
      <c r="M139" s="18" t="n">
        <v>2</v>
      </c>
      <c r="N139" s="18" t="n">
        <v>2</v>
      </c>
      <c r="O139" s="18" t="n">
        <v>0</v>
      </c>
      <c r="P139" s="17" t="n">
        <v>45595</v>
      </c>
      <c r="Q139" s="17" t="n">
        <v>45595</v>
      </c>
      <c r="R139" s="17" t="n">
        <v>45595</v>
      </c>
      <c r="S139" s="19">
        <f>H139*I139</f>
        <v/>
      </c>
      <c r="T139" s="19">
        <f>H139*J139</f>
        <v/>
      </c>
      <c r="U139">
        <f>IF(AND(K139=0,G139&lt;=Assumptions!$C$6),1,0)</f>
        <v/>
      </c>
      <c r="V139">
        <f>IF(U139=1,IF(M139&gt;0,IF(P139&lt;=G139+Assumptions!$C$7,1,0),0),0)</f>
        <v/>
      </c>
      <c r="W139">
        <f>IF(AND(U139=1,M139&gt;=H139*(1-Assumptions!$C$8)),1,0)</f>
        <v/>
      </c>
      <c r="X139">
        <f>IF(AND(U139=1,N139&gt;=H139*(1-Assumptions!$C$8)),1,0)</f>
        <v/>
      </c>
      <c r="Y139">
        <f>IF(ISNUMBER(Q139),1,0)</f>
        <v/>
      </c>
      <c r="Z139">
        <f>IF(AND(K139=0,L139=0,Y139=0),1,0)</f>
        <v/>
      </c>
      <c r="AA139">
        <f>IF(AND(Z139=1,G139&lt;Assumptions!$C$6),1,0)</f>
        <v/>
      </c>
      <c r="AB139">
        <f>IF(U139=0,"",IF(Y139=1,MAX(0,Q139-G139),IF(L139=1,MAX(0,R139-G139),MAX(0,Assumptions!$C$6-G139))))</f>
        <v/>
      </c>
      <c r="AC139">
        <f>IF(Y139=1,Q139-F139,"")</f>
        <v/>
      </c>
      <c r="AD139">
        <f>IF(Y139=1,AC139^2,"")</f>
        <v/>
      </c>
      <c r="AE139" s="19">
        <f>IF(Z139=1,(H139-M139)*I139,0)</f>
        <v/>
      </c>
      <c r="AF139">
        <f>IF(G139&lt;EDATE(Assumptions!$C$6,-12)+1,"prior_12m","last_12m")</f>
        <v/>
      </c>
      <c r="AG139" s="21">
        <f>DATE(YEAR(G139),MONTH(G139),1)</f>
        <v/>
      </c>
    </row>
    <row r="140">
      <c r="A140" t="inlineStr">
        <is>
          <t>SPO-00070-1</t>
        </is>
      </c>
      <c r="B140" t="inlineStr">
        <is>
          <t>SPO-00070</t>
        </is>
      </c>
      <c r="C140" t="inlineStr">
        <is>
          <t>SUP-04</t>
        </is>
      </c>
      <c r="D140" t="inlineStr">
        <is>
          <t>FLEET</t>
        </is>
      </c>
      <c r="E140" t="inlineStr">
        <is>
          <t>FLEET-05</t>
        </is>
      </c>
      <c r="F140" s="17" t="n">
        <v>45582</v>
      </c>
      <c r="G140" s="17" t="n">
        <v>45595</v>
      </c>
      <c r="H140" s="18" t="n">
        <v>4</v>
      </c>
      <c r="I140" s="19" t="n">
        <v>168.63</v>
      </c>
      <c r="J140" s="19" t="n">
        <v>168</v>
      </c>
      <c r="K140" s="20" t="n">
        <v>0</v>
      </c>
      <c r="L140" s="20" t="n">
        <v>0</v>
      </c>
      <c r="M140" s="18" t="n">
        <v>4</v>
      </c>
      <c r="N140" s="18" t="n">
        <v>2</v>
      </c>
      <c r="O140" s="18" t="n">
        <v>0</v>
      </c>
      <c r="P140" s="17" t="n">
        <v>45595</v>
      </c>
      <c r="Q140" s="17" t="n">
        <v>45604</v>
      </c>
      <c r="R140" s="17" t="n">
        <v>45604</v>
      </c>
      <c r="S140" s="19">
        <f>H140*I140</f>
        <v/>
      </c>
      <c r="T140" s="19">
        <f>H140*J140</f>
        <v/>
      </c>
      <c r="U140">
        <f>IF(AND(K140=0,G140&lt;=Assumptions!$C$6),1,0)</f>
        <v/>
      </c>
      <c r="V140">
        <f>IF(U140=1,IF(M140&gt;0,IF(P140&lt;=G140+Assumptions!$C$7,1,0),0),0)</f>
        <v/>
      </c>
      <c r="W140">
        <f>IF(AND(U140=1,M140&gt;=H140*(1-Assumptions!$C$8)),1,0)</f>
        <v/>
      </c>
      <c r="X140">
        <f>IF(AND(U140=1,N140&gt;=H140*(1-Assumptions!$C$8)),1,0)</f>
        <v/>
      </c>
      <c r="Y140">
        <f>IF(ISNUMBER(Q140),1,0)</f>
        <v/>
      </c>
      <c r="Z140">
        <f>IF(AND(K140=0,L140=0,Y140=0),1,0)</f>
        <v/>
      </c>
      <c r="AA140">
        <f>IF(AND(Z140=1,G140&lt;Assumptions!$C$6),1,0)</f>
        <v/>
      </c>
      <c r="AB140">
        <f>IF(U140=0,"",IF(Y140=1,MAX(0,Q140-G140),IF(L140=1,MAX(0,R140-G140),MAX(0,Assumptions!$C$6-G140))))</f>
        <v/>
      </c>
      <c r="AC140">
        <f>IF(Y140=1,Q140-F140,"")</f>
        <v/>
      </c>
      <c r="AD140">
        <f>IF(Y140=1,AC140^2,"")</f>
        <v/>
      </c>
      <c r="AE140" s="19">
        <f>IF(Z140=1,(H140-M140)*I140,0)</f>
        <v/>
      </c>
      <c r="AF140">
        <f>IF(G140&lt;EDATE(Assumptions!$C$6,-12)+1,"prior_12m","last_12m")</f>
        <v/>
      </c>
      <c r="AG140" s="21">
        <f>DATE(YEAR(G140),MONTH(G140),1)</f>
        <v/>
      </c>
    </row>
    <row r="141">
      <c r="A141" t="inlineStr">
        <is>
          <t>SPO-00071-1</t>
        </is>
      </c>
      <c r="B141" t="inlineStr">
        <is>
          <t>SPO-00071</t>
        </is>
      </c>
      <c r="C141" t="inlineStr">
        <is>
          <t>SUP-08</t>
        </is>
      </c>
      <c r="D141" t="inlineStr">
        <is>
          <t>MRO</t>
        </is>
      </c>
      <c r="E141" t="inlineStr">
        <is>
          <t>MRO-05</t>
        </is>
      </c>
      <c r="F141" s="17" t="n">
        <v>45583</v>
      </c>
      <c r="G141" s="17" t="n">
        <v>45594</v>
      </c>
      <c r="H141" s="18" t="n">
        <v>37</v>
      </c>
      <c r="I141" s="19" t="n">
        <v>35.54</v>
      </c>
      <c r="J141" s="19" t="n">
        <v>36</v>
      </c>
      <c r="K141" s="20" t="n">
        <v>0</v>
      </c>
      <c r="L141" s="20" t="n">
        <v>0</v>
      </c>
      <c r="M141" s="18" t="n">
        <v>37</v>
      </c>
      <c r="N141" s="18" t="n">
        <v>37</v>
      </c>
      <c r="O141" s="18" t="n">
        <v>0</v>
      </c>
      <c r="P141" s="17" t="n">
        <v>45589</v>
      </c>
      <c r="Q141" s="17" t="n">
        <v>45589</v>
      </c>
      <c r="R141" s="17" t="n">
        <v>45589</v>
      </c>
      <c r="S141" s="19">
        <f>H141*I141</f>
        <v/>
      </c>
      <c r="T141" s="19">
        <f>H141*J141</f>
        <v/>
      </c>
      <c r="U141">
        <f>IF(AND(K141=0,G141&lt;=Assumptions!$C$6),1,0)</f>
        <v/>
      </c>
      <c r="V141">
        <f>IF(U141=1,IF(M141&gt;0,IF(P141&lt;=G141+Assumptions!$C$7,1,0),0),0)</f>
        <v/>
      </c>
      <c r="W141">
        <f>IF(AND(U141=1,M141&gt;=H141*(1-Assumptions!$C$8)),1,0)</f>
        <v/>
      </c>
      <c r="X141">
        <f>IF(AND(U141=1,N141&gt;=H141*(1-Assumptions!$C$8)),1,0)</f>
        <v/>
      </c>
      <c r="Y141">
        <f>IF(ISNUMBER(Q141),1,0)</f>
        <v/>
      </c>
      <c r="Z141">
        <f>IF(AND(K141=0,L141=0,Y141=0),1,0)</f>
        <v/>
      </c>
      <c r="AA141">
        <f>IF(AND(Z141=1,G141&lt;Assumptions!$C$6),1,0)</f>
        <v/>
      </c>
      <c r="AB141">
        <f>IF(U141=0,"",IF(Y141=1,MAX(0,Q141-G141),IF(L141=1,MAX(0,R141-G141),MAX(0,Assumptions!$C$6-G141))))</f>
        <v/>
      </c>
      <c r="AC141">
        <f>IF(Y141=1,Q141-F141,"")</f>
        <v/>
      </c>
      <c r="AD141">
        <f>IF(Y141=1,AC141^2,"")</f>
        <v/>
      </c>
      <c r="AE141" s="19">
        <f>IF(Z141=1,(H141-M141)*I141,0)</f>
        <v/>
      </c>
      <c r="AF141">
        <f>IF(G141&lt;EDATE(Assumptions!$C$6,-12)+1,"prior_12m","last_12m")</f>
        <v/>
      </c>
      <c r="AG141" s="21">
        <f>DATE(YEAR(G141),MONTH(G141),1)</f>
        <v/>
      </c>
    </row>
    <row r="142">
      <c r="A142" t="inlineStr">
        <is>
          <t>SPO-00072-1</t>
        </is>
      </c>
      <c r="B142" t="inlineStr">
        <is>
          <t>SPO-00072</t>
        </is>
      </c>
      <c r="C142" t="inlineStr">
        <is>
          <t>SUP-12</t>
        </is>
      </c>
      <c r="D142" t="inlineStr">
        <is>
          <t>IT</t>
        </is>
      </c>
      <c r="E142" t="inlineStr">
        <is>
          <t>IT-04</t>
        </is>
      </c>
      <c r="F142" s="17" t="n">
        <v>45583</v>
      </c>
      <c r="G142" s="17" t="n">
        <v>45593</v>
      </c>
      <c r="H142" s="18" t="n">
        <v>133</v>
      </c>
      <c r="I142" s="19" t="n">
        <v>13.16</v>
      </c>
      <c r="J142" s="19" t="n">
        <v>12</v>
      </c>
      <c r="K142" s="20" t="n">
        <v>0</v>
      </c>
      <c r="L142" s="20" t="n">
        <v>0</v>
      </c>
      <c r="M142" s="18" t="n">
        <v>133</v>
      </c>
      <c r="N142" s="18" t="n">
        <v>133</v>
      </c>
      <c r="O142" s="18" t="n">
        <v>0</v>
      </c>
      <c r="P142" s="17" t="n">
        <v>45590</v>
      </c>
      <c r="Q142" s="17" t="n">
        <v>45590</v>
      </c>
      <c r="R142" s="17" t="n">
        <v>45590</v>
      </c>
      <c r="S142" s="19">
        <f>H142*I142</f>
        <v/>
      </c>
      <c r="T142" s="19">
        <f>H142*J142</f>
        <v/>
      </c>
      <c r="U142">
        <f>IF(AND(K142=0,G142&lt;=Assumptions!$C$6),1,0)</f>
        <v/>
      </c>
      <c r="V142">
        <f>IF(U142=1,IF(M142&gt;0,IF(P142&lt;=G142+Assumptions!$C$7,1,0),0),0)</f>
        <v/>
      </c>
      <c r="W142">
        <f>IF(AND(U142=1,M142&gt;=H142*(1-Assumptions!$C$8)),1,0)</f>
        <v/>
      </c>
      <c r="X142">
        <f>IF(AND(U142=1,N142&gt;=H142*(1-Assumptions!$C$8)),1,0)</f>
        <v/>
      </c>
      <c r="Y142">
        <f>IF(ISNUMBER(Q142),1,0)</f>
        <v/>
      </c>
      <c r="Z142">
        <f>IF(AND(K142=0,L142=0,Y142=0),1,0)</f>
        <v/>
      </c>
      <c r="AA142">
        <f>IF(AND(Z142=1,G142&lt;Assumptions!$C$6),1,0)</f>
        <v/>
      </c>
      <c r="AB142">
        <f>IF(U142=0,"",IF(Y142=1,MAX(0,Q142-G142),IF(L142=1,MAX(0,R142-G142),MAX(0,Assumptions!$C$6-G142))))</f>
        <v/>
      </c>
      <c r="AC142">
        <f>IF(Y142=1,Q142-F142,"")</f>
        <v/>
      </c>
      <c r="AD142">
        <f>IF(Y142=1,AC142^2,"")</f>
        <v/>
      </c>
      <c r="AE142" s="19">
        <f>IF(Z142=1,(H142-M142)*I142,0)</f>
        <v/>
      </c>
      <c r="AF142">
        <f>IF(G142&lt;EDATE(Assumptions!$C$6,-12)+1,"prior_12m","last_12m")</f>
        <v/>
      </c>
      <c r="AG142" s="21">
        <f>DATE(YEAR(G142),MONTH(G142),1)</f>
        <v/>
      </c>
    </row>
    <row r="143">
      <c r="A143" t="inlineStr">
        <is>
          <t>SPO-00073-1</t>
        </is>
      </c>
      <c r="B143" t="inlineStr">
        <is>
          <t>SPO-00073</t>
        </is>
      </c>
      <c r="C143" t="inlineStr">
        <is>
          <t>SUP-12</t>
        </is>
      </c>
      <c r="D143" t="inlineStr">
        <is>
          <t>IT</t>
        </is>
      </c>
      <c r="E143" t="inlineStr">
        <is>
          <t>IT-05</t>
        </is>
      </c>
      <c r="F143" s="17" t="n">
        <v>45583</v>
      </c>
      <c r="G143" s="17" t="n">
        <v>45593</v>
      </c>
      <c r="H143" s="18" t="n">
        <v>3</v>
      </c>
      <c r="I143" s="19" t="n">
        <v>707.3099999999999</v>
      </c>
      <c r="J143" s="19" t="n">
        <v>640</v>
      </c>
      <c r="K143" s="20" t="n">
        <v>0</v>
      </c>
      <c r="L143" s="20" t="n">
        <v>0</v>
      </c>
      <c r="M143" s="18" t="n">
        <v>3</v>
      </c>
      <c r="N143" s="18" t="n">
        <v>3</v>
      </c>
      <c r="O143" s="18" t="n">
        <v>0</v>
      </c>
      <c r="P143" s="17" t="n">
        <v>45592</v>
      </c>
      <c r="Q143" s="17" t="n">
        <v>45592</v>
      </c>
      <c r="R143" s="17" t="n">
        <v>45592</v>
      </c>
      <c r="S143" s="19">
        <f>H143*I143</f>
        <v/>
      </c>
      <c r="T143" s="19">
        <f>H143*J143</f>
        <v/>
      </c>
      <c r="U143">
        <f>IF(AND(K143=0,G143&lt;=Assumptions!$C$6),1,0)</f>
        <v/>
      </c>
      <c r="V143">
        <f>IF(U143=1,IF(M143&gt;0,IF(P143&lt;=G143+Assumptions!$C$7,1,0),0),0)</f>
        <v/>
      </c>
      <c r="W143">
        <f>IF(AND(U143=1,M143&gt;=H143*(1-Assumptions!$C$8)),1,0)</f>
        <v/>
      </c>
      <c r="X143">
        <f>IF(AND(U143=1,N143&gt;=H143*(1-Assumptions!$C$8)),1,0)</f>
        <v/>
      </c>
      <c r="Y143">
        <f>IF(ISNUMBER(Q143),1,0)</f>
        <v/>
      </c>
      <c r="Z143">
        <f>IF(AND(K143=0,L143=0,Y143=0),1,0)</f>
        <v/>
      </c>
      <c r="AA143">
        <f>IF(AND(Z143=1,G143&lt;Assumptions!$C$6),1,0)</f>
        <v/>
      </c>
      <c r="AB143">
        <f>IF(U143=0,"",IF(Y143=1,MAX(0,Q143-G143),IF(L143=1,MAX(0,R143-G143),MAX(0,Assumptions!$C$6-G143))))</f>
        <v/>
      </c>
      <c r="AC143">
        <f>IF(Y143=1,Q143-F143,"")</f>
        <v/>
      </c>
      <c r="AD143">
        <f>IF(Y143=1,AC143^2,"")</f>
        <v/>
      </c>
      <c r="AE143" s="19">
        <f>IF(Z143=1,(H143-M143)*I143,0)</f>
        <v/>
      </c>
      <c r="AF143">
        <f>IF(G143&lt;EDATE(Assumptions!$C$6,-12)+1,"prior_12m","last_12m")</f>
        <v/>
      </c>
      <c r="AG143" s="21">
        <f>DATE(YEAR(G143),MONTH(G143),1)</f>
        <v/>
      </c>
    </row>
    <row r="144">
      <c r="A144" t="inlineStr">
        <is>
          <t>SPO-00073-2</t>
        </is>
      </c>
      <c r="B144" t="inlineStr">
        <is>
          <t>SPO-00073</t>
        </is>
      </c>
      <c r="C144" t="inlineStr">
        <is>
          <t>SUP-12</t>
        </is>
      </c>
      <c r="D144" t="inlineStr">
        <is>
          <t>IT</t>
        </is>
      </c>
      <c r="E144" t="inlineStr">
        <is>
          <t>IT-07</t>
        </is>
      </c>
      <c r="F144" s="17" t="n">
        <v>45583</v>
      </c>
      <c r="G144" s="17" t="n">
        <v>45593</v>
      </c>
      <c r="H144" s="18" t="n">
        <v>11</v>
      </c>
      <c r="I144" s="19" t="n">
        <v>82.47</v>
      </c>
      <c r="J144" s="19" t="n">
        <v>74</v>
      </c>
      <c r="K144" s="20" t="n">
        <v>0</v>
      </c>
      <c r="L144" s="20" t="n">
        <v>0</v>
      </c>
      <c r="M144" s="18" t="n">
        <v>11</v>
      </c>
      <c r="N144" s="18" t="n">
        <v>11</v>
      </c>
      <c r="O144" s="18" t="n">
        <v>0</v>
      </c>
      <c r="P144" s="17" t="n">
        <v>45592</v>
      </c>
      <c r="Q144" s="17" t="n">
        <v>45592</v>
      </c>
      <c r="R144" s="17" t="n">
        <v>45592</v>
      </c>
      <c r="S144" s="19">
        <f>H144*I144</f>
        <v/>
      </c>
      <c r="T144" s="19">
        <f>H144*J144</f>
        <v/>
      </c>
      <c r="U144">
        <f>IF(AND(K144=0,G144&lt;=Assumptions!$C$6),1,0)</f>
        <v/>
      </c>
      <c r="V144">
        <f>IF(U144=1,IF(M144&gt;0,IF(P144&lt;=G144+Assumptions!$C$7,1,0),0),0)</f>
        <v/>
      </c>
      <c r="W144">
        <f>IF(AND(U144=1,M144&gt;=H144*(1-Assumptions!$C$8)),1,0)</f>
        <v/>
      </c>
      <c r="X144">
        <f>IF(AND(U144=1,N144&gt;=H144*(1-Assumptions!$C$8)),1,0)</f>
        <v/>
      </c>
      <c r="Y144">
        <f>IF(ISNUMBER(Q144),1,0)</f>
        <v/>
      </c>
      <c r="Z144">
        <f>IF(AND(K144=0,L144=0,Y144=0),1,0)</f>
        <v/>
      </c>
      <c r="AA144">
        <f>IF(AND(Z144=1,G144&lt;Assumptions!$C$6),1,0)</f>
        <v/>
      </c>
      <c r="AB144">
        <f>IF(U144=0,"",IF(Y144=1,MAX(0,Q144-G144),IF(L144=1,MAX(0,R144-G144),MAX(0,Assumptions!$C$6-G144))))</f>
        <v/>
      </c>
      <c r="AC144">
        <f>IF(Y144=1,Q144-F144,"")</f>
        <v/>
      </c>
      <c r="AD144">
        <f>IF(Y144=1,AC144^2,"")</f>
        <v/>
      </c>
      <c r="AE144" s="19">
        <f>IF(Z144=1,(H144-M144)*I144,0)</f>
        <v/>
      </c>
      <c r="AF144">
        <f>IF(G144&lt;EDATE(Assumptions!$C$6,-12)+1,"prior_12m","last_12m")</f>
        <v/>
      </c>
      <c r="AG144" s="21">
        <f>DATE(YEAR(G144),MONTH(G144),1)</f>
        <v/>
      </c>
    </row>
    <row r="145">
      <c r="A145" t="inlineStr">
        <is>
          <t>SPO-00073-3</t>
        </is>
      </c>
      <c r="B145" t="inlineStr">
        <is>
          <t>SPO-00073</t>
        </is>
      </c>
      <c r="C145" t="inlineStr">
        <is>
          <t>SUP-12</t>
        </is>
      </c>
      <c r="D145" t="inlineStr">
        <is>
          <t>IT</t>
        </is>
      </c>
      <c r="E145" t="inlineStr">
        <is>
          <t>IT-08</t>
        </is>
      </c>
      <c r="F145" s="17" t="n">
        <v>45583</v>
      </c>
      <c r="G145" s="17" t="n">
        <v>45593</v>
      </c>
      <c r="H145" s="18" t="n">
        <v>4</v>
      </c>
      <c r="I145" s="19" t="n">
        <v>289.72</v>
      </c>
      <c r="J145" s="19" t="n">
        <v>245</v>
      </c>
      <c r="K145" s="20" t="n">
        <v>0</v>
      </c>
      <c r="L145" s="20" t="n">
        <v>0</v>
      </c>
      <c r="M145" s="18" t="n">
        <v>4</v>
      </c>
      <c r="N145" s="18" t="n">
        <v>4</v>
      </c>
      <c r="O145" s="18" t="n">
        <v>0</v>
      </c>
      <c r="P145" s="17" t="n">
        <v>45589</v>
      </c>
      <c r="Q145" s="17" t="n">
        <v>45589</v>
      </c>
      <c r="R145" s="17" t="n">
        <v>45589</v>
      </c>
      <c r="S145" s="19">
        <f>H145*I145</f>
        <v/>
      </c>
      <c r="T145" s="19">
        <f>H145*J145</f>
        <v/>
      </c>
      <c r="U145">
        <f>IF(AND(K145=0,G145&lt;=Assumptions!$C$6),1,0)</f>
        <v/>
      </c>
      <c r="V145">
        <f>IF(U145=1,IF(M145&gt;0,IF(P145&lt;=G145+Assumptions!$C$7,1,0),0),0)</f>
        <v/>
      </c>
      <c r="W145">
        <f>IF(AND(U145=1,M145&gt;=H145*(1-Assumptions!$C$8)),1,0)</f>
        <v/>
      </c>
      <c r="X145">
        <f>IF(AND(U145=1,N145&gt;=H145*(1-Assumptions!$C$8)),1,0)</f>
        <v/>
      </c>
      <c r="Y145">
        <f>IF(ISNUMBER(Q145),1,0)</f>
        <v/>
      </c>
      <c r="Z145">
        <f>IF(AND(K145=0,L145=0,Y145=0),1,0)</f>
        <v/>
      </c>
      <c r="AA145">
        <f>IF(AND(Z145=1,G145&lt;Assumptions!$C$6),1,0)</f>
        <v/>
      </c>
      <c r="AB145">
        <f>IF(U145=0,"",IF(Y145=1,MAX(0,Q145-G145),IF(L145=1,MAX(0,R145-G145),MAX(0,Assumptions!$C$6-G145))))</f>
        <v/>
      </c>
      <c r="AC145">
        <f>IF(Y145=1,Q145-F145,"")</f>
        <v/>
      </c>
      <c r="AD145">
        <f>IF(Y145=1,AC145^2,"")</f>
        <v/>
      </c>
      <c r="AE145" s="19">
        <f>IF(Z145=1,(H145-M145)*I145,0)</f>
        <v/>
      </c>
      <c r="AF145">
        <f>IF(G145&lt;EDATE(Assumptions!$C$6,-12)+1,"prior_12m","last_12m")</f>
        <v/>
      </c>
      <c r="AG145" s="21">
        <f>DATE(YEAR(G145),MONTH(G145),1)</f>
        <v/>
      </c>
    </row>
    <row r="146">
      <c r="A146" t="inlineStr">
        <is>
          <t>SPO-00074-1</t>
        </is>
      </c>
      <c r="B146" t="inlineStr">
        <is>
          <t>SPO-00074</t>
        </is>
      </c>
      <c r="C146" t="inlineStr">
        <is>
          <t>SUP-05</t>
        </is>
      </c>
      <c r="D146" t="inlineStr">
        <is>
          <t>FLEET</t>
        </is>
      </c>
      <c r="E146" t="inlineStr">
        <is>
          <t>FLEET-08</t>
        </is>
      </c>
      <c r="F146" s="17" t="n">
        <v>45583</v>
      </c>
      <c r="G146" s="17" t="n">
        <v>45597</v>
      </c>
      <c r="H146" s="18" t="n">
        <v>304</v>
      </c>
      <c r="I146" s="19" t="n">
        <v>6.35</v>
      </c>
      <c r="J146" s="19" t="n">
        <v>6.4</v>
      </c>
      <c r="K146" s="20" t="n">
        <v>0</v>
      </c>
      <c r="L146" s="20" t="n">
        <v>0</v>
      </c>
      <c r="M146" s="18" t="n">
        <v>304</v>
      </c>
      <c r="N146" s="18" t="n">
        <v>304</v>
      </c>
      <c r="O146" s="18" t="n">
        <v>0</v>
      </c>
      <c r="P146" s="17" t="n">
        <v>45591</v>
      </c>
      <c r="Q146" s="17" t="n">
        <v>45591</v>
      </c>
      <c r="R146" s="17" t="n">
        <v>45591</v>
      </c>
      <c r="S146" s="19">
        <f>H146*I146</f>
        <v/>
      </c>
      <c r="T146" s="19">
        <f>H146*J146</f>
        <v/>
      </c>
      <c r="U146">
        <f>IF(AND(K146=0,G146&lt;=Assumptions!$C$6),1,0)</f>
        <v/>
      </c>
      <c r="V146">
        <f>IF(U146=1,IF(M146&gt;0,IF(P146&lt;=G146+Assumptions!$C$7,1,0),0),0)</f>
        <v/>
      </c>
      <c r="W146">
        <f>IF(AND(U146=1,M146&gt;=H146*(1-Assumptions!$C$8)),1,0)</f>
        <v/>
      </c>
      <c r="X146">
        <f>IF(AND(U146=1,N146&gt;=H146*(1-Assumptions!$C$8)),1,0)</f>
        <v/>
      </c>
      <c r="Y146">
        <f>IF(ISNUMBER(Q146),1,0)</f>
        <v/>
      </c>
      <c r="Z146">
        <f>IF(AND(K146=0,L146=0,Y146=0),1,0)</f>
        <v/>
      </c>
      <c r="AA146">
        <f>IF(AND(Z146=1,G146&lt;Assumptions!$C$6),1,0)</f>
        <v/>
      </c>
      <c r="AB146">
        <f>IF(U146=0,"",IF(Y146=1,MAX(0,Q146-G146),IF(L146=1,MAX(0,R146-G146),MAX(0,Assumptions!$C$6-G146))))</f>
        <v/>
      </c>
      <c r="AC146">
        <f>IF(Y146=1,Q146-F146,"")</f>
        <v/>
      </c>
      <c r="AD146">
        <f>IF(Y146=1,AC146^2,"")</f>
        <v/>
      </c>
      <c r="AE146" s="19">
        <f>IF(Z146=1,(H146-M146)*I146,0)</f>
        <v/>
      </c>
      <c r="AF146">
        <f>IF(G146&lt;EDATE(Assumptions!$C$6,-12)+1,"prior_12m","last_12m")</f>
        <v/>
      </c>
      <c r="AG146" s="21">
        <f>DATE(YEAR(G146),MONTH(G146),1)</f>
        <v/>
      </c>
    </row>
    <row r="147">
      <c r="A147" t="inlineStr">
        <is>
          <t>SPO-00075-1</t>
        </is>
      </c>
      <c r="B147" t="inlineStr">
        <is>
          <t>SPO-00075</t>
        </is>
      </c>
      <c r="C147" t="inlineStr">
        <is>
          <t>SUP-05</t>
        </is>
      </c>
      <c r="D147" t="inlineStr">
        <is>
          <t>FLEET</t>
        </is>
      </c>
      <c r="E147" t="inlineStr">
        <is>
          <t>FLEET-01</t>
        </is>
      </c>
      <c r="F147" s="17" t="n">
        <v>45583</v>
      </c>
      <c r="G147" s="17" t="n">
        <v>45597</v>
      </c>
      <c r="H147" s="18" t="n">
        <v>17</v>
      </c>
      <c r="I147" s="19" t="n">
        <v>64.02</v>
      </c>
      <c r="J147" s="19" t="n">
        <v>64</v>
      </c>
      <c r="K147" s="20" t="n">
        <v>0</v>
      </c>
      <c r="L147" s="20" t="n">
        <v>0</v>
      </c>
      <c r="M147" s="18" t="n">
        <v>17</v>
      </c>
      <c r="N147" s="18" t="n">
        <v>17</v>
      </c>
      <c r="O147" s="18" t="n">
        <v>0</v>
      </c>
      <c r="P147" s="17" t="n">
        <v>45597</v>
      </c>
      <c r="Q147" s="17" t="n">
        <v>45597</v>
      </c>
      <c r="R147" s="17" t="n">
        <v>45597</v>
      </c>
      <c r="S147" s="19">
        <f>H147*I147</f>
        <v/>
      </c>
      <c r="T147" s="19">
        <f>H147*J147</f>
        <v/>
      </c>
      <c r="U147">
        <f>IF(AND(K147=0,G147&lt;=Assumptions!$C$6),1,0)</f>
        <v/>
      </c>
      <c r="V147">
        <f>IF(U147=1,IF(M147&gt;0,IF(P147&lt;=G147+Assumptions!$C$7,1,0),0),0)</f>
        <v/>
      </c>
      <c r="W147">
        <f>IF(AND(U147=1,M147&gt;=H147*(1-Assumptions!$C$8)),1,0)</f>
        <v/>
      </c>
      <c r="X147">
        <f>IF(AND(U147=1,N147&gt;=H147*(1-Assumptions!$C$8)),1,0)</f>
        <v/>
      </c>
      <c r="Y147">
        <f>IF(ISNUMBER(Q147),1,0)</f>
        <v/>
      </c>
      <c r="Z147">
        <f>IF(AND(K147=0,L147=0,Y147=0),1,0)</f>
        <v/>
      </c>
      <c r="AA147">
        <f>IF(AND(Z147=1,G147&lt;Assumptions!$C$6),1,0)</f>
        <v/>
      </c>
      <c r="AB147">
        <f>IF(U147=0,"",IF(Y147=1,MAX(0,Q147-G147),IF(L147=1,MAX(0,R147-G147),MAX(0,Assumptions!$C$6-G147))))</f>
        <v/>
      </c>
      <c r="AC147">
        <f>IF(Y147=1,Q147-F147,"")</f>
        <v/>
      </c>
      <c r="AD147">
        <f>IF(Y147=1,AC147^2,"")</f>
        <v/>
      </c>
      <c r="AE147" s="19">
        <f>IF(Z147=1,(H147-M147)*I147,0)</f>
        <v/>
      </c>
      <c r="AF147">
        <f>IF(G147&lt;EDATE(Assumptions!$C$6,-12)+1,"prior_12m","last_12m")</f>
        <v/>
      </c>
      <c r="AG147" s="21">
        <f>DATE(YEAR(G147),MONTH(G147),1)</f>
        <v/>
      </c>
    </row>
    <row r="148">
      <c r="A148" t="inlineStr">
        <is>
          <t>SPO-00076-1</t>
        </is>
      </c>
      <c r="B148" t="inlineStr">
        <is>
          <t>SPO-00076</t>
        </is>
      </c>
      <c r="C148" t="inlineStr">
        <is>
          <t>SUP-07</t>
        </is>
      </c>
      <c r="D148" t="inlineStr">
        <is>
          <t>MRO</t>
        </is>
      </c>
      <c r="E148" t="inlineStr">
        <is>
          <t>MRO-05</t>
        </is>
      </c>
      <c r="F148" s="17" t="n">
        <v>45584</v>
      </c>
      <c r="G148" s="17" t="n">
        <v>45594</v>
      </c>
      <c r="H148" s="18" t="n">
        <v>21</v>
      </c>
      <c r="I148" s="19" t="n">
        <v>36.07</v>
      </c>
      <c r="J148" s="19" t="n">
        <v>36</v>
      </c>
      <c r="K148" s="20" t="n">
        <v>0</v>
      </c>
      <c r="L148" s="20" t="n">
        <v>0</v>
      </c>
      <c r="M148" s="18" t="n">
        <v>21</v>
      </c>
      <c r="N148" s="18" t="n">
        <v>9</v>
      </c>
      <c r="O148" s="18" t="n">
        <v>0</v>
      </c>
      <c r="P148" s="17" t="n">
        <v>45592</v>
      </c>
      <c r="Q148" s="17" t="n">
        <v>45607</v>
      </c>
      <c r="R148" s="17" t="n">
        <v>45607</v>
      </c>
      <c r="S148" s="19">
        <f>H148*I148</f>
        <v/>
      </c>
      <c r="T148" s="19">
        <f>H148*J148</f>
        <v/>
      </c>
      <c r="U148">
        <f>IF(AND(K148=0,G148&lt;=Assumptions!$C$6),1,0)</f>
        <v/>
      </c>
      <c r="V148">
        <f>IF(U148=1,IF(M148&gt;0,IF(P148&lt;=G148+Assumptions!$C$7,1,0),0),0)</f>
        <v/>
      </c>
      <c r="W148">
        <f>IF(AND(U148=1,M148&gt;=H148*(1-Assumptions!$C$8)),1,0)</f>
        <v/>
      </c>
      <c r="X148">
        <f>IF(AND(U148=1,N148&gt;=H148*(1-Assumptions!$C$8)),1,0)</f>
        <v/>
      </c>
      <c r="Y148">
        <f>IF(ISNUMBER(Q148),1,0)</f>
        <v/>
      </c>
      <c r="Z148">
        <f>IF(AND(K148=0,L148=0,Y148=0),1,0)</f>
        <v/>
      </c>
      <c r="AA148">
        <f>IF(AND(Z148=1,G148&lt;Assumptions!$C$6),1,0)</f>
        <v/>
      </c>
      <c r="AB148">
        <f>IF(U148=0,"",IF(Y148=1,MAX(0,Q148-G148),IF(L148=1,MAX(0,R148-G148),MAX(0,Assumptions!$C$6-G148))))</f>
        <v/>
      </c>
      <c r="AC148">
        <f>IF(Y148=1,Q148-F148,"")</f>
        <v/>
      </c>
      <c r="AD148">
        <f>IF(Y148=1,AC148^2,"")</f>
        <v/>
      </c>
      <c r="AE148" s="19">
        <f>IF(Z148=1,(H148-M148)*I148,0)</f>
        <v/>
      </c>
      <c r="AF148">
        <f>IF(G148&lt;EDATE(Assumptions!$C$6,-12)+1,"prior_12m","last_12m")</f>
        <v/>
      </c>
      <c r="AG148" s="21">
        <f>DATE(YEAR(G148),MONTH(G148),1)</f>
        <v/>
      </c>
    </row>
    <row r="149">
      <c r="A149" t="inlineStr">
        <is>
          <t>SPO-00077-1</t>
        </is>
      </c>
      <c r="B149" t="inlineStr">
        <is>
          <t>SPO-00077</t>
        </is>
      </c>
      <c r="C149" t="inlineStr">
        <is>
          <t>SUP-11</t>
        </is>
      </c>
      <c r="D149" t="inlineStr">
        <is>
          <t>PPE</t>
        </is>
      </c>
      <c r="E149" t="inlineStr">
        <is>
          <t>PPE-08</t>
        </is>
      </c>
      <c r="F149" s="17" t="n">
        <v>45584</v>
      </c>
      <c r="G149" s="17" t="n">
        <v>45596</v>
      </c>
      <c r="H149" s="18" t="n">
        <v>38</v>
      </c>
      <c r="I149" s="19" t="n">
        <v>62.43</v>
      </c>
      <c r="J149" s="19" t="n">
        <v>64</v>
      </c>
      <c r="K149" s="20" t="n">
        <v>0</v>
      </c>
      <c r="L149" s="20" t="n">
        <v>0</v>
      </c>
      <c r="M149" s="18" t="n">
        <v>38</v>
      </c>
      <c r="N149" s="18" t="n">
        <v>20</v>
      </c>
      <c r="O149" s="18" t="n">
        <v>0</v>
      </c>
      <c r="P149" s="17" t="n">
        <v>45595</v>
      </c>
      <c r="Q149" s="17" t="n">
        <v>45606</v>
      </c>
      <c r="R149" s="17" t="n">
        <v>45606</v>
      </c>
      <c r="S149" s="19">
        <f>H149*I149</f>
        <v/>
      </c>
      <c r="T149" s="19">
        <f>H149*J149</f>
        <v/>
      </c>
      <c r="U149">
        <f>IF(AND(K149=0,G149&lt;=Assumptions!$C$6),1,0)</f>
        <v/>
      </c>
      <c r="V149">
        <f>IF(U149=1,IF(M149&gt;0,IF(P149&lt;=G149+Assumptions!$C$7,1,0),0),0)</f>
        <v/>
      </c>
      <c r="W149">
        <f>IF(AND(U149=1,M149&gt;=H149*(1-Assumptions!$C$8)),1,0)</f>
        <v/>
      </c>
      <c r="X149">
        <f>IF(AND(U149=1,N149&gt;=H149*(1-Assumptions!$C$8)),1,0)</f>
        <v/>
      </c>
      <c r="Y149">
        <f>IF(ISNUMBER(Q149),1,0)</f>
        <v/>
      </c>
      <c r="Z149">
        <f>IF(AND(K149=0,L149=0,Y149=0),1,0)</f>
        <v/>
      </c>
      <c r="AA149">
        <f>IF(AND(Z149=1,G149&lt;Assumptions!$C$6),1,0)</f>
        <v/>
      </c>
      <c r="AB149">
        <f>IF(U149=0,"",IF(Y149=1,MAX(0,Q149-G149),IF(L149=1,MAX(0,R149-G149),MAX(0,Assumptions!$C$6-G149))))</f>
        <v/>
      </c>
      <c r="AC149">
        <f>IF(Y149=1,Q149-F149,"")</f>
        <v/>
      </c>
      <c r="AD149">
        <f>IF(Y149=1,AC149^2,"")</f>
        <v/>
      </c>
      <c r="AE149" s="19">
        <f>IF(Z149=1,(H149-M149)*I149,0)</f>
        <v/>
      </c>
      <c r="AF149">
        <f>IF(G149&lt;EDATE(Assumptions!$C$6,-12)+1,"prior_12m","last_12m")</f>
        <v/>
      </c>
      <c r="AG149" s="21">
        <f>DATE(YEAR(G149),MONTH(G149),1)</f>
        <v/>
      </c>
    </row>
    <row r="150">
      <c r="A150" t="inlineStr">
        <is>
          <t>SPO-00078-1</t>
        </is>
      </c>
      <c r="B150" t="inlineStr">
        <is>
          <t>SPO-00078</t>
        </is>
      </c>
      <c r="C150" t="inlineStr">
        <is>
          <t>SUP-14</t>
        </is>
      </c>
      <c r="D150" t="inlineStr">
        <is>
          <t>FLEET</t>
        </is>
      </c>
      <c r="E150" t="inlineStr">
        <is>
          <t>FLEET-01</t>
        </is>
      </c>
      <c r="F150" s="17" t="n">
        <v>45584</v>
      </c>
      <c r="G150" s="17" t="n">
        <v>45598</v>
      </c>
      <c r="H150" s="18" t="n">
        <v>13</v>
      </c>
      <c r="I150" s="19" t="n">
        <v>67.02</v>
      </c>
      <c r="J150" s="19" t="n">
        <v>64</v>
      </c>
      <c r="K150" s="20" t="n">
        <v>1</v>
      </c>
      <c r="L150" s="20" t="n">
        <v>0</v>
      </c>
      <c r="M150" s="18" t="n">
        <v>0</v>
      </c>
      <c r="N150" s="18" t="n">
        <v>0</v>
      </c>
      <c r="O150" s="18" t="n">
        <v>0</v>
      </c>
      <c r="P150" s="17" t="n"/>
      <c r="Q150" s="17" t="n"/>
      <c r="R150" s="17" t="n"/>
      <c r="S150" s="19">
        <f>H150*I150</f>
        <v/>
      </c>
      <c r="T150" s="19">
        <f>H150*J150</f>
        <v/>
      </c>
      <c r="U150">
        <f>IF(AND(K150=0,G150&lt;=Assumptions!$C$6),1,0)</f>
        <v/>
      </c>
      <c r="V150">
        <f>IF(U150=1,IF(M150&gt;0,IF(P150&lt;=G150+Assumptions!$C$7,1,0),0),0)</f>
        <v/>
      </c>
      <c r="W150">
        <f>IF(AND(U150=1,M150&gt;=H150*(1-Assumptions!$C$8)),1,0)</f>
        <v/>
      </c>
      <c r="X150">
        <f>IF(AND(U150=1,N150&gt;=H150*(1-Assumptions!$C$8)),1,0)</f>
        <v/>
      </c>
      <c r="Y150">
        <f>IF(ISNUMBER(Q150),1,0)</f>
        <v/>
      </c>
      <c r="Z150">
        <f>IF(AND(K150=0,L150=0,Y150=0),1,0)</f>
        <v/>
      </c>
      <c r="AA150">
        <f>IF(AND(Z150=1,G150&lt;Assumptions!$C$6),1,0)</f>
        <v/>
      </c>
      <c r="AB150">
        <f>IF(U150=0,"",IF(Y150=1,MAX(0,Q150-G150),IF(L150=1,MAX(0,R150-G150),MAX(0,Assumptions!$C$6-G150))))</f>
        <v/>
      </c>
      <c r="AC150">
        <f>IF(Y150=1,Q150-F150,"")</f>
        <v/>
      </c>
      <c r="AD150">
        <f>IF(Y150=1,AC150^2,"")</f>
        <v/>
      </c>
      <c r="AE150" s="19">
        <f>IF(Z150=1,(H150-M150)*I150,0)</f>
        <v/>
      </c>
      <c r="AF150">
        <f>IF(G150&lt;EDATE(Assumptions!$C$6,-12)+1,"prior_12m","last_12m")</f>
        <v/>
      </c>
      <c r="AG150" s="21">
        <f>DATE(YEAR(G150),MONTH(G150),1)</f>
        <v/>
      </c>
    </row>
    <row r="151">
      <c r="A151" t="inlineStr">
        <is>
          <t>SPO-00078-2</t>
        </is>
      </c>
      <c r="B151" t="inlineStr">
        <is>
          <t>SPO-00078</t>
        </is>
      </c>
      <c r="C151" t="inlineStr">
        <is>
          <t>SUP-14</t>
        </is>
      </c>
      <c r="D151" t="inlineStr">
        <is>
          <t>FLEET</t>
        </is>
      </c>
      <c r="E151" t="inlineStr">
        <is>
          <t>FLEET-04</t>
        </is>
      </c>
      <c r="F151" s="17" t="n">
        <v>45584</v>
      </c>
      <c r="G151" s="17" t="n">
        <v>45598</v>
      </c>
      <c r="H151" s="18" t="n">
        <v>169</v>
      </c>
      <c r="I151" s="19" t="n">
        <v>8.41</v>
      </c>
      <c r="J151" s="19" t="n">
        <v>9</v>
      </c>
      <c r="K151" s="20" t="n">
        <v>0</v>
      </c>
      <c r="L151" s="20" t="n">
        <v>0</v>
      </c>
      <c r="M151" s="18" t="n">
        <v>169</v>
      </c>
      <c r="N151" s="18" t="n">
        <v>169</v>
      </c>
      <c r="O151" s="18" t="n">
        <v>0</v>
      </c>
      <c r="P151" s="17" t="n">
        <v>45596</v>
      </c>
      <c r="Q151" s="17" t="n">
        <v>45596</v>
      </c>
      <c r="R151" s="17" t="n">
        <v>45596</v>
      </c>
      <c r="S151" s="19">
        <f>H151*I151</f>
        <v/>
      </c>
      <c r="T151" s="19">
        <f>H151*J151</f>
        <v/>
      </c>
      <c r="U151">
        <f>IF(AND(K151=0,G151&lt;=Assumptions!$C$6),1,0)</f>
        <v/>
      </c>
      <c r="V151">
        <f>IF(U151=1,IF(M151&gt;0,IF(P151&lt;=G151+Assumptions!$C$7,1,0),0),0)</f>
        <v/>
      </c>
      <c r="W151">
        <f>IF(AND(U151=1,M151&gt;=H151*(1-Assumptions!$C$8)),1,0)</f>
        <v/>
      </c>
      <c r="X151">
        <f>IF(AND(U151=1,N151&gt;=H151*(1-Assumptions!$C$8)),1,0)</f>
        <v/>
      </c>
      <c r="Y151">
        <f>IF(ISNUMBER(Q151),1,0)</f>
        <v/>
      </c>
      <c r="Z151">
        <f>IF(AND(K151=0,L151=0,Y151=0),1,0)</f>
        <v/>
      </c>
      <c r="AA151">
        <f>IF(AND(Z151=1,G151&lt;Assumptions!$C$6),1,0)</f>
        <v/>
      </c>
      <c r="AB151">
        <f>IF(U151=0,"",IF(Y151=1,MAX(0,Q151-G151),IF(L151=1,MAX(0,R151-G151),MAX(0,Assumptions!$C$6-G151))))</f>
        <v/>
      </c>
      <c r="AC151">
        <f>IF(Y151=1,Q151-F151,"")</f>
        <v/>
      </c>
      <c r="AD151">
        <f>IF(Y151=1,AC151^2,"")</f>
        <v/>
      </c>
      <c r="AE151" s="19">
        <f>IF(Z151=1,(H151-M151)*I151,0)</f>
        <v/>
      </c>
      <c r="AF151">
        <f>IF(G151&lt;EDATE(Assumptions!$C$6,-12)+1,"prior_12m","last_12m")</f>
        <v/>
      </c>
      <c r="AG151" s="21">
        <f>DATE(YEAR(G151),MONTH(G151),1)</f>
        <v/>
      </c>
    </row>
    <row r="152">
      <c r="A152" t="inlineStr">
        <is>
          <t>SPO-00079-1</t>
        </is>
      </c>
      <c r="B152" t="inlineStr">
        <is>
          <t>SPO-00079</t>
        </is>
      </c>
      <c r="C152" t="inlineStr">
        <is>
          <t>SUP-11</t>
        </is>
      </c>
      <c r="D152" t="inlineStr">
        <is>
          <t>PPE</t>
        </is>
      </c>
      <c r="E152" t="inlineStr">
        <is>
          <t>PPE-06</t>
        </is>
      </c>
      <c r="F152" s="17" t="n">
        <v>45585</v>
      </c>
      <c r="G152" s="17" t="n">
        <v>45597</v>
      </c>
      <c r="H152" s="18" t="n">
        <v>12</v>
      </c>
      <c r="I152" s="19" t="n">
        <v>115.44</v>
      </c>
      <c r="J152" s="19" t="n">
        <v>115</v>
      </c>
      <c r="K152" s="20" t="n">
        <v>0</v>
      </c>
      <c r="L152" s="20" t="n">
        <v>0</v>
      </c>
      <c r="M152" s="18" t="n">
        <v>12</v>
      </c>
      <c r="N152" s="18" t="n">
        <v>12</v>
      </c>
      <c r="O152" s="18" t="n">
        <v>0</v>
      </c>
      <c r="P152" s="17" t="n">
        <v>45592</v>
      </c>
      <c r="Q152" s="17" t="n">
        <v>45592</v>
      </c>
      <c r="R152" s="17" t="n">
        <v>45592</v>
      </c>
      <c r="S152" s="19">
        <f>H152*I152</f>
        <v/>
      </c>
      <c r="T152" s="19">
        <f>H152*J152</f>
        <v/>
      </c>
      <c r="U152">
        <f>IF(AND(K152=0,G152&lt;=Assumptions!$C$6),1,0)</f>
        <v/>
      </c>
      <c r="V152">
        <f>IF(U152=1,IF(M152&gt;0,IF(P152&lt;=G152+Assumptions!$C$7,1,0),0),0)</f>
        <v/>
      </c>
      <c r="W152">
        <f>IF(AND(U152=1,M152&gt;=H152*(1-Assumptions!$C$8)),1,0)</f>
        <v/>
      </c>
      <c r="X152">
        <f>IF(AND(U152=1,N152&gt;=H152*(1-Assumptions!$C$8)),1,0)</f>
        <v/>
      </c>
      <c r="Y152">
        <f>IF(ISNUMBER(Q152),1,0)</f>
        <v/>
      </c>
      <c r="Z152">
        <f>IF(AND(K152=0,L152=0,Y152=0),1,0)</f>
        <v/>
      </c>
      <c r="AA152">
        <f>IF(AND(Z152=1,G152&lt;Assumptions!$C$6),1,0)</f>
        <v/>
      </c>
      <c r="AB152">
        <f>IF(U152=0,"",IF(Y152=1,MAX(0,Q152-G152),IF(L152=1,MAX(0,R152-G152),MAX(0,Assumptions!$C$6-G152))))</f>
        <v/>
      </c>
      <c r="AC152">
        <f>IF(Y152=1,Q152-F152,"")</f>
        <v/>
      </c>
      <c r="AD152">
        <f>IF(Y152=1,AC152^2,"")</f>
        <v/>
      </c>
      <c r="AE152" s="19">
        <f>IF(Z152=1,(H152-M152)*I152,0)</f>
        <v/>
      </c>
      <c r="AF152">
        <f>IF(G152&lt;EDATE(Assumptions!$C$6,-12)+1,"prior_12m","last_12m")</f>
        <v/>
      </c>
      <c r="AG152" s="21">
        <f>DATE(YEAR(G152),MONTH(G152),1)</f>
        <v/>
      </c>
    </row>
    <row r="153">
      <c r="A153" t="inlineStr">
        <is>
          <t>SPO-00079-2</t>
        </is>
      </c>
      <c r="B153" t="inlineStr">
        <is>
          <t>SPO-00079</t>
        </is>
      </c>
      <c r="C153" t="inlineStr">
        <is>
          <t>SUP-11</t>
        </is>
      </c>
      <c r="D153" t="inlineStr">
        <is>
          <t>PPE</t>
        </is>
      </c>
      <c r="E153" t="inlineStr">
        <is>
          <t>PPE-05</t>
        </is>
      </c>
      <c r="F153" s="17" t="n">
        <v>45585</v>
      </c>
      <c r="G153" s="17" t="n">
        <v>45597</v>
      </c>
      <c r="H153" s="18" t="n">
        <v>75</v>
      </c>
      <c r="I153" s="19" t="n">
        <v>10.51</v>
      </c>
      <c r="J153" s="19" t="n">
        <v>11</v>
      </c>
      <c r="K153" s="20" t="n">
        <v>0</v>
      </c>
      <c r="L153" s="20" t="n">
        <v>0</v>
      </c>
      <c r="M153" s="18" t="n">
        <v>75</v>
      </c>
      <c r="N153" s="18" t="n">
        <v>75</v>
      </c>
      <c r="O153" s="18" t="n">
        <v>0</v>
      </c>
      <c r="P153" s="17" t="n">
        <v>45594</v>
      </c>
      <c r="Q153" s="17" t="n">
        <v>45594</v>
      </c>
      <c r="R153" s="17" t="n">
        <v>45594</v>
      </c>
      <c r="S153" s="19">
        <f>H153*I153</f>
        <v/>
      </c>
      <c r="T153" s="19">
        <f>H153*J153</f>
        <v/>
      </c>
      <c r="U153">
        <f>IF(AND(K153=0,G153&lt;=Assumptions!$C$6),1,0)</f>
        <v/>
      </c>
      <c r="V153">
        <f>IF(U153=1,IF(M153&gt;0,IF(P153&lt;=G153+Assumptions!$C$7,1,0),0),0)</f>
        <v/>
      </c>
      <c r="W153">
        <f>IF(AND(U153=1,M153&gt;=H153*(1-Assumptions!$C$8)),1,0)</f>
        <v/>
      </c>
      <c r="X153">
        <f>IF(AND(U153=1,N153&gt;=H153*(1-Assumptions!$C$8)),1,0)</f>
        <v/>
      </c>
      <c r="Y153">
        <f>IF(ISNUMBER(Q153),1,0)</f>
        <v/>
      </c>
      <c r="Z153">
        <f>IF(AND(K153=0,L153=0,Y153=0),1,0)</f>
        <v/>
      </c>
      <c r="AA153">
        <f>IF(AND(Z153=1,G153&lt;Assumptions!$C$6),1,0)</f>
        <v/>
      </c>
      <c r="AB153">
        <f>IF(U153=0,"",IF(Y153=1,MAX(0,Q153-G153),IF(L153=1,MAX(0,R153-G153),MAX(0,Assumptions!$C$6-G153))))</f>
        <v/>
      </c>
      <c r="AC153">
        <f>IF(Y153=1,Q153-F153,"")</f>
        <v/>
      </c>
      <c r="AD153">
        <f>IF(Y153=1,AC153^2,"")</f>
        <v/>
      </c>
      <c r="AE153" s="19">
        <f>IF(Z153=1,(H153-M153)*I153,0)</f>
        <v/>
      </c>
      <c r="AF153">
        <f>IF(G153&lt;EDATE(Assumptions!$C$6,-12)+1,"prior_12m","last_12m")</f>
        <v/>
      </c>
      <c r="AG153" s="21">
        <f>DATE(YEAR(G153),MONTH(G153),1)</f>
        <v/>
      </c>
    </row>
    <row r="154">
      <c r="A154" t="inlineStr">
        <is>
          <t>SPO-00079-3</t>
        </is>
      </c>
      <c r="B154" t="inlineStr">
        <is>
          <t>SPO-00079</t>
        </is>
      </c>
      <c r="C154" t="inlineStr">
        <is>
          <t>SUP-11</t>
        </is>
      </c>
      <c r="D154" t="inlineStr">
        <is>
          <t>PPE</t>
        </is>
      </c>
      <c r="E154" t="inlineStr">
        <is>
          <t>PPE-03</t>
        </is>
      </c>
      <c r="F154" s="17" t="n">
        <v>45585</v>
      </c>
      <c r="G154" s="17" t="n">
        <v>45597</v>
      </c>
      <c r="H154" s="18" t="n">
        <v>44</v>
      </c>
      <c r="I154" s="19" t="n">
        <v>21.86</v>
      </c>
      <c r="J154" s="19" t="n">
        <v>21</v>
      </c>
      <c r="K154" s="20" t="n">
        <v>0</v>
      </c>
      <c r="L154" s="20" t="n">
        <v>0</v>
      </c>
      <c r="M154" s="18" t="n">
        <v>44</v>
      </c>
      <c r="N154" s="18" t="n">
        <v>44</v>
      </c>
      <c r="O154" s="18" t="n">
        <v>0</v>
      </c>
      <c r="P154" s="17" t="n">
        <v>45596</v>
      </c>
      <c r="Q154" s="17" t="n">
        <v>45596</v>
      </c>
      <c r="R154" s="17" t="n">
        <v>45596</v>
      </c>
      <c r="S154" s="19">
        <f>H154*I154</f>
        <v/>
      </c>
      <c r="T154" s="19">
        <f>H154*J154</f>
        <v/>
      </c>
      <c r="U154">
        <f>IF(AND(K154=0,G154&lt;=Assumptions!$C$6),1,0)</f>
        <v/>
      </c>
      <c r="V154">
        <f>IF(U154=1,IF(M154&gt;0,IF(P154&lt;=G154+Assumptions!$C$7,1,0),0),0)</f>
        <v/>
      </c>
      <c r="W154">
        <f>IF(AND(U154=1,M154&gt;=H154*(1-Assumptions!$C$8)),1,0)</f>
        <v/>
      </c>
      <c r="X154">
        <f>IF(AND(U154=1,N154&gt;=H154*(1-Assumptions!$C$8)),1,0)</f>
        <v/>
      </c>
      <c r="Y154">
        <f>IF(ISNUMBER(Q154),1,0)</f>
        <v/>
      </c>
      <c r="Z154">
        <f>IF(AND(K154=0,L154=0,Y154=0),1,0)</f>
        <v/>
      </c>
      <c r="AA154">
        <f>IF(AND(Z154=1,G154&lt;Assumptions!$C$6),1,0)</f>
        <v/>
      </c>
      <c r="AB154">
        <f>IF(U154=0,"",IF(Y154=1,MAX(0,Q154-G154),IF(L154=1,MAX(0,R154-G154),MAX(0,Assumptions!$C$6-G154))))</f>
        <v/>
      </c>
      <c r="AC154">
        <f>IF(Y154=1,Q154-F154,"")</f>
        <v/>
      </c>
      <c r="AD154">
        <f>IF(Y154=1,AC154^2,"")</f>
        <v/>
      </c>
      <c r="AE154" s="19">
        <f>IF(Z154=1,(H154-M154)*I154,0)</f>
        <v/>
      </c>
      <c r="AF154">
        <f>IF(G154&lt;EDATE(Assumptions!$C$6,-12)+1,"prior_12m","last_12m")</f>
        <v/>
      </c>
      <c r="AG154" s="21">
        <f>DATE(YEAR(G154),MONTH(G154),1)</f>
        <v/>
      </c>
    </row>
    <row r="155">
      <c r="A155" t="inlineStr">
        <is>
          <t>SPO-00080-1</t>
        </is>
      </c>
      <c r="B155" t="inlineStr">
        <is>
          <t>SPO-00080</t>
        </is>
      </c>
      <c r="C155" t="inlineStr">
        <is>
          <t>SUP-09</t>
        </is>
      </c>
      <c r="D155" t="inlineStr">
        <is>
          <t>CHEM</t>
        </is>
      </c>
      <c r="E155" t="inlineStr">
        <is>
          <t>CHEM-06</t>
        </is>
      </c>
      <c r="F155" s="17" t="n">
        <v>45585</v>
      </c>
      <c r="G155" s="17" t="n">
        <v>45599</v>
      </c>
      <c r="H155" s="18" t="n">
        <v>2</v>
      </c>
      <c r="I155" s="19" t="n">
        <v>380.5</v>
      </c>
      <c r="J155" s="19" t="n">
        <v>380</v>
      </c>
      <c r="K155" s="20" t="n">
        <v>0</v>
      </c>
      <c r="L155" s="20" t="n">
        <v>0</v>
      </c>
      <c r="M155" s="18" t="n">
        <v>2</v>
      </c>
      <c r="N155" s="18" t="n">
        <v>2</v>
      </c>
      <c r="O155" s="18" t="n">
        <v>0</v>
      </c>
      <c r="P155" s="17" t="n">
        <v>45597</v>
      </c>
      <c r="Q155" s="17" t="n">
        <v>45597</v>
      </c>
      <c r="R155" s="17" t="n">
        <v>45597</v>
      </c>
      <c r="S155" s="19">
        <f>H155*I155</f>
        <v/>
      </c>
      <c r="T155" s="19">
        <f>H155*J155</f>
        <v/>
      </c>
      <c r="U155">
        <f>IF(AND(K155=0,G155&lt;=Assumptions!$C$6),1,0)</f>
        <v/>
      </c>
      <c r="V155">
        <f>IF(U155=1,IF(M155&gt;0,IF(P155&lt;=G155+Assumptions!$C$7,1,0),0),0)</f>
        <v/>
      </c>
      <c r="W155">
        <f>IF(AND(U155=1,M155&gt;=H155*(1-Assumptions!$C$8)),1,0)</f>
        <v/>
      </c>
      <c r="X155">
        <f>IF(AND(U155=1,N155&gt;=H155*(1-Assumptions!$C$8)),1,0)</f>
        <v/>
      </c>
      <c r="Y155">
        <f>IF(ISNUMBER(Q155),1,0)</f>
        <v/>
      </c>
      <c r="Z155">
        <f>IF(AND(K155=0,L155=0,Y155=0),1,0)</f>
        <v/>
      </c>
      <c r="AA155">
        <f>IF(AND(Z155=1,G155&lt;Assumptions!$C$6),1,0)</f>
        <v/>
      </c>
      <c r="AB155">
        <f>IF(U155=0,"",IF(Y155=1,MAX(0,Q155-G155),IF(L155=1,MAX(0,R155-G155),MAX(0,Assumptions!$C$6-G155))))</f>
        <v/>
      </c>
      <c r="AC155">
        <f>IF(Y155=1,Q155-F155,"")</f>
        <v/>
      </c>
      <c r="AD155">
        <f>IF(Y155=1,AC155^2,"")</f>
        <v/>
      </c>
      <c r="AE155" s="19">
        <f>IF(Z155=1,(H155-M155)*I155,0)</f>
        <v/>
      </c>
      <c r="AF155">
        <f>IF(G155&lt;EDATE(Assumptions!$C$6,-12)+1,"prior_12m","last_12m")</f>
        <v/>
      </c>
      <c r="AG155" s="21">
        <f>DATE(YEAR(G155),MONTH(G155),1)</f>
        <v/>
      </c>
    </row>
    <row r="156">
      <c r="A156" t="inlineStr">
        <is>
          <t>SPO-00080-2</t>
        </is>
      </c>
      <c r="B156" t="inlineStr">
        <is>
          <t>SPO-00080</t>
        </is>
      </c>
      <c r="C156" t="inlineStr">
        <is>
          <t>SUP-09</t>
        </is>
      </c>
      <c r="D156" t="inlineStr">
        <is>
          <t>CHEM</t>
        </is>
      </c>
      <c r="E156" t="inlineStr">
        <is>
          <t>CHEM-01</t>
        </is>
      </c>
      <c r="F156" s="17" t="n">
        <v>45585</v>
      </c>
      <c r="G156" s="17" t="n">
        <v>45599</v>
      </c>
      <c r="H156" s="18" t="n">
        <v>4</v>
      </c>
      <c r="I156" s="19" t="n">
        <v>650.17</v>
      </c>
      <c r="J156" s="19" t="n">
        <v>640</v>
      </c>
      <c r="K156" s="20" t="n">
        <v>0</v>
      </c>
      <c r="L156" s="20" t="n">
        <v>0</v>
      </c>
      <c r="M156" s="18" t="n">
        <v>4</v>
      </c>
      <c r="N156" s="18" t="n">
        <v>0</v>
      </c>
      <c r="O156" s="18" t="n">
        <v>0</v>
      </c>
      <c r="P156" s="17" t="n">
        <v>45600</v>
      </c>
      <c r="Q156" s="17" t="n">
        <v>45600</v>
      </c>
      <c r="R156" s="17" t="n">
        <v>45600</v>
      </c>
      <c r="S156" s="19">
        <f>H156*I156</f>
        <v/>
      </c>
      <c r="T156" s="19">
        <f>H156*J156</f>
        <v/>
      </c>
      <c r="U156">
        <f>IF(AND(K156=0,G156&lt;=Assumptions!$C$6),1,0)</f>
        <v/>
      </c>
      <c r="V156">
        <f>IF(U156=1,IF(M156&gt;0,IF(P156&lt;=G156+Assumptions!$C$7,1,0),0),0)</f>
        <v/>
      </c>
      <c r="W156">
        <f>IF(AND(U156=1,M156&gt;=H156*(1-Assumptions!$C$8)),1,0)</f>
        <v/>
      </c>
      <c r="X156">
        <f>IF(AND(U156=1,N156&gt;=H156*(1-Assumptions!$C$8)),1,0)</f>
        <v/>
      </c>
      <c r="Y156">
        <f>IF(ISNUMBER(Q156),1,0)</f>
        <v/>
      </c>
      <c r="Z156">
        <f>IF(AND(K156=0,L156=0,Y156=0),1,0)</f>
        <v/>
      </c>
      <c r="AA156">
        <f>IF(AND(Z156=1,G156&lt;Assumptions!$C$6),1,0)</f>
        <v/>
      </c>
      <c r="AB156">
        <f>IF(U156=0,"",IF(Y156=1,MAX(0,Q156-G156),IF(L156=1,MAX(0,R156-G156),MAX(0,Assumptions!$C$6-G156))))</f>
        <v/>
      </c>
      <c r="AC156">
        <f>IF(Y156=1,Q156-F156,"")</f>
        <v/>
      </c>
      <c r="AD156">
        <f>IF(Y156=1,AC156^2,"")</f>
        <v/>
      </c>
      <c r="AE156" s="19">
        <f>IF(Z156=1,(H156-M156)*I156,0)</f>
        <v/>
      </c>
      <c r="AF156">
        <f>IF(G156&lt;EDATE(Assumptions!$C$6,-12)+1,"prior_12m","last_12m")</f>
        <v/>
      </c>
      <c r="AG156" s="21">
        <f>DATE(YEAR(G156),MONTH(G156),1)</f>
        <v/>
      </c>
    </row>
    <row r="157">
      <c r="A157" t="inlineStr">
        <is>
          <t>SPO-00080-3</t>
        </is>
      </c>
      <c r="B157" t="inlineStr">
        <is>
          <t>SPO-00080</t>
        </is>
      </c>
      <c r="C157" t="inlineStr">
        <is>
          <t>SUP-09</t>
        </is>
      </c>
      <c r="D157" t="inlineStr">
        <is>
          <t>CHEM</t>
        </is>
      </c>
      <c r="E157" t="inlineStr">
        <is>
          <t>CHEM-04</t>
        </is>
      </c>
      <c r="F157" s="17" t="n">
        <v>45585</v>
      </c>
      <c r="G157" s="17" t="n">
        <v>45599</v>
      </c>
      <c r="H157" s="18" t="n">
        <v>3</v>
      </c>
      <c r="I157" s="19" t="n">
        <v>849.27</v>
      </c>
      <c r="J157" s="19" t="n">
        <v>820</v>
      </c>
      <c r="K157" s="20" t="n">
        <v>0</v>
      </c>
      <c r="L157" s="20" t="n">
        <v>0</v>
      </c>
      <c r="M157" s="18" t="n">
        <v>3</v>
      </c>
      <c r="N157" s="18" t="n">
        <v>3</v>
      </c>
      <c r="O157" s="18" t="n">
        <v>0</v>
      </c>
      <c r="P157" s="17" t="n">
        <v>45598</v>
      </c>
      <c r="Q157" s="17" t="n">
        <v>45598</v>
      </c>
      <c r="R157" s="17" t="n">
        <v>45598</v>
      </c>
      <c r="S157" s="19">
        <f>H157*I157</f>
        <v/>
      </c>
      <c r="T157" s="19">
        <f>H157*J157</f>
        <v/>
      </c>
      <c r="U157">
        <f>IF(AND(K157=0,G157&lt;=Assumptions!$C$6),1,0)</f>
        <v/>
      </c>
      <c r="V157">
        <f>IF(U157=1,IF(M157&gt;0,IF(P157&lt;=G157+Assumptions!$C$7,1,0),0),0)</f>
        <v/>
      </c>
      <c r="W157">
        <f>IF(AND(U157=1,M157&gt;=H157*(1-Assumptions!$C$8)),1,0)</f>
        <v/>
      </c>
      <c r="X157">
        <f>IF(AND(U157=1,N157&gt;=H157*(1-Assumptions!$C$8)),1,0)</f>
        <v/>
      </c>
      <c r="Y157">
        <f>IF(ISNUMBER(Q157),1,0)</f>
        <v/>
      </c>
      <c r="Z157">
        <f>IF(AND(K157=0,L157=0,Y157=0),1,0)</f>
        <v/>
      </c>
      <c r="AA157">
        <f>IF(AND(Z157=1,G157&lt;Assumptions!$C$6),1,0)</f>
        <v/>
      </c>
      <c r="AB157">
        <f>IF(U157=0,"",IF(Y157=1,MAX(0,Q157-G157),IF(L157=1,MAX(0,R157-G157),MAX(0,Assumptions!$C$6-G157))))</f>
        <v/>
      </c>
      <c r="AC157">
        <f>IF(Y157=1,Q157-F157,"")</f>
        <v/>
      </c>
      <c r="AD157">
        <f>IF(Y157=1,AC157^2,"")</f>
        <v/>
      </c>
      <c r="AE157" s="19">
        <f>IF(Z157=1,(H157-M157)*I157,0)</f>
        <v/>
      </c>
      <c r="AF157">
        <f>IF(G157&lt;EDATE(Assumptions!$C$6,-12)+1,"prior_12m","last_12m")</f>
        <v/>
      </c>
      <c r="AG157" s="21">
        <f>DATE(YEAR(G157),MONTH(G157),1)</f>
        <v/>
      </c>
    </row>
    <row r="158">
      <c r="A158" t="inlineStr">
        <is>
          <t>SPO-00081-1</t>
        </is>
      </c>
      <c r="B158" t="inlineStr">
        <is>
          <t>SPO-00081</t>
        </is>
      </c>
      <c r="C158" t="inlineStr">
        <is>
          <t>SUP-12</t>
        </is>
      </c>
      <c r="D158" t="inlineStr">
        <is>
          <t>IT</t>
        </is>
      </c>
      <c r="E158" t="inlineStr">
        <is>
          <t>IT-08</t>
        </is>
      </c>
      <c r="F158" s="17" t="n">
        <v>45585</v>
      </c>
      <c r="G158" s="17" t="n">
        <v>45595</v>
      </c>
      <c r="H158" s="18" t="n">
        <v>6</v>
      </c>
      <c r="I158" s="19" t="n">
        <v>272.44</v>
      </c>
      <c r="J158" s="19" t="n">
        <v>245</v>
      </c>
      <c r="K158" s="20" t="n">
        <v>0</v>
      </c>
      <c r="L158" s="20" t="n">
        <v>0</v>
      </c>
      <c r="M158" s="18" t="n">
        <v>6</v>
      </c>
      <c r="N158" s="18" t="n">
        <v>6</v>
      </c>
      <c r="O158" s="18" t="n">
        <v>0</v>
      </c>
      <c r="P158" s="17" t="n">
        <v>45590</v>
      </c>
      <c r="Q158" s="17" t="n">
        <v>45590</v>
      </c>
      <c r="R158" s="17" t="n">
        <v>45590</v>
      </c>
      <c r="S158" s="19">
        <f>H158*I158</f>
        <v/>
      </c>
      <c r="T158" s="19">
        <f>H158*J158</f>
        <v/>
      </c>
      <c r="U158">
        <f>IF(AND(K158=0,G158&lt;=Assumptions!$C$6),1,0)</f>
        <v/>
      </c>
      <c r="V158">
        <f>IF(U158=1,IF(M158&gt;0,IF(P158&lt;=G158+Assumptions!$C$7,1,0),0),0)</f>
        <v/>
      </c>
      <c r="W158">
        <f>IF(AND(U158=1,M158&gt;=H158*(1-Assumptions!$C$8)),1,0)</f>
        <v/>
      </c>
      <c r="X158">
        <f>IF(AND(U158=1,N158&gt;=H158*(1-Assumptions!$C$8)),1,0)</f>
        <v/>
      </c>
      <c r="Y158">
        <f>IF(ISNUMBER(Q158),1,0)</f>
        <v/>
      </c>
      <c r="Z158">
        <f>IF(AND(K158=0,L158=0,Y158=0),1,0)</f>
        <v/>
      </c>
      <c r="AA158">
        <f>IF(AND(Z158=1,G158&lt;Assumptions!$C$6),1,0)</f>
        <v/>
      </c>
      <c r="AB158">
        <f>IF(U158=0,"",IF(Y158=1,MAX(0,Q158-G158),IF(L158=1,MAX(0,R158-G158),MAX(0,Assumptions!$C$6-G158))))</f>
        <v/>
      </c>
      <c r="AC158">
        <f>IF(Y158=1,Q158-F158,"")</f>
        <v/>
      </c>
      <c r="AD158">
        <f>IF(Y158=1,AC158^2,"")</f>
        <v/>
      </c>
      <c r="AE158" s="19">
        <f>IF(Z158=1,(H158-M158)*I158,0)</f>
        <v/>
      </c>
      <c r="AF158">
        <f>IF(G158&lt;EDATE(Assumptions!$C$6,-12)+1,"prior_12m","last_12m")</f>
        <v/>
      </c>
      <c r="AG158" s="21">
        <f>DATE(YEAR(G158),MONTH(G158),1)</f>
        <v/>
      </c>
    </row>
    <row r="159">
      <c r="A159" t="inlineStr">
        <is>
          <t>SPO-00081-2</t>
        </is>
      </c>
      <c r="B159" t="inlineStr">
        <is>
          <t>SPO-00081</t>
        </is>
      </c>
      <c r="C159" t="inlineStr">
        <is>
          <t>SUP-12</t>
        </is>
      </c>
      <c r="D159" t="inlineStr">
        <is>
          <t>IT</t>
        </is>
      </c>
      <c r="E159" t="inlineStr">
        <is>
          <t>IT-04</t>
        </is>
      </c>
      <c r="F159" s="17" t="n">
        <v>45585</v>
      </c>
      <c r="G159" s="17" t="n">
        <v>45595</v>
      </c>
      <c r="H159" s="18" t="n">
        <v>147</v>
      </c>
      <c r="I159" s="19" t="n">
        <v>13.79</v>
      </c>
      <c r="J159" s="19" t="n">
        <v>12</v>
      </c>
      <c r="K159" s="20" t="n">
        <v>0</v>
      </c>
      <c r="L159" s="20" t="n">
        <v>0</v>
      </c>
      <c r="M159" s="18" t="n">
        <v>147</v>
      </c>
      <c r="N159" s="18" t="n">
        <v>147</v>
      </c>
      <c r="O159" s="18" t="n">
        <v>0</v>
      </c>
      <c r="P159" s="17" t="n">
        <v>45590</v>
      </c>
      <c r="Q159" s="17" t="n">
        <v>45590</v>
      </c>
      <c r="R159" s="17" t="n">
        <v>45590</v>
      </c>
      <c r="S159" s="19">
        <f>H159*I159</f>
        <v/>
      </c>
      <c r="T159" s="19">
        <f>H159*J159</f>
        <v/>
      </c>
      <c r="U159">
        <f>IF(AND(K159=0,G159&lt;=Assumptions!$C$6),1,0)</f>
        <v/>
      </c>
      <c r="V159">
        <f>IF(U159=1,IF(M159&gt;0,IF(P159&lt;=G159+Assumptions!$C$7,1,0),0),0)</f>
        <v/>
      </c>
      <c r="W159">
        <f>IF(AND(U159=1,M159&gt;=H159*(1-Assumptions!$C$8)),1,0)</f>
        <v/>
      </c>
      <c r="X159">
        <f>IF(AND(U159=1,N159&gt;=H159*(1-Assumptions!$C$8)),1,0)</f>
        <v/>
      </c>
      <c r="Y159">
        <f>IF(ISNUMBER(Q159),1,0)</f>
        <v/>
      </c>
      <c r="Z159">
        <f>IF(AND(K159=0,L159=0,Y159=0),1,0)</f>
        <v/>
      </c>
      <c r="AA159">
        <f>IF(AND(Z159=1,G159&lt;Assumptions!$C$6),1,0)</f>
        <v/>
      </c>
      <c r="AB159">
        <f>IF(U159=0,"",IF(Y159=1,MAX(0,Q159-G159),IF(L159=1,MAX(0,R159-G159),MAX(0,Assumptions!$C$6-G159))))</f>
        <v/>
      </c>
      <c r="AC159">
        <f>IF(Y159=1,Q159-F159,"")</f>
        <v/>
      </c>
      <c r="AD159">
        <f>IF(Y159=1,AC159^2,"")</f>
        <v/>
      </c>
      <c r="AE159" s="19">
        <f>IF(Z159=1,(H159-M159)*I159,0)</f>
        <v/>
      </c>
      <c r="AF159">
        <f>IF(G159&lt;EDATE(Assumptions!$C$6,-12)+1,"prior_12m","last_12m")</f>
        <v/>
      </c>
      <c r="AG159" s="21">
        <f>DATE(YEAR(G159),MONTH(G159),1)</f>
        <v/>
      </c>
    </row>
    <row r="160">
      <c r="A160" t="inlineStr">
        <is>
          <t>SPO-00082-1</t>
        </is>
      </c>
      <c r="B160" t="inlineStr">
        <is>
          <t>SPO-00082</t>
        </is>
      </c>
      <c r="C160" t="inlineStr">
        <is>
          <t>SUP-02</t>
        </is>
      </c>
      <c r="D160" t="inlineStr">
        <is>
          <t>ELEC</t>
        </is>
      </c>
      <c r="E160" t="inlineStr">
        <is>
          <t>ELEC-08</t>
        </is>
      </c>
      <c r="F160" s="17" t="n">
        <v>45586</v>
      </c>
      <c r="G160" s="17" t="n">
        <v>45602</v>
      </c>
      <c r="H160" s="18" t="n">
        <v>53</v>
      </c>
      <c r="I160" s="19" t="n">
        <v>17.39</v>
      </c>
      <c r="J160" s="19" t="n">
        <v>18</v>
      </c>
      <c r="K160" s="20" t="n">
        <v>0</v>
      </c>
      <c r="L160" s="20" t="n">
        <v>0</v>
      </c>
      <c r="M160" s="18" t="n">
        <v>53</v>
      </c>
      <c r="N160" s="18" t="n">
        <v>53</v>
      </c>
      <c r="O160" s="18" t="n">
        <v>0</v>
      </c>
      <c r="P160" s="17" t="n">
        <v>45600</v>
      </c>
      <c r="Q160" s="17" t="n">
        <v>45600</v>
      </c>
      <c r="R160" s="17" t="n">
        <v>45600</v>
      </c>
      <c r="S160" s="19">
        <f>H160*I160</f>
        <v/>
      </c>
      <c r="T160" s="19">
        <f>H160*J160</f>
        <v/>
      </c>
      <c r="U160">
        <f>IF(AND(K160=0,G160&lt;=Assumptions!$C$6),1,0)</f>
        <v/>
      </c>
      <c r="V160">
        <f>IF(U160=1,IF(M160&gt;0,IF(P160&lt;=G160+Assumptions!$C$7,1,0),0),0)</f>
        <v/>
      </c>
      <c r="W160">
        <f>IF(AND(U160=1,M160&gt;=H160*(1-Assumptions!$C$8)),1,0)</f>
        <v/>
      </c>
      <c r="X160">
        <f>IF(AND(U160=1,N160&gt;=H160*(1-Assumptions!$C$8)),1,0)</f>
        <v/>
      </c>
      <c r="Y160">
        <f>IF(ISNUMBER(Q160),1,0)</f>
        <v/>
      </c>
      <c r="Z160">
        <f>IF(AND(K160=0,L160=0,Y160=0),1,0)</f>
        <v/>
      </c>
      <c r="AA160">
        <f>IF(AND(Z160=1,G160&lt;Assumptions!$C$6),1,0)</f>
        <v/>
      </c>
      <c r="AB160">
        <f>IF(U160=0,"",IF(Y160=1,MAX(0,Q160-G160),IF(L160=1,MAX(0,R160-G160),MAX(0,Assumptions!$C$6-G160))))</f>
        <v/>
      </c>
      <c r="AC160">
        <f>IF(Y160=1,Q160-F160,"")</f>
        <v/>
      </c>
      <c r="AD160">
        <f>IF(Y160=1,AC160^2,"")</f>
        <v/>
      </c>
      <c r="AE160" s="19">
        <f>IF(Z160=1,(H160-M160)*I160,0)</f>
        <v/>
      </c>
      <c r="AF160">
        <f>IF(G160&lt;EDATE(Assumptions!$C$6,-12)+1,"prior_12m","last_12m")</f>
        <v/>
      </c>
      <c r="AG160" s="21">
        <f>DATE(YEAR(G160),MONTH(G160),1)</f>
        <v/>
      </c>
    </row>
    <row r="161">
      <c r="A161" t="inlineStr">
        <is>
          <t>SPO-00082-2</t>
        </is>
      </c>
      <c r="B161" t="inlineStr">
        <is>
          <t>SPO-00082</t>
        </is>
      </c>
      <c r="C161" t="inlineStr">
        <is>
          <t>SUP-02</t>
        </is>
      </c>
      <c r="D161" t="inlineStr">
        <is>
          <t>ELEC</t>
        </is>
      </c>
      <c r="E161" t="inlineStr">
        <is>
          <t>ELEC-07</t>
        </is>
      </c>
      <c r="F161" s="17" t="n">
        <v>45586</v>
      </c>
      <c r="G161" s="17" t="n">
        <v>45602</v>
      </c>
      <c r="H161" s="18" t="n">
        <v>196</v>
      </c>
      <c r="I161" s="19" t="n">
        <v>9.66</v>
      </c>
      <c r="J161" s="19" t="n">
        <v>9.800000000000001</v>
      </c>
      <c r="K161" s="20" t="n">
        <v>0</v>
      </c>
      <c r="L161" s="20" t="n">
        <v>0</v>
      </c>
      <c r="M161" s="18" t="n">
        <v>196</v>
      </c>
      <c r="N161" s="18" t="n">
        <v>196</v>
      </c>
      <c r="O161" s="18" t="n">
        <v>0</v>
      </c>
      <c r="P161" s="17" t="n">
        <v>45597</v>
      </c>
      <c r="Q161" s="17" t="n">
        <v>45597</v>
      </c>
      <c r="R161" s="17" t="n">
        <v>45597</v>
      </c>
      <c r="S161" s="19">
        <f>H161*I161</f>
        <v/>
      </c>
      <c r="T161" s="19">
        <f>H161*J161</f>
        <v/>
      </c>
      <c r="U161">
        <f>IF(AND(K161=0,G161&lt;=Assumptions!$C$6),1,0)</f>
        <v/>
      </c>
      <c r="V161">
        <f>IF(U161=1,IF(M161&gt;0,IF(P161&lt;=G161+Assumptions!$C$7,1,0),0),0)</f>
        <v/>
      </c>
      <c r="W161">
        <f>IF(AND(U161=1,M161&gt;=H161*(1-Assumptions!$C$8)),1,0)</f>
        <v/>
      </c>
      <c r="X161">
        <f>IF(AND(U161=1,N161&gt;=H161*(1-Assumptions!$C$8)),1,0)</f>
        <v/>
      </c>
      <c r="Y161">
        <f>IF(ISNUMBER(Q161),1,0)</f>
        <v/>
      </c>
      <c r="Z161">
        <f>IF(AND(K161=0,L161=0,Y161=0),1,0)</f>
        <v/>
      </c>
      <c r="AA161">
        <f>IF(AND(Z161=1,G161&lt;Assumptions!$C$6),1,0)</f>
        <v/>
      </c>
      <c r="AB161">
        <f>IF(U161=0,"",IF(Y161=1,MAX(0,Q161-G161),IF(L161=1,MAX(0,R161-G161),MAX(0,Assumptions!$C$6-G161))))</f>
        <v/>
      </c>
      <c r="AC161">
        <f>IF(Y161=1,Q161-F161,"")</f>
        <v/>
      </c>
      <c r="AD161">
        <f>IF(Y161=1,AC161^2,"")</f>
        <v/>
      </c>
      <c r="AE161" s="19">
        <f>IF(Z161=1,(H161-M161)*I161,0)</f>
        <v/>
      </c>
      <c r="AF161">
        <f>IF(G161&lt;EDATE(Assumptions!$C$6,-12)+1,"prior_12m","last_12m")</f>
        <v/>
      </c>
      <c r="AG161" s="21">
        <f>DATE(YEAR(G161),MONTH(G161),1)</f>
        <v/>
      </c>
    </row>
    <row r="162">
      <c r="A162" t="inlineStr">
        <is>
          <t>SPO-00082-3</t>
        </is>
      </c>
      <c r="B162" t="inlineStr">
        <is>
          <t>SPO-00082</t>
        </is>
      </c>
      <c r="C162" t="inlineStr">
        <is>
          <t>SUP-02</t>
        </is>
      </c>
      <c r="D162" t="inlineStr">
        <is>
          <t>ELEC</t>
        </is>
      </c>
      <c r="E162" t="inlineStr">
        <is>
          <t>ELEC-05</t>
        </is>
      </c>
      <c r="F162" s="17" t="n">
        <v>45586</v>
      </c>
      <c r="G162" s="17" t="n">
        <v>45602</v>
      </c>
      <c r="H162" s="18" t="n">
        <v>406</v>
      </c>
      <c r="I162" s="19" t="n">
        <v>11.7</v>
      </c>
      <c r="J162" s="19" t="n">
        <v>11.5</v>
      </c>
      <c r="K162" s="20" t="n">
        <v>0</v>
      </c>
      <c r="L162" s="20" t="n">
        <v>0</v>
      </c>
      <c r="M162" s="18" t="n">
        <v>406</v>
      </c>
      <c r="N162" s="18" t="n">
        <v>406</v>
      </c>
      <c r="O162" s="18" t="n">
        <v>0</v>
      </c>
      <c r="P162" s="17" t="n">
        <v>45601</v>
      </c>
      <c r="Q162" s="17" t="n">
        <v>45601</v>
      </c>
      <c r="R162" s="17" t="n">
        <v>45601</v>
      </c>
      <c r="S162" s="19">
        <f>H162*I162</f>
        <v/>
      </c>
      <c r="T162" s="19">
        <f>H162*J162</f>
        <v/>
      </c>
      <c r="U162">
        <f>IF(AND(K162=0,G162&lt;=Assumptions!$C$6),1,0)</f>
        <v/>
      </c>
      <c r="V162">
        <f>IF(U162=1,IF(M162&gt;0,IF(P162&lt;=G162+Assumptions!$C$7,1,0),0),0)</f>
        <v/>
      </c>
      <c r="W162">
        <f>IF(AND(U162=1,M162&gt;=H162*(1-Assumptions!$C$8)),1,0)</f>
        <v/>
      </c>
      <c r="X162">
        <f>IF(AND(U162=1,N162&gt;=H162*(1-Assumptions!$C$8)),1,0)</f>
        <v/>
      </c>
      <c r="Y162">
        <f>IF(ISNUMBER(Q162),1,0)</f>
        <v/>
      </c>
      <c r="Z162">
        <f>IF(AND(K162=0,L162=0,Y162=0),1,0)</f>
        <v/>
      </c>
      <c r="AA162">
        <f>IF(AND(Z162=1,G162&lt;Assumptions!$C$6),1,0)</f>
        <v/>
      </c>
      <c r="AB162">
        <f>IF(U162=0,"",IF(Y162=1,MAX(0,Q162-G162),IF(L162=1,MAX(0,R162-G162),MAX(0,Assumptions!$C$6-G162))))</f>
        <v/>
      </c>
      <c r="AC162">
        <f>IF(Y162=1,Q162-F162,"")</f>
        <v/>
      </c>
      <c r="AD162">
        <f>IF(Y162=1,AC162^2,"")</f>
        <v/>
      </c>
      <c r="AE162" s="19">
        <f>IF(Z162=1,(H162-M162)*I162,0)</f>
        <v/>
      </c>
      <c r="AF162">
        <f>IF(G162&lt;EDATE(Assumptions!$C$6,-12)+1,"prior_12m","last_12m")</f>
        <v/>
      </c>
      <c r="AG162" s="21">
        <f>DATE(YEAR(G162),MONTH(G162),1)</f>
        <v/>
      </c>
    </row>
    <row r="163">
      <c r="A163" t="inlineStr">
        <is>
          <t>SPO-00083-1</t>
        </is>
      </c>
      <c r="B163" t="inlineStr">
        <is>
          <t>SPO-00083</t>
        </is>
      </c>
      <c r="C163" t="inlineStr">
        <is>
          <t>SUP-05</t>
        </is>
      </c>
      <c r="D163" t="inlineStr">
        <is>
          <t>FLEET</t>
        </is>
      </c>
      <c r="E163" t="inlineStr">
        <is>
          <t>FLEET-01</t>
        </is>
      </c>
      <c r="F163" s="17" t="n">
        <v>45586</v>
      </c>
      <c r="G163" s="17" t="n">
        <v>45600</v>
      </c>
      <c r="H163" s="18" t="n">
        <v>15</v>
      </c>
      <c r="I163" s="19" t="n">
        <v>66.68000000000001</v>
      </c>
      <c r="J163" s="19" t="n">
        <v>64</v>
      </c>
      <c r="K163" s="20" t="n">
        <v>0</v>
      </c>
      <c r="L163" s="20" t="n">
        <v>0</v>
      </c>
      <c r="M163" s="18" t="n">
        <v>15</v>
      </c>
      <c r="N163" s="18" t="n">
        <v>15</v>
      </c>
      <c r="O163" s="18" t="n">
        <v>0</v>
      </c>
      <c r="P163" s="17" t="n">
        <v>45596</v>
      </c>
      <c r="Q163" s="17" t="n">
        <v>45596</v>
      </c>
      <c r="R163" s="17" t="n">
        <v>45596</v>
      </c>
      <c r="S163" s="19">
        <f>H163*I163</f>
        <v/>
      </c>
      <c r="T163" s="19">
        <f>H163*J163</f>
        <v/>
      </c>
      <c r="U163">
        <f>IF(AND(K163=0,G163&lt;=Assumptions!$C$6),1,0)</f>
        <v/>
      </c>
      <c r="V163">
        <f>IF(U163=1,IF(M163&gt;0,IF(P163&lt;=G163+Assumptions!$C$7,1,0),0),0)</f>
        <v/>
      </c>
      <c r="W163">
        <f>IF(AND(U163=1,M163&gt;=H163*(1-Assumptions!$C$8)),1,0)</f>
        <v/>
      </c>
      <c r="X163">
        <f>IF(AND(U163=1,N163&gt;=H163*(1-Assumptions!$C$8)),1,0)</f>
        <v/>
      </c>
      <c r="Y163">
        <f>IF(ISNUMBER(Q163),1,0)</f>
        <v/>
      </c>
      <c r="Z163">
        <f>IF(AND(K163=0,L163=0,Y163=0),1,0)</f>
        <v/>
      </c>
      <c r="AA163">
        <f>IF(AND(Z163=1,G163&lt;Assumptions!$C$6),1,0)</f>
        <v/>
      </c>
      <c r="AB163">
        <f>IF(U163=0,"",IF(Y163=1,MAX(0,Q163-G163),IF(L163=1,MAX(0,R163-G163),MAX(0,Assumptions!$C$6-G163))))</f>
        <v/>
      </c>
      <c r="AC163">
        <f>IF(Y163=1,Q163-F163,"")</f>
        <v/>
      </c>
      <c r="AD163">
        <f>IF(Y163=1,AC163^2,"")</f>
        <v/>
      </c>
      <c r="AE163" s="19">
        <f>IF(Z163=1,(H163-M163)*I163,0)</f>
        <v/>
      </c>
      <c r="AF163">
        <f>IF(G163&lt;EDATE(Assumptions!$C$6,-12)+1,"prior_12m","last_12m")</f>
        <v/>
      </c>
      <c r="AG163" s="21">
        <f>DATE(YEAR(G163),MONTH(G163),1)</f>
        <v/>
      </c>
    </row>
    <row r="164">
      <c r="A164" t="inlineStr">
        <is>
          <t>SPO-00083-2</t>
        </is>
      </c>
      <c r="B164" t="inlineStr">
        <is>
          <t>SPO-00083</t>
        </is>
      </c>
      <c r="C164" t="inlineStr">
        <is>
          <t>SUP-05</t>
        </is>
      </c>
      <c r="D164" t="inlineStr">
        <is>
          <t>FLEET</t>
        </is>
      </c>
      <c r="E164" t="inlineStr">
        <is>
          <t>FLEET-07</t>
        </is>
      </c>
      <c r="F164" s="17" t="n">
        <v>45586</v>
      </c>
      <c r="G164" s="17" t="n">
        <v>45600</v>
      </c>
      <c r="H164" s="18" t="n">
        <v>11</v>
      </c>
      <c r="I164" s="19" t="n">
        <v>126.01</v>
      </c>
      <c r="J164" s="19" t="n">
        <v>118</v>
      </c>
      <c r="K164" s="20" t="n">
        <v>0</v>
      </c>
      <c r="L164" s="20" t="n">
        <v>0</v>
      </c>
      <c r="M164" s="18" t="n">
        <v>11</v>
      </c>
      <c r="N164" s="18" t="n">
        <v>11</v>
      </c>
      <c r="O164" s="18" t="n">
        <v>0</v>
      </c>
      <c r="P164" s="17" t="n">
        <v>45596</v>
      </c>
      <c r="Q164" s="17" t="n">
        <v>45596</v>
      </c>
      <c r="R164" s="17" t="n">
        <v>45596</v>
      </c>
      <c r="S164" s="19">
        <f>H164*I164</f>
        <v/>
      </c>
      <c r="T164" s="19">
        <f>H164*J164</f>
        <v/>
      </c>
      <c r="U164">
        <f>IF(AND(K164=0,G164&lt;=Assumptions!$C$6),1,0)</f>
        <v/>
      </c>
      <c r="V164">
        <f>IF(U164=1,IF(M164&gt;0,IF(P164&lt;=G164+Assumptions!$C$7,1,0),0),0)</f>
        <v/>
      </c>
      <c r="W164">
        <f>IF(AND(U164=1,M164&gt;=H164*(1-Assumptions!$C$8)),1,0)</f>
        <v/>
      </c>
      <c r="X164">
        <f>IF(AND(U164=1,N164&gt;=H164*(1-Assumptions!$C$8)),1,0)</f>
        <v/>
      </c>
      <c r="Y164">
        <f>IF(ISNUMBER(Q164),1,0)</f>
        <v/>
      </c>
      <c r="Z164">
        <f>IF(AND(K164=0,L164=0,Y164=0),1,0)</f>
        <v/>
      </c>
      <c r="AA164">
        <f>IF(AND(Z164=1,G164&lt;Assumptions!$C$6),1,0)</f>
        <v/>
      </c>
      <c r="AB164">
        <f>IF(U164=0,"",IF(Y164=1,MAX(0,Q164-G164),IF(L164=1,MAX(0,R164-G164),MAX(0,Assumptions!$C$6-G164))))</f>
        <v/>
      </c>
      <c r="AC164">
        <f>IF(Y164=1,Q164-F164,"")</f>
        <v/>
      </c>
      <c r="AD164">
        <f>IF(Y164=1,AC164^2,"")</f>
        <v/>
      </c>
      <c r="AE164" s="19">
        <f>IF(Z164=1,(H164-M164)*I164,0)</f>
        <v/>
      </c>
      <c r="AF164">
        <f>IF(G164&lt;EDATE(Assumptions!$C$6,-12)+1,"prior_12m","last_12m")</f>
        <v/>
      </c>
      <c r="AG164" s="21">
        <f>DATE(YEAR(G164),MONTH(G164),1)</f>
        <v/>
      </c>
    </row>
    <row r="165">
      <c r="A165" t="inlineStr">
        <is>
          <t>SPO-00084-1</t>
        </is>
      </c>
      <c r="B165" t="inlineStr">
        <is>
          <t>SPO-00084</t>
        </is>
      </c>
      <c r="C165" t="inlineStr">
        <is>
          <t>SUP-01</t>
        </is>
      </c>
      <c r="D165" t="inlineStr">
        <is>
          <t>ELEC</t>
        </is>
      </c>
      <c r="E165" t="inlineStr">
        <is>
          <t>ELEC-08</t>
        </is>
      </c>
      <c r="F165" s="17" t="n">
        <v>45587</v>
      </c>
      <c r="G165" s="17" t="n">
        <v>45605</v>
      </c>
      <c r="H165" s="18" t="n">
        <v>159</v>
      </c>
      <c r="I165" s="19" t="n">
        <v>18.99</v>
      </c>
      <c r="J165" s="19" t="n">
        <v>18</v>
      </c>
      <c r="K165" s="20" t="n">
        <v>0</v>
      </c>
      <c r="L165" s="20" t="n">
        <v>0</v>
      </c>
      <c r="M165" s="18" t="n">
        <v>159</v>
      </c>
      <c r="N165" s="18" t="n">
        <v>159</v>
      </c>
      <c r="O165" s="18" t="n">
        <v>0</v>
      </c>
      <c r="P165" s="17" t="n">
        <v>45599</v>
      </c>
      <c r="Q165" s="17" t="n">
        <v>45599</v>
      </c>
      <c r="R165" s="17" t="n">
        <v>45599</v>
      </c>
      <c r="S165" s="19">
        <f>H165*I165</f>
        <v/>
      </c>
      <c r="T165" s="19">
        <f>H165*J165</f>
        <v/>
      </c>
      <c r="U165">
        <f>IF(AND(K165=0,G165&lt;=Assumptions!$C$6),1,0)</f>
        <v/>
      </c>
      <c r="V165">
        <f>IF(U165=1,IF(M165&gt;0,IF(P165&lt;=G165+Assumptions!$C$7,1,0),0),0)</f>
        <v/>
      </c>
      <c r="W165">
        <f>IF(AND(U165=1,M165&gt;=H165*(1-Assumptions!$C$8)),1,0)</f>
        <v/>
      </c>
      <c r="X165">
        <f>IF(AND(U165=1,N165&gt;=H165*(1-Assumptions!$C$8)),1,0)</f>
        <v/>
      </c>
      <c r="Y165">
        <f>IF(ISNUMBER(Q165),1,0)</f>
        <v/>
      </c>
      <c r="Z165">
        <f>IF(AND(K165=0,L165=0,Y165=0),1,0)</f>
        <v/>
      </c>
      <c r="AA165">
        <f>IF(AND(Z165=1,G165&lt;Assumptions!$C$6),1,0)</f>
        <v/>
      </c>
      <c r="AB165">
        <f>IF(U165=0,"",IF(Y165=1,MAX(0,Q165-G165),IF(L165=1,MAX(0,R165-G165),MAX(0,Assumptions!$C$6-G165))))</f>
        <v/>
      </c>
      <c r="AC165">
        <f>IF(Y165=1,Q165-F165,"")</f>
        <v/>
      </c>
      <c r="AD165">
        <f>IF(Y165=1,AC165^2,"")</f>
        <v/>
      </c>
      <c r="AE165" s="19">
        <f>IF(Z165=1,(H165-M165)*I165,0)</f>
        <v/>
      </c>
      <c r="AF165">
        <f>IF(G165&lt;EDATE(Assumptions!$C$6,-12)+1,"prior_12m","last_12m")</f>
        <v/>
      </c>
      <c r="AG165" s="21">
        <f>DATE(YEAR(G165),MONTH(G165),1)</f>
        <v/>
      </c>
    </row>
    <row r="166">
      <c r="A166" t="inlineStr">
        <is>
          <t>SPO-00084-2</t>
        </is>
      </c>
      <c r="B166" t="inlineStr">
        <is>
          <t>SPO-00084</t>
        </is>
      </c>
      <c r="C166" t="inlineStr">
        <is>
          <t>SUP-01</t>
        </is>
      </c>
      <c r="D166" t="inlineStr">
        <is>
          <t>ELEC</t>
        </is>
      </c>
      <c r="E166" t="inlineStr">
        <is>
          <t>ELEC-02</t>
        </is>
      </c>
      <c r="F166" s="17" t="n">
        <v>45587</v>
      </c>
      <c r="G166" s="17" t="n">
        <v>45605</v>
      </c>
      <c r="H166" s="18" t="n">
        <v>746</v>
      </c>
      <c r="I166" s="19" t="n">
        <v>4.21</v>
      </c>
      <c r="J166" s="19" t="n">
        <v>4.2</v>
      </c>
      <c r="K166" s="20" t="n">
        <v>0</v>
      </c>
      <c r="L166" s="20" t="n">
        <v>0</v>
      </c>
      <c r="M166" s="18" t="n">
        <v>746</v>
      </c>
      <c r="N166" s="18" t="n">
        <v>746</v>
      </c>
      <c r="O166" s="18" t="n">
        <v>0</v>
      </c>
      <c r="P166" s="17" t="n">
        <v>45601</v>
      </c>
      <c r="Q166" s="17" t="n">
        <v>45601</v>
      </c>
      <c r="R166" s="17" t="n">
        <v>45601</v>
      </c>
      <c r="S166" s="19">
        <f>H166*I166</f>
        <v/>
      </c>
      <c r="T166" s="19">
        <f>H166*J166</f>
        <v/>
      </c>
      <c r="U166">
        <f>IF(AND(K166=0,G166&lt;=Assumptions!$C$6),1,0)</f>
        <v/>
      </c>
      <c r="V166">
        <f>IF(U166=1,IF(M166&gt;0,IF(P166&lt;=G166+Assumptions!$C$7,1,0),0),0)</f>
        <v/>
      </c>
      <c r="W166">
        <f>IF(AND(U166=1,M166&gt;=H166*(1-Assumptions!$C$8)),1,0)</f>
        <v/>
      </c>
      <c r="X166">
        <f>IF(AND(U166=1,N166&gt;=H166*(1-Assumptions!$C$8)),1,0)</f>
        <v/>
      </c>
      <c r="Y166">
        <f>IF(ISNUMBER(Q166),1,0)</f>
        <v/>
      </c>
      <c r="Z166">
        <f>IF(AND(K166=0,L166=0,Y166=0),1,0)</f>
        <v/>
      </c>
      <c r="AA166">
        <f>IF(AND(Z166=1,G166&lt;Assumptions!$C$6),1,0)</f>
        <v/>
      </c>
      <c r="AB166">
        <f>IF(U166=0,"",IF(Y166=1,MAX(0,Q166-G166),IF(L166=1,MAX(0,R166-G166),MAX(0,Assumptions!$C$6-G166))))</f>
        <v/>
      </c>
      <c r="AC166">
        <f>IF(Y166=1,Q166-F166,"")</f>
        <v/>
      </c>
      <c r="AD166">
        <f>IF(Y166=1,AC166^2,"")</f>
        <v/>
      </c>
      <c r="AE166" s="19">
        <f>IF(Z166=1,(H166-M166)*I166,0)</f>
        <v/>
      </c>
      <c r="AF166">
        <f>IF(G166&lt;EDATE(Assumptions!$C$6,-12)+1,"prior_12m","last_12m")</f>
        <v/>
      </c>
      <c r="AG166" s="21">
        <f>DATE(YEAR(G166),MONTH(G166),1)</f>
        <v/>
      </c>
    </row>
    <row r="167">
      <c r="A167" t="inlineStr">
        <is>
          <t>SPO-00085-1</t>
        </is>
      </c>
      <c r="B167" t="inlineStr">
        <is>
          <t>SPO-00085</t>
        </is>
      </c>
      <c r="C167" t="inlineStr">
        <is>
          <t>SUP-09</t>
        </is>
      </c>
      <c r="D167" t="inlineStr">
        <is>
          <t>CHEM</t>
        </is>
      </c>
      <c r="E167" t="inlineStr">
        <is>
          <t>CHEM-05</t>
        </is>
      </c>
      <c r="F167" s="17" t="n">
        <v>45587</v>
      </c>
      <c r="G167" s="17" t="n">
        <v>45601</v>
      </c>
      <c r="H167" s="18" t="n">
        <v>1</v>
      </c>
      <c r="I167" s="19" t="n">
        <v>974.21</v>
      </c>
      <c r="J167" s="19" t="n">
        <v>930</v>
      </c>
      <c r="K167" s="20" t="n">
        <v>0</v>
      </c>
      <c r="L167" s="20" t="n">
        <v>0</v>
      </c>
      <c r="M167" s="18" t="n">
        <v>1</v>
      </c>
      <c r="N167" s="18" t="n">
        <v>1</v>
      </c>
      <c r="O167" s="18" t="n">
        <v>0</v>
      </c>
      <c r="P167" s="17" t="n">
        <v>45599</v>
      </c>
      <c r="Q167" s="17" t="n">
        <v>45599</v>
      </c>
      <c r="R167" s="17" t="n">
        <v>45599</v>
      </c>
      <c r="S167" s="19">
        <f>H167*I167</f>
        <v/>
      </c>
      <c r="T167" s="19">
        <f>H167*J167</f>
        <v/>
      </c>
      <c r="U167">
        <f>IF(AND(K167=0,G167&lt;=Assumptions!$C$6),1,0)</f>
        <v/>
      </c>
      <c r="V167">
        <f>IF(U167=1,IF(M167&gt;0,IF(P167&lt;=G167+Assumptions!$C$7,1,0),0),0)</f>
        <v/>
      </c>
      <c r="W167">
        <f>IF(AND(U167=1,M167&gt;=H167*(1-Assumptions!$C$8)),1,0)</f>
        <v/>
      </c>
      <c r="X167">
        <f>IF(AND(U167=1,N167&gt;=H167*(1-Assumptions!$C$8)),1,0)</f>
        <v/>
      </c>
      <c r="Y167">
        <f>IF(ISNUMBER(Q167),1,0)</f>
        <v/>
      </c>
      <c r="Z167">
        <f>IF(AND(K167=0,L167=0,Y167=0),1,0)</f>
        <v/>
      </c>
      <c r="AA167">
        <f>IF(AND(Z167=1,G167&lt;Assumptions!$C$6),1,0)</f>
        <v/>
      </c>
      <c r="AB167">
        <f>IF(U167=0,"",IF(Y167=1,MAX(0,Q167-G167),IF(L167=1,MAX(0,R167-G167),MAX(0,Assumptions!$C$6-G167))))</f>
        <v/>
      </c>
      <c r="AC167">
        <f>IF(Y167=1,Q167-F167,"")</f>
        <v/>
      </c>
      <c r="AD167">
        <f>IF(Y167=1,AC167^2,"")</f>
        <v/>
      </c>
      <c r="AE167" s="19">
        <f>IF(Z167=1,(H167-M167)*I167,0)</f>
        <v/>
      </c>
      <c r="AF167">
        <f>IF(G167&lt;EDATE(Assumptions!$C$6,-12)+1,"prior_12m","last_12m")</f>
        <v/>
      </c>
      <c r="AG167" s="21">
        <f>DATE(YEAR(G167),MONTH(G167),1)</f>
        <v/>
      </c>
    </row>
    <row r="168">
      <c r="A168" t="inlineStr">
        <is>
          <t>SPO-00086-1</t>
        </is>
      </c>
      <c r="B168" t="inlineStr">
        <is>
          <t>SPO-00086</t>
        </is>
      </c>
      <c r="C168" t="inlineStr">
        <is>
          <t>SUP-01</t>
        </is>
      </c>
      <c r="D168" t="inlineStr">
        <is>
          <t>ELEC</t>
        </is>
      </c>
      <c r="E168" t="inlineStr">
        <is>
          <t>ELEC-08</t>
        </is>
      </c>
      <c r="F168" s="17" t="n">
        <v>45588</v>
      </c>
      <c r="G168" s="17" t="n">
        <v>45606</v>
      </c>
      <c r="H168" s="18" t="n">
        <v>201</v>
      </c>
      <c r="I168" s="19" t="n">
        <v>17.83</v>
      </c>
      <c r="J168" s="19" t="n">
        <v>18</v>
      </c>
      <c r="K168" s="20" t="n">
        <v>0</v>
      </c>
      <c r="L168" s="20" t="n">
        <v>0</v>
      </c>
      <c r="M168" s="18" t="n">
        <v>201</v>
      </c>
      <c r="N168" s="18" t="n">
        <v>201</v>
      </c>
      <c r="O168" s="18" t="n">
        <v>0</v>
      </c>
      <c r="P168" s="17" t="n">
        <v>45606</v>
      </c>
      <c r="Q168" s="17" t="n">
        <v>45606</v>
      </c>
      <c r="R168" s="17" t="n">
        <v>45606</v>
      </c>
      <c r="S168" s="19">
        <f>H168*I168</f>
        <v/>
      </c>
      <c r="T168" s="19">
        <f>H168*J168</f>
        <v/>
      </c>
      <c r="U168">
        <f>IF(AND(K168=0,G168&lt;=Assumptions!$C$6),1,0)</f>
        <v/>
      </c>
      <c r="V168">
        <f>IF(U168=1,IF(M168&gt;0,IF(P168&lt;=G168+Assumptions!$C$7,1,0),0),0)</f>
        <v/>
      </c>
      <c r="W168">
        <f>IF(AND(U168=1,M168&gt;=H168*(1-Assumptions!$C$8)),1,0)</f>
        <v/>
      </c>
      <c r="X168">
        <f>IF(AND(U168=1,N168&gt;=H168*(1-Assumptions!$C$8)),1,0)</f>
        <v/>
      </c>
      <c r="Y168">
        <f>IF(ISNUMBER(Q168),1,0)</f>
        <v/>
      </c>
      <c r="Z168">
        <f>IF(AND(K168=0,L168=0,Y168=0),1,0)</f>
        <v/>
      </c>
      <c r="AA168">
        <f>IF(AND(Z168=1,G168&lt;Assumptions!$C$6),1,0)</f>
        <v/>
      </c>
      <c r="AB168">
        <f>IF(U168=0,"",IF(Y168=1,MAX(0,Q168-G168),IF(L168=1,MAX(0,R168-G168),MAX(0,Assumptions!$C$6-G168))))</f>
        <v/>
      </c>
      <c r="AC168">
        <f>IF(Y168=1,Q168-F168,"")</f>
        <v/>
      </c>
      <c r="AD168">
        <f>IF(Y168=1,AC168^2,"")</f>
        <v/>
      </c>
      <c r="AE168" s="19">
        <f>IF(Z168=1,(H168-M168)*I168,0)</f>
        <v/>
      </c>
      <c r="AF168">
        <f>IF(G168&lt;EDATE(Assumptions!$C$6,-12)+1,"prior_12m","last_12m")</f>
        <v/>
      </c>
      <c r="AG168" s="21">
        <f>DATE(YEAR(G168),MONTH(G168),1)</f>
        <v/>
      </c>
    </row>
    <row r="169">
      <c r="A169" t="inlineStr">
        <is>
          <t>SPO-00087-1</t>
        </is>
      </c>
      <c r="B169" t="inlineStr">
        <is>
          <t>SPO-00087</t>
        </is>
      </c>
      <c r="C169" t="inlineStr">
        <is>
          <t>SUP-01</t>
        </is>
      </c>
      <c r="D169" t="inlineStr">
        <is>
          <t>ELEC</t>
        </is>
      </c>
      <c r="E169" t="inlineStr">
        <is>
          <t>ELEC-08</t>
        </is>
      </c>
      <c r="F169" s="17" t="n">
        <v>45588</v>
      </c>
      <c r="G169" s="17" t="n">
        <v>45606</v>
      </c>
      <c r="H169" s="18" t="n">
        <v>163</v>
      </c>
      <c r="I169" s="19" t="n">
        <v>17.97</v>
      </c>
      <c r="J169" s="19" t="n">
        <v>18</v>
      </c>
      <c r="K169" s="20" t="n">
        <v>0</v>
      </c>
      <c r="L169" s="20" t="n">
        <v>0</v>
      </c>
      <c r="M169" s="18" t="n">
        <v>163</v>
      </c>
      <c r="N169" s="18" t="n">
        <v>163</v>
      </c>
      <c r="O169" s="18" t="n">
        <v>0</v>
      </c>
      <c r="P169" s="17" t="n">
        <v>45602</v>
      </c>
      <c r="Q169" s="17" t="n">
        <v>45602</v>
      </c>
      <c r="R169" s="17" t="n">
        <v>45602</v>
      </c>
      <c r="S169" s="19">
        <f>H169*I169</f>
        <v/>
      </c>
      <c r="T169" s="19">
        <f>H169*J169</f>
        <v/>
      </c>
      <c r="U169">
        <f>IF(AND(K169=0,G169&lt;=Assumptions!$C$6),1,0)</f>
        <v/>
      </c>
      <c r="V169">
        <f>IF(U169=1,IF(M169&gt;0,IF(P169&lt;=G169+Assumptions!$C$7,1,0),0),0)</f>
        <v/>
      </c>
      <c r="W169">
        <f>IF(AND(U169=1,M169&gt;=H169*(1-Assumptions!$C$8)),1,0)</f>
        <v/>
      </c>
      <c r="X169">
        <f>IF(AND(U169=1,N169&gt;=H169*(1-Assumptions!$C$8)),1,0)</f>
        <v/>
      </c>
      <c r="Y169">
        <f>IF(ISNUMBER(Q169),1,0)</f>
        <v/>
      </c>
      <c r="Z169">
        <f>IF(AND(K169=0,L169=0,Y169=0),1,0)</f>
        <v/>
      </c>
      <c r="AA169">
        <f>IF(AND(Z169=1,G169&lt;Assumptions!$C$6),1,0)</f>
        <v/>
      </c>
      <c r="AB169">
        <f>IF(U169=0,"",IF(Y169=1,MAX(0,Q169-G169),IF(L169=1,MAX(0,R169-G169),MAX(0,Assumptions!$C$6-G169))))</f>
        <v/>
      </c>
      <c r="AC169">
        <f>IF(Y169=1,Q169-F169,"")</f>
        <v/>
      </c>
      <c r="AD169">
        <f>IF(Y169=1,AC169^2,"")</f>
        <v/>
      </c>
      <c r="AE169" s="19">
        <f>IF(Z169=1,(H169-M169)*I169,0)</f>
        <v/>
      </c>
      <c r="AF169">
        <f>IF(G169&lt;EDATE(Assumptions!$C$6,-12)+1,"prior_12m","last_12m")</f>
        <v/>
      </c>
      <c r="AG169" s="21">
        <f>DATE(YEAR(G169),MONTH(G169),1)</f>
        <v/>
      </c>
    </row>
    <row r="170">
      <c r="A170" t="inlineStr">
        <is>
          <t>SPO-00088-1</t>
        </is>
      </c>
      <c r="B170" t="inlineStr">
        <is>
          <t>SPO-00088</t>
        </is>
      </c>
      <c r="C170" t="inlineStr">
        <is>
          <t>SUP-04</t>
        </is>
      </c>
      <c r="D170" t="inlineStr">
        <is>
          <t>FLEET</t>
        </is>
      </c>
      <c r="E170" t="inlineStr">
        <is>
          <t>FLEET-02</t>
        </is>
      </c>
      <c r="F170" s="17" t="n">
        <v>45588</v>
      </c>
      <c r="G170" s="17" t="n">
        <v>45601</v>
      </c>
      <c r="H170" s="18" t="n">
        <v>401</v>
      </c>
      <c r="I170" s="19" t="n">
        <v>7.32</v>
      </c>
      <c r="J170" s="19" t="n">
        <v>7.5</v>
      </c>
      <c r="K170" s="20" t="n">
        <v>0</v>
      </c>
      <c r="L170" s="20" t="n">
        <v>0</v>
      </c>
      <c r="M170" s="18" t="n">
        <v>401</v>
      </c>
      <c r="N170" s="18" t="n">
        <v>401</v>
      </c>
      <c r="O170" s="18" t="n">
        <v>0</v>
      </c>
      <c r="P170" s="17" t="n">
        <v>45592</v>
      </c>
      <c r="Q170" s="17" t="n">
        <v>45592</v>
      </c>
      <c r="R170" s="17" t="n">
        <v>45592</v>
      </c>
      <c r="S170" s="19">
        <f>H170*I170</f>
        <v/>
      </c>
      <c r="T170" s="19">
        <f>H170*J170</f>
        <v/>
      </c>
      <c r="U170">
        <f>IF(AND(K170=0,G170&lt;=Assumptions!$C$6),1,0)</f>
        <v/>
      </c>
      <c r="V170">
        <f>IF(U170=1,IF(M170&gt;0,IF(P170&lt;=G170+Assumptions!$C$7,1,0),0),0)</f>
        <v/>
      </c>
      <c r="W170">
        <f>IF(AND(U170=1,M170&gt;=H170*(1-Assumptions!$C$8)),1,0)</f>
        <v/>
      </c>
      <c r="X170">
        <f>IF(AND(U170=1,N170&gt;=H170*(1-Assumptions!$C$8)),1,0)</f>
        <v/>
      </c>
      <c r="Y170">
        <f>IF(ISNUMBER(Q170),1,0)</f>
        <v/>
      </c>
      <c r="Z170">
        <f>IF(AND(K170=0,L170=0,Y170=0),1,0)</f>
        <v/>
      </c>
      <c r="AA170">
        <f>IF(AND(Z170=1,G170&lt;Assumptions!$C$6),1,0)</f>
        <v/>
      </c>
      <c r="AB170">
        <f>IF(U170=0,"",IF(Y170=1,MAX(0,Q170-G170),IF(L170=1,MAX(0,R170-G170),MAX(0,Assumptions!$C$6-G170))))</f>
        <v/>
      </c>
      <c r="AC170">
        <f>IF(Y170=1,Q170-F170,"")</f>
        <v/>
      </c>
      <c r="AD170">
        <f>IF(Y170=1,AC170^2,"")</f>
        <v/>
      </c>
      <c r="AE170" s="19">
        <f>IF(Z170=1,(H170-M170)*I170,0)</f>
        <v/>
      </c>
      <c r="AF170">
        <f>IF(G170&lt;EDATE(Assumptions!$C$6,-12)+1,"prior_12m","last_12m")</f>
        <v/>
      </c>
      <c r="AG170" s="21">
        <f>DATE(YEAR(G170),MONTH(G170),1)</f>
        <v/>
      </c>
    </row>
    <row r="171">
      <c r="A171" t="inlineStr">
        <is>
          <t>SPO-00088-2</t>
        </is>
      </c>
      <c r="B171" t="inlineStr">
        <is>
          <t>SPO-00088</t>
        </is>
      </c>
      <c r="C171" t="inlineStr">
        <is>
          <t>SUP-04</t>
        </is>
      </c>
      <c r="D171" t="inlineStr">
        <is>
          <t>FLEET</t>
        </is>
      </c>
      <c r="E171" t="inlineStr">
        <is>
          <t>FLEET-06</t>
        </is>
      </c>
      <c r="F171" s="17" t="n">
        <v>45588</v>
      </c>
      <c r="G171" s="17" t="n">
        <v>45601</v>
      </c>
      <c r="H171" s="18" t="n">
        <v>23</v>
      </c>
      <c r="I171" s="19" t="n">
        <v>33.2</v>
      </c>
      <c r="J171" s="19" t="n">
        <v>33</v>
      </c>
      <c r="K171" s="20" t="n">
        <v>0</v>
      </c>
      <c r="L171" s="20" t="n">
        <v>0</v>
      </c>
      <c r="M171" s="18" t="n">
        <v>23</v>
      </c>
      <c r="N171" s="18" t="n">
        <v>23</v>
      </c>
      <c r="O171" s="18" t="n">
        <v>0</v>
      </c>
      <c r="P171" s="17" t="n">
        <v>45594</v>
      </c>
      <c r="Q171" s="17" t="n">
        <v>45594</v>
      </c>
      <c r="R171" s="17" t="n">
        <v>45594</v>
      </c>
      <c r="S171" s="19">
        <f>H171*I171</f>
        <v/>
      </c>
      <c r="T171" s="19">
        <f>H171*J171</f>
        <v/>
      </c>
      <c r="U171">
        <f>IF(AND(K171=0,G171&lt;=Assumptions!$C$6),1,0)</f>
        <v/>
      </c>
      <c r="V171">
        <f>IF(U171=1,IF(M171&gt;0,IF(P171&lt;=G171+Assumptions!$C$7,1,0),0),0)</f>
        <v/>
      </c>
      <c r="W171">
        <f>IF(AND(U171=1,M171&gt;=H171*(1-Assumptions!$C$8)),1,0)</f>
        <v/>
      </c>
      <c r="X171">
        <f>IF(AND(U171=1,N171&gt;=H171*(1-Assumptions!$C$8)),1,0)</f>
        <v/>
      </c>
      <c r="Y171">
        <f>IF(ISNUMBER(Q171),1,0)</f>
        <v/>
      </c>
      <c r="Z171">
        <f>IF(AND(K171=0,L171=0,Y171=0),1,0)</f>
        <v/>
      </c>
      <c r="AA171">
        <f>IF(AND(Z171=1,G171&lt;Assumptions!$C$6),1,0)</f>
        <v/>
      </c>
      <c r="AB171">
        <f>IF(U171=0,"",IF(Y171=1,MAX(0,Q171-G171),IF(L171=1,MAX(0,R171-G171),MAX(0,Assumptions!$C$6-G171))))</f>
        <v/>
      </c>
      <c r="AC171">
        <f>IF(Y171=1,Q171-F171,"")</f>
        <v/>
      </c>
      <c r="AD171">
        <f>IF(Y171=1,AC171^2,"")</f>
        <v/>
      </c>
      <c r="AE171" s="19">
        <f>IF(Z171=1,(H171-M171)*I171,0)</f>
        <v/>
      </c>
      <c r="AF171">
        <f>IF(G171&lt;EDATE(Assumptions!$C$6,-12)+1,"prior_12m","last_12m")</f>
        <v/>
      </c>
      <c r="AG171" s="21">
        <f>DATE(YEAR(G171),MONTH(G171),1)</f>
        <v/>
      </c>
    </row>
    <row r="172">
      <c r="A172" t="inlineStr">
        <is>
          <t>SPO-00089-1</t>
        </is>
      </c>
      <c r="B172" t="inlineStr">
        <is>
          <t>SPO-00089</t>
        </is>
      </c>
      <c r="C172" t="inlineStr">
        <is>
          <t>SUP-04</t>
        </is>
      </c>
      <c r="D172" t="inlineStr">
        <is>
          <t>FLEET</t>
        </is>
      </c>
      <c r="E172" t="inlineStr">
        <is>
          <t>FLEET-01</t>
        </is>
      </c>
      <c r="F172" s="17" t="n">
        <v>45589</v>
      </c>
      <c r="G172" s="17" t="n">
        <v>45602</v>
      </c>
      <c r="H172" s="18" t="n">
        <v>69</v>
      </c>
      <c r="I172" s="19" t="n">
        <v>63.6</v>
      </c>
      <c r="J172" s="19" t="n">
        <v>64</v>
      </c>
      <c r="K172" s="20" t="n">
        <v>0</v>
      </c>
      <c r="L172" s="20" t="n">
        <v>0</v>
      </c>
      <c r="M172" s="18" t="n">
        <v>69</v>
      </c>
      <c r="N172" s="18" t="n">
        <v>69</v>
      </c>
      <c r="O172" s="18" t="n">
        <v>0</v>
      </c>
      <c r="P172" s="17" t="n">
        <v>45599</v>
      </c>
      <c r="Q172" s="17" t="n">
        <v>45599</v>
      </c>
      <c r="R172" s="17" t="n">
        <v>45599</v>
      </c>
      <c r="S172" s="19">
        <f>H172*I172</f>
        <v/>
      </c>
      <c r="T172" s="19">
        <f>H172*J172</f>
        <v/>
      </c>
      <c r="U172">
        <f>IF(AND(K172=0,G172&lt;=Assumptions!$C$6),1,0)</f>
        <v/>
      </c>
      <c r="V172">
        <f>IF(U172=1,IF(M172&gt;0,IF(P172&lt;=G172+Assumptions!$C$7,1,0),0),0)</f>
        <v/>
      </c>
      <c r="W172">
        <f>IF(AND(U172=1,M172&gt;=H172*(1-Assumptions!$C$8)),1,0)</f>
        <v/>
      </c>
      <c r="X172">
        <f>IF(AND(U172=1,N172&gt;=H172*(1-Assumptions!$C$8)),1,0)</f>
        <v/>
      </c>
      <c r="Y172">
        <f>IF(ISNUMBER(Q172),1,0)</f>
        <v/>
      </c>
      <c r="Z172">
        <f>IF(AND(K172=0,L172=0,Y172=0),1,0)</f>
        <v/>
      </c>
      <c r="AA172">
        <f>IF(AND(Z172=1,G172&lt;Assumptions!$C$6),1,0)</f>
        <v/>
      </c>
      <c r="AB172">
        <f>IF(U172=0,"",IF(Y172=1,MAX(0,Q172-G172),IF(L172=1,MAX(0,R172-G172),MAX(0,Assumptions!$C$6-G172))))</f>
        <v/>
      </c>
      <c r="AC172">
        <f>IF(Y172=1,Q172-F172,"")</f>
        <v/>
      </c>
      <c r="AD172">
        <f>IF(Y172=1,AC172^2,"")</f>
        <v/>
      </c>
      <c r="AE172" s="19">
        <f>IF(Z172=1,(H172-M172)*I172,0)</f>
        <v/>
      </c>
      <c r="AF172">
        <f>IF(G172&lt;EDATE(Assumptions!$C$6,-12)+1,"prior_12m","last_12m")</f>
        <v/>
      </c>
      <c r="AG172" s="21">
        <f>DATE(YEAR(G172),MONTH(G172),1)</f>
        <v/>
      </c>
    </row>
    <row r="173">
      <c r="A173" t="inlineStr">
        <is>
          <t>SPO-00090-1</t>
        </is>
      </c>
      <c r="B173" t="inlineStr">
        <is>
          <t>SPO-00090</t>
        </is>
      </c>
      <c r="C173" t="inlineStr">
        <is>
          <t>SUP-10</t>
        </is>
      </c>
      <c r="D173" t="inlineStr">
        <is>
          <t>PPE</t>
        </is>
      </c>
      <c r="E173" t="inlineStr">
        <is>
          <t>PPE-04</t>
        </is>
      </c>
      <c r="F173" s="17" t="n">
        <v>45589</v>
      </c>
      <c r="G173" s="17" t="n">
        <v>45602</v>
      </c>
      <c r="H173" s="18" t="n">
        <v>95</v>
      </c>
      <c r="I173" s="19" t="n">
        <v>26.51</v>
      </c>
      <c r="J173" s="19" t="n">
        <v>26</v>
      </c>
      <c r="K173" s="20" t="n">
        <v>0</v>
      </c>
      <c r="L173" s="20" t="n">
        <v>0</v>
      </c>
      <c r="M173" s="18" t="n">
        <v>95</v>
      </c>
      <c r="N173" s="18" t="n">
        <v>95</v>
      </c>
      <c r="O173" s="18" t="n">
        <v>0</v>
      </c>
      <c r="P173" s="17" t="n">
        <v>45600</v>
      </c>
      <c r="Q173" s="17" t="n">
        <v>45600</v>
      </c>
      <c r="R173" s="17" t="n">
        <v>45600</v>
      </c>
      <c r="S173" s="19">
        <f>H173*I173</f>
        <v/>
      </c>
      <c r="T173" s="19">
        <f>H173*J173</f>
        <v/>
      </c>
      <c r="U173">
        <f>IF(AND(K173=0,G173&lt;=Assumptions!$C$6),1,0)</f>
        <v/>
      </c>
      <c r="V173">
        <f>IF(U173=1,IF(M173&gt;0,IF(P173&lt;=G173+Assumptions!$C$7,1,0),0),0)</f>
        <v/>
      </c>
      <c r="W173">
        <f>IF(AND(U173=1,M173&gt;=H173*(1-Assumptions!$C$8)),1,0)</f>
        <v/>
      </c>
      <c r="X173">
        <f>IF(AND(U173=1,N173&gt;=H173*(1-Assumptions!$C$8)),1,0)</f>
        <v/>
      </c>
      <c r="Y173">
        <f>IF(ISNUMBER(Q173),1,0)</f>
        <v/>
      </c>
      <c r="Z173">
        <f>IF(AND(K173=0,L173=0,Y173=0),1,0)</f>
        <v/>
      </c>
      <c r="AA173">
        <f>IF(AND(Z173=1,G173&lt;Assumptions!$C$6),1,0)</f>
        <v/>
      </c>
      <c r="AB173">
        <f>IF(U173=0,"",IF(Y173=1,MAX(0,Q173-G173),IF(L173=1,MAX(0,R173-G173),MAX(0,Assumptions!$C$6-G173))))</f>
        <v/>
      </c>
      <c r="AC173">
        <f>IF(Y173=1,Q173-F173,"")</f>
        <v/>
      </c>
      <c r="AD173">
        <f>IF(Y173=1,AC173^2,"")</f>
        <v/>
      </c>
      <c r="AE173" s="19">
        <f>IF(Z173=1,(H173-M173)*I173,0)</f>
        <v/>
      </c>
      <c r="AF173">
        <f>IF(G173&lt;EDATE(Assumptions!$C$6,-12)+1,"prior_12m","last_12m")</f>
        <v/>
      </c>
      <c r="AG173" s="21">
        <f>DATE(YEAR(G173),MONTH(G173),1)</f>
        <v/>
      </c>
    </row>
    <row r="174">
      <c r="A174" t="inlineStr">
        <is>
          <t>SPO-00090-2</t>
        </is>
      </c>
      <c r="B174" t="inlineStr">
        <is>
          <t>SPO-00090</t>
        </is>
      </c>
      <c r="C174" t="inlineStr">
        <is>
          <t>SUP-10</t>
        </is>
      </c>
      <c r="D174" t="inlineStr">
        <is>
          <t>PPE</t>
        </is>
      </c>
      <c r="E174" t="inlineStr">
        <is>
          <t>PPE-07</t>
        </is>
      </c>
      <c r="F174" s="17" t="n">
        <v>45589</v>
      </c>
      <c r="G174" s="17" t="n">
        <v>45602</v>
      </c>
      <c r="H174" s="18" t="n">
        <v>49</v>
      </c>
      <c r="I174" s="19" t="n">
        <v>29.11</v>
      </c>
      <c r="J174" s="19" t="n">
        <v>31</v>
      </c>
      <c r="K174" s="20" t="n">
        <v>0</v>
      </c>
      <c r="L174" s="20" t="n">
        <v>0</v>
      </c>
      <c r="M174" s="18" t="n">
        <v>49</v>
      </c>
      <c r="N174" s="18" t="n">
        <v>49</v>
      </c>
      <c r="O174" s="18" t="n">
        <v>13</v>
      </c>
      <c r="P174" s="17" t="n">
        <v>45596</v>
      </c>
      <c r="Q174" s="17" t="n">
        <v>45596</v>
      </c>
      <c r="R174" s="17" t="n">
        <v>45596</v>
      </c>
      <c r="S174" s="19">
        <f>H174*I174</f>
        <v/>
      </c>
      <c r="T174" s="19">
        <f>H174*J174</f>
        <v/>
      </c>
      <c r="U174">
        <f>IF(AND(K174=0,G174&lt;=Assumptions!$C$6),1,0)</f>
        <v/>
      </c>
      <c r="V174">
        <f>IF(U174=1,IF(M174&gt;0,IF(P174&lt;=G174+Assumptions!$C$7,1,0),0),0)</f>
        <v/>
      </c>
      <c r="W174">
        <f>IF(AND(U174=1,M174&gt;=H174*(1-Assumptions!$C$8)),1,0)</f>
        <v/>
      </c>
      <c r="X174">
        <f>IF(AND(U174=1,N174&gt;=H174*(1-Assumptions!$C$8)),1,0)</f>
        <v/>
      </c>
      <c r="Y174">
        <f>IF(ISNUMBER(Q174),1,0)</f>
        <v/>
      </c>
      <c r="Z174">
        <f>IF(AND(K174=0,L174=0,Y174=0),1,0)</f>
        <v/>
      </c>
      <c r="AA174">
        <f>IF(AND(Z174=1,G174&lt;Assumptions!$C$6),1,0)</f>
        <v/>
      </c>
      <c r="AB174">
        <f>IF(U174=0,"",IF(Y174=1,MAX(0,Q174-G174),IF(L174=1,MAX(0,R174-G174),MAX(0,Assumptions!$C$6-G174))))</f>
        <v/>
      </c>
      <c r="AC174">
        <f>IF(Y174=1,Q174-F174,"")</f>
        <v/>
      </c>
      <c r="AD174">
        <f>IF(Y174=1,AC174^2,"")</f>
        <v/>
      </c>
      <c r="AE174" s="19">
        <f>IF(Z174=1,(H174-M174)*I174,0)</f>
        <v/>
      </c>
      <c r="AF174">
        <f>IF(G174&lt;EDATE(Assumptions!$C$6,-12)+1,"prior_12m","last_12m")</f>
        <v/>
      </c>
      <c r="AG174" s="21">
        <f>DATE(YEAR(G174),MONTH(G174),1)</f>
        <v/>
      </c>
    </row>
    <row r="175">
      <c r="A175" t="inlineStr">
        <is>
          <t>SPO-00090-3</t>
        </is>
      </c>
      <c r="B175" t="inlineStr">
        <is>
          <t>SPO-00090</t>
        </is>
      </c>
      <c r="C175" t="inlineStr">
        <is>
          <t>SUP-10</t>
        </is>
      </c>
      <c r="D175" t="inlineStr">
        <is>
          <t>PPE</t>
        </is>
      </c>
      <c r="E175" t="inlineStr">
        <is>
          <t>PPE-01</t>
        </is>
      </c>
      <c r="F175" s="17" t="n">
        <v>45589</v>
      </c>
      <c r="G175" s="17" t="n">
        <v>45602</v>
      </c>
      <c r="H175" s="18" t="n">
        <v>750</v>
      </c>
      <c r="I175" s="19" t="n">
        <v>4.93</v>
      </c>
      <c r="J175" s="19" t="n">
        <v>4.8</v>
      </c>
      <c r="K175" s="20" t="n">
        <v>0</v>
      </c>
      <c r="L175" s="20" t="n">
        <v>0</v>
      </c>
      <c r="M175" s="18" t="n">
        <v>750</v>
      </c>
      <c r="N175" s="18" t="n">
        <v>750</v>
      </c>
      <c r="O175" s="18" t="n">
        <v>0</v>
      </c>
      <c r="P175" s="17" t="n">
        <v>45599</v>
      </c>
      <c r="Q175" s="17" t="n">
        <v>45599</v>
      </c>
      <c r="R175" s="17" t="n">
        <v>45599</v>
      </c>
      <c r="S175" s="19">
        <f>H175*I175</f>
        <v/>
      </c>
      <c r="T175" s="19">
        <f>H175*J175</f>
        <v/>
      </c>
      <c r="U175">
        <f>IF(AND(K175=0,G175&lt;=Assumptions!$C$6),1,0)</f>
        <v/>
      </c>
      <c r="V175">
        <f>IF(U175=1,IF(M175&gt;0,IF(P175&lt;=G175+Assumptions!$C$7,1,0),0),0)</f>
        <v/>
      </c>
      <c r="W175">
        <f>IF(AND(U175=1,M175&gt;=H175*(1-Assumptions!$C$8)),1,0)</f>
        <v/>
      </c>
      <c r="X175">
        <f>IF(AND(U175=1,N175&gt;=H175*(1-Assumptions!$C$8)),1,0)</f>
        <v/>
      </c>
      <c r="Y175">
        <f>IF(ISNUMBER(Q175),1,0)</f>
        <v/>
      </c>
      <c r="Z175">
        <f>IF(AND(K175=0,L175=0,Y175=0),1,0)</f>
        <v/>
      </c>
      <c r="AA175">
        <f>IF(AND(Z175=1,G175&lt;Assumptions!$C$6),1,0)</f>
        <v/>
      </c>
      <c r="AB175">
        <f>IF(U175=0,"",IF(Y175=1,MAX(0,Q175-G175),IF(L175=1,MAX(0,R175-G175),MAX(0,Assumptions!$C$6-G175))))</f>
        <v/>
      </c>
      <c r="AC175">
        <f>IF(Y175=1,Q175-F175,"")</f>
        <v/>
      </c>
      <c r="AD175">
        <f>IF(Y175=1,AC175^2,"")</f>
        <v/>
      </c>
      <c r="AE175" s="19">
        <f>IF(Z175=1,(H175-M175)*I175,0)</f>
        <v/>
      </c>
      <c r="AF175">
        <f>IF(G175&lt;EDATE(Assumptions!$C$6,-12)+1,"prior_12m","last_12m")</f>
        <v/>
      </c>
      <c r="AG175" s="21">
        <f>DATE(YEAR(G175),MONTH(G175),1)</f>
        <v/>
      </c>
    </row>
    <row r="176">
      <c r="A176" t="inlineStr">
        <is>
          <t>SPO-00091-1</t>
        </is>
      </c>
      <c r="B176" t="inlineStr">
        <is>
          <t>SPO-00091</t>
        </is>
      </c>
      <c r="C176" t="inlineStr">
        <is>
          <t>SUP-09</t>
        </is>
      </c>
      <c r="D176" t="inlineStr">
        <is>
          <t>CHEM</t>
        </is>
      </c>
      <c r="E176" t="inlineStr">
        <is>
          <t>CHEM-01</t>
        </is>
      </c>
      <c r="F176" s="17" t="n">
        <v>45589</v>
      </c>
      <c r="G176" s="17" t="n">
        <v>45603</v>
      </c>
      <c r="H176" s="18" t="n">
        <v>4</v>
      </c>
      <c r="I176" s="19" t="n">
        <v>662.25</v>
      </c>
      <c r="J176" s="19" t="n">
        <v>640</v>
      </c>
      <c r="K176" s="20" t="n">
        <v>0</v>
      </c>
      <c r="L176" s="20" t="n">
        <v>0</v>
      </c>
      <c r="M176" s="18" t="n">
        <v>4</v>
      </c>
      <c r="N176" s="18" t="n">
        <v>4</v>
      </c>
      <c r="O176" s="18" t="n">
        <v>0</v>
      </c>
      <c r="P176" s="17" t="n">
        <v>45601</v>
      </c>
      <c r="Q176" s="17" t="n">
        <v>45601</v>
      </c>
      <c r="R176" s="17" t="n">
        <v>45601</v>
      </c>
      <c r="S176" s="19">
        <f>H176*I176</f>
        <v/>
      </c>
      <c r="T176" s="19">
        <f>H176*J176</f>
        <v/>
      </c>
      <c r="U176">
        <f>IF(AND(K176=0,G176&lt;=Assumptions!$C$6),1,0)</f>
        <v/>
      </c>
      <c r="V176">
        <f>IF(U176=1,IF(M176&gt;0,IF(P176&lt;=G176+Assumptions!$C$7,1,0),0),0)</f>
        <v/>
      </c>
      <c r="W176">
        <f>IF(AND(U176=1,M176&gt;=H176*(1-Assumptions!$C$8)),1,0)</f>
        <v/>
      </c>
      <c r="X176">
        <f>IF(AND(U176=1,N176&gt;=H176*(1-Assumptions!$C$8)),1,0)</f>
        <v/>
      </c>
      <c r="Y176">
        <f>IF(ISNUMBER(Q176),1,0)</f>
        <v/>
      </c>
      <c r="Z176">
        <f>IF(AND(K176=0,L176=0,Y176=0),1,0)</f>
        <v/>
      </c>
      <c r="AA176">
        <f>IF(AND(Z176=1,G176&lt;Assumptions!$C$6),1,0)</f>
        <v/>
      </c>
      <c r="AB176">
        <f>IF(U176=0,"",IF(Y176=1,MAX(0,Q176-G176),IF(L176=1,MAX(0,R176-G176),MAX(0,Assumptions!$C$6-G176))))</f>
        <v/>
      </c>
      <c r="AC176">
        <f>IF(Y176=1,Q176-F176,"")</f>
        <v/>
      </c>
      <c r="AD176">
        <f>IF(Y176=1,AC176^2,"")</f>
        <v/>
      </c>
      <c r="AE176" s="19">
        <f>IF(Z176=1,(H176-M176)*I176,0)</f>
        <v/>
      </c>
      <c r="AF176">
        <f>IF(G176&lt;EDATE(Assumptions!$C$6,-12)+1,"prior_12m","last_12m")</f>
        <v/>
      </c>
      <c r="AG176" s="21">
        <f>DATE(YEAR(G176),MONTH(G176),1)</f>
        <v/>
      </c>
    </row>
    <row r="177">
      <c r="A177" t="inlineStr">
        <is>
          <t>SPO-00091-2</t>
        </is>
      </c>
      <c r="B177" t="inlineStr">
        <is>
          <t>SPO-00091</t>
        </is>
      </c>
      <c r="C177" t="inlineStr">
        <is>
          <t>SUP-09</t>
        </is>
      </c>
      <c r="D177" t="inlineStr">
        <is>
          <t>CHEM</t>
        </is>
      </c>
      <c r="E177" t="inlineStr">
        <is>
          <t>CHEM-05</t>
        </is>
      </c>
      <c r="F177" s="17" t="n">
        <v>45589</v>
      </c>
      <c r="G177" s="17" t="n">
        <v>45603</v>
      </c>
      <c r="H177" s="18" t="n">
        <v>1</v>
      </c>
      <c r="I177" s="19" t="n">
        <v>972.9400000000001</v>
      </c>
      <c r="J177" s="19" t="n">
        <v>930</v>
      </c>
      <c r="K177" s="20" t="n">
        <v>0</v>
      </c>
      <c r="L177" s="20" t="n">
        <v>0</v>
      </c>
      <c r="M177" s="18" t="n">
        <v>1</v>
      </c>
      <c r="N177" s="18" t="n">
        <v>1</v>
      </c>
      <c r="O177" s="18" t="n">
        <v>0</v>
      </c>
      <c r="P177" s="17" t="n">
        <v>45603</v>
      </c>
      <c r="Q177" s="17" t="n">
        <v>45603</v>
      </c>
      <c r="R177" s="17" t="n">
        <v>45603</v>
      </c>
      <c r="S177" s="19">
        <f>H177*I177</f>
        <v/>
      </c>
      <c r="T177" s="19">
        <f>H177*J177</f>
        <v/>
      </c>
      <c r="U177">
        <f>IF(AND(K177=0,G177&lt;=Assumptions!$C$6),1,0)</f>
        <v/>
      </c>
      <c r="V177">
        <f>IF(U177=1,IF(M177&gt;0,IF(P177&lt;=G177+Assumptions!$C$7,1,0),0),0)</f>
        <v/>
      </c>
      <c r="W177">
        <f>IF(AND(U177=1,M177&gt;=H177*(1-Assumptions!$C$8)),1,0)</f>
        <v/>
      </c>
      <c r="X177">
        <f>IF(AND(U177=1,N177&gt;=H177*(1-Assumptions!$C$8)),1,0)</f>
        <v/>
      </c>
      <c r="Y177">
        <f>IF(ISNUMBER(Q177),1,0)</f>
        <v/>
      </c>
      <c r="Z177">
        <f>IF(AND(K177=0,L177=0,Y177=0),1,0)</f>
        <v/>
      </c>
      <c r="AA177">
        <f>IF(AND(Z177=1,G177&lt;Assumptions!$C$6),1,0)</f>
        <v/>
      </c>
      <c r="AB177">
        <f>IF(U177=0,"",IF(Y177=1,MAX(0,Q177-G177),IF(L177=1,MAX(0,R177-G177),MAX(0,Assumptions!$C$6-G177))))</f>
        <v/>
      </c>
      <c r="AC177">
        <f>IF(Y177=1,Q177-F177,"")</f>
        <v/>
      </c>
      <c r="AD177">
        <f>IF(Y177=1,AC177^2,"")</f>
        <v/>
      </c>
      <c r="AE177" s="19">
        <f>IF(Z177=1,(H177-M177)*I177,0)</f>
        <v/>
      </c>
      <c r="AF177">
        <f>IF(G177&lt;EDATE(Assumptions!$C$6,-12)+1,"prior_12m","last_12m")</f>
        <v/>
      </c>
      <c r="AG177" s="21">
        <f>DATE(YEAR(G177),MONTH(G177),1)</f>
        <v/>
      </c>
    </row>
    <row r="178">
      <c r="A178" t="inlineStr">
        <is>
          <t>SPO-00091-3</t>
        </is>
      </c>
      <c r="B178" t="inlineStr">
        <is>
          <t>SPO-00091</t>
        </is>
      </c>
      <c r="C178" t="inlineStr">
        <is>
          <t>SUP-09</t>
        </is>
      </c>
      <c r="D178" t="inlineStr">
        <is>
          <t>CHEM</t>
        </is>
      </c>
      <c r="E178" t="inlineStr">
        <is>
          <t>CHEM-04</t>
        </is>
      </c>
      <c r="F178" s="17" t="n">
        <v>45589</v>
      </c>
      <c r="G178" s="17" t="n">
        <v>45603</v>
      </c>
      <c r="H178" s="18" t="n">
        <v>3</v>
      </c>
      <c r="I178" s="19" t="n">
        <v>833.45</v>
      </c>
      <c r="J178" s="19" t="n">
        <v>820</v>
      </c>
      <c r="K178" s="20" t="n">
        <v>0</v>
      </c>
      <c r="L178" s="20" t="n">
        <v>0</v>
      </c>
      <c r="M178" s="18" t="n">
        <v>3</v>
      </c>
      <c r="N178" s="18" t="n">
        <v>3</v>
      </c>
      <c r="O178" s="18" t="n">
        <v>0</v>
      </c>
      <c r="P178" s="17" t="n">
        <v>45601</v>
      </c>
      <c r="Q178" s="17" t="n">
        <v>45601</v>
      </c>
      <c r="R178" s="17" t="n">
        <v>45601</v>
      </c>
      <c r="S178" s="19">
        <f>H178*I178</f>
        <v/>
      </c>
      <c r="T178" s="19">
        <f>H178*J178</f>
        <v/>
      </c>
      <c r="U178">
        <f>IF(AND(K178=0,G178&lt;=Assumptions!$C$6),1,0)</f>
        <v/>
      </c>
      <c r="V178">
        <f>IF(U178=1,IF(M178&gt;0,IF(P178&lt;=G178+Assumptions!$C$7,1,0),0),0)</f>
        <v/>
      </c>
      <c r="W178">
        <f>IF(AND(U178=1,M178&gt;=H178*(1-Assumptions!$C$8)),1,0)</f>
        <v/>
      </c>
      <c r="X178">
        <f>IF(AND(U178=1,N178&gt;=H178*(1-Assumptions!$C$8)),1,0)</f>
        <v/>
      </c>
      <c r="Y178">
        <f>IF(ISNUMBER(Q178),1,0)</f>
        <v/>
      </c>
      <c r="Z178">
        <f>IF(AND(K178=0,L178=0,Y178=0),1,0)</f>
        <v/>
      </c>
      <c r="AA178">
        <f>IF(AND(Z178=1,G178&lt;Assumptions!$C$6),1,0)</f>
        <v/>
      </c>
      <c r="AB178">
        <f>IF(U178=0,"",IF(Y178=1,MAX(0,Q178-G178),IF(L178=1,MAX(0,R178-G178),MAX(0,Assumptions!$C$6-G178))))</f>
        <v/>
      </c>
      <c r="AC178">
        <f>IF(Y178=1,Q178-F178,"")</f>
        <v/>
      </c>
      <c r="AD178">
        <f>IF(Y178=1,AC178^2,"")</f>
        <v/>
      </c>
      <c r="AE178" s="19">
        <f>IF(Z178=1,(H178-M178)*I178,0)</f>
        <v/>
      </c>
      <c r="AF178">
        <f>IF(G178&lt;EDATE(Assumptions!$C$6,-12)+1,"prior_12m","last_12m")</f>
        <v/>
      </c>
      <c r="AG178" s="21">
        <f>DATE(YEAR(G178),MONTH(G178),1)</f>
        <v/>
      </c>
    </row>
    <row r="179">
      <c r="A179" t="inlineStr">
        <is>
          <t>SPO-00091-4</t>
        </is>
      </c>
      <c r="B179" t="inlineStr">
        <is>
          <t>SPO-00091</t>
        </is>
      </c>
      <c r="C179" t="inlineStr">
        <is>
          <t>SUP-09</t>
        </is>
      </c>
      <c r="D179" t="inlineStr">
        <is>
          <t>CHEM</t>
        </is>
      </c>
      <c r="E179" t="inlineStr">
        <is>
          <t>CHEM-02</t>
        </is>
      </c>
      <c r="F179" s="17" t="n">
        <v>45589</v>
      </c>
      <c r="G179" s="17" t="n">
        <v>45603</v>
      </c>
      <c r="H179" s="18" t="n">
        <v>5</v>
      </c>
      <c r="I179" s="19" t="n">
        <v>431.8</v>
      </c>
      <c r="J179" s="19" t="n">
        <v>410</v>
      </c>
      <c r="K179" s="20" t="n">
        <v>0</v>
      </c>
      <c r="L179" s="20" t="n">
        <v>0</v>
      </c>
      <c r="M179" s="18" t="n">
        <v>5</v>
      </c>
      <c r="N179" s="18" t="n">
        <v>5</v>
      </c>
      <c r="O179" s="18" t="n">
        <v>0</v>
      </c>
      <c r="P179" s="17" t="n">
        <v>45602</v>
      </c>
      <c r="Q179" s="17" t="n">
        <v>45602</v>
      </c>
      <c r="R179" s="17" t="n">
        <v>45602</v>
      </c>
      <c r="S179" s="19">
        <f>H179*I179</f>
        <v/>
      </c>
      <c r="T179" s="19">
        <f>H179*J179</f>
        <v/>
      </c>
      <c r="U179">
        <f>IF(AND(K179=0,G179&lt;=Assumptions!$C$6),1,0)</f>
        <v/>
      </c>
      <c r="V179">
        <f>IF(U179=1,IF(M179&gt;0,IF(P179&lt;=G179+Assumptions!$C$7,1,0),0),0)</f>
        <v/>
      </c>
      <c r="W179">
        <f>IF(AND(U179=1,M179&gt;=H179*(1-Assumptions!$C$8)),1,0)</f>
        <v/>
      </c>
      <c r="X179">
        <f>IF(AND(U179=1,N179&gt;=H179*(1-Assumptions!$C$8)),1,0)</f>
        <v/>
      </c>
      <c r="Y179">
        <f>IF(ISNUMBER(Q179),1,0)</f>
        <v/>
      </c>
      <c r="Z179">
        <f>IF(AND(K179=0,L179=0,Y179=0),1,0)</f>
        <v/>
      </c>
      <c r="AA179">
        <f>IF(AND(Z179=1,G179&lt;Assumptions!$C$6),1,0)</f>
        <v/>
      </c>
      <c r="AB179">
        <f>IF(U179=0,"",IF(Y179=1,MAX(0,Q179-G179),IF(L179=1,MAX(0,R179-G179),MAX(0,Assumptions!$C$6-G179))))</f>
        <v/>
      </c>
      <c r="AC179">
        <f>IF(Y179=1,Q179-F179,"")</f>
        <v/>
      </c>
      <c r="AD179">
        <f>IF(Y179=1,AC179^2,"")</f>
        <v/>
      </c>
      <c r="AE179" s="19">
        <f>IF(Z179=1,(H179-M179)*I179,0)</f>
        <v/>
      </c>
      <c r="AF179">
        <f>IF(G179&lt;EDATE(Assumptions!$C$6,-12)+1,"prior_12m","last_12m")</f>
        <v/>
      </c>
      <c r="AG179" s="21">
        <f>DATE(YEAR(G179),MONTH(G179),1)</f>
        <v/>
      </c>
    </row>
    <row r="180">
      <c r="A180" t="inlineStr">
        <is>
          <t>SPO-00092-1</t>
        </is>
      </c>
      <c r="B180" t="inlineStr">
        <is>
          <t>SPO-00092</t>
        </is>
      </c>
      <c r="C180" t="inlineStr">
        <is>
          <t>SUP-08</t>
        </is>
      </c>
      <c r="D180" t="inlineStr">
        <is>
          <t>PPE</t>
        </is>
      </c>
      <c r="E180" t="inlineStr">
        <is>
          <t>PPE-05</t>
        </is>
      </c>
      <c r="F180" s="17" t="n">
        <v>45589</v>
      </c>
      <c r="G180" s="17" t="n">
        <v>45600</v>
      </c>
      <c r="H180" s="18" t="n">
        <v>144</v>
      </c>
      <c r="I180" s="19" t="n">
        <v>10.98</v>
      </c>
      <c r="J180" s="19" t="n">
        <v>11</v>
      </c>
      <c r="K180" s="20" t="n">
        <v>0</v>
      </c>
      <c r="L180" s="20" t="n">
        <v>0</v>
      </c>
      <c r="M180" s="18" t="n">
        <v>144</v>
      </c>
      <c r="N180" s="18" t="n">
        <v>144</v>
      </c>
      <c r="O180" s="18" t="n">
        <v>0</v>
      </c>
      <c r="P180" s="17" t="n">
        <v>45596</v>
      </c>
      <c r="Q180" s="17" t="n">
        <v>45596</v>
      </c>
      <c r="R180" s="17" t="n">
        <v>45596</v>
      </c>
      <c r="S180" s="19">
        <f>H180*I180</f>
        <v/>
      </c>
      <c r="T180" s="19">
        <f>H180*J180</f>
        <v/>
      </c>
      <c r="U180">
        <f>IF(AND(K180=0,G180&lt;=Assumptions!$C$6),1,0)</f>
        <v/>
      </c>
      <c r="V180">
        <f>IF(U180=1,IF(M180&gt;0,IF(P180&lt;=G180+Assumptions!$C$7,1,0),0),0)</f>
        <v/>
      </c>
      <c r="W180">
        <f>IF(AND(U180=1,M180&gt;=H180*(1-Assumptions!$C$8)),1,0)</f>
        <v/>
      </c>
      <c r="X180">
        <f>IF(AND(U180=1,N180&gt;=H180*(1-Assumptions!$C$8)),1,0)</f>
        <v/>
      </c>
      <c r="Y180">
        <f>IF(ISNUMBER(Q180),1,0)</f>
        <v/>
      </c>
      <c r="Z180">
        <f>IF(AND(K180=0,L180=0,Y180=0),1,0)</f>
        <v/>
      </c>
      <c r="AA180">
        <f>IF(AND(Z180=1,G180&lt;Assumptions!$C$6),1,0)</f>
        <v/>
      </c>
      <c r="AB180">
        <f>IF(U180=0,"",IF(Y180=1,MAX(0,Q180-G180),IF(L180=1,MAX(0,R180-G180),MAX(0,Assumptions!$C$6-G180))))</f>
        <v/>
      </c>
      <c r="AC180">
        <f>IF(Y180=1,Q180-F180,"")</f>
        <v/>
      </c>
      <c r="AD180">
        <f>IF(Y180=1,AC180^2,"")</f>
        <v/>
      </c>
      <c r="AE180" s="19">
        <f>IF(Z180=1,(H180-M180)*I180,0)</f>
        <v/>
      </c>
      <c r="AF180">
        <f>IF(G180&lt;EDATE(Assumptions!$C$6,-12)+1,"prior_12m","last_12m")</f>
        <v/>
      </c>
      <c r="AG180" s="21">
        <f>DATE(YEAR(G180),MONTH(G180),1)</f>
        <v/>
      </c>
    </row>
    <row r="181">
      <c r="A181" t="inlineStr">
        <is>
          <t>SPO-00093-1</t>
        </is>
      </c>
      <c r="B181" t="inlineStr">
        <is>
          <t>SPO-00093</t>
        </is>
      </c>
      <c r="C181" t="inlineStr">
        <is>
          <t>SUP-01</t>
        </is>
      </c>
      <c r="D181" t="inlineStr">
        <is>
          <t>ELEC</t>
        </is>
      </c>
      <c r="E181" t="inlineStr">
        <is>
          <t>ELEC-03</t>
        </is>
      </c>
      <c r="F181" s="17" t="n">
        <v>45589</v>
      </c>
      <c r="G181" s="17" t="n">
        <v>45607</v>
      </c>
      <c r="H181" s="18" t="n">
        <v>28</v>
      </c>
      <c r="I181" s="19" t="n">
        <v>95.19</v>
      </c>
      <c r="J181" s="19" t="n">
        <v>96</v>
      </c>
      <c r="K181" s="20" t="n">
        <v>0</v>
      </c>
      <c r="L181" s="20" t="n">
        <v>0</v>
      </c>
      <c r="M181" s="18" t="n">
        <v>28</v>
      </c>
      <c r="N181" s="18" t="n">
        <v>28</v>
      </c>
      <c r="O181" s="18" t="n">
        <v>0</v>
      </c>
      <c r="P181" s="17" t="n">
        <v>45603</v>
      </c>
      <c r="Q181" s="17" t="n">
        <v>45603</v>
      </c>
      <c r="R181" s="17" t="n">
        <v>45603</v>
      </c>
      <c r="S181" s="19">
        <f>H181*I181</f>
        <v/>
      </c>
      <c r="T181" s="19">
        <f>H181*J181</f>
        <v/>
      </c>
      <c r="U181">
        <f>IF(AND(K181=0,G181&lt;=Assumptions!$C$6),1,0)</f>
        <v/>
      </c>
      <c r="V181">
        <f>IF(U181=1,IF(M181&gt;0,IF(P181&lt;=G181+Assumptions!$C$7,1,0),0),0)</f>
        <v/>
      </c>
      <c r="W181">
        <f>IF(AND(U181=1,M181&gt;=H181*(1-Assumptions!$C$8)),1,0)</f>
        <v/>
      </c>
      <c r="X181">
        <f>IF(AND(U181=1,N181&gt;=H181*(1-Assumptions!$C$8)),1,0)</f>
        <v/>
      </c>
      <c r="Y181">
        <f>IF(ISNUMBER(Q181),1,0)</f>
        <v/>
      </c>
      <c r="Z181">
        <f>IF(AND(K181=0,L181=0,Y181=0),1,0)</f>
        <v/>
      </c>
      <c r="AA181">
        <f>IF(AND(Z181=1,G181&lt;Assumptions!$C$6),1,0)</f>
        <v/>
      </c>
      <c r="AB181">
        <f>IF(U181=0,"",IF(Y181=1,MAX(0,Q181-G181),IF(L181=1,MAX(0,R181-G181),MAX(0,Assumptions!$C$6-G181))))</f>
        <v/>
      </c>
      <c r="AC181">
        <f>IF(Y181=1,Q181-F181,"")</f>
        <v/>
      </c>
      <c r="AD181">
        <f>IF(Y181=1,AC181^2,"")</f>
        <v/>
      </c>
      <c r="AE181" s="19">
        <f>IF(Z181=1,(H181-M181)*I181,0)</f>
        <v/>
      </c>
      <c r="AF181">
        <f>IF(G181&lt;EDATE(Assumptions!$C$6,-12)+1,"prior_12m","last_12m")</f>
        <v/>
      </c>
      <c r="AG181" s="21">
        <f>DATE(YEAR(G181),MONTH(G181),1)</f>
        <v/>
      </c>
    </row>
    <row r="182">
      <c r="A182" t="inlineStr">
        <is>
          <t>SPO-00093-2</t>
        </is>
      </c>
      <c r="B182" t="inlineStr">
        <is>
          <t>SPO-00093</t>
        </is>
      </c>
      <c r="C182" t="inlineStr">
        <is>
          <t>SUP-01</t>
        </is>
      </c>
      <c r="D182" t="inlineStr">
        <is>
          <t>ELEC</t>
        </is>
      </c>
      <c r="E182" t="inlineStr">
        <is>
          <t>ELEC-05</t>
        </is>
      </c>
      <c r="F182" s="17" t="n">
        <v>45589</v>
      </c>
      <c r="G182" s="17" t="n">
        <v>45607</v>
      </c>
      <c r="H182" s="18" t="n">
        <v>343</v>
      </c>
      <c r="I182" s="19" t="n">
        <v>12.11</v>
      </c>
      <c r="J182" s="19" t="n">
        <v>11.5</v>
      </c>
      <c r="K182" s="20" t="n">
        <v>0</v>
      </c>
      <c r="L182" s="20" t="n">
        <v>0</v>
      </c>
      <c r="M182" s="18" t="n">
        <v>343</v>
      </c>
      <c r="N182" s="18" t="n">
        <v>343</v>
      </c>
      <c r="O182" s="18" t="n">
        <v>33</v>
      </c>
      <c r="P182" s="17" t="n">
        <v>45603</v>
      </c>
      <c r="Q182" s="17" t="n">
        <v>45603</v>
      </c>
      <c r="R182" s="17" t="n">
        <v>45603</v>
      </c>
      <c r="S182" s="19">
        <f>H182*I182</f>
        <v/>
      </c>
      <c r="T182" s="19">
        <f>H182*J182</f>
        <v/>
      </c>
      <c r="U182">
        <f>IF(AND(K182=0,G182&lt;=Assumptions!$C$6),1,0)</f>
        <v/>
      </c>
      <c r="V182">
        <f>IF(U182=1,IF(M182&gt;0,IF(P182&lt;=G182+Assumptions!$C$7,1,0),0),0)</f>
        <v/>
      </c>
      <c r="W182">
        <f>IF(AND(U182=1,M182&gt;=H182*(1-Assumptions!$C$8)),1,0)</f>
        <v/>
      </c>
      <c r="X182">
        <f>IF(AND(U182=1,N182&gt;=H182*(1-Assumptions!$C$8)),1,0)</f>
        <v/>
      </c>
      <c r="Y182">
        <f>IF(ISNUMBER(Q182),1,0)</f>
        <v/>
      </c>
      <c r="Z182">
        <f>IF(AND(K182=0,L182=0,Y182=0),1,0)</f>
        <v/>
      </c>
      <c r="AA182">
        <f>IF(AND(Z182=1,G182&lt;Assumptions!$C$6),1,0)</f>
        <v/>
      </c>
      <c r="AB182">
        <f>IF(U182=0,"",IF(Y182=1,MAX(0,Q182-G182),IF(L182=1,MAX(0,R182-G182),MAX(0,Assumptions!$C$6-G182))))</f>
        <v/>
      </c>
      <c r="AC182">
        <f>IF(Y182=1,Q182-F182,"")</f>
        <v/>
      </c>
      <c r="AD182">
        <f>IF(Y182=1,AC182^2,"")</f>
        <v/>
      </c>
      <c r="AE182" s="19">
        <f>IF(Z182=1,(H182-M182)*I182,0)</f>
        <v/>
      </c>
      <c r="AF182">
        <f>IF(G182&lt;EDATE(Assumptions!$C$6,-12)+1,"prior_12m","last_12m")</f>
        <v/>
      </c>
      <c r="AG182" s="21">
        <f>DATE(YEAR(G182),MONTH(G182),1)</f>
        <v/>
      </c>
    </row>
    <row r="183">
      <c r="A183" t="inlineStr">
        <is>
          <t>SPO-00094-1</t>
        </is>
      </c>
      <c r="B183" t="inlineStr">
        <is>
          <t>SPO-00094</t>
        </is>
      </c>
      <c r="C183" t="inlineStr">
        <is>
          <t>SUP-04</t>
        </is>
      </c>
      <c r="D183" t="inlineStr">
        <is>
          <t>FLEET</t>
        </is>
      </c>
      <c r="E183" t="inlineStr">
        <is>
          <t>FLEET-08</t>
        </is>
      </c>
      <c r="F183" s="17" t="n">
        <v>45589</v>
      </c>
      <c r="G183" s="17" t="n">
        <v>45602</v>
      </c>
      <c r="H183" s="18" t="n">
        <v>259</v>
      </c>
      <c r="I183" s="19" t="n">
        <v>6.39</v>
      </c>
      <c r="J183" s="19" t="n">
        <v>6.4</v>
      </c>
      <c r="K183" s="20" t="n">
        <v>0</v>
      </c>
      <c r="L183" s="20" t="n">
        <v>0</v>
      </c>
      <c r="M183" s="18" t="n">
        <v>259</v>
      </c>
      <c r="N183" s="18" t="n">
        <v>259</v>
      </c>
      <c r="O183" s="18" t="n">
        <v>0</v>
      </c>
      <c r="P183" s="17" t="n">
        <v>45595</v>
      </c>
      <c r="Q183" s="17" t="n">
        <v>45595</v>
      </c>
      <c r="R183" s="17" t="n">
        <v>45595</v>
      </c>
      <c r="S183" s="19">
        <f>H183*I183</f>
        <v/>
      </c>
      <c r="T183" s="19">
        <f>H183*J183</f>
        <v/>
      </c>
      <c r="U183">
        <f>IF(AND(K183=0,G183&lt;=Assumptions!$C$6),1,0)</f>
        <v/>
      </c>
      <c r="V183">
        <f>IF(U183=1,IF(M183&gt;0,IF(P183&lt;=G183+Assumptions!$C$7,1,0),0),0)</f>
        <v/>
      </c>
      <c r="W183">
        <f>IF(AND(U183=1,M183&gt;=H183*(1-Assumptions!$C$8)),1,0)</f>
        <v/>
      </c>
      <c r="X183">
        <f>IF(AND(U183=1,N183&gt;=H183*(1-Assumptions!$C$8)),1,0)</f>
        <v/>
      </c>
      <c r="Y183">
        <f>IF(ISNUMBER(Q183),1,0)</f>
        <v/>
      </c>
      <c r="Z183">
        <f>IF(AND(K183=0,L183=0,Y183=0),1,0)</f>
        <v/>
      </c>
      <c r="AA183">
        <f>IF(AND(Z183=1,G183&lt;Assumptions!$C$6),1,0)</f>
        <v/>
      </c>
      <c r="AB183">
        <f>IF(U183=0,"",IF(Y183=1,MAX(0,Q183-G183),IF(L183=1,MAX(0,R183-G183),MAX(0,Assumptions!$C$6-G183))))</f>
        <v/>
      </c>
      <c r="AC183">
        <f>IF(Y183=1,Q183-F183,"")</f>
        <v/>
      </c>
      <c r="AD183">
        <f>IF(Y183=1,AC183^2,"")</f>
        <v/>
      </c>
      <c r="AE183" s="19">
        <f>IF(Z183=1,(H183-M183)*I183,0)</f>
        <v/>
      </c>
      <c r="AF183">
        <f>IF(G183&lt;EDATE(Assumptions!$C$6,-12)+1,"prior_12m","last_12m")</f>
        <v/>
      </c>
      <c r="AG183" s="21">
        <f>DATE(YEAR(G183),MONTH(G183),1)</f>
        <v/>
      </c>
    </row>
    <row r="184">
      <c r="A184" t="inlineStr">
        <is>
          <t>SPO-00095-1</t>
        </is>
      </c>
      <c r="B184" t="inlineStr">
        <is>
          <t>SPO-00095</t>
        </is>
      </c>
      <c r="C184" t="inlineStr">
        <is>
          <t>SUP-02</t>
        </is>
      </c>
      <c r="D184" t="inlineStr">
        <is>
          <t>ELEC</t>
        </is>
      </c>
      <c r="E184" t="inlineStr">
        <is>
          <t>ELEC-04</t>
        </is>
      </c>
      <c r="F184" s="17" t="n">
        <v>45590</v>
      </c>
      <c r="G184" s="17" t="n">
        <v>45606</v>
      </c>
      <c r="H184" s="18" t="n">
        <v>19</v>
      </c>
      <c r="I184" s="19" t="n">
        <v>70.33</v>
      </c>
      <c r="J184" s="19" t="n">
        <v>72</v>
      </c>
      <c r="K184" s="20" t="n">
        <v>0</v>
      </c>
      <c r="L184" s="20" t="n">
        <v>0</v>
      </c>
      <c r="M184" s="18" t="n">
        <v>19</v>
      </c>
      <c r="N184" s="18" t="n">
        <v>19</v>
      </c>
      <c r="O184" s="18" t="n">
        <v>0</v>
      </c>
      <c r="P184" s="17" t="n">
        <v>45603</v>
      </c>
      <c r="Q184" s="17" t="n">
        <v>45603</v>
      </c>
      <c r="R184" s="17" t="n">
        <v>45603</v>
      </c>
      <c r="S184" s="19">
        <f>H184*I184</f>
        <v/>
      </c>
      <c r="T184" s="19">
        <f>H184*J184</f>
        <v/>
      </c>
      <c r="U184">
        <f>IF(AND(K184=0,G184&lt;=Assumptions!$C$6),1,0)</f>
        <v/>
      </c>
      <c r="V184">
        <f>IF(U184=1,IF(M184&gt;0,IF(P184&lt;=G184+Assumptions!$C$7,1,0),0),0)</f>
        <v/>
      </c>
      <c r="W184">
        <f>IF(AND(U184=1,M184&gt;=H184*(1-Assumptions!$C$8)),1,0)</f>
        <v/>
      </c>
      <c r="X184">
        <f>IF(AND(U184=1,N184&gt;=H184*(1-Assumptions!$C$8)),1,0)</f>
        <v/>
      </c>
      <c r="Y184">
        <f>IF(ISNUMBER(Q184),1,0)</f>
        <v/>
      </c>
      <c r="Z184">
        <f>IF(AND(K184=0,L184=0,Y184=0),1,0)</f>
        <v/>
      </c>
      <c r="AA184">
        <f>IF(AND(Z184=1,G184&lt;Assumptions!$C$6),1,0)</f>
        <v/>
      </c>
      <c r="AB184">
        <f>IF(U184=0,"",IF(Y184=1,MAX(0,Q184-G184),IF(L184=1,MAX(0,R184-G184),MAX(0,Assumptions!$C$6-G184))))</f>
        <v/>
      </c>
      <c r="AC184">
        <f>IF(Y184=1,Q184-F184,"")</f>
        <v/>
      </c>
      <c r="AD184">
        <f>IF(Y184=1,AC184^2,"")</f>
        <v/>
      </c>
      <c r="AE184" s="19">
        <f>IF(Z184=1,(H184-M184)*I184,0)</f>
        <v/>
      </c>
      <c r="AF184">
        <f>IF(G184&lt;EDATE(Assumptions!$C$6,-12)+1,"prior_12m","last_12m")</f>
        <v/>
      </c>
      <c r="AG184" s="21">
        <f>DATE(YEAR(G184),MONTH(G184),1)</f>
        <v/>
      </c>
    </row>
    <row r="185">
      <c r="A185" t="inlineStr">
        <is>
          <t>SPO-00095-2</t>
        </is>
      </c>
      <c r="B185" t="inlineStr">
        <is>
          <t>SPO-00095</t>
        </is>
      </c>
      <c r="C185" t="inlineStr">
        <is>
          <t>SUP-02</t>
        </is>
      </c>
      <c r="D185" t="inlineStr">
        <is>
          <t>ELEC</t>
        </is>
      </c>
      <c r="E185" t="inlineStr">
        <is>
          <t>ELEC-03</t>
        </is>
      </c>
      <c r="F185" s="17" t="n">
        <v>45590</v>
      </c>
      <c r="G185" s="17" t="n">
        <v>45606</v>
      </c>
      <c r="H185" s="18" t="n">
        <v>14</v>
      </c>
      <c r="I185" s="19" t="n">
        <v>95.40000000000001</v>
      </c>
      <c r="J185" s="19" t="n">
        <v>96</v>
      </c>
      <c r="K185" s="20" t="n">
        <v>0</v>
      </c>
      <c r="L185" s="20" t="n">
        <v>0</v>
      </c>
      <c r="M185" s="18" t="n">
        <v>14</v>
      </c>
      <c r="N185" s="18" t="n">
        <v>14</v>
      </c>
      <c r="O185" s="18" t="n">
        <v>0</v>
      </c>
      <c r="P185" s="17" t="n">
        <v>45604</v>
      </c>
      <c r="Q185" s="17" t="n">
        <v>45604</v>
      </c>
      <c r="R185" s="17" t="n">
        <v>45604</v>
      </c>
      <c r="S185" s="19">
        <f>H185*I185</f>
        <v/>
      </c>
      <c r="T185" s="19">
        <f>H185*J185</f>
        <v/>
      </c>
      <c r="U185">
        <f>IF(AND(K185=0,G185&lt;=Assumptions!$C$6),1,0)</f>
        <v/>
      </c>
      <c r="V185">
        <f>IF(U185=1,IF(M185&gt;0,IF(P185&lt;=G185+Assumptions!$C$7,1,0),0),0)</f>
        <v/>
      </c>
      <c r="W185">
        <f>IF(AND(U185=1,M185&gt;=H185*(1-Assumptions!$C$8)),1,0)</f>
        <v/>
      </c>
      <c r="X185">
        <f>IF(AND(U185=1,N185&gt;=H185*(1-Assumptions!$C$8)),1,0)</f>
        <v/>
      </c>
      <c r="Y185">
        <f>IF(ISNUMBER(Q185),1,0)</f>
        <v/>
      </c>
      <c r="Z185">
        <f>IF(AND(K185=0,L185=0,Y185=0),1,0)</f>
        <v/>
      </c>
      <c r="AA185">
        <f>IF(AND(Z185=1,G185&lt;Assumptions!$C$6),1,0)</f>
        <v/>
      </c>
      <c r="AB185">
        <f>IF(U185=0,"",IF(Y185=1,MAX(0,Q185-G185),IF(L185=1,MAX(0,R185-G185),MAX(0,Assumptions!$C$6-G185))))</f>
        <v/>
      </c>
      <c r="AC185">
        <f>IF(Y185=1,Q185-F185,"")</f>
        <v/>
      </c>
      <c r="AD185">
        <f>IF(Y185=1,AC185^2,"")</f>
        <v/>
      </c>
      <c r="AE185" s="19">
        <f>IF(Z185=1,(H185-M185)*I185,0)</f>
        <v/>
      </c>
      <c r="AF185">
        <f>IF(G185&lt;EDATE(Assumptions!$C$6,-12)+1,"prior_12m","last_12m")</f>
        <v/>
      </c>
      <c r="AG185" s="21">
        <f>DATE(YEAR(G185),MONTH(G185),1)</f>
        <v/>
      </c>
    </row>
    <row r="186">
      <c r="A186" t="inlineStr">
        <is>
          <t>SPO-00096-1</t>
        </is>
      </c>
      <c r="B186" t="inlineStr">
        <is>
          <t>SPO-00096</t>
        </is>
      </c>
      <c r="C186" t="inlineStr">
        <is>
          <t>SUP-06</t>
        </is>
      </c>
      <c r="D186" t="inlineStr">
        <is>
          <t>MRO</t>
        </is>
      </c>
      <c r="E186" t="inlineStr">
        <is>
          <t>MRO-06</t>
        </is>
      </c>
      <c r="F186" s="17" t="n">
        <v>45592</v>
      </c>
      <c r="G186" s="17" t="n">
        <v>45600</v>
      </c>
      <c r="H186" s="18" t="n">
        <v>209</v>
      </c>
      <c r="I186" s="19" t="n">
        <v>6.1</v>
      </c>
      <c r="J186" s="19" t="n">
        <v>6.1</v>
      </c>
      <c r="K186" s="20" t="n">
        <v>0</v>
      </c>
      <c r="L186" s="20" t="n">
        <v>0</v>
      </c>
      <c r="M186" s="18" t="n">
        <v>209</v>
      </c>
      <c r="N186" s="18" t="n">
        <v>209</v>
      </c>
      <c r="O186" s="18" t="n">
        <v>0</v>
      </c>
      <c r="P186" s="17" t="n">
        <v>45599</v>
      </c>
      <c r="Q186" s="17" t="n">
        <v>45599</v>
      </c>
      <c r="R186" s="17" t="n">
        <v>45599</v>
      </c>
      <c r="S186" s="19">
        <f>H186*I186</f>
        <v/>
      </c>
      <c r="T186" s="19">
        <f>H186*J186</f>
        <v/>
      </c>
      <c r="U186">
        <f>IF(AND(K186=0,G186&lt;=Assumptions!$C$6),1,0)</f>
        <v/>
      </c>
      <c r="V186">
        <f>IF(U186=1,IF(M186&gt;0,IF(P186&lt;=G186+Assumptions!$C$7,1,0),0),0)</f>
        <v/>
      </c>
      <c r="W186">
        <f>IF(AND(U186=1,M186&gt;=H186*(1-Assumptions!$C$8)),1,0)</f>
        <v/>
      </c>
      <c r="X186">
        <f>IF(AND(U186=1,N186&gt;=H186*(1-Assumptions!$C$8)),1,0)</f>
        <v/>
      </c>
      <c r="Y186">
        <f>IF(ISNUMBER(Q186),1,0)</f>
        <v/>
      </c>
      <c r="Z186">
        <f>IF(AND(K186=0,L186=0,Y186=0),1,0)</f>
        <v/>
      </c>
      <c r="AA186">
        <f>IF(AND(Z186=1,G186&lt;Assumptions!$C$6),1,0)</f>
        <v/>
      </c>
      <c r="AB186">
        <f>IF(U186=0,"",IF(Y186=1,MAX(0,Q186-G186),IF(L186=1,MAX(0,R186-G186),MAX(0,Assumptions!$C$6-G186))))</f>
        <v/>
      </c>
      <c r="AC186">
        <f>IF(Y186=1,Q186-F186,"")</f>
        <v/>
      </c>
      <c r="AD186">
        <f>IF(Y186=1,AC186^2,"")</f>
        <v/>
      </c>
      <c r="AE186" s="19">
        <f>IF(Z186=1,(H186-M186)*I186,0)</f>
        <v/>
      </c>
      <c r="AF186">
        <f>IF(G186&lt;EDATE(Assumptions!$C$6,-12)+1,"prior_12m","last_12m")</f>
        <v/>
      </c>
      <c r="AG186" s="21">
        <f>DATE(YEAR(G186),MONTH(G186),1)</f>
        <v/>
      </c>
    </row>
    <row r="187">
      <c r="A187" t="inlineStr">
        <is>
          <t>SPO-00097-1</t>
        </is>
      </c>
      <c r="B187" t="inlineStr">
        <is>
          <t>SPO-00097</t>
        </is>
      </c>
      <c r="C187" t="inlineStr">
        <is>
          <t>SUP-06</t>
        </is>
      </c>
      <c r="D187" t="inlineStr">
        <is>
          <t>MRO</t>
        </is>
      </c>
      <c r="E187" t="inlineStr">
        <is>
          <t>MRO-08</t>
        </is>
      </c>
      <c r="F187" s="17" t="n">
        <v>45592</v>
      </c>
      <c r="G187" s="17" t="n">
        <v>45600</v>
      </c>
      <c r="H187" s="18" t="n">
        <v>74</v>
      </c>
      <c r="I187" s="19" t="n">
        <v>7.15</v>
      </c>
      <c r="J187" s="19" t="n">
        <v>7.2</v>
      </c>
      <c r="K187" s="20" t="n">
        <v>0</v>
      </c>
      <c r="L187" s="20" t="n">
        <v>0</v>
      </c>
      <c r="M187" s="18" t="n">
        <v>74</v>
      </c>
      <c r="N187" s="18" t="n">
        <v>57</v>
      </c>
      <c r="O187" s="18" t="n">
        <v>0</v>
      </c>
      <c r="P187" s="17" t="n">
        <v>45597</v>
      </c>
      <c r="Q187" s="17" t="n">
        <v>45613</v>
      </c>
      <c r="R187" s="17" t="n">
        <v>45613</v>
      </c>
      <c r="S187" s="19">
        <f>H187*I187</f>
        <v/>
      </c>
      <c r="T187" s="19">
        <f>H187*J187</f>
        <v/>
      </c>
      <c r="U187">
        <f>IF(AND(K187=0,G187&lt;=Assumptions!$C$6),1,0)</f>
        <v/>
      </c>
      <c r="V187">
        <f>IF(U187=1,IF(M187&gt;0,IF(P187&lt;=G187+Assumptions!$C$7,1,0),0),0)</f>
        <v/>
      </c>
      <c r="W187">
        <f>IF(AND(U187=1,M187&gt;=H187*(1-Assumptions!$C$8)),1,0)</f>
        <v/>
      </c>
      <c r="X187">
        <f>IF(AND(U187=1,N187&gt;=H187*(1-Assumptions!$C$8)),1,0)</f>
        <v/>
      </c>
      <c r="Y187">
        <f>IF(ISNUMBER(Q187),1,0)</f>
        <v/>
      </c>
      <c r="Z187">
        <f>IF(AND(K187=0,L187=0,Y187=0),1,0)</f>
        <v/>
      </c>
      <c r="AA187">
        <f>IF(AND(Z187=1,G187&lt;Assumptions!$C$6),1,0)</f>
        <v/>
      </c>
      <c r="AB187">
        <f>IF(U187=0,"",IF(Y187=1,MAX(0,Q187-G187),IF(L187=1,MAX(0,R187-G187),MAX(0,Assumptions!$C$6-G187))))</f>
        <v/>
      </c>
      <c r="AC187">
        <f>IF(Y187=1,Q187-F187,"")</f>
        <v/>
      </c>
      <c r="AD187">
        <f>IF(Y187=1,AC187^2,"")</f>
        <v/>
      </c>
      <c r="AE187" s="19">
        <f>IF(Z187=1,(H187-M187)*I187,0)</f>
        <v/>
      </c>
      <c r="AF187">
        <f>IF(G187&lt;EDATE(Assumptions!$C$6,-12)+1,"prior_12m","last_12m")</f>
        <v/>
      </c>
      <c r="AG187" s="21">
        <f>DATE(YEAR(G187),MONTH(G187),1)</f>
        <v/>
      </c>
    </row>
    <row r="188">
      <c r="A188" t="inlineStr">
        <is>
          <t>SPO-00097-2</t>
        </is>
      </c>
      <c r="B188" t="inlineStr">
        <is>
          <t>SPO-00097</t>
        </is>
      </c>
      <c r="C188" t="inlineStr">
        <is>
          <t>SUP-06</t>
        </is>
      </c>
      <c r="D188" t="inlineStr">
        <is>
          <t>MRO</t>
        </is>
      </c>
      <c r="E188" t="inlineStr">
        <is>
          <t>MRO-05</t>
        </is>
      </c>
      <c r="F188" s="17" t="n">
        <v>45592</v>
      </c>
      <c r="G188" s="17" t="n">
        <v>45600</v>
      </c>
      <c r="H188" s="18" t="n">
        <v>73</v>
      </c>
      <c r="I188" s="19" t="n">
        <v>36.54</v>
      </c>
      <c r="J188" s="19" t="n">
        <v>36</v>
      </c>
      <c r="K188" s="20" t="n">
        <v>0</v>
      </c>
      <c r="L188" s="20" t="n">
        <v>0</v>
      </c>
      <c r="M188" s="18" t="n">
        <v>73</v>
      </c>
      <c r="N188" s="18" t="n">
        <v>73</v>
      </c>
      <c r="O188" s="18" t="n">
        <v>0</v>
      </c>
      <c r="P188" s="17" t="n">
        <v>45599</v>
      </c>
      <c r="Q188" s="17" t="n">
        <v>45599</v>
      </c>
      <c r="R188" s="17" t="n">
        <v>45599</v>
      </c>
      <c r="S188" s="19">
        <f>H188*I188</f>
        <v/>
      </c>
      <c r="T188" s="19">
        <f>H188*J188</f>
        <v/>
      </c>
      <c r="U188">
        <f>IF(AND(K188=0,G188&lt;=Assumptions!$C$6),1,0)</f>
        <v/>
      </c>
      <c r="V188">
        <f>IF(U188=1,IF(M188&gt;0,IF(P188&lt;=G188+Assumptions!$C$7,1,0),0),0)</f>
        <v/>
      </c>
      <c r="W188">
        <f>IF(AND(U188=1,M188&gt;=H188*(1-Assumptions!$C$8)),1,0)</f>
        <v/>
      </c>
      <c r="X188">
        <f>IF(AND(U188=1,N188&gt;=H188*(1-Assumptions!$C$8)),1,0)</f>
        <v/>
      </c>
      <c r="Y188">
        <f>IF(ISNUMBER(Q188),1,0)</f>
        <v/>
      </c>
      <c r="Z188">
        <f>IF(AND(K188=0,L188=0,Y188=0),1,0)</f>
        <v/>
      </c>
      <c r="AA188">
        <f>IF(AND(Z188=1,G188&lt;Assumptions!$C$6),1,0)</f>
        <v/>
      </c>
      <c r="AB188">
        <f>IF(U188=0,"",IF(Y188=1,MAX(0,Q188-G188),IF(L188=1,MAX(0,R188-G188),MAX(0,Assumptions!$C$6-G188))))</f>
        <v/>
      </c>
      <c r="AC188">
        <f>IF(Y188=1,Q188-F188,"")</f>
        <v/>
      </c>
      <c r="AD188">
        <f>IF(Y188=1,AC188^2,"")</f>
        <v/>
      </c>
      <c r="AE188" s="19">
        <f>IF(Z188=1,(H188-M188)*I188,0)</f>
        <v/>
      </c>
      <c r="AF188">
        <f>IF(G188&lt;EDATE(Assumptions!$C$6,-12)+1,"prior_12m","last_12m")</f>
        <v/>
      </c>
      <c r="AG188" s="21">
        <f>DATE(YEAR(G188),MONTH(G188),1)</f>
        <v/>
      </c>
    </row>
    <row r="189">
      <c r="A189" t="inlineStr">
        <is>
          <t>SPO-00098-1</t>
        </is>
      </c>
      <c r="B189" t="inlineStr">
        <is>
          <t>SPO-00098</t>
        </is>
      </c>
      <c r="C189" t="inlineStr">
        <is>
          <t>SUP-14</t>
        </is>
      </c>
      <c r="D189" t="inlineStr">
        <is>
          <t>FLEET</t>
        </is>
      </c>
      <c r="E189" t="inlineStr">
        <is>
          <t>FLEET-07</t>
        </is>
      </c>
      <c r="F189" s="17" t="n">
        <v>45592</v>
      </c>
      <c r="G189" s="17" t="n">
        <v>45606</v>
      </c>
      <c r="H189" s="18" t="n">
        <v>8</v>
      </c>
      <c r="I189" s="19" t="n">
        <v>119.28</v>
      </c>
      <c r="J189" s="19" t="n">
        <v>118</v>
      </c>
      <c r="K189" s="20" t="n">
        <v>0</v>
      </c>
      <c r="L189" s="20" t="n">
        <v>0</v>
      </c>
      <c r="M189" s="18" t="n">
        <v>8</v>
      </c>
      <c r="N189" s="18" t="n">
        <v>8</v>
      </c>
      <c r="O189" s="18" t="n">
        <v>0</v>
      </c>
      <c r="P189" s="17" t="n">
        <v>45601</v>
      </c>
      <c r="Q189" s="17" t="n">
        <v>45601</v>
      </c>
      <c r="R189" s="17" t="n">
        <v>45601</v>
      </c>
      <c r="S189" s="19">
        <f>H189*I189</f>
        <v/>
      </c>
      <c r="T189" s="19">
        <f>H189*J189</f>
        <v/>
      </c>
      <c r="U189">
        <f>IF(AND(K189=0,G189&lt;=Assumptions!$C$6),1,0)</f>
        <v/>
      </c>
      <c r="V189">
        <f>IF(U189=1,IF(M189&gt;0,IF(P189&lt;=G189+Assumptions!$C$7,1,0),0),0)</f>
        <v/>
      </c>
      <c r="W189">
        <f>IF(AND(U189=1,M189&gt;=H189*(1-Assumptions!$C$8)),1,0)</f>
        <v/>
      </c>
      <c r="X189">
        <f>IF(AND(U189=1,N189&gt;=H189*(1-Assumptions!$C$8)),1,0)</f>
        <v/>
      </c>
      <c r="Y189">
        <f>IF(ISNUMBER(Q189),1,0)</f>
        <v/>
      </c>
      <c r="Z189">
        <f>IF(AND(K189=0,L189=0,Y189=0),1,0)</f>
        <v/>
      </c>
      <c r="AA189">
        <f>IF(AND(Z189=1,G189&lt;Assumptions!$C$6),1,0)</f>
        <v/>
      </c>
      <c r="AB189">
        <f>IF(U189=0,"",IF(Y189=1,MAX(0,Q189-G189),IF(L189=1,MAX(0,R189-G189),MAX(0,Assumptions!$C$6-G189))))</f>
        <v/>
      </c>
      <c r="AC189">
        <f>IF(Y189=1,Q189-F189,"")</f>
        <v/>
      </c>
      <c r="AD189">
        <f>IF(Y189=1,AC189^2,"")</f>
        <v/>
      </c>
      <c r="AE189" s="19">
        <f>IF(Z189=1,(H189-M189)*I189,0)</f>
        <v/>
      </c>
      <c r="AF189">
        <f>IF(G189&lt;EDATE(Assumptions!$C$6,-12)+1,"prior_12m","last_12m")</f>
        <v/>
      </c>
      <c r="AG189" s="21">
        <f>DATE(YEAR(G189),MONTH(G189),1)</f>
        <v/>
      </c>
    </row>
    <row r="190">
      <c r="A190" t="inlineStr">
        <is>
          <t>SPO-00099-1</t>
        </is>
      </c>
      <c r="B190" t="inlineStr">
        <is>
          <t>SPO-00099</t>
        </is>
      </c>
      <c r="C190" t="inlineStr">
        <is>
          <t>SUP-09</t>
        </is>
      </c>
      <c r="D190" t="inlineStr">
        <is>
          <t>CHEM</t>
        </is>
      </c>
      <c r="E190" t="inlineStr">
        <is>
          <t>CHEM-01</t>
        </is>
      </c>
      <c r="F190" s="17" t="n">
        <v>45592</v>
      </c>
      <c r="G190" s="17" t="n">
        <v>45606</v>
      </c>
      <c r="H190" s="18" t="n">
        <v>3</v>
      </c>
      <c r="I190" s="19" t="n">
        <v>655.99</v>
      </c>
      <c r="J190" s="19" t="n">
        <v>640</v>
      </c>
      <c r="K190" s="20" t="n">
        <v>0</v>
      </c>
      <c r="L190" s="20" t="n">
        <v>0</v>
      </c>
      <c r="M190" s="18" t="n">
        <v>3</v>
      </c>
      <c r="N190" s="18" t="n">
        <v>3</v>
      </c>
      <c r="O190" s="18" t="n">
        <v>0</v>
      </c>
      <c r="P190" s="17" t="n">
        <v>45605</v>
      </c>
      <c r="Q190" s="17" t="n">
        <v>45605</v>
      </c>
      <c r="R190" s="17" t="n">
        <v>45605</v>
      </c>
      <c r="S190" s="19">
        <f>H190*I190</f>
        <v/>
      </c>
      <c r="T190" s="19">
        <f>H190*J190</f>
        <v/>
      </c>
      <c r="U190">
        <f>IF(AND(K190=0,G190&lt;=Assumptions!$C$6),1,0)</f>
        <v/>
      </c>
      <c r="V190">
        <f>IF(U190=1,IF(M190&gt;0,IF(P190&lt;=G190+Assumptions!$C$7,1,0),0),0)</f>
        <v/>
      </c>
      <c r="W190">
        <f>IF(AND(U190=1,M190&gt;=H190*(1-Assumptions!$C$8)),1,0)</f>
        <v/>
      </c>
      <c r="X190">
        <f>IF(AND(U190=1,N190&gt;=H190*(1-Assumptions!$C$8)),1,0)</f>
        <v/>
      </c>
      <c r="Y190">
        <f>IF(ISNUMBER(Q190),1,0)</f>
        <v/>
      </c>
      <c r="Z190">
        <f>IF(AND(K190=0,L190=0,Y190=0),1,0)</f>
        <v/>
      </c>
      <c r="AA190">
        <f>IF(AND(Z190=1,G190&lt;Assumptions!$C$6),1,0)</f>
        <v/>
      </c>
      <c r="AB190">
        <f>IF(U190=0,"",IF(Y190=1,MAX(0,Q190-G190),IF(L190=1,MAX(0,R190-G190),MAX(0,Assumptions!$C$6-G190))))</f>
        <v/>
      </c>
      <c r="AC190">
        <f>IF(Y190=1,Q190-F190,"")</f>
        <v/>
      </c>
      <c r="AD190">
        <f>IF(Y190=1,AC190^2,"")</f>
        <v/>
      </c>
      <c r="AE190" s="19">
        <f>IF(Z190=1,(H190-M190)*I190,0)</f>
        <v/>
      </c>
      <c r="AF190">
        <f>IF(G190&lt;EDATE(Assumptions!$C$6,-12)+1,"prior_12m","last_12m")</f>
        <v/>
      </c>
      <c r="AG190" s="21">
        <f>DATE(YEAR(G190),MONTH(G190),1)</f>
        <v/>
      </c>
    </row>
    <row r="191">
      <c r="A191" t="inlineStr">
        <is>
          <t>SPO-00099-2</t>
        </is>
      </c>
      <c r="B191" t="inlineStr">
        <is>
          <t>SPO-00099</t>
        </is>
      </c>
      <c r="C191" t="inlineStr">
        <is>
          <t>SUP-09</t>
        </is>
      </c>
      <c r="D191" t="inlineStr">
        <is>
          <t>CHEM</t>
        </is>
      </c>
      <c r="E191" t="inlineStr">
        <is>
          <t>CHEM-03</t>
        </is>
      </c>
      <c r="F191" s="17" t="n">
        <v>45592</v>
      </c>
      <c r="G191" s="17" t="n">
        <v>45606</v>
      </c>
      <c r="H191" s="18" t="n">
        <v>9</v>
      </c>
      <c r="I191" s="19" t="n">
        <v>284.08</v>
      </c>
      <c r="J191" s="19" t="n">
        <v>265</v>
      </c>
      <c r="K191" s="20" t="n">
        <v>0</v>
      </c>
      <c r="L191" s="20" t="n">
        <v>0</v>
      </c>
      <c r="M191" s="18" t="n">
        <v>9</v>
      </c>
      <c r="N191" s="18" t="n">
        <v>9</v>
      </c>
      <c r="O191" s="18" t="n">
        <v>0</v>
      </c>
      <c r="P191" s="17" t="n">
        <v>45604</v>
      </c>
      <c r="Q191" s="17" t="n">
        <v>45604</v>
      </c>
      <c r="R191" s="17" t="n">
        <v>45604</v>
      </c>
      <c r="S191" s="19">
        <f>H191*I191</f>
        <v/>
      </c>
      <c r="T191" s="19">
        <f>H191*J191</f>
        <v/>
      </c>
      <c r="U191">
        <f>IF(AND(K191=0,G191&lt;=Assumptions!$C$6),1,0)</f>
        <v/>
      </c>
      <c r="V191">
        <f>IF(U191=1,IF(M191&gt;0,IF(P191&lt;=G191+Assumptions!$C$7,1,0),0),0)</f>
        <v/>
      </c>
      <c r="W191">
        <f>IF(AND(U191=1,M191&gt;=H191*(1-Assumptions!$C$8)),1,0)</f>
        <v/>
      </c>
      <c r="X191">
        <f>IF(AND(U191=1,N191&gt;=H191*(1-Assumptions!$C$8)),1,0)</f>
        <v/>
      </c>
      <c r="Y191">
        <f>IF(ISNUMBER(Q191),1,0)</f>
        <v/>
      </c>
      <c r="Z191">
        <f>IF(AND(K191=0,L191=0,Y191=0),1,0)</f>
        <v/>
      </c>
      <c r="AA191">
        <f>IF(AND(Z191=1,G191&lt;Assumptions!$C$6),1,0)</f>
        <v/>
      </c>
      <c r="AB191">
        <f>IF(U191=0,"",IF(Y191=1,MAX(0,Q191-G191),IF(L191=1,MAX(0,R191-G191),MAX(0,Assumptions!$C$6-G191))))</f>
        <v/>
      </c>
      <c r="AC191">
        <f>IF(Y191=1,Q191-F191,"")</f>
        <v/>
      </c>
      <c r="AD191">
        <f>IF(Y191=1,AC191^2,"")</f>
        <v/>
      </c>
      <c r="AE191" s="19">
        <f>IF(Z191=1,(H191-M191)*I191,0)</f>
        <v/>
      </c>
      <c r="AF191">
        <f>IF(G191&lt;EDATE(Assumptions!$C$6,-12)+1,"prior_12m","last_12m")</f>
        <v/>
      </c>
      <c r="AG191" s="21">
        <f>DATE(YEAR(G191),MONTH(G191),1)</f>
        <v/>
      </c>
    </row>
    <row r="192">
      <c r="A192" t="inlineStr">
        <is>
          <t>SPO-00099-3</t>
        </is>
      </c>
      <c r="B192" t="inlineStr">
        <is>
          <t>SPO-00099</t>
        </is>
      </c>
      <c r="C192" t="inlineStr">
        <is>
          <t>SUP-09</t>
        </is>
      </c>
      <c r="D192" t="inlineStr">
        <is>
          <t>CHEM</t>
        </is>
      </c>
      <c r="E192" t="inlineStr">
        <is>
          <t>CHEM-02</t>
        </is>
      </c>
      <c r="F192" s="17" t="n">
        <v>45592</v>
      </c>
      <c r="G192" s="17" t="n">
        <v>45606</v>
      </c>
      <c r="H192" s="18" t="n">
        <v>4</v>
      </c>
      <c r="I192" s="19" t="n">
        <v>421.57</v>
      </c>
      <c r="J192" s="19" t="n">
        <v>410</v>
      </c>
      <c r="K192" s="20" t="n">
        <v>0</v>
      </c>
      <c r="L192" s="20" t="n">
        <v>0</v>
      </c>
      <c r="M192" s="18" t="n">
        <v>4</v>
      </c>
      <c r="N192" s="18" t="n">
        <v>0</v>
      </c>
      <c r="O192" s="18" t="n">
        <v>0</v>
      </c>
      <c r="P192" s="17" t="n">
        <v>45607</v>
      </c>
      <c r="Q192" s="17" t="n">
        <v>45607</v>
      </c>
      <c r="R192" s="17" t="n">
        <v>45607</v>
      </c>
      <c r="S192" s="19">
        <f>H192*I192</f>
        <v/>
      </c>
      <c r="T192" s="19">
        <f>H192*J192</f>
        <v/>
      </c>
      <c r="U192">
        <f>IF(AND(K192=0,G192&lt;=Assumptions!$C$6),1,0)</f>
        <v/>
      </c>
      <c r="V192">
        <f>IF(U192=1,IF(M192&gt;0,IF(P192&lt;=G192+Assumptions!$C$7,1,0),0),0)</f>
        <v/>
      </c>
      <c r="W192">
        <f>IF(AND(U192=1,M192&gt;=H192*(1-Assumptions!$C$8)),1,0)</f>
        <v/>
      </c>
      <c r="X192">
        <f>IF(AND(U192=1,N192&gt;=H192*(1-Assumptions!$C$8)),1,0)</f>
        <v/>
      </c>
      <c r="Y192">
        <f>IF(ISNUMBER(Q192),1,0)</f>
        <v/>
      </c>
      <c r="Z192">
        <f>IF(AND(K192=0,L192=0,Y192=0),1,0)</f>
        <v/>
      </c>
      <c r="AA192">
        <f>IF(AND(Z192=1,G192&lt;Assumptions!$C$6),1,0)</f>
        <v/>
      </c>
      <c r="AB192">
        <f>IF(U192=0,"",IF(Y192=1,MAX(0,Q192-G192),IF(L192=1,MAX(0,R192-G192),MAX(0,Assumptions!$C$6-G192))))</f>
        <v/>
      </c>
      <c r="AC192">
        <f>IF(Y192=1,Q192-F192,"")</f>
        <v/>
      </c>
      <c r="AD192">
        <f>IF(Y192=1,AC192^2,"")</f>
        <v/>
      </c>
      <c r="AE192" s="19">
        <f>IF(Z192=1,(H192-M192)*I192,0)</f>
        <v/>
      </c>
      <c r="AF192">
        <f>IF(G192&lt;EDATE(Assumptions!$C$6,-12)+1,"prior_12m","last_12m")</f>
        <v/>
      </c>
      <c r="AG192" s="21">
        <f>DATE(YEAR(G192),MONTH(G192),1)</f>
        <v/>
      </c>
    </row>
    <row r="193">
      <c r="A193" t="inlineStr">
        <is>
          <t>SPO-00100-1</t>
        </is>
      </c>
      <c r="B193" t="inlineStr">
        <is>
          <t>SPO-00100</t>
        </is>
      </c>
      <c r="C193" t="inlineStr">
        <is>
          <t>SUP-06</t>
        </is>
      </c>
      <c r="D193" t="inlineStr">
        <is>
          <t>MRO</t>
        </is>
      </c>
      <c r="E193" t="inlineStr">
        <is>
          <t>MRO-08</t>
        </is>
      </c>
      <c r="F193" s="17" t="n">
        <v>45592</v>
      </c>
      <c r="G193" s="17" t="n">
        <v>45600</v>
      </c>
      <c r="H193" s="18" t="n">
        <v>202</v>
      </c>
      <c r="I193" s="19" t="n">
        <v>7.14</v>
      </c>
      <c r="J193" s="19" t="n">
        <v>7.2</v>
      </c>
      <c r="K193" s="20" t="n">
        <v>0</v>
      </c>
      <c r="L193" s="20" t="n">
        <v>0</v>
      </c>
      <c r="M193" s="18" t="n">
        <v>202</v>
      </c>
      <c r="N193" s="18" t="n">
        <v>202</v>
      </c>
      <c r="O193" s="18" t="n">
        <v>0</v>
      </c>
      <c r="P193" s="17" t="n">
        <v>45597</v>
      </c>
      <c r="Q193" s="17" t="n">
        <v>45597</v>
      </c>
      <c r="R193" s="17" t="n">
        <v>45597</v>
      </c>
      <c r="S193" s="19">
        <f>H193*I193</f>
        <v/>
      </c>
      <c r="T193" s="19">
        <f>H193*J193</f>
        <v/>
      </c>
      <c r="U193">
        <f>IF(AND(K193=0,G193&lt;=Assumptions!$C$6),1,0)</f>
        <v/>
      </c>
      <c r="V193">
        <f>IF(U193=1,IF(M193&gt;0,IF(P193&lt;=G193+Assumptions!$C$7,1,0),0),0)</f>
        <v/>
      </c>
      <c r="W193">
        <f>IF(AND(U193=1,M193&gt;=H193*(1-Assumptions!$C$8)),1,0)</f>
        <v/>
      </c>
      <c r="X193">
        <f>IF(AND(U193=1,N193&gt;=H193*(1-Assumptions!$C$8)),1,0)</f>
        <v/>
      </c>
      <c r="Y193">
        <f>IF(ISNUMBER(Q193),1,0)</f>
        <v/>
      </c>
      <c r="Z193">
        <f>IF(AND(K193=0,L193=0,Y193=0),1,0)</f>
        <v/>
      </c>
      <c r="AA193">
        <f>IF(AND(Z193=1,G193&lt;Assumptions!$C$6),1,0)</f>
        <v/>
      </c>
      <c r="AB193">
        <f>IF(U193=0,"",IF(Y193=1,MAX(0,Q193-G193),IF(L193=1,MAX(0,R193-G193),MAX(0,Assumptions!$C$6-G193))))</f>
        <v/>
      </c>
      <c r="AC193">
        <f>IF(Y193=1,Q193-F193,"")</f>
        <v/>
      </c>
      <c r="AD193">
        <f>IF(Y193=1,AC193^2,"")</f>
        <v/>
      </c>
      <c r="AE193" s="19">
        <f>IF(Z193=1,(H193-M193)*I193,0)</f>
        <v/>
      </c>
      <c r="AF193">
        <f>IF(G193&lt;EDATE(Assumptions!$C$6,-12)+1,"prior_12m","last_12m")</f>
        <v/>
      </c>
      <c r="AG193" s="21">
        <f>DATE(YEAR(G193),MONTH(G193),1)</f>
        <v/>
      </c>
    </row>
    <row r="194">
      <c r="A194" t="inlineStr">
        <is>
          <t>SPO-00100-2</t>
        </is>
      </c>
      <c r="B194" t="inlineStr">
        <is>
          <t>SPO-00100</t>
        </is>
      </c>
      <c r="C194" t="inlineStr">
        <is>
          <t>SUP-06</t>
        </is>
      </c>
      <c r="D194" t="inlineStr">
        <is>
          <t>MRO</t>
        </is>
      </c>
      <c r="E194" t="inlineStr">
        <is>
          <t>MRO-02</t>
        </is>
      </c>
      <c r="F194" s="17" t="n">
        <v>45592</v>
      </c>
      <c r="G194" s="17" t="n">
        <v>45600</v>
      </c>
      <c r="H194" s="18" t="n">
        <v>30</v>
      </c>
      <c r="I194" s="19" t="n">
        <v>40.6</v>
      </c>
      <c r="J194" s="19" t="n">
        <v>41</v>
      </c>
      <c r="K194" s="20" t="n">
        <v>0</v>
      </c>
      <c r="L194" s="20" t="n">
        <v>0</v>
      </c>
      <c r="M194" s="18" t="n">
        <v>30</v>
      </c>
      <c r="N194" s="18" t="n">
        <v>30</v>
      </c>
      <c r="O194" s="18" t="n">
        <v>0</v>
      </c>
      <c r="P194" s="17" t="n">
        <v>45598</v>
      </c>
      <c r="Q194" s="17" t="n">
        <v>45598</v>
      </c>
      <c r="R194" s="17" t="n">
        <v>45598</v>
      </c>
      <c r="S194" s="19">
        <f>H194*I194</f>
        <v/>
      </c>
      <c r="T194" s="19">
        <f>H194*J194</f>
        <v/>
      </c>
      <c r="U194">
        <f>IF(AND(K194=0,G194&lt;=Assumptions!$C$6),1,0)</f>
        <v/>
      </c>
      <c r="V194">
        <f>IF(U194=1,IF(M194&gt;0,IF(P194&lt;=G194+Assumptions!$C$7,1,0),0),0)</f>
        <v/>
      </c>
      <c r="W194">
        <f>IF(AND(U194=1,M194&gt;=H194*(1-Assumptions!$C$8)),1,0)</f>
        <v/>
      </c>
      <c r="X194">
        <f>IF(AND(U194=1,N194&gt;=H194*(1-Assumptions!$C$8)),1,0)</f>
        <v/>
      </c>
      <c r="Y194">
        <f>IF(ISNUMBER(Q194),1,0)</f>
        <v/>
      </c>
      <c r="Z194">
        <f>IF(AND(K194=0,L194=0,Y194=0),1,0)</f>
        <v/>
      </c>
      <c r="AA194">
        <f>IF(AND(Z194=1,G194&lt;Assumptions!$C$6),1,0)</f>
        <v/>
      </c>
      <c r="AB194">
        <f>IF(U194=0,"",IF(Y194=1,MAX(0,Q194-G194),IF(L194=1,MAX(0,R194-G194),MAX(0,Assumptions!$C$6-G194))))</f>
        <v/>
      </c>
      <c r="AC194">
        <f>IF(Y194=1,Q194-F194,"")</f>
        <v/>
      </c>
      <c r="AD194">
        <f>IF(Y194=1,AC194^2,"")</f>
        <v/>
      </c>
      <c r="AE194" s="19">
        <f>IF(Z194=1,(H194-M194)*I194,0)</f>
        <v/>
      </c>
      <c r="AF194">
        <f>IF(G194&lt;EDATE(Assumptions!$C$6,-12)+1,"prior_12m","last_12m")</f>
        <v/>
      </c>
      <c r="AG194" s="21">
        <f>DATE(YEAR(G194),MONTH(G194),1)</f>
        <v/>
      </c>
    </row>
    <row r="195">
      <c r="A195" t="inlineStr">
        <is>
          <t>SPO-00101-1</t>
        </is>
      </c>
      <c r="B195" t="inlineStr">
        <is>
          <t>SPO-00101</t>
        </is>
      </c>
      <c r="C195" t="inlineStr">
        <is>
          <t>SUP-12</t>
        </is>
      </c>
      <c r="D195" t="inlineStr">
        <is>
          <t>IT</t>
        </is>
      </c>
      <c r="E195" t="inlineStr">
        <is>
          <t>IT-05</t>
        </is>
      </c>
      <c r="F195" s="17" t="n">
        <v>45592</v>
      </c>
      <c r="G195" s="17" t="n">
        <v>45602</v>
      </c>
      <c r="H195" s="18" t="n">
        <v>3</v>
      </c>
      <c r="I195" s="19" t="n">
        <v>705.28</v>
      </c>
      <c r="J195" s="19" t="n">
        <v>640</v>
      </c>
      <c r="K195" s="20" t="n">
        <v>0</v>
      </c>
      <c r="L195" s="20" t="n">
        <v>0</v>
      </c>
      <c r="M195" s="18" t="n">
        <v>3</v>
      </c>
      <c r="N195" s="18" t="n">
        <v>3</v>
      </c>
      <c r="O195" s="18" t="n">
        <v>0</v>
      </c>
      <c r="P195" s="17" t="n">
        <v>45593</v>
      </c>
      <c r="Q195" s="17" t="n">
        <v>45593</v>
      </c>
      <c r="R195" s="17" t="n">
        <v>45593</v>
      </c>
      <c r="S195" s="19">
        <f>H195*I195</f>
        <v/>
      </c>
      <c r="T195" s="19">
        <f>H195*J195</f>
        <v/>
      </c>
      <c r="U195">
        <f>IF(AND(K195=0,G195&lt;=Assumptions!$C$6),1,0)</f>
        <v/>
      </c>
      <c r="V195">
        <f>IF(U195=1,IF(M195&gt;0,IF(P195&lt;=G195+Assumptions!$C$7,1,0),0),0)</f>
        <v/>
      </c>
      <c r="W195">
        <f>IF(AND(U195=1,M195&gt;=H195*(1-Assumptions!$C$8)),1,0)</f>
        <v/>
      </c>
      <c r="X195">
        <f>IF(AND(U195=1,N195&gt;=H195*(1-Assumptions!$C$8)),1,0)</f>
        <v/>
      </c>
      <c r="Y195">
        <f>IF(ISNUMBER(Q195),1,0)</f>
        <v/>
      </c>
      <c r="Z195">
        <f>IF(AND(K195=0,L195=0,Y195=0),1,0)</f>
        <v/>
      </c>
      <c r="AA195">
        <f>IF(AND(Z195=1,G195&lt;Assumptions!$C$6),1,0)</f>
        <v/>
      </c>
      <c r="AB195">
        <f>IF(U195=0,"",IF(Y195=1,MAX(0,Q195-G195),IF(L195=1,MAX(0,R195-G195),MAX(0,Assumptions!$C$6-G195))))</f>
        <v/>
      </c>
      <c r="AC195">
        <f>IF(Y195=1,Q195-F195,"")</f>
        <v/>
      </c>
      <c r="AD195">
        <f>IF(Y195=1,AC195^2,"")</f>
        <v/>
      </c>
      <c r="AE195" s="19">
        <f>IF(Z195=1,(H195-M195)*I195,0)</f>
        <v/>
      </c>
      <c r="AF195">
        <f>IF(G195&lt;EDATE(Assumptions!$C$6,-12)+1,"prior_12m","last_12m")</f>
        <v/>
      </c>
      <c r="AG195" s="21">
        <f>DATE(YEAR(G195),MONTH(G195),1)</f>
        <v/>
      </c>
    </row>
    <row r="196">
      <c r="A196" t="inlineStr">
        <is>
          <t>SPO-00102-1</t>
        </is>
      </c>
      <c r="B196" t="inlineStr">
        <is>
          <t>SPO-00102</t>
        </is>
      </c>
      <c r="C196" t="inlineStr">
        <is>
          <t>SUP-01</t>
        </is>
      </c>
      <c r="D196" t="inlineStr">
        <is>
          <t>ELEC</t>
        </is>
      </c>
      <c r="E196" t="inlineStr">
        <is>
          <t>ELEC-01</t>
        </is>
      </c>
      <c r="F196" s="17" t="n">
        <v>45592</v>
      </c>
      <c r="G196" s="17" t="n">
        <v>45610</v>
      </c>
      <c r="H196" s="18" t="n">
        <v>88</v>
      </c>
      <c r="I196" s="19" t="n">
        <v>40.43</v>
      </c>
      <c r="J196" s="19" t="n">
        <v>38</v>
      </c>
      <c r="K196" s="20" t="n">
        <v>0</v>
      </c>
      <c r="L196" s="20" t="n">
        <v>0</v>
      </c>
      <c r="M196" s="18" t="n">
        <v>88</v>
      </c>
      <c r="N196" s="18" t="n">
        <v>88</v>
      </c>
      <c r="O196" s="18" t="n">
        <v>0</v>
      </c>
      <c r="P196" s="17" t="n">
        <v>45604</v>
      </c>
      <c r="Q196" s="17" t="n">
        <v>45604</v>
      </c>
      <c r="R196" s="17" t="n">
        <v>45604</v>
      </c>
      <c r="S196" s="19">
        <f>H196*I196</f>
        <v/>
      </c>
      <c r="T196" s="19">
        <f>H196*J196</f>
        <v/>
      </c>
      <c r="U196">
        <f>IF(AND(K196=0,G196&lt;=Assumptions!$C$6),1,0)</f>
        <v/>
      </c>
      <c r="V196">
        <f>IF(U196=1,IF(M196&gt;0,IF(P196&lt;=G196+Assumptions!$C$7,1,0),0),0)</f>
        <v/>
      </c>
      <c r="W196">
        <f>IF(AND(U196=1,M196&gt;=H196*(1-Assumptions!$C$8)),1,0)</f>
        <v/>
      </c>
      <c r="X196">
        <f>IF(AND(U196=1,N196&gt;=H196*(1-Assumptions!$C$8)),1,0)</f>
        <v/>
      </c>
      <c r="Y196">
        <f>IF(ISNUMBER(Q196),1,0)</f>
        <v/>
      </c>
      <c r="Z196">
        <f>IF(AND(K196=0,L196=0,Y196=0),1,0)</f>
        <v/>
      </c>
      <c r="AA196">
        <f>IF(AND(Z196=1,G196&lt;Assumptions!$C$6),1,0)</f>
        <v/>
      </c>
      <c r="AB196">
        <f>IF(U196=0,"",IF(Y196=1,MAX(0,Q196-G196),IF(L196=1,MAX(0,R196-G196),MAX(0,Assumptions!$C$6-G196))))</f>
        <v/>
      </c>
      <c r="AC196">
        <f>IF(Y196=1,Q196-F196,"")</f>
        <v/>
      </c>
      <c r="AD196">
        <f>IF(Y196=1,AC196^2,"")</f>
        <v/>
      </c>
      <c r="AE196" s="19">
        <f>IF(Z196=1,(H196-M196)*I196,0)</f>
        <v/>
      </c>
      <c r="AF196">
        <f>IF(G196&lt;EDATE(Assumptions!$C$6,-12)+1,"prior_12m","last_12m")</f>
        <v/>
      </c>
      <c r="AG196" s="21">
        <f>DATE(YEAR(G196),MONTH(G196),1)</f>
        <v/>
      </c>
    </row>
    <row r="197">
      <c r="A197" t="inlineStr">
        <is>
          <t>SPO-00103-1</t>
        </is>
      </c>
      <c r="B197" t="inlineStr">
        <is>
          <t>SPO-00103</t>
        </is>
      </c>
      <c r="C197" t="inlineStr">
        <is>
          <t>SUP-05</t>
        </is>
      </c>
      <c r="D197" t="inlineStr">
        <is>
          <t>FLEET</t>
        </is>
      </c>
      <c r="E197" t="inlineStr">
        <is>
          <t>FLEET-06</t>
        </is>
      </c>
      <c r="F197" s="17" t="n">
        <v>45593</v>
      </c>
      <c r="G197" s="17" t="n">
        <v>45607</v>
      </c>
      <c r="H197" s="18" t="n">
        <v>42</v>
      </c>
      <c r="I197" s="19" t="n">
        <v>33.4</v>
      </c>
      <c r="J197" s="19" t="n">
        <v>33</v>
      </c>
      <c r="K197" s="20" t="n">
        <v>0</v>
      </c>
      <c r="L197" s="20" t="n">
        <v>0</v>
      </c>
      <c r="M197" s="18" t="n">
        <v>42</v>
      </c>
      <c r="N197" s="18" t="n">
        <v>42</v>
      </c>
      <c r="O197" s="18" t="n">
        <v>0</v>
      </c>
      <c r="P197" s="17" t="n">
        <v>45605</v>
      </c>
      <c r="Q197" s="17" t="n">
        <v>45605</v>
      </c>
      <c r="R197" s="17" t="n">
        <v>45605</v>
      </c>
      <c r="S197" s="19">
        <f>H197*I197</f>
        <v/>
      </c>
      <c r="T197" s="19">
        <f>H197*J197</f>
        <v/>
      </c>
      <c r="U197">
        <f>IF(AND(K197=0,G197&lt;=Assumptions!$C$6),1,0)</f>
        <v/>
      </c>
      <c r="V197">
        <f>IF(U197=1,IF(M197&gt;0,IF(P197&lt;=G197+Assumptions!$C$7,1,0),0),0)</f>
        <v/>
      </c>
      <c r="W197">
        <f>IF(AND(U197=1,M197&gt;=H197*(1-Assumptions!$C$8)),1,0)</f>
        <v/>
      </c>
      <c r="X197">
        <f>IF(AND(U197=1,N197&gt;=H197*(1-Assumptions!$C$8)),1,0)</f>
        <v/>
      </c>
      <c r="Y197">
        <f>IF(ISNUMBER(Q197),1,0)</f>
        <v/>
      </c>
      <c r="Z197">
        <f>IF(AND(K197=0,L197=0,Y197=0),1,0)</f>
        <v/>
      </c>
      <c r="AA197">
        <f>IF(AND(Z197=1,G197&lt;Assumptions!$C$6),1,0)</f>
        <v/>
      </c>
      <c r="AB197">
        <f>IF(U197=0,"",IF(Y197=1,MAX(0,Q197-G197),IF(L197=1,MAX(0,R197-G197),MAX(0,Assumptions!$C$6-G197))))</f>
        <v/>
      </c>
      <c r="AC197">
        <f>IF(Y197=1,Q197-F197,"")</f>
        <v/>
      </c>
      <c r="AD197">
        <f>IF(Y197=1,AC197^2,"")</f>
        <v/>
      </c>
      <c r="AE197" s="19">
        <f>IF(Z197=1,(H197-M197)*I197,0)</f>
        <v/>
      </c>
      <c r="AF197">
        <f>IF(G197&lt;EDATE(Assumptions!$C$6,-12)+1,"prior_12m","last_12m")</f>
        <v/>
      </c>
      <c r="AG197" s="21">
        <f>DATE(YEAR(G197),MONTH(G197),1)</f>
        <v/>
      </c>
    </row>
    <row r="198">
      <c r="A198" t="inlineStr">
        <is>
          <t>SPO-00104-1</t>
        </is>
      </c>
      <c r="B198" t="inlineStr">
        <is>
          <t>SPO-00104</t>
        </is>
      </c>
      <c r="C198" t="inlineStr">
        <is>
          <t>SUP-05</t>
        </is>
      </c>
      <c r="D198" t="inlineStr">
        <is>
          <t>FLEET</t>
        </is>
      </c>
      <c r="E198" t="inlineStr">
        <is>
          <t>FLEET-08</t>
        </is>
      </c>
      <c r="F198" s="17" t="n">
        <v>45593</v>
      </c>
      <c r="G198" s="17" t="n">
        <v>45607</v>
      </c>
      <c r="H198" s="18" t="n">
        <v>306</v>
      </c>
      <c r="I198" s="19" t="n">
        <v>6.19</v>
      </c>
      <c r="J198" s="19" t="n">
        <v>6.4</v>
      </c>
      <c r="K198" s="20" t="n">
        <v>0</v>
      </c>
      <c r="L198" s="20" t="n">
        <v>0</v>
      </c>
      <c r="M198" s="18" t="n">
        <v>306</v>
      </c>
      <c r="N198" s="18" t="n">
        <v>306</v>
      </c>
      <c r="O198" s="18" t="n">
        <v>0</v>
      </c>
      <c r="P198" s="17" t="n">
        <v>45604</v>
      </c>
      <c r="Q198" s="17" t="n">
        <v>45604</v>
      </c>
      <c r="R198" s="17" t="n">
        <v>45604</v>
      </c>
      <c r="S198" s="19">
        <f>H198*I198</f>
        <v/>
      </c>
      <c r="T198" s="19">
        <f>H198*J198</f>
        <v/>
      </c>
      <c r="U198">
        <f>IF(AND(K198=0,G198&lt;=Assumptions!$C$6),1,0)</f>
        <v/>
      </c>
      <c r="V198">
        <f>IF(U198=1,IF(M198&gt;0,IF(P198&lt;=G198+Assumptions!$C$7,1,0),0),0)</f>
        <v/>
      </c>
      <c r="W198">
        <f>IF(AND(U198=1,M198&gt;=H198*(1-Assumptions!$C$8)),1,0)</f>
        <v/>
      </c>
      <c r="X198">
        <f>IF(AND(U198=1,N198&gt;=H198*(1-Assumptions!$C$8)),1,0)</f>
        <v/>
      </c>
      <c r="Y198">
        <f>IF(ISNUMBER(Q198),1,0)</f>
        <v/>
      </c>
      <c r="Z198">
        <f>IF(AND(K198=0,L198=0,Y198=0),1,0)</f>
        <v/>
      </c>
      <c r="AA198">
        <f>IF(AND(Z198=1,G198&lt;Assumptions!$C$6),1,0)</f>
        <v/>
      </c>
      <c r="AB198">
        <f>IF(U198=0,"",IF(Y198=1,MAX(0,Q198-G198),IF(L198=1,MAX(0,R198-G198),MAX(0,Assumptions!$C$6-G198))))</f>
        <v/>
      </c>
      <c r="AC198">
        <f>IF(Y198=1,Q198-F198,"")</f>
        <v/>
      </c>
      <c r="AD198">
        <f>IF(Y198=1,AC198^2,"")</f>
        <v/>
      </c>
      <c r="AE198" s="19">
        <f>IF(Z198=1,(H198-M198)*I198,0)</f>
        <v/>
      </c>
      <c r="AF198">
        <f>IF(G198&lt;EDATE(Assumptions!$C$6,-12)+1,"prior_12m","last_12m")</f>
        <v/>
      </c>
      <c r="AG198" s="21">
        <f>DATE(YEAR(G198),MONTH(G198),1)</f>
        <v/>
      </c>
    </row>
    <row r="199">
      <c r="A199" t="inlineStr">
        <is>
          <t>SPO-00105-1</t>
        </is>
      </c>
      <c r="B199" t="inlineStr">
        <is>
          <t>SPO-00105</t>
        </is>
      </c>
      <c r="C199" t="inlineStr">
        <is>
          <t>SUP-05</t>
        </is>
      </c>
      <c r="D199" t="inlineStr">
        <is>
          <t>FLEET</t>
        </is>
      </c>
      <c r="E199" t="inlineStr">
        <is>
          <t>FLEET-01</t>
        </is>
      </c>
      <c r="F199" s="17" t="n">
        <v>45593</v>
      </c>
      <c r="G199" s="17" t="n">
        <v>45607</v>
      </c>
      <c r="H199" s="18" t="n">
        <v>28</v>
      </c>
      <c r="I199" s="19" t="n">
        <v>62.8</v>
      </c>
      <c r="J199" s="19" t="n">
        <v>64</v>
      </c>
      <c r="K199" s="20" t="n">
        <v>0</v>
      </c>
      <c r="L199" s="20" t="n">
        <v>0</v>
      </c>
      <c r="M199" s="18" t="n">
        <v>28</v>
      </c>
      <c r="N199" s="18" t="n">
        <v>28</v>
      </c>
      <c r="O199" s="18" t="n">
        <v>0</v>
      </c>
      <c r="P199" s="17" t="n">
        <v>45604</v>
      </c>
      <c r="Q199" s="17" t="n">
        <v>45604</v>
      </c>
      <c r="R199" s="17" t="n">
        <v>45604</v>
      </c>
      <c r="S199" s="19">
        <f>H199*I199</f>
        <v/>
      </c>
      <c r="T199" s="19">
        <f>H199*J199</f>
        <v/>
      </c>
      <c r="U199">
        <f>IF(AND(K199=0,G199&lt;=Assumptions!$C$6),1,0)</f>
        <v/>
      </c>
      <c r="V199">
        <f>IF(U199=1,IF(M199&gt;0,IF(P199&lt;=G199+Assumptions!$C$7,1,0),0),0)</f>
        <v/>
      </c>
      <c r="W199">
        <f>IF(AND(U199=1,M199&gt;=H199*(1-Assumptions!$C$8)),1,0)</f>
        <v/>
      </c>
      <c r="X199">
        <f>IF(AND(U199=1,N199&gt;=H199*(1-Assumptions!$C$8)),1,0)</f>
        <v/>
      </c>
      <c r="Y199">
        <f>IF(ISNUMBER(Q199),1,0)</f>
        <v/>
      </c>
      <c r="Z199">
        <f>IF(AND(K199=0,L199=0,Y199=0),1,0)</f>
        <v/>
      </c>
      <c r="AA199">
        <f>IF(AND(Z199=1,G199&lt;Assumptions!$C$6),1,0)</f>
        <v/>
      </c>
      <c r="AB199">
        <f>IF(U199=0,"",IF(Y199=1,MAX(0,Q199-G199),IF(L199=1,MAX(0,R199-G199),MAX(0,Assumptions!$C$6-G199))))</f>
        <v/>
      </c>
      <c r="AC199">
        <f>IF(Y199=1,Q199-F199,"")</f>
        <v/>
      </c>
      <c r="AD199">
        <f>IF(Y199=1,AC199^2,"")</f>
        <v/>
      </c>
      <c r="AE199" s="19">
        <f>IF(Z199=1,(H199-M199)*I199,0)</f>
        <v/>
      </c>
      <c r="AF199">
        <f>IF(G199&lt;EDATE(Assumptions!$C$6,-12)+1,"prior_12m","last_12m")</f>
        <v/>
      </c>
      <c r="AG199" s="21">
        <f>DATE(YEAR(G199),MONTH(G199),1)</f>
        <v/>
      </c>
    </row>
    <row r="200">
      <c r="A200" t="inlineStr">
        <is>
          <t>SPO-00106-1</t>
        </is>
      </c>
      <c r="B200" t="inlineStr">
        <is>
          <t>SPO-00106</t>
        </is>
      </c>
      <c r="C200" t="inlineStr">
        <is>
          <t>SUP-07</t>
        </is>
      </c>
      <c r="D200" t="inlineStr">
        <is>
          <t>MRO</t>
        </is>
      </c>
      <c r="E200" t="inlineStr">
        <is>
          <t>MRO-01</t>
        </is>
      </c>
      <c r="F200" s="17" t="n">
        <v>45593</v>
      </c>
      <c r="G200" s="17" t="n">
        <v>45603</v>
      </c>
      <c r="H200" s="18" t="n">
        <v>41</v>
      </c>
      <c r="I200" s="19" t="n">
        <v>53.35</v>
      </c>
      <c r="J200" s="19" t="n">
        <v>52</v>
      </c>
      <c r="K200" s="20" t="n">
        <v>0</v>
      </c>
      <c r="L200" s="20" t="n">
        <v>0</v>
      </c>
      <c r="M200" s="18" t="n">
        <v>41</v>
      </c>
      <c r="N200" s="18" t="n">
        <v>41</v>
      </c>
      <c r="O200" s="18" t="n">
        <v>0</v>
      </c>
      <c r="P200" s="17" t="n">
        <v>45599</v>
      </c>
      <c r="Q200" s="17" t="n">
        <v>45599</v>
      </c>
      <c r="R200" s="17" t="n">
        <v>45599</v>
      </c>
      <c r="S200" s="19">
        <f>H200*I200</f>
        <v/>
      </c>
      <c r="T200" s="19">
        <f>H200*J200</f>
        <v/>
      </c>
      <c r="U200">
        <f>IF(AND(K200=0,G200&lt;=Assumptions!$C$6),1,0)</f>
        <v/>
      </c>
      <c r="V200">
        <f>IF(U200=1,IF(M200&gt;0,IF(P200&lt;=G200+Assumptions!$C$7,1,0),0),0)</f>
        <v/>
      </c>
      <c r="W200">
        <f>IF(AND(U200=1,M200&gt;=H200*(1-Assumptions!$C$8)),1,0)</f>
        <v/>
      </c>
      <c r="X200">
        <f>IF(AND(U200=1,N200&gt;=H200*(1-Assumptions!$C$8)),1,0)</f>
        <v/>
      </c>
      <c r="Y200">
        <f>IF(ISNUMBER(Q200),1,0)</f>
        <v/>
      </c>
      <c r="Z200">
        <f>IF(AND(K200=0,L200=0,Y200=0),1,0)</f>
        <v/>
      </c>
      <c r="AA200">
        <f>IF(AND(Z200=1,G200&lt;Assumptions!$C$6),1,0)</f>
        <v/>
      </c>
      <c r="AB200">
        <f>IF(U200=0,"",IF(Y200=1,MAX(0,Q200-G200),IF(L200=1,MAX(0,R200-G200),MAX(0,Assumptions!$C$6-G200))))</f>
        <v/>
      </c>
      <c r="AC200">
        <f>IF(Y200=1,Q200-F200,"")</f>
        <v/>
      </c>
      <c r="AD200">
        <f>IF(Y200=1,AC200^2,"")</f>
        <v/>
      </c>
      <c r="AE200" s="19">
        <f>IF(Z200=1,(H200-M200)*I200,0)</f>
        <v/>
      </c>
      <c r="AF200">
        <f>IF(G200&lt;EDATE(Assumptions!$C$6,-12)+1,"prior_12m","last_12m")</f>
        <v/>
      </c>
      <c r="AG200" s="21">
        <f>DATE(YEAR(G200),MONTH(G200),1)</f>
        <v/>
      </c>
    </row>
    <row r="201">
      <c r="A201" t="inlineStr">
        <is>
          <t>SPO-00107-1</t>
        </is>
      </c>
      <c r="B201" t="inlineStr">
        <is>
          <t>SPO-00107</t>
        </is>
      </c>
      <c r="C201" t="inlineStr">
        <is>
          <t>SUP-04</t>
        </is>
      </c>
      <c r="D201" t="inlineStr">
        <is>
          <t>FLEET</t>
        </is>
      </c>
      <c r="E201" t="inlineStr">
        <is>
          <t>FLEET-06</t>
        </is>
      </c>
      <c r="F201" s="17" t="n">
        <v>45594</v>
      </c>
      <c r="G201" s="17" t="n">
        <v>45607</v>
      </c>
      <c r="H201" s="18" t="n">
        <v>24</v>
      </c>
      <c r="I201" s="19" t="n">
        <v>32.26</v>
      </c>
      <c r="J201" s="19" t="n">
        <v>33</v>
      </c>
      <c r="K201" s="20" t="n">
        <v>0</v>
      </c>
      <c r="L201" s="20" t="n">
        <v>0</v>
      </c>
      <c r="M201" s="18" t="n">
        <v>24</v>
      </c>
      <c r="N201" s="18" t="n">
        <v>0</v>
      </c>
      <c r="O201" s="18" t="n">
        <v>0</v>
      </c>
      <c r="P201" s="17" t="n">
        <v>45609</v>
      </c>
      <c r="Q201" s="17" t="n">
        <v>45609</v>
      </c>
      <c r="R201" s="17" t="n">
        <v>45609</v>
      </c>
      <c r="S201" s="19">
        <f>H201*I201</f>
        <v/>
      </c>
      <c r="T201" s="19">
        <f>H201*J201</f>
        <v/>
      </c>
      <c r="U201">
        <f>IF(AND(K201=0,G201&lt;=Assumptions!$C$6),1,0)</f>
        <v/>
      </c>
      <c r="V201">
        <f>IF(U201=1,IF(M201&gt;0,IF(P201&lt;=G201+Assumptions!$C$7,1,0),0),0)</f>
        <v/>
      </c>
      <c r="W201">
        <f>IF(AND(U201=1,M201&gt;=H201*(1-Assumptions!$C$8)),1,0)</f>
        <v/>
      </c>
      <c r="X201">
        <f>IF(AND(U201=1,N201&gt;=H201*(1-Assumptions!$C$8)),1,0)</f>
        <v/>
      </c>
      <c r="Y201">
        <f>IF(ISNUMBER(Q201),1,0)</f>
        <v/>
      </c>
      <c r="Z201">
        <f>IF(AND(K201=0,L201=0,Y201=0),1,0)</f>
        <v/>
      </c>
      <c r="AA201">
        <f>IF(AND(Z201=1,G201&lt;Assumptions!$C$6),1,0)</f>
        <v/>
      </c>
      <c r="AB201">
        <f>IF(U201=0,"",IF(Y201=1,MAX(0,Q201-G201),IF(L201=1,MAX(0,R201-G201),MAX(0,Assumptions!$C$6-G201))))</f>
        <v/>
      </c>
      <c r="AC201">
        <f>IF(Y201=1,Q201-F201,"")</f>
        <v/>
      </c>
      <c r="AD201">
        <f>IF(Y201=1,AC201^2,"")</f>
        <v/>
      </c>
      <c r="AE201" s="19">
        <f>IF(Z201=1,(H201-M201)*I201,0)</f>
        <v/>
      </c>
      <c r="AF201">
        <f>IF(G201&lt;EDATE(Assumptions!$C$6,-12)+1,"prior_12m","last_12m")</f>
        <v/>
      </c>
      <c r="AG201" s="21">
        <f>DATE(YEAR(G201),MONTH(G201),1)</f>
        <v/>
      </c>
    </row>
    <row r="202">
      <c r="A202" t="inlineStr">
        <is>
          <t>SPO-00107-2</t>
        </is>
      </c>
      <c r="B202" t="inlineStr">
        <is>
          <t>SPO-00107</t>
        </is>
      </c>
      <c r="C202" t="inlineStr">
        <is>
          <t>SUP-04</t>
        </is>
      </c>
      <c r="D202" t="inlineStr">
        <is>
          <t>FLEET</t>
        </is>
      </c>
      <c r="E202" t="inlineStr">
        <is>
          <t>FLEET-04</t>
        </is>
      </c>
      <c r="F202" s="17" t="n">
        <v>45594</v>
      </c>
      <c r="G202" s="17" t="n">
        <v>45607</v>
      </c>
      <c r="H202" s="18" t="n">
        <v>172</v>
      </c>
      <c r="I202" s="19" t="n">
        <v>8.77</v>
      </c>
      <c r="J202" s="19" t="n">
        <v>9</v>
      </c>
      <c r="K202" s="20" t="n">
        <v>0</v>
      </c>
      <c r="L202" s="20" t="n">
        <v>0</v>
      </c>
      <c r="M202" s="18" t="n">
        <v>172</v>
      </c>
      <c r="N202" s="18" t="n">
        <v>172</v>
      </c>
      <c r="O202" s="18" t="n">
        <v>0</v>
      </c>
      <c r="P202" s="17" t="n">
        <v>45602</v>
      </c>
      <c r="Q202" s="17" t="n">
        <v>45602</v>
      </c>
      <c r="R202" s="17" t="n">
        <v>45602</v>
      </c>
      <c r="S202" s="19">
        <f>H202*I202</f>
        <v/>
      </c>
      <c r="T202" s="19">
        <f>H202*J202</f>
        <v/>
      </c>
      <c r="U202">
        <f>IF(AND(K202=0,G202&lt;=Assumptions!$C$6),1,0)</f>
        <v/>
      </c>
      <c r="V202">
        <f>IF(U202=1,IF(M202&gt;0,IF(P202&lt;=G202+Assumptions!$C$7,1,0),0),0)</f>
        <v/>
      </c>
      <c r="W202">
        <f>IF(AND(U202=1,M202&gt;=H202*(1-Assumptions!$C$8)),1,0)</f>
        <v/>
      </c>
      <c r="X202">
        <f>IF(AND(U202=1,N202&gt;=H202*(1-Assumptions!$C$8)),1,0)</f>
        <v/>
      </c>
      <c r="Y202">
        <f>IF(ISNUMBER(Q202),1,0)</f>
        <v/>
      </c>
      <c r="Z202">
        <f>IF(AND(K202=0,L202=0,Y202=0),1,0)</f>
        <v/>
      </c>
      <c r="AA202">
        <f>IF(AND(Z202=1,G202&lt;Assumptions!$C$6),1,0)</f>
        <v/>
      </c>
      <c r="AB202">
        <f>IF(U202=0,"",IF(Y202=1,MAX(0,Q202-G202),IF(L202=1,MAX(0,R202-G202),MAX(0,Assumptions!$C$6-G202))))</f>
        <v/>
      </c>
      <c r="AC202">
        <f>IF(Y202=1,Q202-F202,"")</f>
        <v/>
      </c>
      <c r="AD202">
        <f>IF(Y202=1,AC202^2,"")</f>
        <v/>
      </c>
      <c r="AE202" s="19">
        <f>IF(Z202=1,(H202-M202)*I202,0)</f>
        <v/>
      </c>
      <c r="AF202">
        <f>IF(G202&lt;EDATE(Assumptions!$C$6,-12)+1,"prior_12m","last_12m")</f>
        <v/>
      </c>
      <c r="AG202" s="21">
        <f>DATE(YEAR(G202),MONTH(G202),1)</f>
        <v/>
      </c>
    </row>
    <row r="203">
      <c r="A203" t="inlineStr">
        <is>
          <t>SPO-00107-3</t>
        </is>
      </c>
      <c r="B203" t="inlineStr">
        <is>
          <t>SPO-00107</t>
        </is>
      </c>
      <c r="C203" t="inlineStr">
        <is>
          <t>SUP-04</t>
        </is>
      </c>
      <c r="D203" t="inlineStr">
        <is>
          <t>FLEET</t>
        </is>
      </c>
      <c r="E203" t="inlineStr">
        <is>
          <t>FLEET-08</t>
        </is>
      </c>
      <c r="F203" s="17" t="n">
        <v>45594</v>
      </c>
      <c r="G203" s="17" t="n">
        <v>45607</v>
      </c>
      <c r="H203" s="18" t="n">
        <v>394</v>
      </c>
      <c r="I203" s="19" t="n">
        <v>6.49</v>
      </c>
      <c r="J203" s="19" t="n">
        <v>6.4</v>
      </c>
      <c r="K203" s="20" t="n">
        <v>0</v>
      </c>
      <c r="L203" s="20" t="n">
        <v>0</v>
      </c>
      <c r="M203" s="18" t="n">
        <v>394</v>
      </c>
      <c r="N203" s="18" t="n">
        <v>394</v>
      </c>
      <c r="O203" s="18" t="n">
        <v>0</v>
      </c>
      <c r="P203" s="17" t="n">
        <v>45597</v>
      </c>
      <c r="Q203" s="17" t="n">
        <v>45597</v>
      </c>
      <c r="R203" s="17" t="n">
        <v>45597</v>
      </c>
      <c r="S203" s="19">
        <f>H203*I203</f>
        <v/>
      </c>
      <c r="T203" s="19">
        <f>H203*J203</f>
        <v/>
      </c>
      <c r="U203">
        <f>IF(AND(K203=0,G203&lt;=Assumptions!$C$6),1,0)</f>
        <v/>
      </c>
      <c r="V203">
        <f>IF(U203=1,IF(M203&gt;0,IF(P203&lt;=G203+Assumptions!$C$7,1,0),0),0)</f>
        <v/>
      </c>
      <c r="W203">
        <f>IF(AND(U203=1,M203&gt;=H203*(1-Assumptions!$C$8)),1,0)</f>
        <v/>
      </c>
      <c r="X203">
        <f>IF(AND(U203=1,N203&gt;=H203*(1-Assumptions!$C$8)),1,0)</f>
        <v/>
      </c>
      <c r="Y203">
        <f>IF(ISNUMBER(Q203),1,0)</f>
        <v/>
      </c>
      <c r="Z203">
        <f>IF(AND(K203=0,L203=0,Y203=0),1,0)</f>
        <v/>
      </c>
      <c r="AA203">
        <f>IF(AND(Z203=1,G203&lt;Assumptions!$C$6),1,0)</f>
        <v/>
      </c>
      <c r="AB203">
        <f>IF(U203=0,"",IF(Y203=1,MAX(0,Q203-G203),IF(L203=1,MAX(0,R203-G203),MAX(0,Assumptions!$C$6-G203))))</f>
        <v/>
      </c>
      <c r="AC203">
        <f>IF(Y203=1,Q203-F203,"")</f>
        <v/>
      </c>
      <c r="AD203">
        <f>IF(Y203=1,AC203^2,"")</f>
        <v/>
      </c>
      <c r="AE203" s="19">
        <f>IF(Z203=1,(H203-M203)*I203,0)</f>
        <v/>
      </c>
      <c r="AF203">
        <f>IF(G203&lt;EDATE(Assumptions!$C$6,-12)+1,"prior_12m","last_12m")</f>
        <v/>
      </c>
      <c r="AG203" s="21">
        <f>DATE(YEAR(G203),MONTH(G203),1)</f>
        <v/>
      </c>
    </row>
    <row r="204">
      <c r="A204" t="inlineStr">
        <is>
          <t>SPO-00108-1</t>
        </is>
      </c>
      <c r="B204" t="inlineStr">
        <is>
          <t>SPO-00108</t>
        </is>
      </c>
      <c r="C204" t="inlineStr">
        <is>
          <t>SUP-09</t>
        </is>
      </c>
      <c r="D204" t="inlineStr">
        <is>
          <t>CHEM</t>
        </is>
      </c>
      <c r="E204" t="inlineStr">
        <is>
          <t>CHEM-04</t>
        </is>
      </c>
      <c r="F204" s="17" t="n">
        <v>45594</v>
      </c>
      <c r="G204" s="17" t="n">
        <v>45608</v>
      </c>
      <c r="H204" s="18" t="n">
        <v>2</v>
      </c>
      <c r="I204" s="19" t="n">
        <v>821.6</v>
      </c>
      <c r="J204" s="19" t="n">
        <v>820</v>
      </c>
      <c r="K204" s="20" t="n">
        <v>0</v>
      </c>
      <c r="L204" s="20" t="n">
        <v>0</v>
      </c>
      <c r="M204" s="18" t="n">
        <v>2</v>
      </c>
      <c r="N204" s="18" t="n">
        <v>2</v>
      </c>
      <c r="O204" s="18" t="n">
        <v>0</v>
      </c>
      <c r="P204" s="17" t="n">
        <v>45607</v>
      </c>
      <c r="Q204" s="17" t="n">
        <v>45607</v>
      </c>
      <c r="R204" s="17" t="n">
        <v>45607</v>
      </c>
      <c r="S204" s="19">
        <f>H204*I204</f>
        <v/>
      </c>
      <c r="T204" s="19">
        <f>H204*J204</f>
        <v/>
      </c>
      <c r="U204">
        <f>IF(AND(K204=0,G204&lt;=Assumptions!$C$6),1,0)</f>
        <v/>
      </c>
      <c r="V204">
        <f>IF(U204=1,IF(M204&gt;0,IF(P204&lt;=G204+Assumptions!$C$7,1,0),0),0)</f>
        <v/>
      </c>
      <c r="W204">
        <f>IF(AND(U204=1,M204&gt;=H204*(1-Assumptions!$C$8)),1,0)</f>
        <v/>
      </c>
      <c r="X204">
        <f>IF(AND(U204=1,N204&gt;=H204*(1-Assumptions!$C$8)),1,0)</f>
        <v/>
      </c>
      <c r="Y204">
        <f>IF(ISNUMBER(Q204),1,0)</f>
        <v/>
      </c>
      <c r="Z204">
        <f>IF(AND(K204=0,L204=0,Y204=0),1,0)</f>
        <v/>
      </c>
      <c r="AA204">
        <f>IF(AND(Z204=1,G204&lt;Assumptions!$C$6),1,0)</f>
        <v/>
      </c>
      <c r="AB204">
        <f>IF(U204=0,"",IF(Y204=1,MAX(0,Q204-G204),IF(L204=1,MAX(0,R204-G204),MAX(0,Assumptions!$C$6-G204))))</f>
        <v/>
      </c>
      <c r="AC204">
        <f>IF(Y204=1,Q204-F204,"")</f>
        <v/>
      </c>
      <c r="AD204">
        <f>IF(Y204=1,AC204^2,"")</f>
        <v/>
      </c>
      <c r="AE204" s="19">
        <f>IF(Z204=1,(H204-M204)*I204,0)</f>
        <v/>
      </c>
      <c r="AF204">
        <f>IF(G204&lt;EDATE(Assumptions!$C$6,-12)+1,"prior_12m","last_12m")</f>
        <v/>
      </c>
      <c r="AG204" s="21">
        <f>DATE(YEAR(G204),MONTH(G204),1)</f>
        <v/>
      </c>
    </row>
    <row r="205">
      <c r="A205" t="inlineStr">
        <is>
          <t>SPO-00108-2</t>
        </is>
      </c>
      <c r="B205" t="inlineStr">
        <is>
          <t>SPO-00108</t>
        </is>
      </c>
      <c r="C205" t="inlineStr">
        <is>
          <t>SUP-09</t>
        </is>
      </c>
      <c r="D205" t="inlineStr">
        <is>
          <t>CHEM</t>
        </is>
      </c>
      <c r="E205" t="inlineStr">
        <is>
          <t>CHEM-06</t>
        </is>
      </c>
      <c r="F205" s="17" t="n">
        <v>45594</v>
      </c>
      <c r="G205" s="17" t="n">
        <v>45608</v>
      </c>
      <c r="H205" s="18" t="n">
        <v>5</v>
      </c>
      <c r="I205" s="19" t="n">
        <v>375.73</v>
      </c>
      <c r="J205" s="19" t="n">
        <v>380</v>
      </c>
      <c r="K205" s="20" t="n">
        <v>0</v>
      </c>
      <c r="L205" s="20" t="n">
        <v>0</v>
      </c>
      <c r="M205" s="18" t="n">
        <v>5</v>
      </c>
      <c r="N205" s="18" t="n">
        <v>5</v>
      </c>
      <c r="O205" s="18" t="n">
        <v>0</v>
      </c>
      <c r="P205" s="17" t="n">
        <v>45605</v>
      </c>
      <c r="Q205" s="17" t="n">
        <v>45605</v>
      </c>
      <c r="R205" s="17" t="n">
        <v>45605</v>
      </c>
      <c r="S205" s="19">
        <f>H205*I205</f>
        <v/>
      </c>
      <c r="T205" s="19">
        <f>H205*J205</f>
        <v/>
      </c>
      <c r="U205">
        <f>IF(AND(K205=0,G205&lt;=Assumptions!$C$6),1,0)</f>
        <v/>
      </c>
      <c r="V205">
        <f>IF(U205=1,IF(M205&gt;0,IF(P205&lt;=G205+Assumptions!$C$7,1,0),0),0)</f>
        <v/>
      </c>
      <c r="W205">
        <f>IF(AND(U205=1,M205&gt;=H205*(1-Assumptions!$C$8)),1,0)</f>
        <v/>
      </c>
      <c r="X205">
        <f>IF(AND(U205=1,N205&gt;=H205*(1-Assumptions!$C$8)),1,0)</f>
        <v/>
      </c>
      <c r="Y205">
        <f>IF(ISNUMBER(Q205),1,0)</f>
        <v/>
      </c>
      <c r="Z205">
        <f>IF(AND(K205=0,L205=0,Y205=0),1,0)</f>
        <v/>
      </c>
      <c r="AA205">
        <f>IF(AND(Z205=1,G205&lt;Assumptions!$C$6),1,0)</f>
        <v/>
      </c>
      <c r="AB205">
        <f>IF(U205=0,"",IF(Y205=1,MAX(0,Q205-G205),IF(L205=1,MAX(0,R205-G205),MAX(0,Assumptions!$C$6-G205))))</f>
        <v/>
      </c>
      <c r="AC205">
        <f>IF(Y205=1,Q205-F205,"")</f>
        <v/>
      </c>
      <c r="AD205">
        <f>IF(Y205=1,AC205^2,"")</f>
        <v/>
      </c>
      <c r="AE205" s="19">
        <f>IF(Z205=1,(H205-M205)*I205,0)</f>
        <v/>
      </c>
      <c r="AF205">
        <f>IF(G205&lt;EDATE(Assumptions!$C$6,-12)+1,"prior_12m","last_12m")</f>
        <v/>
      </c>
      <c r="AG205" s="21">
        <f>DATE(YEAR(G205),MONTH(G205),1)</f>
        <v/>
      </c>
    </row>
    <row r="206">
      <c r="A206" t="inlineStr">
        <is>
          <t>SPO-00109-1</t>
        </is>
      </c>
      <c r="B206" t="inlineStr">
        <is>
          <t>SPO-00109</t>
        </is>
      </c>
      <c r="C206" t="inlineStr">
        <is>
          <t>SUP-05</t>
        </is>
      </c>
      <c r="D206" t="inlineStr">
        <is>
          <t>FLEET</t>
        </is>
      </c>
      <c r="E206" t="inlineStr">
        <is>
          <t>FLEET-02</t>
        </is>
      </c>
      <c r="F206" s="17" t="n">
        <v>45594</v>
      </c>
      <c r="G206" s="17" t="n">
        <v>45608</v>
      </c>
      <c r="H206" s="18" t="n">
        <v>191</v>
      </c>
      <c r="I206" s="19" t="n">
        <v>7.66</v>
      </c>
      <c r="J206" s="19" t="n">
        <v>7.5</v>
      </c>
      <c r="K206" s="20" t="n">
        <v>0</v>
      </c>
      <c r="L206" s="20" t="n">
        <v>0</v>
      </c>
      <c r="M206" s="18" t="n">
        <v>191</v>
      </c>
      <c r="N206" s="18" t="n">
        <v>191</v>
      </c>
      <c r="O206" s="18" t="n">
        <v>0</v>
      </c>
      <c r="P206" s="17" t="n">
        <v>45607</v>
      </c>
      <c r="Q206" s="17" t="n">
        <v>45607</v>
      </c>
      <c r="R206" s="17" t="n">
        <v>45607</v>
      </c>
      <c r="S206" s="19">
        <f>H206*I206</f>
        <v/>
      </c>
      <c r="T206" s="19">
        <f>H206*J206</f>
        <v/>
      </c>
      <c r="U206">
        <f>IF(AND(K206=0,G206&lt;=Assumptions!$C$6),1,0)</f>
        <v/>
      </c>
      <c r="V206">
        <f>IF(U206=1,IF(M206&gt;0,IF(P206&lt;=G206+Assumptions!$C$7,1,0),0),0)</f>
        <v/>
      </c>
      <c r="W206">
        <f>IF(AND(U206=1,M206&gt;=H206*(1-Assumptions!$C$8)),1,0)</f>
        <v/>
      </c>
      <c r="X206">
        <f>IF(AND(U206=1,N206&gt;=H206*(1-Assumptions!$C$8)),1,0)</f>
        <v/>
      </c>
      <c r="Y206">
        <f>IF(ISNUMBER(Q206),1,0)</f>
        <v/>
      </c>
      <c r="Z206">
        <f>IF(AND(K206=0,L206=0,Y206=0),1,0)</f>
        <v/>
      </c>
      <c r="AA206">
        <f>IF(AND(Z206=1,G206&lt;Assumptions!$C$6),1,0)</f>
        <v/>
      </c>
      <c r="AB206">
        <f>IF(U206=0,"",IF(Y206=1,MAX(0,Q206-G206),IF(L206=1,MAX(0,R206-G206),MAX(0,Assumptions!$C$6-G206))))</f>
        <v/>
      </c>
      <c r="AC206">
        <f>IF(Y206=1,Q206-F206,"")</f>
        <v/>
      </c>
      <c r="AD206">
        <f>IF(Y206=1,AC206^2,"")</f>
        <v/>
      </c>
      <c r="AE206" s="19">
        <f>IF(Z206=1,(H206-M206)*I206,0)</f>
        <v/>
      </c>
      <c r="AF206">
        <f>IF(G206&lt;EDATE(Assumptions!$C$6,-12)+1,"prior_12m","last_12m")</f>
        <v/>
      </c>
      <c r="AG206" s="21">
        <f>DATE(YEAR(G206),MONTH(G206),1)</f>
        <v/>
      </c>
    </row>
    <row r="207">
      <c r="A207" t="inlineStr">
        <is>
          <t>SPO-00109-2</t>
        </is>
      </c>
      <c r="B207" t="inlineStr">
        <is>
          <t>SPO-00109</t>
        </is>
      </c>
      <c r="C207" t="inlineStr">
        <is>
          <t>SUP-05</t>
        </is>
      </c>
      <c r="D207" t="inlineStr">
        <is>
          <t>FLEET</t>
        </is>
      </c>
      <c r="E207" t="inlineStr">
        <is>
          <t>FLEET-04</t>
        </is>
      </c>
      <c r="F207" s="17" t="n">
        <v>45594</v>
      </c>
      <c r="G207" s="17" t="n">
        <v>45608</v>
      </c>
      <c r="H207" s="18" t="n">
        <v>281</v>
      </c>
      <c r="I207" s="19" t="n">
        <v>9.26</v>
      </c>
      <c r="J207" s="19" t="n">
        <v>9</v>
      </c>
      <c r="K207" s="20" t="n">
        <v>0</v>
      </c>
      <c r="L207" s="20" t="n">
        <v>0</v>
      </c>
      <c r="M207" s="18" t="n">
        <v>281</v>
      </c>
      <c r="N207" s="18" t="n">
        <v>281</v>
      </c>
      <c r="O207" s="18" t="n">
        <v>0</v>
      </c>
      <c r="P207" s="17" t="n">
        <v>45605</v>
      </c>
      <c r="Q207" s="17" t="n">
        <v>45605</v>
      </c>
      <c r="R207" s="17" t="n">
        <v>45605</v>
      </c>
      <c r="S207" s="19">
        <f>H207*I207</f>
        <v/>
      </c>
      <c r="T207" s="19">
        <f>H207*J207</f>
        <v/>
      </c>
      <c r="U207">
        <f>IF(AND(K207=0,G207&lt;=Assumptions!$C$6),1,0)</f>
        <v/>
      </c>
      <c r="V207">
        <f>IF(U207=1,IF(M207&gt;0,IF(P207&lt;=G207+Assumptions!$C$7,1,0),0),0)</f>
        <v/>
      </c>
      <c r="W207">
        <f>IF(AND(U207=1,M207&gt;=H207*(1-Assumptions!$C$8)),1,0)</f>
        <v/>
      </c>
      <c r="X207">
        <f>IF(AND(U207=1,N207&gt;=H207*(1-Assumptions!$C$8)),1,0)</f>
        <v/>
      </c>
      <c r="Y207">
        <f>IF(ISNUMBER(Q207),1,0)</f>
        <v/>
      </c>
      <c r="Z207">
        <f>IF(AND(K207=0,L207=0,Y207=0),1,0)</f>
        <v/>
      </c>
      <c r="AA207">
        <f>IF(AND(Z207=1,G207&lt;Assumptions!$C$6),1,0)</f>
        <v/>
      </c>
      <c r="AB207">
        <f>IF(U207=0,"",IF(Y207=1,MAX(0,Q207-G207),IF(L207=1,MAX(0,R207-G207),MAX(0,Assumptions!$C$6-G207))))</f>
        <v/>
      </c>
      <c r="AC207">
        <f>IF(Y207=1,Q207-F207,"")</f>
        <v/>
      </c>
      <c r="AD207">
        <f>IF(Y207=1,AC207^2,"")</f>
        <v/>
      </c>
      <c r="AE207" s="19">
        <f>IF(Z207=1,(H207-M207)*I207,0)</f>
        <v/>
      </c>
      <c r="AF207">
        <f>IF(G207&lt;EDATE(Assumptions!$C$6,-12)+1,"prior_12m","last_12m")</f>
        <v/>
      </c>
      <c r="AG207" s="21">
        <f>DATE(YEAR(G207),MONTH(G207),1)</f>
        <v/>
      </c>
    </row>
    <row r="208">
      <c r="A208" t="inlineStr">
        <is>
          <t>SPO-00110-1</t>
        </is>
      </c>
      <c r="B208" t="inlineStr">
        <is>
          <t>SPO-00110</t>
        </is>
      </c>
      <c r="C208" t="inlineStr">
        <is>
          <t>SUP-05</t>
        </is>
      </c>
      <c r="D208" t="inlineStr">
        <is>
          <t>FLEET</t>
        </is>
      </c>
      <c r="E208" t="inlineStr">
        <is>
          <t>FLEET-08</t>
        </is>
      </c>
      <c r="F208" s="17" t="n">
        <v>45594</v>
      </c>
      <c r="G208" s="17" t="n">
        <v>45608</v>
      </c>
      <c r="H208" s="18" t="n">
        <v>284</v>
      </c>
      <c r="I208" s="19" t="n">
        <v>6.7</v>
      </c>
      <c r="J208" s="19" t="n">
        <v>6.4</v>
      </c>
      <c r="K208" s="20" t="n">
        <v>0</v>
      </c>
      <c r="L208" s="20" t="n">
        <v>0</v>
      </c>
      <c r="M208" s="18" t="n">
        <v>284</v>
      </c>
      <c r="N208" s="18" t="n">
        <v>284</v>
      </c>
      <c r="O208" s="18" t="n">
        <v>0</v>
      </c>
      <c r="P208" s="17" t="n">
        <v>45604</v>
      </c>
      <c r="Q208" s="17" t="n">
        <v>45604</v>
      </c>
      <c r="R208" s="17" t="n">
        <v>45604</v>
      </c>
      <c r="S208" s="19">
        <f>H208*I208</f>
        <v/>
      </c>
      <c r="T208" s="19">
        <f>H208*J208</f>
        <v/>
      </c>
      <c r="U208">
        <f>IF(AND(K208=0,G208&lt;=Assumptions!$C$6),1,0)</f>
        <v/>
      </c>
      <c r="V208">
        <f>IF(U208=1,IF(M208&gt;0,IF(P208&lt;=G208+Assumptions!$C$7,1,0),0),0)</f>
        <v/>
      </c>
      <c r="W208">
        <f>IF(AND(U208=1,M208&gt;=H208*(1-Assumptions!$C$8)),1,0)</f>
        <v/>
      </c>
      <c r="X208">
        <f>IF(AND(U208=1,N208&gt;=H208*(1-Assumptions!$C$8)),1,0)</f>
        <v/>
      </c>
      <c r="Y208">
        <f>IF(ISNUMBER(Q208),1,0)</f>
        <v/>
      </c>
      <c r="Z208">
        <f>IF(AND(K208=0,L208=0,Y208=0),1,0)</f>
        <v/>
      </c>
      <c r="AA208">
        <f>IF(AND(Z208=1,G208&lt;Assumptions!$C$6),1,0)</f>
        <v/>
      </c>
      <c r="AB208">
        <f>IF(U208=0,"",IF(Y208=1,MAX(0,Q208-G208),IF(L208=1,MAX(0,R208-G208),MAX(0,Assumptions!$C$6-G208))))</f>
        <v/>
      </c>
      <c r="AC208">
        <f>IF(Y208=1,Q208-F208,"")</f>
        <v/>
      </c>
      <c r="AD208">
        <f>IF(Y208=1,AC208^2,"")</f>
        <v/>
      </c>
      <c r="AE208" s="19">
        <f>IF(Z208=1,(H208-M208)*I208,0)</f>
        <v/>
      </c>
      <c r="AF208">
        <f>IF(G208&lt;EDATE(Assumptions!$C$6,-12)+1,"prior_12m","last_12m")</f>
        <v/>
      </c>
      <c r="AG208" s="21">
        <f>DATE(YEAR(G208),MONTH(G208),1)</f>
        <v/>
      </c>
    </row>
    <row r="209">
      <c r="A209" t="inlineStr">
        <is>
          <t>SPO-00110-2</t>
        </is>
      </c>
      <c r="B209" t="inlineStr">
        <is>
          <t>SPO-00110</t>
        </is>
      </c>
      <c r="C209" t="inlineStr">
        <is>
          <t>SUP-05</t>
        </is>
      </c>
      <c r="D209" t="inlineStr">
        <is>
          <t>FLEET</t>
        </is>
      </c>
      <c r="E209" t="inlineStr">
        <is>
          <t>FLEET-06</t>
        </is>
      </c>
      <c r="F209" s="17" t="n">
        <v>45594</v>
      </c>
      <c r="G209" s="17" t="n">
        <v>45608</v>
      </c>
      <c r="H209" s="18" t="n">
        <v>59</v>
      </c>
      <c r="I209" s="19" t="n">
        <v>34.05</v>
      </c>
      <c r="J209" s="19" t="n">
        <v>33</v>
      </c>
      <c r="K209" s="20" t="n">
        <v>0</v>
      </c>
      <c r="L209" s="20" t="n">
        <v>0</v>
      </c>
      <c r="M209" s="18" t="n">
        <v>59</v>
      </c>
      <c r="N209" s="18" t="n">
        <v>59</v>
      </c>
      <c r="O209" s="18" t="n">
        <v>0</v>
      </c>
      <c r="P209" s="17" t="n">
        <v>45605</v>
      </c>
      <c r="Q209" s="17" t="n">
        <v>45605</v>
      </c>
      <c r="R209" s="17" t="n">
        <v>45605</v>
      </c>
      <c r="S209" s="19">
        <f>H209*I209</f>
        <v/>
      </c>
      <c r="T209" s="19">
        <f>H209*J209</f>
        <v/>
      </c>
      <c r="U209">
        <f>IF(AND(K209=0,G209&lt;=Assumptions!$C$6),1,0)</f>
        <v/>
      </c>
      <c r="V209">
        <f>IF(U209=1,IF(M209&gt;0,IF(P209&lt;=G209+Assumptions!$C$7,1,0),0),0)</f>
        <v/>
      </c>
      <c r="W209">
        <f>IF(AND(U209=1,M209&gt;=H209*(1-Assumptions!$C$8)),1,0)</f>
        <v/>
      </c>
      <c r="X209">
        <f>IF(AND(U209=1,N209&gt;=H209*(1-Assumptions!$C$8)),1,0)</f>
        <v/>
      </c>
      <c r="Y209">
        <f>IF(ISNUMBER(Q209),1,0)</f>
        <v/>
      </c>
      <c r="Z209">
        <f>IF(AND(K209=0,L209=0,Y209=0),1,0)</f>
        <v/>
      </c>
      <c r="AA209">
        <f>IF(AND(Z209=1,G209&lt;Assumptions!$C$6),1,0)</f>
        <v/>
      </c>
      <c r="AB209">
        <f>IF(U209=0,"",IF(Y209=1,MAX(0,Q209-G209),IF(L209=1,MAX(0,R209-G209),MAX(0,Assumptions!$C$6-G209))))</f>
        <v/>
      </c>
      <c r="AC209">
        <f>IF(Y209=1,Q209-F209,"")</f>
        <v/>
      </c>
      <c r="AD209">
        <f>IF(Y209=1,AC209^2,"")</f>
        <v/>
      </c>
      <c r="AE209" s="19">
        <f>IF(Z209=1,(H209-M209)*I209,0)</f>
        <v/>
      </c>
      <c r="AF209">
        <f>IF(G209&lt;EDATE(Assumptions!$C$6,-12)+1,"prior_12m","last_12m")</f>
        <v/>
      </c>
      <c r="AG209" s="21">
        <f>DATE(YEAR(G209),MONTH(G209),1)</f>
        <v/>
      </c>
    </row>
    <row r="210">
      <c r="A210" t="inlineStr">
        <is>
          <t>SPO-00111-1</t>
        </is>
      </c>
      <c r="B210" t="inlineStr">
        <is>
          <t>SPO-00111</t>
        </is>
      </c>
      <c r="C210" t="inlineStr">
        <is>
          <t>SUP-04</t>
        </is>
      </c>
      <c r="D210" t="inlineStr">
        <is>
          <t>FLEET</t>
        </is>
      </c>
      <c r="E210" t="inlineStr">
        <is>
          <t>FLEET-05</t>
        </is>
      </c>
      <c r="F210" s="17" t="n">
        <v>45594</v>
      </c>
      <c r="G210" s="17" t="n">
        <v>45607</v>
      </c>
      <c r="H210" s="18" t="n">
        <v>6</v>
      </c>
      <c r="I210" s="19" t="n">
        <v>166.72</v>
      </c>
      <c r="J210" s="19" t="n">
        <v>168</v>
      </c>
      <c r="K210" s="20" t="n">
        <v>0</v>
      </c>
      <c r="L210" s="20" t="n">
        <v>0</v>
      </c>
      <c r="M210" s="18" t="n">
        <v>6</v>
      </c>
      <c r="N210" s="18" t="n">
        <v>0</v>
      </c>
      <c r="O210" s="18" t="n">
        <v>0</v>
      </c>
      <c r="P210" s="17" t="n">
        <v>45614</v>
      </c>
      <c r="Q210" s="17" t="n">
        <v>45614</v>
      </c>
      <c r="R210" s="17" t="n">
        <v>45614</v>
      </c>
      <c r="S210" s="19">
        <f>H210*I210</f>
        <v/>
      </c>
      <c r="T210" s="19">
        <f>H210*J210</f>
        <v/>
      </c>
      <c r="U210">
        <f>IF(AND(K210=0,G210&lt;=Assumptions!$C$6),1,0)</f>
        <v/>
      </c>
      <c r="V210">
        <f>IF(U210=1,IF(M210&gt;0,IF(P210&lt;=G210+Assumptions!$C$7,1,0),0),0)</f>
        <v/>
      </c>
      <c r="W210">
        <f>IF(AND(U210=1,M210&gt;=H210*(1-Assumptions!$C$8)),1,0)</f>
        <v/>
      </c>
      <c r="X210">
        <f>IF(AND(U210=1,N210&gt;=H210*(1-Assumptions!$C$8)),1,0)</f>
        <v/>
      </c>
      <c r="Y210">
        <f>IF(ISNUMBER(Q210),1,0)</f>
        <v/>
      </c>
      <c r="Z210">
        <f>IF(AND(K210=0,L210=0,Y210=0),1,0)</f>
        <v/>
      </c>
      <c r="AA210">
        <f>IF(AND(Z210=1,G210&lt;Assumptions!$C$6),1,0)</f>
        <v/>
      </c>
      <c r="AB210">
        <f>IF(U210=0,"",IF(Y210=1,MAX(0,Q210-G210),IF(L210=1,MAX(0,R210-G210),MAX(0,Assumptions!$C$6-G210))))</f>
        <v/>
      </c>
      <c r="AC210">
        <f>IF(Y210=1,Q210-F210,"")</f>
        <v/>
      </c>
      <c r="AD210">
        <f>IF(Y210=1,AC210^2,"")</f>
        <v/>
      </c>
      <c r="AE210" s="19">
        <f>IF(Z210=1,(H210-M210)*I210,0)</f>
        <v/>
      </c>
      <c r="AF210">
        <f>IF(G210&lt;EDATE(Assumptions!$C$6,-12)+1,"prior_12m","last_12m")</f>
        <v/>
      </c>
      <c r="AG210" s="21">
        <f>DATE(YEAR(G210),MONTH(G210),1)</f>
        <v/>
      </c>
    </row>
    <row r="211">
      <c r="A211" t="inlineStr">
        <is>
          <t>SPO-00112-1</t>
        </is>
      </c>
      <c r="B211" t="inlineStr">
        <is>
          <t>SPO-00112</t>
        </is>
      </c>
      <c r="C211" t="inlineStr">
        <is>
          <t>SUP-14</t>
        </is>
      </c>
      <c r="D211" t="inlineStr">
        <is>
          <t>FLEET</t>
        </is>
      </c>
      <c r="E211" t="inlineStr">
        <is>
          <t>FLEET-04</t>
        </is>
      </c>
      <c r="F211" s="17" t="n">
        <v>45595</v>
      </c>
      <c r="G211" s="17" t="n">
        <v>45609</v>
      </c>
      <c r="H211" s="18" t="n">
        <v>66</v>
      </c>
      <c r="I211" s="19" t="n">
        <v>9</v>
      </c>
      <c r="J211" s="19" t="n">
        <v>9</v>
      </c>
      <c r="K211" s="20" t="n">
        <v>0</v>
      </c>
      <c r="L211" s="20" t="n">
        <v>0</v>
      </c>
      <c r="M211" s="18" t="n">
        <v>66</v>
      </c>
      <c r="N211" s="18" t="n">
        <v>0</v>
      </c>
      <c r="O211" s="18" t="n">
        <v>0</v>
      </c>
      <c r="P211" s="17" t="n">
        <v>45610</v>
      </c>
      <c r="Q211" s="17" t="n">
        <v>45610</v>
      </c>
      <c r="R211" s="17" t="n">
        <v>45610</v>
      </c>
      <c r="S211" s="19">
        <f>H211*I211</f>
        <v/>
      </c>
      <c r="T211" s="19">
        <f>H211*J211</f>
        <v/>
      </c>
      <c r="U211">
        <f>IF(AND(K211=0,G211&lt;=Assumptions!$C$6),1,0)</f>
        <v/>
      </c>
      <c r="V211">
        <f>IF(U211=1,IF(M211&gt;0,IF(P211&lt;=G211+Assumptions!$C$7,1,0),0),0)</f>
        <v/>
      </c>
      <c r="W211">
        <f>IF(AND(U211=1,M211&gt;=H211*(1-Assumptions!$C$8)),1,0)</f>
        <v/>
      </c>
      <c r="X211">
        <f>IF(AND(U211=1,N211&gt;=H211*(1-Assumptions!$C$8)),1,0)</f>
        <v/>
      </c>
      <c r="Y211">
        <f>IF(ISNUMBER(Q211),1,0)</f>
        <v/>
      </c>
      <c r="Z211">
        <f>IF(AND(K211=0,L211=0,Y211=0),1,0)</f>
        <v/>
      </c>
      <c r="AA211">
        <f>IF(AND(Z211=1,G211&lt;Assumptions!$C$6),1,0)</f>
        <v/>
      </c>
      <c r="AB211">
        <f>IF(U211=0,"",IF(Y211=1,MAX(0,Q211-G211),IF(L211=1,MAX(0,R211-G211),MAX(0,Assumptions!$C$6-G211))))</f>
        <v/>
      </c>
      <c r="AC211">
        <f>IF(Y211=1,Q211-F211,"")</f>
        <v/>
      </c>
      <c r="AD211">
        <f>IF(Y211=1,AC211^2,"")</f>
        <v/>
      </c>
      <c r="AE211" s="19">
        <f>IF(Z211=1,(H211-M211)*I211,0)</f>
        <v/>
      </c>
      <c r="AF211">
        <f>IF(G211&lt;EDATE(Assumptions!$C$6,-12)+1,"prior_12m","last_12m")</f>
        <v/>
      </c>
      <c r="AG211" s="21">
        <f>DATE(YEAR(G211),MONTH(G211),1)</f>
        <v/>
      </c>
    </row>
    <row r="212">
      <c r="A212" t="inlineStr">
        <is>
          <t>SPO-00113-1</t>
        </is>
      </c>
      <c r="B212" t="inlineStr">
        <is>
          <t>SPO-00113</t>
        </is>
      </c>
      <c r="C212" t="inlineStr">
        <is>
          <t>SUP-02</t>
        </is>
      </c>
      <c r="D212" t="inlineStr">
        <is>
          <t>ELEC</t>
        </is>
      </c>
      <c r="E212" t="inlineStr">
        <is>
          <t>ELEC-07</t>
        </is>
      </c>
      <c r="F212" s="17" t="n">
        <v>45595</v>
      </c>
      <c r="G212" s="17" t="n">
        <v>45611</v>
      </c>
      <c r="H212" s="18" t="n">
        <v>61</v>
      </c>
      <c r="I212" s="19" t="n">
        <v>9.890000000000001</v>
      </c>
      <c r="J212" s="19" t="n">
        <v>9.800000000000001</v>
      </c>
      <c r="K212" s="20" t="n">
        <v>0</v>
      </c>
      <c r="L212" s="20" t="n">
        <v>0</v>
      </c>
      <c r="M212" s="18" t="n">
        <v>61</v>
      </c>
      <c r="N212" s="18" t="n">
        <v>61</v>
      </c>
      <c r="O212" s="18" t="n">
        <v>0</v>
      </c>
      <c r="P212" s="17" t="n">
        <v>45608</v>
      </c>
      <c r="Q212" s="17" t="n">
        <v>45608</v>
      </c>
      <c r="R212" s="17" t="n">
        <v>45608</v>
      </c>
      <c r="S212" s="19">
        <f>H212*I212</f>
        <v/>
      </c>
      <c r="T212" s="19">
        <f>H212*J212</f>
        <v/>
      </c>
      <c r="U212">
        <f>IF(AND(K212=0,G212&lt;=Assumptions!$C$6),1,0)</f>
        <v/>
      </c>
      <c r="V212">
        <f>IF(U212=1,IF(M212&gt;0,IF(P212&lt;=G212+Assumptions!$C$7,1,0),0),0)</f>
        <v/>
      </c>
      <c r="W212">
        <f>IF(AND(U212=1,M212&gt;=H212*(1-Assumptions!$C$8)),1,0)</f>
        <v/>
      </c>
      <c r="X212">
        <f>IF(AND(U212=1,N212&gt;=H212*(1-Assumptions!$C$8)),1,0)</f>
        <v/>
      </c>
      <c r="Y212">
        <f>IF(ISNUMBER(Q212),1,0)</f>
        <v/>
      </c>
      <c r="Z212">
        <f>IF(AND(K212=0,L212=0,Y212=0),1,0)</f>
        <v/>
      </c>
      <c r="AA212">
        <f>IF(AND(Z212=1,G212&lt;Assumptions!$C$6),1,0)</f>
        <v/>
      </c>
      <c r="AB212">
        <f>IF(U212=0,"",IF(Y212=1,MAX(0,Q212-G212),IF(L212=1,MAX(0,R212-G212),MAX(0,Assumptions!$C$6-G212))))</f>
        <v/>
      </c>
      <c r="AC212">
        <f>IF(Y212=1,Q212-F212,"")</f>
        <v/>
      </c>
      <c r="AD212">
        <f>IF(Y212=1,AC212^2,"")</f>
        <v/>
      </c>
      <c r="AE212" s="19">
        <f>IF(Z212=1,(H212-M212)*I212,0)</f>
        <v/>
      </c>
      <c r="AF212">
        <f>IF(G212&lt;EDATE(Assumptions!$C$6,-12)+1,"prior_12m","last_12m")</f>
        <v/>
      </c>
      <c r="AG212" s="21">
        <f>DATE(YEAR(G212),MONTH(G212),1)</f>
        <v/>
      </c>
    </row>
    <row r="213">
      <c r="A213" t="inlineStr">
        <is>
          <t>SPO-00114-1</t>
        </is>
      </c>
      <c r="B213" t="inlineStr">
        <is>
          <t>SPO-00114</t>
        </is>
      </c>
      <c r="C213" t="inlineStr">
        <is>
          <t>SUP-13</t>
        </is>
      </c>
      <c r="D213" t="inlineStr">
        <is>
          <t>IT</t>
        </is>
      </c>
      <c r="E213" t="inlineStr">
        <is>
          <t>IT-06</t>
        </is>
      </c>
      <c r="F213" s="17" t="n">
        <v>45595</v>
      </c>
      <c r="G213" s="17" t="n">
        <v>45606</v>
      </c>
      <c r="H213" s="18" t="n">
        <v>48</v>
      </c>
      <c r="I213" s="19" t="n">
        <v>88.39</v>
      </c>
      <c r="J213" s="19" t="n">
        <v>89</v>
      </c>
      <c r="K213" s="20" t="n">
        <v>0</v>
      </c>
      <c r="L213" s="20" t="n">
        <v>0</v>
      </c>
      <c r="M213" s="18" t="n">
        <v>48</v>
      </c>
      <c r="N213" s="18" t="n">
        <v>48</v>
      </c>
      <c r="O213" s="18" t="n">
        <v>0</v>
      </c>
      <c r="P213" s="17" t="n">
        <v>45602</v>
      </c>
      <c r="Q213" s="17" t="n">
        <v>45602</v>
      </c>
      <c r="R213" s="17" t="n">
        <v>45602</v>
      </c>
      <c r="S213" s="19">
        <f>H213*I213</f>
        <v/>
      </c>
      <c r="T213" s="19">
        <f>H213*J213</f>
        <v/>
      </c>
      <c r="U213">
        <f>IF(AND(K213=0,G213&lt;=Assumptions!$C$6),1,0)</f>
        <v/>
      </c>
      <c r="V213">
        <f>IF(U213=1,IF(M213&gt;0,IF(P213&lt;=G213+Assumptions!$C$7,1,0),0),0)</f>
        <v/>
      </c>
      <c r="W213">
        <f>IF(AND(U213=1,M213&gt;=H213*(1-Assumptions!$C$8)),1,0)</f>
        <v/>
      </c>
      <c r="X213">
        <f>IF(AND(U213=1,N213&gt;=H213*(1-Assumptions!$C$8)),1,0)</f>
        <v/>
      </c>
      <c r="Y213">
        <f>IF(ISNUMBER(Q213),1,0)</f>
        <v/>
      </c>
      <c r="Z213">
        <f>IF(AND(K213=0,L213=0,Y213=0),1,0)</f>
        <v/>
      </c>
      <c r="AA213">
        <f>IF(AND(Z213=1,G213&lt;Assumptions!$C$6),1,0)</f>
        <v/>
      </c>
      <c r="AB213">
        <f>IF(U213=0,"",IF(Y213=1,MAX(0,Q213-G213),IF(L213=1,MAX(0,R213-G213),MAX(0,Assumptions!$C$6-G213))))</f>
        <v/>
      </c>
      <c r="AC213">
        <f>IF(Y213=1,Q213-F213,"")</f>
        <v/>
      </c>
      <c r="AD213">
        <f>IF(Y213=1,AC213^2,"")</f>
        <v/>
      </c>
      <c r="AE213" s="19">
        <f>IF(Z213=1,(H213-M213)*I213,0)</f>
        <v/>
      </c>
      <c r="AF213">
        <f>IF(G213&lt;EDATE(Assumptions!$C$6,-12)+1,"prior_12m","last_12m")</f>
        <v/>
      </c>
      <c r="AG213" s="21">
        <f>DATE(YEAR(G213),MONTH(G213),1)</f>
        <v/>
      </c>
    </row>
    <row r="214">
      <c r="A214" t="inlineStr">
        <is>
          <t>SPO-00114-2</t>
        </is>
      </c>
      <c r="B214" t="inlineStr">
        <is>
          <t>SPO-00114</t>
        </is>
      </c>
      <c r="C214" t="inlineStr">
        <is>
          <t>SUP-13</t>
        </is>
      </c>
      <c r="D214" t="inlineStr">
        <is>
          <t>IT</t>
        </is>
      </c>
      <c r="E214" t="inlineStr">
        <is>
          <t>IT-07</t>
        </is>
      </c>
      <c r="F214" s="17" t="n">
        <v>45595</v>
      </c>
      <c r="G214" s="17" t="n">
        <v>45606</v>
      </c>
      <c r="H214" s="18" t="n">
        <v>15</v>
      </c>
      <c r="I214" s="19" t="n">
        <v>73.58</v>
      </c>
      <c r="J214" s="19" t="n">
        <v>74</v>
      </c>
      <c r="K214" s="20" t="n">
        <v>0</v>
      </c>
      <c r="L214" s="20" t="n">
        <v>0</v>
      </c>
      <c r="M214" s="18" t="n">
        <v>15</v>
      </c>
      <c r="N214" s="18" t="n">
        <v>15</v>
      </c>
      <c r="O214" s="18" t="n">
        <v>0</v>
      </c>
      <c r="P214" s="17" t="n">
        <v>45604</v>
      </c>
      <c r="Q214" s="17" t="n">
        <v>45604</v>
      </c>
      <c r="R214" s="17" t="n">
        <v>45604</v>
      </c>
      <c r="S214" s="19">
        <f>H214*I214</f>
        <v/>
      </c>
      <c r="T214" s="19">
        <f>H214*J214</f>
        <v/>
      </c>
      <c r="U214">
        <f>IF(AND(K214=0,G214&lt;=Assumptions!$C$6),1,0)</f>
        <v/>
      </c>
      <c r="V214">
        <f>IF(U214=1,IF(M214&gt;0,IF(P214&lt;=G214+Assumptions!$C$7,1,0),0),0)</f>
        <v/>
      </c>
      <c r="W214">
        <f>IF(AND(U214=1,M214&gt;=H214*(1-Assumptions!$C$8)),1,0)</f>
        <v/>
      </c>
      <c r="X214">
        <f>IF(AND(U214=1,N214&gt;=H214*(1-Assumptions!$C$8)),1,0)</f>
        <v/>
      </c>
      <c r="Y214">
        <f>IF(ISNUMBER(Q214),1,0)</f>
        <v/>
      </c>
      <c r="Z214">
        <f>IF(AND(K214=0,L214=0,Y214=0),1,0)</f>
        <v/>
      </c>
      <c r="AA214">
        <f>IF(AND(Z214=1,G214&lt;Assumptions!$C$6),1,0)</f>
        <v/>
      </c>
      <c r="AB214">
        <f>IF(U214=0,"",IF(Y214=1,MAX(0,Q214-G214),IF(L214=1,MAX(0,R214-G214),MAX(0,Assumptions!$C$6-G214))))</f>
        <v/>
      </c>
      <c r="AC214">
        <f>IF(Y214=1,Q214-F214,"")</f>
        <v/>
      </c>
      <c r="AD214">
        <f>IF(Y214=1,AC214^2,"")</f>
        <v/>
      </c>
      <c r="AE214" s="19">
        <f>IF(Z214=1,(H214-M214)*I214,0)</f>
        <v/>
      </c>
      <c r="AF214">
        <f>IF(G214&lt;EDATE(Assumptions!$C$6,-12)+1,"prior_12m","last_12m")</f>
        <v/>
      </c>
      <c r="AG214" s="21">
        <f>DATE(YEAR(G214),MONTH(G214),1)</f>
        <v/>
      </c>
    </row>
    <row r="215">
      <c r="A215" t="inlineStr">
        <is>
          <t>SPO-00114-3</t>
        </is>
      </c>
      <c r="B215" t="inlineStr">
        <is>
          <t>SPO-00114</t>
        </is>
      </c>
      <c r="C215" t="inlineStr">
        <is>
          <t>SUP-13</t>
        </is>
      </c>
      <c r="D215" t="inlineStr">
        <is>
          <t>IT</t>
        </is>
      </c>
      <c r="E215" t="inlineStr">
        <is>
          <t>IT-08</t>
        </is>
      </c>
      <c r="F215" s="17" t="n">
        <v>45595</v>
      </c>
      <c r="G215" s="17" t="n">
        <v>45606</v>
      </c>
      <c r="H215" s="18" t="n">
        <v>5</v>
      </c>
      <c r="I215" s="19" t="n">
        <v>240.15</v>
      </c>
      <c r="J215" s="19" t="n">
        <v>245</v>
      </c>
      <c r="K215" s="20" t="n">
        <v>0</v>
      </c>
      <c r="L215" s="20" t="n">
        <v>0</v>
      </c>
      <c r="M215" s="18" t="n">
        <v>5</v>
      </c>
      <c r="N215" s="18" t="n">
        <v>5</v>
      </c>
      <c r="O215" s="18" t="n">
        <v>0</v>
      </c>
      <c r="P215" s="17" t="n">
        <v>45600</v>
      </c>
      <c r="Q215" s="17" t="n">
        <v>45600</v>
      </c>
      <c r="R215" s="17" t="n">
        <v>45600</v>
      </c>
      <c r="S215" s="19">
        <f>H215*I215</f>
        <v/>
      </c>
      <c r="T215" s="19">
        <f>H215*J215</f>
        <v/>
      </c>
      <c r="U215">
        <f>IF(AND(K215=0,G215&lt;=Assumptions!$C$6),1,0)</f>
        <v/>
      </c>
      <c r="V215">
        <f>IF(U215=1,IF(M215&gt;0,IF(P215&lt;=G215+Assumptions!$C$7,1,0),0),0)</f>
        <v/>
      </c>
      <c r="W215">
        <f>IF(AND(U215=1,M215&gt;=H215*(1-Assumptions!$C$8)),1,0)</f>
        <v/>
      </c>
      <c r="X215">
        <f>IF(AND(U215=1,N215&gt;=H215*(1-Assumptions!$C$8)),1,0)</f>
        <v/>
      </c>
      <c r="Y215">
        <f>IF(ISNUMBER(Q215),1,0)</f>
        <v/>
      </c>
      <c r="Z215">
        <f>IF(AND(K215=0,L215=0,Y215=0),1,0)</f>
        <v/>
      </c>
      <c r="AA215">
        <f>IF(AND(Z215=1,G215&lt;Assumptions!$C$6),1,0)</f>
        <v/>
      </c>
      <c r="AB215">
        <f>IF(U215=0,"",IF(Y215=1,MAX(0,Q215-G215),IF(L215=1,MAX(0,R215-G215),MAX(0,Assumptions!$C$6-G215))))</f>
        <v/>
      </c>
      <c r="AC215">
        <f>IF(Y215=1,Q215-F215,"")</f>
        <v/>
      </c>
      <c r="AD215">
        <f>IF(Y215=1,AC215^2,"")</f>
        <v/>
      </c>
      <c r="AE215" s="19">
        <f>IF(Z215=1,(H215-M215)*I215,0)</f>
        <v/>
      </c>
      <c r="AF215">
        <f>IF(G215&lt;EDATE(Assumptions!$C$6,-12)+1,"prior_12m","last_12m")</f>
        <v/>
      </c>
      <c r="AG215" s="21">
        <f>DATE(YEAR(G215),MONTH(G215),1)</f>
        <v/>
      </c>
    </row>
    <row r="216">
      <c r="A216" t="inlineStr">
        <is>
          <t>SPO-00115-1</t>
        </is>
      </c>
      <c r="B216" t="inlineStr">
        <is>
          <t>SPO-00115</t>
        </is>
      </c>
      <c r="C216" t="inlineStr">
        <is>
          <t>SUP-13</t>
        </is>
      </c>
      <c r="D216" t="inlineStr">
        <is>
          <t>IT</t>
        </is>
      </c>
      <c r="E216" t="inlineStr">
        <is>
          <t>IT-03</t>
        </is>
      </c>
      <c r="F216" s="17" t="n">
        <v>45595</v>
      </c>
      <c r="G216" s="17" t="n">
        <v>45606</v>
      </c>
      <c r="H216" s="18" t="n">
        <v>36</v>
      </c>
      <c r="I216" s="19" t="n">
        <v>38.49</v>
      </c>
      <c r="J216" s="19" t="n">
        <v>38</v>
      </c>
      <c r="K216" s="20" t="n">
        <v>0</v>
      </c>
      <c r="L216" s="20" t="n">
        <v>0</v>
      </c>
      <c r="M216" s="18" t="n">
        <v>36</v>
      </c>
      <c r="N216" s="18" t="n">
        <v>36</v>
      </c>
      <c r="O216" s="18" t="n">
        <v>9</v>
      </c>
      <c r="P216" s="17" t="n">
        <v>45603</v>
      </c>
      <c r="Q216" s="17" t="n">
        <v>45603</v>
      </c>
      <c r="R216" s="17" t="n">
        <v>45603</v>
      </c>
      <c r="S216" s="19">
        <f>H216*I216</f>
        <v/>
      </c>
      <c r="T216" s="19">
        <f>H216*J216</f>
        <v/>
      </c>
      <c r="U216">
        <f>IF(AND(K216=0,G216&lt;=Assumptions!$C$6),1,0)</f>
        <v/>
      </c>
      <c r="V216">
        <f>IF(U216=1,IF(M216&gt;0,IF(P216&lt;=G216+Assumptions!$C$7,1,0),0),0)</f>
        <v/>
      </c>
      <c r="W216">
        <f>IF(AND(U216=1,M216&gt;=H216*(1-Assumptions!$C$8)),1,0)</f>
        <v/>
      </c>
      <c r="X216">
        <f>IF(AND(U216=1,N216&gt;=H216*(1-Assumptions!$C$8)),1,0)</f>
        <v/>
      </c>
      <c r="Y216">
        <f>IF(ISNUMBER(Q216),1,0)</f>
        <v/>
      </c>
      <c r="Z216">
        <f>IF(AND(K216=0,L216=0,Y216=0),1,0)</f>
        <v/>
      </c>
      <c r="AA216">
        <f>IF(AND(Z216=1,G216&lt;Assumptions!$C$6),1,0)</f>
        <v/>
      </c>
      <c r="AB216">
        <f>IF(U216=0,"",IF(Y216=1,MAX(0,Q216-G216),IF(L216=1,MAX(0,R216-G216),MAX(0,Assumptions!$C$6-G216))))</f>
        <v/>
      </c>
      <c r="AC216">
        <f>IF(Y216=1,Q216-F216,"")</f>
        <v/>
      </c>
      <c r="AD216">
        <f>IF(Y216=1,AC216^2,"")</f>
        <v/>
      </c>
      <c r="AE216" s="19">
        <f>IF(Z216=1,(H216-M216)*I216,0)</f>
        <v/>
      </c>
      <c r="AF216">
        <f>IF(G216&lt;EDATE(Assumptions!$C$6,-12)+1,"prior_12m","last_12m")</f>
        <v/>
      </c>
      <c r="AG216" s="21">
        <f>DATE(YEAR(G216),MONTH(G216),1)</f>
        <v/>
      </c>
    </row>
    <row r="217">
      <c r="A217" t="inlineStr">
        <is>
          <t>SPO-00115-2</t>
        </is>
      </c>
      <c r="B217" t="inlineStr">
        <is>
          <t>SPO-00115</t>
        </is>
      </c>
      <c r="C217" t="inlineStr">
        <is>
          <t>SUP-13</t>
        </is>
      </c>
      <c r="D217" t="inlineStr">
        <is>
          <t>IT</t>
        </is>
      </c>
      <c r="E217" t="inlineStr">
        <is>
          <t>IT-06</t>
        </is>
      </c>
      <c r="F217" s="17" t="n">
        <v>45595</v>
      </c>
      <c r="G217" s="17" t="n">
        <v>45606</v>
      </c>
      <c r="H217" s="18" t="n">
        <v>33</v>
      </c>
      <c r="I217" s="19" t="n">
        <v>93.89</v>
      </c>
      <c r="J217" s="19" t="n">
        <v>89</v>
      </c>
      <c r="K217" s="20" t="n">
        <v>0</v>
      </c>
      <c r="L217" s="20" t="n">
        <v>0</v>
      </c>
      <c r="M217" s="18" t="n">
        <v>33</v>
      </c>
      <c r="N217" s="18" t="n">
        <v>33</v>
      </c>
      <c r="O217" s="18" t="n">
        <v>0</v>
      </c>
      <c r="P217" s="17" t="n">
        <v>45602</v>
      </c>
      <c r="Q217" s="17" t="n">
        <v>45602</v>
      </c>
      <c r="R217" s="17" t="n">
        <v>45602</v>
      </c>
      <c r="S217" s="19">
        <f>H217*I217</f>
        <v/>
      </c>
      <c r="T217" s="19">
        <f>H217*J217</f>
        <v/>
      </c>
      <c r="U217">
        <f>IF(AND(K217=0,G217&lt;=Assumptions!$C$6),1,0)</f>
        <v/>
      </c>
      <c r="V217">
        <f>IF(U217=1,IF(M217&gt;0,IF(P217&lt;=G217+Assumptions!$C$7,1,0),0),0)</f>
        <v/>
      </c>
      <c r="W217">
        <f>IF(AND(U217=1,M217&gt;=H217*(1-Assumptions!$C$8)),1,0)</f>
        <v/>
      </c>
      <c r="X217">
        <f>IF(AND(U217=1,N217&gt;=H217*(1-Assumptions!$C$8)),1,0)</f>
        <v/>
      </c>
      <c r="Y217">
        <f>IF(ISNUMBER(Q217),1,0)</f>
        <v/>
      </c>
      <c r="Z217">
        <f>IF(AND(K217=0,L217=0,Y217=0),1,0)</f>
        <v/>
      </c>
      <c r="AA217">
        <f>IF(AND(Z217=1,G217&lt;Assumptions!$C$6),1,0)</f>
        <v/>
      </c>
      <c r="AB217">
        <f>IF(U217=0,"",IF(Y217=1,MAX(0,Q217-G217),IF(L217=1,MAX(0,R217-G217),MAX(0,Assumptions!$C$6-G217))))</f>
        <v/>
      </c>
      <c r="AC217">
        <f>IF(Y217=1,Q217-F217,"")</f>
        <v/>
      </c>
      <c r="AD217">
        <f>IF(Y217=1,AC217^2,"")</f>
        <v/>
      </c>
      <c r="AE217" s="19">
        <f>IF(Z217=1,(H217-M217)*I217,0)</f>
        <v/>
      </c>
      <c r="AF217">
        <f>IF(G217&lt;EDATE(Assumptions!$C$6,-12)+1,"prior_12m","last_12m")</f>
        <v/>
      </c>
      <c r="AG217" s="21">
        <f>DATE(YEAR(G217),MONTH(G217),1)</f>
        <v/>
      </c>
    </row>
    <row r="218">
      <c r="A218" t="inlineStr">
        <is>
          <t>SPO-00116-1</t>
        </is>
      </c>
      <c r="B218" t="inlineStr">
        <is>
          <t>SPO-00116</t>
        </is>
      </c>
      <c r="C218" t="inlineStr">
        <is>
          <t>SUP-05</t>
        </is>
      </c>
      <c r="D218" t="inlineStr">
        <is>
          <t>FLEET</t>
        </is>
      </c>
      <c r="E218" t="inlineStr">
        <is>
          <t>FLEET-05</t>
        </is>
      </c>
      <c r="F218" s="17" t="n">
        <v>45595</v>
      </c>
      <c r="G218" s="17" t="n">
        <v>45609</v>
      </c>
      <c r="H218" s="18" t="n">
        <v>7</v>
      </c>
      <c r="I218" s="19" t="n">
        <v>169.43</v>
      </c>
      <c r="J218" s="19" t="n">
        <v>168</v>
      </c>
      <c r="K218" s="20" t="n">
        <v>0</v>
      </c>
      <c r="L218" s="20" t="n">
        <v>0</v>
      </c>
      <c r="M218" s="18" t="n">
        <v>7</v>
      </c>
      <c r="N218" s="18" t="n">
        <v>7</v>
      </c>
      <c r="O218" s="18" t="n">
        <v>0</v>
      </c>
      <c r="P218" s="17" t="n">
        <v>45603</v>
      </c>
      <c r="Q218" s="17" t="n">
        <v>45603</v>
      </c>
      <c r="R218" s="17" t="n">
        <v>45603</v>
      </c>
      <c r="S218" s="19">
        <f>H218*I218</f>
        <v/>
      </c>
      <c r="T218" s="19">
        <f>H218*J218</f>
        <v/>
      </c>
      <c r="U218">
        <f>IF(AND(K218=0,G218&lt;=Assumptions!$C$6),1,0)</f>
        <v/>
      </c>
      <c r="V218">
        <f>IF(U218=1,IF(M218&gt;0,IF(P218&lt;=G218+Assumptions!$C$7,1,0),0),0)</f>
        <v/>
      </c>
      <c r="W218">
        <f>IF(AND(U218=1,M218&gt;=H218*(1-Assumptions!$C$8)),1,0)</f>
        <v/>
      </c>
      <c r="X218">
        <f>IF(AND(U218=1,N218&gt;=H218*(1-Assumptions!$C$8)),1,0)</f>
        <v/>
      </c>
      <c r="Y218">
        <f>IF(ISNUMBER(Q218),1,0)</f>
        <v/>
      </c>
      <c r="Z218">
        <f>IF(AND(K218=0,L218=0,Y218=0),1,0)</f>
        <v/>
      </c>
      <c r="AA218">
        <f>IF(AND(Z218=1,G218&lt;Assumptions!$C$6),1,0)</f>
        <v/>
      </c>
      <c r="AB218">
        <f>IF(U218=0,"",IF(Y218=1,MAX(0,Q218-G218),IF(L218=1,MAX(0,R218-G218),MAX(0,Assumptions!$C$6-G218))))</f>
        <v/>
      </c>
      <c r="AC218">
        <f>IF(Y218=1,Q218-F218,"")</f>
        <v/>
      </c>
      <c r="AD218">
        <f>IF(Y218=1,AC218^2,"")</f>
        <v/>
      </c>
      <c r="AE218" s="19">
        <f>IF(Z218=1,(H218-M218)*I218,0)</f>
        <v/>
      </c>
      <c r="AF218">
        <f>IF(G218&lt;EDATE(Assumptions!$C$6,-12)+1,"prior_12m","last_12m")</f>
        <v/>
      </c>
      <c r="AG218" s="21">
        <f>DATE(YEAR(G218),MONTH(G218),1)</f>
        <v/>
      </c>
    </row>
    <row r="219">
      <c r="A219" t="inlineStr">
        <is>
          <t>SPO-00116-2</t>
        </is>
      </c>
      <c r="B219" t="inlineStr">
        <is>
          <t>SPO-00116</t>
        </is>
      </c>
      <c r="C219" t="inlineStr">
        <is>
          <t>SUP-05</t>
        </is>
      </c>
      <c r="D219" t="inlineStr">
        <is>
          <t>FLEET</t>
        </is>
      </c>
      <c r="E219" t="inlineStr">
        <is>
          <t>FLEET-04</t>
        </is>
      </c>
      <c r="F219" s="17" t="n">
        <v>45595</v>
      </c>
      <c r="G219" s="17" t="n">
        <v>45609</v>
      </c>
      <c r="H219" s="18" t="n">
        <v>94</v>
      </c>
      <c r="I219" s="19" t="n">
        <v>9.06</v>
      </c>
      <c r="J219" s="19" t="n">
        <v>9</v>
      </c>
      <c r="K219" s="20" t="n">
        <v>0</v>
      </c>
      <c r="L219" s="20" t="n">
        <v>0</v>
      </c>
      <c r="M219" s="18" t="n">
        <v>94</v>
      </c>
      <c r="N219" s="18" t="n">
        <v>94</v>
      </c>
      <c r="O219" s="18" t="n">
        <v>0</v>
      </c>
      <c r="P219" s="17" t="n">
        <v>45607</v>
      </c>
      <c r="Q219" s="17" t="n">
        <v>45607</v>
      </c>
      <c r="R219" s="17" t="n">
        <v>45607</v>
      </c>
      <c r="S219" s="19">
        <f>H219*I219</f>
        <v/>
      </c>
      <c r="T219" s="19">
        <f>H219*J219</f>
        <v/>
      </c>
      <c r="U219">
        <f>IF(AND(K219=0,G219&lt;=Assumptions!$C$6),1,0)</f>
        <v/>
      </c>
      <c r="V219">
        <f>IF(U219=1,IF(M219&gt;0,IF(P219&lt;=G219+Assumptions!$C$7,1,0),0),0)</f>
        <v/>
      </c>
      <c r="W219">
        <f>IF(AND(U219=1,M219&gt;=H219*(1-Assumptions!$C$8)),1,0)</f>
        <v/>
      </c>
      <c r="X219">
        <f>IF(AND(U219=1,N219&gt;=H219*(1-Assumptions!$C$8)),1,0)</f>
        <v/>
      </c>
      <c r="Y219">
        <f>IF(ISNUMBER(Q219),1,0)</f>
        <v/>
      </c>
      <c r="Z219">
        <f>IF(AND(K219=0,L219=0,Y219=0),1,0)</f>
        <v/>
      </c>
      <c r="AA219">
        <f>IF(AND(Z219=1,G219&lt;Assumptions!$C$6),1,0)</f>
        <v/>
      </c>
      <c r="AB219">
        <f>IF(U219=0,"",IF(Y219=1,MAX(0,Q219-G219),IF(L219=1,MAX(0,R219-G219),MAX(0,Assumptions!$C$6-G219))))</f>
        <v/>
      </c>
      <c r="AC219">
        <f>IF(Y219=1,Q219-F219,"")</f>
        <v/>
      </c>
      <c r="AD219">
        <f>IF(Y219=1,AC219^2,"")</f>
        <v/>
      </c>
      <c r="AE219" s="19">
        <f>IF(Z219=1,(H219-M219)*I219,0)</f>
        <v/>
      </c>
      <c r="AF219">
        <f>IF(G219&lt;EDATE(Assumptions!$C$6,-12)+1,"prior_12m","last_12m")</f>
        <v/>
      </c>
      <c r="AG219" s="21">
        <f>DATE(YEAR(G219),MONTH(G219),1)</f>
        <v/>
      </c>
    </row>
    <row r="220">
      <c r="A220" t="inlineStr">
        <is>
          <t>SPO-00117-1</t>
        </is>
      </c>
      <c r="B220" t="inlineStr">
        <is>
          <t>SPO-00117</t>
        </is>
      </c>
      <c r="C220" t="inlineStr">
        <is>
          <t>SUP-10</t>
        </is>
      </c>
      <c r="D220" t="inlineStr">
        <is>
          <t>PPE</t>
        </is>
      </c>
      <c r="E220" t="inlineStr">
        <is>
          <t>PPE-06</t>
        </is>
      </c>
      <c r="F220" s="17" t="n">
        <v>45595</v>
      </c>
      <c r="G220" s="17" t="n">
        <v>45608</v>
      </c>
      <c r="H220" s="18" t="n">
        <v>16</v>
      </c>
      <c r="I220" s="19" t="n">
        <v>113.05</v>
      </c>
      <c r="J220" s="19" t="n">
        <v>115</v>
      </c>
      <c r="K220" s="20" t="n">
        <v>0</v>
      </c>
      <c r="L220" s="20" t="n">
        <v>0</v>
      </c>
      <c r="M220" s="18" t="n">
        <v>16</v>
      </c>
      <c r="N220" s="18" t="n">
        <v>0</v>
      </c>
      <c r="O220" s="18" t="n">
        <v>0</v>
      </c>
      <c r="P220" s="17" t="n">
        <v>45612</v>
      </c>
      <c r="Q220" s="17" t="n">
        <v>45612</v>
      </c>
      <c r="R220" s="17" t="n">
        <v>45612</v>
      </c>
      <c r="S220" s="19">
        <f>H220*I220</f>
        <v/>
      </c>
      <c r="T220" s="19">
        <f>H220*J220</f>
        <v/>
      </c>
      <c r="U220">
        <f>IF(AND(K220=0,G220&lt;=Assumptions!$C$6),1,0)</f>
        <v/>
      </c>
      <c r="V220">
        <f>IF(U220=1,IF(M220&gt;0,IF(P220&lt;=G220+Assumptions!$C$7,1,0),0),0)</f>
        <v/>
      </c>
      <c r="W220">
        <f>IF(AND(U220=1,M220&gt;=H220*(1-Assumptions!$C$8)),1,0)</f>
        <v/>
      </c>
      <c r="X220">
        <f>IF(AND(U220=1,N220&gt;=H220*(1-Assumptions!$C$8)),1,0)</f>
        <v/>
      </c>
      <c r="Y220">
        <f>IF(ISNUMBER(Q220),1,0)</f>
        <v/>
      </c>
      <c r="Z220">
        <f>IF(AND(K220=0,L220=0,Y220=0),1,0)</f>
        <v/>
      </c>
      <c r="AA220">
        <f>IF(AND(Z220=1,G220&lt;Assumptions!$C$6),1,0)</f>
        <v/>
      </c>
      <c r="AB220">
        <f>IF(U220=0,"",IF(Y220=1,MAX(0,Q220-G220),IF(L220=1,MAX(0,R220-G220),MAX(0,Assumptions!$C$6-G220))))</f>
        <v/>
      </c>
      <c r="AC220">
        <f>IF(Y220=1,Q220-F220,"")</f>
        <v/>
      </c>
      <c r="AD220">
        <f>IF(Y220=1,AC220^2,"")</f>
        <v/>
      </c>
      <c r="AE220" s="19">
        <f>IF(Z220=1,(H220-M220)*I220,0)</f>
        <v/>
      </c>
      <c r="AF220">
        <f>IF(G220&lt;EDATE(Assumptions!$C$6,-12)+1,"prior_12m","last_12m")</f>
        <v/>
      </c>
      <c r="AG220" s="21">
        <f>DATE(YEAR(G220),MONTH(G220),1)</f>
        <v/>
      </c>
    </row>
    <row r="221">
      <c r="A221" t="inlineStr">
        <is>
          <t>SPO-00117-2</t>
        </is>
      </c>
      <c r="B221" t="inlineStr">
        <is>
          <t>SPO-00117</t>
        </is>
      </c>
      <c r="C221" t="inlineStr">
        <is>
          <t>SUP-10</t>
        </is>
      </c>
      <c r="D221" t="inlineStr">
        <is>
          <t>PPE</t>
        </is>
      </c>
      <c r="E221" t="inlineStr">
        <is>
          <t>PPE-07</t>
        </is>
      </c>
      <c r="F221" s="17" t="n">
        <v>45595</v>
      </c>
      <c r="G221" s="17" t="n">
        <v>45608</v>
      </c>
      <c r="H221" s="18" t="n">
        <v>101</v>
      </c>
      <c r="I221" s="19" t="n">
        <v>30.78</v>
      </c>
      <c r="J221" s="19" t="n">
        <v>31</v>
      </c>
      <c r="K221" s="20" t="n">
        <v>0</v>
      </c>
      <c r="L221" s="20" t="n">
        <v>0</v>
      </c>
      <c r="M221" s="18" t="n">
        <v>101</v>
      </c>
      <c r="N221" s="18" t="n">
        <v>101</v>
      </c>
      <c r="O221" s="18" t="n">
        <v>0</v>
      </c>
      <c r="P221" s="17" t="n">
        <v>45608</v>
      </c>
      <c r="Q221" s="17" t="n">
        <v>45608</v>
      </c>
      <c r="R221" s="17" t="n">
        <v>45608</v>
      </c>
      <c r="S221" s="19">
        <f>H221*I221</f>
        <v/>
      </c>
      <c r="T221" s="19">
        <f>H221*J221</f>
        <v/>
      </c>
      <c r="U221">
        <f>IF(AND(K221=0,G221&lt;=Assumptions!$C$6),1,0)</f>
        <v/>
      </c>
      <c r="V221">
        <f>IF(U221=1,IF(M221&gt;0,IF(P221&lt;=G221+Assumptions!$C$7,1,0),0),0)</f>
        <v/>
      </c>
      <c r="W221">
        <f>IF(AND(U221=1,M221&gt;=H221*(1-Assumptions!$C$8)),1,0)</f>
        <v/>
      </c>
      <c r="X221">
        <f>IF(AND(U221=1,N221&gt;=H221*(1-Assumptions!$C$8)),1,0)</f>
        <v/>
      </c>
      <c r="Y221">
        <f>IF(ISNUMBER(Q221),1,0)</f>
        <v/>
      </c>
      <c r="Z221">
        <f>IF(AND(K221=0,L221=0,Y221=0),1,0)</f>
        <v/>
      </c>
      <c r="AA221">
        <f>IF(AND(Z221=1,G221&lt;Assumptions!$C$6),1,0)</f>
        <v/>
      </c>
      <c r="AB221">
        <f>IF(U221=0,"",IF(Y221=1,MAX(0,Q221-G221),IF(L221=1,MAX(0,R221-G221),MAX(0,Assumptions!$C$6-G221))))</f>
        <v/>
      </c>
      <c r="AC221">
        <f>IF(Y221=1,Q221-F221,"")</f>
        <v/>
      </c>
      <c r="AD221">
        <f>IF(Y221=1,AC221^2,"")</f>
        <v/>
      </c>
      <c r="AE221" s="19">
        <f>IF(Z221=1,(H221-M221)*I221,0)</f>
        <v/>
      </c>
      <c r="AF221">
        <f>IF(G221&lt;EDATE(Assumptions!$C$6,-12)+1,"prior_12m","last_12m")</f>
        <v/>
      </c>
      <c r="AG221" s="21">
        <f>DATE(YEAR(G221),MONTH(G221),1)</f>
        <v/>
      </c>
    </row>
    <row r="222">
      <c r="A222" t="inlineStr">
        <is>
          <t>SPO-00118-1</t>
        </is>
      </c>
      <c r="B222" t="inlineStr">
        <is>
          <t>SPO-00118</t>
        </is>
      </c>
      <c r="C222" t="inlineStr">
        <is>
          <t>SUP-01</t>
        </is>
      </c>
      <c r="D222" t="inlineStr">
        <is>
          <t>ELEC</t>
        </is>
      </c>
      <c r="E222" t="inlineStr">
        <is>
          <t>ELEC-06</t>
        </is>
      </c>
      <c r="F222" s="17" t="n">
        <v>45596</v>
      </c>
      <c r="G222" s="17" t="n">
        <v>45614</v>
      </c>
      <c r="H222" s="18" t="n">
        <v>6</v>
      </c>
      <c r="I222" s="19" t="n">
        <v>151.13</v>
      </c>
      <c r="J222" s="19" t="n">
        <v>145</v>
      </c>
      <c r="K222" s="20" t="n">
        <v>0</v>
      </c>
      <c r="L222" s="20" t="n">
        <v>0</v>
      </c>
      <c r="M222" s="18" t="n">
        <v>6</v>
      </c>
      <c r="N222" s="18" t="n">
        <v>6</v>
      </c>
      <c r="O222" s="18" t="n">
        <v>0</v>
      </c>
      <c r="P222" s="17" t="n">
        <v>45611</v>
      </c>
      <c r="Q222" s="17" t="n">
        <v>45611</v>
      </c>
      <c r="R222" s="17" t="n">
        <v>45611</v>
      </c>
      <c r="S222" s="19">
        <f>H222*I222</f>
        <v/>
      </c>
      <c r="T222" s="19">
        <f>H222*J222</f>
        <v/>
      </c>
      <c r="U222">
        <f>IF(AND(K222=0,G222&lt;=Assumptions!$C$6),1,0)</f>
        <v/>
      </c>
      <c r="V222">
        <f>IF(U222=1,IF(M222&gt;0,IF(P222&lt;=G222+Assumptions!$C$7,1,0),0),0)</f>
        <v/>
      </c>
      <c r="W222">
        <f>IF(AND(U222=1,M222&gt;=H222*(1-Assumptions!$C$8)),1,0)</f>
        <v/>
      </c>
      <c r="X222">
        <f>IF(AND(U222=1,N222&gt;=H222*(1-Assumptions!$C$8)),1,0)</f>
        <v/>
      </c>
      <c r="Y222">
        <f>IF(ISNUMBER(Q222),1,0)</f>
        <v/>
      </c>
      <c r="Z222">
        <f>IF(AND(K222=0,L222=0,Y222=0),1,0)</f>
        <v/>
      </c>
      <c r="AA222">
        <f>IF(AND(Z222=1,G222&lt;Assumptions!$C$6),1,0)</f>
        <v/>
      </c>
      <c r="AB222">
        <f>IF(U222=0,"",IF(Y222=1,MAX(0,Q222-G222),IF(L222=1,MAX(0,R222-G222),MAX(0,Assumptions!$C$6-G222))))</f>
        <v/>
      </c>
      <c r="AC222">
        <f>IF(Y222=1,Q222-F222,"")</f>
        <v/>
      </c>
      <c r="AD222">
        <f>IF(Y222=1,AC222^2,"")</f>
        <v/>
      </c>
      <c r="AE222" s="19">
        <f>IF(Z222=1,(H222-M222)*I222,0)</f>
        <v/>
      </c>
      <c r="AF222">
        <f>IF(G222&lt;EDATE(Assumptions!$C$6,-12)+1,"prior_12m","last_12m")</f>
        <v/>
      </c>
      <c r="AG222" s="21">
        <f>DATE(YEAR(G222),MONTH(G222),1)</f>
        <v/>
      </c>
    </row>
    <row r="223">
      <c r="A223" t="inlineStr">
        <is>
          <t>SPO-00118-2</t>
        </is>
      </c>
      <c r="B223" t="inlineStr">
        <is>
          <t>SPO-00118</t>
        </is>
      </c>
      <c r="C223" t="inlineStr">
        <is>
          <t>SUP-01</t>
        </is>
      </c>
      <c r="D223" t="inlineStr">
        <is>
          <t>ELEC</t>
        </is>
      </c>
      <c r="E223" t="inlineStr">
        <is>
          <t>ELEC-03</t>
        </is>
      </c>
      <c r="F223" s="17" t="n">
        <v>45596</v>
      </c>
      <c r="G223" s="17" t="n">
        <v>45614</v>
      </c>
      <c r="H223" s="18" t="n">
        <v>40</v>
      </c>
      <c r="I223" s="19" t="n">
        <v>98.56999999999999</v>
      </c>
      <c r="J223" s="19" t="n">
        <v>96</v>
      </c>
      <c r="K223" s="20" t="n">
        <v>0</v>
      </c>
      <c r="L223" s="20" t="n">
        <v>0</v>
      </c>
      <c r="M223" s="18" t="n">
        <v>40</v>
      </c>
      <c r="N223" s="18" t="n">
        <v>40</v>
      </c>
      <c r="O223" s="18" t="n">
        <v>0</v>
      </c>
      <c r="P223" s="17" t="n">
        <v>45611</v>
      </c>
      <c r="Q223" s="17" t="n">
        <v>45611</v>
      </c>
      <c r="R223" s="17" t="n">
        <v>45611</v>
      </c>
      <c r="S223" s="19">
        <f>H223*I223</f>
        <v/>
      </c>
      <c r="T223" s="19">
        <f>H223*J223</f>
        <v/>
      </c>
      <c r="U223">
        <f>IF(AND(K223=0,G223&lt;=Assumptions!$C$6),1,0)</f>
        <v/>
      </c>
      <c r="V223">
        <f>IF(U223=1,IF(M223&gt;0,IF(P223&lt;=G223+Assumptions!$C$7,1,0),0),0)</f>
        <v/>
      </c>
      <c r="W223">
        <f>IF(AND(U223=1,M223&gt;=H223*(1-Assumptions!$C$8)),1,0)</f>
        <v/>
      </c>
      <c r="X223">
        <f>IF(AND(U223=1,N223&gt;=H223*(1-Assumptions!$C$8)),1,0)</f>
        <v/>
      </c>
      <c r="Y223">
        <f>IF(ISNUMBER(Q223),1,0)</f>
        <v/>
      </c>
      <c r="Z223">
        <f>IF(AND(K223=0,L223=0,Y223=0),1,0)</f>
        <v/>
      </c>
      <c r="AA223">
        <f>IF(AND(Z223=1,G223&lt;Assumptions!$C$6),1,0)</f>
        <v/>
      </c>
      <c r="AB223">
        <f>IF(U223=0,"",IF(Y223=1,MAX(0,Q223-G223),IF(L223=1,MAX(0,R223-G223),MAX(0,Assumptions!$C$6-G223))))</f>
        <v/>
      </c>
      <c r="AC223">
        <f>IF(Y223=1,Q223-F223,"")</f>
        <v/>
      </c>
      <c r="AD223">
        <f>IF(Y223=1,AC223^2,"")</f>
        <v/>
      </c>
      <c r="AE223" s="19">
        <f>IF(Z223=1,(H223-M223)*I223,0)</f>
        <v/>
      </c>
      <c r="AF223">
        <f>IF(G223&lt;EDATE(Assumptions!$C$6,-12)+1,"prior_12m","last_12m")</f>
        <v/>
      </c>
      <c r="AG223" s="21">
        <f>DATE(YEAR(G223),MONTH(G223),1)</f>
        <v/>
      </c>
    </row>
    <row r="224">
      <c r="A224" t="inlineStr">
        <is>
          <t>SPO-00119-1</t>
        </is>
      </c>
      <c r="B224" t="inlineStr">
        <is>
          <t>SPO-00119</t>
        </is>
      </c>
      <c r="C224" t="inlineStr">
        <is>
          <t>SUP-01</t>
        </is>
      </c>
      <c r="D224" t="inlineStr">
        <is>
          <t>ELEC</t>
        </is>
      </c>
      <c r="E224" t="inlineStr">
        <is>
          <t>ELEC-07</t>
        </is>
      </c>
      <c r="F224" s="17" t="n">
        <v>45596</v>
      </c>
      <c r="G224" s="17" t="n">
        <v>45614</v>
      </c>
      <c r="H224" s="18" t="n">
        <v>176</v>
      </c>
      <c r="I224" s="19" t="n">
        <v>10.47</v>
      </c>
      <c r="J224" s="19" t="n">
        <v>9.800000000000001</v>
      </c>
      <c r="K224" s="20" t="n">
        <v>0</v>
      </c>
      <c r="L224" s="20" t="n">
        <v>0</v>
      </c>
      <c r="M224" s="18" t="n">
        <v>176</v>
      </c>
      <c r="N224" s="18" t="n">
        <v>176</v>
      </c>
      <c r="O224" s="18" t="n">
        <v>0</v>
      </c>
      <c r="P224" s="17" t="n">
        <v>45611</v>
      </c>
      <c r="Q224" s="17" t="n">
        <v>45611</v>
      </c>
      <c r="R224" s="17" t="n">
        <v>45611</v>
      </c>
      <c r="S224" s="19">
        <f>H224*I224</f>
        <v/>
      </c>
      <c r="T224" s="19">
        <f>H224*J224</f>
        <v/>
      </c>
      <c r="U224">
        <f>IF(AND(K224=0,G224&lt;=Assumptions!$C$6),1,0)</f>
        <v/>
      </c>
      <c r="V224">
        <f>IF(U224=1,IF(M224&gt;0,IF(P224&lt;=G224+Assumptions!$C$7,1,0),0),0)</f>
        <v/>
      </c>
      <c r="W224">
        <f>IF(AND(U224=1,M224&gt;=H224*(1-Assumptions!$C$8)),1,0)</f>
        <v/>
      </c>
      <c r="X224">
        <f>IF(AND(U224=1,N224&gt;=H224*(1-Assumptions!$C$8)),1,0)</f>
        <v/>
      </c>
      <c r="Y224">
        <f>IF(ISNUMBER(Q224),1,0)</f>
        <v/>
      </c>
      <c r="Z224">
        <f>IF(AND(K224=0,L224=0,Y224=0),1,0)</f>
        <v/>
      </c>
      <c r="AA224">
        <f>IF(AND(Z224=1,G224&lt;Assumptions!$C$6),1,0)</f>
        <v/>
      </c>
      <c r="AB224">
        <f>IF(U224=0,"",IF(Y224=1,MAX(0,Q224-G224),IF(L224=1,MAX(0,R224-G224),MAX(0,Assumptions!$C$6-G224))))</f>
        <v/>
      </c>
      <c r="AC224">
        <f>IF(Y224=1,Q224-F224,"")</f>
        <v/>
      </c>
      <c r="AD224">
        <f>IF(Y224=1,AC224^2,"")</f>
        <v/>
      </c>
      <c r="AE224" s="19">
        <f>IF(Z224=1,(H224-M224)*I224,0)</f>
        <v/>
      </c>
      <c r="AF224">
        <f>IF(G224&lt;EDATE(Assumptions!$C$6,-12)+1,"prior_12m","last_12m")</f>
        <v/>
      </c>
      <c r="AG224" s="21">
        <f>DATE(YEAR(G224),MONTH(G224),1)</f>
        <v/>
      </c>
    </row>
    <row r="225">
      <c r="A225" t="inlineStr">
        <is>
          <t>SPO-00120-1</t>
        </is>
      </c>
      <c r="B225" t="inlineStr">
        <is>
          <t>SPO-00120</t>
        </is>
      </c>
      <c r="C225" t="inlineStr">
        <is>
          <t>SUP-06</t>
        </is>
      </c>
      <c r="D225" t="inlineStr">
        <is>
          <t>MRO</t>
        </is>
      </c>
      <c r="E225" t="inlineStr">
        <is>
          <t>MRO-03</t>
        </is>
      </c>
      <c r="F225" s="17" t="n">
        <v>45596</v>
      </c>
      <c r="G225" s="17" t="n">
        <v>45604</v>
      </c>
      <c r="H225" s="18" t="n">
        <v>283</v>
      </c>
      <c r="I225" s="19" t="n">
        <v>8.75</v>
      </c>
      <c r="J225" s="19" t="n">
        <v>8.9</v>
      </c>
      <c r="K225" s="20" t="n">
        <v>0</v>
      </c>
      <c r="L225" s="20" t="n">
        <v>0</v>
      </c>
      <c r="M225" s="18" t="n">
        <v>283</v>
      </c>
      <c r="N225" s="18" t="n">
        <v>283</v>
      </c>
      <c r="O225" s="18" t="n">
        <v>0</v>
      </c>
      <c r="P225" s="17" t="n">
        <v>45602</v>
      </c>
      <c r="Q225" s="17" t="n">
        <v>45602</v>
      </c>
      <c r="R225" s="17" t="n">
        <v>45602</v>
      </c>
      <c r="S225" s="19">
        <f>H225*I225</f>
        <v/>
      </c>
      <c r="T225" s="19">
        <f>H225*J225</f>
        <v/>
      </c>
      <c r="U225">
        <f>IF(AND(K225=0,G225&lt;=Assumptions!$C$6),1,0)</f>
        <v/>
      </c>
      <c r="V225">
        <f>IF(U225=1,IF(M225&gt;0,IF(P225&lt;=G225+Assumptions!$C$7,1,0),0),0)</f>
        <v/>
      </c>
      <c r="W225">
        <f>IF(AND(U225=1,M225&gt;=H225*(1-Assumptions!$C$8)),1,0)</f>
        <v/>
      </c>
      <c r="X225">
        <f>IF(AND(U225=1,N225&gt;=H225*(1-Assumptions!$C$8)),1,0)</f>
        <v/>
      </c>
      <c r="Y225">
        <f>IF(ISNUMBER(Q225),1,0)</f>
        <v/>
      </c>
      <c r="Z225">
        <f>IF(AND(K225=0,L225=0,Y225=0),1,0)</f>
        <v/>
      </c>
      <c r="AA225">
        <f>IF(AND(Z225=1,G225&lt;Assumptions!$C$6),1,0)</f>
        <v/>
      </c>
      <c r="AB225">
        <f>IF(U225=0,"",IF(Y225=1,MAX(0,Q225-G225),IF(L225=1,MAX(0,R225-G225),MAX(0,Assumptions!$C$6-G225))))</f>
        <v/>
      </c>
      <c r="AC225">
        <f>IF(Y225=1,Q225-F225,"")</f>
        <v/>
      </c>
      <c r="AD225">
        <f>IF(Y225=1,AC225^2,"")</f>
        <v/>
      </c>
      <c r="AE225" s="19">
        <f>IF(Z225=1,(H225-M225)*I225,0)</f>
        <v/>
      </c>
      <c r="AF225">
        <f>IF(G225&lt;EDATE(Assumptions!$C$6,-12)+1,"prior_12m","last_12m")</f>
        <v/>
      </c>
      <c r="AG225" s="21">
        <f>DATE(YEAR(G225),MONTH(G225),1)</f>
        <v/>
      </c>
    </row>
    <row r="226">
      <c r="A226" t="inlineStr">
        <is>
          <t>SPO-00120-2</t>
        </is>
      </c>
      <c r="B226" t="inlineStr">
        <is>
          <t>SPO-00120</t>
        </is>
      </c>
      <c r="C226" t="inlineStr">
        <is>
          <t>SUP-06</t>
        </is>
      </c>
      <c r="D226" t="inlineStr">
        <is>
          <t>MRO</t>
        </is>
      </c>
      <c r="E226" t="inlineStr">
        <is>
          <t>MRO-05</t>
        </is>
      </c>
      <c r="F226" s="17" t="n">
        <v>45596</v>
      </c>
      <c r="G226" s="17" t="n">
        <v>45604</v>
      </c>
      <c r="H226" s="18" t="n">
        <v>127</v>
      </c>
      <c r="I226" s="19" t="n">
        <v>35.15</v>
      </c>
      <c r="J226" s="19" t="n">
        <v>36</v>
      </c>
      <c r="K226" s="20" t="n">
        <v>0</v>
      </c>
      <c r="L226" s="20" t="n">
        <v>0</v>
      </c>
      <c r="M226" s="18" t="n">
        <v>127</v>
      </c>
      <c r="N226" s="18" t="n">
        <v>127</v>
      </c>
      <c r="O226" s="18" t="n">
        <v>0</v>
      </c>
      <c r="P226" s="17" t="n">
        <v>45602</v>
      </c>
      <c r="Q226" s="17" t="n">
        <v>45602</v>
      </c>
      <c r="R226" s="17" t="n">
        <v>45602</v>
      </c>
      <c r="S226" s="19">
        <f>H226*I226</f>
        <v/>
      </c>
      <c r="T226" s="19">
        <f>H226*J226</f>
        <v/>
      </c>
      <c r="U226">
        <f>IF(AND(K226=0,G226&lt;=Assumptions!$C$6),1,0)</f>
        <v/>
      </c>
      <c r="V226">
        <f>IF(U226=1,IF(M226&gt;0,IF(P226&lt;=G226+Assumptions!$C$7,1,0),0),0)</f>
        <v/>
      </c>
      <c r="W226">
        <f>IF(AND(U226=1,M226&gt;=H226*(1-Assumptions!$C$8)),1,0)</f>
        <v/>
      </c>
      <c r="X226">
        <f>IF(AND(U226=1,N226&gt;=H226*(1-Assumptions!$C$8)),1,0)</f>
        <v/>
      </c>
      <c r="Y226">
        <f>IF(ISNUMBER(Q226),1,0)</f>
        <v/>
      </c>
      <c r="Z226">
        <f>IF(AND(K226=0,L226=0,Y226=0),1,0)</f>
        <v/>
      </c>
      <c r="AA226">
        <f>IF(AND(Z226=1,G226&lt;Assumptions!$C$6),1,0)</f>
        <v/>
      </c>
      <c r="AB226">
        <f>IF(U226=0,"",IF(Y226=1,MAX(0,Q226-G226),IF(L226=1,MAX(0,R226-G226),MAX(0,Assumptions!$C$6-G226))))</f>
        <v/>
      </c>
      <c r="AC226">
        <f>IF(Y226=1,Q226-F226,"")</f>
        <v/>
      </c>
      <c r="AD226">
        <f>IF(Y226=1,AC226^2,"")</f>
        <v/>
      </c>
      <c r="AE226" s="19">
        <f>IF(Z226=1,(H226-M226)*I226,0)</f>
        <v/>
      </c>
      <c r="AF226">
        <f>IF(G226&lt;EDATE(Assumptions!$C$6,-12)+1,"prior_12m","last_12m")</f>
        <v/>
      </c>
      <c r="AG226" s="21">
        <f>DATE(YEAR(G226),MONTH(G226),1)</f>
        <v/>
      </c>
    </row>
    <row r="227">
      <c r="A227" t="inlineStr">
        <is>
          <t>SPO-00120-3</t>
        </is>
      </c>
      <c r="B227" t="inlineStr">
        <is>
          <t>SPO-00120</t>
        </is>
      </c>
      <c r="C227" t="inlineStr">
        <is>
          <t>SUP-06</t>
        </is>
      </c>
      <c r="D227" t="inlineStr">
        <is>
          <t>MRO</t>
        </is>
      </c>
      <c r="E227" t="inlineStr">
        <is>
          <t>MRO-07</t>
        </is>
      </c>
      <c r="F227" s="17" t="n">
        <v>45596</v>
      </c>
      <c r="G227" s="17" t="n">
        <v>45604</v>
      </c>
      <c r="H227" s="18" t="n">
        <v>71</v>
      </c>
      <c r="I227" s="19" t="n">
        <v>13.55</v>
      </c>
      <c r="J227" s="19" t="n">
        <v>14</v>
      </c>
      <c r="K227" s="20" t="n">
        <v>0</v>
      </c>
      <c r="L227" s="20" t="n">
        <v>0</v>
      </c>
      <c r="M227" s="18" t="n">
        <v>71</v>
      </c>
      <c r="N227" s="18" t="n">
        <v>71</v>
      </c>
      <c r="O227" s="18" t="n">
        <v>0</v>
      </c>
      <c r="P227" s="17" t="n">
        <v>45602</v>
      </c>
      <c r="Q227" s="17" t="n">
        <v>45602</v>
      </c>
      <c r="R227" s="17" t="n">
        <v>45602</v>
      </c>
      <c r="S227" s="19">
        <f>H227*I227</f>
        <v/>
      </c>
      <c r="T227" s="19">
        <f>H227*J227</f>
        <v/>
      </c>
      <c r="U227">
        <f>IF(AND(K227=0,G227&lt;=Assumptions!$C$6),1,0)</f>
        <v/>
      </c>
      <c r="V227">
        <f>IF(U227=1,IF(M227&gt;0,IF(P227&lt;=G227+Assumptions!$C$7,1,0),0),0)</f>
        <v/>
      </c>
      <c r="W227">
        <f>IF(AND(U227=1,M227&gt;=H227*(1-Assumptions!$C$8)),1,0)</f>
        <v/>
      </c>
      <c r="X227">
        <f>IF(AND(U227=1,N227&gt;=H227*(1-Assumptions!$C$8)),1,0)</f>
        <v/>
      </c>
      <c r="Y227">
        <f>IF(ISNUMBER(Q227),1,0)</f>
        <v/>
      </c>
      <c r="Z227">
        <f>IF(AND(K227=0,L227=0,Y227=0),1,0)</f>
        <v/>
      </c>
      <c r="AA227">
        <f>IF(AND(Z227=1,G227&lt;Assumptions!$C$6),1,0)</f>
        <v/>
      </c>
      <c r="AB227">
        <f>IF(U227=0,"",IF(Y227=1,MAX(0,Q227-G227),IF(L227=1,MAX(0,R227-G227),MAX(0,Assumptions!$C$6-G227))))</f>
        <v/>
      </c>
      <c r="AC227">
        <f>IF(Y227=1,Q227-F227,"")</f>
        <v/>
      </c>
      <c r="AD227">
        <f>IF(Y227=1,AC227^2,"")</f>
        <v/>
      </c>
      <c r="AE227" s="19">
        <f>IF(Z227=1,(H227-M227)*I227,0)</f>
        <v/>
      </c>
      <c r="AF227">
        <f>IF(G227&lt;EDATE(Assumptions!$C$6,-12)+1,"prior_12m","last_12m")</f>
        <v/>
      </c>
      <c r="AG227" s="21">
        <f>DATE(YEAR(G227),MONTH(G227),1)</f>
        <v/>
      </c>
    </row>
    <row r="228">
      <c r="A228" t="inlineStr">
        <is>
          <t>SPO-00121-1</t>
        </is>
      </c>
      <c r="B228" t="inlineStr">
        <is>
          <t>SPO-00121</t>
        </is>
      </c>
      <c r="C228" t="inlineStr">
        <is>
          <t>SUP-14</t>
        </is>
      </c>
      <c r="D228" t="inlineStr">
        <is>
          <t>FLEET</t>
        </is>
      </c>
      <c r="E228" t="inlineStr">
        <is>
          <t>FLEET-06</t>
        </is>
      </c>
      <c r="F228" s="17" t="n">
        <v>45597</v>
      </c>
      <c r="G228" s="17" t="n">
        <v>45611</v>
      </c>
      <c r="H228" s="18" t="n">
        <v>72</v>
      </c>
      <c r="I228" s="19" t="n">
        <v>33.67</v>
      </c>
      <c r="J228" s="19" t="n">
        <v>33</v>
      </c>
      <c r="K228" s="20" t="n">
        <v>0</v>
      </c>
      <c r="L228" s="20" t="n">
        <v>0</v>
      </c>
      <c r="M228" s="18" t="n">
        <v>72</v>
      </c>
      <c r="N228" s="18" t="n">
        <v>72</v>
      </c>
      <c r="O228" s="18" t="n">
        <v>0</v>
      </c>
      <c r="P228" s="17" t="n">
        <v>45605</v>
      </c>
      <c r="Q228" s="17" t="n">
        <v>45605</v>
      </c>
      <c r="R228" s="17" t="n">
        <v>45605</v>
      </c>
      <c r="S228" s="19">
        <f>H228*I228</f>
        <v/>
      </c>
      <c r="T228" s="19">
        <f>H228*J228</f>
        <v/>
      </c>
      <c r="U228">
        <f>IF(AND(K228=0,G228&lt;=Assumptions!$C$6),1,0)</f>
        <v/>
      </c>
      <c r="V228">
        <f>IF(U228=1,IF(M228&gt;0,IF(P228&lt;=G228+Assumptions!$C$7,1,0),0),0)</f>
        <v/>
      </c>
      <c r="W228">
        <f>IF(AND(U228=1,M228&gt;=H228*(1-Assumptions!$C$8)),1,0)</f>
        <v/>
      </c>
      <c r="X228">
        <f>IF(AND(U228=1,N228&gt;=H228*(1-Assumptions!$C$8)),1,0)</f>
        <v/>
      </c>
      <c r="Y228">
        <f>IF(ISNUMBER(Q228),1,0)</f>
        <v/>
      </c>
      <c r="Z228">
        <f>IF(AND(K228=0,L228=0,Y228=0),1,0)</f>
        <v/>
      </c>
      <c r="AA228">
        <f>IF(AND(Z228=1,G228&lt;Assumptions!$C$6),1,0)</f>
        <v/>
      </c>
      <c r="AB228">
        <f>IF(U228=0,"",IF(Y228=1,MAX(0,Q228-G228),IF(L228=1,MAX(0,R228-G228),MAX(0,Assumptions!$C$6-G228))))</f>
        <v/>
      </c>
      <c r="AC228">
        <f>IF(Y228=1,Q228-F228,"")</f>
        <v/>
      </c>
      <c r="AD228">
        <f>IF(Y228=1,AC228^2,"")</f>
        <v/>
      </c>
      <c r="AE228" s="19">
        <f>IF(Z228=1,(H228-M228)*I228,0)</f>
        <v/>
      </c>
      <c r="AF228">
        <f>IF(G228&lt;EDATE(Assumptions!$C$6,-12)+1,"prior_12m","last_12m")</f>
        <v/>
      </c>
      <c r="AG228" s="21">
        <f>DATE(YEAR(G228),MONTH(G228),1)</f>
        <v/>
      </c>
    </row>
    <row r="229">
      <c r="A229" t="inlineStr">
        <is>
          <t>SPO-00121-2</t>
        </is>
      </c>
      <c r="B229" t="inlineStr">
        <is>
          <t>SPO-00121</t>
        </is>
      </c>
      <c r="C229" t="inlineStr">
        <is>
          <t>SUP-14</t>
        </is>
      </c>
      <c r="D229" t="inlineStr">
        <is>
          <t>FLEET</t>
        </is>
      </c>
      <c r="E229" t="inlineStr">
        <is>
          <t>FLEET-04</t>
        </is>
      </c>
      <c r="F229" s="17" t="n">
        <v>45597</v>
      </c>
      <c r="G229" s="17" t="n">
        <v>45611</v>
      </c>
      <c r="H229" s="18" t="n">
        <v>118</v>
      </c>
      <c r="I229" s="19" t="n">
        <v>8.66</v>
      </c>
      <c r="J229" s="19" t="n">
        <v>9</v>
      </c>
      <c r="K229" s="20" t="n">
        <v>0</v>
      </c>
      <c r="L229" s="20" t="n">
        <v>1</v>
      </c>
      <c r="M229" s="18" t="n">
        <v>60</v>
      </c>
      <c r="N229" s="18" t="n">
        <v>60</v>
      </c>
      <c r="O229" s="18" t="n">
        <v>0</v>
      </c>
      <c r="P229" s="17" t="n">
        <v>45609</v>
      </c>
      <c r="Q229" s="17" t="n"/>
      <c r="R229" s="17" t="n">
        <v>45609</v>
      </c>
      <c r="S229" s="19">
        <f>H229*I229</f>
        <v/>
      </c>
      <c r="T229" s="19">
        <f>H229*J229</f>
        <v/>
      </c>
      <c r="U229">
        <f>IF(AND(K229=0,G229&lt;=Assumptions!$C$6),1,0)</f>
        <v/>
      </c>
      <c r="V229">
        <f>IF(U229=1,IF(M229&gt;0,IF(P229&lt;=G229+Assumptions!$C$7,1,0),0),0)</f>
        <v/>
      </c>
      <c r="W229">
        <f>IF(AND(U229=1,M229&gt;=H229*(1-Assumptions!$C$8)),1,0)</f>
        <v/>
      </c>
      <c r="X229">
        <f>IF(AND(U229=1,N229&gt;=H229*(1-Assumptions!$C$8)),1,0)</f>
        <v/>
      </c>
      <c r="Y229">
        <f>IF(ISNUMBER(Q229),1,0)</f>
        <v/>
      </c>
      <c r="Z229">
        <f>IF(AND(K229=0,L229=0,Y229=0),1,0)</f>
        <v/>
      </c>
      <c r="AA229">
        <f>IF(AND(Z229=1,G229&lt;Assumptions!$C$6),1,0)</f>
        <v/>
      </c>
      <c r="AB229">
        <f>IF(U229=0,"",IF(Y229=1,MAX(0,Q229-G229),IF(L229=1,MAX(0,R229-G229),MAX(0,Assumptions!$C$6-G229))))</f>
        <v/>
      </c>
      <c r="AC229">
        <f>IF(Y229=1,Q229-F229,"")</f>
        <v/>
      </c>
      <c r="AD229">
        <f>IF(Y229=1,AC229^2,"")</f>
        <v/>
      </c>
      <c r="AE229" s="19">
        <f>IF(Z229=1,(H229-M229)*I229,0)</f>
        <v/>
      </c>
      <c r="AF229">
        <f>IF(G229&lt;EDATE(Assumptions!$C$6,-12)+1,"prior_12m","last_12m")</f>
        <v/>
      </c>
      <c r="AG229" s="21">
        <f>DATE(YEAR(G229),MONTH(G229),1)</f>
        <v/>
      </c>
    </row>
    <row r="230">
      <c r="A230" t="inlineStr">
        <is>
          <t>SPO-00121-3</t>
        </is>
      </c>
      <c r="B230" t="inlineStr">
        <is>
          <t>SPO-00121</t>
        </is>
      </c>
      <c r="C230" t="inlineStr">
        <is>
          <t>SUP-14</t>
        </is>
      </c>
      <c r="D230" t="inlineStr">
        <is>
          <t>FLEET</t>
        </is>
      </c>
      <c r="E230" t="inlineStr">
        <is>
          <t>FLEET-08</t>
        </is>
      </c>
      <c r="F230" s="17" t="n">
        <v>45597</v>
      </c>
      <c r="G230" s="17" t="n">
        <v>45611</v>
      </c>
      <c r="H230" s="18" t="n">
        <v>153</v>
      </c>
      <c r="I230" s="19" t="n">
        <v>6.57</v>
      </c>
      <c r="J230" s="19" t="n">
        <v>6.4</v>
      </c>
      <c r="K230" s="20" t="n">
        <v>0</v>
      </c>
      <c r="L230" s="20" t="n">
        <v>0</v>
      </c>
      <c r="M230" s="18" t="n">
        <v>153</v>
      </c>
      <c r="N230" s="18" t="n">
        <v>153</v>
      </c>
      <c r="O230" s="18" t="n">
        <v>0</v>
      </c>
      <c r="P230" s="17" t="n">
        <v>45609</v>
      </c>
      <c r="Q230" s="17" t="n">
        <v>45609</v>
      </c>
      <c r="R230" s="17" t="n">
        <v>45609</v>
      </c>
      <c r="S230" s="19">
        <f>H230*I230</f>
        <v/>
      </c>
      <c r="T230" s="19">
        <f>H230*J230</f>
        <v/>
      </c>
      <c r="U230">
        <f>IF(AND(K230=0,G230&lt;=Assumptions!$C$6),1,0)</f>
        <v/>
      </c>
      <c r="V230">
        <f>IF(U230=1,IF(M230&gt;0,IF(P230&lt;=G230+Assumptions!$C$7,1,0),0),0)</f>
        <v/>
      </c>
      <c r="W230">
        <f>IF(AND(U230=1,M230&gt;=H230*(1-Assumptions!$C$8)),1,0)</f>
        <v/>
      </c>
      <c r="X230">
        <f>IF(AND(U230=1,N230&gt;=H230*(1-Assumptions!$C$8)),1,0)</f>
        <v/>
      </c>
      <c r="Y230">
        <f>IF(ISNUMBER(Q230),1,0)</f>
        <v/>
      </c>
      <c r="Z230">
        <f>IF(AND(K230=0,L230=0,Y230=0),1,0)</f>
        <v/>
      </c>
      <c r="AA230">
        <f>IF(AND(Z230=1,G230&lt;Assumptions!$C$6),1,0)</f>
        <v/>
      </c>
      <c r="AB230">
        <f>IF(U230=0,"",IF(Y230=1,MAX(0,Q230-G230),IF(L230=1,MAX(0,R230-G230),MAX(0,Assumptions!$C$6-G230))))</f>
        <v/>
      </c>
      <c r="AC230">
        <f>IF(Y230=1,Q230-F230,"")</f>
        <v/>
      </c>
      <c r="AD230">
        <f>IF(Y230=1,AC230^2,"")</f>
        <v/>
      </c>
      <c r="AE230" s="19">
        <f>IF(Z230=1,(H230-M230)*I230,0)</f>
        <v/>
      </c>
      <c r="AF230">
        <f>IF(G230&lt;EDATE(Assumptions!$C$6,-12)+1,"prior_12m","last_12m")</f>
        <v/>
      </c>
      <c r="AG230" s="21">
        <f>DATE(YEAR(G230),MONTH(G230),1)</f>
        <v/>
      </c>
    </row>
    <row r="231">
      <c r="A231" t="inlineStr">
        <is>
          <t>SPO-00122-1</t>
        </is>
      </c>
      <c r="B231" t="inlineStr">
        <is>
          <t>SPO-00122</t>
        </is>
      </c>
      <c r="C231" t="inlineStr">
        <is>
          <t>SUP-05</t>
        </is>
      </c>
      <c r="D231" t="inlineStr">
        <is>
          <t>FLEET</t>
        </is>
      </c>
      <c r="E231" t="inlineStr">
        <is>
          <t>FLEET-06</t>
        </is>
      </c>
      <c r="F231" s="17" t="n">
        <v>45597</v>
      </c>
      <c r="G231" s="17" t="n">
        <v>45611</v>
      </c>
      <c r="H231" s="18" t="n">
        <v>35</v>
      </c>
      <c r="I231" s="19" t="n">
        <v>33.5</v>
      </c>
      <c r="J231" s="19" t="n">
        <v>33</v>
      </c>
      <c r="K231" s="20" t="n">
        <v>0</v>
      </c>
      <c r="L231" s="20" t="n">
        <v>0</v>
      </c>
      <c r="M231" s="18" t="n">
        <v>35</v>
      </c>
      <c r="N231" s="18" t="n">
        <v>35</v>
      </c>
      <c r="O231" s="18" t="n">
        <v>0</v>
      </c>
      <c r="P231" s="17" t="n">
        <v>45608</v>
      </c>
      <c r="Q231" s="17" t="n">
        <v>45608</v>
      </c>
      <c r="R231" s="17" t="n">
        <v>45608</v>
      </c>
      <c r="S231" s="19">
        <f>H231*I231</f>
        <v/>
      </c>
      <c r="T231" s="19">
        <f>H231*J231</f>
        <v/>
      </c>
      <c r="U231">
        <f>IF(AND(K231=0,G231&lt;=Assumptions!$C$6),1,0)</f>
        <v/>
      </c>
      <c r="V231">
        <f>IF(U231=1,IF(M231&gt;0,IF(P231&lt;=G231+Assumptions!$C$7,1,0),0),0)</f>
        <v/>
      </c>
      <c r="W231">
        <f>IF(AND(U231=1,M231&gt;=H231*(1-Assumptions!$C$8)),1,0)</f>
        <v/>
      </c>
      <c r="X231">
        <f>IF(AND(U231=1,N231&gt;=H231*(1-Assumptions!$C$8)),1,0)</f>
        <v/>
      </c>
      <c r="Y231">
        <f>IF(ISNUMBER(Q231),1,0)</f>
        <v/>
      </c>
      <c r="Z231">
        <f>IF(AND(K231=0,L231=0,Y231=0),1,0)</f>
        <v/>
      </c>
      <c r="AA231">
        <f>IF(AND(Z231=1,G231&lt;Assumptions!$C$6),1,0)</f>
        <v/>
      </c>
      <c r="AB231">
        <f>IF(U231=0,"",IF(Y231=1,MAX(0,Q231-G231),IF(L231=1,MAX(0,R231-G231),MAX(0,Assumptions!$C$6-G231))))</f>
        <v/>
      </c>
      <c r="AC231">
        <f>IF(Y231=1,Q231-F231,"")</f>
        <v/>
      </c>
      <c r="AD231">
        <f>IF(Y231=1,AC231^2,"")</f>
        <v/>
      </c>
      <c r="AE231" s="19">
        <f>IF(Z231=1,(H231-M231)*I231,0)</f>
        <v/>
      </c>
      <c r="AF231">
        <f>IF(G231&lt;EDATE(Assumptions!$C$6,-12)+1,"prior_12m","last_12m")</f>
        <v/>
      </c>
      <c r="AG231" s="21">
        <f>DATE(YEAR(G231),MONTH(G231),1)</f>
        <v/>
      </c>
    </row>
    <row r="232">
      <c r="A232" t="inlineStr">
        <is>
          <t>SPO-00123-1</t>
        </is>
      </c>
      <c r="B232" t="inlineStr">
        <is>
          <t>SPO-00123</t>
        </is>
      </c>
      <c r="C232" t="inlineStr">
        <is>
          <t>SUP-08</t>
        </is>
      </c>
      <c r="D232" t="inlineStr">
        <is>
          <t>MRO</t>
        </is>
      </c>
      <c r="E232" t="inlineStr">
        <is>
          <t>MRO-03</t>
        </is>
      </c>
      <c r="F232" s="17" t="n">
        <v>45597</v>
      </c>
      <c r="G232" s="17" t="n">
        <v>45608</v>
      </c>
      <c r="H232" s="18" t="n">
        <v>215</v>
      </c>
      <c r="I232" s="19" t="n">
        <v>8.779999999999999</v>
      </c>
      <c r="J232" s="19" t="n">
        <v>8.9</v>
      </c>
      <c r="K232" s="20" t="n">
        <v>0</v>
      </c>
      <c r="L232" s="20" t="n">
        <v>0</v>
      </c>
      <c r="M232" s="18" t="n">
        <v>215</v>
      </c>
      <c r="N232" s="18" t="n">
        <v>215</v>
      </c>
      <c r="O232" s="18" t="n">
        <v>0</v>
      </c>
      <c r="P232" s="17" t="n">
        <v>45603</v>
      </c>
      <c r="Q232" s="17" t="n">
        <v>45603</v>
      </c>
      <c r="R232" s="17" t="n">
        <v>45603</v>
      </c>
      <c r="S232" s="19">
        <f>H232*I232</f>
        <v/>
      </c>
      <c r="T232" s="19">
        <f>H232*J232</f>
        <v/>
      </c>
      <c r="U232">
        <f>IF(AND(K232=0,G232&lt;=Assumptions!$C$6),1,0)</f>
        <v/>
      </c>
      <c r="V232">
        <f>IF(U232=1,IF(M232&gt;0,IF(P232&lt;=G232+Assumptions!$C$7,1,0),0),0)</f>
        <v/>
      </c>
      <c r="W232">
        <f>IF(AND(U232=1,M232&gt;=H232*(1-Assumptions!$C$8)),1,0)</f>
        <v/>
      </c>
      <c r="X232">
        <f>IF(AND(U232=1,N232&gt;=H232*(1-Assumptions!$C$8)),1,0)</f>
        <v/>
      </c>
      <c r="Y232">
        <f>IF(ISNUMBER(Q232),1,0)</f>
        <v/>
      </c>
      <c r="Z232">
        <f>IF(AND(K232=0,L232=0,Y232=0),1,0)</f>
        <v/>
      </c>
      <c r="AA232">
        <f>IF(AND(Z232=1,G232&lt;Assumptions!$C$6),1,0)</f>
        <v/>
      </c>
      <c r="AB232">
        <f>IF(U232=0,"",IF(Y232=1,MAX(0,Q232-G232),IF(L232=1,MAX(0,R232-G232),MAX(0,Assumptions!$C$6-G232))))</f>
        <v/>
      </c>
      <c r="AC232">
        <f>IF(Y232=1,Q232-F232,"")</f>
        <v/>
      </c>
      <c r="AD232">
        <f>IF(Y232=1,AC232^2,"")</f>
        <v/>
      </c>
      <c r="AE232" s="19">
        <f>IF(Z232=1,(H232-M232)*I232,0)</f>
        <v/>
      </c>
      <c r="AF232">
        <f>IF(G232&lt;EDATE(Assumptions!$C$6,-12)+1,"prior_12m","last_12m")</f>
        <v/>
      </c>
      <c r="AG232" s="21">
        <f>DATE(YEAR(G232),MONTH(G232),1)</f>
        <v/>
      </c>
    </row>
    <row r="233">
      <c r="A233" t="inlineStr">
        <is>
          <t>SPO-00124-1</t>
        </is>
      </c>
      <c r="B233" t="inlineStr">
        <is>
          <t>SPO-00124</t>
        </is>
      </c>
      <c r="C233" t="inlineStr">
        <is>
          <t>SUP-12</t>
        </is>
      </c>
      <c r="D233" t="inlineStr">
        <is>
          <t>IT</t>
        </is>
      </c>
      <c r="E233" t="inlineStr">
        <is>
          <t>IT-03</t>
        </is>
      </c>
      <c r="F233" s="17" t="n">
        <v>45598</v>
      </c>
      <c r="G233" s="17" t="n">
        <v>45608</v>
      </c>
      <c r="H233" s="18" t="n">
        <v>31</v>
      </c>
      <c r="I233" s="19" t="n">
        <v>42.58</v>
      </c>
      <c r="J233" s="19" t="n">
        <v>38</v>
      </c>
      <c r="K233" s="20" t="n">
        <v>1</v>
      </c>
      <c r="L233" s="20" t="n">
        <v>0</v>
      </c>
      <c r="M233" s="18" t="n">
        <v>0</v>
      </c>
      <c r="N233" s="18" t="n">
        <v>0</v>
      </c>
      <c r="O233" s="18" t="n">
        <v>0</v>
      </c>
      <c r="P233" s="17" t="n"/>
      <c r="Q233" s="17" t="n"/>
      <c r="R233" s="17" t="n"/>
      <c r="S233" s="19">
        <f>H233*I233</f>
        <v/>
      </c>
      <c r="T233" s="19">
        <f>H233*J233</f>
        <v/>
      </c>
      <c r="U233">
        <f>IF(AND(K233=0,G233&lt;=Assumptions!$C$6),1,0)</f>
        <v/>
      </c>
      <c r="V233">
        <f>IF(U233=1,IF(M233&gt;0,IF(P233&lt;=G233+Assumptions!$C$7,1,0),0),0)</f>
        <v/>
      </c>
      <c r="W233">
        <f>IF(AND(U233=1,M233&gt;=H233*(1-Assumptions!$C$8)),1,0)</f>
        <v/>
      </c>
      <c r="X233">
        <f>IF(AND(U233=1,N233&gt;=H233*(1-Assumptions!$C$8)),1,0)</f>
        <v/>
      </c>
      <c r="Y233">
        <f>IF(ISNUMBER(Q233),1,0)</f>
        <v/>
      </c>
      <c r="Z233">
        <f>IF(AND(K233=0,L233=0,Y233=0),1,0)</f>
        <v/>
      </c>
      <c r="AA233">
        <f>IF(AND(Z233=1,G233&lt;Assumptions!$C$6),1,0)</f>
        <v/>
      </c>
      <c r="AB233">
        <f>IF(U233=0,"",IF(Y233=1,MAX(0,Q233-G233),IF(L233=1,MAX(0,R233-G233),MAX(0,Assumptions!$C$6-G233))))</f>
        <v/>
      </c>
      <c r="AC233">
        <f>IF(Y233=1,Q233-F233,"")</f>
        <v/>
      </c>
      <c r="AD233">
        <f>IF(Y233=1,AC233^2,"")</f>
        <v/>
      </c>
      <c r="AE233" s="19">
        <f>IF(Z233=1,(H233-M233)*I233,0)</f>
        <v/>
      </c>
      <c r="AF233">
        <f>IF(G233&lt;EDATE(Assumptions!$C$6,-12)+1,"prior_12m","last_12m")</f>
        <v/>
      </c>
      <c r="AG233" s="21">
        <f>DATE(YEAR(G233),MONTH(G233),1)</f>
        <v/>
      </c>
    </row>
    <row r="234">
      <c r="A234" t="inlineStr">
        <is>
          <t>SPO-00124-2</t>
        </is>
      </c>
      <c r="B234" t="inlineStr">
        <is>
          <t>SPO-00124</t>
        </is>
      </c>
      <c r="C234" t="inlineStr">
        <is>
          <t>SUP-12</t>
        </is>
      </c>
      <c r="D234" t="inlineStr">
        <is>
          <t>IT</t>
        </is>
      </c>
      <c r="E234" t="inlineStr">
        <is>
          <t>IT-05</t>
        </is>
      </c>
      <c r="F234" s="17" t="n">
        <v>45598</v>
      </c>
      <c r="G234" s="17" t="n">
        <v>45608</v>
      </c>
      <c r="H234" s="18" t="n">
        <v>7</v>
      </c>
      <c r="I234" s="19" t="n">
        <v>731.1799999999999</v>
      </c>
      <c r="J234" s="19" t="n">
        <v>640</v>
      </c>
      <c r="K234" s="20" t="n">
        <v>0</v>
      </c>
      <c r="L234" s="20" t="n">
        <v>0</v>
      </c>
      <c r="M234" s="18" t="n">
        <v>7</v>
      </c>
      <c r="N234" s="18" t="n">
        <v>7</v>
      </c>
      <c r="O234" s="18" t="n">
        <v>0</v>
      </c>
      <c r="P234" s="17" t="n">
        <v>45608</v>
      </c>
      <c r="Q234" s="17" t="n">
        <v>45608</v>
      </c>
      <c r="R234" s="17" t="n">
        <v>45608</v>
      </c>
      <c r="S234" s="19">
        <f>H234*I234</f>
        <v/>
      </c>
      <c r="T234" s="19">
        <f>H234*J234</f>
        <v/>
      </c>
      <c r="U234">
        <f>IF(AND(K234=0,G234&lt;=Assumptions!$C$6),1,0)</f>
        <v/>
      </c>
      <c r="V234">
        <f>IF(U234=1,IF(M234&gt;0,IF(P234&lt;=G234+Assumptions!$C$7,1,0),0),0)</f>
        <v/>
      </c>
      <c r="W234">
        <f>IF(AND(U234=1,M234&gt;=H234*(1-Assumptions!$C$8)),1,0)</f>
        <v/>
      </c>
      <c r="X234">
        <f>IF(AND(U234=1,N234&gt;=H234*(1-Assumptions!$C$8)),1,0)</f>
        <v/>
      </c>
      <c r="Y234">
        <f>IF(ISNUMBER(Q234),1,0)</f>
        <v/>
      </c>
      <c r="Z234">
        <f>IF(AND(K234=0,L234=0,Y234=0),1,0)</f>
        <v/>
      </c>
      <c r="AA234">
        <f>IF(AND(Z234=1,G234&lt;Assumptions!$C$6),1,0)</f>
        <v/>
      </c>
      <c r="AB234">
        <f>IF(U234=0,"",IF(Y234=1,MAX(0,Q234-G234),IF(L234=1,MAX(0,R234-G234),MAX(0,Assumptions!$C$6-G234))))</f>
        <v/>
      </c>
      <c r="AC234">
        <f>IF(Y234=1,Q234-F234,"")</f>
        <v/>
      </c>
      <c r="AD234">
        <f>IF(Y234=1,AC234^2,"")</f>
        <v/>
      </c>
      <c r="AE234" s="19">
        <f>IF(Z234=1,(H234-M234)*I234,0)</f>
        <v/>
      </c>
      <c r="AF234">
        <f>IF(G234&lt;EDATE(Assumptions!$C$6,-12)+1,"prior_12m","last_12m")</f>
        <v/>
      </c>
      <c r="AG234" s="21">
        <f>DATE(YEAR(G234),MONTH(G234),1)</f>
        <v/>
      </c>
    </row>
    <row r="235">
      <c r="A235" t="inlineStr">
        <is>
          <t>SPO-00125-1</t>
        </is>
      </c>
      <c r="B235" t="inlineStr">
        <is>
          <t>SPO-00125</t>
        </is>
      </c>
      <c r="C235" t="inlineStr">
        <is>
          <t>SUP-14</t>
        </is>
      </c>
      <c r="D235" t="inlineStr">
        <is>
          <t>FLEET</t>
        </is>
      </c>
      <c r="E235" t="inlineStr">
        <is>
          <t>FLEET-04</t>
        </is>
      </c>
      <c r="F235" s="17" t="n">
        <v>45598</v>
      </c>
      <c r="G235" s="17" t="n">
        <v>45612</v>
      </c>
      <c r="H235" s="18" t="n">
        <v>207</v>
      </c>
      <c r="I235" s="19" t="n">
        <v>8.970000000000001</v>
      </c>
      <c r="J235" s="19" t="n">
        <v>9</v>
      </c>
      <c r="K235" s="20" t="n">
        <v>0</v>
      </c>
      <c r="L235" s="20" t="n">
        <v>0</v>
      </c>
      <c r="M235" s="18" t="n">
        <v>207</v>
      </c>
      <c r="N235" s="18" t="n">
        <v>207</v>
      </c>
      <c r="O235" s="18" t="n">
        <v>0</v>
      </c>
      <c r="P235" s="17" t="n">
        <v>45604</v>
      </c>
      <c r="Q235" s="17" t="n">
        <v>45604</v>
      </c>
      <c r="R235" s="17" t="n">
        <v>45604</v>
      </c>
      <c r="S235" s="19">
        <f>H235*I235</f>
        <v/>
      </c>
      <c r="T235" s="19">
        <f>H235*J235</f>
        <v/>
      </c>
      <c r="U235">
        <f>IF(AND(K235=0,G235&lt;=Assumptions!$C$6),1,0)</f>
        <v/>
      </c>
      <c r="V235">
        <f>IF(U235=1,IF(M235&gt;0,IF(P235&lt;=G235+Assumptions!$C$7,1,0),0),0)</f>
        <v/>
      </c>
      <c r="W235">
        <f>IF(AND(U235=1,M235&gt;=H235*(1-Assumptions!$C$8)),1,0)</f>
        <v/>
      </c>
      <c r="X235">
        <f>IF(AND(U235=1,N235&gt;=H235*(1-Assumptions!$C$8)),1,0)</f>
        <v/>
      </c>
      <c r="Y235">
        <f>IF(ISNUMBER(Q235),1,0)</f>
        <v/>
      </c>
      <c r="Z235">
        <f>IF(AND(K235=0,L235=0,Y235=0),1,0)</f>
        <v/>
      </c>
      <c r="AA235">
        <f>IF(AND(Z235=1,G235&lt;Assumptions!$C$6),1,0)</f>
        <v/>
      </c>
      <c r="AB235">
        <f>IF(U235=0,"",IF(Y235=1,MAX(0,Q235-G235),IF(L235=1,MAX(0,R235-G235),MAX(0,Assumptions!$C$6-G235))))</f>
        <v/>
      </c>
      <c r="AC235">
        <f>IF(Y235=1,Q235-F235,"")</f>
        <v/>
      </c>
      <c r="AD235">
        <f>IF(Y235=1,AC235^2,"")</f>
        <v/>
      </c>
      <c r="AE235" s="19">
        <f>IF(Z235=1,(H235-M235)*I235,0)</f>
        <v/>
      </c>
      <c r="AF235">
        <f>IF(G235&lt;EDATE(Assumptions!$C$6,-12)+1,"prior_12m","last_12m")</f>
        <v/>
      </c>
      <c r="AG235" s="21">
        <f>DATE(YEAR(G235),MONTH(G235),1)</f>
        <v/>
      </c>
    </row>
    <row r="236">
      <c r="A236" t="inlineStr">
        <is>
          <t>SPO-00126-1</t>
        </is>
      </c>
      <c r="B236" t="inlineStr">
        <is>
          <t>SPO-00126</t>
        </is>
      </c>
      <c r="C236" t="inlineStr">
        <is>
          <t>SUP-05</t>
        </is>
      </c>
      <c r="D236" t="inlineStr">
        <is>
          <t>FLEET</t>
        </is>
      </c>
      <c r="E236" t="inlineStr">
        <is>
          <t>FLEET-03</t>
        </is>
      </c>
      <c r="F236" s="17" t="n">
        <v>45598</v>
      </c>
      <c r="G236" s="17" t="n">
        <v>45612</v>
      </c>
      <c r="H236" s="18" t="n">
        <v>115</v>
      </c>
      <c r="I236" s="19" t="n">
        <v>21.45</v>
      </c>
      <c r="J236" s="19" t="n">
        <v>21</v>
      </c>
      <c r="K236" s="20" t="n">
        <v>0</v>
      </c>
      <c r="L236" s="20" t="n">
        <v>0</v>
      </c>
      <c r="M236" s="18" t="n">
        <v>115</v>
      </c>
      <c r="N236" s="18" t="n">
        <v>115</v>
      </c>
      <c r="O236" s="18" t="n">
        <v>0</v>
      </c>
      <c r="P236" s="17" t="n">
        <v>45609</v>
      </c>
      <c r="Q236" s="17" t="n">
        <v>45609</v>
      </c>
      <c r="R236" s="17" t="n">
        <v>45609</v>
      </c>
      <c r="S236" s="19">
        <f>H236*I236</f>
        <v/>
      </c>
      <c r="T236" s="19">
        <f>H236*J236</f>
        <v/>
      </c>
      <c r="U236">
        <f>IF(AND(K236=0,G236&lt;=Assumptions!$C$6),1,0)</f>
        <v/>
      </c>
      <c r="V236">
        <f>IF(U236=1,IF(M236&gt;0,IF(P236&lt;=G236+Assumptions!$C$7,1,0),0),0)</f>
        <v/>
      </c>
      <c r="W236">
        <f>IF(AND(U236=1,M236&gt;=H236*(1-Assumptions!$C$8)),1,0)</f>
        <v/>
      </c>
      <c r="X236">
        <f>IF(AND(U236=1,N236&gt;=H236*(1-Assumptions!$C$8)),1,0)</f>
        <v/>
      </c>
      <c r="Y236">
        <f>IF(ISNUMBER(Q236),1,0)</f>
        <v/>
      </c>
      <c r="Z236">
        <f>IF(AND(K236=0,L236=0,Y236=0),1,0)</f>
        <v/>
      </c>
      <c r="AA236">
        <f>IF(AND(Z236=1,G236&lt;Assumptions!$C$6),1,0)</f>
        <v/>
      </c>
      <c r="AB236">
        <f>IF(U236=0,"",IF(Y236=1,MAX(0,Q236-G236),IF(L236=1,MAX(0,R236-G236),MAX(0,Assumptions!$C$6-G236))))</f>
        <v/>
      </c>
      <c r="AC236">
        <f>IF(Y236=1,Q236-F236,"")</f>
        <v/>
      </c>
      <c r="AD236">
        <f>IF(Y236=1,AC236^2,"")</f>
        <v/>
      </c>
      <c r="AE236" s="19">
        <f>IF(Z236=1,(H236-M236)*I236,0)</f>
        <v/>
      </c>
      <c r="AF236">
        <f>IF(G236&lt;EDATE(Assumptions!$C$6,-12)+1,"prior_12m","last_12m")</f>
        <v/>
      </c>
      <c r="AG236" s="21">
        <f>DATE(YEAR(G236),MONTH(G236),1)</f>
        <v/>
      </c>
    </row>
    <row r="237">
      <c r="A237" t="inlineStr">
        <is>
          <t>SPO-00126-2</t>
        </is>
      </c>
      <c r="B237" t="inlineStr">
        <is>
          <t>SPO-00126</t>
        </is>
      </c>
      <c r="C237" t="inlineStr">
        <is>
          <t>SUP-05</t>
        </is>
      </c>
      <c r="D237" t="inlineStr">
        <is>
          <t>FLEET</t>
        </is>
      </c>
      <c r="E237" t="inlineStr">
        <is>
          <t>FLEET-01</t>
        </is>
      </c>
      <c r="F237" s="17" t="n">
        <v>45598</v>
      </c>
      <c r="G237" s="17" t="n">
        <v>45612</v>
      </c>
      <c r="H237" s="18" t="n">
        <v>13</v>
      </c>
      <c r="I237" s="19" t="n">
        <v>63.55</v>
      </c>
      <c r="J237" s="19" t="n">
        <v>64</v>
      </c>
      <c r="K237" s="20" t="n">
        <v>0</v>
      </c>
      <c r="L237" s="20" t="n">
        <v>0</v>
      </c>
      <c r="M237" s="18" t="n">
        <v>13</v>
      </c>
      <c r="N237" s="18" t="n">
        <v>13</v>
      </c>
      <c r="O237" s="18" t="n">
        <v>0</v>
      </c>
      <c r="P237" s="17" t="n">
        <v>45612</v>
      </c>
      <c r="Q237" s="17" t="n">
        <v>45612</v>
      </c>
      <c r="R237" s="17" t="n">
        <v>45612</v>
      </c>
      <c r="S237" s="19">
        <f>H237*I237</f>
        <v/>
      </c>
      <c r="T237" s="19">
        <f>H237*J237</f>
        <v/>
      </c>
      <c r="U237">
        <f>IF(AND(K237=0,G237&lt;=Assumptions!$C$6),1,0)</f>
        <v/>
      </c>
      <c r="V237">
        <f>IF(U237=1,IF(M237&gt;0,IF(P237&lt;=G237+Assumptions!$C$7,1,0),0),0)</f>
        <v/>
      </c>
      <c r="W237">
        <f>IF(AND(U237=1,M237&gt;=H237*(1-Assumptions!$C$8)),1,0)</f>
        <v/>
      </c>
      <c r="X237">
        <f>IF(AND(U237=1,N237&gt;=H237*(1-Assumptions!$C$8)),1,0)</f>
        <v/>
      </c>
      <c r="Y237">
        <f>IF(ISNUMBER(Q237),1,0)</f>
        <v/>
      </c>
      <c r="Z237">
        <f>IF(AND(K237=0,L237=0,Y237=0),1,0)</f>
        <v/>
      </c>
      <c r="AA237">
        <f>IF(AND(Z237=1,G237&lt;Assumptions!$C$6),1,0)</f>
        <v/>
      </c>
      <c r="AB237">
        <f>IF(U237=0,"",IF(Y237=1,MAX(0,Q237-G237),IF(L237=1,MAX(0,R237-G237),MAX(0,Assumptions!$C$6-G237))))</f>
        <v/>
      </c>
      <c r="AC237">
        <f>IF(Y237=1,Q237-F237,"")</f>
        <v/>
      </c>
      <c r="AD237">
        <f>IF(Y237=1,AC237^2,"")</f>
        <v/>
      </c>
      <c r="AE237" s="19">
        <f>IF(Z237=1,(H237-M237)*I237,0)</f>
        <v/>
      </c>
      <c r="AF237">
        <f>IF(G237&lt;EDATE(Assumptions!$C$6,-12)+1,"prior_12m","last_12m")</f>
        <v/>
      </c>
      <c r="AG237" s="21">
        <f>DATE(YEAR(G237),MONTH(G237),1)</f>
        <v/>
      </c>
    </row>
    <row r="238">
      <c r="A238" t="inlineStr">
        <is>
          <t>SPO-00126-3</t>
        </is>
      </c>
      <c r="B238" t="inlineStr">
        <is>
          <t>SPO-00126</t>
        </is>
      </c>
      <c r="C238" t="inlineStr">
        <is>
          <t>SUP-05</t>
        </is>
      </c>
      <c r="D238" t="inlineStr">
        <is>
          <t>FLEET</t>
        </is>
      </c>
      <c r="E238" t="inlineStr">
        <is>
          <t>FLEET-07</t>
        </is>
      </c>
      <c r="F238" s="17" t="n">
        <v>45598</v>
      </c>
      <c r="G238" s="17" t="n">
        <v>45612</v>
      </c>
      <c r="H238" s="18" t="n">
        <v>9</v>
      </c>
      <c r="I238" s="19" t="n">
        <v>114.38</v>
      </c>
      <c r="J238" s="19" t="n">
        <v>118</v>
      </c>
      <c r="K238" s="20" t="n">
        <v>0</v>
      </c>
      <c r="L238" s="20" t="n">
        <v>0</v>
      </c>
      <c r="M238" s="18" t="n">
        <v>9</v>
      </c>
      <c r="N238" s="18" t="n">
        <v>0</v>
      </c>
      <c r="O238" s="18" t="n">
        <v>0</v>
      </c>
      <c r="P238" s="17" t="n">
        <v>45613</v>
      </c>
      <c r="Q238" s="17" t="n">
        <v>45613</v>
      </c>
      <c r="R238" s="17" t="n">
        <v>45613</v>
      </c>
      <c r="S238" s="19">
        <f>H238*I238</f>
        <v/>
      </c>
      <c r="T238" s="19">
        <f>H238*J238</f>
        <v/>
      </c>
      <c r="U238">
        <f>IF(AND(K238=0,G238&lt;=Assumptions!$C$6),1,0)</f>
        <v/>
      </c>
      <c r="V238">
        <f>IF(U238=1,IF(M238&gt;0,IF(P238&lt;=G238+Assumptions!$C$7,1,0),0),0)</f>
        <v/>
      </c>
      <c r="W238">
        <f>IF(AND(U238=1,M238&gt;=H238*(1-Assumptions!$C$8)),1,0)</f>
        <v/>
      </c>
      <c r="X238">
        <f>IF(AND(U238=1,N238&gt;=H238*(1-Assumptions!$C$8)),1,0)</f>
        <v/>
      </c>
      <c r="Y238">
        <f>IF(ISNUMBER(Q238),1,0)</f>
        <v/>
      </c>
      <c r="Z238">
        <f>IF(AND(K238=0,L238=0,Y238=0),1,0)</f>
        <v/>
      </c>
      <c r="AA238">
        <f>IF(AND(Z238=1,G238&lt;Assumptions!$C$6),1,0)</f>
        <v/>
      </c>
      <c r="AB238">
        <f>IF(U238=0,"",IF(Y238=1,MAX(0,Q238-G238),IF(L238=1,MAX(0,R238-G238),MAX(0,Assumptions!$C$6-G238))))</f>
        <v/>
      </c>
      <c r="AC238">
        <f>IF(Y238=1,Q238-F238,"")</f>
        <v/>
      </c>
      <c r="AD238">
        <f>IF(Y238=1,AC238^2,"")</f>
        <v/>
      </c>
      <c r="AE238" s="19">
        <f>IF(Z238=1,(H238-M238)*I238,0)</f>
        <v/>
      </c>
      <c r="AF238">
        <f>IF(G238&lt;EDATE(Assumptions!$C$6,-12)+1,"prior_12m","last_12m")</f>
        <v/>
      </c>
      <c r="AG238" s="21">
        <f>DATE(YEAR(G238),MONTH(G238),1)</f>
        <v/>
      </c>
    </row>
    <row r="239">
      <c r="A239" t="inlineStr">
        <is>
          <t>SPO-00126-4</t>
        </is>
      </c>
      <c r="B239" t="inlineStr">
        <is>
          <t>SPO-00126</t>
        </is>
      </c>
      <c r="C239" t="inlineStr">
        <is>
          <t>SUP-05</t>
        </is>
      </c>
      <c r="D239" t="inlineStr">
        <is>
          <t>FLEET</t>
        </is>
      </c>
      <c r="E239" t="inlineStr">
        <is>
          <t>FLEET-02</t>
        </is>
      </c>
      <c r="F239" s="17" t="n">
        <v>45598</v>
      </c>
      <c r="G239" s="17" t="n">
        <v>45612</v>
      </c>
      <c r="H239" s="18" t="n">
        <v>200</v>
      </c>
      <c r="I239" s="19" t="n">
        <v>7.25</v>
      </c>
      <c r="J239" s="19" t="n">
        <v>7.5</v>
      </c>
      <c r="K239" s="20" t="n">
        <v>0</v>
      </c>
      <c r="L239" s="20" t="n">
        <v>0</v>
      </c>
      <c r="M239" s="18" t="n">
        <v>200</v>
      </c>
      <c r="N239" s="18" t="n">
        <v>200</v>
      </c>
      <c r="O239" s="18" t="n">
        <v>0</v>
      </c>
      <c r="P239" s="17" t="n">
        <v>45607</v>
      </c>
      <c r="Q239" s="17" t="n">
        <v>45607</v>
      </c>
      <c r="R239" s="17" t="n">
        <v>45607</v>
      </c>
      <c r="S239" s="19">
        <f>H239*I239</f>
        <v/>
      </c>
      <c r="T239" s="19">
        <f>H239*J239</f>
        <v/>
      </c>
      <c r="U239">
        <f>IF(AND(K239=0,G239&lt;=Assumptions!$C$6),1,0)</f>
        <v/>
      </c>
      <c r="V239">
        <f>IF(U239=1,IF(M239&gt;0,IF(P239&lt;=G239+Assumptions!$C$7,1,0),0),0)</f>
        <v/>
      </c>
      <c r="W239">
        <f>IF(AND(U239=1,M239&gt;=H239*(1-Assumptions!$C$8)),1,0)</f>
        <v/>
      </c>
      <c r="X239">
        <f>IF(AND(U239=1,N239&gt;=H239*(1-Assumptions!$C$8)),1,0)</f>
        <v/>
      </c>
      <c r="Y239">
        <f>IF(ISNUMBER(Q239),1,0)</f>
        <v/>
      </c>
      <c r="Z239">
        <f>IF(AND(K239=0,L239=0,Y239=0),1,0)</f>
        <v/>
      </c>
      <c r="AA239">
        <f>IF(AND(Z239=1,G239&lt;Assumptions!$C$6),1,0)</f>
        <v/>
      </c>
      <c r="AB239">
        <f>IF(U239=0,"",IF(Y239=1,MAX(0,Q239-G239),IF(L239=1,MAX(0,R239-G239),MAX(0,Assumptions!$C$6-G239))))</f>
        <v/>
      </c>
      <c r="AC239">
        <f>IF(Y239=1,Q239-F239,"")</f>
        <v/>
      </c>
      <c r="AD239">
        <f>IF(Y239=1,AC239^2,"")</f>
        <v/>
      </c>
      <c r="AE239" s="19">
        <f>IF(Z239=1,(H239-M239)*I239,0)</f>
        <v/>
      </c>
      <c r="AF239">
        <f>IF(G239&lt;EDATE(Assumptions!$C$6,-12)+1,"prior_12m","last_12m")</f>
        <v/>
      </c>
      <c r="AG239" s="21">
        <f>DATE(YEAR(G239),MONTH(G239),1)</f>
        <v/>
      </c>
    </row>
    <row r="240">
      <c r="A240" t="inlineStr">
        <is>
          <t>SPO-00127-1</t>
        </is>
      </c>
      <c r="B240" t="inlineStr">
        <is>
          <t>SPO-00127</t>
        </is>
      </c>
      <c r="C240" t="inlineStr">
        <is>
          <t>SUP-10</t>
        </is>
      </c>
      <c r="D240" t="inlineStr">
        <is>
          <t>PPE</t>
        </is>
      </c>
      <c r="E240" t="inlineStr">
        <is>
          <t>PPE-03</t>
        </is>
      </c>
      <c r="F240" s="17" t="n">
        <v>45599</v>
      </c>
      <c r="G240" s="17" t="n">
        <v>45612</v>
      </c>
      <c r="H240" s="18" t="n">
        <v>86</v>
      </c>
      <c r="I240" s="19" t="n">
        <v>20.95</v>
      </c>
      <c r="J240" s="19" t="n">
        <v>21</v>
      </c>
      <c r="K240" s="20" t="n">
        <v>0</v>
      </c>
      <c r="L240" s="20" t="n">
        <v>0</v>
      </c>
      <c r="M240" s="18" t="n">
        <v>86</v>
      </c>
      <c r="N240" s="18" t="n">
        <v>86</v>
      </c>
      <c r="O240" s="18" t="n">
        <v>0</v>
      </c>
      <c r="P240" s="17" t="n">
        <v>45609</v>
      </c>
      <c r="Q240" s="17" t="n">
        <v>45609</v>
      </c>
      <c r="R240" s="17" t="n">
        <v>45609</v>
      </c>
      <c r="S240" s="19">
        <f>H240*I240</f>
        <v/>
      </c>
      <c r="T240" s="19">
        <f>H240*J240</f>
        <v/>
      </c>
      <c r="U240">
        <f>IF(AND(K240=0,G240&lt;=Assumptions!$C$6),1,0)</f>
        <v/>
      </c>
      <c r="V240">
        <f>IF(U240=1,IF(M240&gt;0,IF(P240&lt;=G240+Assumptions!$C$7,1,0),0),0)</f>
        <v/>
      </c>
      <c r="W240">
        <f>IF(AND(U240=1,M240&gt;=H240*(1-Assumptions!$C$8)),1,0)</f>
        <v/>
      </c>
      <c r="X240">
        <f>IF(AND(U240=1,N240&gt;=H240*(1-Assumptions!$C$8)),1,0)</f>
        <v/>
      </c>
      <c r="Y240">
        <f>IF(ISNUMBER(Q240),1,0)</f>
        <v/>
      </c>
      <c r="Z240">
        <f>IF(AND(K240=0,L240=0,Y240=0),1,0)</f>
        <v/>
      </c>
      <c r="AA240">
        <f>IF(AND(Z240=1,G240&lt;Assumptions!$C$6),1,0)</f>
        <v/>
      </c>
      <c r="AB240">
        <f>IF(U240=0,"",IF(Y240=1,MAX(0,Q240-G240),IF(L240=1,MAX(0,R240-G240),MAX(0,Assumptions!$C$6-G240))))</f>
        <v/>
      </c>
      <c r="AC240">
        <f>IF(Y240=1,Q240-F240,"")</f>
        <v/>
      </c>
      <c r="AD240">
        <f>IF(Y240=1,AC240^2,"")</f>
        <v/>
      </c>
      <c r="AE240" s="19">
        <f>IF(Z240=1,(H240-M240)*I240,0)</f>
        <v/>
      </c>
      <c r="AF240">
        <f>IF(G240&lt;EDATE(Assumptions!$C$6,-12)+1,"prior_12m","last_12m")</f>
        <v/>
      </c>
      <c r="AG240" s="21">
        <f>DATE(YEAR(G240),MONTH(G240),1)</f>
        <v/>
      </c>
    </row>
    <row r="241">
      <c r="A241" t="inlineStr">
        <is>
          <t>SPO-00128-1</t>
        </is>
      </c>
      <c r="B241" t="inlineStr">
        <is>
          <t>SPO-00128</t>
        </is>
      </c>
      <c r="C241" t="inlineStr">
        <is>
          <t>SUP-12</t>
        </is>
      </c>
      <c r="D241" t="inlineStr">
        <is>
          <t>IT</t>
        </is>
      </c>
      <c r="E241" t="inlineStr">
        <is>
          <t>IT-07</t>
        </is>
      </c>
      <c r="F241" s="17" t="n">
        <v>45599</v>
      </c>
      <c r="G241" s="17" t="n">
        <v>45609</v>
      </c>
      <c r="H241" s="18" t="n">
        <v>17</v>
      </c>
      <c r="I241" s="19" t="n">
        <v>84.59999999999999</v>
      </c>
      <c r="J241" s="19" t="n">
        <v>74</v>
      </c>
      <c r="K241" s="20" t="n">
        <v>0</v>
      </c>
      <c r="L241" s="20" t="n">
        <v>0</v>
      </c>
      <c r="M241" s="18" t="n">
        <v>17</v>
      </c>
      <c r="N241" s="18" t="n">
        <v>17</v>
      </c>
      <c r="O241" s="18" t="n">
        <v>0</v>
      </c>
      <c r="P241" s="17" t="n">
        <v>45606</v>
      </c>
      <c r="Q241" s="17" t="n">
        <v>45606</v>
      </c>
      <c r="R241" s="17" t="n">
        <v>45606</v>
      </c>
      <c r="S241" s="19">
        <f>H241*I241</f>
        <v/>
      </c>
      <c r="T241" s="19">
        <f>H241*J241</f>
        <v/>
      </c>
      <c r="U241">
        <f>IF(AND(K241=0,G241&lt;=Assumptions!$C$6),1,0)</f>
        <v/>
      </c>
      <c r="V241">
        <f>IF(U241=1,IF(M241&gt;0,IF(P241&lt;=G241+Assumptions!$C$7,1,0),0),0)</f>
        <v/>
      </c>
      <c r="W241">
        <f>IF(AND(U241=1,M241&gt;=H241*(1-Assumptions!$C$8)),1,0)</f>
        <v/>
      </c>
      <c r="X241">
        <f>IF(AND(U241=1,N241&gt;=H241*(1-Assumptions!$C$8)),1,0)</f>
        <v/>
      </c>
      <c r="Y241">
        <f>IF(ISNUMBER(Q241),1,0)</f>
        <v/>
      </c>
      <c r="Z241">
        <f>IF(AND(K241=0,L241=0,Y241=0),1,0)</f>
        <v/>
      </c>
      <c r="AA241">
        <f>IF(AND(Z241=1,G241&lt;Assumptions!$C$6),1,0)</f>
        <v/>
      </c>
      <c r="AB241">
        <f>IF(U241=0,"",IF(Y241=1,MAX(0,Q241-G241),IF(L241=1,MAX(0,R241-G241),MAX(0,Assumptions!$C$6-G241))))</f>
        <v/>
      </c>
      <c r="AC241">
        <f>IF(Y241=1,Q241-F241,"")</f>
        <v/>
      </c>
      <c r="AD241">
        <f>IF(Y241=1,AC241^2,"")</f>
        <v/>
      </c>
      <c r="AE241" s="19">
        <f>IF(Z241=1,(H241-M241)*I241,0)</f>
        <v/>
      </c>
      <c r="AF241">
        <f>IF(G241&lt;EDATE(Assumptions!$C$6,-12)+1,"prior_12m","last_12m")</f>
        <v/>
      </c>
      <c r="AG241" s="21">
        <f>DATE(YEAR(G241),MONTH(G241),1)</f>
        <v/>
      </c>
    </row>
    <row r="242">
      <c r="A242" t="inlineStr">
        <is>
          <t>SPO-00129-1</t>
        </is>
      </c>
      <c r="B242" t="inlineStr">
        <is>
          <t>SPO-00129</t>
        </is>
      </c>
      <c r="C242" t="inlineStr">
        <is>
          <t>SUP-14</t>
        </is>
      </c>
      <c r="D242" t="inlineStr">
        <is>
          <t>FLEET</t>
        </is>
      </c>
      <c r="E242" t="inlineStr">
        <is>
          <t>FLEET-06</t>
        </is>
      </c>
      <c r="F242" s="17" t="n">
        <v>45599</v>
      </c>
      <c r="G242" s="17" t="n">
        <v>45613</v>
      </c>
      <c r="H242" s="18" t="n">
        <v>56</v>
      </c>
      <c r="I242" s="19" t="n">
        <v>33.36</v>
      </c>
      <c r="J242" s="19" t="n">
        <v>33</v>
      </c>
      <c r="K242" s="20" t="n">
        <v>0</v>
      </c>
      <c r="L242" s="20" t="n">
        <v>0</v>
      </c>
      <c r="M242" s="18" t="n">
        <v>56</v>
      </c>
      <c r="N242" s="18" t="n">
        <v>34</v>
      </c>
      <c r="O242" s="18" t="n">
        <v>0</v>
      </c>
      <c r="P242" s="17" t="n">
        <v>45608</v>
      </c>
      <c r="Q242" s="17" t="n">
        <v>45624</v>
      </c>
      <c r="R242" s="17" t="n">
        <v>45624</v>
      </c>
      <c r="S242" s="19">
        <f>H242*I242</f>
        <v/>
      </c>
      <c r="T242" s="19">
        <f>H242*J242</f>
        <v/>
      </c>
      <c r="U242">
        <f>IF(AND(K242=0,G242&lt;=Assumptions!$C$6),1,0)</f>
        <v/>
      </c>
      <c r="V242">
        <f>IF(U242=1,IF(M242&gt;0,IF(P242&lt;=G242+Assumptions!$C$7,1,0),0),0)</f>
        <v/>
      </c>
      <c r="W242">
        <f>IF(AND(U242=1,M242&gt;=H242*(1-Assumptions!$C$8)),1,0)</f>
        <v/>
      </c>
      <c r="X242">
        <f>IF(AND(U242=1,N242&gt;=H242*(1-Assumptions!$C$8)),1,0)</f>
        <v/>
      </c>
      <c r="Y242">
        <f>IF(ISNUMBER(Q242),1,0)</f>
        <v/>
      </c>
      <c r="Z242">
        <f>IF(AND(K242=0,L242=0,Y242=0),1,0)</f>
        <v/>
      </c>
      <c r="AA242">
        <f>IF(AND(Z242=1,G242&lt;Assumptions!$C$6),1,0)</f>
        <v/>
      </c>
      <c r="AB242">
        <f>IF(U242=0,"",IF(Y242=1,MAX(0,Q242-G242),IF(L242=1,MAX(0,R242-G242),MAX(0,Assumptions!$C$6-G242))))</f>
        <v/>
      </c>
      <c r="AC242">
        <f>IF(Y242=1,Q242-F242,"")</f>
        <v/>
      </c>
      <c r="AD242">
        <f>IF(Y242=1,AC242^2,"")</f>
        <v/>
      </c>
      <c r="AE242" s="19">
        <f>IF(Z242=1,(H242-M242)*I242,0)</f>
        <v/>
      </c>
      <c r="AF242">
        <f>IF(G242&lt;EDATE(Assumptions!$C$6,-12)+1,"prior_12m","last_12m")</f>
        <v/>
      </c>
      <c r="AG242" s="21">
        <f>DATE(YEAR(G242),MONTH(G242),1)</f>
        <v/>
      </c>
    </row>
    <row r="243">
      <c r="A243" t="inlineStr">
        <is>
          <t>SPO-00130-1</t>
        </is>
      </c>
      <c r="B243" t="inlineStr">
        <is>
          <t>SPO-00130</t>
        </is>
      </c>
      <c r="C243" t="inlineStr">
        <is>
          <t>SUP-10</t>
        </is>
      </c>
      <c r="D243" t="inlineStr">
        <is>
          <t>PPE</t>
        </is>
      </c>
      <c r="E243" t="inlineStr">
        <is>
          <t>PPE-04</t>
        </is>
      </c>
      <c r="F243" s="17" t="n">
        <v>45599</v>
      </c>
      <c r="G243" s="17" t="n">
        <v>45612</v>
      </c>
      <c r="H243" s="18" t="n">
        <v>76</v>
      </c>
      <c r="I243" s="19" t="n">
        <v>25.51</v>
      </c>
      <c r="J243" s="19" t="n">
        <v>26</v>
      </c>
      <c r="K243" s="20" t="n">
        <v>0</v>
      </c>
      <c r="L243" s="20" t="n">
        <v>0</v>
      </c>
      <c r="M243" s="18" t="n">
        <v>76</v>
      </c>
      <c r="N243" s="18" t="n">
        <v>76</v>
      </c>
      <c r="O243" s="18" t="n">
        <v>0</v>
      </c>
      <c r="P243" s="17" t="n">
        <v>45610</v>
      </c>
      <c r="Q243" s="17" t="n">
        <v>45610</v>
      </c>
      <c r="R243" s="17" t="n">
        <v>45610</v>
      </c>
      <c r="S243" s="19">
        <f>H243*I243</f>
        <v/>
      </c>
      <c r="T243" s="19">
        <f>H243*J243</f>
        <v/>
      </c>
      <c r="U243">
        <f>IF(AND(K243=0,G243&lt;=Assumptions!$C$6),1,0)</f>
        <v/>
      </c>
      <c r="V243">
        <f>IF(U243=1,IF(M243&gt;0,IF(P243&lt;=G243+Assumptions!$C$7,1,0),0),0)</f>
        <v/>
      </c>
      <c r="W243">
        <f>IF(AND(U243=1,M243&gt;=H243*(1-Assumptions!$C$8)),1,0)</f>
        <v/>
      </c>
      <c r="X243">
        <f>IF(AND(U243=1,N243&gt;=H243*(1-Assumptions!$C$8)),1,0)</f>
        <v/>
      </c>
      <c r="Y243">
        <f>IF(ISNUMBER(Q243),1,0)</f>
        <v/>
      </c>
      <c r="Z243">
        <f>IF(AND(K243=0,L243=0,Y243=0),1,0)</f>
        <v/>
      </c>
      <c r="AA243">
        <f>IF(AND(Z243=1,G243&lt;Assumptions!$C$6),1,0)</f>
        <v/>
      </c>
      <c r="AB243">
        <f>IF(U243=0,"",IF(Y243=1,MAX(0,Q243-G243),IF(L243=1,MAX(0,R243-G243),MAX(0,Assumptions!$C$6-G243))))</f>
        <v/>
      </c>
      <c r="AC243">
        <f>IF(Y243=1,Q243-F243,"")</f>
        <v/>
      </c>
      <c r="AD243">
        <f>IF(Y243=1,AC243^2,"")</f>
        <v/>
      </c>
      <c r="AE243" s="19">
        <f>IF(Z243=1,(H243-M243)*I243,0)</f>
        <v/>
      </c>
      <c r="AF243">
        <f>IF(G243&lt;EDATE(Assumptions!$C$6,-12)+1,"prior_12m","last_12m")</f>
        <v/>
      </c>
      <c r="AG243" s="21">
        <f>DATE(YEAR(G243),MONTH(G243),1)</f>
        <v/>
      </c>
    </row>
    <row r="244">
      <c r="A244" t="inlineStr">
        <is>
          <t>SPO-00131-1</t>
        </is>
      </c>
      <c r="B244" t="inlineStr">
        <is>
          <t>SPO-00131</t>
        </is>
      </c>
      <c r="C244" t="inlineStr">
        <is>
          <t>SUP-13</t>
        </is>
      </c>
      <c r="D244" t="inlineStr">
        <is>
          <t>IT</t>
        </is>
      </c>
      <c r="E244" t="inlineStr">
        <is>
          <t>IT-07</t>
        </is>
      </c>
      <c r="F244" s="17" t="n">
        <v>45600</v>
      </c>
      <c r="G244" s="17" t="n">
        <v>45611</v>
      </c>
      <c r="H244" s="18" t="n">
        <v>34</v>
      </c>
      <c r="I244" s="19" t="n">
        <v>72.84999999999999</v>
      </c>
      <c r="J244" s="19" t="n">
        <v>74</v>
      </c>
      <c r="K244" s="20" t="n">
        <v>0</v>
      </c>
      <c r="L244" s="20" t="n">
        <v>0</v>
      </c>
      <c r="M244" s="18" t="n">
        <v>34</v>
      </c>
      <c r="N244" s="18" t="n">
        <v>34</v>
      </c>
      <c r="O244" s="18" t="n">
        <v>0</v>
      </c>
      <c r="P244" s="17" t="n">
        <v>45604</v>
      </c>
      <c r="Q244" s="17" t="n">
        <v>45604</v>
      </c>
      <c r="R244" s="17" t="n">
        <v>45604</v>
      </c>
      <c r="S244" s="19">
        <f>H244*I244</f>
        <v/>
      </c>
      <c r="T244" s="19">
        <f>H244*J244</f>
        <v/>
      </c>
      <c r="U244">
        <f>IF(AND(K244=0,G244&lt;=Assumptions!$C$6),1,0)</f>
        <v/>
      </c>
      <c r="V244">
        <f>IF(U244=1,IF(M244&gt;0,IF(P244&lt;=G244+Assumptions!$C$7,1,0),0),0)</f>
        <v/>
      </c>
      <c r="W244">
        <f>IF(AND(U244=1,M244&gt;=H244*(1-Assumptions!$C$8)),1,0)</f>
        <v/>
      </c>
      <c r="X244">
        <f>IF(AND(U244=1,N244&gt;=H244*(1-Assumptions!$C$8)),1,0)</f>
        <v/>
      </c>
      <c r="Y244">
        <f>IF(ISNUMBER(Q244),1,0)</f>
        <v/>
      </c>
      <c r="Z244">
        <f>IF(AND(K244=0,L244=0,Y244=0),1,0)</f>
        <v/>
      </c>
      <c r="AA244">
        <f>IF(AND(Z244=1,G244&lt;Assumptions!$C$6),1,0)</f>
        <v/>
      </c>
      <c r="AB244">
        <f>IF(U244=0,"",IF(Y244=1,MAX(0,Q244-G244),IF(L244=1,MAX(0,R244-G244),MAX(0,Assumptions!$C$6-G244))))</f>
        <v/>
      </c>
      <c r="AC244">
        <f>IF(Y244=1,Q244-F244,"")</f>
        <v/>
      </c>
      <c r="AD244">
        <f>IF(Y244=1,AC244^2,"")</f>
        <v/>
      </c>
      <c r="AE244" s="19">
        <f>IF(Z244=1,(H244-M244)*I244,0)</f>
        <v/>
      </c>
      <c r="AF244">
        <f>IF(G244&lt;EDATE(Assumptions!$C$6,-12)+1,"prior_12m","last_12m")</f>
        <v/>
      </c>
      <c r="AG244" s="21">
        <f>DATE(YEAR(G244),MONTH(G244),1)</f>
        <v/>
      </c>
    </row>
    <row r="245">
      <c r="A245" t="inlineStr">
        <is>
          <t>SPO-00131-2</t>
        </is>
      </c>
      <c r="B245" t="inlineStr">
        <is>
          <t>SPO-00131</t>
        </is>
      </c>
      <c r="C245" t="inlineStr">
        <is>
          <t>SUP-13</t>
        </is>
      </c>
      <c r="D245" t="inlineStr">
        <is>
          <t>IT</t>
        </is>
      </c>
      <c r="E245" t="inlineStr">
        <is>
          <t>IT-01</t>
        </is>
      </c>
      <c r="F245" s="17" t="n">
        <v>45600</v>
      </c>
      <c r="G245" s="17" t="n">
        <v>45611</v>
      </c>
      <c r="H245" s="18" t="n">
        <v>8</v>
      </c>
      <c r="I245" s="19" t="n">
        <v>197.84</v>
      </c>
      <c r="J245" s="19" t="n">
        <v>189</v>
      </c>
      <c r="K245" s="20" t="n">
        <v>0</v>
      </c>
      <c r="L245" s="20" t="n">
        <v>0</v>
      </c>
      <c r="M245" s="18" t="n">
        <v>8</v>
      </c>
      <c r="N245" s="18" t="n">
        <v>8</v>
      </c>
      <c r="O245" s="18" t="n">
        <v>0</v>
      </c>
      <c r="P245" s="17" t="n">
        <v>45607</v>
      </c>
      <c r="Q245" s="17" t="n">
        <v>45607</v>
      </c>
      <c r="R245" s="17" t="n">
        <v>45607</v>
      </c>
      <c r="S245" s="19">
        <f>H245*I245</f>
        <v/>
      </c>
      <c r="T245" s="19">
        <f>H245*J245</f>
        <v/>
      </c>
      <c r="U245">
        <f>IF(AND(K245=0,G245&lt;=Assumptions!$C$6),1,0)</f>
        <v/>
      </c>
      <c r="V245">
        <f>IF(U245=1,IF(M245&gt;0,IF(P245&lt;=G245+Assumptions!$C$7,1,0),0),0)</f>
        <v/>
      </c>
      <c r="W245">
        <f>IF(AND(U245=1,M245&gt;=H245*(1-Assumptions!$C$8)),1,0)</f>
        <v/>
      </c>
      <c r="X245">
        <f>IF(AND(U245=1,N245&gt;=H245*(1-Assumptions!$C$8)),1,0)</f>
        <v/>
      </c>
      <c r="Y245">
        <f>IF(ISNUMBER(Q245),1,0)</f>
        <v/>
      </c>
      <c r="Z245">
        <f>IF(AND(K245=0,L245=0,Y245=0),1,0)</f>
        <v/>
      </c>
      <c r="AA245">
        <f>IF(AND(Z245=1,G245&lt;Assumptions!$C$6),1,0)</f>
        <v/>
      </c>
      <c r="AB245">
        <f>IF(U245=0,"",IF(Y245=1,MAX(0,Q245-G245),IF(L245=1,MAX(0,R245-G245),MAX(0,Assumptions!$C$6-G245))))</f>
        <v/>
      </c>
      <c r="AC245">
        <f>IF(Y245=1,Q245-F245,"")</f>
        <v/>
      </c>
      <c r="AD245">
        <f>IF(Y245=1,AC245^2,"")</f>
        <v/>
      </c>
      <c r="AE245" s="19">
        <f>IF(Z245=1,(H245-M245)*I245,0)</f>
        <v/>
      </c>
      <c r="AF245">
        <f>IF(G245&lt;EDATE(Assumptions!$C$6,-12)+1,"prior_12m","last_12m")</f>
        <v/>
      </c>
      <c r="AG245" s="21">
        <f>DATE(YEAR(G245),MONTH(G245),1)</f>
        <v/>
      </c>
    </row>
    <row r="246">
      <c r="A246" t="inlineStr">
        <is>
          <t>SPO-00132-1</t>
        </is>
      </c>
      <c r="B246" t="inlineStr">
        <is>
          <t>SPO-00132</t>
        </is>
      </c>
      <c r="C246" t="inlineStr">
        <is>
          <t>SUP-04</t>
        </is>
      </c>
      <c r="D246" t="inlineStr">
        <is>
          <t>FLEET</t>
        </is>
      </c>
      <c r="E246" t="inlineStr">
        <is>
          <t>FLEET-01</t>
        </is>
      </c>
      <c r="F246" s="17" t="n">
        <v>45600</v>
      </c>
      <c r="G246" s="17" t="n">
        <v>45613</v>
      </c>
      <c r="H246" s="18" t="n">
        <v>17</v>
      </c>
      <c r="I246" s="19" t="n">
        <v>64.48</v>
      </c>
      <c r="J246" s="19" t="n">
        <v>64</v>
      </c>
      <c r="K246" s="20" t="n">
        <v>0</v>
      </c>
      <c r="L246" s="20" t="n">
        <v>0</v>
      </c>
      <c r="M246" s="18" t="n">
        <v>17</v>
      </c>
      <c r="N246" s="18" t="n">
        <v>17</v>
      </c>
      <c r="O246" s="18" t="n">
        <v>0</v>
      </c>
      <c r="P246" s="17" t="n">
        <v>45613</v>
      </c>
      <c r="Q246" s="17" t="n">
        <v>45613</v>
      </c>
      <c r="R246" s="17" t="n">
        <v>45613</v>
      </c>
      <c r="S246" s="19">
        <f>H246*I246</f>
        <v/>
      </c>
      <c r="T246" s="19">
        <f>H246*J246</f>
        <v/>
      </c>
      <c r="U246">
        <f>IF(AND(K246=0,G246&lt;=Assumptions!$C$6),1,0)</f>
        <v/>
      </c>
      <c r="V246">
        <f>IF(U246=1,IF(M246&gt;0,IF(P246&lt;=G246+Assumptions!$C$7,1,0),0),0)</f>
        <v/>
      </c>
      <c r="W246">
        <f>IF(AND(U246=1,M246&gt;=H246*(1-Assumptions!$C$8)),1,0)</f>
        <v/>
      </c>
      <c r="X246">
        <f>IF(AND(U246=1,N246&gt;=H246*(1-Assumptions!$C$8)),1,0)</f>
        <v/>
      </c>
      <c r="Y246">
        <f>IF(ISNUMBER(Q246),1,0)</f>
        <v/>
      </c>
      <c r="Z246">
        <f>IF(AND(K246=0,L246=0,Y246=0),1,0)</f>
        <v/>
      </c>
      <c r="AA246">
        <f>IF(AND(Z246=1,G246&lt;Assumptions!$C$6),1,0)</f>
        <v/>
      </c>
      <c r="AB246">
        <f>IF(U246=0,"",IF(Y246=1,MAX(0,Q246-G246),IF(L246=1,MAX(0,R246-G246),MAX(0,Assumptions!$C$6-G246))))</f>
        <v/>
      </c>
      <c r="AC246">
        <f>IF(Y246=1,Q246-F246,"")</f>
        <v/>
      </c>
      <c r="AD246">
        <f>IF(Y246=1,AC246^2,"")</f>
        <v/>
      </c>
      <c r="AE246" s="19">
        <f>IF(Z246=1,(H246-M246)*I246,0)</f>
        <v/>
      </c>
      <c r="AF246">
        <f>IF(G246&lt;EDATE(Assumptions!$C$6,-12)+1,"prior_12m","last_12m")</f>
        <v/>
      </c>
      <c r="AG246" s="21">
        <f>DATE(YEAR(G246),MONTH(G246),1)</f>
        <v/>
      </c>
    </row>
    <row r="247">
      <c r="A247" t="inlineStr">
        <is>
          <t>SPO-00133-1</t>
        </is>
      </c>
      <c r="B247" t="inlineStr">
        <is>
          <t>SPO-00133</t>
        </is>
      </c>
      <c r="C247" t="inlineStr">
        <is>
          <t>SUP-06</t>
        </is>
      </c>
      <c r="D247" t="inlineStr">
        <is>
          <t>MRO</t>
        </is>
      </c>
      <c r="E247" t="inlineStr">
        <is>
          <t>MRO-02</t>
        </is>
      </c>
      <c r="F247" s="17" t="n">
        <v>45600</v>
      </c>
      <c r="G247" s="17" t="n">
        <v>45608</v>
      </c>
      <c r="H247" s="18" t="n">
        <v>24</v>
      </c>
      <c r="I247" s="19" t="n">
        <v>40.03</v>
      </c>
      <c r="J247" s="19" t="n">
        <v>41</v>
      </c>
      <c r="K247" s="20" t="n">
        <v>0</v>
      </c>
      <c r="L247" s="20" t="n">
        <v>0</v>
      </c>
      <c r="M247" s="18" t="n">
        <v>24</v>
      </c>
      <c r="N247" s="18" t="n">
        <v>24</v>
      </c>
      <c r="O247" s="18" t="n">
        <v>0</v>
      </c>
      <c r="P247" s="17" t="n">
        <v>45606</v>
      </c>
      <c r="Q247" s="17" t="n">
        <v>45606</v>
      </c>
      <c r="R247" s="17" t="n">
        <v>45606</v>
      </c>
      <c r="S247" s="19">
        <f>H247*I247</f>
        <v/>
      </c>
      <c r="T247" s="19">
        <f>H247*J247</f>
        <v/>
      </c>
      <c r="U247">
        <f>IF(AND(K247=0,G247&lt;=Assumptions!$C$6),1,0)</f>
        <v/>
      </c>
      <c r="V247">
        <f>IF(U247=1,IF(M247&gt;0,IF(P247&lt;=G247+Assumptions!$C$7,1,0),0),0)</f>
        <v/>
      </c>
      <c r="W247">
        <f>IF(AND(U247=1,M247&gt;=H247*(1-Assumptions!$C$8)),1,0)</f>
        <v/>
      </c>
      <c r="X247">
        <f>IF(AND(U247=1,N247&gt;=H247*(1-Assumptions!$C$8)),1,0)</f>
        <v/>
      </c>
      <c r="Y247">
        <f>IF(ISNUMBER(Q247),1,0)</f>
        <v/>
      </c>
      <c r="Z247">
        <f>IF(AND(K247=0,L247=0,Y247=0),1,0)</f>
        <v/>
      </c>
      <c r="AA247">
        <f>IF(AND(Z247=1,G247&lt;Assumptions!$C$6),1,0)</f>
        <v/>
      </c>
      <c r="AB247">
        <f>IF(U247=0,"",IF(Y247=1,MAX(0,Q247-G247),IF(L247=1,MAX(0,R247-G247),MAX(0,Assumptions!$C$6-G247))))</f>
        <v/>
      </c>
      <c r="AC247">
        <f>IF(Y247=1,Q247-F247,"")</f>
        <v/>
      </c>
      <c r="AD247">
        <f>IF(Y247=1,AC247^2,"")</f>
        <v/>
      </c>
      <c r="AE247" s="19">
        <f>IF(Z247=1,(H247-M247)*I247,0)</f>
        <v/>
      </c>
      <c r="AF247">
        <f>IF(G247&lt;EDATE(Assumptions!$C$6,-12)+1,"prior_12m","last_12m")</f>
        <v/>
      </c>
      <c r="AG247" s="21">
        <f>DATE(YEAR(G247),MONTH(G247),1)</f>
        <v/>
      </c>
    </row>
    <row r="248">
      <c r="A248" t="inlineStr">
        <is>
          <t>SPO-00134-1</t>
        </is>
      </c>
      <c r="B248" t="inlineStr">
        <is>
          <t>SPO-00134</t>
        </is>
      </c>
      <c r="C248" t="inlineStr">
        <is>
          <t>SUP-02</t>
        </is>
      </c>
      <c r="D248" t="inlineStr">
        <is>
          <t>ELEC</t>
        </is>
      </c>
      <c r="E248" t="inlineStr">
        <is>
          <t>ELEC-01</t>
        </is>
      </c>
      <c r="F248" s="17" t="n">
        <v>45601</v>
      </c>
      <c r="G248" s="17" t="n">
        <v>45617</v>
      </c>
      <c r="H248" s="18" t="n">
        <v>114</v>
      </c>
      <c r="I248" s="19" t="n">
        <v>37.64</v>
      </c>
      <c r="J248" s="19" t="n">
        <v>38</v>
      </c>
      <c r="K248" s="20" t="n">
        <v>0</v>
      </c>
      <c r="L248" s="20" t="n">
        <v>0</v>
      </c>
      <c r="M248" s="18" t="n">
        <v>114</v>
      </c>
      <c r="N248" s="18" t="n">
        <v>114</v>
      </c>
      <c r="O248" s="18" t="n">
        <v>0</v>
      </c>
      <c r="P248" s="17" t="n">
        <v>45613</v>
      </c>
      <c r="Q248" s="17" t="n">
        <v>45613</v>
      </c>
      <c r="R248" s="17" t="n">
        <v>45613</v>
      </c>
      <c r="S248" s="19">
        <f>H248*I248</f>
        <v/>
      </c>
      <c r="T248" s="19">
        <f>H248*J248</f>
        <v/>
      </c>
      <c r="U248">
        <f>IF(AND(K248=0,G248&lt;=Assumptions!$C$6),1,0)</f>
        <v/>
      </c>
      <c r="V248">
        <f>IF(U248=1,IF(M248&gt;0,IF(P248&lt;=G248+Assumptions!$C$7,1,0),0),0)</f>
        <v/>
      </c>
      <c r="W248">
        <f>IF(AND(U248=1,M248&gt;=H248*(1-Assumptions!$C$8)),1,0)</f>
        <v/>
      </c>
      <c r="X248">
        <f>IF(AND(U248=1,N248&gt;=H248*(1-Assumptions!$C$8)),1,0)</f>
        <v/>
      </c>
      <c r="Y248">
        <f>IF(ISNUMBER(Q248),1,0)</f>
        <v/>
      </c>
      <c r="Z248">
        <f>IF(AND(K248=0,L248=0,Y248=0),1,0)</f>
        <v/>
      </c>
      <c r="AA248">
        <f>IF(AND(Z248=1,G248&lt;Assumptions!$C$6),1,0)</f>
        <v/>
      </c>
      <c r="AB248">
        <f>IF(U248=0,"",IF(Y248=1,MAX(0,Q248-G248),IF(L248=1,MAX(0,R248-G248),MAX(0,Assumptions!$C$6-G248))))</f>
        <v/>
      </c>
      <c r="AC248">
        <f>IF(Y248=1,Q248-F248,"")</f>
        <v/>
      </c>
      <c r="AD248">
        <f>IF(Y248=1,AC248^2,"")</f>
        <v/>
      </c>
      <c r="AE248" s="19">
        <f>IF(Z248=1,(H248-M248)*I248,0)</f>
        <v/>
      </c>
      <c r="AF248">
        <f>IF(G248&lt;EDATE(Assumptions!$C$6,-12)+1,"prior_12m","last_12m")</f>
        <v/>
      </c>
      <c r="AG248" s="21">
        <f>DATE(YEAR(G248),MONTH(G248),1)</f>
        <v/>
      </c>
    </row>
    <row r="249">
      <c r="A249" t="inlineStr">
        <is>
          <t>SPO-00135-1</t>
        </is>
      </c>
      <c r="B249" t="inlineStr">
        <is>
          <t>SPO-00135</t>
        </is>
      </c>
      <c r="C249" t="inlineStr">
        <is>
          <t>SUP-07</t>
        </is>
      </c>
      <c r="D249" t="inlineStr">
        <is>
          <t>MRO</t>
        </is>
      </c>
      <c r="E249" t="inlineStr">
        <is>
          <t>MRO-03</t>
        </is>
      </c>
      <c r="F249" s="17" t="n">
        <v>45601</v>
      </c>
      <c r="G249" s="17" t="n">
        <v>45611</v>
      </c>
      <c r="H249" s="18" t="n">
        <v>130</v>
      </c>
      <c r="I249" s="19" t="n">
        <v>8.91</v>
      </c>
      <c r="J249" s="19" t="n">
        <v>8.9</v>
      </c>
      <c r="K249" s="20" t="n">
        <v>0</v>
      </c>
      <c r="L249" s="20" t="n">
        <v>0</v>
      </c>
      <c r="M249" s="18" t="n">
        <v>130</v>
      </c>
      <c r="N249" s="18" t="n">
        <v>130</v>
      </c>
      <c r="O249" s="18" t="n">
        <v>0</v>
      </c>
      <c r="P249" s="17" t="n">
        <v>45606</v>
      </c>
      <c r="Q249" s="17" t="n">
        <v>45606</v>
      </c>
      <c r="R249" s="17" t="n">
        <v>45606</v>
      </c>
      <c r="S249" s="19">
        <f>H249*I249</f>
        <v/>
      </c>
      <c r="T249" s="19">
        <f>H249*J249</f>
        <v/>
      </c>
      <c r="U249">
        <f>IF(AND(K249=0,G249&lt;=Assumptions!$C$6),1,0)</f>
        <v/>
      </c>
      <c r="V249">
        <f>IF(U249=1,IF(M249&gt;0,IF(P249&lt;=G249+Assumptions!$C$7,1,0),0),0)</f>
        <v/>
      </c>
      <c r="W249">
        <f>IF(AND(U249=1,M249&gt;=H249*(1-Assumptions!$C$8)),1,0)</f>
        <v/>
      </c>
      <c r="X249">
        <f>IF(AND(U249=1,N249&gt;=H249*(1-Assumptions!$C$8)),1,0)</f>
        <v/>
      </c>
      <c r="Y249">
        <f>IF(ISNUMBER(Q249),1,0)</f>
        <v/>
      </c>
      <c r="Z249">
        <f>IF(AND(K249=0,L249=0,Y249=0),1,0)</f>
        <v/>
      </c>
      <c r="AA249">
        <f>IF(AND(Z249=1,G249&lt;Assumptions!$C$6),1,0)</f>
        <v/>
      </c>
      <c r="AB249">
        <f>IF(U249=0,"",IF(Y249=1,MAX(0,Q249-G249),IF(L249=1,MAX(0,R249-G249),MAX(0,Assumptions!$C$6-G249))))</f>
        <v/>
      </c>
      <c r="AC249">
        <f>IF(Y249=1,Q249-F249,"")</f>
        <v/>
      </c>
      <c r="AD249">
        <f>IF(Y249=1,AC249^2,"")</f>
        <v/>
      </c>
      <c r="AE249" s="19">
        <f>IF(Z249=1,(H249-M249)*I249,0)</f>
        <v/>
      </c>
      <c r="AF249">
        <f>IF(G249&lt;EDATE(Assumptions!$C$6,-12)+1,"prior_12m","last_12m")</f>
        <v/>
      </c>
      <c r="AG249" s="21">
        <f>DATE(YEAR(G249),MONTH(G249),1)</f>
        <v/>
      </c>
    </row>
    <row r="250">
      <c r="A250" t="inlineStr">
        <is>
          <t>SPO-00135-2</t>
        </is>
      </c>
      <c r="B250" t="inlineStr">
        <is>
          <t>SPO-00135</t>
        </is>
      </c>
      <c r="C250" t="inlineStr">
        <is>
          <t>SUP-07</t>
        </is>
      </c>
      <c r="D250" t="inlineStr">
        <is>
          <t>MRO</t>
        </is>
      </c>
      <c r="E250" t="inlineStr">
        <is>
          <t>MRO-01</t>
        </is>
      </c>
      <c r="F250" s="17" t="n">
        <v>45601</v>
      </c>
      <c r="G250" s="17" t="n">
        <v>45611</v>
      </c>
      <c r="H250" s="18" t="n">
        <v>57</v>
      </c>
      <c r="I250" s="19" t="n">
        <v>51.96</v>
      </c>
      <c r="J250" s="19" t="n">
        <v>52</v>
      </c>
      <c r="K250" s="20" t="n">
        <v>0</v>
      </c>
      <c r="L250" s="20" t="n">
        <v>1</v>
      </c>
      <c r="M250" s="18" t="n">
        <v>37</v>
      </c>
      <c r="N250" s="18" t="n">
        <v>37</v>
      </c>
      <c r="O250" s="18" t="n">
        <v>0</v>
      </c>
      <c r="P250" s="17" t="n">
        <v>45611</v>
      </c>
      <c r="Q250" s="17" t="n"/>
      <c r="R250" s="17" t="n">
        <v>45611</v>
      </c>
      <c r="S250" s="19">
        <f>H250*I250</f>
        <v/>
      </c>
      <c r="T250" s="19">
        <f>H250*J250</f>
        <v/>
      </c>
      <c r="U250">
        <f>IF(AND(K250=0,G250&lt;=Assumptions!$C$6),1,0)</f>
        <v/>
      </c>
      <c r="V250">
        <f>IF(U250=1,IF(M250&gt;0,IF(P250&lt;=G250+Assumptions!$C$7,1,0),0),0)</f>
        <v/>
      </c>
      <c r="W250">
        <f>IF(AND(U250=1,M250&gt;=H250*(1-Assumptions!$C$8)),1,0)</f>
        <v/>
      </c>
      <c r="X250">
        <f>IF(AND(U250=1,N250&gt;=H250*(1-Assumptions!$C$8)),1,0)</f>
        <v/>
      </c>
      <c r="Y250">
        <f>IF(ISNUMBER(Q250),1,0)</f>
        <v/>
      </c>
      <c r="Z250">
        <f>IF(AND(K250=0,L250=0,Y250=0),1,0)</f>
        <v/>
      </c>
      <c r="AA250">
        <f>IF(AND(Z250=1,G250&lt;Assumptions!$C$6),1,0)</f>
        <v/>
      </c>
      <c r="AB250">
        <f>IF(U250=0,"",IF(Y250=1,MAX(0,Q250-G250),IF(L250=1,MAX(0,R250-G250),MAX(0,Assumptions!$C$6-G250))))</f>
        <v/>
      </c>
      <c r="AC250">
        <f>IF(Y250=1,Q250-F250,"")</f>
        <v/>
      </c>
      <c r="AD250">
        <f>IF(Y250=1,AC250^2,"")</f>
        <v/>
      </c>
      <c r="AE250" s="19">
        <f>IF(Z250=1,(H250-M250)*I250,0)</f>
        <v/>
      </c>
      <c r="AF250">
        <f>IF(G250&lt;EDATE(Assumptions!$C$6,-12)+1,"prior_12m","last_12m")</f>
        <v/>
      </c>
      <c r="AG250" s="21">
        <f>DATE(YEAR(G250),MONTH(G250),1)</f>
        <v/>
      </c>
    </row>
    <row r="251">
      <c r="A251" t="inlineStr">
        <is>
          <t>SPO-00135-3</t>
        </is>
      </c>
      <c r="B251" t="inlineStr">
        <is>
          <t>SPO-00135</t>
        </is>
      </c>
      <c r="C251" t="inlineStr">
        <is>
          <t>SUP-07</t>
        </is>
      </c>
      <c r="D251" t="inlineStr">
        <is>
          <t>MRO</t>
        </is>
      </c>
      <c r="E251" t="inlineStr">
        <is>
          <t>MRO-07</t>
        </is>
      </c>
      <c r="F251" s="17" t="n">
        <v>45601</v>
      </c>
      <c r="G251" s="17" t="n">
        <v>45611</v>
      </c>
      <c r="H251" s="18" t="n">
        <v>52</v>
      </c>
      <c r="I251" s="19" t="n">
        <v>13.48</v>
      </c>
      <c r="J251" s="19" t="n">
        <v>14</v>
      </c>
      <c r="K251" s="20" t="n">
        <v>0</v>
      </c>
      <c r="L251" s="20" t="n">
        <v>1</v>
      </c>
      <c r="M251" s="18" t="n">
        <v>30</v>
      </c>
      <c r="N251" s="18" t="n">
        <v>30</v>
      </c>
      <c r="O251" s="18" t="n">
        <v>0</v>
      </c>
      <c r="P251" s="17" t="n">
        <v>45608</v>
      </c>
      <c r="Q251" s="17" t="n"/>
      <c r="R251" s="17" t="n">
        <v>45608</v>
      </c>
      <c r="S251" s="19">
        <f>H251*I251</f>
        <v/>
      </c>
      <c r="T251" s="19">
        <f>H251*J251</f>
        <v/>
      </c>
      <c r="U251">
        <f>IF(AND(K251=0,G251&lt;=Assumptions!$C$6),1,0)</f>
        <v/>
      </c>
      <c r="V251">
        <f>IF(U251=1,IF(M251&gt;0,IF(P251&lt;=G251+Assumptions!$C$7,1,0),0),0)</f>
        <v/>
      </c>
      <c r="W251">
        <f>IF(AND(U251=1,M251&gt;=H251*(1-Assumptions!$C$8)),1,0)</f>
        <v/>
      </c>
      <c r="X251">
        <f>IF(AND(U251=1,N251&gt;=H251*(1-Assumptions!$C$8)),1,0)</f>
        <v/>
      </c>
      <c r="Y251">
        <f>IF(ISNUMBER(Q251),1,0)</f>
        <v/>
      </c>
      <c r="Z251">
        <f>IF(AND(K251=0,L251=0,Y251=0),1,0)</f>
        <v/>
      </c>
      <c r="AA251">
        <f>IF(AND(Z251=1,G251&lt;Assumptions!$C$6),1,0)</f>
        <v/>
      </c>
      <c r="AB251">
        <f>IF(U251=0,"",IF(Y251=1,MAX(0,Q251-G251),IF(L251=1,MAX(0,R251-G251),MAX(0,Assumptions!$C$6-G251))))</f>
        <v/>
      </c>
      <c r="AC251">
        <f>IF(Y251=1,Q251-F251,"")</f>
        <v/>
      </c>
      <c r="AD251">
        <f>IF(Y251=1,AC251^2,"")</f>
        <v/>
      </c>
      <c r="AE251" s="19">
        <f>IF(Z251=1,(H251-M251)*I251,0)</f>
        <v/>
      </c>
      <c r="AF251">
        <f>IF(G251&lt;EDATE(Assumptions!$C$6,-12)+1,"prior_12m","last_12m")</f>
        <v/>
      </c>
      <c r="AG251" s="21">
        <f>DATE(YEAR(G251),MONTH(G251),1)</f>
        <v/>
      </c>
    </row>
    <row r="252">
      <c r="A252" t="inlineStr">
        <is>
          <t>SPO-00136-1</t>
        </is>
      </c>
      <c r="B252" t="inlineStr">
        <is>
          <t>SPO-00136</t>
        </is>
      </c>
      <c r="C252" t="inlineStr">
        <is>
          <t>SUP-12</t>
        </is>
      </c>
      <c r="D252" t="inlineStr">
        <is>
          <t>IT</t>
        </is>
      </c>
      <c r="E252" t="inlineStr">
        <is>
          <t>IT-04</t>
        </is>
      </c>
      <c r="F252" s="17" t="n">
        <v>45601</v>
      </c>
      <c r="G252" s="17" t="n">
        <v>45611</v>
      </c>
      <c r="H252" s="18" t="n">
        <v>104</v>
      </c>
      <c r="I252" s="19" t="n">
        <v>13.25</v>
      </c>
      <c r="J252" s="19" t="n">
        <v>12</v>
      </c>
      <c r="K252" s="20" t="n">
        <v>0</v>
      </c>
      <c r="L252" s="20" t="n">
        <v>0</v>
      </c>
      <c r="M252" s="18" t="n">
        <v>104</v>
      </c>
      <c r="N252" s="18" t="n">
        <v>104</v>
      </c>
      <c r="O252" s="18" t="n">
        <v>0</v>
      </c>
      <c r="P252" s="17" t="n">
        <v>45603</v>
      </c>
      <c r="Q252" s="17" t="n">
        <v>45603</v>
      </c>
      <c r="R252" s="17" t="n">
        <v>45603</v>
      </c>
      <c r="S252" s="19">
        <f>H252*I252</f>
        <v/>
      </c>
      <c r="T252" s="19">
        <f>H252*J252</f>
        <v/>
      </c>
      <c r="U252">
        <f>IF(AND(K252=0,G252&lt;=Assumptions!$C$6),1,0)</f>
        <v/>
      </c>
      <c r="V252">
        <f>IF(U252=1,IF(M252&gt;0,IF(P252&lt;=G252+Assumptions!$C$7,1,0),0),0)</f>
        <v/>
      </c>
      <c r="W252">
        <f>IF(AND(U252=1,M252&gt;=H252*(1-Assumptions!$C$8)),1,0)</f>
        <v/>
      </c>
      <c r="X252">
        <f>IF(AND(U252=1,N252&gt;=H252*(1-Assumptions!$C$8)),1,0)</f>
        <v/>
      </c>
      <c r="Y252">
        <f>IF(ISNUMBER(Q252),1,0)</f>
        <v/>
      </c>
      <c r="Z252">
        <f>IF(AND(K252=0,L252=0,Y252=0),1,0)</f>
        <v/>
      </c>
      <c r="AA252">
        <f>IF(AND(Z252=1,G252&lt;Assumptions!$C$6),1,0)</f>
        <v/>
      </c>
      <c r="AB252">
        <f>IF(U252=0,"",IF(Y252=1,MAX(0,Q252-G252),IF(L252=1,MAX(0,R252-G252),MAX(0,Assumptions!$C$6-G252))))</f>
        <v/>
      </c>
      <c r="AC252">
        <f>IF(Y252=1,Q252-F252,"")</f>
        <v/>
      </c>
      <c r="AD252">
        <f>IF(Y252=1,AC252^2,"")</f>
        <v/>
      </c>
      <c r="AE252" s="19">
        <f>IF(Z252=1,(H252-M252)*I252,0)</f>
        <v/>
      </c>
      <c r="AF252">
        <f>IF(G252&lt;EDATE(Assumptions!$C$6,-12)+1,"prior_12m","last_12m")</f>
        <v/>
      </c>
      <c r="AG252" s="21">
        <f>DATE(YEAR(G252),MONTH(G252),1)</f>
        <v/>
      </c>
    </row>
    <row r="253">
      <c r="A253" t="inlineStr">
        <is>
          <t>SPO-00137-1</t>
        </is>
      </c>
      <c r="B253" t="inlineStr">
        <is>
          <t>SPO-00137</t>
        </is>
      </c>
      <c r="C253" t="inlineStr">
        <is>
          <t>SUP-14</t>
        </is>
      </c>
      <c r="D253" t="inlineStr">
        <is>
          <t>FLEET</t>
        </is>
      </c>
      <c r="E253" t="inlineStr">
        <is>
          <t>FLEET-06</t>
        </is>
      </c>
      <c r="F253" s="17" t="n">
        <v>45601</v>
      </c>
      <c r="G253" s="17" t="n">
        <v>45615</v>
      </c>
      <c r="H253" s="18" t="n">
        <v>86</v>
      </c>
      <c r="I253" s="19" t="n">
        <v>31.99</v>
      </c>
      <c r="J253" s="19" t="n">
        <v>33</v>
      </c>
      <c r="K253" s="20" t="n">
        <v>0</v>
      </c>
      <c r="L253" s="20" t="n">
        <v>0</v>
      </c>
      <c r="M253" s="18" t="n">
        <v>86</v>
      </c>
      <c r="N253" s="18" t="n">
        <v>86</v>
      </c>
      <c r="O253" s="18" t="n">
        <v>0</v>
      </c>
      <c r="P253" s="17" t="n">
        <v>45614</v>
      </c>
      <c r="Q253" s="17" t="n">
        <v>45614</v>
      </c>
      <c r="R253" s="17" t="n">
        <v>45614</v>
      </c>
      <c r="S253" s="19">
        <f>H253*I253</f>
        <v/>
      </c>
      <c r="T253" s="19">
        <f>H253*J253</f>
        <v/>
      </c>
      <c r="U253">
        <f>IF(AND(K253=0,G253&lt;=Assumptions!$C$6),1,0)</f>
        <v/>
      </c>
      <c r="V253">
        <f>IF(U253=1,IF(M253&gt;0,IF(P253&lt;=G253+Assumptions!$C$7,1,0),0),0)</f>
        <v/>
      </c>
      <c r="W253">
        <f>IF(AND(U253=1,M253&gt;=H253*(1-Assumptions!$C$8)),1,0)</f>
        <v/>
      </c>
      <c r="X253">
        <f>IF(AND(U253=1,N253&gt;=H253*(1-Assumptions!$C$8)),1,0)</f>
        <v/>
      </c>
      <c r="Y253">
        <f>IF(ISNUMBER(Q253),1,0)</f>
        <v/>
      </c>
      <c r="Z253">
        <f>IF(AND(K253=0,L253=0,Y253=0),1,0)</f>
        <v/>
      </c>
      <c r="AA253">
        <f>IF(AND(Z253=1,G253&lt;Assumptions!$C$6),1,0)</f>
        <v/>
      </c>
      <c r="AB253">
        <f>IF(U253=0,"",IF(Y253=1,MAX(0,Q253-G253),IF(L253=1,MAX(0,R253-G253),MAX(0,Assumptions!$C$6-G253))))</f>
        <v/>
      </c>
      <c r="AC253">
        <f>IF(Y253=1,Q253-F253,"")</f>
        <v/>
      </c>
      <c r="AD253">
        <f>IF(Y253=1,AC253^2,"")</f>
        <v/>
      </c>
      <c r="AE253" s="19">
        <f>IF(Z253=1,(H253-M253)*I253,0)</f>
        <v/>
      </c>
      <c r="AF253">
        <f>IF(G253&lt;EDATE(Assumptions!$C$6,-12)+1,"prior_12m","last_12m")</f>
        <v/>
      </c>
      <c r="AG253" s="21">
        <f>DATE(YEAR(G253),MONTH(G253),1)</f>
        <v/>
      </c>
    </row>
    <row r="254">
      <c r="A254" t="inlineStr">
        <is>
          <t>SPO-00137-2</t>
        </is>
      </c>
      <c r="B254" t="inlineStr">
        <is>
          <t>SPO-00137</t>
        </is>
      </c>
      <c r="C254" t="inlineStr">
        <is>
          <t>SUP-14</t>
        </is>
      </c>
      <c r="D254" t="inlineStr">
        <is>
          <t>FLEET</t>
        </is>
      </c>
      <c r="E254" t="inlineStr">
        <is>
          <t>FLEET-07</t>
        </is>
      </c>
      <c r="F254" s="17" t="n">
        <v>45601</v>
      </c>
      <c r="G254" s="17" t="n">
        <v>45615</v>
      </c>
      <c r="H254" s="18" t="n">
        <v>16</v>
      </c>
      <c r="I254" s="19" t="n">
        <v>116.9</v>
      </c>
      <c r="J254" s="19" t="n">
        <v>118</v>
      </c>
      <c r="K254" s="20" t="n">
        <v>0</v>
      </c>
      <c r="L254" s="20" t="n">
        <v>0</v>
      </c>
      <c r="M254" s="18" t="n">
        <v>16</v>
      </c>
      <c r="N254" s="18" t="n">
        <v>16</v>
      </c>
      <c r="O254" s="18" t="n">
        <v>0</v>
      </c>
      <c r="P254" s="17" t="n">
        <v>45611</v>
      </c>
      <c r="Q254" s="17" t="n">
        <v>45611</v>
      </c>
      <c r="R254" s="17" t="n">
        <v>45611</v>
      </c>
      <c r="S254" s="19">
        <f>H254*I254</f>
        <v/>
      </c>
      <c r="T254" s="19">
        <f>H254*J254</f>
        <v/>
      </c>
      <c r="U254">
        <f>IF(AND(K254=0,G254&lt;=Assumptions!$C$6),1,0)</f>
        <v/>
      </c>
      <c r="V254">
        <f>IF(U254=1,IF(M254&gt;0,IF(P254&lt;=G254+Assumptions!$C$7,1,0),0),0)</f>
        <v/>
      </c>
      <c r="W254">
        <f>IF(AND(U254=1,M254&gt;=H254*(1-Assumptions!$C$8)),1,0)</f>
        <v/>
      </c>
      <c r="X254">
        <f>IF(AND(U254=1,N254&gt;=H254*(1-Assumptions!$C$8)),1,0)</f>
        <v/>
      </c>
      <c r="Y254">
        <f>IF(ISNUMBER(Q254),1,0)</f>
        <v/>
      </c>
      <c r="Z254">
        <f>IF(AND(K254=0,L254=0,Y254=0),1,0)</f>
        <v/>
      </c>
      <c r="AA254">
        <f>IF(AND(Z254=1,G254&lt;Assumptions!$C$6),1,0)</f>
        <v/>
      </c>
      <c r="AB254">
        <f>IF(U254=0,"",IF(Y254=1,MAX(0,Q254-G254),IF(L254=1,MAX(0,R254-G254),MAX(0,Assumptions!$C$6-G254))))</f>
        <v/>
      </c>
      <c r="AC254">
        <f>IF(Y254=1,Q254-F254,"")</f>
        <v/>
      </c>
      <c r="AD254">
        <f>IF(Y254=1,AC254^2,"")</f>
        <v/>
      </c>
      <c r="AE254" s="19">
        <f>IF(Z254=1,(H254-M254)*I254,0)</f>
        <v/>
      </c>
      <c r="AF254">
        <f>IF(G254&lt;EDATE(Assumptions!$C$6,-12)+1,"prior_12m","last_12m")</f>
        <v/>
      </c>
      <c r="AG254" s="21">
        <f>DATE(YEAR(G254),MONTH(G254),1)</f>
        <v/>
      </c>
    </row>
    <row r="255">
      <c r="A255" t="inlineStr">
        <is>
          <t>SPO-00138-1</t>
        </is>
      </c>
      <c r="B255" t="inlineStr">
        <is>
          <t>SPO-00138</t>
        </is>
      </c>
      <c r="C255" t="inlineStr">
        <is>
          <t>SUP-11</t>
        </is>
      </c>
      <c r="D255" t="inlineStr">
        <is>
          <t>PPE</t>
        </is>
      </c>
      <c r="E255" t="inlineStr">
        <is>
          <t>PPE-04</t>
        </is>
      </c>
      <c r="F255" s="17" t="n">
        <v>45601</v>
      </c>
      <c r="G255" s="17" t="n">
        <v>45613</v>
      </c>
      <c r="H255" s="18" t="n">
        <v>43</v>
      </c>
      <c r="I255" s="19" t="n">
        <v>26.51</v>
      </c>
      <c r="J255" s="19" t="n">
        <v>26</v>
      </c>
      <c r="K255" s="20" t="n">
        <v>0</v>
      </c>
      <c r="L255" s="20" t="n">
        <v>0</v>
      </c>
      <c r="M255" s="18" t="n">
        <v>43</v>
      </c>
      <c r="N255" s="18" t="n">
        <v>43</v>
      </c>
      <c r="O255" s="18" t="n">
        <v>0</v>
      </c>
      <c r="P255" s="17" t="n">
        <v>45609</v>
      </c>
      <c r="Q255" s="17" t="n">
        <v>45609</v>
      </c>
      <c r="R255" s="17" t="n">
        <v>45609</v>
      </c>
      <c r="S255" s="19">
        <f>H255*I255</f>
        <v/>
      </c>
      <c r="T255" s="19">
        <f>H255*J255</f>
        <v/>
      </c>
      <c r="U255">
        <f>IF(AND(K255=0,G255&lt;=Assumptions!$C$6),1,0)</f>
        <v/>
      </c>
      <c r="V255">
        <f>IF(U255=1,IF(M255&gt;0,IF(P255&lt;=G255+Assumptions!$C$7,1,0),0),0)</f>
        <v/>
      </c>
      <c r="W255">
        <f>IF(AND(U255=1,M255&gt;=H255*(1-Assumptions!$C$8)),1,0)</f>
        <v/>
      </c>
      <c r="X255">
        <f>IF(AND(U255=1,N255&gt;=H255*(1-Assumptions!$C$8)),1,0)</f>
        <v/>
      </c>
      <c r="Y255">
        <f>IF(ISNUMBER(Q255),1,0)</f>
        <v/>
      </c>
      <c r="Z255">
        <f>IF(AND(K255=0,L255=0,Y255=0),1,0)</f>
        <v/>
      </c>
      <c r="AA255">
        <f>IF(AND(Z255=1,G255&lt;Assumptions!$C$6),1,0)</f>
        <v/>
      </c>
      <c r="AB255">
        <f>IF(U255=0,"",IF(Y255=1,MAX(0,Q255-G255),IF(L255=1,MAX(0,R255-G255),MAX(0,Assumptions!$C$6-G255))))</f>
        <v/>
      </c>
      <c r="AC255">
        <f>IF(Y255=1,Q255-F255,"")</f>
        <v/>
      </c>
      <c r="AD255">
        <f>IF(Y255=1,AC255^2,"")</f>
        <v/>
      </c>
      <c r="AE255" s="19">
        <f>IF(Z255=1,(H255-M255)*I255,0)</f>
        <v/>
      </c>
      <c r="AF255">
        <f>IF(G255&lt;EDATE(Assumptions!$C$6,-12)+1,"prior_12m","last_12m")</f>
        <v/>
      </c>
      <c r="AG255" s="21">
        <f>DATE(YEAR(G255),MONTH(G255),1)</f>
        <v/>
      </c>
    </row>
    <row r="256">
      <c r="A256" t="inlineStr">
        <is>
          <t>SPO-00139-1</t>
        </is>
      </c>
      <c r="B256" t="inlineStr">
        <is>
          <t>SPO-00139</t>
        </is>
      </c>
      <c r="C256" t="inlineStr">
        <is>
          <t>SUP-01</t>
        </is>
      </c>
      <c r="D256" t="inlineStr">
        <is>
          <t>ELEC</t>
        </is>
      </c>
      <c r="E256" t="inlineStr">
        <is>
          <t>ELEC-02</t>
        </is>
      </c>
      <c r="F256" s="17" t="n">
        <v>45601</v>
      </c>
      <c r="G256" s="17" t="n">
        <v>45619</v>
      </c>
      <c r="H256" s="18" t="n">
        <v>549</v>
      </c>
      <c r="I256" s="19" t="n">
        <v>4.17</v>
      </c>
      <c r="J256" s="19" t="n">
        <v>4.2</v>
      </c>
      <c r="K256" s="20" t="n">
        <v>0</v>
      </c>
      <c r="L256" s="20" t="n">
        <v>0</v>
      </c>
      <c r="M256" s="18" t="n">
        <v>549</v>
      </c>
      <c r="N256" s="18" t="n">
        <v>549</v>
      </c>
      <c r="O256" s="18" t="n">
        <v>0</v>
      </c>
      <c r="P256" s="17" t="n">
        <v>45614</v>
      </c>
      <c r="Q256" s="17" t="n">
        <v>45614</v>
      </c>
      <c r="R256" s="17" t="n">
        <v>45614</v>
      </c>
      <c r="S256" s="19">
        <f>H256*I256</f>
        <v/>
      </c>
      <c r="T256" s="19">
        <f>H256*J256</f>
        <v/>
      </c>
      <c r="U256">
        <f>IF(AND(K256=0,G256&lt;=Assumptions!$C$6),1,0)</f>
        <v/>
      </c>
      <c r="V256">
        <f>IF(U256=1,IF(M256&gt;0,IF(P256&lt;=G256+Assumptions!$C$7,1,0),0),0)</f>
        <v/>
      </c>
      <c r="W256">
        <f>IF(AND(U256=1,M256&gt;=H256*(1-Assumptions!$C$8)),1,0)</f>
        <v/>
      </c>
      <c r="X256">
        <f>IF(AND(U256=1,N256&gt;=H256*(1-Assumptions!$C$8)),1,0)</f>
        <v/>
      </c>
      <c r="Y256">
        <f>IF(ISNUMBER(Q256),1,0)</f>
        <v/>
      </c>
      <c r="Z256">
        <f>IF(AND(K256=0,L256=0,Y256=0),1,0)</f>
        <v/>
      </c>
      <c r="AA256">
        <f>IF(AND(Z256=1,G256&lt;Assumptions!$C$6),1,0)</f>
        <v/>
      </c>
      <c r="AB256">
        <f>IF(U256=0,"",IF(Y256=1,MAX(0,Q256-G256),IF(L256=1,MAX(0,R256-G256),MAX(0,Assumptions!$C$6-G256))))</f>
        <v/>
      </c>
      <c r="AC256">
        <f>IF(Y256=1,Q256-F256,"")</f>
        <v/>
      </c>
      <c r="AD256">
        <f>IF(Y256=1,AC256^2,"")</f>
        <v/>
      </c>
      <c r="AE256" s="19">
        <f>IF(Z256=1,(H256-M256)*I256,0)</f>
        <v/>
      </c>
      <c r="AF256">
        <f>IF(G256&lt;EDATE(Assumptions!$C$6,-12)+1,"prior_12m","last_12m")</f>
        <v/>
      </c>
      <c r="AG256" s="21">
        <f>DATE(YEAR(G256),MONTH(G256),1)</f>
        <v/>
      </c>
    </row>
    <row r="257">
      <c r="A257" t="inlineStr">
        <is>
          <t>SPO-00140-1</t>
        </is>
      </c>
      <c r="B257" t="inlineStr">
        <is>
          <t>SPO-00140</t>
        </is>
      </c>
      <c r="C257" t="inlineStr">
        <is>
          <t>SUP-12</t>
        </is>
      </c>
      <c r="D257" t="inlineStr">
        <is>
          <t>IT</t>
        </is>
      </c>
      <c r="E257" t="inlineStr">
        <is>
          <t>IT-07</t>
        </is>
      </c>
      <c r="F257" s="17" t="n">
        <v>45602</v>
      </c>
      <c r="G257" s="17" t="n">
        <v>45612</v>
      </c>
      <c r="H257" s="18" t="n">
        <v>16</v>
      </c>
      <c r="I257" s="19" t="n">
        <v>83.58</v>
      </c>
      <c r="J257" s="19" t="n">
        <v>74</v>
      </c>
      <c r="K257" s="20" t="n">
        <v>0</v>
      </c>
      <c r="L257" s="20" t="n">
        <v>0</v>
      </c>
      <c r="M257" s="18" t="n">
        <v>16</v>
      </c>
      <c r="N257" s="18" t="n">
        <v>16</v>
      </c>
      <c r="O257" s="18" t="n">
        <v>0</v>
      </c>
      <c r="P257" s="17" t="n">
        <v>45604</v>
      </c>
      <c r="Q257" s="17" t="n">
        <v>45604</v>
      </c>
      <c r="R257" s="17" t="n">
        <v>45604</v>
      </c>
      <c r="S257" s="19">
        <f>H257*I257</f>
        <v/>
      </c>
      <c r="T257" s="19">
        <f>H257*J257</f>
        <v/>
      </c>
      <c r="U257">
        <f>IF(AND(K257=0,G257&lt;=Assumptions!$C$6),1,0)</f>
        <v/>
      </c>
      <c r="V257">
        <f>IF(U257=1,IF(M257&gt;0,IF(P257&lt;=G257+Assumptions!$C$7,1,0),0),0)</f>
        <v/>
      </c>
      <c r="W257">
        <f>IF(AND(U257=1,M257&gt;=H257*(1-Assumptions!$C$8)),1,0)</f>
        <v/>
      </c>
      <c r="X257">
        <f>IF(AND(U257=1,N257&gt;=H257*(1-Assumptions!$C$8)),1,0)</f>
        <v/>
      </c>
      <c r="Y257">
        <f>IF(ISNUMBER(Q257),1,0)</f>
        <v/>
      </c>
      <c r="Z257">
        <f>IF(AND(K257=0,L257=0,Y257=0),1,0)</f>
        <v/>
      </c>
      <c r="AA257">
        <f>IF(AND(Z257=1,G257&lt;Assumptions!$C$6),1,0)</f>
        <v/>
      </c>
      <c r="AB257">
        <f>IF(U257=0,"",IF(Y257=1,MAX(0,Q257-G257),IF(L257=1,MAX(0,R257-G257),MAX(0,Assumptions!$C$6-G257))))</f>
        <v/>
      </c>
      <c r="AC257">
        <f>IF(Y257=1,Q257-F257,"")</f>
        <v/>
      </c>
      <c r="AD257">
        <f>IF(Y257=1,AC257^2,"")</f>
        <v/>
      </c>
      <c r="AE257" s="19">
        <f>IF(Z257=1,(H257-M257)*I257,0)</f>
        <v/>
      </c>
      <c r="AF257">
        <f>IF(G257&lt;EDATE(Assumptions!$C$6,-12)+1,"prior_12m","last_12m")</f>
        <v/>
      </c>
      <c r="AG257" s="21">
        <f>DATE(YEAR(G257),MONTH(G257),1)</f>
        <v/>
      </c>
    </row>
    <row r="258">
      <c r="A258" t="inlineStr">
        <is>
          <t>SPO-00140-2</t>
        </is>
      </c>
      <c r="B258" t="inlineStr">
        <is>
          <t>SPO-00140</t>
        </is>
      </c>
      <c r="C258" t="inlineStr">
        <is>
          <t>SUP-12</t>
        </is>
      </c>
      <c r="D258" t="inlineStr">
        <is>
          <t>IT</t>
        </is>
      </c>
      <c r="E258" t="inlineStr">
        <is>
          <t>IT-03</t>
        </is>
      </c>
      <c r="F258" s="17" t="n">
        <v>45602</v>
      </c>
      <c r="G258" s="17" t="n">
        <v>45612</v>
      </c>
      <c r="H258" s="18" t="n">
        <v>25</v>
      </c>
      <c r="I258" s="19" t="n">
        <v>42.58</v>
      </c>
      <c r="J258" s="19" t="n">
        <v>38</v>
      </c>
      <c r="K258" s="20" t="n">
        <v>0</v>
      </c>
      <c r="L258" s="20" t="n">
        <v>0</v>
      </c>
      <c r="M258" s="18" t="n">
        <v>25</v>
      </c>
      <c r="N258" s="18" t="n">
        <v>25</v>
      </c>
      <c r="O258" s="18" t="n">
        <v>0</v>
      </c>
      <c r="P258" s="17" t="n">
        <v>45604</v>
      </c>
      <c r="Q258" s="17" t="n">
        <v>45604</v>
      </c>
      <c r="R258" s="17" t="n">
        <v>45604</v>
      </c>
      <c r="S258" s="19">
        <f>H258*I258</f>
        <v/>
      </c>
      <c r="T258" s="19">
        <f>H258*J258</f>
        <v/>
      </c>
      <c r="U258">
        <f>IF(AND(K258=0,G258&lt;=Assumptions!$C$6),1,0)</f>
        <v/>
      </c>
      <c r="V258">
        <f>IF(U258=1,IF(M258&gt;0,IF(P258&lt;=G258+Assumptions!$C$7,1,0),0),0)</f>
        <v/>
      </c>
      <c r="W258">
        <f>IF(AND(U258=1,M258&gt;=H258*(1-Assumptions!$C$8)),1,0)</f>
        <v/>
      </c>
      <c r="X258">
        <f>IF(AND(U258=1,N258&gt;=H258*(1-Assumptions!$C$8)),1,0)</f>
        <v/>
      </c>
      <c r="Y258">
        <f>IF(ISNUMBER(Q258),1,0)</f>
        <v/>
      </c>
      <c r="Z258">
        <f>IF(AND(K258=0,L258=0,Y258=0),1,0)</f>
        <v/>
      </c>
      <c r="AA258">
        <f>IF(AND(Z258=1,G258&lt;Assumptions!$C$6),1,0)</f>
        <v/>
      </c>
      <c r="AB258">
        <f>IF(U258=0,"",IF(Y258=1,MAX(0,Q258-G258),IF(L258=1,MAX(0,R258-G258),MAX(0,Assumptions!$C$6-G258))))</f>
        <v/>
      </c>
      <c r="AC258">
        <f>IF(Y258=1,Q258-F258,"")</f>
        <v/>
      </c>
      <c r="AD258">
        <f>IF(Y258=1,AC258^2,"")</f>
        <v/>
      </c>
      <c r="AE258" s="19">
        <f>IF(Z258=1,(H258-M258)*I258,0)</f>
        <v/>
      </c>
      <c r="AF258">
        <f>IF(G258&lt;EDATE(Assumptions!$C$6,-12)+1,"prior_12m","last_12m")</f>
        <v/>
      </c>
      <c r="AG258" s="21">
        <f>DATE(YEAR(G258),MONTH(G258),1)</f>
        <v/>
      </c>
    </row>
    <row r="259">
      <c r="A259" t="inlineStr">
        <is>
          <t>SPO-00140-3</t>
        </is>
      </c>
      <c r="B259" t="inlineStr">
        <is>
          <t>SPO-00140</t>
        </is>
      </c>
      <c r="C259" t="inlineStr">
        <is>
          <t>SUP-12</t>
        </is>
      </c>
      <c r="D259" t="inlineStr">
        <is>
          <t>IT</t>
        </is>
      </c>
      <c r="E259" t="inlineStr">
        <is>
          <t>IT-02</t>
        </is>
      </c>
      <c r="F259" s="17" t="n">
        <v>45602</v>
      </c>
      <c r="G259" s="17" t="n">
        <v>45612</v>
      </c>
      <c r="H259" s="18" t="n">
        <v>12</v>
      </c>
      <c r="I259" s="19" t="n">
        <v>189.53</v>
      </c>
      <c r="J259" s="19" t="n">
        <v>162</v>
      </c>
      <c r="K259" s="20" t="n">
        <v>0</v>
      </c>
      <c r="L259" s="20" t="n">
        <v>0</v>
      </c>
      <c r="M259" s="18" t="n">
        <v>12</v>
      </c>
      <c r="N259" s="18" t="n">
        <v>12</v>
      </c>
      <c r="O259" s="18" t="n">
        <v>0</v>
      </c>
      <c r="P259" s="17" t="n">
        <v>45608</v>
      </c>
      <c r="Q259" s="17" t="n">
        <v>45608</v>
      </c>
      <c r="R259" s="17" t="n">
        <v>45608</v>
      </c>
      <c r="S259" s="19">
        <f>H259*I259</f>
        <v/>
      </c>
      <c r="T259" s="19">
        <f>H259*J259</f>
        <v/>
      </c>
      <c r="U259">
        <f>IF(AND(K259=0,G259&lt;=Assumptions!$C$6),1,0)</f>
        <v/>
      </c>
      <c r="V259">
        <f>IF(U259=1,IF(M259&gt;0,IF(P259&lt;=G259+Assumptions!$C$7,1,0),0),0)</f>
        <v/>
      </c>
      <c r="W259">
        <f>IF(AND(U259=1,M259&gt;=H259*(1-Assumptions!$C$8)),1,0)</f>
        <v/>
      </c>
      <c r="X259">
        <f>IF(AND(U259=1,N259&gt;=H259*(1-Assumptions!$C$8)),1,0)</f>
        <v/>
      </c>
      <c r="Y259">
        <f>IF(ISNUMBER(Q259),1,0)</f>
        <v/>
      </c>
      <c r="Z259">
        <f>IF(AND(K259=0,L259=0,Y259=0),1,0)</f>
        <v/>
      </c>
      <c r="AA259">
        <f>IF(AND(Z259=1,G259&lt;Assumptions!$C$6),1,0)</f>
        <v/>
      </c>
      <c r="AB259">
        <f>IF(U259=0,"",IF(Y259=1,MAX(0,Q259-G259),IF(L259=1,MAX(0,R259-G259),MAX(0,Assumptions!$C$6-G259))))</f>
        <v/>
      </c>
      <c r="AC259">
        <f>IF(Y259=1,Q259-F259,"")</f>
        <v/>
      </c>
      <c r="AD259">
        <f>IF(Y259=1,AC259^2,"")</f>
        <v/>
      </c>
      <c r="AE259" s="19">
        <f>IF(Z259=1,(H259-M259)*I259,0)</f>
        <v/>
      </c>
      <c r="AF259">
        <f>IF(G259&lt;EDATE(Assumptions!$C$6,-12)+1,"prior_12m","last_12m")</f>
        <v/>
      </c>
      <c r="AG259" s="21">
        <f>DATE(YEAR(G259),MONTH(G259),1)</f>
        <v/>
      </c>
    </row>
    <row r="260">
      <c r="A260" t="inlineStr">
        <is>
          <t>SPO-00140-4</t>
        </is>
      </c>
      <c r="B260" t="inlineStr">
        <is>
          <t>SPO-00140</t>
        </is>
      </c>
      <c r="C260" t="inlineStr">
        <is>
          <t>SUP-12</t>
        </is>
      </c>
      <c r="D260" t="inlineStr">
        <is>
          <t>IT</t>
        </is>
      </c>
      <c r="E260" t="inlineStr">
        <is>
          <t>IT-05</t>
        </is>
      </c>
      <c r="F260" s="17" t="n">
        <v>45602</v>
      </c>
      <c r="G260" s="17" t="n">
        <v>45612</v>
      </c>
      <c r="H260" s="18" t="n">
        <v>2</v>
      </c>
      <c r="I260" s="19" t="n">
        <v>729.86</v>
      </c>
      <c r="J260" s="19" t="n">
        <v>640</v>
      </c>
      <c r="K260" s="20" t="n">
        <v>0</v>
      </c>
      <c r="L260" s="20" t="n">
        <v>0</v>
      </c>
      <c r="M260" s="18" t="n">
        <v>2</v>
      </c>
      <c r="N260" s="18" t="n">
        <v>2</v>
      </c>
      <c r="O260" s="18" t="n">
        <v>0</v>
      </c>
      <c r="P260" s="17" t="n">
        <v>45605</v>
      </c>
      <c r="Q260" s="17" t="n">
        <v>45605</v>
      </c>
      <c r="R260" s="17" t="n">
        <v>45605</v>
      </c>
      <c r="S260" s="19">
        <f>H260*I260</f>
        <v/>
      </c>
      <c r="T260" s="19">
        <f>H260*J260</f>
        <v/>
      </c>
      <c r="U260">
        <f>IF(AND(K260=0,G260&lt;=Assumptions!$C$6),1,0)</f>
        <v/>
      </c>
      <c r="V260">
        <f>IF(U260=1,IF(M260&gt;0,IF(P260&lt;=G260+Assumptions!$C$7,1,0),0),0)</f>
        <v/>
      </c>
      <c r="W260">
        <f>IF(AND(U260=1,M260&gt;=H260*(1-Assumptions!$C$8)),1,0)</f>
        <v/>
      </c>
      <c r="X260">
        <f>IF(AND(U260=1,N260&gt;=H260*(1-Assumptions!$C$8)),1,0)</f>
        <v/>
      </c>
      <c r="Y260">
        <f>IF(ISNUMBER(Q260),1,0)</f>
        <v/>
      </c>
      <c r="Z260">
        <f>IF(AND(K260=0,L260=0,Y260=0),1,0)</f>
        <v/>
      </c>
      <c r="AA260">
        <f>IF(AND(Z260=1,G260&lt;Assumptions!$C$6),1,0)</f>
        <v/>
      </c>
      <c r="AB260">
        <f>IF(U260=0,"",IF(Y260=1,MAX(0,Q260-G260),IF(L260=1,MAX(0,R260-G260),MAX(0,Assumptions!$C$6-G260))))</f>
        <v/>
      </c>
      <c r="AC260">
        <f>IF(Y260=1,Q260-F260,"")</f>
        <v/>
      </c>
      <c r="AD260">
        <f>IF(Y260=1,AC260^2,"")</f>
        <v/>
      </c>
      <c r="AE260" s="19">
        <f>IF(Z260=1,(H260-M260)*I260,0)</f>
        <v/>
      </c>
      <c r="AF260">
        <f>IF(G260&lt;EDATE(Assumptions!$C$6,-12)+1,"prior_12m","last_12m")</f>
        <v/>
      </c>
      <c r="AG260" s="21">
        <f>DATE(YEAR(G260),MONTH(G260),1)</f>
        <v/>
      </c>
    </row>
    <row r="261">
      <c r="A261" t="inlineStr">
        <is>
          <t>SPO-00141-1</t>
        </is>
      </c>
      <c r="B261" t="inlineStr">
        <is>
          <t>SPO-00141</t>
        </is>
      </c>
      <c r="C261" t="inlineStr">
        <is>
          <t>SUP-09</t>
        </is>
      </c>
      <c r="D261" t="inlineStr">
        <is>
          <t>CHEM</t>
        </is>
      </c>
      <c r="E261" t="inlineStr">
        <is>
          <t>CHEM-03</t>
        </is>
      </c>
      <c r="F261" s="17" t="n">
        <v>45602</v>
      </c>
      <c r="G261" s="17" t="n">
        <v>45616</v>
      </c>
      <c r="H261" s="18" t="n">
        <v>3</v>
      </c>
      <c r="I261" s="19" t="n">
        <v>273.18</v>
      </c>
      <c r="J261" s="19" t="n">
        <v>265</v>
      </c>
      <c r="K261" s="20" t="n">
        <v>0</v>
      </c>
      <c r="L261" s="20" t="n">
        <v>0</v>
      </c>
      <c r="M261" s="18" t="n">
        <v>3</v>
      </c>
      <c r="N261" s="18" t="n">
        <v>3</v>
      </c>
      <c r="O261" s="18" t="n">
        <v>0</v>
      </c>
      <c r="P261" s="17" t="n">
        <v>45614</v>
      </c>
      <c r="Q261" s="17" t="n">
        <v>45614</v>
      </c>
      <c r="R261" s="17" t="n">
        <v>45614</v>
      </c>
      <c r="S261" s="19">
        <f>H261*I261</f>
        <v/>
      </c>
      <c r="T261" s="19">
        <f>H261*J261</f>
        <v/>
      </c>
      <c r="U261">
        <f>IF(AND(K261=0,G261&lt;=Assumptions!$C$6),1,0)</f>
        <v/>
      </c>
      <c r="V261">
        <f>IF(U261=1,IF(M261&gt;0,IF(P261&lt;=G261+Assumptions!$C$7,1,0),0),0)</f>
        <v/>
      </c>
      <c r="W261">
        <f>IF(AND(U261=1,M261&gt;=H261*(1-Assumptions!$C$8)),1,0)</f>
        <v/>
      </c>
      <c r="X261">
        <f>IF(AND(U261=1,N261&gt;=H261*(1-Assumptions!$C$8)),1,0)</f>
        <v/>
      </c>
      <c r="Y261">
        <f>IF(ISNUMBER(Q261),1,0)</f>
        <v/>
      </c>
      <c r="Z261">
        <f>IF(AND(K261=0,L261=0,Y261=0),1,0)</f>
        <v/>
      </c>
      <c r="AA261">
        <f>IF(AND(Z261=1,G261&lt;Assumptions!$C$6),1,0)</f>
        <v/>
      </c>
      <c r="AB261">
        <f>IF(U261=0,"",IF(Y261=1,MAX(0,Q261-G261),IF(L261=1,MAX(0,R261-G261),MAX(0,Assumptions!$C$6-G261))))</f>
        <v/>
      </c>
      <c r="AC261">
        <f>IF(Y261=1,Q261-F261,"")</f>
        <v/>
      </c>
      <c r="AD261">
        <f>IF(Y261=1,AC261^2,"")</f>
        <v/>
      </c>
      <c r="AE261" s="19">
        <f>IF(Z261=1,(H261-M261)*I261,0)</f>
        <v/>
      </c>
      <c r="AF261">
        <f>IF(G261&lt;EDATE(Assumptions!$C$6,-12)+1,"prior_12m","last_12m")</f>
        <v/>
      </c>
      <c r="AG261" s="21">
        <f>DATE(YEAR(G261),MONTH(G261),1)</f>
        <v/>
      </c>
    </row>
    <row r="262">
      <c r="A262" t="inlineStr">
        <is>
          <t>SPO-00141-2</t>
        </is>
      </c>
      <c r="B262" t="inlineStr">
        <is>
          <t>SPO-00141</t>
        </is>
      </c>
      <c r="C262" t="inlineStr">
        <is>
          <t>SUP-09</t>
        </is>
      </c>
      <c r="D262" t="inlineStr">
        <is>
          <t>CHEM</t>
        </is>
      </c>
      <c r="E262" t="inlineStr">
        <is>
          <t>CHEM-02</t>
        </is>
      </c>
      <c r="F262" s="17" t="n">
        <v>45602</v>
      </c>
      <c r="G262" s="17" t="n">
        <v>45616</v>
      </c>
      <c r="H262" s="18" t="n">
        <v>5</v>
      </c>
      <c r="I262" s="19" t="n">
        <v>431.19</v>
      </c>
      <c r="J262" s="19" t="n">
        <v>410</v>
      </c>
      <c r="K262" s="20" t="n">
        <v>0</v>
      </c>
      <c r="L262" s="20" t="n">
        <v>0</v>
      </c>
      <c r="M262" s="18" t="n">
        <v>5</v>
      </c>
      <c r="N262" s="18" t="n">
        <v>5</v>
      </c>
      <c r="O262" s="18" t="n">
        <v>0</v>
      </c>
      <c r="P262" s="17" t="n">
        <v>45614</v>
      </c>
      <c r="Q262" s="17" t="n">
        <v>45614</v>
      </c>
      <c r="R262" s="17" t="n">
        <v>45614</v>
      </c>
      <c r="S262" s="19">
        <f>H262*I262</f>
        <v/>
      </c>
      <c r="T262" s="19">
        <f>H262*J262</f>
        <v/>
      </c>
      <c r="U262">
        <f>IF(AND(K262=0,G262&lt;=Assumptions!$C$6),1,0)</f>
        <v/>
      </c>
      <c r="V262">
        <f>IF(U262=1,IF(M262&gt;0,IF(P262&lt;=G262+Assumptions!$C$7,1,0),0),0)</f>
        <v/>
      </c>
      <c r="W262">
        <f>IF(AND(U262=1,M262&gt;=H262*(1-Assumptions!$C$8)),1,0)</f>
        <v/>
      </c>
      <c r="X262">
        <f>IF(AND(U262=1,N262&gt;=H262*(1-Assumptions!$C$8)),1,0)</f>
        <v/>
      </c>
      <c r="Y262">
        <f>IF(ISNUMBER(Q262),1,0)</f>
        <v/>
      </c>
      <c r="Z262">
        <f>IF(AND(K262=0,L262=0,Y262=0),1,0)</f>
        <v/>
      </c>
      <c r="AA262">
        <f>IF(AND(Z262=1,G262&lt;Assumptions!$C$6),1,0)</f>
        <v/>
      </c>
      <c r="AB262">
        <f>IF(U262=0,"",IF(Y262=1,MAX(0,Q262-G262),IF(L262=1,MAX(0,R262-G262),MAX(0,Assumptions!$C$6-G262))))</f>
        <v/>
      </c>
      <c r="AC262">
        <f>IF(Y262=1,Q262-F262,"")</f>
        <v/>
      </c>
      <c r="AD262">
        <f>IF(Y262=1,AC262^2,"")</f>
        <v/>
      </c>
      <c r="AE262" s="19">
        <f>IF(Z262=1,(H262-M262)*I262,0)</f>
        <v/>
      </c>
      <c r="AF262">
        <f>IF(G262&lt;EDATE(Assumptions!$C$6,-12)+1,"prior_12m","last_12m")</f>
        <v/>
      </c>
      <c r="AG262" s="21">
        <f>DATE(YEAR(G262),MONTH(G262),1)</f>
        <v/>
      </c>
    </row>
    <row r="263">
      <c r="A263" t="inlineStr">
        <is>
          <t>SPO-00142-1</t>
        </is>
      </c>
      <c r="B263" t="inlineStr">
        <is>
          <t>SPO-00142</t>
        </is>
      </c>
      <c r="C263" t="inlineStr">
        <is>
          <t>SUP-11</t>
        </is>
      </c>
      <c r="D263" t="inlineStr">
        <is>
          <t>PPE</t>
        </is>
      </c>
      <c r="E263" t="inlineStr">
        <is>
          <t>PPE-05</t>
        </is>
      </c>
      <c r="F263" s="17" t="n">
        <v>45602</v>
      </c>
      <c r="G263" s="17" t="n">
        <v>45614</v>
      </c>
      <c r="H263" s="18" t="n">
        <v>135</v>
      </c>
      <c r="I263" s="19" t="n">
        <v>10.85</v>
      </c>
      <c r="J263" s="19" t="n">
        <v>11</v>
      </c>
      <c r="K263" s="20" t="n">
        <v>0</v>
      </c>
      <c r="L263" s="20" t="n">
        <v>0</v>
      </c>
      <c r="M263" s="18" t="n">
        <v>135</v>
      </c>
      <c r="N263" s="18" t="n">
        <v>0</v>
      </c>
      <c r="O263" s="18" t="n">
        <v>0</v>
      </c>
      <c r="P263" s="17" t="n">
        <v>45615</v>
      </c>
      <c r="Q263" s="17" t="n">
        <v>45615</v>
      </c>
      <c r="R263" s="17" t="n">
        <v>45615</v>
      </c>
      <c r="S263" s="19">
        <f>H263*I263</f>
        <v/>
      </c>
      <c r="T263" s="19">
        <f>H263*J263</f>
        <v/>
      </c>
      <c r="U263">
        <f>IF(AND(K263=0,G263&lt;=Assumptions!$C$6),1,0)</f>
        <v/>
      </c>
      <c r="V263">
        <f>IF(U263=1,IF(M263&gt;0,IF(P263&lt;=G263+Assumptions!$C$7,1,0),0),0)</f>
        <v/>
      </c>
      <c r="W263">
        <f>IF(AND(U263=1,M263&gt;=H263*(1-Assumptions!$C$8)),1,0)</f>
        <v/>
      </c>
      <c r="X263">
        <f>IF(AND(U263=1,N263&gt;=H263*(1-Assumptions!$C$8)),1,0)</f>
        <v/>
      </c>
      <c r="Y263">
        <f>IF(ISNUMBER(Q263),1,0)</f>
        <v/>
      </c>
      <c r="Z263">
        <f>IF(AND(K263=0,L263=0,Y263=0),1,0)</f>
        <v/>
      </c>
      <c r="AA263">
        <f>IF(AND(Z263=1,G263&lt;Assumptions!$C$6),1,0)</f>
        <v/>
      </c>
      <c r="AB263">
        <f>IF(U263=0,"",IF(Y263=1,MAX(0,Q263-G263),IF(L263=1,MAX(0,R263-G263),MAX(0,Assumptions!$C$6-G263))))</f>
        <v/>
      </c>
      <c r="AC263">
        <f>IF(Y263=1,Q263-F263,"")</f>
        <v/>
      </c>
      <c r="AD263">
        <f>IF(Y263=1,AC263^2,"")</f>
        <v/>
      </c>
      <c r="AE263" s="19">
        <f>IF(Z263=1,(H263-M263)*I263,0)</f>
        <v/>
      </c>
      <c r="AF263">
        <f>IF(G263&lt;EDATE(Assumptions!$C$6,-12)+1,"prior_12m","last_12m")</f>
        <v/>
      </c>
      <c r="AG263" s="21">
        <f>DATE(YEAR(G263),MONTH(G263),1)</f>
        <v/>
      </c>
    </row>
    <row r="264">
      <c r="A264" t="inlineStr">
        <is>
          <t>SPO-00142-2</t>
        </is>
      </c>
      <c r="B264" t="inlineStr">
        <is>
          <t>SPO-00142</t>
        </is>
      </c>
      <c r="C264" t="inlineStr">
        <is>
          <t>SUP-11</t>
        </is>
      </c>
      <c r="D264" t="inlineStr">
        <is>
          <t>PPE</t>
        </is>
      </c>
      <c r="E264" t="inlineStr">
        <is>
          <t>PPE-03</t>
        </is>
      </c>
      <c r="F264" s="17" t="n">
        <v>45602</v>
      </c>
      <c r="G264" s="17" t="n">
        <v>45614</v>
      </c>
      <c r="H264" s="18" t="n">
        <v>66</v>
      </c>
      <c r="I264" s="19" t="n">
        <v>20.74</v>
      </c>
      <c r="J264" s="19" t="n">
        <v>21</v>
      </c>
      <c r="K264" s="20" t="n">
        <v>0</v>
      </c>
      <c r="L264" s="20" t="n">
        <v>0</v>
      </c>
      <c r="M264" s="18" t="n">
        <v>66</v>
      </c>
      <c r="N264" s="18" t="n">
        <v>66</v>
      </c>
      <c r="O264" s="18" t="n">
        <v>0</v>
      </c>
      <c r="P264" s="17" t="n">
        <v>45613</v>
      </c>
      <c r="Q264" s="17" t="n">
        <v>45613</v>
      </c>
      <c r="R264" s="17" t="n">
        <v>45613</v>
      </c>
      <c r="S264" s="19">
        <f>H264*I264</f>
        <v/>
      </c>
      <c r="T264" s="19">
        <f>H264*J264</f>
        <v/>
      </c>
      <c r="U264">
        <f>IF(AND(K264=0,G264&lt;=Assumptions!$C$6),1,0)</f>
        <v/>
      </c>
      <c r="V264">
        <f>IF(U264=1,IF(M264&gt;0,IF(P264&lt;=G264+Assumptions!$C$7,1,0),0),0)</f>
        <v/>
      </c>
      <c r="W264">
        <f>IF(AND(U264=1,M264&gt;=H264*(1-Assumptions!$C$8)),1,0)</f>
        <v/>
      </c>
      <c r="X264">
        <f>IF(AND(U264=1,N264&gt;=H264*(1-Assumptions!$C$8)),1,0)</f>
        <v/>
      </c>
      <c r="Y264">
        <f>IF(ISNUMBER(Q264),1,0)</f>
        <v/>
      </c>
      <c r="Z264">
        <f>IF(AND(K264=0,L264=0,Y264=0),1,0)</f>
        <v/>
      </c>
      <c r="AA264">
        <f>IF(AND(Z264=1,G264&lt;Assumptions!$C$6),1,0)</f>
        <v/>
      </c>
      <c r="AB264">
        <f>IF(U264=0,"",IF(Y264=1,MAX(0,Q264-G264),IF(L264=1,MAX(0,R264-G264),MAX(0,Assumptions!$C$6-G264))))</f>
        <v/>
      </c>
      <c r="AC264">
        <f>IF(Y264=1,Q264-F264,"")</f>
        <v/>
      </c>
      <c r="AD264">
        <f>IF(Y264=1,AC264^2,"")</f>
        <v/>
      </c>
      <c r="AE264" s="19">
        <f>IF(Z264=1,(H264-M264)*I264,0)</f>
        <v/>
      </c>
      <c r="AF264">
        <f>IF(G264&lt;EDATE(Assumptions!$C$6,-12)+1,"prior_12m","last_12m")</f>
        <v/>
      </c>
      <c r="AG264" s="21">
        <f>DATE(YEAR(G264),MONTH(G264),1)</f>
        <v/>
      </c>
    </row>
    <row r="265">
      <c r="A265" t="inlineStr">
        <is>
          <t>SPO-00142-3</t>
        </is>
      </c>
      <c r="B265" t="inlineStr">
        <is>
          <t>SPO-00142</t>
        </is>
      </c>
      <c r="C265" t="inlineStr">
        <is>
          <t>SUP-11</t>
        </is>
      </c>
      <c r="D265" t="inlineStr">
        <is>
          <t>PPE</t>
        </is>
      </c>
      <c r="E265" t="inlineStr">
        <is>
          <t>PPE-02</t>
        </is>
      </c>
      <c r="F265" s="17" t="n">
        <v>45602</v>
      </c>
      <c r="G265" s="17" t="n">
        <v>45614</v>
      </c>
      <c r="H265" s="18" t="n">
        <v>143</v>
      </c>
      <c r="I265" s="19" t="n">
        <v>12.69</v>
      </c>
      <c r="J265" s="19" t="n">
        <v>12.5</v>
      </c>
      <c r="K265" s="20" t="n">
        <v>0</v>
      </c>
      <c r="L265" s="20" t="n">
        <v>0</v>
      </c>
      <c r="M265" s="18" t="n">
        <v>143</v>
      </c>
      <c r="N265" s="18" t="n">
        <v>143</v>
      </c>
      <c r="O265" s="18" t="n">
        <v>0</v>
      </c>
      <c r="P265" s="17" t="n">
        <v>45614</v>
      </c>
      <c r="Q265" s="17" t="n">
        <v>45614</v>
      </c>
      <c r="R265" s="17" t="n">
        <v>45614</v>
      </c>
      <c r="S265" s="19">
        <f>H265*I265</f>
        <v/>
      </c>
      <c r="T265" s="19">
        <f>H265*J265</f>
        <v/>
      </c>
      <c r="U265">
        <f>IF(AND(K265=0,G265&lt;=Assumptions!$C$6),1,0)</f>
        <v/>
      </c>
      <c r="V265">
        <f>IF(U265=1,IF(M265&gt;0,IF(P265&lt;=G265+Assumptions!$C$7,1,0),0),0)</f>
        <v/>
      </c>
      <c r="W265">
        <f>IF(AND(U265=1,M265&gt;=H265*(1-Assumptions!$C$8)),1,0)</f>
        <v/>
      </c>
      <c r="X265">
        <f>IF(AND(U265=1,N265&gt;=H265*(1-Assumptions!$C$8)),1,0)</f>
        <v/>
      </c>
      <c r="Y265">
        <f>IF(ISNUMBER(Q265),1,0)</f>
        <v/>
      </c>
      <c r="Z265">
        <f>IF(AND(K265=0,L265=0,Y265=0),1,0)</f>
        <v/>
      </c>
      <c r="AA265">
        <f>IF(AND(Z265=1,G265&lt;Assumptions!$C$6),1,0)</f>
        <v/>
      </c>
      <c r="AB265">
        <f>IF(U265=0,"",IF(Y265=1,MAX(0,Q265-G265),IF(L265=1,MAX(0,R265-G265),MAX(0,Assumptions!$C$6-G265))))</f>
        <v/>
      </c>
      <c r="AC265">
        <f>IF(Y265=1,Q265-F265,"")</f>
        <v/>
      </c>
      <c r="AD265">
        <f>IF(Y265=1,AC265^2,"")</f>
        <v/>
      </c>
      <c r="AE265" s="19">
        <f>IF(Z265=1,(H265-M265)*I265,0)</f>
        <v/>
      </c>
      <c r="AF265">
        <f>IF(G265&lt;EDATE(Assumptions!$C$6,-12)+1,"prior_12m","last_12m")</f>
        <v/>
      </c>
      <c r="AG265" s="21">
        <f>DATE(YEAR(G265),MONTH(G265),1)</f>
        <v/>
      </c>
    </row>
    <row r="266">
      <c r="A266" t="inlineStr">
        <is>
          <t>SPO-00143-1</t>
        </is>
      </c>
      <c r="B266" t="inlineStr">
        <is>
          <t>SPO-00143</t>
        </is>
      </c>
      <c r="C266" t="inlineStr">
        <is>
          <t>SUP-01</t>
        </is>
      </c>
      <c r="D266" t="inlineStr">
        <is>
          <t>ELEC</t>
        </is>
      </c>
      <c r="E266" t="inlineStr">
        <is>
          <t>ELEC-08</t>
        </is>
      </c>
      <c r="F266" s="17" t="n">
        <v>45602</v>
      </c>
      <c r="G266" s="17" t="n">
        <v>45620</v>
      </c>
      <c r="H266" s="18" t="n">
        <v>164</v>
      </c>
      <c r="I266" s="19" t="n">
        <v>17.34</v>
      </c>
      <c r="J266" s="19" t="n">
        <v>18</v>
      </c>
      <c r="K266" s="20" t="n">
        <v>0</v>
      </c>
      <c r="L266" s="20" t="n">
        <v>0</v>
      </c>
      <c r="M266" s="18" t="n">
        <v>164</v>
      </c>
      <c r="N266" s="18" t="n">
        <v>164</v>
      </c>
      <c r="O266" s="18" t="n">
        <v>0</v>
      </c>
      <c r="P266" s="17" t="n">
        <v>45619</v>
      </c>
      <c r="Q266" s="17" t="n">
        <v>45619</v>
      </c>
      <c r="R266" s="17" t="n">
        <v>45619</v>
      </c>
      <c r="S266" s="19">
        <f>H266*I266</f>
        <v/>
      </c>
      <c r="T266" s="19">
        <f>H266*J266</f>
        <v/>
      </c>
      <c r="U266">
        <f>IF(AND(K266=0,G266&lt;=Assumptions!$C$6),1,0)</f>
        <v/>
      </c>
      <c r="V266">
        <f>IF(U266=1,IF(M266&gt;0,IF(P266&lt;=G266+Assumptions!$C$7,1,0),0),0)</f>
        <v/>
      </c>
      <c r="W266">
        <f>IF(AND(U266=1,M266&gt;=H266*(1-Assumptions!$C$8)),1,0)</f>
        <v/>
      </c>
      <c r="X266">
        <f>IF(AND(U266=1,N266&gt;=H266*(1-Assumptions!$C$8)),1,0)</f>
        <v/>
      </c>
      <c r="Y266">
        <f>IF(ISNUMBER(Q266),1,0)</f>
        <v/>
      </c>
      <c r="Z266">
        <f>IF(AND(K266=0,L266=0,Y266=0),1,0)</f>
        <v/>
      </c>
      <c r="AA266">
        <f>IF(AND(Z266=1,G266&lt;Assumptions!$C$6),1,0)</f>
        <v/>
      </c>
      <c r="AB266">
        <f>IF(U266=0,"",IF(Y266=1,MAX(0,Q266-G266),IF(L266=1,MAX(0,R266-G266),MAX(0,Assumptions!$C$6-G266))))</f>
        <v/>
      </c>
      <c r="AC266">
        <f>IF(Y266=1,Q266-F266,"")</f>
        <v/>
      </c>
      <c r="AD266">
        <f>IF(Y266=1,AC266^2,"")</f>
        <v/>
      </c>
      <c r="AE266" s="19">
        <f>IF(Z266=1,(H266-M266)*I266,0)</f>
        <v/>
      </c>
      <c r="AF266">
        <f>IF(G266&lt;EDATE(Assumptions!$C$6,-12)+1,"prior_12m","last_12m")</f>
        <v/>
      </c>
      <c r="AG266" s="21">
        <f>DATE(YEAR(G266),MONTH(G266),1)</f>
        <v/>
      </c>
    </row>
    <row r="267">
      <c r="A267" t="inlineStr">
        <is>
          <t>SPO-00144-1</t>
        </is>
      </c>
      <c r="B267" t="inlineStr">
        <is>
          <t>SPO-00144</t>
        </is>
      </c>
      <c r="C267" t="inlineStr">
        <is>
          <t>SUP-12</t>
        </is>
      </c>
      <c r="D267" t="inlineStr">
        <is>
          <t>IT</t>
        </is>
      </c>
      <c r="E267" t="inlineStr">
        <is>
          <t>IT-03</t>
        </is>
      </c>
      <c r="F267" s="17" t="n">
        <v>45602</v>
      </c>
      <c r="G267" s="17" t="n">
        <v>45612</v>
      </c>
      <c r="H267" s="18" t="n">
        <v>8</v>
      </c>
      <c r="I267" s="19" t="n">
        <v>41.56</v>
      </c>
      <c r="J267" s="19" t="n">
        <v>38</v>
      </c>
      <c r="K267" s="20" t="n">
        <v>0</v>
      </c>
      <c r="L267" s="20" t="n">
        <v>0</v>
      </c>
      <c r="M267" s="18" t="n">
        <v>8</v>
      </c>
      <c r="N267" s="18" t="n">
        <v>8</v>
      </c>
      <c r="O267" s="18" t="n">
        <v>0</v>
      </c>
      <c r="P267" s="17" t="n">
        <v>45611</v>
      </c>
      <c r="Q267" s="17" t="n">
        <v>45611</v>
      </c>
      <c r="R267" s="17" t="n">
        <v>45611</v>
      </c>
      <c r="S267" s="19">
        <f>H267*I267</f>
        <v/>
      </c>
      <c r="T267" s="19">
        <f>H267*J267</f>
        <v/>
      </c>
      <c r="U267">
        <f>IF(AND(K267=0,G267&lt;=Assumptions!$C$6),1,0)</f>
        <v/>
      </c>
      <c r="V267">
        <f>IF(U267=1,IF(M267&gt;0,IF(P267&lt;=G267+Assumptions!$C$7,1,0),0),0)</f>
        <v/>
      </c>
      <c r="W267">
        <f>IF(AND(U267=1,M267&gt;=H267*(1-Assumptions!$C$8)),1,0)</f>
        <v/>
      </c>
      <c r="X267">
        <f>IF(AND(U267=1,N267&gt;=H267*(1-Assumptions!$C$8)),1,0)</f>
        <v/>
      </c>
      <c r="Y267">
        <f>IF(ISNUMBER(Q267),1,0)</f>
        <v/>
      </c>
      <c r="Z267">
        <f>IF(AND(K267=0,L267=0,Y267=0),1,0)</f>
        <v/>
      </c>
      <c r="AA267">
        <f>IF(AND(Z267=1,G267&lt;Assumptions!$C$6),1,0)</f>
        <v/>
      </c>
      <c r="AB267">
        <f>IF(U267=0,"",IF(Y267=1,MAX(0,Q267-G267),IF(L267=1,MAX(0,R267-G267),MAX(0,Assumptions!$C$6-G267))))</f>
        <v/>
      </c>
      <c r="AC267">
        <f>IF(Y267=1,Q267-F267,"")</f>
        <v/>
      </c>
      <c r="AD267">
        <f>IF(Y267=1,AC267^2,"")</f>
        <v/>
      </c>
      <c r="AE267" s="19">
        <f>IF(Z267=1,(H267-M267)*I267,0)</f>
        <v/>
      </c>
      <c r="AF267">
        <f>IF(G267&lt;EDATE(Assumptions!$C$6,-12)+1,"prior_12m","last_12m")</f>
        <v/>
      </c>
      <c r="AG267" s="21">
        <f>DATE(YEAR(G267),MONTH(G267),1)</f>
        <v/>
      </c>
    </row>
    <row r="268">
      <c r="A268" t="inlineStr">
        <is>
          <t>SPO-00144-2</t>
        </is>
      </c>
      <c r="B268" t="inlineStr">
        <is>
          <t>SPO-00144</t>
        </is>
      </c>
      <c r="C268" t="inlineStr">
        <is>
          <t>SUP-12</t>
        </is>
      </c>
      <c r="D268" t="inlineStr">
        <is>
          <t>IT</t>
        </is>
      </c>
      <c r="E268" t="inlineStr">
        <is>
          <t>IT-05</t>
        </is>
      </c>
      <c r="F268" s="17" t="n">
        <v>45602</v>
      </c>
      <c r="G268" s="17" t="n">
        <v>45612</v>
      </c>
      <c r="H268" s="18" t="n">
        <v>1</v>
      </c>
      <c r="I268" s="19" t="n">
        <v>713.0700000000001</v>
      </c>
      <c r="J268" s="19" t="n">
        <v>640</v>
      </c>
      <c r="K268" s="20" t="n">
        <v>0</v>
      </c>
      <c r="L268" s="20" t="n">
        <v>0</v>
      </c>
      <c r="M268" s="18" t="n">
        <v>1</v>
      </c>
      <c r="N268" s="18" t="n">
        <v>1</v>
      </c>
      <c r="O268" s="18" t="n">
        <v>0</v>
      </c>
      <c r="P268" s="17" t="n">
        <v>45610</v>
      </c>
      <c r="Q268" s="17" t="n">
        <v>45610</v>
      </c>
      <c r="R268" s="17" t="n">
        <v>45610</v>
      </c>
      <c r="S268" s="19">
        <f>H268*I268</f>
        <v/>
      </c>
      <c r="T268" s="19">
        <f>H268*J268</f>
        <v/>
      </c>
      <c r="U268">
        <f>IF(AND(K268=0,G268&lt;=Assumptions!$C$6),1,0)</f>
        <v/>
      </c>
      <c r="V268">
        <f>IF(U268=1,IF(M268&gt;0,IF(P268&lt;=G268+Assumptions!$C$7,1,0),0),0)</f>
        <v/>
      </c>
      <c r="W268">
        <f>IF(AND(U268=1,M268&gt;=H268*(1-Assumptions!$C$8)),1,0)</f>
        <v/>
      </c>
      <c r="X268">
        <f>IF(AND(U268=1,N268&gt;=H268*(1-Assumptions!$C$8)),1,0)</f>
        <v/>
      </c>
      <c r="Y268">
        <f>IF(ISNUMBER(Q268),1,0)</f>
        <v/>
      </c>
      <c r="Z268">
        <f>IF(AND(K268=0,L268=0,Y268=0),1,0)</f>
        <v/>
      </c>
      <c r="AA268">
        <f>IF(AND(Z268=1,G268&lt;Assumptions!$C$6),1,0)</f>
        <v/>
      </c>
      <c r="AB268">
        <f>IF(U268=0,"",IF(Y268=1,MAX(0,Q268-G268),IF(L268=1,MAX(0,R268-G268),MAX(0,Assumptions!$C$6-G268))))</f>
        <v/>
      </c>
      <c r="AC268">
        <f>IF(Y268=1,Q268-F268,"")</f>
        <v/>
      </c>
      <c r="AD268">
        <f>IF(Y268=1,AC268^2,"")</f>
        <v/>
      </c>
      <c r="AE268" s="19">
        <f>IF(Z268=1,(H268-M268)*I268,0)</f>
        <v/>
      </c>
      <c r="AF268">
        <f>IF(G268&lt;EDATE(Assumptions!$C$6,-12)+1,"prior_12m","last_12m")</f>
        <v/>
      </c>
      <c r="AG268" s="21">
        <f>DATE(YEAR(G268),MONTH(G268),1)</f>
        <v/>
      </c>
    </row>
    <row r="269">
      <c r="A269" t="inlineStr">
        <is>
          <t>SPO-00145-1</t>
        </is>
      </c>
      <c r="B269" t="inlineStr">
        <is>
          <t>SPO-00145</t>
        </is>
      </c>
      <c r="C269" t="inlineStr">
        <is>
          <t>SUP-05</t>
        </is>
      </c>
      <c r="D269" t="inlineStr">
        <is>
          <t>FLEET</t>
        </is>
      </c>
      <c r="E269" t="inlineStr">
        <is>
          <t>FLEET-06</t>
        </is>
      </c>
      <c r="F269" s="17" t="n">
        <v>45602</v>
      </c>
      <c r="G269" s="17" t="n">
        <v>45616</v>
      </c>
      <c r="H269" s="18" t="n">
        <v>43</v>
      </c>
      <c r="I269" s="19" t="n">
        <v>32.72</v>
      </c>
      <c r="J269" s="19" t="n">
        <v>33</v>
      </c>
      <c r="K269" s="20" t="n">
        <v>0</v>
      </c>
      <c r="L269" s="20" t="n">
        <v>0</v>
      </c>
      <c r="M269" s="18" t="n">
        <v>43</v>
      </c>
      <c r="N269" s="18" t="n">
        <v>0</v>
      </c>
      <c r="O269" s="18" t="n">
        <v>0</v>
      </c>
      <c r="P269" s="17" t="n">
        <v>45618</v>
      </c>
      <c r="Q269" s="17" t="n">
        <v>45618</v>
      </c>
      <c r="R269" s="17" t="n">
        <v>45618</v>
      </c>
      <c r="S269" s="19">
        <f>H269*I269</f>
        <v/>
      </c>
      <c r="T269" s="19">
        <f>H269*J269</f>
        <v/>
      </c>
      <c r="U269">
        <f>IF(AND(K269=0,G269&lt;=Assumptions!$C$6),1,0)</f>
        <v/>
      </c>
      <c r="V269">
        <f>IF(U269=1,IF(M269&gt;0,IF(P269&lt;=G269+Assumptions!$C$7,1,0),0),0)</f>
        <v/>
      </c>
      <c r="W269">
        <f>IF(AND(U269=1,M269&gt;=H269*(1-Assumptions!$C$8)),1,0)</f>
        <v/>
      </c>
      <c r="X269">
        <f>IF(AND(U269=1,N269&gt;=H269*(1-Assumptions!$C$8)),1,0)</f>
        <v/>
      </c>
      <c r="Y269">
        <f>IF(ISNUMBER(Q269),1,0)</f>
        <v/>
      </c>
      <c r="Z269">
        <f>IF(AND(K269=0,L269=0,Y269=0),1,0)</f>
        <v/>
      </c>
      <c r="AA269">
        <f>IF(AND(Z269=1,G269&lt;Assumptions!$C$6),1,0)</f>
        <v/>
      </c>
      <c r="AB269">
        <f>IF(U269=0,"",IF(Y269=1,MAX(0,Q269-G269),IF(L269=1,MAX(0,R269-G269),MAX(0,Assumptions!$C$6-G269))))</f>
        <v/>
      </c>
      <c r="AC269">
        <f>IF(Y269=1,Q269-F269,"")</f>
        <v/>
      </c>
      <c r="AD269">
        <f>IF(Y269=1,AC269^2,"")</f>
        <v/>
      </c>
      <c r="AE269" s="19">
        <f>IF(Z269=1,(H269-M269)*I269,0)</f>
        <v/>
      </c>
      <c r="AF269">
        <f>IF(G269&lt;EDATE(Assumptions!$C$6,-12)+1,"prior_12m","last_12m")</f>
        <v/>
      </c>
      <c r="AG269" s="21">
        <f>DATE(YEAR(G269),MONTH(G269),1)</f>
        <v/>
      </c>
    </row>
    <row r="270">
      <c r="A270" t="inlineStr">
        <is>
          <t>SPO-00146-1</t>
        </is>
      </c>
      <c r="B270" t="inlineStr">
        <is>
          <t>SPO-00146</t>
        </is>
      </c>
      <c r="C270" t="inlineStr">
        <is>
          <t>SUP-01</t>
        </is>
      </c>
      <c r="D270" t="inlineStr">
        <is>
          <t>ELEC</t>
        </is>
      </c>
      <c r="E270" t="inlineStr">
        <is>
          <t>ELEC-01</t>
        </is>
      </c>
      <c r="F270" s="17" t="n">
        <v>45603</v>
      </c>
      <c r="G270" s="17" t="n">
        <v>45621</v>
      </c>
      <c r="H270" s="18" t="n">
        <v>68</v>
      </c>
      <c r="I270" s="19" t="n">
        <v>37.42</v>
      </c>
      <c r="J270" s="19" t="n">
        <v>38</v>
      </c>
      <c r="K270" s="20" t="n">
        <v>1</v>
      </c>
      <c r="L270" s="20" t="n">
        <v>0</v>
      </c>
      <c r="M270" s="18" t="n">
        <v>0</v>
      </c>
      <c r="N270" s="18" t="n">
        <v>0</v>
      </c>
      <c r="O270" s="18" t="n">
        <v>0</v>
      </c>
      <c r="P270" s="17" t="n"/>
      <c r="Q270" s="17" t="n"/>
      <c r="R270" s="17" t="n"/>
      <c r="S270" s="19">
        <f>H270*I270</f>
        <v/>
      </c>
      <c r="T270" s="19">
        <f>H270*J270</f>
        <v/>
      </c>
      <c r="U270">
        <f>IF(AND(K270=0,G270&lt;=Assumptions!$C$6),1,0)</f>
        <v/>
      </c>
      <c r="V270">
        <f>IF(U270=1,IF(M270&gt;0,IF(P270&lt;=G270+Assumptions!$C$7,1,0),0),0)</f>
        <v/>
      </c>
      <c r="W270">
        <f>IF(AND(U270=1,M270&gt;=H270*(1-Assumptions!$C$8)),1,0)</f>
        <v/>
      </c>
      <c r="X270">
        <f>IF(AND(U270=1,N270&gt;=H270*(1-Assumptions!$C$8)),1,0)</f>
        <v/>
      </c>
      <c r="Y270">
        <f>IF(ISNUMBER(Q270),1,0)</f>
        <v/>
      </c>
      <c r="Z270">
        <f>IF(AND(K270=0,L270=0,Y270=0),1,0)</f>
        <v/>
      </c>
      <c r="AA270">
        <f>IF(AND(Z270=1,G270&lt;Assumptions!$C$6),1,0)</f>
        <v/>
      </c>
      <c r="AB270">
        <f>IF(U270=0,"",IF(Y270=1,MAX(0,Q270-G270),IF(L270=1,MAX(0,R270-G270),MAX(0,Assumptions!$C$6-G270))))</f>
        <v/>
      </c>
      <c r="AC270">
        <f>IF(Y270=1,Q270-F270,"")</f>
        <v/>
      </c>
      <c r="AD270">
        <f>IF(Y270=1,AC270^2,"")</f>
        <v/>
      </c>
      <c r="AE270" s="19">
        <f>IF(Z270=1,(H270-M270)*I270,0)</f>
        <v/>
      </c>
      <c r="AF270">
        <f>IF(G270&lt;EDATE(Assumptions!$C$6,-12)+1,"prior_12m","last_12m")</f>
        <v/>
      </c>
      <c r="AG270" s="21">
        <f>DATE(YEAR(G270),MONTH(G270),1)</f>
        <v/>
      </c>
    </row>
    <row r="271">
      <c r="A271" t="inlineStr">
        <is>
          <t>SPO-00146-2</t>
        </is>
      </c>
      <c r="B271" t="inlineStr">
        <is>
          <t>SPO-00146</t>
        </is>
      </c>
      <c r="C271" t="inlineStr">
        <is>
          <t>SUP-01</t>
        </is>
      </c>
      <c r="D271" t="inlineStr">
        <is>
          <t>ELEC</t>
        </is>
      </c>
      <c r="E271" t="inlineStr">
        <is>
          <t>ELEC-08</t>
        </is>
      </c>
      <c r="F271" s="17" t="n">
        <v>45603</v>
      </c>
      <c r="G271" s="17" t="n">
        <v>45621</v>
      </c>
      <c r="H271" s="18" t="n">
        <v>110</v>
      </c>
      <c r="I271" s="19" t="n">
        <v>17.2</v>
      </c>
      <c r="J271" s="19" t="n">
        <v>18</v>
      </c>
      <c r="K271" s="20" t="n">
        <v>0</v>
      </c>
      <c r="L271" s="20" t="n">
        <v>0</v>
      </c>
      <c r="M271" s="18" t="n">
        <v>110</v>
      </c>
      <c r="N271" s="18" t="n">
        <v>110</v>
      </c>
      <c r="O271" s="18" t="n">
        <v>0</v>
      </c>
      <c r="P271" s="17" t="n">
        <v>45618</v>
      </c>
      <c r="Q271" s="17" t="n">
        <v>45618</v>
      </c>
      <c r="R271" s="17" t="n">
        <v>45618</v>
      </c>
      <c r="S271" s="19">
        <f>H271*I271</f>
        <v/>
      </c>
      <c r="T271" s="19">
        <f>H271*J271</f>
        <v/>
      </c>
      <c r="U271">
        <f>IF(AND(K271=0,G271&lt;=Assumptions!$C$6),1,0)</f>
        <v/>
      </c>
      <c r="V271">
        <f>IF(U271=1,IF(M271&gt;0,IF(P271&lt;=G271+Assumptions!$C$7,1,0),0),0)</f>
        <v/>
      </c>
      <c r="W271">
        <f>IF(AND(U271=1,M271&gt;=H271*(1-Assumptions!$C$8)),1,0)</f>
        <v/>
      </c>
      <c r="X271">
        <f>IF(AND(U271=1,N271&gt;=H271*(1-Assumptions!$C$8)),1,0)</f>
        <v/>
      </c>
      <c r="Y271">
        <f>IF(ISNUMBER(Q271),1,0)</f>
        <v/>
      </c>
      <c r="Z271">
        <f>IF(AND(K271=0,L271=0,Y271=0),1,0)</f>
        <v/>
      </c>
      <c r="AA271">
        <f>IF(AND(Z271=1,G271&lt;Assumptions!$C$6),1,0)</f>
        <v/>
      </c>
      <c r="AB271">
        <f>IF(U271=0,"",IF(Y271=1,MAX(0,Q271-G271),IF(L271=1,MAX(0,R271-G271),MAX(0,Assumptions!$C$6-G271))))</f>
        <v/>
      </c>
      <c r="AC271">
        <f>IF(Y271=1,Q271-F271,"")</f>
        <v/>
      </c>
      <c r="AD271">
        <f>IF(Y271=1,AC271^2,"")</f>
        <v/>
      </c>
      <c r="AE271" s="19">
        <f>IF(Z271=1,(H271-M271)*I271,0)</f>
        <v/>
      </c>
      <c r="AF271">
        <f>IF(G271&lt;EDATE(Assumptions!$C$6,-12)+1,"prior_12m","last_12m")</f>
        <v/>
      </c>
      <c r="AG271" s="21">
        <f>DATE(YEAR(G271),MONTH(G271),1)</f>
        <v/>
      </c>
    </row>
    <row r="272">
      <c r="A272" t="inlineStr">
        <is>
          <t>SPO-00147-1</t>
        </is>
      </c>
      <c r="B272" t="inlineStr">
        <is>
          <t>SPO-00147</t>
        </is>
      </c>
      <c r="C272" t="inlineStr">
        <is>
          <t>SUP-01</t>
        </is>
      </c>
      <c r="D272" t="inlineStr">
        <is>
          <t>ELEC</t>
        </is>
      </c>
      <c r="E272" t="inlineStr">
        <is>
          <t>ELEC-08</t>
        </is>
      </c>
      <c r="F272" s="17" t="n">
        <v>45603</v>
      </c>
      <c r="G272" s="17" t="n">
        <v>45621</v>
      </c>
      <c r="H272" s="18" t="n">
        <v>141</v>
      </c>
      <c r="I272" s="19" t="n">
        <v>18.53</v>
      </c>
      <c r="J272" s="19" t="n">
        <v>18</v>
      </c>
      <c r="K272" s="20" t="n">
        <v>0</v>
      </c>
      <c r="L272" s="20" t="n">
        <v>0</v>
      </c>
      <c r="M272" s="18" t="n">
        <v>141</v>
      </c>
      <c r="N272" s="18" t="n">
        <v>141</v>
      </c>
      <c r="O272" s="18" t="n">
        <v>0</v>
      </c>
      <c r="P272" s="17" t="n">
        <v>45620</v>
      </c>
      <c r="Q272" s="17" t="n">
        <v>45620</v>
      </c>
      <c r="R272" s="17" t="n">
        <v>45620</v>
      </c>
      <c r="S272" s="19">
        <f>H272*I272</f>
        <v/>
      </c>
      <c r="T272" s="19">
        <f>H272*J272</f>
        <v/>
      </c>
      <c r="U272">
        <f>IF(AND(K272=0,G272&lt;=Assumptions!$C$6),1,0)</f>
        <v/>
      </c>
      <c r="V272">
        <f>IF(U272=1,IF(M272&gt;0,IF(P272&lt;=G272+Assumptions!$C$7,1,0),0),0)</f>
        <v/>
      </c>
      <c r="W272">
        <f>IF(AND(U272=1,M272&gt;=H272*(1-Assumptions!$C$8)),1,0)</f>
        <v/>
      </c>
      <c r="X272">
        <f>IF(AND(U272=1,N272&gt;=H272*(1-Assumptions!$C$8)),1,0)</f>
        <v/>
      </c>
      <c r="Y272">
        <f>IF(ISNUMBER(Q272),1,0)</f>
        <v/>
      </c>
      <c r="Z272">
        <f>IF(AND(K272=0,L272=0,Y272=0),1,0)</f>
        <v/>
      </c>
      <c r="AA272">
        <f>IF(AND(Z272=1,G272&lt;Assumptions!$C$6),1,0)</f>
        <v/>
      </c>
      <c r="AB272">
        <f>IF(U272=0,"",IF(Y272=1,MAX(0,Q272-G272),IF(L272=1,MAX(0,R272-G272),MAX(0,Assumptions!$C$6-G272))))</f>
        <v/>
      </c>
      <c r="AC272">
        <f>IF(Y272=1,Q272-F272,"")</f>
        <v/>
      </c>
      <c r="AD272">
        <f>IF(Y272=1,AC272^2,"")</f>
        <v/>
      </c>
      <c r="AE272" s="19">
        <f>IF(Z272=1,(H272-M272)*I272,0)</f>
        <v/>
      </c>
      <c r="AF272">
        <f>IF(G272&lt;EDATE(Assumptions!$C$6,-12)+1,"prior_12m","last_12m")</f>
        <v/>
      </c>
      <c r="AG272" s="21">
        <f>DATE(YEAR(G272),MONTH(G272),1)</f>
        <v/>
      </c>
    </row>
    <row r="273">
      <c r="A273" t="inlineStr">
        <is>
          <t>SPO-00148-1</t>
        </is>
      </c>
      <c r="B273" t="inlineStr">
        <is>
          <t>SPO-00148</t>
        </is>
      </c>
      <c r="C273" t="inlineStr">
        <is>
          <t>SUP-06</t>
        </is>
      </c>
      <c r="D273" t="inlineStr">
        <is>
          <t>MRO</t>
        </is>
      </c>
      <c r="E273" t="inlineStr">
        <is>
          <t>MRO-03</t>
        </is>
      </c>
      <c r="F273" s="17" t="n">
        <v>45603</v>
      </c>
      <c r="G273" s="17" t="n">
        <v>45611</v>
      </c>
      <c r="H273" s="18" t="n">
        <v>120</v>
      </c>
      <c r="I273" s="19" t="n">
        <v>9.199999999999999</v>
      </c>
      <c r="J273" s="19" t="n">
        <v>8.9</v>
      </c>
      <c r="K273" s="20" t="n">
        <v>0</v>
      </c>
      <c r="L273" s="20" t="n">
        <v>0</v>
      </c>
      <c r="M273" s="18" t="n">
        <v>120</v>
      </c>
      <c r="N273" s="18" t="n">
        <v>120</v>
      </c>
      <c r="O273" s="18" t="n">
        <v>0</v>
      </c>
      <c r="P273" s="17" t="n">
        <v>45609</v>
      </c>
      <c r="Q273" s="17" t="n">
        <v>45609</v>
      </c>
      <c r="R273" s="17" t="n">
        <v>45609</v>
      </c>
      <c r="S273" s="19">
        <f>H273*I273</f>
        <v/>
      </c>
      <c r="T273" s="19">
        <f>H273*J273</f>
        <v/>
      </c>
      <c r="U273">
        <f>IF(AND(K273=0,G273&lt;=Assumptions!$C$6),1,0)</f>
        <v/>
      </c>
      <c r="V273">
        <f>IF(U273=1,IF(M273&gt;0,IF(P273&lt;=G273+Assumptions!$C$7,1,0),0),0)</f>
        <v/>
      </c>
      <c r="W273">
        <f>IF(AND(U273=1,M273&gt;=H273*(1-Assumptions!$C$8)),1,0)</f>
        <v/>
      </c>
      <c r="X273">
        <f>IF(AND(U273=1,N273&gt;=H273*(1-Assumptions!$C$8)),1,0)</f>
        <v/>
      </c>
      <c r="Y273">
        <f>IF(ISNUMBER(Q273),1,0)</f>
        <v/>
      </c>
      <c r="Z273">
        <f>IF(AND(K273=0,L273=0,Y273=0),1,0)</f>
        <v/>
      </c>
      <c r="AA273">
        <f>IF(AND(Z273=1,G273&lt;Assumptions!$C$6),1,0)</f>
        <v/>
      </c>
      <c r="AB273">
        <f>IF(U273=0,"",IF(Y273=1,MAX(0,Q273-G273),IF(L273=1,MAX(0,R273-G273),MAX(0,Assumptions!$C$6-G273))))</f>
        <v/>
      </c>
      <c r="AC273">
        <f>IF(Y273=1,Q273-F273,"")</f>
        <v/>
      </c>
      <c r="AD273">
        <f>IF(Y273=1,AC273^2,"")</f>
        <v/>
      </c>
      <c r="AE273" s="19">
        <f>IF(Z273=1,(H273-M273)*I273,0)</f>
        <v/>
      </c>
      <c r="AF273">
        <f>IF(G273&lt;EDATE(Assumptions!$C$6,-12)+1,"prior_12m","last_12m")</f>
        <v/>
      </c>
      <c r="AG273" s="21">
        <f>DATE(YEAR(G273),MONTH(G273),1)</f>
        <v/>
      </c>
    </row>
    <row r="274">
      <c r="A274" t="inlineStr">
        <is>
          <t>SPO-00148-2</t>
        </is>
      </c>
      <c r="B274" t="inlineStr">
        <is>
          <t>SPO-00148</t>
        </is>
      </c>
      <c r="C274" t="inlineStr">
        <is>
          <t>SUP-06</t>
        </is>
      </c>
      <c r="D274" t="inlineStr">
        <is>
          <t>MRO</t>
        </is>
      </c>
      <c r="E274" t="inlineStr">
        <is>
          <t>MRO-04</t>
        </is>
      </c>
      <c r="F274" s="17" t="n">
        <v>45603</v>
      </c>
      <c r="G274" s="17" t="n">
        <v>45611</v>
      </c>
      <c r="H274" s="18" t="n">
        <v>25</v>
      </c>
      <c r="I274" s="19" t="n">
        <v>59.67</v>
      </c>
      <c r="J274" s="19" t="n">
        <v>58</v>
      </c>
      <c r="K274" s="20" t="n">
        <v>0</v>
      </c>
      <c r="L274" s="20" t="n">
        <v>0</v>
      </c>
      <c r="M274" s="18" t="n">
        <v>25</v>
      </c>
      <c r="N274" s="18" t="n">
        <v>0</v>
      </c>
      <c r="O274" s="18" t="n">
        <v>0</v>
      </c>
      <c r="P274" s="17" t="n">
        <v>45612</v>
      </c>
      <c r="Q274" s="17" t="n">
        <v>45612</v>
      </c>
      <c r="R274" s="17" t="n">
        <v>45612</v>
      </c>
      <c r="S274" s="19">
        <f>H274*I274</f>
        <v/>
      </c>
      <c r="T274" s="19">
        <f>H274*J274</f>
        <v/>
      </c>
      <c r="U274">
        <f>IF(AND(K274=0,G274&lt;=Assumptions!$C$6),1,0)</f>
        <v/>
      </c>
      <c r="V274">
        <f>IF(U274=1,IF(M274&gt;0,IF(P274&lt;=G274+Assumptions!$C$7,1,0),0),0)</f>
        <v/>
      </c>
      <c r="W274">
        <f>IF(AND(U274=1,M274&gt;=H274*(1-Assumptions!$C$8)),1,0)</f>
        <v/>
      </c>
      <c r="X274">
        <f>IF(AND(U274=1,N274&gt;=H274*(1-Assumptions!$C$8)),1,0)</f>
        <v/>
      </c>
      <c r="Y274">
        <f>IF(ISNUMBER(Q274),1,0)</f>
        <v/>
      </c>
      <c r="Z274">
        <f>IF(AND(K274=0,L274=0,Y274=0),1,0)</f>
        <v/>
      </c>
      <c r="AA274">
        <f>IF(AND(Z274=1,G274&lt;Assumptions!$C$6),1,0)</f>
        <v/>
      </c>
      <c r="AB274">
        <f>IF(U274=0,"",IF(Y274=1,MAX(0,Q274-G274),IF(L274=1,MAX(0,R274-G274),MAX(0,Assumptions!$C$6-G274))))</f>
        <v/>
      </c>
      <c r="AC274">
        <f>IF(Y274=1,Q274-F274,"")</f>
        <v/>
      </c>
      <c r="AD274">
        <f>IF(Y274=1,AC274^2,"")</f>
        <v/>
      </c>
      <c r="AE274" s="19">
        <f>IF(Z274=1,(H274-M274)*I274,0)</f>
        <v/>
      </c>
      <c r="AF274">
        <f>IF(G274&lt;EDATE(Assumptions!$C$6,-12)+1,"prior_12m","last_12m")</f>
        <v/>
      </c>
      <c r="AG274" s="21">
        <f>DATE(YEAR(G274),MONTH(G274),1)</f>
        <v/>
      </c>
    </row>
    <row r="275">
      <c r="A275" t="inlineStr">
        <is>
          <t>SPO-00149-1</t>
        </is>
      </c>
      <c r="B275" t="inlineStr">
        <is>
          <t>SPO-00149</t>
        </is>
      </c>
      <c r="C275" t="inlineStr">
        <is>
          <t>SUP-08</t>
        </is>
      </c>
      <c r="D275" t="inlineStr">
        <is>
          <t>PPE</t>
        </is>
      </c>
      <c r="E275" t="inlineStr">
        <is>
          <t>PPE-01</t>
        </is>
      </c>
      <c r="F275" s="17" t="n">
        <v>45603</v>
      </c>
      <c r="G275" s="17" t="n">
        <v>45614</v>
      </c>
      <c r="H275" s="18" t="n">
        <v>340</v>
      </c>
      <c r="I275" s="19" t="n">
        <v>4.68</v>
      </c>
      <c r="J275" s="19" t="n">
        <v>4.8</v>
      </c>
      <c r="K275" s="20" t="n">
        <v>0</v>
      </c>
      <c r="L275" s="20" t="n">
        <v>0</v>
      </c>
      <c r="M275" s="18" t="n">
        <v>340</v>
      </c>
      <c r="N275" s="18" t="n">
        <v>340</v>
      </c>
      <c r="O275" s="18" t="n">
        <v>0</v>
      </c>
      <c r="P275" s="17" t="n">
        <v>45609</v>
      </c>
      <c r="Q275" s="17" t="n">
        <v>45609</v>
      </c>
      <c r="R275" s="17" t="n">
        <v>45609</v>
      </c>
      <c r="S275" s="19">
        <f>H275*I275</f>
        <v/>
      </c>
      <c r="T275" s="19">
        <f>H275*J275</f>
        <v/>
      </c>
      <c r="U275">
        <f>IF(AND(K275=0,G275&lt;=Assumptions!$C$6),1,0)</f>
        <v/>
      </c>
      <c r="V275">
        <f>IF(U275=1,IF(M275&gt;0,IF(P275&lt;=G275+Assumptions!$C$7,1,0),0),0)</f>
        <v/>
      </c>
      <c r="W275">
        <f>IF(AND(U275=1,M275&gt;=H275*(1-Assumptions!$C$8)),1,0)</f>
        <v/>
      </c>
      <c r="X275">
        <f>IF(AND(U275=1,N275&gt;=H275*(1-Assumptions!$C$8)),1,0)</f>
        <v/>
      </c>
      <c r="Y275">
        <f>IF(ISNUMBER(Q275),1,0)</f>
        <v/>
      </c>
      <c r="Z275">
        <f>IF(AND(K275=0,L275=0,Y275=0),1,0)</f>
        <v/>
      </c>
      <c r="AA275">
        <f>IF(AND(Z275=1,G275&lt;Assumptions!$C$6),1,0)</f>
        <v/>
      </c>
      <c r="AB275">
        <f>IF(U275=0,"",IF(Y275=1,MAX(0,Q275-G275),IF(L275=1,MAX(0,R275-G275),MAX(0,Assumptions!$C$6-G275))))</f>
        <v/>
      </c>
      <c r="AC275">
        <f>IF(Y275=1,Q275-F275,"")</f>
        <v/>
      </c>
      <c r="AD275">
        <f>IF(Y275=1,AC275^2,"")</f>
        <v/>
      </c>
      <c r="AE275" s="19">
        <f>IF(Z275=1,(H275-M275)*I275,0)</f>
        <v/>
      </c>
      <c r="AF275">
        <f>IF(G275&lt;EDATE(Assumptions!$C$6,-12)+1,"prior_12m","last_12m")</f>
        <v/>
      </c>
      <c r="AG275" s="21">
        <f>DATE(YEAR(G275),MONTH(G275),1)</f>
        <v/>
      </c>
    </row>
    <row r="276">
      <c r="A276" t="inlineStr">
        <is>
          <t>SPO-00149-2</t>
        </is>
      </c>
      <c r="B276" t="inlineStr">
        <is>
          <t>SPO-00149</t>
        </is>
      </c>
      <c r="C276" t="inlineStr">
        <is>
          <t>SUP-08</t>
        </is>
      </c>
      <c r="D276" t="inlineStr">
        <is>
          <t>PPE</t>
        </is>
      </c>
      <c r="E276" t="inlineStr">
        <is>
          <t>PPE-02</t>
        </is>
      </c>
      <c r="F276" s="17" t="n">
        <v>45603</v>
      </c>
      <c r="G276" s="17" t="n">
        <v>45614</v>
      </c>
      <c r="H276" s="18" t="n">
        <v>230</v>
      </c>
      <c r="I276" s="19" t="n">
        <v>12.22</v>
      </c>
      <c r="J276" s="19" t="n">
        <v>12.5</v>
      </c>
      <c r="K276" s="20" t="n">
        <v>0</v>
      </c>
      <c r="L276" s="20" t="n">
        <v>0</v>
      </c>
      <c r="M276" s="18" t="n">
        <v>230</v>
      </c>
      <c r="N276" s="18" t="n">
        <v>230</v>
      </c>
      <c r="O276" s="18" t="n">
        <v>0</v>
      </c>
      <c r="P276" s="17" t="n">
        <v>45609</v>
      </c>
      <c r="Q276" s="17" t="n">
        <v>45609</v>
      </c>
      <c r="R276" s="17" t="n">
        <v>45609</v>
      </c>
      <c r="S276" s="19">
        <f>H276*I276</f>
        <v/>
      </c>
      <c r="T276" s="19">
        <f>H276*J276</f>
        <v/>
      </c>
      <c r="U276">
        <f>IF(AND(K276=0,G276&lt;=Assumptions!$C$6),1,0)</f>
        <v/>
      </c>
      <c r="V276">
        <f>IF(U276=1,IF(M276&gt;0,IF(P276&lt;=G276+Assumptions!$C$7,1,0),0),0)</f>
        <v/>
      </c>
      <c r="W276">
        <f>IF(AND(U276=1,M276&gt;=H276*(1-Assumptions!$C$8)),1,0)</f>
        <v/>
      </c>
      <c r="X276">
        <f>IF(AND(U276=1,N276&gt;=H276*(1-Assumptions!$C$8)),1,0)</f>
        <v/>
      </c>
      <c r="Y276">
        <f>IF(ISNUMBER(Q276),1,0)</f>
        <v/>
      </c>
      <c r="Z276">
        <f>IF(AND(K276=0,L276=0,Y276=0),1,0)</f>
        <v/>
      </c>
      <c r="AA276">
        <f>IF(AND(Z276=1,G276&lt;Assumptions!$C$6),1,0)</f>
        <v/>
      </c>
      <c r="AB276">
        <f>IF(U276=0,"",IF(Y276=1,MAX(0,Q276-G276),IF(L276=1,MAX(0,R276-G276),MAX(0,Assumptions!$C$6-G276))))</f>
        <v/>
      </c>
      <c r="AC276">
        <f>IF(Y276=1,Q276-F276,"")</f>
        <v/>
      </c>
      <c r="AD276">
        <f>IF(Y276=1,AC276^2,"")</f>
        <v/>
      </c>
      <c r="AE276" s="19">
        <f>IF(Z276=1,(H276-M276)*I276,0)</f>
        <v/>
      </c>
      <c r="AF276">
        <f>IF(G276&lt;EDATE(Assumptions!$C$6,-12)+1,"prior_12m","last_12m")</f>
        <v/>
      </c>
      <c r="AG276" s="21">
        <f>DATE(YEAR(G276),MONTH(G276),1)</f>
        <v/>
      </c>
    </row>
    <row r="277">
      <c r="A277" t="inlineStr">
        <is>
          <t>SPO-00149-3</t>
        </is>
      </c>
      <c r="B277" t="inlineStr">
        <is>
          <t>SPO-00149</t>
        </is>
      </c>
      <c r="C277" t="inlineStr">
        <is>
          <t>SUP-08</t>
        </is>
      </c>
      <c r="D277" t="inlineStr">
        <is>
          <t>PPE</t>
        </is>
      </c>
      <c r="E277" t="inlineStr">
        <is>
          <t>PPE-03</t>
        </is>
      </c>
      <c r="F277" s="17" t="n">
        <v>45603</v>
      </c>
      <c r="G277" s="17" t="n">
        <v>45614</v>
      </c>
      <c r="H277" s="18" t="n">
        <v>84</v>
      </c>
      <c r="I277" s="19" t="n">
        <v>20.39</v>
      </c>
      <c r="J277" s="19" t="n">
        <v>21</v>
      </c>
      <c r="K277" s="20" t="n">
        <v>0</v>
      </c>
      <c r="L277" s="20" t="n">
        <v>0</v>
      </c>
      <c r="M277" s="18" t="n">
        <v>84</v>
      </c>
      <c r="N277" s="18" t="n">
        <v>84</v>
      </c>
      <c r="O277" s="18" t="n">
        <v>0</v>
      </c>
      <c r="P277" s="17" t="n">
        <v>45613</v>
      </c>
      <c r="Q277" s="17" t="n">
        <v>45613</v>
      </c>
      <c r="R277" s="17" t="n">
        <v>45613</v>
      </c>
      <c r="S277" s="19">
        <f>H277*I277</f>
        <v/>
      </c>
      <c r="T277" s="19">
        <f>H277*J277</f>
        <v/>
      </c>
      <c r="U277">
        <f>IF(AND(K277=0,G277&lt;=Assumptions!$C$6),1,0)</f>
        <v/>
      </c>
      <c r="V277">
        <f>IF(U277=1,IF(M277&gt;0,IF(P277&lt;=G277+Assumptions!$C$7,1,0),0),0)</f>
        <v/>
      </c>
      <c r="W277">
        <f>IF(AND(U277=1,M277&gt;=H277*(1-Assumptions!$C$8)),1,0)</f>
        <v/>
      </c>
      <c r="X277">
        <f>IF(AND(U277=1,N277&gt;=H277*(1-Assumptions!$C$8)),1,0)</f>
        <v/>
      </c>
      <c r="Y277">
        <f>IF(ISNUMBER(Q277),1,0)</f>
        <v/>
      </c>
      <c r="Z277">
        <f>IF(AND(K277=0,L277=0,Y277=0),1,0)</f>
        <v/>
      </c>
      <c r="AA277">
        <f>IF(AND(Z277=1,G277&lt;Assumptions!$C$6),1,0)</f>
        <v/>
      </c>
      <c r="AB277">
        <f>IF(U277=0,"",IF(Y277=1,MAX(0,Q277-G277),IF(L277=1,MAX(0,R277-G277),MAX(0,Assumptions!$C$6-G277))))</f>
        <v/>
      </c>
      <c r="AC277">
        <f>IF(Y277=1,Q277-F277,"")</f>
        <v/>
      </c>
      <c r="AD277">
        <f>IF(Y277=1,AC277^2,"")</f>
        <v/>
      </c>
      <c r="AE277" s="19">
        <f>IF(Z277=1,(H277-M277)*I277,0)</f>
        <v/>
      </c>
      <c r="AF277">
        <f>IF(G277&lt;EDATE(Assumptions!$C$6,-12)+1,"prior_12m","last_12m")</f>
        <v/>
      </c>
      <c r="AG277" s="21">
        <f>DATE(YEAR(G277),MONTH(G277),1)</f>
        <v/>
      </c>
    </row>
    <row r="278">
      <c r="A278" t="inlineStr">
        <is>
          <t>SPO-00150-1</t>
        </is>
      </c>
      <c r="B278" t="inlineStr">
        <is>
          <t>SPO-00150</t>
        </is>
      </c>
      <c r="C278" t="inlineStr">
        <is>
          <t>SUP-04</t>
        </is>
      </c>
      <c r="D278" t="inlineStr">
        <is>
          <t>FLEET</t>
        </is>
      </c>
      <c r="E278" t="inlineStr">
        <is>
          <t>FLEET-07</t>
        </is>
      </c>
      <c r="F278" s="17" t="n">
        <v>45603</v>
      </c>
      <c r="G278" s="17" t="n">
        <v>45616</v>
      </c>
      <c r="H278" s="18" t="n">
        <v>13</v>
      </c>
      <c r="I278" s="19" t="n">
        <v>113.63</v>
      </c>
      <c r="J278" s="19" t="n">
        <v>118</v>
      </c>
      <c r="K278" s="20" t="n">
        <v>0</v>
      </c>
      <c r="L278" s="20" t="n">
        <v>0</v>
      </c>
      <c r="M278" s="18" t="n">
        <v>13</v>
      </c>
      <c r="N278" s="18" t="n">
        <v>13</v>
      </c>
      <c r="O278" s="18" t="n">
        <v>0</v>
      </c>
      <c r="P278" s="17" t="n">
        <v>45604</v>
      </c>
      <c r="Q278" s="17" t="n">
        <v>45604</v>
      </c>
      <c r="R278" s="17" t="n">
        <v>45604</v>
      </c>
      <c r="S278" s="19">
        <f>H278*I278</f>
        <v/>
      </c>
      <c r="T278" s="19">
        <f>H278*J278</f>
        <v/>
      </c>
      <c r="U278">
        <f>IF(AND(K278=0,G278&lt;=Assumptions!$C$6),1,0)</f>
        <v/>
      </c>
      <c r="V278">
        <f>IF(U278=1,IF(M278&gt;0,IF(P278&lt;=G278+Assumptions!$C$7,1,0),0),0)</f>
        <v/>
      </c>
      <c r="W278">
        <f>IF(AND(U278=1,M278&gt;=H278*(1-Assumptions!$C$8)),1,0)</f>
        <v/>
      </c>
      <c r="X278">
        <f>IF(AND(U278=1,N278&gt;=H278*(1-Assumptions!$C$8)),1,0)</f>
        <v/>
      </c>
      <c r="Y278">
        <f>IF(ISNUMBER(Q278),1,0)</f>
        <v/>
      </c>
      <c r="Z278">
        <f>IF(AND(K278=0,L278=0,Y278=0),1,0)</f>
        <v/>
      </c>
      <c r="AA278">
        <f>IF(AND(Z278=1,G278&lt;Assumptions!$C$6),1,0)</f>
        <v/>
      </c>
      <c r="AB278">
        <f>IF(U278=0,"",IF(Y278=1,MAX(0,Q278-G278),IF(L278=1,MAX(0,R278-G278),MAX(0,Assumptions!$C$6-G278))))</f>
        <v/>
      </c>
      <c r="AC278">
        <f>IF(Y278=1,Q278-F278,"")</f>
        <v/>
      </c>
      <c r="AD278">
        <f>IF(Y278=1,AC278^2,"")</f>
        <v/>
      </c>
      <c r="AE278" s="19">
        <f>IF(Z278=1,(H278-M278)*I278,0)</f>
        <v/>
      </c>
      <c r="AF278">
        <f>IF(G278&lt;EDATE(Assumptions!$C$6,-12)+1,"prior_12m","last_12m")</f>
        <v/>
      </c>
      <c r="AG278" s="21">
        <f>DATE(YEAR(G278),MONTH(G278),1)</f>
        <v/>
      </c>
    </row>
    <row r="279">
      <c r="A279" t="inlineStr">
        <is>
          <t>SPO-00151-1</t>
        </is>
      </c>
      <c r="B279" t="inlineStr">
        <is>
          <t>SPO-00151</t>
        </is>
      </c>
      <c r="C279" t="inlineStr">
        <is>
          <t>SUP-06</t>
        </is>
      </c>
      <c r="D279" t="inlineStr">
        <is>
          <t>MRO</t>
        </is>
      </c>
      <c r="E279" t="inlineStr">
        <is>
          <t>MRO-03</t>
        </is>
      </c>
      <c r="F279" s="17" t="n">
        <v>45604</v>
      </c>
      <c r="G279" s="17" t="n">
        <v>45612</v>
      </c>
      <c r="H279" s="18" t="n">
        <v>162</v>
      </c>
      <c r="I279" s="19" t="n">
        <v>8.789999999999999</v>
      </c>
      <c r="J279" s="19" t="n">
        <v>8.9</v>
      </c>
      <c r="K279" s="20" t="n">
        <v>0</v>
      </c>
      <c r="L279" s="20" t="n">
        <v>0</v>
      </c>
      <c r="M279" s="18" t="n">
        <v>162</v>
      </c>
      <c r="N279" s="18" t="n">
        <v>162</v>
      </c>
      <c r="O279" s="18" t="n">
        <v>0</v>
      </c>
      <c r="P279" s="17" t="n">
        <v>45609</v>
      </c>
      <c r="Q279" s="17" t="n">
        <v>45609</v>
      </c>
      <c r="R279" s="17" t="n">
        <v>45609</v>
      </c>
      <c r="S279" s="19">
        <f>H279*I279</f>
        <v/>
      </c>
      <c r="T279" s="19">
        <f>H279*J279</f>
        <v/>
      </c>
      <c r="U279">
        <f>IF(AND(K279=0,G279&lt;=Assumptions!$C$6),1,0)</f>
        <v/>
      </c>
      <c r="V279">
        <f>IF(U279=1,IF(M279&gt;0,IF(P279&lt;=G279+Assumptions!$C$7,1,0),0),0)</f>
        <v/>
      </c>
      <c r="W279">
        <f>IF(AND(U279=1,M279&gt;=H279*(1-Assumptions!$C$8)),1,0)</f>
        <v/>
      </c>
      <c r="X279">
        <f>IF(AND(U279=1,N279&gt;=H279*(1-Assumptions!$C$8)),1,0)</f>
        <v/>
      </c>
      <c r="Y279">
        <f>IF(ISNUMBER(Q279),1,0)</f>
        <v/>
      </c>
      <c r="Z279">
        <f>IF(AND(K279=0,L279=0,Y279=0),1,0)</f>
        <v/>
      </c>
      <c r="AA279">
        <f>IF(AND(Z279=1,G279&lt;Assumptions!$C$6),1,0)</f>
        <v/>
      </c>
      <c r="AB279">
        <f>IF(U279=0,"",IF(Y279=1,MAX(0,Q279-G279),IF(L279=1,MAX(0,R279-G279),MAX(0,Assumptions!$C$6-G279))))</f>
        <v/>
      </c>
      <c r="AC279">
        <f>IF(Y279=1,Q279-F279,"")</f>
        <v/>
      </c>
      <c r="AD279">
        <f>IF(Y279=1,AC279^2,"")</f>
        <v/>
      </c>
      <c r="AE279" s="19">
        <f>IF(Z279=1,(H279-M279)*I279,0)</f>
        <v/>
      </c>
      <c r="AF279">
        <f>IF(G279&lt;EDATE(Assumptions!$C$6,-12)+1,"prior_12m","last_12m")</f>
        <v/>
      </c>
      <c r="AG279" s="21">
        <f>DATE(YEAR(G279),MONTH(G279),1)</f>
        <v/>
      </c>
    </row>
    <row r="280">
      <c r="A280" t="inlineStr">
        <is>
          <t>SPO-00151-2</t>
        </is>
      </c>
      <c r="B280" t="inlineStr">
        <is>
          <t>SPO-00151</t>
        </is>
      </c>
      <c r="C280" t="inlineStr">
        <is>
          <t>SUP-06</t>
        </is>
      </c>
      <c r="D280" t="inlineStr">
        <is>
          <t>MRO</t>
        </is>
      </c>
      <c r="E280" t="inlineStr">
        <is>
          <t>MRO-02</t>
        </is>
      </c>
      <c r="F280" s="17" t="n">
        <v>45604</v>
      </c>
      <c r="G280" s="17" t="n">
        <v>45612</v>
      </c>
      <c r="H280" s="18" t="n">
        <v>27</v>
      </c>
      <c r="I280" s="19" t="n">
        <v>40.1</v>
      </c>
      <c r="J280" s="19" t="n">
        <v>41</v>
      </c>
      <c r="K280" s="20" t="n">
        <v>0</v>
      </c>
      <c r="L280" s="20" t="n">
        <v>0</v>
      </c>
      <c r="M280" s="18" t="n">
        <v>27</v>
      </c>
      <c r="N280" s="18" t="n">
        <v>27</v>
      </c>
      <c r="O280" s="18" t="n">
        <v>0</v>
      </c>
      <c r="P280" s="17" t="n">
        <v>45610</v>
      </c>
      <c r="Q280" s="17" t="n">
        <v>45610</v>
      </c>
      <c r="R280" s="17" t="n">
        <v>45610</v>
      </c>
      <c r="S280" s="19">
        <f>H280*I280</f>
        <v/>
      </c>
      <c r="T280" s="19">
        <f>H280*J280</f>
        <v/>
      </c>
      <c r="U280">
        <f>IF(AND(K280=0,G280&lt;=Assumptions!$C$6),1,0)</f>
        <v/>
      </c>
      <c r="V280">
        <f>IF(U280=1,IF(M280&gt;0,IF(P280&lt;=G280+Assumptions!$C$7,1,0),0),0)</f>
        <v/>
      </c>
      <c r="W280">
        <f>IF(AND(U280=1,M280&gt;=H280*(1-Assumptions!$C$8)),1,0)</f>
        <v/>
      </c>
      <c r="X280">
        <f>IF(AND(U280=1,N280&gt;=H280*(1-Assumptions!$C$8)),1,0)</f>
        <v/>
      </c>
      <c r="Y280">
        <f>IF(ISNUMBER(Q280),1,0)</f>
        <v/>
      </c>
      <c r="Z280">
        <f>IF(AND(K280=0,L280=0,Y280=0),1,0)</f>
        <v/>
      </c>
      <c r="AA280">
        <f>IF(AND(Z280=1,G280&lt;Assumptions!$C$6),1,0)</f>
        <v/>
      </c>
      <c r="AB280">
        <f>IF(U280=0,"",IF(Y280=1,MAX(0,Q280-G280),IF(L280=1,MAX(0,R280-G280),MAX(0,Assumptions!$C$6-G280))))</f>
        <v/>
      </c>
      <c r="AC280">
        <f>IF(Y280=1,Q280-F280,"")</f>
        <v/>
      </c>
      <c r="AD280">
        <f>IF(Y280=1,AC280^2,"")</f>
        <v/>
      </c>
      <c r="AE280" s="19">
        <f>IF(Z280=1,(H280-M280)*I280,0)</f>
        <v/>
      </c>
      <c r="AF280">
        <f>IF(G280&lt;EDATE(Assumptions!$C$6,-12)+1,"prior_12m","last_12m")</f>
        <v/>
      </c>
      <c r="AG280" s="21">
        <f>DATE(YEAR(G280),MONTH(G280),1)</f>
        <v/>
      </c>
    </row>
    <row r="281">
      <c r="A281" t="inlineStr">
        <is>
          <t>SPO-00152-1</t>
        </is>
      </c>
      <c r="B281" t="inlineStr">
        <is>
          <t>SPO-00152</t>
        </is>
      </c>
      <c r="C281" t="inlineStr">
        <is>
          <t>SUP-04</t>
        </is>
      </c>
      <c r="D281" t="inlineStr">
        <is>
          <t>FLEET</t>
        </is>
      </c>
      <c r="E281" t="inlineStr">
        <is>
          <t>FLEET-07</t>
        </is>
      </c>
      <c r="F281" s="17" t="n">
        <v>45605</v>
      </c>
      <c r="G281" s="17" t="n">
        <v>45618</v>
      </c>
      <c r="H281" s="18" t="n">
        <v>12</v>
      </c>
      <c r="I281" s="19" t="n">
        <v>112.71</v>
      </c>
      <c r="J281" s="19" t="n">
        <v>118</v>
      </c>
      <c r="K281" s="20" t="n">
        <v>0</v>
      </c>
      <c r="L281" s="20" t="n">
        <v>0</v>
      </c>
      <c r="M281" s="18" t="n">
        <v>12</v>
      </c>
      <c r="N281" s="18" t="n">
        <v>12</v>
      </c>
      <c r="O281" s="18" t="n">
        <v>0</v>
      </c>
      <c r="P281" s="17" t="n">
        <v>45618</v>
      </c>
      <c r="Q281" s="17" t="n">
        <v>45618</v>
      </c>
      <c r="R281" s="17" t="n">
        <v>45618</v>
      </c>
      <c r="S281" s="19">
        <f>H281*I281</f>
        <v/>
      </c>
      <c r="T281" s="19">
        <f>H281*J281</f>
        <v/>
      </c>
      <c r="U281">
        <f>IF(AND(K281=0,G281&lt;=Assumptions!$C$6),1,0)</f>
        <v/>
      </c>
      <c r="V281">
        <f>IF(U281=1,IF(M281&gt;0,IF(P281&lt;=G281+Assumptions!$C$7,1,0),0),0)</f>
        <v/>
      </c>
      <c r="W281">
        <f>IF(AND(U281=1,M281&gt;=H281*(1-Assumptions!$C$8)),1,0)</f>
        <v/>
      </c>
      <c r="X281">
        <f>IF(AND(U281=1,N281&gt;=H281*(1-Assumptions!$C$8)),1,0)</f>
        <v/>
      </c>
      <c r="Y281">
        <f>IF(ISNUMBER(Q281),1,0)</f>
        <v/>
      </c>
      <c r="Z281">
        <f>IF(AND(K281=0,L281=0,Y281=0),1,0)</f>
        <v/>
      </c>
      <c r="AA281">
        <f>IF(AND(Z281=1,G281&lt;Assumptions!$C$6),1,0)</f>
        <v/>
      </c>
      <c r="AB281">
        <f>IF(U281=0,"",IF(Y281=1,MAX(0,Q281-G281),IF(L281=1,MAX(0,R281-G281),MAX(0,Assumptions!$C$6-G281))))</f>
        <v/>
      </c>
      <c r="AC281">
        <f>IF(Y281=1,Q281-F281,"")</f>
        <v/>
      </c>
      <c r="AD281">
        <f>IF(Y281=1,AC281^2,"")</f>
        <v/>
      </c>
      <c r="AE281" s="19">
        <f>IF(Z281=1,(H281-M281)*I281,0)</f>
        <v/>
      </c>
      <c r="AF281">
        <f>IF(G281&lt;EDATE(Assumptions!$C$6,-12)+1,"prior_12m","last_12m")</f>
        <v/>
      </c>
      <c r="AG281" s="21">
        <f>DATE(YEAR(G281),MONTH(G281),1)</f>
        <v/>
      </c>
    </row>
    <row r="282">
      <c r="A282" t="inlineStr">
        <is>
          <t>SPO-00153-1</t>
        </is>
      </c>
      <c r="B282" t="inlineStr">
        <is>
          <t>SPO-00153</t>
        </is>
      </c>
      <c r="C282" t="inlineStr">
        <is>
          <t>SUP-06</t>
        </is>
      </c>
      <c r="D282" t="inlineStr">
        <is>
          <t>MRO</t>
        </is>
      </c>
      <c r="E282" t="inlineStr">
        <is>
          <t>MRO-05</t>
        </is>
      </c>
      <c r="F282" s="17" t="n">
        <v>45605</v>
      </c>
      <c r="G282" s="17" t="n">
        <v>45613</v>
      </c>
      <c r="H282" s="18" t="n">
        <v>33</v>
      </c>
      <c r="I282" s="19" t="n">
        <v>36.1</v>
      </c>
      <c r="J282" s="19" t="n">
        <v>36</v>
      </c>
      <c r="K282" s="20" t="n">
        <v>0</v>
      </c>
      <c r="L282" s="20" t="n">
        <v>0</v>
      </c>
      <c r="M282" s="18" t="n">
        <v>33</v>
      </c>
      <c r="N282" s="18" t="n">
        <v>33</v>
      </c>
      <c r="O282" s="18" t="n">
        <v>0</v>
      </c>
      <c r="P282" s="17" t="n">
        <v>45612</v>
      </c>
      <c r="Q282" s="17" t="n">
        <v>45612</v>
      </c>
      <c r="R282" s="17" t="n">
        <v>45612</v>
      </c>
      <c r="S282" s="19">
        <f>H282*I282</f>
        <v/>
      </c>
      <c r="T282" s="19">
        <f>H282*J282</f>
        <v/>
      </c>
      <c r="U282">
        <f>IF(AND(K282=0,G282&lt;=Assumptions!$C$6),1,0)</f>
        <v/>
      </c>
      <c r="V282">
        <f>IF(U282=1,IF(M282&gt;0,IF(P282&lt;=G282+Assumptions!$C$7,1,0),0),0)</f>
        <v/>
      </c>
      <c r="W282">
        <f>IF(AND(U282=1,M282&gt;=H282*(1-Assumptions!$C$8)),1,0)</f>
        <v/>
      </c>
      <c r="X282">
        <f>IF(AND(U282=1,N282&gt;=H282*(1-Assumptions!$C$8)),1,0)</f>
        <v/>
      </c>
      <c r="Y282">
        <f>IF(ISNUMBER(Q282),1,0)</f>
        <v/>
      </c>
      <c r="Z282">
        <f>IF(AND(K282=0,L282=0,Y282=0),1,0)</f>
        <v/>
      </c>
      <c r="AA282">
        <f>IF(AND(Z282=1,G282&lt;Assumptions!$C$6),1,0)</f>
        <v/>
      </c>
      <c r="AB282">
        <f>IF(U282=0,"",IF(Y282=1,MAX(0,Q282-G282),IF(L282=1,MAX(0,R282-G282),MAX(0,Assumptions!$C$6-G282))))</f>
        <v/>
      </c>
      <c r="AC282">
        <f>IF(Y282=1,Q282-F282,"")</f>
        <v/>
      </c>
      <c r="AD282">
        <f>IF(Y282=1,AC282^2,"")</f>
        <v/>
      </c>
      <c r="AE282" s="19">
        <f>IF(Z282=1,(H282-M282)*I282,0)</f>
        <v/>
      </c>
      <c r="AF282">
        <f>IF(G282&lt;EDATE(Assumptions!$C$6,-12)+1,"prior_12m","last_12m")</f>
        <v/>
      </c>
      <c r="AG282" s="21">
        <f>DATE(YEAR(G282),MONTH(G282),1)</f>
        <v/>
      </c>
    </row>
    <row r="283">
      <c r="A283" t="inlineStr">
        <is>
          <t>SPO-00154-1</t>
        </is>
      </c>
      <c r="B283" t="inlineStr">
        <is>
          <t>SPO-00154</t>
        </is>
      </c>
      <c r="C283" t="inlineStr">
        <is>
          <t>SUP-02</t>
        </is>
      </c>
      <c r="D283" t="inlineStr">
        <is>
          <t>ELEC</t>
        </is>
      </c>
      <c r="E283" t="inlineStr">
        <is>
          <t>ELEC-06</t>
        </is>
      </c>
      <c r="F283" s="17" t="n">
        <v>45606</v>
      </c>
      <c r="G283" s="17" t="n">
        <v>45622</v>
      </c>
      <c r="H283" s="18" t="n">
        <v>10</v>
      </c>
      <c r="I283" s="19" t="n">
        <v>152.86</v>
      </c>
      <c r="J283" s="19" t="n">
        <v>145</v>
      </c>
      <c r="K283" s="20" t="n">
        <v>0</v>
      </c>
      <c r="L283" s="20" t="n">
        <v>0</v>
      </c>
      <c r="M283" s="18" t="n">
        <v>10</v>
      </c>
      <c r="N283" s="18" t="n">
        <v>10</v>
      </c>
      <c r="O283" s="18" t="n">
        <v>0</v>
      </c>
      <c r="P283" s="17" t="n">
        <v>45620</v>
      </c>
      <c r="Q283" s="17" t="n">
        <v>45620</v>
      </c>
      <c r="R283" s="17" t="n">
        <v>45620</v>
      </c>
      <c r="S283" s="19">
        <f>H283*I283</f>
        <v/>
      </c>
      <c r="T283" s="19">
        <f>H283*J283</f>
        <v/>
      </c>
      <c r="U283">
        <f>IF(AND(K283=0,G283&lt;=Assumptions!$C$6),1,0)</f>
        <v/>
      </c>
      <c r="V283">
        <f>IF(U283=1,IF(M283&gt;0,IF(P283&lt;=G283+Assumptions!$C$7,1,0),0),0)</f>
        <v/>
      </c>
      <c r="W283">
        <f>IF(AND(U283=1,M283&gt;=H283*(1-Assumptions!$C$8)),1,0)</f>
        <v/>
      </c>
      <c r="X283">
        <f>IF(AND(U283=1,N283&gt;=H283*(1-Assumptions!$C$8)),1,0)</f>
        <v/>
      </c>
      <c r="Y283">
        <f>IF(ISNUMBER(Q283),1,0)</f>
        <v/>
      </c>
      <c r="Z283">
        <f>IF(AND(K283=0,L283=0,Y283=0),1,0)</f>
        <v/>
      </c>
      <c r="AA283">
        <f>IF(AND(Z283=1,G283&lt;Assumptions!$C$6),1,0)</f>
        <v/>
      </c>
      <c r="AB283">
        <f>IF(U283=0,"",IF(Y283=1,MAX(0,Q283-G283),IF(L283=1,MAX(0,R283-G283),MAX(0,Assumptions!$C$6-G283))))</f>
        <v/>
      </c>
      <c r="AC283">
        <f>IF(Y283=1,Q283-F283,"")</f>
        <v/>
      </c>
      <c r="AD283">
        <f>IF(Y283=1,AC283^2,"")</f>
        <v/>
      </c>
      <c r="AE283" s="19">
        <f>IF(Z283=1,(H283-M283)*I283,0)</f>
        <v/>
      </c>
      <c r="AF283">
        <f>IF(G283&lt;EDATE(Assumptions!$C$6,-12)+1,"prior_12m","last_12m")</f>
        <v/>
      </c>
      <c r="AG283" s="21">
        <f>DATE(YEAR(G283),MONTH(G283),1)</f>
        <v/>
      </c>
    </row>
    <row r="284">
      <c r="A284" t="inlineStr">
        <is>
          <t>SPO-00155-1</t>
        </is>
      </c>
      <c r="B284" t="inlineStr">
        <is>
          <t>SPO-00155</t>
        </is>
      </c>
      <c r="C284" t="inlineStr">
        <is>
          <t>SUP-05</t>
        </is>
      </c>
      <c r="D284" t="inlineStr">
        <is>
          <t>FLEET</t>
        </is>
      </c>
      <c r="E284" t="inlineStr">
        <is>
          <t>FLEET-01</t>
        </is>
      </c>
      <c r="F284" s="17" t="n">
        <v>45606</v>
      </c>
      <c r="G284" s="17" t="n">
        <v>45620</v>
      </c>
      <c r="H284" s="18" t="n">
        <v>15</v>
      </c>
      <c r="I284" s="19" t="n">
        <v>65.19</v>
      </c>
      <c r="J284" s="19" t="n">
        <v>64</v>
      </c>
      <c r="K284" s="20" t="n">
        <v>0</v>
      </c>
      <c r="L284" s="20" t="n">
        <v>0</v>
      </c>
      <c r="M284" s="18" t="n">
        <v>15</v>
      </c>
      <c r="N284" s="18" t="n">
        <v>15</v>
      </c>
      <c r="O284" s="18" t="n">
        <v>0</v>
      </c>
      <c r="P284" s="17" t="n">
        <v>45615</v>
      </c>
      <c r="Q284" s="17" t="n">
        <v>45615</v>
      </c>
      <c r="R284" s="17" t="n">
        <v>45615</v>
      </c>
      <c r="S284" s="19">
        <f>H284*I284</f>
        <v/>
      </c>
      <c r="T284" s="19">
        <f>H284*J284</f>
        <v/>
      </c>
      <c r="U284">
        <f>IF(AND(K284=0,G284&lt;=Assumptions!$C$6),1,0)</f>
        <v/>
      </c>
      <c r="V284">
        <f>IF(U284=1,IF(M284&gt;0,IF(P284&lt;=G284+Assumptions!$C$7,1,0),0),0)</f>
        <v/>
      </c>
      <c r="W284">
        <f>IF(AND(U284=1,M284&gt;=H284*(1-Assumptions!$C$8)),1,0)</f>
        <v/>
      </c>
      <c r="X284">
        <f>IF(AND(U284=1,N284&gt;=H284*(1-Assumptions!$C$8)),1,0)</f>
        <v/>
      </c>
      <c r="Y284">
        <f>IF(ISNUMBER(Q284),1,0)</f>
        <v/>
      </c>
      <c r="Z284">
        <f>IF(AND(K284=0,L284=0,Y284=0),1,0)</f>
        <v/>
      </c>
      <c r="AA284">
        <f>IF(AND(Z284=1,G284&lt;Assumptions!$C$6),1,0)</f>
        <v/>
      </c>
      <c r="AB284">
        <f>IF(U284=0,"",IF(Y284=1,MAX(0,Q284-G284),IF(L284=1,MAX(0,R284-G284),MAX(0,Assumptions!$C$6-G284))))</f>
        <v/>
      </c>
      <c r="AC284">
        <f>IF(Y284=1,Q284-F284,"")</f>
        <v/>
      </c>
      <c r="AD284">
        <f>IF(Y284=1,AC284^2,"")</f>
        <v/>
      </c>
      <c r="AE284" s="19">
        <f>IF(Z284=1,(H284-M284)*I284,0)</f>
        <v/>
      </c>
      <c r="AF284">
        <f>IF(G284&lt;EDATE(Assumptions!$C$6,-12)+1,"prior_12m","last_12m")</f>
        <v/>
      </c>
      <c r="AG284" s="21">
        <f>DATE(YEAR(G284),MONTH(G284),1)</f>
        <v/>
      </c>
    </row>
    <row r="285">
      <c r="A285" t="inlineStr">
        <is>
          <t>SPO-00155-2</t>
        </is>
      </c>
      <c r="B285" t="inlineStr">
        <is>
          <t>SPO-00155</t>
        </is>
      </c>
      <c r="C285" t="inlineStr">
        <is>
          <t>SUP-05</t>
        </is>
      </c>
      <c r="D285" t="inlineStr">
        <is>
          <t>FLEET</t>
        </is>
      </c>
      <c r="E285" t="inlineStr">
        <is>
          <t>FLEET-05</t>
        </is>
      </c>
      <c r="F285" s="17" t="n">
        <v>45606</v>
      </c>
      <c r="G285" s="17" t="n">
        <v>45620</v>
      </c>
      <c r="H285" s="18" t="n">
        <v>8</v>
      </c>
      <c r="I285" s="19" t="n">
        <v>174.91</v>
      </c>
      <c r="J285" s="19" t="n">
        <v>168</v>
      </c>
      <c r="K285" s="20" t="n">
        <v>0</v>
      </c>
      <c r="L285" s="20" t="n">
        <v>0</v>
      </c>
      <c r="M285" s="18" t="n">
        <v>8</v>
      </c>
      <c r="N285" s="18" t="n">
        <v>8</v>
      </c>
      <c r="O285" s="18" t="n">
        <v>0</v>
      </c>
      <c r="P285" s="17" t="n">
        <v>45618</v>
      </c>
      <c r="Q285" s="17" t="n">
        <v>45618</v>
      </c>
      <c r="R285" s="17" t="n">
        <v>45618</v>
      </c>
      <c r="S285" s="19">
        <f>H285*I285</f>
        <v/>
      </c>
      <c r="T285" s="19">
        <f>H285*J285</f>
        <v/>
      </c>
      <c r="U285">
        <f>IF(AND(K285=0,G285&lt;=Assumptions!$C$6),1,0)</f>
        <v/>
      </c>
      <c r="V285">
        <f>IF(U285=1,IF(M285&gt;0,IF(P285&lt;=G285+Assumptions!$C$7,1,0),0),0)</f>
        <v/>
      </c>
      <c r="W285">
        <f>IF(AND(U285=1,M285&gt;=H285*(1-Assumptions!$C$8)),1,0)</f>
        <v/>
      </c>
      <c r="X285">
        <f>IF(AND(U285=1,N285&gt;=H285*(1-Assumptions!$C$8)),1,0)</f>
        <v/>
      </c>
      <c r="Y285">
        <f>IF(ISNUMBER(Q285),1,0)</f>
        <v/>
      </c>
      <c r="Z285">
        <f>IF(AND(K285=0,L285=0,Y285=0),1,0)</f>
        <v/>
      </c>
      <c r="AA285">
        <f>IF(AND(Z285=1,G285&lt;Assumptions!$C$6),1,0)</f>
        <v/>
      </c>
      <c r="AB285">
        <f>IF(U285=0,"",IF(Y285=1,MAX(0,Q285-G285),IF(L285=1,MAX(0,R285-G285),MAX(0,Assumptions!$C$6-G285))))</f>
        <v/>
      </c>
      <c r="AC285">
        <f>IF(Y285=1,Q285-F285,"")</f>
        <v/>
      </c>
      <c r="AD285">
        <f>IF(Y285=1,AC285^2,"")</f>
        <v/>
      </c>
      <c r="AE285" s="19">
        <f>IF(Z285=1,(H285-M285)*I285,0)</f>
        <v/>
      </c>
      <c r="AF285">
        <f>IF(G285&lt;EDATE(Assumptions!$C$6,-12)+1,"prior_12m","last_12m")</f>
        <v/>
      </c>
      <c r="AG285" s="21">
        <f>DATE(YEAR(G285),MONTH(G285),1)</f>
        <v/>
      </c>
    </row>
    <row r="286">
      <c r="A286" t="inlineStr">
        <is>
          <t>SPO-00156-1</t>
        </is>
      </c>
      <c r="B286" t="inlineStr">
        <is>
          <t>SPO-00156</t>
        </is>
      </c>
      <c r="C286" t="inlineStr">
        <is>
          <t>SUP-07</t>
        </is>
      </c>
      <c r="D286" t="inlineStr">
        <is>
          <t>MRO</t>
        </is>
      </c>
      <c r="E286" t="inlineStr">
        <is>
          <t>MRO-05</t>
        </is>
      </c>
      <c r="F286" s="17" t="n">
        <v>45606</v>
      </c>
      <c r="G286" s="17" t="n">
        <v>45616</v>
      </c>
      <c r="H286" s="18" t="n">
        <v>68</v>
      </c>
      <c r="I286" s="19" t="n">
        <v>37.18</v>
      </c>
      <c r="J286" s="19" t="n">
        <v>36</v>
      </c>
      <c r="K286" s="20" t="n">
        <v>0</v>
      </c>
      <c r="L286" s="20" t="n">
        <v>0</v>
      </c>
      <c r="M286" s="18" t="n">
        <v>68</v>
      </c>
      <c r="N286" s="18" t="n">
        <v>68</v>
      </c>
      <c r="O286" s="18" t="n">
        <v>0</v>
      </c>
      <c r="P286" s="17" t="n">
        <v>45614</v>
      </c>
      <c r="Q286" s="17" t="n">
        <v>45614</v>
      </c>
      <c r="R286" s="17" t="n">
        <v>45614</v>
      </c>
      <c r="S286" s="19">
        <f>H286*I286</f>
        <v/>
      </c>
      <c r="T286" s="19">
        <f>H286*J286</f>
        <v/>
      </c>
      <c r="U286">
        <f>IF(AND(K286=0,G286&lt;=Assumptions!$C$6),1,0)</f>
        <v/>
      </c>
      <c r="V286">
        <f>IF(U286=1,IF(M286&gt;0,IF(P286&lt;=G286+Assumptions!$C$7,1,0),0),0)</f>
        <v/>
      </c>
      <c r="W286">
        <f>IF(AND(U286=1,M286&gt;=H286*(1-Assumptions!$C$8)),1,0)</f>
        <v/>
      </c>
      <c r="X286">
        <f>IF(AND(U286=1,N286&gt;=H286*(1-Assumptions!$C$8)),1,0)</f>
        <v/>
      </c>
      <c r="Y286">
        <f>IF(ISNUMBER(Q286),1,0)</f>
        <v/>
      </c>
      <c r="Z286">
        <f>IF(AND(K286=0,L286=0,Y286=0),1,0)</f>
        <v/>
      </c>
      <c r="AA286">
        <f>IF(AND(Z286=1,G286&lt;Assumptions!$C$6),1,0)</f>
        <v/>
      </c>
      <c r="AB286">
        <f>IF(U286=0,"",IF(Y286=1,MAX(0,Q286-G286),IF(L286=1,MAX(0,R286-G286),MAX(0,Assumptions!$C$6-G286))))</f>
        <v/>
      </c>
      <c r="AC286">
        <f>IF(Y286=1,Q286-F286,"")</f>
        <v/>
      </c>
      <c r="AD286">
        <f>IF(Y286=1,AC286^2,"")</f>
        <v/>
      </c>
      <c r="AE286" s="19">
        <f>IF(Z286=1,(H286-M286)*I286,0)</f>
        <v/>
      </c>
      <c r="AF286">
        <f>IF(G286&lt;EDATE(Assumptions!$C$6,-12)+1,"prior_12m","last_12m")</f>
        <v/>
      </c>
      <c r="AG286" s="21">
        <f>DATE(YEAR(G286),MONTH(G286),1)</f>
        <v/>
      </c>
    </row>
    <row r="287">
      <c r="A287" t="inlineStr">
        <is>
          <t>SPO-00156-2</t>
        </is>
      </c>
      <c r="B287" t="inlineStr">
        <is>
          <t>SPO-00156</t>
        </is>
      </c>
      <c r="C287" t="inlineStr">
        <is>
          <t>SUP-07</t>
        </is>
      </c>
      <c r="D287" t="inlineStr">
        <is>
          <t>MRO</t>
        </is>
      </c>
      <c r="E287" t="inlineStr">
        <is>
          <t>MRO-04</t>
        </is>
      </c>
      <c r="F287" s="17" t="n">
        <v>45606</v>
      </c>
      <c r="G287" s="17" t="n">
        <v>45616</v>
      </c>
      <c r="H287" s="18" t="n">
        <v>25</v>
      </c>
      <c r="I287" s="19" t="n">
        <v>54.81</v>
      </c>
      <c r="J287" s="19" t="n">
        <v>58</v>
      </c>
      <c r="K287" s="20" t="n">
        <v>0</v>
      </c>
      <c r="L287" s="20" t="n">
        <v>0</v>
      </c>
      <c r="M287" s="18" t="n">
        <v>25</v>
      </c>
      <c r="N287" s="18" t="n">
        <v>25</v>
      </c>
      <c r="O287" s="18" t="n">
        <v>0</v>
      </c>
      <c r="P287" s="17" t="n">
        <v>45611</v>
      </c>
      <c r="Q287" s="17" t="n">
        <v>45611</v>
      </c>
      <c r="R287" s="17" t="n">
        <v>45611</v>
      </c>
      <c r="S287" s="19">
        <f>H287*I287</f>
        <v/>
      </c>
      <c r="T287" s="19">
        <f>H287*J287</f>
        <v/>
      </c>
      <c r="U287">
        <f>IF(AND(K287=0,G287&lt;=Assumptions!$C$6),1,0)</f>
        <v/>
      </c>
      <c r="V287">
        <f>IF(U287=1,IF(M287&gt;0,IF(P287&lt;=G287+Assumptions!$C$7,1,0),0),0)</f>
        <v/>
      </c>
      <c r="W287">
        <f>IF(AND(U287=1,M287&gt;=H287*(1-Assumptions!$C$8)),1,0)</f>
        <v/>
      </c>
      <c r="X287">
        <f>IF(AND(U287=1,N287&gt;=H287*(1-Assumptions!$C$8)),1,0)</f>
        <v/>
      </c>
      <c r="Y287">
        <f>IF(ISNUMBER(Q287),1,0)</f>
        <v/>
      </c>
      <c r="Z287">
        <f>IF(AND(K287=0,L287=0,Y287=0),1,0)</f>
        <v/>
      </c>
      <c r="AA287">
        <f>IF(AND(Z287=1,G287&lt;Assumptions!$C$6),1,0)</f>
        <v/>
      </c>
      <c r="AB287">
        <f>IF(U287=0,"",IF(Y287=1,MAX(0,Q287-G287),IF(L287=1,MAX(0,R287-G287),MAX(0,Assumptions!$C$6-G287))))</f>
        <v/>
      </c>
      <c r="AC287">
        <f>IF(Y287=1,Q287-F287,"")</f>
        <v/>
      </c>
      <c r="AD287">
        <f>IF(Y287=1,AC287^2,"")</f>
        <v/>
      </c>
      <c r="AE287" s="19">
        <f>IF(Z287=1,(H287-M287)*I287,0)</f>
        <v/>
      </c>
      <c r="AF287">
        <f>IF(G287&lt;EDATE(Assumptions!$C$6,-12)+1,"prior_12m","last_12m")</f>
        <v/>
      </c>
      <c r="AG287" s="21">
        <f>DATE(YEAR(G287),MONTH(G287),1)</f>
        <v/>
      </c>
    </row>
    <row r="288">
      <c r="A288" t="inlineStr">
        <is>
          <t>SPO-00157-1</t>
        </is>
      </c>
      <c r="B288" t="inlineStr">
        <is>
          <t>SPO-00157</t>
        </is>
      </c>
      <c r="C288" t="inlineStr">
        <is>
          <t>SUP-01</t>
        </is>
      </c>
      <c r="D288" t="inlineStr">
        <is>
          <t>ELEC</t>
        </is>
      </c>
      <c r="E288" t="inlineStr">
        <is>
          <t>ELEC-07</t>
        </is>
      </c>
      <c r="F288" s="17" t="n">
        <v>45607</v>
      </c>
      <c r="G288" s="17" t="n">
        <v>45625</v>
      </c>
      <c r="H288" s="18" t="n">
        <v>336</v>
      </c>
      <c r="I288" s="19" t="n">
        <v>9.85</v>
      </c>
      <c r="J288" s="19" t="n">
        <v>9.800000000000001</v>
      </c>
      <c r="K288" s="20" t="n">
        <v>0</v>
      </c>
      <c r="L288" s="20" t="n">
        <v>0</v>
      </c>
      <c r="M288" s="18" t="n">
        <v>336</v>
      </c>
      <c r="N288" s="18" t="n">
        <v>0</v>
      </c>
      <c r="O288" s="18" t="n">
        <v>0</v>
      </c>
      <c r="P288" s="17" t="n">
        <v>45626</v>
      </c>
      <c r="Q288" s="17" t="n">
        <v>45638</v>
      </c>
      <c r="R288" s="17" t="n">
        <v>45638</v>
      </c>
      <c r="S288" s="19">
        <f>H288*I288</f>
        <v/>
      </c>
      <c r="T288" s="19">
        <f>H288*J288</f>
        <v/>
      </c>
      <c r="U288">
        <f>IF(AND(K288=0,G288&lt;=Assumptions!$C$6),1,0)</f>
        <v/>
      </c>
      <c r="V288">
        <f>IF(U288=1,IF(M288&gt;0,IF(P288&lt;=G288+Assumptions!$C$7,1,0),0),0)</f>
        <v/>
      </c>
      <c r="W288">
        <f>IF(AND(U288=1,M288&gt;=H288*(1-Assumptions!$C$8)),1,0)</f>
        <v/>
      </c>
      <c r="X288">
        <f>IF(AND(U288=1,N288&gt;=H288*(1-Assumptions!$C$8)),1,0)</f>
        <v/>
      </c>
      <c r="Y288">
        <f>IF(ISNUMBER(Q288),1,0)</f>
        <v/>
      </c>
      <c r="Z288">
        <f>IF(AND(K288=0,L288=0,Y288=0),1,0)</f>
        <v/>
      </c>
      <c r="AA288">
        <f>IF(AND(Z288=1,G288&lt;Assumptions!$C$6),1,0)</f>
        <v/>
      </c>
      <c r="AB288">
        <f>IF(U288=0,"",IF(Y288=1,MAX(0,Q288-G288),IF(L288=1,MAX(0,R288-G288),MAX(0,Assumptions!$C$6-G288))))</f>
        <v/>
      </c>
      <c r="AC288">
        <f>IF(Y288=1,Q288-F288,"")</f>
        <v/>
      </c>
      <c r="AD288">
        <f>IF(Y288=1,AC288^2,"")</f>
        <v/>
      </c>
      <c r="AE288" s="19">
        <f>IF(Z288=1,(H288-M288)*I288,0)</f>
        <v/>
      </c>
      <c r="AF288">
        <f>IF(G288&lt;EDATE(Assumptions!$C$6,-12)+1,"prior_12m","last_12m")</f>
        <v/>
      </c>
      <c r="AG288" s="21">
        <f>DATE(YEAR(G288),MONTH(G288),1)</f>
        <v/>
      </c>
    </row>
    <row r="289">
      <c r="A289" t="inlineStr">
        <is>
          <t>SPO-00158-1</t>
        </is>
      </c>
      <c r="B289" t="inlineStr">
        <is>
          <t>SPO-00158</t>
        </is>
      </c>
      <c r="C289" t="inlineStr">
        <is>
          <t>SUP-01</t>
        </is>
      </c>
      <c r="D289" t="inlineStr">
        <is>
          <t>ELEC</t>
        </is>
      </c>
      <c r="E289" t="inlineStr">
        <is>
          <t>ELEC-03</t>
        </is>
      </c>
      <c r="F289" s="17" t="n">
        <v>45607</v>
      </c>
      <c r="G289" s="17" t="n">
        <v>45625</v>
      </c>
      <c r="H289" s="18" t="n">
        <v>12</v>
      </c>
      <c r="I289" s="19" t="n">
        <v>89.93000000000001</v>
      </c>
      <c r="J289" s="19" t="n">
        <v>96</v>
      </c>
      <c r="K289" s="20" t="n">
        <v>0</v>
      </c>
      <c r="L289" s="20" t="n">
        <v>0</v>
      </c>
      <c r="M289" s="18" t="n">
        <v>12</v>
      </c>
      <c r="N289" s="18" t="n">
        <v>12</v>
      </c>
      <c r="O289" s="18" t="n">
        <v>0</v>
      </c>
      <c r="P289" s="17" t="n">
        <v>45620</v>
      </c>
      <c r="Q289" s="17" t="n">
        <v>45620</v>
      </c>
      <c r="R289" s="17" t="n">
        <v>45620</v>
      </c>
      <c r="S289" s="19">
        <f>H289*I289</f>
        <v/>
      </c>
      <c r="T289" s="19">
        <f>H289*J289</f>
        <v/>
      </c>
      <c r="U289">
        <f>IF(AND(K289=0,G289&lt;=Assumptions!$C$6),1,0)</f>
        <v/>
      </c>
      <c r="V289">
        <f>IF(U289=1,IF(M289&gt;0,IF(P289&lt;=G289+Assumptions!$C$7,1,0),0),0)</f>
        <v/>
      </c>
      <c r="W289">
        <f>IF(AND(U289=1,M289&gt;=H289*(1-Assumptions!$C$8)),1,0)</f>
        <v/>
      </c>
      <c r="X289">
        <f>IF(AND(U289=1,N289&gt;=H289*(1-Assumptions!$C$8)),1,0)</f>
        <v/>
      </c>
      <c r="Y289">
        <f>IF(ISNUMBER(Q289),1,0)</f>
        <v/>
      </c>
      <c r="Z289">
        <f>IF(AND(K289=0,L289=0,Y289=0),1,0)</f>
        <v/>
      </c>
      <c r="AA289">
        <f>IF(AND(Z289=1,G289&lt;Assumptions!$C$6),1,0)</f>
        <v/>
      </c>
      <c r="AB289">
        <f>IF(U289=0,"",IF(Y289=1,MAX(0,Q289-G289),IF(L289=1,MAX(0,R289-G289),MAX(0,Assumptions!$C$6-G289))))</f>
        <v/>
      </c>
      <c r="AC289">
        <f>IF(Y289=1,Q289-F289,"")</f>
        <v/>
      </c>
      <c r="AD289">
        <f>IF(Y289=1,AC289^2,"")</f>
        <v/>
      </c>
      <c r="AE289" s="19">
        <f>IF(Z289=1,(H289-M289)*I289,0)</f>
        <v/>
      </c>
      <c r="AF289">
        <f>IF(G289&lt;EDATE(Assumptions!$C$6,-12)+1,"prior_12m","last_12m")</f>
        <v/>
      </c>
      <c r="AG289" s="21">
        <f>DATE(YEAR(G289),MONTH(G289),1)</f>
        <v/>
      </c>
    </row>
    <row r="290">
      <c r="A290" t="inlineStr">
        <is>
          <t>SPO-00158-2</t>
        </is>
      </c>
      <c r="B290" t="inlineStr">
        <is>
          <t>SPO-00158</t>
        </is>
      </c>
      <c r="C290" t="inlineStr">
        <is>
          <t>SUP-01</t>
        </is>
      </c>
      <c r="D290" t="inlineStr">
        <is>
          <t>ELEC</t>
        </is>
      </c>
      <c r="E290" t="inlineStr">
        <is>
          <t>ELEC-05</t>
        </is>
      </c>
      <c r="F290" s="17" t="n">
        <v>45607</v>
      </c>
      <c r="G290" s="17" t="n">
        <v>45625</v>
      </c>
      <c r="H290" s="18" t="n">
        <v>136</v>
      </c>
      <c r="I290" s="19" t="n">
        <v>12.32</v>
      </c>
      <c r="J290" s="19" t="n">
        <v>11.5</v>
      </c>
      <c r="K290" s="20" t="n">
        <v>0</v>
      </c>
      <c r="L290" s="20" t="n">
        <v>0</v>
      </c>
      <c r="M290" s="18" t="n">
        <v>136</v>
      </c>
      <c r="N290" s="18" t="n">
        <v>136</v>
      </c>
      <c r="O290" s="18" t="n">
        <v>0</v>
      </c>
      <c r="P290" s="17" t="n">
        <v>45621</v>
      </c>
      <c r="Q290" s="17" t="n">
        <v>45621</v>
      </c>
      <c r="R290" s="17" t="n">
        <v>45621</v>
      </c>
      <c r="S290" s="19">
        <f>H290*I290</f>
        <v/>
      </c>
      <c r="T290" s="19">
        <f>H290*J290</f>
        <v/>
      </c>
      <c r="U290">
        <f>IF(AND(K290=0,G290&lt;=Assumptions!$C$6),1,0)</f>
        <v/>
      </c>
      <c r="V290">
        <f>IF(U290=1,IF(M290&gt;0,IF(P290&lt;=G290+Assumptions!$C$7,1,0),0),0)</f>
        <v/>
      </c>
      <c r="W290">
        <f>IF(AND(U290=1,M290&gt;=H290*(1-Assumptions!$C$8)),1,0)</f>
        <v/>
      </c>
      <c r="X290">
        <f>IF(AND(U290=1,N290&gt;=H290*(1-Assumptions!$C$8)),1,0)</f>
        <v/>
      </c>
      <c r="Y290">
        <f>IF(ISNUMBER(Q290),1,0)</f>
        <v/>
      </c>
      <c r="Z290">
        <f>IF(AND(K290=0,L290=0,Y290=0),1,0)</f>
        <v/>
      </c>
      <c r="AA290">
        <f>IF(AND(Z290=1,G290&lt;Assumptions!$C$6),1,0)</f>
        <v/>
      </c>
      <c r="AB290">
        <f>IF(U290=0,"",IF(Y290=1,MAX(0,Q290-G290),IF(L290=1,MAX(0,R290-G290),MAX(0,Assumptions!$C$6-G290))))</f>
        <v/>
      </c>
      <c r="AC290">
        <f>IF(Y290=1,Q290-F290,"")</f>
        <v/>
      </c>
      <c r="AD290">
        <f>IF(Y290=1,AC290^2,"")</f>
        <v/>
      </c>
      <c r="AE290" s="19">
        <f>IF(Z290=1,(H290-M290)*I290,0)</f>
        <v/>
      </c>
      <c r="AF290">
        <f>IF(G290&lt;EDATE(Assumptions!$C$6,-12)+1,"prior_12m","last_12m")</f>
        <v/>
      </c>
      <c r="AG290" s="21">
        <f>DATE(YEAR(G290),MONTH(G290),1)</f>
        <v/>
      </c>
    </row>
    <row r="291">
      <c r="A291" t="inlineStr">
        <is>
          <t>SPO-00159-1</t>
        </is>
      </c>
      <c r="B291" t="inlineStr">
        <is>
          <t>SPO-00159</t>
        </is>
      </c>
      <c r="C291" t="inlineStr">
        <is>
          <t>SUP-12</t>
        </is>
      </c>
      <c r="D291" t="inlineStr">
        <is>
          <t>IT</t>
        </is>
      </c>
      <c r="E291" t="inlineStr">
        <is>
          <t>IT-06</t>
        </is>
      </c>
      <c r="F291" s="17" t="n">
        <v>45608</v>
      </c>
      <c r="G291" s="17" t="n">
        <v>45618</v>
      </c>
      <c r="H291" s="18" t="n">
        <v>27</v>
      </c>
      <c r="I291" s="19" t="n">
        <v>97.93000000000001</v>
      </c>
      <c r="J291" s="19" t="n">
        <v>89</v>
      </c>
      <c r="K291" s="20" t="n">
        <v>0</v>
      </c>
      <c r="L291" s="20" t="n">
        <v>0</v>
      </c>
      <c r="M291" s="18" t="n">
        <v>27</v>
      </c>
      <c r="N291" s="18" t="n">
        <v>27</v>
      </c>
      <c r="O291" s="18" t="n">
        <v>0</v>
      </c>
      <c r="P291" s="17" t="n">
        <v>45617</v>
      </c>
      <c r="Q291" s="17" t="n">
        <v>45617</v>
      </c>
      <c r="R291" s="17" t="n">
        <v>45617</v>
      </c>
      <c r="S291" s="19">
        <f>H291*I291</f>
        <v/>
      </c>
      <c r="T291" s="19">
        <f>H291*J291</f>
        <v/>
      </c>
      <c r="U291">
        <f>IF(AND(K291=0,G291&lt;=Assumptions!$C$6),1,0)</f>
        <v/>
      </c>
      <c r="V291">
        <f>IF(U291=1,IF(M291&gt;0,IF(P291&lt;=G291+Assumptions!$C$7,1,0),0),0)</f>
        <v/>
      </c>
      <c r="W291">
        <f>IF(AND(U291=1,M291&gt;=H291*(1-Assumptions!$C$8)),1,0)</f>
        <v/>
      </c>
      <c r="X291">
        <f>IF(AND(U291=1,N291&gt;=H291*(1-Assumptions!$C$8)),1,0)</f>
        <v/>
      </c>
      <c r="Y291">
        <f>IF(ISNUMBER(Q291),1,0)</f>
        <v/>
      </c>
      <c r="Z291">
        <f>IF(AND(K291=0,L291=0,Y291=0),1,0)</f>
        <v/>
      </c>
      <c r="AA291">
        <f>IF(AND(Z291=1,G291&lt;Assumptions!$C$6),1,0)</f>
        <v/>
      </c>
      <c r="AB291">
        <f>IF(U291=0,"",IF(Y291=1,MAX(0,Q291-G291),IF(L291=1,MAX(0,R291-G291),MAX(0,Assumptions!$C$6-G291))))</f>
        <v/>
      </c>
      <c r="AC291">
        <f>IF(Y291=1,Q291-F291,"")</f>
        <v/>
      </c>
      <c r="AD291">
        <f>IF(Y291=1,AC291^2,"")</f>
        <v/>
      </c>
      <c r="AE291" s="19">
        <f>IF(Z291=1,(H291-M291)*I291,0)</f>
        <v/>
      </c>
      <c r="AF291">
        <f>IF(G291&lt;EDATE(Assumptions!$C$6,-12)+1,"prior_12m","last_12m")</f>
        <v/>
      </c>
      <c r="AG291" s="21">
        <f>DATE(YEAR(G291),MONTH(G291),1)</f>
        <v/>
      </c>
    </row>
    <row r="292">
      <c r="A292" t="inlineStr">
        <is>
          <t>SPO-00160-1</t>
        </is>
      </c>
      <c r="B292" t="inlineStr">
        <is>
          <t>SPO-00160</t>
        </is>
      </c>
      <c r="C292" t="inlineStr">
        <is>
          <t>SUP-11</t>
        </is>
      </c>
      <c r="D292" t="inlineStr">
        <is>
          <t>PPE</t>
        </is>
      </c>
      <c r="E292" t="inlineStr">
        <is>
          <t>PPE-05</t>
        </is>
      </c>
      <c r="F292" s="17" t="n">
        <v>45608</v>
      </c>
      <c r="G292" s="17" t="n">
        <v>45620</v>
      </c>
      <c r="H292" s="18" t="n">
        <v>200</v>
      </c>
      <c r="I292" s="19" t="n">
        <v>11.5</v>
      </c>
      <c r="J292" s="19" t="n">
        <v>11</v>
      </c>
      <c r="K292" s="20" t="n">
        <v>0</v>
      </c>
      <c r="L292" s="20" t="n">
        <v>0</v>
      </c>
      <c r="M292" s="18" t="n">
        <v>200</v>
      </c>
      <c r="N292" s="18" t="n">
        <v>200</v>
      </c>
      <c r="O292" s="18" t="n">
        <v>0</v>
      </c>
      <c r="P292" s="17" t="n">
        <v>45619</v>
      </c>
      <c r="Q292" s="17" t="n">
        <v>45619</v>
      </c>
      <c r="R292" s="17" t="n">
        <v>45619</v>
      </c>
      <c r="S292" s="19">
        <f>H292*I292</f>
        <v/>
      </c>
      <c r="T292" s="19">
        <f>H292*J292</f>
        <v/>
      </c>
      <c r="U292">
        <f>IF(AND(K292=0,G292&lt;=Assumptions!$C$6),1,0)</f>
        <v/>
      </c>
      <c r="V292">
        <f>IF(U292=1,IF(M292&gt;0,IF(P292&lt;=G292+Assumptions!$C$7,1,0),0),0)</f>
        <v/>
      </c>
      <c r="W292">
        <f>IF(AND(U292=1,M292&gt;=H292*(1-Assumptions!$C$8)),1,0)</f>
        <v/>
      </c>
      <c r="X292">
        <f>IF(AND(U292=1,N292&gt;=H292*(1-Assumptions!$C$8)),1,0)</f>
        <v/>
      </c>
      <c r="Y292">
        <f>IF(ISNUMBER(Q292),1,0)</f>
        <v/>
      </c>
      <c r="Z292">
        <f>IF(AND(K292=0,L292=0,Y292=0),1,0)</f>
        <v/>
      </c>
      <c r="AA292">
        <f>IF(AND(Z292=1,G292&lt;Assumptions!$C$6),1,0)</f>
        <v/>
      </c>
      <c r="AB292">
        <f>IF(U292=0,"",IF(Y292=1,MAX(0,Q292-G292),IF(L292=1,MAX(0,R292-G292),MAX(0,Assumptions!$C$6-G292))))</f>
        <v/>
      </c>
      <c r="AC292">
        <f>IF(Y292=1,Q292-F292,"")</f>
        <v/>
      </c>
      <c r="AD292">
        <f>IF(Y292=1,AC292^2,"")</f>
        <v/>
      </c>
      <c r="AE292" s="19">
        <f>IF(Z292=1,(H292-M292)*I292,0)</f>
        <v/>
      </c>
      <c r="AF292">
        <f>IF(G292&lt;EDATE(Assumptions!$C$6,-12)+1,"prior_12m","last_12m")</f>
        <v/>
      </c>
      <c r="AG292" s="21">
        <f>DATE(YEAR(G292),MONTH(G292),1)</f>
        <v/>
      </c>
    </row>
    <row r="293">
      <c r="A293" t="inlineStr">
        <is>
          <t>SPO-00160-2</t>
        </is>
      </c>
      <c r="B293" t="inlineStr">
        <is>
          <t>SPO-00160</t>
        </is>
      </c>
      <c r="C293" t="inlineStr">
        <is>
          <t>SUP-11</t>
        </is>
      </c>
      <c r="D293" t="inlineStr">
        <is>
          <t>PPE</t>
        </is>
      </c>
      <c r="E293" t="inlineStr">
        <is>
          <t>PPE-04</t>
        </is>
      </c>
      <c r="F293" s="17" t="n">
        <v>45608</v>
      </c>
      <c r="G293" s="17" t="n">
        <v>45620</v>
      </c>
      <c r="H293" s="18" t="n">
        <v>57</v>
      </c>
      <c r="I293" s="19" t="n">
        <v>25.67</v>
      </c>
      <c r="J293" s="19" t="n">
        <v>26</v>
      </c>
      <c r="K293" s="20" t="n">
        <v>0</v>
      </c>
      <c r="L293" s="20" t="n">
        <v>0</v>
      </c>
      <c r="M293" s="18" t="n">
        <v>57</v>
      </c>
      <c r="N293" s="18" t="n">
        <v>57</v>
      </c>
      <c r="O293" s="18" t="n">
        <v>0</v>
      </c>
      <c r="P293" s="17" t="n">
        <v>45615</v>
      </c>
      <c r="Q293" s="17" t="n">
        <v>45615</v>
      </c>
      <c r="R293" s="17" t="n">
        <v>45615</v>
      </c>
      <c r="S293" s="19">
        <f>H293*I293</f>
        <v/>
      </c>
      <c r="T293" s="19">
        <f>H293*J293</f>
        <v/>
      </c>
      <c r="U293">
        <f>IF(AND(K293=0,G293&lt;=Assumptions!$C$6),1,0)</f>
        <v/>
      </c>
      <c r="V293">
        <f>IF(U293=1,IF(M293&gt;0,IF(P293&lt;=G293+Assumptions!$C$7,1,0),0),0)</f>
        <v/>
      </c>
      <c r="W293">
        <f>IF(AND(U293=1,M293&gt;=H293*(1-Assumptions!$C$8)),1,0)</f>
        <v/>
      </c>
      <c r="X293">
        <f>IF(AND(U293=1,N293&gt;=H293*(1-Assumptions!$C$8)),1,0)</f>
        <v/>
      </c>
      <c r="Y293">
        <f>IF(ISNUMBER(Q293),1,0)</f>
        <v/>
      </c>
      <c r="Z293">
        <f>IF(AND(K293=0,L293=0,Y293=0),1,0)</f>
        <v/>
      </c>
      <c r="AA293">
        <f>IF(AND(Z293=1,G293&lt;Assumptions!$C$6),1,0)</f>
        <v/>
      </c>
      <c r="AB293">
        <f>IF(U293=0,"",IF(Y293=1,MAX(0,Q293-G293),IF(L293=1,MAX(0,R293-G293),MAX(0,Assumptions!$C$6-G293))))</f>
        <v/>
      </c>
      <c r="AC293">
        <f>IF(Y293=1,Q293-F293,"")</f>
        <v/>
      </c>
      <c r="AD293">
        <f>IF(Y293=1,AC293^2,"")</f>
        <v/>
      </c>
      <c r="AE293" s="19">
        <f>IF(Z293=1,(H293-M293)*I293,0)</f>
        <v/>
      </c>
      <c r="AF293">
        <f>IF(G293&lt;EDATE(Assumptions!$C$6,-12)+1,"prior_12m","last_12m")</f>
        <v/>
      </c>
      <c r="AG293" s="21">
        <f>DATE(YEAR(G293),MONTH(G293),1)</f>
        <v/>
      </c>
    </row>
    <row r="294">
      <c r="A294" t="inlineStr">
        <is>
          <t>SPO-00161-1</t>
        </is>
      </c>
      <c r="B294" t="inlineStr">
        <is>
          <t>SPO-00161</t>
        </is>
      </c>
      <c r="C294" t="inlineStr">
        <is>
          <t>SUP-12</t>
        </is>
      </c>
      <c r="D294" t="inlineStr">
        <is>
          <t>IT</t>
        </is>
      </c>
      <c r="E294" t="inlineStr">
        <is>
          <t>IT-08</t>
        </is>
      </c>
      <c r="F294" s="17" t="n">
        <v>45609</v>
      </c>
      <c r="G294" s="17" t="n">
        <v>45619</v>
      </c>
      <c r="H294" s="18" t="n">
        <v>4</v>
      </c>
      <c r="I294" s="19" t="n">
        <v>284.36</v>
      </c>
      <c r="J294" s="19" t="n">
        <v>245</v>
      </c>
      <c r="K294" s="20" t="n">
        <v>0</v>
      </c>
      <c r="L294" s="20" t="n">
        <v>0</v>
      </c>
      <c r="M294" s="18" t="n">
        <v>4</v>
      </c>
      <c r="N294" s="18" t="n">
        <v>4</v>
      </c>
      <c r="O294" s="18" t="n">
        <v>0</v>
      </c>
      <c r="P294" s="17" t="n">
        <v>45613</v>
      </c>
      <c r="Q294" s="17" t="n">
        <v>45613</v>
      </c>
      <c r="R294" s="17" t="n">
        <v>45613</v>
      </c>
      <c r="S294" s="19">
        <f>H294*I294</f>
        <v/>
      </c>
      <c r="T294" s="19">
        <f>H294*J294</f>
        <v/>
      </c>
      <c r="U294">
        <f>IF(AND(K294=0,G294&lt;=Assumptions!$C$6),1,0)</f>
        <v/>
      </c>
      <c r="V294">
        <f>IF(U294=1,IF(M294&gt;0,IF(P294&lt;=G294+Assumptions!$C$7,1,0),0),0)</f>
        <v/>
      </c>
      <c r="W294">
        <f>IF(AND(U294=1,M294&gt;=H294*(1-Assumptions!$C$8)),1,0)</f>
        <v/>
      </c>
      <c r="X294">
        <f>IF(AND(U294=1,N294&gt;=H294*(1-Assumptions!$C$8)),1,0)</f>
        <v/>
      </c>
      <c r="Y294">
        <f>IF(ISNUMBER(Q294),1,0)</f>
        <v/>
      </c>
      <c r="Z294">
        <f>IF(AND(K294=0,L294=0,Y294=0),1,0)</f>
        <v/>
      </c>
      <c r="AA294">
        <f>IF(AND(Z294=1,G294&lt;Assumptions!$C$6),1,0)</f>
        <v/>
      </c>
      <c r="AB294">
        <f>IF(U294=0,"",IF(Y294=1,MAX(0,Q294-G294),IF(L294=1,MAX(0,R294-G294),MAX(0,Assumptions!$C$6-G294))))</f>
        <v/>
      </c>
      <c r="AC294">
        <f>IF(Y294=1,Q294-F294,"")</f>
        <v/>
      </c>
      <c r="AD294">
        <f>IF(Y294=1,AC294^2,"")</f>
        <v/>
      </c>
      <c r="AE294" s="19">
        <f>IF(Z294=1,(H294-M294)*I294,0)</f>
        <v/>
      </c>
      <c r="AF294">
        <f>IF(G294&lt;EDATE(Assumptions!$C$6,-12)+1,"prior_12m","last_12m")</f>
        <v/>
      </c>
      <c r="AG294" s="21">
        <f>DATE(YEAR(G294),MONTH(G294),1)</f>
        <v/>
      </c>
    </row>
    <row r="295">
      <c r="A295" t="inlineStr">
        <is>
          <t>SPO-00161-2</t>
        </is>
      </c>
      <c r="B295" t="inlineStr">
        <is>
          <t>SPO-00161</t>
        </is>
      </c>
      <c r="C295" t="inlineStr">
        <is>
          <t>SUP-12</t>
        </is>
      </c>
      <c r="D295" t="inlineStr">
        <is>
          <t>IT</t>
        </is>
      </c>
      <c r="E295" t="inlineStr">
        <is>
          <t>IT-07</t>
        </is>
      </c>
      <c r="F295" s="17" t="n">
        <v>45609</v>
      </c>
      <c r="G295" s="17" t="n">
        <v>45619</v>
      </c>
      <c r="H295" s="18" t="n">
        <v>23</v>
      </c>
      <c r="I295" s="19" t="n">
        <v>84.22</v>
      </c>
      <c r="J295" s="19" t="n">
        <v>74</v>
      </c>
      <c r="K295" s="20" t="n">
        <v>0</v>
      </c>
      <c r="L295" s="20" t="n">
        <v>0</v>
      </c>
      <c r="M295" s="18" t="n">
        <v>23</v>
      </c>
      <c r="N295" s="18" t="n">
        <v>23</v>
      </c>
      <c r="O295" s="18" t="n">
        <v>0</v>
      </c>
      <c r="P295" s="17" t="n">
        <v>45610</v>
      </c>
      <c r="Q295" s="17" t="n">
        <v>45610</v>
      </c>
      <c r="R295" s="17" t="n">
        <v>45610</v>
      </c>
      <c r="S295" s="19">
        <f>H295*I295</f>
        <v/>
      </c>
      <c r="T295" s="19">
        <f>H295*J295</f>
        <v/>
      </c>
      <c r="U295">
        <f>IF(AND(K295=0,G295&lt;=Assumptions!$C$6),1,0)</f>
        <v/>
      </c>
      <c r="V295">
        <f>IF(U295=1,IF(M295&gt;0,IF(P295&lt;=G295+Assumptions!$C$7,1,0),0),0)</f>
        <v/>
      </c>
      <c r="W295">
        <f>IF(AND(U295=1,M295&gt;=H295*(1-Assumptions!$C$8)),1,0)</f>
        <v/>
      </c>
      <c r="X295">
        <f>IF(AND(U295=1,N295&gt;=H295*(1-Assumptions!$C$8)),1,0)</f>
        <v/>
      </c>
      <c r="Y295">
        <f>IF(ISNUMBER(Q295),1,0)</f>
        <v/>
      </c>
      <c r="Z295">
        <f>IF(AND(K295=0,L295=0,Y295=0),1,0)</f>
        <v/>
      </c>
      <c r="AA295">
        <f>IF(AND(Z295=1,G295&lt;Assumptions!$C$6),1,0)</f>
        <v/>
      </c>
      <c r="AB295">
        <f>IF(U295=0,"",IF(Y295=1,MAX(0,Q295-G295),IF(L295=1,MAX(0,R295-G295),MAX(0,Assumptions!$C$6-G295))))</f>
        <v/>
      </c>
      <c r="AC295">
        <f>IF(Y295=1,Q295-F295,"")</f>
        <v/>
      </c>
      <c r="AD295">
        <f>IF(Y295=1,AC295^2,"")</f>
        <v/>
      </c>
      <c r="AE295" s="19">
        <f>IF(Z295=1,(H295-M295)*I295,0)</f>
        <v/>
      </c>
      <c r="AF295">
        <f>IF(G295&lt;EDATE(Assumptions!$C$6,-12)+1,"prior_12m","last_12m")</f>
        <v/>
      </c>
      <c r="AG295" s="21">
        <f>DATE(YEAR(G295),MONTH(G295),1)</f>
        <v/>
      </c>
    </row>
    <row r="296">
      <c r="A296" t="inlineStr">
        <is>
          <t>SPO-00161-3</t>
        </is>
      </c>
      <c r="B296" t="inlineStr">
        <is>
          <t>SPO-00161</t>
        </is>
      </c>
      <c r="C296" t="inlineStr">
        <is>
          <t>SUP-12</t>
        </is>
      </c>
      <c r="D296" t="inlineStr">
        <is>
          <t>IT</t>
        </is>
      </c>
      <c r="E296" t="inlineStr">
        <is>
          <t>IT-02</t>
        </is>
      </c>
      <c r="F296" s="17" t="n">
        <v>45609</v>
      </c>
      <c r="G296" s="17" t="n">
        <v>45619</v>
      </c>
      <c r="H296" s="18" t="n">
        <v>45</v>
      </c>
      <c r="I296" s="19" t="n">
        <v>182.63</v>
      </c>
      <c r="J296" s="19" t="n">
        <v>162</v>
      </c>
      <c r="K296" s="20" t="n">
        <v>0</v>
      </c>
      <c r="L296" s="20" t="n">
        <v>0</v>
      </c>
      <c r="M296" s="18" t="n">
        <v>45</v>
      </c>
      <c r="N296" s="18" t="n">
        <v>31</v>
      </c>
      <c r="O296" s="18" t="n">
        <v>0</v>
      </c>
      <c r="P296" s="17" t="n">
        <v>45616</v>
      </c>
      <c r="Q296" s="17" t="n">
        <v>45636</v>
      </c>
      <c r="R296" s="17" t="n">
        <v>45636</v>
      </c>
      <c r="S296" s="19">
        <f>H296*I296</f>
        <v/>
      </c>
      <c r="T296" s="19">
        <f>H296*J296</f>
        <v/>
      </c>
      <c r="U296">
        <f>IF(AND(K296=0,G296&lt;=Assumptions!$C$6),1,0)</f>
        <v/>
      </c>
      <c r="V296">
        <f>IF(U296=1,IF(M296&gt;0,IF(P296&lt;=G296+Assumptions!$C$7,1,0),0),0)</f>
        <v/>
      </c>
      <c r="W296">
        <f>IF(AND(U296=1,M296&gt;=H296*(1-Assumptions!$C$8)),1,0)</f>
        <v/>
      </c>
      <c r="X296">
        <f>IF(AND(U296=1,N296&gt;=H296*(1-Assumptions!$C$8)),1,0)</f>
        <v/>
      </c>
      <c r="Y296">
        <f>IF(ISNUMBER(Q296),1,0)</f>
        <v/>
      </c>
      <c r="Z296">
        <f>IF(AND(K296=0,L296=0,Y296=0),1,0)</f>
        <v/>
      </c>
      <c r="AA296">
        <f>IF(AND(Z296=1,G296&lt;Assumptions!$C$6),1,0)</f>
        <v/>
      </c>
      <c r="AB296">
        <f>IF(U296=0,"",IF(Y296=1,MAX(0,Q296-G296),IF(L296=1,MAX(0,R296-G296),MAX(0,Assumptions!$C$6-G296))))</f>
        <v/>
      </c>
      <c r="AC296">
        <f>IF(Y296=1,Q296-F296,"")</f>
        <v/>
      </c>
      <c r="AD296">
        <f>IF(Y296=1,AC296^2,"")</f>
        <v/>
      </c>
      <c r="AE296" s="19">
        <f>IF(Z296=1,(H296-M296)*I296,0)</f>
        <v/>
      </c>
      <c r="AF296">
        <f>IF(G296&lt;EDATE(Assumptions!$C$6,-12)+1,"prior_12m","last_12m")</f>
        <v/>
      </c>
      <c r="AG296" s="21">
        <f>DATE(YEAR(G296),MONTH(G296),1)</f>
        <v/>
      </c>
    </row>
    <row r="297">
      <c r="A297" t="inlineStr">
        <is>
          <t>SPO-00162-1</t>
        </is>
      </c>
      <c r="B297" t="inlineStr">
        <is>
          <t>SPO-00162</t>
        </is>
      </c>
      <c r="C297" t="inlineStr">
        <is>
          <t>SUP-01</t>
        </is>
      </c>
      <c r="D297" t="inlineStr">
        <is>
          <t>ELEC</t>
        </is>
      </c>
      <c r="E297" t="inlineStr">
        <is>
          <t>ELEC-08</t>
        </is>
      </c>
      <c r="F297" s="17" t="n">
        <v>45609</v>
      </c>
      <c r="G297" s="17" t="n">
        <v>45627</v>
      </c>
      <c r="H297" s="18" t="n">
        <v>191</v>
      </c>
      <c r="I297" s="19" t="n">
        <v>18.05</v>
      </c>
      <c r="J297" s="19" t="n">
        <v>18</v>
      </c>
      <c r="K297" s="20" t="n">
        <v>0</v>
      </c>
      <c r="L297" s="20" t="n">
        <v>0</v>
      </c>
      <c r="M297" s="18" t="n">
        <v>191</v>
      </c>
      <c r="N297" s="18" t="n">
        <v>191</v>
      </c>
      <c r="O297" s="18" t="n">
        <v>0</v>
      </c>
      <c r="P297" s="17" t="n">
        <v>45624</v>
      </c>
      <c r="Q297" s="17" t="n">
        <v>45624</v>
      </c>
      <c r="R297" s="17" t="n">
        <v>45624</v>
      </c>
      <c r="S297" s="19">
        <f>H297*I297</f>
        <v/>
      </c>
      <c r="T297" s="19">
        <f>H297*J297</f>
        <v/>
      </c>
      <c r="U297">
        <f>IF(AND(K297=0,G297&lt;=Assumptions!$C$6),1,0)</f>
        <v/>
      </c>
      <c r="V297">
        <f>IF(U297=1,IF(M297&gt;0,IF(P297&lt;=G297+Assumptions!$C$7,1,0),0),0)</f>
        <v/>
      </c>
      <c r="W297">
        <f>IF(AND(U297=1,M297&gt;=H297*(1-Assumptions!$C$8)),1,0)</f>
        <v/>
      </c>
      <c r="X297">
        <f>IF(AND(U297=1,N297&gt;=H297*(1-Assumptions!$C$8)),1,0)</f>
        <v/>
      </c>
      <c r="Y297">
        <f>IF(ISNUMBER(Q297),1,0)</f>
        <v/>
      </c>
      <c r="Z297">
        <f>IF(AND(K297=0,L297=0,Y297=0),1,0)</f>
        <v/>
      </c>
      <c r="AA297">
        <f>IF(AND(Z297=1,G297&lt;Assumptions!$C$6),1,0)</f>
        <v/>
      </c>
      <c r="AB297">
        <f>IF(U297=0,"",IF(Y297=1,MAX(0,Q297-G297),IF(L297=1,MAX(0,R297-G297),MAX(0,Assumptions!$C$6-G297))))</f>
        <v/>
      </c>
      <c r="AC297">
        <f>IF(Y297=1,Q297-F297,"")</f>
        <v/>
      </c>
      <c r="AD297">
        <f>IF(Y297=1,AC297^2,"")</f>
        <v/>
      </c>
      <c r="AE297" s="19">
        <f>IF(Z297=1,(H297-M297)*I297,0)</f>
        <v/>
      </c>
      <c r="AF297">
        <f>IF(G297&lt;EDATE(Assumptions!$C$6,-12)+1,"prior_12m","last_12m")</f>
        <v/>
      </c>
      <c r="AG297" s="21">
        <f>DATE(YEAR(G297),MONTH(G297),1)</f>
        <v/>
      </c>
    </row>
    <row r="298">
      <c r="A298" t="inlineStr">
        <is>
          <t>SPO-00163-1</t>
        </is>
      </c>
      <c r="B298" t="inlineStr">
        <is>
          <t>SPO-00163</t>
        </is>
      </c>
      <c r="C298" t="inlineStr">
        <is>
          <t>SUP-08</t>
        </is>
      </c>
      <c r="D298" t="inlineStr">
        <is>
          <t>MRO</t>
        </is>
      </c>
      <c r="E298" t="inlineStr">
        <is>
          <t>MRO-08</t>
        </is>
      </c>
      <c r="F298" s="17" t="n">
        <v>45610</v>
      </c>
      <c r="G298" s="17" t="n">
        <v>45621</v>
      </c>
      <c r="H298" s="18" t="n">
        <v>191</v>
      </c>
      <c r="I298" s="19" t="n">
        <v>7.32</v>
      </c>
      <c r="J298" s="19" t="n">
        <v>7.2</v>
      </c>
      <c r="K298" s="20" t="n">
        <v>0</v>
      </c>
      <c r="L298" s="20" t="n">
        <v>0</v>
      </c>
      <c r="M298" s="18" t="n">
        <v>191</v>
      </c>
      <c r="N298" s="18" t="n">
        <v>191</v>
      </c>
      <c r="O298" s="18" t="n">
        <v>0</v>
      </c>
      <c r="P298" s="17" t="n">
        <v>45617</v>
      </c>
      <c r="Q298" s="17" t="n">
        <v>45617</v>
      </c>
      <c r="R298" s="17" t="n">
        <v>45617</v>
      </c>
      <c r="S298" s="19">
        <f>H298*I298</f>
        <v/>
      </c>
      <c r="T298" s="19">
        <f>H298*J298</f>
        <v/>
      </c>
      <c r="U298">
        <f>IF(AND(K298=0,G298&lt;=Assumptions!$C$6),1,0)</f>
        <v/>
      </c>
      <c r="V298">
        <f>IF(U298=1,IF(M298&gt;0,IF(P298&lt;=G298+Assumptions!$C$7,1,0),0),0)</f>
        <v/>
      </c>
      <c r="W298">
        <f>IF(AND(U298=1,M298&gt;=H298*(1-Assumptions!$C$8)),1,0)</f>
        <v/>
      </c>
      <c r="X298">
        <f>IF(AND(U298=1,N298&gt;=H298*(1-Assumptions!$C$8)),1,0)</f>
        <v/>
      </c>
      <c r="Y298">
        <f>IF(ISNUMBER(Q298),1,0)</f>
        <v/>
      </c>
      <c r="Z298">
        <f>IF(AND(K298=0,L298=0,Y298=0),1,0)</f>
        <v/>
      </c>
      <c r="AA298">
        <f>IF(AND(Z298=1,G298&lt;Assumptions!$C$6),1,0)</f>
        <v/>
      </c>
      <c r="AB298">
        <f>IF(U298=0,"",IF(Y298=1,MAX(0,Q298-G298),IF(L298=1,MAX(0,R298-G298),MAX(0,Assumptions!$C$6-G298))))</f>
        <v/>
      </c>
      <c r="AC298">
        <f>IF(Y298=1,Q298-F298,"")</f>
        <v/>
      </c>
      <c r="AD298">
        <f>IF(Y298=1,AC298^2,"")</f>
        <v/>
      </c>
      <c r="AE298" s="19">
        <f>IF(Z298=1,(H298-M298)*I298,0)</f>
        <v/>
      </c>
      <c r="AF298">
        <f>IF(G298&lt;EDATE(Assumptions!$C$6,-12)+1,"prior_12m","last_12m")</f>
        <v/>
      </c>
      <c r="AG298" s="21">
        <f>DATE(YEAR(G298),MONTH(G298),1)</f>
        <v/>
      </c>
    </row>
    <row r="299">
      <c r="A299" t="inlineStr">
        <is>
          <t>SPO-00164-1</t>
        </is>
      </c>
      <c r="B299" t="inlineStr">
        <is>
          <t>SPO-00164</t>
        </is>
      </c>
      <c r="C299" t="inlineStr">
        <is>
          <t>SUP-06</t>
        </is>
      </c>
      <c r="D299" t="inlineStr">
        <is>
          <t>MRO</t>
        </is>
      </c>
      <c r="E299" t="inlineStr">
        <is>
          <t>MRO-04</t>
        </is>
      </c>
      <c r="F299" s="17" t="n">
        <v>45610</v>
      </c>
      <c r="G299" s="17" t="n">
        <v>45618</v>
      </c>
      <c r="H299" s="18" t="n">
        <v>59</v>
      </c>
      <c r="I299" s="19" t="n">
        <v>57.97</v>
      </c>
      <c r="J299" s="19" t="n">
        <v>58</v>
      </c>
      <c r="K299" s="20" t="n">
        <v>0</v>
      </c>
      <c r="L299" s="20" t="n">
        <v>0</v>
      </c>
      <c r="M299" s="18" t="n">
        <v>59</v>
      </c>
      <c r="N299" s="18" t="n">
        <v>59</v>
      </c>
      <c r="O299" s="18" t="n">
        <v>0</v>
      </c>
      <c r="P299" s="17" t="n">
        <v>45616</v>
      </c>
      <c r="Q299" s="17" t="n">
        <v>45616</v>
      </c>
      <c r="R299" s="17" t="n">
        <v>45616</v>
      </c>
      <c r="S299" s="19">
        <f>H299*I299</f>
        <v/>
      </c>
      <c r="T299" s="19">
        <f>H299*J299</f>
        <v/>
      </c>
      <c r="U299">
        <f>IF(AND(K299=0,G299&lt;=Assumptions!$C$6),1,0)</f>
        <v/>
      </c>
      <c r="V299">
        <f>IF(U299=1,IF(M299&gt;0,IF(P299&lt;=G299+Assumptions!$C$7,1,0),0),0)</f>
        <v/>
      </c>
      <c r="W299">
        <f>IF(AND(U299=1,M299&gt;=H299*(1-Assumptions!$C$8)),1,0)</f>
        <v/>
      </c>
      <c r="X299">
        <f>IF(AND(U299=1,N299&gt;=H299*(1-Assumptions!$C$8)),1,0)</f>
        <v/>
      </c>
      <c r="Y299">
        <f>IF(ISNUMBER(Q299),1,0)</f>
        <v/>
      </c>
      <c r="Z299">
        <f>IF(AND(K299=0,L299=0,Y299=0),1,0)</f>
        <v/>
      </c>
      <c r="AA299">
        <f>IF(AND(Z299=1,G299&lt;Assumptions!$C$6),1,0)</f>
        <v/>
      </c>
      <c r="AB299">
        <f>IF(U299=0,"",IF(Y299=1,MAX(0,Q299-G299),IF(L299=1,MAX(0,R299-G299),MAX(0,Assumptions!$C$6-G299))))</f>
        <v/>
      </c>
      <c r="AC299">
        <f>IF(Y299=1,Q299-F299,"")</f>
        <v/>
      </c>
      <c r="AD299">
        <f>IF(Y299=1,AC299^2,"")</f>
        <v/>
      </c>
      <c r="AE299" s="19">
        <f>IF(Z299=1,(H299-M299)*I299,0)</f>
        <v/>
      </c>
      <c r="AF299">
        <f>IF(G299&lt;EDATE(Assumptions!$C$6,-12)+1,"prior_12m","last_12m")</f>
        <v/>
      </c>
      <c r="AG299" s="21">
        <f>DATE(YEAR(G299),MONTH(G299),1)</f>
        <v/>
      </c>
    </row>
    <row r="300">
      <c r="A300" t="inlineStr">
        <is>
          <t>SPO-00165-1</t>
        </is>
      </c>
      <c r="B300" t="inlineStr">
        <is>
          <t>SPO-00165</t>
        </is>
      </c>
      <c r="C300" t="inlineStr">
        <is>
          <t>SUP-04</t>
        </is>
      </c>
      <c r="D300" t="inlineStr">
        <is>
          <t>FLEET</t>
        </is>
      </c>
      <c r="E300" t="inlineStr">
        <is>
          <t>FLEET-03</t>
        </is>
      </c>
      <c r="F300" s="17" t="n">
        <v>45610</v>
      </c>
      <c r="G300" s="17" t="n">
        <v>45623</v>
      </c>
      <c r="H300" s="18" t="n">
        <v>88</v>
      </c>
      <c r="I300" s="19" t="n">
        <v>20.43</v>
      </c>
      <c r="J300" s="19" t="n">
        <v>21</v>
      </c>
      <c r="K300" s="20" t="n">
        <v>0</v>
      </c>
      <c r="L300" s="20" t="n">
        <v>0</v>
      </c>
      <c r="M300" s="18" t="n">
        <v>88</v>
      </c>
      <c r="N300" s="18" t="n">
        <v>0</v>
      </c>
      <c r="O300" s="18" t="n">
        <v>0</v>
      </c>
      <c r="P300" s="17" t="n">
        <v>45628</v>
      </c>
      <c r="Q300" s="17" t="n">
        <v>45628</v>
      </c>
      <c r="R300" s="17" t="n">
        <v>45628</v>
      </c>
      <c r="S300" s="19">
        <f>H300*I300</f>
        <v/>
      </c>
      <c r="T300" s="19">
        <f>H300*J300</f>
        <v/>
      </c>
      <c r="U300">
        <f>IF(AND(K300=0,G300&lt;=Assumptions!$C$6),1,0)</f>
        <v/>
      </c>
      <c r="V300">
        <f>IF(U300=1,IF(M300&gt;0,IF(P300&lt;=G300+Assumptions!$C$7,1,0),0),0)</f>
        <v/>
      </c>
      <c r="W300">
        <f>IF(AND(U300=1,M300&gt;=H300*(1-Assumptions!$C$8)),1,0)</f>
        <v/>
      </c>
      <c r="X300">
        <f>IF(AND(U300=1,N300&gt;=H300*(1-Assumptions!$C$8)),1,0)</f>
        <v/>
      </c>
      <c r="Y300">
        <f>IF(ISNUMBER(Q300),1,0)</f>
        <v/>
      </c>
      <c r="Z300">
        <f>IF(AND(K300=0,L300=0,Y300=0),1,0)</f>
        <v/>
      </c>
      <c r="AA300">
        <f>IF(AND(Z300=1,G300&lt;Assumptions!$C$6),1,0)</f>
        <v/>
      </c>
      <c r="AB300">
        <f>IF(U300=0,"",IF(Y300=1,MAX(0,Q300-G300),IF(L300=1,MAX(0,R300-G300),MAX(0,Assumptions!$C$6-G300))))</f>
        <v/>
      </c>
      <c r="AC300">
        <f>IF(Y300=1,Q300-F300,"")</f>
        <v/>
      </c>
      <c r="AD300">
        <f>IF(Y300=1,AC300^2,"")</f>
        <v/>
      </c>
      <c r="AE300" s="19">
        <f>IF(Z300=1,(H300-M300)*I300,0)</f>
        <v/>
      </c>
      <c r="AF300">
        <f>IF(G300&lt;EDATE(Assumptions!$C$6,-12)+1,"prior_12m","last_12m")</f>
        <v/>
      </c>
      <c r="AG300" s="21">
        <f>DATE(YEAR(G300),MONTH(G300),1)</f>
        <v/>
      </c>
    </row>
    <row r="301">
      <c r="A301" t="inlineStr">
        <is>
          <t>SPO-00165-2</t>
        </is>
      </c>
      <c r="B301" t="inlineStr">
        <is>
          <t>SPO-00165</t>
        </is>
      </c>
      <c r="C301" t="inlineStr">
        <is>
          <t>SUP-04</t>
        </is>
      </c>
      <c r="D301" t="inlineStr">
        <is>
          <t>FLEET</t>
        </is>
      </c>
      <c r="E301" t="inlineStr">
        <is>
          <t>FLEET-06</t>
        </is>
      </c>
      <c r="F301" s="17" t="n">
        <v>45610</v>
      </c>
      <c r="G301" s="17" t="n">
        <v>45623</v>
      </c>
      <c r="H301" s="18" t="n">
        <v>60</v>
      </c>
      <c r="I301" s="19" t="n">
        <v>33.48</v>
      </c>
      <c r="J301" s="19" t="n">
        <v>33</v>
      </c>
      <c r="K301" s="20" t="n">
        <v>0</v>
      </c>
      <c r="L301" s="20" t="n">
        <v>0</v>
      </c>
      <c r="M301" s="18" t="n">
        <v>60</v>
      </c>
      <c r="N301" s="18" t="n">
        <v>60</v>
      </c>
      <c r="O301" s="18" t="n">
        <v>0</v>
      </c>
      <c r="P301" s="17" t="n">
        <v>45622</v>
      </c>
      <c r="Q301" s="17" t="n">
        <v>45622</v>
      </c>
      <c r="R301" s="17" t="n">
        <v>45622</v>
      </c>
      <c r="S301" s="19">
        <f>H301*I301</f>
        <v/>
      </c>
      <c r="T301" s="19">
        <f>H301*J301</f>
        <v/>
      </c>
      <c r="U301">
        <f>IF(AND(K301=0,G301&lt;=Assumptions!$C$6),1,0)</f>
        <v/>
      </c>
      <c r="V301">
        <f>IF(U301=1,IF(M301&gt;0,IF(P301&lt;=G301+Assumptions!$C$7,1,0),0),0)</f>
        <v/>
      </c>
      <c r="W301">
        <f>IF(AND(U301=1,M301&gt;=H301*(1-Assumptions!$C$8)),1,0)</f>
        <v/>
      </c>
      <c r="X301">
        <f>IF(AND(U301=1,N301&gt;=H301*(1-Assumptions!$C$8)),1,0)</f>
        <v/>
      </c>
      <c r="Y301">
        <f>IF(ISNUMBER(Q301),1,0)</f>
        <v/>
      </c>
      <c r="Z301">
        <f>IF(AND(K301=0,L301=0,Y301=0),1,0)</f>
        <v/>
      </c>
      <c r="AA301">
        <f>IF(AND(Z301=1,G301&lt;Assumptions!$C$6),1,0)</f>
        <v/>
      </c>
      <c r="AB301">
        <f>IF(U301=0,"",IF(Y301=1,MAX(0,Q301-G301),IF(L301=1,MAX(0,R301-G301),MAX(0,Assumptions!$C$6-G301))))</f>
        <v/>
      </c>
      <c r="AC301">
        <f>IF(Y301=1,Q301-F301,"")</f>
        <v/>
      </c>
      <c r="AD301">
        <f>IF(Y301=1,AC301^2,"")</f>
        <v/>
      </c>
      <c r="AE301" s="19">
        <f>IF(Z301=1,(H301-M301)*I301,0)</f>
        <v/>
      </c>
      <c r="AF301">
        <f>IF(G301&lt;EDATE(Assumptions!$C$6,-12)+1,"prior_12m","last_12m")</f>
        <v/>
      </c>
      <c r="AG301" s="21">
        <f>DATE(YEAR(G301),MONTH(G301),1)</f>
        <v/>
      </c>
    </row>
    <row r="302">
      <c r="A302" t="inlineStr">
        <is>
          <t>SPO-00165-3</t>
        </is>
      </c>
      <c r="B302" t="inlineStr">
        <is>
          <t>SPO-00165</t>
        </is>
      </c>
      <c r="C302" t="inlineStr">
        <is>
          <t>SUP-04</t>
        </is>
      </c>
      <c r="D302" t="inlineStr">
        <is>
          <t>FLEET</t>
        </is>
      </c>
      <c r="E302" t="inlineStr">
        <is>
          <t>FLEET-08</t>
        </is>
      </c>
      <c r="F302" s="17" t="n">
        <v>45610</v>
      </c>
      <c r="G302" s="17" t="n">
        <v>45623</v>
      </c>
      <c r="H302" s="18" t="n">
        <v>195</v>
      </c>
      <c r="I302" s="19" t="n">
        <v>6.52</v>
      </c>
      <c r="J302" s="19" t="n">
        <v>6.4</v>
      </c>
      <c r="K302" s="20" t="n">
        <v>0</v>
      </c>
      <c r="L302" s="20" t="n">
        <v>0</v>
      </c>
      <c r="M302" s="18" t="n">
        <v>195</v>
      </c>
      <c r="N302" s="18" t="n">
        <v>195</v>
      </c>
      <c r="O302" s="18" t="n">
        <v>0</v>
      </c>
      <c r="P302" s="17" t="n">
        <v>45611</v>
      </c>
      <c r="Q302" s="17" t="n">
        <v>45611</v>
      </c>
      <c r="R302" s="17" t="n">
        <v>45611</v>
      </c>
      <c r="S302" s="19">
        <f>H302*I302</f>
        <v/>
      </c>
      <c r="T302" s="19">
        <f>H302*J302</f>
        <v/>
      </c>
      <c r="U302">
        <f>IF(AND(K302=0,G302&lt;=Assumptions!$C$6),1,0)</f>
        <v/>
      </c>
      <c r="V302">
        <f>IF(U302=1,IF(M302&gt;0,IF(P302&lt;=G302+Assumptions!$C$7,1,0),0),0)</f>
        <v/>
      </c>
      <c r="W302">
        <f>IF(AND(U302=1,M302&gt;=H302*(1-Assumptions!$C$8)),1,0)</f>
        <v/>
      </c>
      <c r="X302">
        <f>IF(AND(U302=1,N302&gt;=H302*(1-Assumptions!$C$8)),1,0)</f>
        <v/>
      </c>
      <c r="Y302">
        <f>IF(ISNUMBER(Q302),1,0)</f>
        <v/>
      </c>
      <c r="Z302">
        <f>IF(AND(K302=0,L302=0,Y302=0),1,0)</f>
        <v/>
      </c>
      <c r="AA302">
        <f>IF(AND(Z302=1,G302&lt;Assumptions!$C$6),1,0)</f>
        <v/>
      </c>
      <c r="AB302">
        <f>IF(U302=0,"",IF(Y302=1,MAX(0,Q302-G302),IF(L302=1,MAX(0,R302-G302),MAX(0,Assumptions!$C$6-G302))))</f>
        <v/>
      </c>
      <c r="AC302">
        <f>IF(Y302=1,Q302-F302,"")</f>
        <v/>
      </c>
      <c r="AD302">
        <f>IF(Y302=1,AC302^2,"")</f>
        <v/>
      </c>
      <c r="AE302" s="19">
        <f>IF(Z302=1,(H302-M302)*I302,0)</f>
        <v/>
      </c>
      <c r="AF302">
        <f>IF(G302&lt;EDATE(Assumptions!$C$6,-12)+1,"prior_12m","last_12m")</f>
        <v/>
      </c>
      <c r="AG302" s="21">
        <f>DATE(YEAR(G302),MONTH(G302),1)</f>
        <v/>
      </c>
    </row>
    <row r="303">
      <c r="A303" t="inlineStr">
        <is>
          <t>SPO-00165-4</t>
        </is>
      </c>
      <c r="B303" t="inlineStr">
        <is>
          <t>SPO-00165</t>
        </is>
      </c>
      <c r="C303" t="inlineStr">
        <is>
          <t>SUP-04</t>
        </is>
      </c>
      <c r="D303" t="inlineStr">
        <is>
          <t>FLEET</t>
        </is>
      </c>
      <c r="E303" t="inlineStr">
        <is>
          <t>FLEET-01</t>
        </is>
      </c>
      <c r="F303" s="17" t="n">
        <v>45610</v>
      </c>
      <c r="G303" s="17" t="n">
        <v>45623</v>
      </c>
      <c r="H303" s="18" t="n">
        <v>71</v>
      </c>
      <c r="I303" s="19" t="n">
        <v>64.55</v>
      </c>
      <c r="J303" s="19" t="n">
        <v>64</v>
      </c>
      <c r="K303" s="20" t="n">
        <v>0</v>
      </c>
      <c r="L303" s="20" t="n">
        <v>0</v>
      </c>
      <c r="M303" s="18" t="n">
        <v>71</v>
      </c>
      <c r="N303" s="18" t="n">
        <v>0</v>
      </c>
      <c r="O303" s="18" t="n">
        <v>0</v>
      </c>
      <c r="P303" s="17" t="n">
        <v>45624</v>
      </c>
      <c r="Q303" s="17" t="n">
        <v>45624</v>
      </c>
      <c r="R303" s="17" t="n">
        <v>45624</v>
      </c>
      <c r="S303" s="19">
        <f>H303*I303</f>
        <v/>
      </c>
      <c r="T303" s="19">
        <f>H303*J303</f>
        <v/>
      </c>
      <c r="U303">
        <f>IF(AND(K303=0,G303&lt;=Assumptions!$C$6),1,0)</f>
        <v/>
      </c>
      <c r="V303">
        <f>IF(U303=1,IF(M303&gt;0,IF(P303&lt;=G303+Assumptions!$C$7,1,0),0),0)</f>
        <v/>
      </c>
      <c r="W303">
        <f>IF(AND(U303=1,M303&gt;=H303*(1-Assumptions!$C$8)),1,0)</f>
        <v/>
      </c>
      <c r="X303">
        <f>IF(AND(U303=1,N303&gt;=H303*(1-Assumptions!$C$8)),1,0)</f>
        <v/>
      </c>
      <c r="Y303">
        <f>IF(ISNUMBER(Q303),1,0)</f>
        <v/>
      </c>
      <c r="Z303">
        <f>IF(AND(K303=0,L303=0,Y303=0),1,0)</f>
        <v/>
      </c>
      <c r="AA303">
        <f>IF(AND(Z303=1,G303&lt;Assumptions!$C$6),1,0)</f>
        <v/>
      </c>
      <c r="AB303">
        <f>IF(U303=0,"",IF(Y303=1,MAX(0,Q303-G303),IF(L303=1,MAX(0,R303-G303),MAX(0,Assumptions!$C$6-G303))))</f>
        <v/>
      </c>
      <c r="AC303">
        <f>IF(Y303=1,Q303-F303,"")</f>
        <v/>
      </c>
      <c r="AD303">
        <f>IF(Y303=1,AC303^2,"")</f>
        <v/>
      </c>
      <c r="AE303" s="19">
        <f>IF(Z303=1,(H303-M303)*I303,0)</f>
        <v/>
      </c>
      <c r="AF303">
        <f>IF(G303&lt;EDATE(Assumptions!$C$6,-12)+1,"prior_12m","last_12m")</f>
        <v/>
      </c>
      <c r="AG303" s="21">
        <f>DATE(YEAR(G303),MONTH(G303),1)</f>
        <v/>
      </c>
    </row>
    <row r="304">
      <c r="A304" t="inlineStr">
        <is>
          <t>SPO-00166-1</t>
        </is>
      </c>
      <c r="B304" t="inlineStr">
        <is>
          <t>SPO-00166</t>
        </is>
      </c>
      <c r="C304" t="inlineStr">
        <is>
          <t>SUP-09</t>
        </is>
      </c>
      <c r="D304" t="inlineStr">
        <is>
          <t>CHEM</t>
        </is>
      </c>
      <c r="E304" t="inlineStr">
        <is>
          <t>CHEM-02</t>
        </is>
      </c>
      <c r="F304" s="17" t="n">
        <v>45611</v>
      </c>
      <c r="G304" s="17" t="n">
        <v>45625</v>
      </c>
      <c r="H304" s="18" t="n">
        <v>6</v>
      </c>
      <c r="I304" s="19" t="n">
        <v>416.02</v>
      </c>
      <c r="J304" s="19" t="n">
        <v>410</v>
      </c>
      <c r="K304" s="20" t="n">
        <v>0</v>
      </c>
      <c r="L304" s="20" t="n">
        <v>0</v>
      </c>
      <c r="M304" s="18" t="n">
        <v>6</v>
      </c>
      <c r="N304" s="18" t="n">
        <v>6</v>
      </c>
      <c r="O304" s="18" t="n">
        <v>0</v>
      </c>
      <c r="P304" s="17" t="n">
        <v>45624</v>
      </c>
      <c r="Q304" s="17" t="n">
        <v>45624</v>
      </c>
      <c r="R304" s="17" t="n">
        <v>45624</v>
      </c>
      <c r="S304" s="19">
        <f>H304*I304</f>
        <v/>
      </c>
      <c r="T304" s="19">
        <f>H304*J304</f>
        <v/>
      </c>
      <c r="U304">
        <f>IF(AND(K304=0,G304&lt;=Assumptions!$C$6),1,0)</f>
        <v/>
      </c>
      <c r="V304">
        <f>IF(U304=1,IF(M304&gt;0,IF(P304&lt;=G304+Assumptions!$C$7,1,0),0),0)</f>
        <v/>
      </c>
      <c r="W304">
        <f>IF(AND(U304=1,M304&gt;=H304*(1-Assumptions!$C$8)),1,0)</f>
        <v/>
      </c>
      <c r="X304">
        <f>IF(AND(U304=1,N304&gt;=H304*(1-Assumptions!$C$8)),1,0)</f>
        <v/>
      </c>
      <c r="Y304">
        <f>IF(ISNUMBER(Q304),1,0)</f>
        <v/>
      </c>
      <c r="Z304">
        <f>IF(AND(K304=0,L304=0,Y304=0),1,0)</f>
        <v/>
      </c>
      <c r="AA304">
        <f>IF(AND(Z304=1,G304&lt;Assumptions!$C$6),1,0)</f>
        <v/>
      </c>
      <c r="AB304">
        <f>IF(U304=0,"",IF(Y304=1,MAX(0,Q304-G304),IF(L304=1,MAX(0,R304-G304),MAX(0,Assumptions!$C$6-G304))))</f>
        <v/>
      </c>
      <c r="AC304">
        <f>IF(Y304=1,Q304-F304,"")</f>
        <v/>
      </c>
      <c r="AD304">
        <f>IF(Y304=1,AC304^2,"")</f>
        <v/>
      </c>
      <c r="AE304" s="19">
        <f>IF(Z304=1,(H304-M304)*I304,0)</f>
        <v/>
      </c>
      <c r="AF304">
        <f>IF(G304&lt;EDATE(Assumptions!$C$6,-12)+1,"prior_12m","last_12m")</f>
        <v/>
      </c>
      <c r="AG304" s="21">
        <f>DATE(YEAR(G304),MONTH(G304),1)</f>
        <v/>
      </c>
    </row>
    <row r="305">
      <c r="A305" t="inlineStr">
        <is>
          <t>SPO-00166-2</t>
        </is>
      </c>
      <c r="B305" t="inlineStr">
        <is>
          <t>SPO-00166</t>
        </is>
      </c>
      <c r="C305" t="inlineStr">
        <is>
          <t>SUP-09</t>
        </is>
      </c>
      <c r="D305" t="inlineStr">
        <is>
          <t>CHEM</t>
        </is>
      </c>
      <c r="E305" t="inlineStr">
        <is>
          <t>CHEM-01</t>
        </is>
      </c>
      <c r="F305" s="17" t="n">
        <v>45611</v>
      </c>
      <c r="G305" s="17" t="n">
        <v>45625</v>
      </c>
      <c r="H305" s="18" t="n">
        <v>4</v>
      </c>
      <c r="I305" s="19" t="n">
        <v>667.14</v>
      </c>
      <c r="J305" s="19" t="n">
        <v>640</v>
      </c>
      <c r="K305" s="20" t="n">
        <v>0</v>
      </c>
      <c r="L305" s="20" t="n">
        <v>0</v>
      </c>
      <c r="M305" s="18" t="n">
        <v>4</v>
      </c>
      <c r="N305" s="18" t="n">
        <v>4</v>
      </c>
      <c r="O305" s="18" t="n">
        <v>0</v>
      </c>
      <c r="P305" s="17" t="n">
        <v>45622</v>
      </c>
      <c r="Q305" s="17" t="n">
        <v>45622</v>
      </c>
      <c r="R305" s="17" t="n">
        <v>45622</v>
      </c>
      <c r="S305" s="19">
        <f>H305*I305</f>
        <v/>
      </c>
      <c r="T305" s="19">
        <f>H305*J305</f>
        <v/>
      </c>
      <c r="U305">
        <f>IF(AND(K305=0,G305&lt;=Assumptions!$C$6),1,0)</f>
        <v/>
      </c>
      <c r="V305">
        <f>IF(U305=1,IF(M305&gt;0,IF(P305&lt;=G305+Assumptions!$C$7,1,0),0),0)</f>
        <v/>
      </c>
      <c r="W305">
        <f>IF(AND(U305=1,M305&gt;=H305*(1-Assumptions!$C$8)),1,0)</f>
        <v/>
      </c>
      <c r="X305">
        <f>IF(AND(U305=1,N305&gt;=H305*(1-Assumptions!$C$8)),1,0)</f>
        <v/>
      </c>
      <c r="Y305">
        <f>IF(ISNUMBER(Q305),1,0)</f>
        <v/>
      </c>
      <c r="Z305">
        <f>IF(AND(K305=0,L305=0,Y305=0),1,0)</f>
        <v/>
      </c>
      <c r="AA305">
        <f>IF(AND(Z305=1,G305&lt;Assumptions!$C$6),1,0)</f>
        <v/>
      </c>
      <c r="AB305">
        <f>IF(U305=0,"",IF(Y305=1,MAX(0,Q305-G305),IF(L305=1,MAX(0,R305-G305),MAX(0,Assumptions!$C$6-G305))))</f>
        <v/>
      </c>
      <c r="AC305">
        <f>IF(Y305=1,Q305-F305,"")</f>
        <v/>
      </c>
      <c r="AD305">
        <f>IF(Y305=1,AC305^2,"")</f>
        <v/>
      </c>
      <c r="AE305" s="19">
        <f>IF(Z305=1,(H305-M305)*I305,0)</f>
        <v/>
      </c>
      <c r="AF305">
        <f>IF(G305&lt;EDATE(Assumptions!$C$6,-12)+1,"prior_12m","last_12m")</f>
        <v/>
      </c>
      <c r="AG305" s="21">
        <f>DATE(YEAR(G305),MONTH(G305),1)</f>
        <v/>
      </c>
    </row>
    <row r="306">
      <c r="A306" t="inlineStr">
        <is>
          <t>SPO-00167-1</t>
        </is>
      </c>
      <c r="B306" t="inlineStr">
        <is>
          <t>SPO-00167</t>
        </is>
      </c>
      <c r="C306" t="inlineStr">
        <is>
          <t>SUP-09</t>
        </is>
      </c>
      <c r="D306" t="inlineStr">
        <is>
          <t>CHEM</t>
        </is>
      </c>
      <c r="E306" t="inlineStr">
        <is>
          <t>CHEM-04</t>
        </is>
      </c>
      <c r="F306" s="17" t="n">
        <v>45611</v>
      </c>
      <c r="G306" s="17" t="n">
        <v>45625</v>
      </c>
      <c r="H306" s="18" t="n">
        <v>1</v>
      </c>
      <c r="I306" s="19" t="n">
        <v>835.0599999999999</v>
      </c>
      <c r="J306" s="19" t="n">
        <v>820</v>
      </c>
      <c r="K306" s="20" t="n">
        <v>0</v>
      </c>
      <c r="L306" s="20" t="n">
        <v>0</v>
      </c>
      <c r="M306" s="18" t="n">
        <v>1</v>
      </c>
      <c r="N306" s="18" t="n">
        <v>1</v>
      </c>
      <c r="O306" s="18" t="n">
        <v>0</v>
      </c>
      <c r="P306" s="17" t="n">
        <v>45623</v>
      </c>
      <c r="Q306" s="17" t="n">
        <v>45623</v>
      </c>
      <c r="R306" s="17" t="n">
        <v>45623</v>
      </c>
      <c r="S306" s="19">
        <f>H306*I306</f>
        <v/>
      </c>
      <c r="T306" s="19">
        <f>H306*J306</f>
        <v/>
      </c>
      <c r="U306">
        <f>IF(AND(K306=0,G306&lt;=Assumptions!$C$6),1,0)</f>
        <v/>
      </c>
      <c r="V306">
        <f>IF(U306=1,IF(M306&gt;0,IF(P306&lt;=G306+Assumptions!$C$7,1,0),0),0)</f>
        <v/>
      </c>
      <c r="W306">
        <f>IF(AND(U306=1,M306&gt;=H306*(1-Assumptions!$C$8)),1,0)</f>
        <v/>
      </c>
      <c r="X306">
        <f>IF(AND(U306=1,N306&gt;=H306*(1-Assumptions!$C$8)),1,0)</f>
        <v/>
      </c>
      <c r="Y306">
        <f>IF(ISNUMBER(Q306),1,0)</f>
        <v/>
      </c>
      <c r="Z306">
        <f>IF(AND(K306=0,L306=0,Y306=0),1,0)</f>
        <v/>
      </c>
      <c r="AA306">
        <f>IF(AND(Z306=1,G306&lt;Assumptions!$C$6),1,0)</f>
        <v/>
      </c>
      <c r="AB306">
        <f>IF(U306=0,"",IF(Y306=1,MAX(0,Q306-G306),IF(L306=1,MAX(0,R306-G306),MAX(0,Assumptions!$C$6-G306))))</f>
        <v/>
      </c>
      <c r="AC306">
        <f>IF(Y306=1,Q306-F306,"")</f>
        <v/>
      </c>
      <c r="AD306">
        <f>IF(Y306=1,AC306^2,"")</f>
        <v/>
      </c>
      <c r="AE306" s="19">
        <f>IF(Z306=1,(H306-M306)*I306,0)</f>
        <v/>
      </c>
      <c r="AF306">
        <f>IF(G306&lt;EDATE(Assumptions!$C$6,-12)+1,"prior_12m","last_12m")</f>
        <v/>
      </c>
      <c r="AG306" s="21">
        <f>DATE(YEAR(G306),MONTH(G306),1)</f>
        <v/>
      </c>
    </row>
    <row r="307">
      <c r="A307" t="inlineStr">
        <is>
          <t>SPO-00167-2</t>
        </is>
      </c>
      <c r="B307" t="inlineStr">
        <is>
          <t>SPO-00167</t>
        </is>
      </c>
      <c r="C307" t="inlineStr">
        <is>
          <t>SUP-09</t>
        </is>
      </c>
      <c r="D307" t="inlineStr">
        <is>
          <t>CHEM</t>
        </is>
      </c>
      <c r="E307" t="inlineStr">
        <is>
          <t>CHEM-01</t>
        </is>
      </c>
      <c r="F307" s="17" t="n">
        <v>45611</v>
      </c>
      <c r="G307" s="17" t="n">
        <v>45625</v>
      </c>
      <c r="H307" s="18" t="n">
        <v>3</v>
      </c>
      <c r="I307" s="19" t="n">
        <v>648.75</v>
      </c>
      <c r="J307" s="19" t="n">
        <v>640</v>
      </c>
      <c r="K307" s="20" t="n">
        <v>0</v>
      </c>
      <c r="L307" s="20" t="n">
        <v>0</v>
      </c>
      <c r="M307" s="18" t="n">
        <v>3</v>
      </c>
      <c r="N307" s="18" t="n">
        <v>3</v>
      </c>
      <c r="O307" s="18" t="n">
        <v>0</v>
      </c>
      <c r="P307" s="17" t="n">
        <v>45623</v>
      </c>
      <c r="Q307" s="17" t="n">
        <v>45623</v>
      </c>
      <c r="R307" s="17" t="n">
        <v>45623</v>
      </c>
      <c r="S307" s="19">
        <f>H307*I307</f>
        <v/>
      </c>
      <c r="T307" s="19">
        <f>H307*J307</f>
        <v/>
      </c>
      <c r="U307">
        <f>IF(AND(K307=0,G307&lt;=Assumptions!$C$6),1,0)</f>
        <v/>
      </c>
      <c r="V307">
        <f>IF(U307=1,IF(M307&gt;0,IF(P307&lt;=G307+Assumptions!$C$7,1,0),0),0)</f>
        <v/>
      </c>
      <c r="W307">
        <f>IF(AND(U307=1,M307&gt;=H307*(1-Assumptions!$C$8)),1,0)</f>
        <v/>
      </c>
      <c r="X307">
        <f>IF(AND(U307=1,N307&gt;=H307*(1-Assumptions!$C$8)),1,0)</f>
        <v/>
      </c>
      <c r="Y307">
        <f>IF(ISNUMBER(Q307),1,0)</f>
        <v/>
      </c>
      <c r="Z307">
        <f>IF(AND(K307=0,L307=0,Y307=0),1,0)</f>
        <v/>
      </c>
      <c r="AA307">
        <f>IF(AND(Z307=1,G307&lt;Assumptions!$C$6),1,0)</f>
        <v/>
      </c>
      <c r="AB307">
        <f>IF(U307=0,"",IF(Y307=1,MAX(0,Q307-G307),IF(L307=1,MAX(0,R307-G307),MAX(0,Assumptions!$C$6-G307))))</f>
        <v/>
      </c>
      <c r="AC307">
        <f>IF(Y307=1,Q307-F307,"")</f>
        <v/>
      </c>
      <c r="AD307">
        <f>IF(Y307=1,AC307^2,"")</f>
        <v/>
      </c>
      <c r="AE307" s="19">
        <f>IF(Z307=1,(H307-M307)*I307,0)</f>
        <v/>
      </c>
      <c r="AF307">
        <f>IF(G307&lt;EDATE(Assumptions!$C$6,-12)+1,"prior_12m","last_12m")</f>
        <v/>
      </c>
      <c r="AG307" s="21">
        <f>DATE(YEAR(G307),MONTH(G307),1)</f>
        <v/>
      </c>
    </row>
    <row r="308">
      <c r="A308" t="inlineStr">
        <is>
          <t>SPO-00168-1</t>
        </is>
      </c>
      <c r="B308" t="inlineStr">
        <is>
          <t>SPO-00168</t>
        </is>
      </c>
      <c r="C308" t="inlineStr">
        <is>
          <t>SUP-12</t>
        </is>
      </c>
      <c r="D308" t="inlineStr">
        <is>
          <t>IT</t>
        </is>
      </c>
      <c r="E308" t="inlineStr">
        <is>
          <t>IT-04</t>
        </is>
      </c>
      <c r="F308" s="17" t="n">
        <v>45611</v>
      </c>
      <c r="G308" s="17" t="n">
        <v>45621</v>
      </c>
      <c r="H308" s="18" t="n">
        <v>111</v>
      </c>
      <c r="I308" s="19" t="n">
        <v>13.35</v>
      </c>
      <c r="J308" s="19" t="n">
        <v>12</v>
      </c>
      <c r="K308" s="20" t="n">
        <v>0</v>
      </c>
      <c r="L308" s="20" t="n">
        <v>0</v>
      </c>
      <c r="M308" s="18" t="n">
        <v>111</v>
      </c>
      <c r="N308" s="18" t="n">
        <v>111</v>
      </c>
      <c r="O308" s="18" t="n">
        <v>0</v>
      </c>
      <c r="P308" s="17" t="n">
        <v>45616</v>
      </c>
      <c r="Q308" s="17" t="n">
        <v>45616</v>
      </c>
      <c r="R308" s="17" t="n">
        <v>45616</v>
      </c>
      <c r="S308" s="19">
        <f>H308*I308</f>
        <v/>
      </c>
      <c r="T308" s="19">
        <f>H308*J308</f>
        <v/>
      </c>
      <c r="U308">
        <f>IF(AND(K308=0,G308&lt;=Assumptions!$C$6),1,0)</f>
        <v/>
      </c>
      <c r="V308">
        <f>IF(U308=1,IF(M308&gt;0,IF(P308&lt;=G308+Assumptions!$C$7,1,0),0),0)</f>
        <v/>
      </c>
      <c r="W308">
        <f>IF(AND(U308=1,M308&gt;=H308*(1-Assumptions!$C$8)),1,0)</f>
        <v/>
      </c>
      <c r="X308">
        <f>IF(AND(U308=1,N308&gt;=H308*(1-Assumptions!$C$8)),1,0)</f>
        <v/>
      </c>
      <c r="Y308">
        <f>IF(ISNUMBER(Q308),1,0)</f>
        <v/>
      </c>
      <c r="Z308">
        <f>IF(AND(K308=0,L308=0,Y308=0),1,0)</f>
        <v/>
      </c>
      <c r="AA308">
        <f>IF(AND(Z308=1,G308&lt;Assumptions!$C$6),1,0)</f>
        <v/>
      </c>
      <c r="AB308">
        <f>IF(U308=0,"",IF(Y308=1,MAX(0,Q308-G308),IF(L308=1,MAX(0,R308-G308),MAX(0,Assumptions!$C$6-G308))))</f>
        <v/>
      </c>
      <c r="AC308">
        <f>IF(Y308=1,Q308-F308,"")</f>
        <v/>
      </c>
      <c r="AD308">
        <f>IF(Y308=1,AC308^2,"")</f>
        <v/>
      </c>
      <c r="AE308" s="19">
        <f>IF(Z308=1,(H308-M308)*I308,0)</f>
        <v/>
      </c>
      <c r="AF308">
        <f>IF(G308&lt;EDATE(Assumptions!$C$6,-12)+1,"prior_12m","last_12m")</f>
        <v/>
      </c>
      <c r="AG308" s="21">
        <f>DATE(YEAR(G308),MONTH(G308),1)</f>
        <v/>
      </c>
    </row>
    <row r="309">
      <c r="A309" t="inlineStr">
        <is>
          <t>SPO-00169-1</t>
        </is>
      </c>
      <c r="B309" t="inlineStr">
        <is>
          <t>SPO-00169</t>
        </is>
      </c>
      <c r="C309" t="inlineStr">
        <is>
          <t>SUP-01</t>
        </is>
      </c>
      <c r="D309" t="inlineStr">
        <is>
          <t>ELEC</t>
        </is>
      </c>
      <c r="E309" t="inlineStr">
        <is>
          <t>ELEC-06</t>
        </is>
      </c>
      <c r="F309" s="17" t="n">
        <v>45612</v>
      </c>
      <c r="G309" s="17" t="n">
        <v>45630</v>
      </c>
      <c r="H309" s="18" t="n">
        <v>25</v>
      </c>
      <c r="I309" s="19" t="n">
        <v>142.31</v>
      </c>
      <c r="J309" s="19" t="n">
        <v>145</v>
      </c>
      <c r="K309" s="20" t="n">
        <v>0</v>
      </c>
      <c r="L309" s="20" t="n">
        <v>0</v>
      </c>
      <c r="M309" s="18" t="n">
        <v>25</v>
      </c>
      <c r="N309" s="18" t="n">
        <v>25</v>
      </c>
      <c r="O309" s="18" t="n">
        <v>0</v>
      </c>
      <c r="P309" s="17" t="n">
        <v>45626</v>
      </c>
      <c r="Q309" s="17" t="n">
        <v>45626</v>
      </c>
      <c r="R309" s="17" t="n">
        <v>45626</v>
      </c>
      <c r="S309" s="19">
        <f>H309*I309</f>
        <v/>
      </c>
      <c r="T309" s="19">
        <f>H309*J309</f>
        <v/>
      </c>
      <c r="U309">
        <f>IF(AND(K309=0,G309&lt;=Assumptions!$C$6),1,0)</f>
        <v/>
      </c>
      <c r="V309">
        <f>IF(U309=1,IF(M309&gt;0,IF(P309&lt;=G309+Assumptions!$C$7,1,0),0),0)</f>
        <v/>
      </c>
      <c r="W309">
        <f>IF(AND(U309=1,M309&gt;=H309*(1-Assumptions!$C$8)),1,0)</f>
        <v/>
      </c>
      <c r="X309">
        <f>IF(AND(U309=1,N309&gt;=H309*(1-Assumptions!$C$8)),1,0)</f>
        <v/>
      </c>
      <c r="Y309">
        <f>IF(ISNUMBER(Q309),1,0)</f>
        <v/>
      </c>
      <c r="Z309">
        <f>IF(AND(K309=0,L309=0,Y309=0),1,0)</f>
        <v/>
      </c>
      <c r="AA309">
        <f>IF(AND(Z309=1,G309&lt;Assumptions!$C$6),1,0)</f>
        <v/>
      </c>
      <c r="AB309">
        <f>IF(U309=0,"",IF(Y309=1,MAX(0,Q309-G309),IF(L309=1,MAX(0,R309-G309),MAX(0,Assumptions!$C$6-G309))))</f>
        <v/>
      </c>
      <c r="AC309">
        <f>IF(Y309=1,Q309-F309,"")</f>
        <v/>
      </c>
      <c r="AD309">
        <f>IF(Y309=1,AC309^2,"")</f>
        <v/>
      </c>
      <c r="AE309" s="19">
        <f>IF(Z309=1,(H309-M309)*I309,0)</f>
        <v/>
      </c>
      <c r="AF309">
        <f>IF(G309&lt;EDATE(Assumptions!$C$6,-12)+1,"prior_12m","last_12m")</f>
        <v/>
      </c>
      <c r="AG309" s="21">
        <f>DATE(YEAR(G309),MONTH(G309),1)</f>
        <v/>
      </c>
    </row>
    <row r="310">
      <c r="A310" t="inlineStr">
        <is>
          <t>SPO-00169-2</t>
        </is>
      </c>
      <c r="B310" t="inlineStr">
        <is>
          <t>SPO-00169</t>
        </is>
      </c>
      <c r="C310" t="inlineStr">
        <is>
          <t>SUP-01</t>
        </is>
      </c>
      <c r="D310" t="inlineStr">
        <is>
          <t>ELEC</t>
        </is>
      </c>
      <c r="E310" t="inlineStr">
        <is>
          <t>ELEC-04</t>
        </is>
      </c>
      <c r="F310" s="17" t="n">
        <v>45612</v>
      </c>
      <c r="G310" s="17" t="n">
        <v>45630</v>
      </c>
      <c r="H310" s="18" t="n">
        <v>45</v>
      </c>
      <c r="I310" s="19" t="n">
        <v>66.70999999999999</v>
      </c>
      <c r="J310" s="19" t="n">
        <v>72</v>
      </c>
      <c r="K310" s="20" t="n">
        <v>0</v>
      </c>
      <c r="L310" s="20" t="n">
        <v>0</v>
      </c>
      <c r="M310" s="18" t="n">
        <v>45</v>
      </c>
      <c r="N310" s="18" t="n">
        <v>0</v>
      </c>
      <c r="O310" s="18" t="n">
        <v>0</v>
      </c>
      <c r="P310" s="17" t="n">
        <v>45631</v>
      </c>
      <c r="Q310" s="17" t="n">
        <v>45631</v>
      </c>
      <c r="R310" s="17" t="n">
        <v>45631</v>
      </c>
      <c r="S310" s="19">
        <f>H310*I310</f>
        <v/>
      </c>
      <c r="T310" s="19">
        <f>H310*J310</f>
        <v/>
      </c>
      <c r="U310">
        <f>IF(AND(K310=0,G310&lt;=Assumptions!$C$6),1,0)</f>
        <v/>
      </c>
      <c r="V310">
        <f>IF(U310=1,IF(M310&gt;0,IF(P310&lt;=G310+Assumptions!$C$7,1,0),0),0)</f>
        <v/>
      </c>
      <c r="W310">
        <f>IF(AND(U310=1,M310&gt;=H310*(1-Assumptions!$C$8)),1,0)</f>
        <v/>
      </c>
      <c r="X310">
        <f>IF(AND(U310=1,N310&gt;=H310*(1-Assumptions!$C$8)),1,0)</f>
        <v/>
      </c>
      <c r="Y310">
        <f>IF(ISNUMBER(Q310),1,0)</f>
        <v/>
      </c>
      <c r="Z310">
        <f>IF(AND(K310=0,L310=0,Y310=0),1,0)</f>
        <v/>
      </c>
      <c r="AA310">
        <f>IF(AND(Z310=1,G310&lt;Assumptions!$C$6),1,0)</f>
        <v/>
      </c>
      <c r="AB310">
        <f>IF(U310=0,"",IF(Y310=1,MAX(0,Q310-G310),IF(L310=1,MAX(0,R310-G310),MAX(0,Assumptions!$C$6-G310))))</f>
        <v/>
      </c>
      <c r="AC310">
        <f>IF(Y310=1,Q310-F310,"")</f>
        <v/>
      </c>
      <c r="AD310">
        <f>IF(Y310=1,AC310^2,"")</f>
        <v/>
      </c>
      <c r="AE310" s="19">
        <f>IF(Z310=1,(H310-M310)*I310,0)</f>
        <v/>
      </c>
      <c r="AF310">
        <f>IF(G310&lt;EDATE(Assumptions!$C$6,-12)+1,"prior_12m","last_12m")</f>
        <v/>
      </c>
      <c r="AG310" s="21">
        <f>DATE(YEAR(G310),MONTH(G310),1)</f>
        <v/>
      </c>
    </row>
    <row r="311">
      <c r="A311" t="inlineStr">
        <is>
          <t>SPO-00169-3</t>
        </is>
      </c>
      <c r="B311" t="inlineStr">
        <is>
          <t>SPO-00169</t>
        </is>
      </c>
      <c r="C311" t="inlineStr">
        <is>
          <t>SUP-01</t>
        </is>
      </c>
      <c r="D311" t="inlineStr">
        <is>
          <t>ELEC</t>
        </is>
      </c>
      <c r="E311" t="inlineStr">
        <is>
          <t>ELEC-03</t>
        </is>
      </c>
      <c r="F311" s="17" t="n">
        <v>45612</v>
      </c>
      <c r="G311" s="17" t="n">
        <v>45630</v>
      </c>
      <c r="H311" s="18" t="n">
        <v>28</v>
      </c>
      <c r="I311" s="19" t="n">
        <v>96.59</v>
      </c>
      <c r="J311" s="19" t="n">
        <v>96</v>
      </c>
      <c r="K311" s="20" t="n">
        <v>0</v>
      </c>
      <c r="L311" s="20" t="n">
        <v>0</v>
      </c>
      <c r="M311" s="18" t="n">
        <v>28</v>
      </c>
      <c r="N311" s="18" t="n">
        <v>28</v>
      </c>
      <c r="O311" s="18" t="n">
        <v>0</v>
      </c>
      <c r="P311" s="17" t="n">
        <v>45628</v>
      </c>
      <c r="Q311" s="17" t="n">
        <v>45628</v>
      </c>
      <c r="R311" s="17" t="n">
        <v>45628</v>
      </c>
      <c r="S311" s="19">
        <f>H311*I311</f>
        <v/>
      </c>
      <c r="T311" s="19">
        <f>H311*J311</f>
        <v/>
      </c>
      <c r="U311">
        <f>IF(AND(K311=0,G311&lt;=Assumptions!$C$6),1,0)</f>
        <v/>
      </c>
      <c r="V311">
        <f>IF(U311=1,IF(M311&gt;0,IF(P311&lt;=G311+Assumptions!$C$7,1,0),0),0)</f>
        <v/>
      </c>
      <c r="W311">
        <f>IF(AND(U311=1,M311&gt;=H311*(1-Assumptions!$C$8)),1,0)</f>
        <v/>
      </c>
      <c r="X311">
        <f>IF(AND(U311=1,N311&gt;=H311*(1-Assumptions!$C$8)),1,0)</f>
        <v/>
      </c>
      <c r="Y311">
        <f>IF(ISNUMBER(Q311),1,0)</f>
        <v/>
      </c>
      <c r="Z311">
        <f>IF(AND(K311=0,L311=0,Y311=0),1,0)</f>
        <v/>
      </c>
      <c r="AA311">
        <f>IF(AND(Z311=1,G311&lt;Assumptions!$C$6),1,0)</f>
        <v/>
      </c>
      <c r="AB311">
        <f>IF(U311=0,"",IF(Y311=1,MAX(0,Q311-G311),IF(L311=1,MAX(0,R311-G311),MAX(0,Assumptions!$C$6-G311))))</f>
        <v/>
      </c>
      <c r="AC311">
        <f>IF(Y311=1,Q311-F311,"")</f>
        <v/>
      </c>
      <c r="AD311">
        <f>IF(Y311=1,AC311^2,"")</f>
        <v/>
      </c>
      <c r="AE311" s="19">
        <f>IF(Z311=1,(H311-M311)*I311,0)</f>
        <v/>
      </c>
      <c r="AF311">
        <f>IF(G311&lt;EDATE(Assumptions!$C$6,-12)+1,"prior_12m","last_12m")</f>
        <v/>
      </c>
      <c r="AG311" s="21">
        <f>DATE(YEAR(G311),MONTH(G311),1)</f>
        <v/>
      </c>
    </row>
    <row r="312">
      <c r="A312" t="inlineStr">
        <is>
          <t>SPO-00170-1</t>
        </is>
      </c>
      <c r="B312" t="inlineStr">
        <is>
          <t>SPO-00170</t>
        </is>
      </c>
      <c r="C312" t="inlineStr">
        <is>
          <t>SUP-06</t>
        </is>
      </c>
      <c r="D312" t="inlineStr">
        <is>
          <t>MRO</t>
        </is>
      </c>
      <c r="E312" t="inlineStr">
        <is>
          <t>MRO-01</t>
        </is>
      </c>
      <c r="F312" s="17" t="n">
        <v>45613</v>
      </c>
      <c r="G312" s="17" t="n">
        <v>45621</v>
      </c>
      <c r="H312" s="18" t="n">
        <v>36</v>
      </c>
      <c r="I312" s="19" t="n">
        <v>56.2</v>
      </c>
      <c r="J312" s="19" t="n">
        <v>52</v>
      </c>
      <c r="K312" s="20" t="n">
        <v>0</v>
      </c>
      <c r="L312" s="20" t="n">
        <v>0</v>
      </c>
      <c r="M312" s="18" t="n">
        <v>36</v>
      </c>
      <c r="N312" s="18" t="n">
        <v>36</v>
      </c>
      <c r="O312" s="18" t="n">
        <v>0</v>
      </c>
      <c r="P312" s="17" t="n">
        <v>45619</v>
      </c>
      <c r="Q312" s="17" t="n">
        <v>45619</v>
      </c>
      <c r="R312" s="17" t="n">
        <v>45619</v>
      </c>
      <c r="S312" s="19">
        <f>H312*I312</f>
        <v/>
      </c>
      <c r="T312" s="19">
        <f>H312*J312</f>
        <v/>
      </c>
      <c r="U312">
        <f>IF(AND(K312=0,G312&lt;=Assumptions!$C$6),1,0)</f>
        <v/>
      </c>
      <c r="V312">
        <f>IF(U312=1,IF(M312&gt;0,IF(P312&lt;=G312+Assumptions!$C$7,1,0),0),0)</f>
        <v/>
      </c>
      <c r="W312">
        <f>IF(AND(U312=1,M312&gt;=H312*(1-Assumptions!$C$8)),1,0)</f>
        <v/>
      </c>
      <c r="X312">
        <f>IF(AND(U312=1,N312&gt;=H312*(1-Assumptions!$C$8)),1,0)</f>
        <v/>
      </c>
      <c r="Y312">
        <f>IF(ISNUMBER(Q312),1,0)</f>
        <v/>
      </c>
      <c r="Z312">
        <f>IF(AND(K312=0,L312=0,Y312=0),1,0)</f>
        <v/>
      </c>
      <c r="AA312">
        <f>IF(AND(Z312=1,G312&lt;Assumptions!$C$6),1,0)</f>
        <v/>
      </c>
      <c r="AB312">
        <f>IF(U312=0,"",IF(Y312=1,MAX(0,Q312-G312),IF(L312=1,MAX(0,R312-G312),MAX(0,Assumptions!$C$6-G312))))</f>
        <v/>
      </c>
      <c r="AC312">
        <f>IF(Y312=1,Q312-F312,"")</f>
        <v/>
      </c>
      <c r="AD312">
        <f>IF(Y312=1,AC312^2,"")</f>
        <v/>
      </c>
      <c r="AE312" s="19">
        <f>IF(Z312=1,(H312-M312)*I312,0)</f>
        <v/>
      </c>
      <c r="AF312">
        <f>IF(G312&lt;EDATE(Assumptions!$C$6,-12)+1,"prior_12m","last_12m")</f>
        <v/>
      </c>
      <c r="AG312" s="21">
        <f>DATE(YEAR(G312),MONTH(G312),1)</f>
        <v/>
      </c>
    </row>
    <row r="313">
      <c r="A313" t="inlineStr">
        <is>
          <t>SPO-00170-2</t>
        </is>
      </c>
      <c r="B313" t="inlineStr">
        <is>
          <t>SPO-00170</t>
        </is>
      </c>
      <c r="C313" t="inlineStr">
        <is>
          <t>SUP-06</t>
        </is>
      </c>
      <c r="D313" t="inlineStr">
        <is>
          <t>MRO</t>
        </is>
      </c>
      <c r="E313" t="inlineStr">
        <is>
          <t>MRO-08</t>
        </is>
      </c>
      <c r="F313" s="17" t="n">
        <v>45613</v>
      </c>
      <c r="G313" s="17" t="n">
        <v>45621</v>
      </c>
      <c r="H313" s="18" t="n">
        <v>147</v>
      </c>
      <c r="I313" s="19" t="n">
        <v>7.36</v>
      </c>
      <c r="J313" s="19" t="n">
        <v>7.2</v>
      </c>
      <c r="K313" s="20" t="n">
        <v>0</v>
      </c>
      <c r="L313" s="20" t="n">
        <v>0</v>
      </c>
      <c r="M313" s="18" t="n">
        <v>147</v>
      </c>
      <c r="N313" s="18" t="n">
        <v>147</v>
      </c>
      <c r="O313" s="18" t="n">
        <v>0</v>
      </c>
      <c r="P313" s="17" t="n">
        <v>45618</v>
      </c>
      <c r="Q313" s="17" t="n">
        <v>45618</v>
      </c>
      <c r="R313" s="17" t="n">
        <v>45618</v>
      </c>
      <c r="S313" s="19">
        <f>H313*I313</f>
        <v/>
      </c>
      <c r="T313" s="19">
        <f>H313*J313</f>
        <v/>
      </c>
      <c r="U313">
        <f>IF(AND(K313=0,G313&lt;=Assumptions!$C$6),1,0)</f>
        <v/>
      </c>
      <c r="V313">
        <f>IF(U313=1,IF(M313&gt;0,IF(P313&lt;=G313+Assumptions!$C$7,1,0),0),0)</f>
        <v/>
      </c>
      <c r="W313">
        <f>IF(AND(U313=1,M313&gt;=H313*(1-Assumptions!$C$8)),1,0)</f>
        <v/>
      </c>
      <c r="X313">
        <f>IF(AND(U313=1,N313&gt;=H313*(1-Assumptions!$C$8)),1,0)</f>
        <v/>
      </c>
      <c r="Y313">
        <f>IF(ISNUMBER(Q313),1,0)</f>
        <v/>
      </c>
      <c r="Z313">
        <f>IF(AND(K313=0,L313=0,Y313=0),1,0)</f>
        <v/>
      </c>
      <c r="AA313">
        <f>IF(AND(Z313=1,G313&lt;Assumptions!$C$6),1,0)</f>
        <v/>
      </c>
      <c r="AB313">
        <f>IF(U313=0,"",IF(Y313=1,MAX(0,Q313-G313),IF(L313=1,MAX(0,R313-G313),MAX(0,Assumptions!$C$6-G313))))</f>
        <v/>
      </c>
      <c r="AC313">
        <f>IF(Y313=1,Q313-F313,"")</f>
        <v/>
      </c>
      <c r="AD313">
        <f>IF(Y313=1,AC313^2,"")</f>
        <v/>
      </c>
      <c r="AE313" s="19">
        <f>IF(Z313=1,(H313-M313)*I313,0)</f>
        <v/>
      </c>
      <c r="AF313">
        <f>IF(G313&lt;EDATE(Assumptions!$C$6,-12)+1,"prior_12m","last_12m")</f>
        <v/>
      </c>
      <c r="AG313" s="21">
        <f>DATE(YEAR(G313),MONTH(G313),1)</f>
        <v/>
      </c>
    </row>
    <row r="314">
      <c r="A314" t="inlineStr">
        <is>
          <t>SPO-00171-1</t>
        </is>
      </c>
      <c r="B314" t="inlineStr">
        <is>
          <t>SPO-00171</t>
        </is>
      </c>
      <c r="C314" t="inlineStr">
        <is>
          <t>SUP-10</t>
        </is>
      </c>
      <c r="D314" t="inlineStr">
        <is>
          <t>PPE</t>
        </is>
      </c>
      <c r="E314" t="inlineStr">
        <is>
          <t>PPE-08</t>
        </is>
      </c>
      <c r="F314" s="17" t="n">
        <v>45613</v>
      </c>
      <c r="G314" s="17" t="n">
        <v>45626</v>
      </c>
      <c r="H314" s="18" t="n">
        <v>31</v>
      </c>
      <c r="I314" s="19" t="n">
        <v>64.14</v>
      </c>
      <c r="J314" s="19" t="n">
        <v>64</v>
      </c>
      <c r="K314" s="20" t="n">
        <v>0</v>
      </c>
      <c r="L314" s="20" t="n">
        <v>0</v>
      </c>
      <c r="M314" s="18" t="n">
        <v>31</v>
      </c>
      <c r="N314" s="18" t="n">
        <v>31</v>
      </c>
      <c r="O314" s="18" t="n">
        <v>0</v>
      </c>
      <c r="P314" s="17" t="n">
        <v>45622</v>
      </c>
      <c r="Q314" s="17" t="n">
        <v>45622</v>
      </c>
      <c r="R314" s="17" t="n">
        <v>45622</v>
      </c>
      <c r="S314" s="19">
        <f>H314*I314</f>
        <v/>
      </c>
      <c r="T314" s="19">
        <f>H314*J314</f>
        <v/>
      </c>
      <c r="U314">
        <f>IF(AND(K314=0,G314&lt;=Assumptions!$C$6),1,0)</f>
        <v/>
      </c>
      <c r="V314">
        <f>IF(U314=1,IF(M314&gt;0,IF(P314&lt;=G314+Assumptions!$C$7,1,0),0),0)</f>
        <v/>
      </c>
      <c r="W314">
        <f>IF(AND(U314=1,M314&gt;=H314*(1-Assumptions!$C$8)),1,0)</f>
        <v/>
      </c>
      <c r="X314">
        <f>IF(AND(U314=1,N314&gt;=H314*(1-Assumptions!$C$8)),1,0)</f>
        <v/>
      </c>
      <c r="Y314">
        <f>IF(ISNUMBER(Q314),1,0)</f>
        <v/>
      </c>
      <c r="Z314">
        <f>IF(AND(K314=0,L314=0,Y314=0),1,0)</f>
        <v/>
      </c>
      <c r="AA314">
        <f>IF(AND(Z314=1,G314&lt;Assumptions!$C$6),1,0)</f>
        <v/>
      </c>
      <c r="AB314">
        <f>IF(U314=0,"",IF(Y314=1,MAX(0,Q314-G314),IF(L314=1,MAX(0,R314-G314),MAX(0,Assumptions!$C$6-G314))))</f>
        <v/>
      </c>
      <c r="AC314">
        <f>IF(Y314=1,Q314-F314,"")</f>
        <v/>
      </c>
      <c r="AD314">
        <f>IF(Y314=1,AC314^2,"")</f>
        <v/>
      </c>
      <c r="AE314" s="19">
        <f>IF(Z314=1,(H314-M314)*I314,0)</f>
        <v/>
      </c>
      <c r="AF314">
        <f>IF(G314&lt;EDATE(Assumptions!$C$6,-12)+1,"prior_12m","last_12m")</f>
        <v/>
      </c>
      <c r="AG314" s="21">
        <f>DATE(YEAR(G314),MONTH(G314),1)</f>
        <v/>
      </c>
    </row>
    <row r="315">
      <c r="A315" t="inlineStr">
        <is>
          <t>SPO-00171-2</t>
        </is>
      </c>
      <c r="B315" t="inlineStr">
        <is>
          <t>SPO-00171</t>
        </is>
      </c>
      <c r="C315" t="inlineStr">
        <is>
          <t>SUP-10</t>
        </is>
      </c>
      <c r="D315" t="inlineStr">
        <is>
          <t>PPE</t>
        </is>
      </c>
      <c r="E315" t="inlineStr">
        <is>
          <t>PPE-07</t>
        </is>
      </c>
      <c r="F315" s="17" t="n">
        <v>45613</v>
      </c>
      <c r="G315" s="17" t="n">
        <v>45626</v>
      </c>
      <c r="H315" s="18" t="n">
        <v>89</v>
      </c>
      <c r="I315" s="19" t="n">
        <v>29.37</v>
      </c>
      <c r="J315" s="19" t="n">
        <v>31</v>
      </c>
      <c r="K315" s="20" t="n">
        <v>0</v>
      </c>
      <c r="L315" s="20" t="n">
        <v>0</v>
      </c>
      <c r="M315" s="18" t="n">
        <v>89</v>
      </c>
      <c r="N315" s="18" t="n">
        <v>0</v>
      </c>
      <c r="O315" s="18" t="n">
        <v>14</v>
      </c>
      <c r="P315" s="17" t="n">
        <v>45627</v>
      </c>
      <c r="Q315" s="17" t="n">
        <v>45627</v>
      </c>
      <c r="R315" s="17" t="n">
        <v>45627</v>
      </c>
      <c r="S315" s="19">
        <f>H315*I315</f>
        <v/>
      </c>
      <c r="T315" s="19">
        <f>H315*J315</f>
        <v/>
      </c>
      <c r="U315">
        <f>IF(AND(K315=0,G315&lt;=Assumptions!$C$6),1,0)</f>
        <v/>
      </c>
      <c r="V315">
        <f>IF(U315=1,IF(M315&gt;0,IF(P315&lt;=G315+Assumptions!$C$7,1,0),0),0)</f>
        <v/>
      </c>
      <c r="W315">
        <f>IF(AND(U315=1,M315&gt;=H315*(1-Assumptions!$C$8)),1,0)</f>
        <v/>
      </c>
      <c r="X315">
        <f>IF(AND(U315=1,N315&gt;=H315*(1-Assumptions!$C$8)),1,0)</f>
        <v/>
      </c>
      <c r="Y315">
        <f>IF(ISNUMBER(Q315),1,0)</f>
        <v/>
      </c>
      <c r="Z315">
        <f>IF(AND(K315=0,L315=0,Y315=0),1,0)</f>
        <v/>
      </c>
      <c r="AA315">
        <f>IF(AND(Z315=1,G315&lt;Assumptions!$C$6),1,0)</f>
        <v/>
      </c>
      <c r="AB315">
        <f>IF(U315=0,"",IF(Y315=1,MAX(0,Q315-G315),IF(L315=1,MAX(0,R315-G315),MAX(0,Assumptions!$C$6-G315))))</f>
        <v/>
      </c>
      <c r="AC315">
        <f>IF(Y315=1,Q315-F315,"")</f>
        <v/>
      </c>
      <c r="AD315">
        <f>IF(Y315=1,AC315^2,"")</f>
        <v/>
      </c>
      <c r="AE315" s="19">
        <f>IF(Z315=1,(H315-M315)*I315,0)</f>
        <v/>
      </c>
      <c r="AF315">
        <f>IF(G315&lt;EDATE(Assumptions!$C$6,-12)+1,"prior_12m","last_12m")</f>
        <v/>
      </c>
      <c r="AG315" s="21">
        <f>DATE(YEAR(G315),MONTH(G315),1)</f>
        <v/>
      </c>
    </row>
    <row r="316">
      <c r="A316" t="inlineStr">
        <is>
          <t>SPO-00171-3</t>
        </is>
      </c>
      <c r="B316" t="inlineStr">
        <is>
          <t>SPO-00171</t>
        </is>
      </c>
      <c r="C316" t="inlineStr">
        <is>
          <t>SUP-10</t>
        </is>
      </c>
      <c r="D316" t="inlineStr">
        <is>
          <t>PPE</t>
        </is>
      </c>
      <c r="E316" t="inlineStr">
        <is>
          <t>PPE-06</t>
        </is>
      </c>
      <c r="F316" s="17" t="n">
        <v>45613</v>
      </c>
      <c r="G316" s="17" t="n">
        <v>45626</v>
      </c>
      <c r="H316" s="18" t="n">
        <v>9</v>
      </c>
      <c r="I316" s="19" t="n">
        <v>114.81</v>
      </c>
      <c r="J316" s="19" t="n">
        <v>115</v>
      </c>
      <c r="K316" s="20" t="n">
        <v>0</v>
      </c>
      <c r="L316" s="20" t="n">
        <v>0</v>
      </c>
      <c r="M316" s="18" t="n">
        <v>9</v>
      </c>
      <c r="N316" s="18" t="n">
        <v>9</v>
      </c>
      <c r="O316" s="18" t="n">
        <v>0</v>
      </c>
      <c r="P316" s="17" t="n">
        <v>45626</v>
      </c>
      <c r="Q316" s="17" t="n">
        <v>45626</v>
      </c>
      <c r="R316" s="17" t="n">
        <v>45626</v>
      </c>
      <c r="S316" s="19">
        <f>H316*I316</f>
        <v/>
      </c>
      <c r="T316" s="19">
        <f>H316*J316</f>
        <v/>
      </c>
      <c r="U316">
        <f>IF(AND(K316=0,G316&lt;=Assumptions!$C$6),1,0)</f>
        <v/>
      </c>
      <c r="V316">
        <f>IF(U316=1,IF(M316&gt;0,IF(P316&lt;=G316+Assumptions!$C$7,1,0),0),0)</f>
        <v/>
      </c>
      <c r="W316">
        <f>IF(AND(U316=1,M316&gt;=H316*(1-Assumptions!$C$8)),1,0)</f>
        <v/>
      </c>
      <c r="X316">
        <f>IF(AND(U316=1,N316&gt;=H316*(1-Assumptions!$C$8)),1,0)</f>
        <v/>
      </c>
      <c r="Y316">
        <f>IF(ISNUMBER(Q316),1,0)</f>
        <v/>
      </c>
      <c r="Z316">
        <f>IF(AND(K316=0,L316=0,Y316=0),1,0)</f>
        <v/>
      </c>
      <c r="AA316">
        <f>IF(AND(Z316=1,G316&lt;Assumptions!$C$6),1,0)</f>
        <v/>
      </c>
      <c r="AB316">
        <f>IF(U316=0,"",IF(Y316=1,MAX(0,Q316-G316),IF(L316=1,MAX(0,R316-G316),MAX(0,Assumptions!$C$6-G316))))</f>
        <v/>
      </c>
      <c r="AC316">
        <f>IF(Y316=1,Q316-F316,"")</f>
        <v/>
      </c>
      <c r="AD316">
        <f>IF(Y316=1,AC316^2,"")</f>
        <v/>
      </c>
      <c r="AE316" s="19">
        <f>IF(Z316=1,(H316-M316)*I316,0)</f>
        <v/>
      </c>
      <c r="AF316">
        <f>IF(G316&lt;EDATE(Assumptions!$C$6,-12)+1,"prior_12m","last_12m")</f>
        <v/>
      </c>
      <c r="AG316" s="21">
        <f>DATE(YEAR(G316),MONTH(G316),1)</f>
        <v/>
      </c>
    </row>
    <row r="317">
      <c r="A317" t="inlineStr">
        <is>
          <t>SPO-00172-1</t>
        </is>
      </c>
      <c r="B317" t="inlineStr">
        <is>
          <t>SPO-00172</t>
        </is>
      </c>
      <c r="C317" t="inlineStr">
        <is>
          <t>SUP-01</t>
        </is>
      </c>
      <c r="D317" t="inlineStr">
        <is>
          <t>ELEC</t>
        </is>
      </c>
      <c r="E317" t="inlineStr">
        <is>
          <t>ELEC-08</t>
        </is>
      </c>
      <c r="F317" s="17" t="n">
        <v>45613</v>
      </c>
      <c r="G317" s="17" t="n">
        <v>45631</v>
      </c>
      <c r="H317" s="18" t="n">
        <v>295</v>
      </c>
      <c r="I317" s="19" t="n">
        <v>18.77</v>
      </c>
      <c r="J317" s="19" t="n">
        <v>18</v>
      </c>
      <c r="K317" s="20" t="n">
        <v>1</v>
      </c>
      <c r="L317" s="20" t="n">
        <v>0</v>
      </c>
      <c r="M317" s="18" t="n">
        <v>0</v>
      </c>
      <c r="N317" s="18" t="n">
        <v>0</v>
      </c>
      <c r="O317" s="18" t="n">
        <v>0</v>
      </c>
      <c r="P317" s="17" t="n"/>
      <c r="Q317" s="17" t="n"/>
      <c r="R317" s="17" t="n"/>
      <c r="S317" s="19">
        <f>H317*I317</f>
        <v/>
      </c>
      <c r="T317" s="19">
        <f>H317*J317</f>
        <v/>
      </c>
      <c r="U317">
        <f>IF(AND(K317=0,G317&lt;=Assumptions!$C$6),1,0)</f>
        <v/>
      </c>
      <c r="V317">
        <f>IF(U317=1,IF(M317&gt;0,IF(P317&lt;=G317+Assumptions!$C$7,1,0),0),0)</f>
        <v/>
      </c>
      <c r="W317">
        <f>IF(AND(U317=1,M317&gt;=H317*(1-Assumptions!$C$8)),1,0)</f>
        <v/>
      </c>
      <c r="X317">
        <f>IF(AND(U317=1,N317&gt;=H317*(1-Assumptions!$C$8)),1,0)</f>
        <v/>
      </c>
      <c r="Y317">
        <f>IF(ISNUMBER(Q317),1,0)</f>
        <v/>
      </c>
      <c r="Z317">
        <f>IF(AND(K317=0,L317=0,Y317=0),1,0)</f>
        <v/>
      </c>
      <c r="AA317">
        <f>IF(AND(Z317=1,G317&lt;Assumptions!$C$6),1,0)</f>
        <v/>
      </c>
      <c r="AB317">
        <f>IF(U317=0,"",IF(Y317=1,MAX(0,Q317-G317),IF(L317=1,MAX(0,R317-G317),MAX(0,Assumptions!$C$6-G317))))</f>
        <v/>
      </c>
      <c r="AC317">
        <f>IF(Y317=1,Q317-F317,"")</f>
        <v/>
      </c>
      <c r="AD317">
        <f>IF(Y317=1,AC317^2,"")</f>
        <v/>
      </c>
      <c r="AE317" s="19">
        <f>IF(Z317=1,(H317-M317)*I317,0)</f>
        <v/>
      </c>
      <c r="AF317">
        <f>IF(G317&lt;EDATE(Assumptions!$C$6,-12)+1,"prior_12m","last_12m")</f>
        <v/>
      </c>
      <c r="AG317" s="21">
        <f>DATE(YEAR(G317),MONTH(G317),1)</f>
        <v/>
      </c>
    </row>
    <row r="318">
      <c r="A318" t="inlineStr">
        <is>
          <t>SPO-00172-2</t>
        </is>
      </c>
      <c r="B318" t="inlineStr">
        <is>
          <t>SPO-00172</t>
        </is>
      </c>
      <c r="C318" t="inlineStr">
        <is>
          <t>SUP-01</t>
        </is>
      </c>
      <c r="D318" t="inlineStr">
        <is>
          <t>ELEC</t>
        </is>
      </c>
      <c r="E318" t="inlineStr">
        <is>
          <t>ELEC-02</t>
        </is>
      </c>
      <c r="F318" s="17" t="n">
        <v>45613</v>
      </c>
      <c r="G318" s="17" t="n">
        <v>45631</v>
      </c>
      <c r="H318" s="18" t="n">
        <v>357</v>
      </c>
      <c r="I318" s="19" t="n">
        <v>4.39</v>
      </c>
      <c r="J318" s="19" t="n">
        <v>4.2</v>
      </c>
      <c r="K318" s="20" t="n">
        <v>0</v>
      </c>
      <c r="L318" s="20" t="n">
        <v>0</v>
      </c>
      <c r="M318" s="18" t="n">
        <v>357</v>
      </c>
      <c r="N318" s="18" t="n">
        <v>357</v>
      </c>
      <c r="O318" s="18" t="n">
        <v>0</v>
      </c>
      <c r="P318" s="17" t="n">
        <v>45626</v>
      </c>
      <c r="Q318" s="17" t="n">
        <v>45626</v>
      </c>
      <c r="R318" s="17" t="n">
        <v>45626</v>
      </c>
      <c r="S318" s="19">
        <f>H318*I318</f>
        <v/>
      </c>
      <c r="T318" s="19">
        <f>H318*J318</f>
        <v/>
      </c>
      <c r="U318">
        <f>IF(AND(K318=0,G318&lt;=Assumptions!$C$6),1,0)</f>
        <v/>
      </c>
      <c r="V318">
        <f>IF(U318=1,IF(M318&gt;0,IF(P318&lt;=G318+Assumptions!$C$7,1,0),0),0)</f>
        <v/>
      </c>
      <c r="W318">
        <f>IF(AND(U318=1,M318&gt;=H318*(1-Assumptions!$C$8)),1,0)</f>
        <v/>
      </c>
      <c r="X318">
        <f>IF(AND(U318=1,N318&gt;=H318*(1-Assumptions!$C$8)),1,0)</f>
        <v/>
      </c>
      <c r="Y318">
        <f>IF(ISNUMBER(Q318),1,0)</f>
        <v/>
      </c>
      <c r="Z318">
        <f>IF(AND(K318=0,L318=0,Y318=0),1,0)</f>
        <v/>
      </c>
      <c r="AA318">
        <f>IF(AND(Z318=1,G318&lt;Assumptions!$C$6),1,0)</f>
        <v/>
      </c>
      <c r="AB318">
        <f>IF(U318=0,"",IF(Y318=1,MAX(0,Q318-G318),IF(L318=1,MAX(0,R318-G318),MAX(0,Assumptions!$C$6-G318))))</f>
        <v/>
      </c>
      <c r="AC318">
        <f>IF(Y318=1,Q318-F318,"")</f>
        <v/>
      </c>
      <c r="AD318">
        <f>IF(Y318=1,AC318^2,"")</f>
        <v/>
      </c>
      <c r="AE318" s="19">
        <f>IF(Z318=1,(H318-M318)*I318,0)</f>
        <v/>
      </c>
      <c r="AF318">
        <f>IF(G318&lt;EDATE(Assumptions!$C$6,-12)+1,"prior_12m","last_12m")</f>
        <v/>
      </c>
      <c r="AG318" s="21">
        <f>DATE(YEAR(G318),MONTH(G318),1)</f>
        <v/>
      </c>
    </row>
    <row r="319">
      <c r="A319" t="inlineStr">
        <is>
          <t>SPO-00173-1</t>
        </is>
      </c>
      <c r="B319" t="inlineStr">
        <is>
          <t>SPO-00173</t>
        </is>
      </c>
      <c r="C319" t="inlineStr">
        <is>
          <t>SUP-09</t>
        </is>
      </c>
      <c r="D319" t="inlineStr">
        <is>
          <t>CHEM</t>
        </is>
      </c>
      <c r="E319" t="inlineStr">
        <is>
          <t>CHEM-05</t>
        </is>
      </c>
      <c r="F319" s="17" t="n">
        <v>45614</v>
      </c>
      <c r="G319" s="17" t="n">
        <v>45628</v>
      </c>
      <c r="H319" s="18" t="n">
        <v>3</v>
      </c>
      <c r="I319" s="19" t="n">
        <v>944.66</v>
      </c>
      <c r="J319" s="19" t="n">
        <v>930</v>
      </c>
      <c r="K319" s="20" t="n">
        <v>0</v>
      </c>
      <c r="L319" s="20" t="n">
        <v>0</v>
      </c>
      <c r="M319" s="18" t="n">
        <v>3</v>
      </c>
      <c r="N319" s="18" t="n">
        <v>3</v>
      </c>
      <c r="O319" s="18" t="n">
        <v>0</v>
      </c>
      <c r="P319" s="17" t="n">
        <v>45627</v>
      </c>
      <c r="Q319" s="17" t="n">
        <v>45627</v>
      </c>
      <c r="R319" s="17" t="n">
        <v>45627</v>
      </c>
      <c r="S319" s="19">
        <f>H319*I319</f>
        <v/>
      </c>
      <c r="T319" s="19">
        <f>H319*J319</f>
        <v/>
      </c>
      <c r="U319">
        <f>IF(AND(K319=0,G319&lt;=Assumptions!$C$6),1,0)</f>
        <v/>
      </c>
      <c r="V319">
        <f>IF(U319=1,IF(M319&gt;0,IF(P319&lt;=G319+Assumptions!$C$7,1,0),0),0)</f>
        <v/>
      </c>
      <c r="W319">
        <f>IF(AND(U319=1,M319&gt;=H319*(1-Assumptions!$C$8)),1,0)</f>
        <v/>
      </c>
      <c r="X319">
        <f>IF(AND(U319=1,N319&gt;=H319*(1-Assumptions!$C$8)),1,0)</f>
        <v/>
      </c>
      <c r="Y319">
        <f>IF(ISNUMBER(Q319),1,0)</f>
        <v/>
      </c>
      <c r="Z319">
        <f>IF(AND(K319=0,L319=0,Y319=0),1,0)</f>
        <v/>
      </c>
      <c r="AA319">
        <f>IF(AND(Z319=1,G319&lt;Assumptions!$C$6),1,0)</f>
        <v/>
      </c>
      <c r="AB319">
        <f>IF(U319=0,"",IF(Y319=1,MAX(0,Q319-G319),IF(L319=1,MAX(0,R319-G319),MAX(0,Assumptions!$C$6-G319))))</f>
        <v/>
      </c>
      <c r="AC319">
        <f>IF(Y319=1,Q319-F319,"")</f>
        <v/>
      </c>
      <c r="AD319">
        <f>IF(Y319=1,AC319^2,"")</f>
        <v/>
      </c>
      <c r="AE319" s="19">
        <f>IF(Z319=1,(H319-M319)*I319,0)</f>
        <v/>
      </c>
      <c r="AF319">
        <f>IF(G319&lt;EDATE(Assumptions!$C$6,-12)+1,"prior_12m","last_12m")</f>
        <v/>
      </c>
      <c r="AG319" s="21">
        <f>DATE(YEAR(G319),MONTH(G319),1)</f>
        <v/>
      </c>
    </row>
    <row r="320">
      <c r="A320" t="inlineStr">
        <is>
          <t>SPO-00173-2</t>
        </is>
      </c>
      <c r="B320" t="inlineStr">
        <is>
          <t>SPO-00173</t>
        </is>
      </c>
      <c r="C320" t="inlineStr">
        <is>
          <t>SUP-09</t>
        </is>
      </c>
      <c r="D320" t="inlineStr">
        <is>
          <t>CHEM</t>
        </is>
      </c>
      <c r="E320" t="inlineStr">
        <is>
          <t>CHEM-03</t>
        </is>
      </c>
      <c r="F320" s="17" t="n">
        <v>45614</v>
      </c>
      <c r="G320" s="17" t="n">
        <v>45628</v>
      </c>
      <c r="H320" s="18" t="n">
        <v>9</v>
      </c>
      <c r="I320" s="19" t="n">
        <v>293.44</v>
      </c>
      <c r="J320" s="19" t="n">
        <v>265</v>
      </c>
      <c r="K320" s="20" t="n">
        <v>0</v>
      </c>
      <c r="L320" s="20" t="n">
        <v>0</v>
      </c>
      <c r="M320" s="18" t="n">
        <v>9</v>
      </c>
      <c r="N320" s="18" t="n">
        <v>9</v>
      </c>
      <c r="O320" s="18" t="n">
        <v>0</v>
      </c>
      <c r="P320" s="17" t="n">
        <v>45622</v>
      </c>
      <c r="Q320" s="17" t="n">
        <v>45622</v>
      </c>
      <c r="R320" s="17" t="n">
        <v>45622</v>
      </c>
      <c r="S320" s="19">
        <f>H320*I320</f>
        <v/>
      </c>
      <c r="T320" s="19">
        <f>H320*J320</f>
        <v/>
      </c>
      <c r="U320">
        <f>IF(AND(K320=0,G320&lt;=Assumptions!$C$6),1,0)</f>
        <v/>
      </c>
      <c r="V320">
        <f>IF(U320=1,IF(M320&gt;0,IF(P320&lt;=G320+Assumptions!$C$7,1,0),0),0)</f>
        <v/>
      </c>
      <c r="W320">
        <f>IF(AND(U320=1,M320&gt;=H320*(1-Assumptions!$C$8)),1,0)</f>
        <v/>
      </c>
      <c r="X320">
        <f>IF(AND(U320=1,N320&gt;=H320*(1-Assumptions!$C$8)),1,0)</f>
        <v/>
      </c>
      <c r="Y320">
        <f>IF(ISNUMBER(Q320),1,0)</f>
        <v/>
      </c>
      <c r="Z320">
        <f>IF(AND(K320=0,L320=0,Y320=0),1,0)</f>
        <v/>
      </c>
      <c r="AA320">
        <f>IF(AND(Z320=1,G320&lt;Assumptions!$C$6),1,0)</f>
        <v/>
      </c>
      <c r="AB320">
        <f>IF(U320=0,"",IF(Y320=1,MAX(0,Q320-G320),IF(L320=1,MAX(0,R320-G320),MAX(0,Assumptions!$C$6-G320))))</f>
        <v/>
      </c>
      <c r="AC320">
        <f>IF(Y320=1,Q320-F320,"")</f>
        <v/>
      </c>
      <c r="AD320">
        <f>IF(Y320=1,AC320^2,"")</f>
        <v/>
      </c>
      <c r="AE320" s="19">
        <f>IF(Z320=1,(H320-M320)*I320,0)</f>
        <v/>
      </c>
      <c r="AF320">
        <f>IF(G320&lt;EDATE(Assumptions!$C$6,-12)+1,"prior_12m","last_12m")</f>
        <v/>
      </c>
      <c r="AG320" s="21">
        <f>DATE(YEAR(G320),MONTH(G320),1)</f>
        <v/>
      </c>
    </row>
    <row r="321">
      <c r="A321" t="inlineStr">
        <is>
          <t>SPO-00173-3</t>
        </is>
      </c>
      <c r="B321" t="inlineStr">
        <is>
          <t>SPO-00173</t>
        </is>
      </c>
      <c r="C321" t="inlineStr">
        <is>
          <t>SUP-09</t>
        </is>
      </c>
      <c r="D321" t="inlineStr">
        <is>
          <t>CHEM</t>
        </is>
      </c>
      <c r="E321" t="inlineStr">
        <is>
          <t>CHEM-02</t>
        </is>
      </c>
      <c r="F321" s="17" t="n">
        <v>45614</v>
      </c>
      <c r="G321" s="17" t="n">
        <v>45628</v>
      </c>
      <c r="H321" s="18" t="n">
        <v>5</v>
      </c>
      <c r="I321" s="19" t="n">
        <v>414.4</v>
      </c>
      <c r="J321" s="19" t="n">
        <v>410</v>
      </c>
      <c r="K321" s="20" t="n">
        <v>0</v>
      </c>
      <c r="L321" s="20" t="n">
        <v>0</v>
      </c>
      <c r="M321" s="18" t="n">
        <v>5</v>
      </c>
      <c r="N321" s="18" t="n">
        <v>5</v>
      </c>
      <c r="O321" s="18" t="n">
        <v>0</v>
      </c>
      <c r="P321" s="17" t="n">
        <v>45623</v>
      </c>
      <c r="Q321" s="17" t="n">
        <v>45623</v>
      </c>
      <c r="R321" s="17" t="n">
        <v>45623</v>
      </c>
      <c r="S321" s="19">
        <f>H321*I321</f>
        <v/>
      </c>
      <c r="T321" s="19">
        <f>H321*J321</f>
        <v/>
      </c>
      <c r="U321">
        <f>IF(AND(K321=0,G321&lt;=Assumptions!$C$6),1,0)</f>
        <v/>
      </c>
      <c r="V321">
        <f>IF(U321=1,IF(M321&gt;0,IF(P321&lt;=G321+Assumptions!$C$7,1,0),0),0)</f>
        <v/>
      </c>
      <c r="W321">
        <f>IF(AND(U321=1,M321&gt;=H321*(1-Assumptions!$C$8)),1,0)</f>
        <v/>
      </c>
      <c r="X321">
        <f>IF(AND(U321=1,N321&gt;=H321*(1-Assumptions!$C$8)),1,0)</f>
        <v/>
      </c>
      <c r="Y321">
        <f>IF(ISNUMBER(Q321),1,0)</f>
        <v/>
      </c>
      <c r="Z321">
        <f>IF(AND(K321=0,L321=0,Y321=0),1,0)</f>
        <v/>
      </c>
      <c r="AA321">
        <f>IF(AND(Z321=1,G321&lt;Assumptions!$C$6),1,0)</f>
        <v/>
      </c>
      <c r="AB321">
        <f>IF(U321=0,"",IF(Y321=1,MAX(0,Q321-G321),IF(L321=1,MAX(0,R321-G321),MAX(0,Assumptions!$C$6-G321))))</f>
        <v/>
      </c>
      <c r="AC321">
        <f>IF(Y321=1,Q321-F321,"")</f>
        <v/>
      </c>
      <c r="AD321">
        <f>IF(Y321=1,AC321^2,"")</f>
        <v/>
      </c>
      <c r="AE321" s="19">
        <f>IF(Z321=1,(H321-M321)*I321,0)</f>
        <v/>
      </c>
      <c r="AF321">
        <f>IF(G321&lt;EDATE(Assumptions!$C$6,-12)+1,"prior_12m","last_12m")</f>
        <v/>
      </c>
      <c r="AG321" s="21">
        <f>DATE(YEAR(G321),MONTH(G321),1)</f>
        <v/>
      </c>
    </row>
    <row r="322">
      <c r="A322" t="inlineStr">
        <is>
          <t>SPO-00174-1</t>
        </is>
      </c>
      <c r="B322" t="inlineStr">
        <is>
          <t>SPO-00174</t>
        </is>
      </c>
      <c r="C322" t="inlineStr">
        <is>
          <t>SUP-01</t>
        </is>
      </c>
      <c r="D322" t="inlineStr">
        <is>
          <t>ELEC</t>
        </is>
      </c>
      <c r="E322" t="inlineStr">
        <is>
          <t>ELEC-02</t>
        </is>
      </c>
      <c r="F322" s="17" t="n">
        <v>45614</v>
      </c>
      <c r="G322" s="17" t="n">
        <v>45632</v>
      </c>
      <c r="H322" s="18" t="n">
        <v>416</v>
      </c>
      <c r="I322" s="19" t="n">
        <v>4.2</v>
      </c>
      <c r="J322" s="19" t="n">
        <v>4.2</v>
      </c>
      <c r="K322" s="20" t="n">
        <v>0</v>
      </c>
      <c r="L322" s="20" t="n">
        <v>0</v>
      </c>
      <c r="M322" s="18" t="n">
        <v>416</v>
      </c>
      <c r="N322" s="18" t="n">
        <v>416</v>
      </c>
      <c r="O322" s="18" t="n">
        <v>0</v>
      </c>
      <c r="P322" s="17" t="n">
        <v>45629</v>
      </c>
      <c r="Q322" s="17" t="n">
        <v>45629</v>
      </c>
      <c r="R322" s="17" t="n">
        <v>45629</v>
      </c>
      <c r="S322" s="19">
        <f>H322*I322</f>
        <v/>
      </c>
      <c r="T322" s="19">
        <f>H322*J322</f>
        <v/>
      </c>
      <c r="U322">
        <f>IF(AND(K322=0,G322&lt;=Assumptions!$C$6),1,0)</f>
        <v/>
      </c>
      <c r="V322">
        <f>IF(U322=1,IF(M322&gt;0,IF(P322&lt;=G322+Assumptions!$C$7,1,0),0),0)</f>
        <v/>
      </c>
      <c r="W322">
        <f>IF(AND(U322=1,M322&gt;=H322*(1-Assumptions!$C$8)),1,0)</f>
        <v/>
      </c>
      <c r="X322">
        <f>IF(AND(U322=1,N322&gt;=H322*(1-Assumptions!$C$8)),1,0)</f>
        <v/>
      </c>
      <c r="Y322">
        <f>IF(ISNUMBER(Q322),1,0)</f>
        <v/>
      </c>
      <c r="Z322">
        <f>IF(AND(K322=0,L322=0,Y322=0),1,0)</f>
        <v/>
      </c>
      <c r="AA322">
        <f>IF(AND(Z322=1,G322&lt;Assumptions!$C$6),1,0)</f>
        <v/>
      </c>
      <c r="AB322">
        <f>IF(U322=0,"",IF(Y322=1,MAX(0,Q322-G322),IF(L322=1,MAX(0,R322-G322),MAX(0,Assumptions!$C$6-G322))))</f>
        <v/>
      </c>
      <c r="AC322">
        <f>IF(Y322=1,Q322-F322,"")</f>
        <v/>
      </c>
      <c r="AD322">
        <f>IF(Y322=1,AC322^2,"")</f>
        <v/>
      </c>
      <c r="AE322" s="19">
        <f>IF(Z322=1,(H322-M322)*I322,0)</f>
        <v/>
      </c>
      <c r="AF322">
        <f>IF(G322&lt;EDATE(Assumptions!$C$6,-12)+1,"prior_12m","last_12m")</f>
        <v/>
      </c>
      <c r="AG322" s="21">
        <f>DATE(YEAR(G322),MONTH(G322),1)</f>
        <v/>
      </c>
    </row>
    <row r="323">
      <c r="A323" t="inlineStr">
        <is>
          <t>SPO-00175-1</t>
        </is>
      </c>
      <c r="B323" t="inlineStr">
        <is>
          <t>SPO-00175</t>
        </is>
      </c>
      <c r="C323" t="inlineStr">
        <is>
          <t>SUP-12</t>
        </is>
      </c>
      <c r="D323" t="inlineStr">
        <is>
          <t>IT</t>
        </is>
      </c>
      <c r="E323" t="inlineStr">
        <is>
          <t>IT-05</t>
        </is>
      </c>
      <c r="F323" s="17" t="n">
        <v>45614</v>
      </c>
      <c r="G323" s="17" t="n">
        <v>45624</v>
      </c>
      <c r="H323" s="18" t="n">
        <v>4</v>
      </c>
      <c r="I323" s="19" t="n">
        <v>665.35</v>
      </c>
      <c r="J323" s="19" t="n">
        <v>640</v>
      </c>
      <c r="K323" s="20" t="n">
        <v>0</v>
      </c>
      <c r="L323" s="20" t="n">
        <v>0</v>
      </c>
      <c r="M323" s="18" t="n">
        <v>4</v>
      </c>
      <c r="N323" s="18" t="n">
        <v>4</v>
      </c>
      <c r="O323" s="18" t="n">
        <v>0</v>
      </c>
      <c r="P323" s="17" t="n">
        <v>45622</v>
      </c>
      <c r="Q323" s="17" t="n">
        <v>45622</v>
      </c>
      <c r="R323" s="17" t="n">
        <v>45622</v>
      </c>
      <c r="S323" s="19">
        <f>H323*I323</f>
        <v/>
      </c>
      <c r="T323" s="19">
        <f>H323*J323</f>
        <v/>
      </c>
      <c r="U323">
        <f>IF(AND(K323=0,G323&lt;=Assumptions!$C$6),1,0)</f>
        <v/>
      </c>
      <c r="V323">
        <f>IF(U323=1,IF(M323&gt;0,IF(P323&lt;=G323+Assumptions!$C$7,1,0),0),0)</f>
        <v/>
      </c>
      <c r="W323">
        <f>IF(AND(U323=1,M323&gt;=H323*(1-Assumptions!$C$8)),1,0)</f>
        <v/>
      </c>
      <c r="X323">
        <f>IF(AND(U323=1,N323&gt;=H323*(1-Assumptions!$C$8)),1,0)</f>
        <v/>
      </c>
      <c r="Y323">
        <f>IF(ISNUMBER(Q323),1,0)</f>
        <v/>
      </c>
      <c r="Z323">
        <f>IF(AND(K323=0,L323=0,Y323=0),1,0)</f>
        <v/>
      </c>
      <c r="AA323">
        <f>IF(AND(Z323=1,G323&lt;Assumptions!$C$6),1,0)</f>
        <v/>
      </c>
      <c r="AB323">
        <f>IF(U323=0,"",IF(Y323=1,MAX(0,Q323-G323),IF(L323=1,MAX(0,R323-G323),MAX(0,Assumptions!$C$6-G323))))</f>
        <v/>
      </c>
      <c r="AC323">
        <f>IF(Y323=1,Q323-F323,"")</f>
        <v/>
      </c>
      <c r="AD323">
        <f>IF(Y323=1,AC323^2,"")</f>
        <v/>
      </c>
      <c r="AE323" s="19">
        <f>IF(Z323=1,(H323-M323)*I323,0)</f>
        <v/>
      </c>
      <c r="AF323">
        <f>IF(G323&lt;EDATE(Assumptions!$C$6,-12)+1,"prior_12m","last_12m")</f>
        <v/>
      </c>
      <c r="AG323" s="21">
        <f>DATE(YEAR(G323),MONTH(G323),1)</f>
        <v/>
      </c>
    </row>
    <row r="324">
      <c r="A324" t="inlineStr">
        <is>
          <t>SPO-00176-1</t>
        </is>
      </c>
      <c r="B324" t="inlineStr">
        <is>
          <t>SPO-00176</t>
        </is>
      </c>
      <c r="C324" t="inlineStr">
        <is>
          <t>SUP-06</t>
        </is>
      </c>
      <c r="D324" t="inlineStr">
        <is>
          <t>MRO</t>
        </is>
      </c>
      <c r="E324" t="inlineStr">
        <is>
          <t>MRO-08</t>
        </is>
      </c>
      <c r="F324" s="17" t="n">
        <v>45616</v>
      </c>
      <c r="G324" s="17" t="n">
        <v>45624</v>
      </c>
      <c r="H324" s="18" t="n">
        <v>270</v>
      </c>
      <c r="I324" s="19" t="n">
        <v>7.23</v>
      </c>
      <c r="J324" s="19" t="n">
        <v>7.2</v>
      </c>
      <c r="K324" s="20" t="n">
        <v>1</v>
      </c>
      <c r="L324" s="20" t="n">
        <v>0</v>
      </c>
      <c r="M324" s="18" t="n">
        <v>0</v>
      </c>
      <c r="N324" s="18" t="n">
        <v>0</v>
      </c>
      <c r="O324" s="18" t="n">
        <v>0</v>
      </c>
      <c r="P324" s="17" t="n"/>
      <c r="Q324" s="17" t="n"/>
      <c r="R324" s="17" t="n"/>
      <c r="S324" s="19">
        <f>H324*I324</f>
        <v/>
      </c>
      <c r="T324" s="19">
        <f>H324*J324</f>
        <v/>
      </c>
      <c r="U324">
        <f>IF(AND(K324=0,G324&lt;=Assumptions!$C$6),1,0)</f>
        <v/>
      </c>
      <c r="V324">
        <f>IF(U324=1,IF(M324&gt;0,IF(P324&lt;=G324+Assumptions!$C$7,1,0),0),0)</f>
        <v/>
      </c>
      <c r="W324">
        <f>IF(AND(U324=1,M324&gt;=H324*(1-Assumptions!$C$8)),1,0)</f>
        <v/>
      </c>
      <c r="X324">
        <f>IF(AND(U324=1,N324&gt;=H324*(1-Assumptions!$C$8)),1,0)</f>
        <v/>
      </c>
      <c r="Y324">
        <f>IF(ISNUMBER(Q324),1,0)</f>
        <v/>
      </c>
      <c r="Z324">
        <f>IF(AND(K324=0,L324=0,Y324=0),1,0)</f>
        <v/>
      </c>
      <c r="AA324">
        <f>IF(AND(Z324=1,G324&lt;Assumptions!$C$6),1,0)</f>
        <v/>
      </c>
      <c r="AB324">
        <f>IF(U324=0,"",IF(Y324=1,MAX(0,Q324-G324),IF(L324=1,MAX(0,R324-G324),MAX(0,Assumptions!$C$6-G324))))</f>
        <v/>
      </c>
      <c r="AC324">
        <f>IF(Y324=1,Q324-F324,"")</f>
        <v/>
      </c>
      <c r="AD324">
        <f>IF(Y324=1,AC324^2,"")</f>
        <v/>
      </c>
      <c r="AE324" s="19">
        <f>IF(Z324=1,(H324-M324)*I324,0)</f>
        <v/>
      </c>
      <c r="AF324">
        <f>IF(G324&lt;EDATE(Assumptions!$C$6,-12)+1,"prior_12m","last_12m")</f>
        <v/>
      </c>
      <c r="AG324" s="21">
        <f>DATE(YEAR(G324),MONTH(G324),1)</f>
        <v/>
      </c>
    </row>
    <row r="325">
      <c r="A325" t="inlineStr">
        <is>
          <t>SPO-00176-2</t>
        </is>
      </c>
      <c r="B325" t="inlineStr">
        <is>
          <t>SPO-00176</t>
        </is>
      </c>
      <c r="C325" t="inlineStr">
        <is>
          <t>SUP-06</t>
        </is>
      </c>
      <c r="D325" t="inlineStr">
        <is>
          <t>MRO</t>
        </is>
      </c>
      <c r="E325" t="inlineStr">
        <is>
          <t>MRO-04</t>
        </is>
      </c>
      <c r="F325" s="17" t="n">
        <v>45616</v>
      </c>
      <c r="G325" s="17" t="n">
        <v>45624</v>
      </c>
      <c r="H325" s="18" t="n">
        <v>21</v>
      </c>
      <c r="I325" s="19" t="n">
        <v>56.45</v>
      </c>
      <c r="J325" s="19" t="n">
        <v>58</v>
      </c>
      <c r="K325" s="20" t="n">
        <v>0</v>
      </c>
      <c r="L325" s="20" t="n">
        <v>0</v>
      </c>
      <c r="M325" s="18" t="n">
        <v>21</v>
      </c>
      <c r="N325" s="18" t="n">
        <v>21</v>
      </c>
      <c r="O325" s="18" t="n">
        <v>0</v>
      </c>
      <c r="P325" s="17" t="n">
        <v>45622</v>
      </c>
      <c r="Q325" s="17" t="n">
        <v>45622</v>
      </c>
      <c r="R325" s="17" t="n">
        <v>45622</v>
      </c>
      <c r="S325" s="19">
        <f>H325*I325</f>
        <v/>
      </c>
      <c r="T325" s="19">
        <f>H325*J325</f>
        <v/>
      </c>
      <c r="U325">
        <f>IF(AND(K325=0,G325&lt;=Assumptions!$C$6),1,0)</f>
        <v/>
      </c>
      <c r="V325">
        <f>IF(U325=1,IF(M325&gt;0,IF(P325&lt;=G325+Assumptions!$C$7,1,0),0),0)</f>
        <v/>
      </c>
      <c r="W325">
        <f>IF(AND(U325=1,M325&gt;=H325*(1-Assumptions!$C$8)),1,0)</f>
        <v/>
      </c>
      <c r="X325">
        <f>IF(AND(U325=1,N325&gt;=H325*(1-Assumptions!$C$8)),1,0)</f>
        <v/>
      </c>
      <c r="Y325">
        <f>IF(ISNUMBER(Q325),1,0)</f>
        <v/>
      </c>
      <c r="Z325">
        <f>IF(AND(K325=0,L325=0,Y325=0),1,0)</f>
        <v/>
      </c>
      <c r="AA325">
        <f>IF(AND(Z325=1,G325&lt;Assumptions!$C$6),1,0)</f>
        <v/>
      </c>
      <c r="AB325">
        <f>IF(U325=0,"",IF(Y325=1,MAX(0,Q325-G325),IF(L325=1,MAX(0,R325-G325),MAX(0,Assumptions!$C$6-G325))))</f>
        <v/>
      </c>
      <c r="AC325">
        <f>IF(Y325=1,Q325-F325,"")</f>
        <v/>
      </c>
      <c r="AD325">
        <f>IF(Y325=1,AC325^2,"")</f>
        <v/>
      </c>
      <c r="AE325" s="19">
        <f>IF(Z325=1,(H325-M325)*I325,0)</f>
        <v/>
      </c>
      <c r="AF325">
        <f>IF(G325&lt;EDATE(Assumptions!$C$6,-12)+1,"prior_12m","last_12m")</f>
        <v/>
      </c>
      <c r="AG325" s="21">
        <f>DATE(YEAR(G325),MONTH(G325),1)</f>
        <v/>
      </c>
    </row>
    <row r="326">
      <c r="A326" t="inlineStr">
        <is>
          <t>SPO-00177-1</t>
        </is>
      </c>
      <c r="B326" t="inlineStr">
        <is>
          <t>SPO-00177</t>
        </is>
      </c>
      <c r="C326" t="inlineStr">
        <is>
          <t>SUP-08</t>
        </is>
      </c>
      <c r="D326" t="inlineStr">
        <is>
          <t>PPE</t>
        </is>
      </c>
      <c r="E326" t="inlineStr">
        <is>
          <t>PPE-07</t>
        </is>
      </c>
      <c r="F326" s="17" t="n">
        <v>45616</v>
      </c>
      <c r="G326" s="17" t="n">
        <v>45627</v>
      </c>
      <c r="H326" s="18" t="n">
        <v>154</v>
      </c>
      <c r="I326" s="19" t="n">
        <v>29.62</v>
      </c>
      <c r="J326" s="19" t="n">
        <v>31</v>
      </c>
      <c r="K326" s="20" t="n">
        <v>0</v>
      </c>
      <c r="L326" s="20" t="n">
        <v>0</v>
      </c>
      <c r="M326" s="18" t="n">
        <v>154</v>
      </c>
      <c r="N326" s="18" t="n">
        <v>154</v>
      </c>
      <c r="O326" s="18" t="n">
        <v>0</v>
      </c>
      <c r="P326" s="17" t="n">
        <v>45624</v>
      </c>
      <c r="Q326" s="17" t="n">
        <v>45624</v>
      </c>
      <c r="R326" s="17" t="n">
        <v>45624</v>
      </c>
      <c r="S326" s="19">
        <f>H326*I326</f>
        <v/>
      </c>
      <c r="T326" s="19">
        <f>H326*J326</f>
        <v/>
      </c>
      <c r="U326">
        <f>IF(AND(K326=0,G326&lt;=Assumptions!$C$6),1,0)</f>
        <v/>
      </c>
      <c r="V326">
        <f>IF(U326=1,IF(M326&gt;0,IF(P326&lt;=G326+Assumptions!$C$7,1,0),0),0)</f>
        <v/>
      </c>
      <c r="W326">
        <f>IF(AND(U326=1,M326&gt;=H326*(1-Assumptions!$C$8)),1,0)</f>
        <v/>
      </c>
      <c r="X326">
        <f>IF(AND(U326=1,N326&gt;=H326*(1-Assumptions!$C$8)),1,0)</f>
        <v/>
      </c>
      <c r="Y326">
        <f>IF(ISNUMBER(Q326),1,0)</f>
        <v/>
      </c>
      <c r="Z326">
        <f>IF(AND(K326=0,L326=0,Y326=0),1,0)</f>
        <v/>
      </c>
      <c r="AA326">
        <f>IF(AND(Z326=1,G326&lt;Assumptions!$C$6),1,0)</f>
        <v/>
      </c>
      <c r="AB326">
        <f>IF(U326=0,"",IF(Y326=1,MAX(0,Q326-G326),IF(L326=1,MAX(0,R326-G326),MAX(0,Assumptions!$C$6-G326))))</f>
        <v/>
      </c>
      <c r="AC326">
        <f>IF(Y326=1,Q326-F326,"")</f>
        <v/>
      </c>
      <c r="AD326">
        <f>IF(Y326=1,AC326^2,"")</f>
        <v/>
      </c>
      <c r="AE326" s="19">
        <f>IF(Z326=1,(H326-M326)*I326,0)</f>
        <v/>
      </c>
      <c r="AF326">
        <f>IF(G326&lt;EDATE(Assumptions!$C$6,-12)+1,"prior_12m","last_12m")</f>
        <v/>
      </c>
      <c r="AG326" s="21">
        <f>DATE(YEAR(G326),MONTH(G326),1)</f>
        <v/>
      </c>
    </row>
    <row r="327">
      <c r="A327" t="inlineStr">
        <is>
          <t>SPO-00177-2</t>
        </is>
      </c>
      <c r="B327" t="inlineStr">
        <is>
          <t>SPO-00177</t>
        </is>
      </c>
      <c r="C327" t="inlineStr">
        <is>
          <t>SUP-08</t>
        </is>
      </c>
      <c r="D327" t="inlineStr">
        <is>
          <t>PPE</t>
        </is>
      </c>
      <c r="E327" t="inlineStr">
        <is>
          <t>PPE-02</t>
        </is>
      </c>
      <c r="F327" s="17" t="n">
        <v>45616</v>
      </c>
      <c r="G327" s="17" t="n">
        <v>45627</v>
      </c>
      <c r="H327" s="18" t="n">
        <v>421</v>
      </c>
      <c r="I327" s="19" t="n">
        <v>12.59</v>
      </c>
      <c r="J327" s="19" t="n">
        <v>12.5</v>
      </c>
      <c r="K327" s="20" t="n">
        <v>0</v>
      </c>
      <c r="L327" s="20" t="n">
        <v>0</v>
      </c>
      <c r="M327" s="18" t="n">
        <v>421</v>
      </c>
      <c r="N327" s="18" t="n">
        <v>295</v>
      </c>
      <c r="O327" s="18" t="n">
        <v>0</v>
      </c>
      <c r="P327" s="17" t="n">
        <v>45624</v>
      </c>
      <c r="Q327" s="17" t="n">
        <v>45642</v>
      </c>
      <c r="R327" s="17" t="n">
        <v>45642</v>
      </c>
      <c r="S327" s="19">
        <f>H327*I327</f>
        <v/>
      </c>
      <c r="T327" s="19">
        <f>H327*J327</f>
        <v/>
      </c>
      <c r="U327">
        <f>IF(AND(K327=0,G327&lt;=Assumptions!$C$6),1,0)</f>
        <v/>
      </c>
      <c r="V327">
        <f>IF(U327=1,IF(M327&gt;0,IF(P327&lt;=G327+Assumptions!$C$7,1,0),0),0)</f>
        <v/>
      </c>
      <c r="W327">
        <f>IF(AND(U327=1,M327&gt;=H327*(1-Assumptions!$C$8)),1,0)</f>
        <v/>
      </c>
      <c r="X327">
        <f>IF(AND(U327=1,N327&gt;=H327*(1-Assumptions!$C$8)),1,0)</f>
        <v/>
      </c>
      <c r="Y327">
        <f>IF(ISNUMBER(Q327),1,0)</f>
        <v/>
      </c>
      <c r="Z327">
        <f>IF(AND(K327=0,L327=0,Y327=0),1,0)</f>
        <v/>
      </c>
      <c r="AA327">
        <f>IF(AND(Z327=1,G327&lt;Assumptions!$C$6),1,0)</f>
        <v/>
      </c>
      <c r="AB327">
        <f>IF(U327=0,"",IF(Y327=1,MAX(0,Q327-G327),IF(L327=1,MAX(0,R327-G327),MAX(0,Assumptions!$C$6-G327))))</f>
        <v/>
      </c>
      <c r="AC327">
        <f>IF(Y327=1,Q327-F327,"")</f>
        <v/>
      </c>
      <c r="AD327">
        <f>IF(Y327=1,AC327^2,"")</f>
        <v/>
      </c>
      <c r="AE327" s="19">
        <f>IF(Z327=1,(H327-M327)*I327,0)</f>
        <v/>
      </c>
      <c r="AF327">
        <f>IF(G327&lt;EDATE(Assumptions!$C$6,-12)+1,"prior_12m","last_12m")</f>
        <v/>
      </c>
      <c r="AG327" s="21">
        <f>DATE(YEAR(G327),MONTH(G327),1)</f>
        <v/>
      </c>
    </row>
    <row r="328">
      <c r="A328" t="inlineStr">
        <is>
          <t>SPO-00178-1</t>
        </is>
      </c>
      <c r="B328" t="inlineStr">
        <is>
          <t>SPO-00178</t>
        </is>
      </c>
      <c r="C328" t="inlineStr">
        <is>
          <t>SUP-01</t>
        </is>
      </c>
      <c r="D328" t="inlineStr">
        <is>
          <t>ELEC</t>
        </is>
      </c>
      <c r="E328" t="inlineStr">
        <is>
          <t>ELEC-02</t>
        </is>
      </c>
      <c r="F328" s="17" t="n">
        <v>45616</v>
      </c>
      <c r="G328" s="17" t="n">
        <v>45634</v>
      </c>
      <c r="H328" s="18" t="n">
        <v>1054</v>
      </c>
      <c r="I328" s="19" t="n">
        <v>4.27</v>
      </c>
      <c r="J328" s="19" t="n">
        <v>4.2</v>
      </c>
      <c r="K328" s="20" t="n">
        <v>0</v>
      </c>
      <c r="L328" s="20" t="n">
        <v>0</v>
      </c>
      <c r="M328" s="18" t="n">
        <v>1054</v>
      </c>
      <c r="N328" s="18" t="n">
        <v>1054</v>
      </c>
      <c r="O328" s="18" t="n">
        <v>0</v>
      </c>
      <c r="P328" s="17" t="n">
        <v>45630</v>
      </c>
      <c r="Q328" s="17" t="n">
        <v>45630</v>
      </c>
      <c r="R328" s="17" t="n">
        <v>45630</v>
      </c>
      <c r="S328" s="19">
        <f>H328*I328</f>
        <v/>
      </c>
      <c r="T328" s="19">
        <f>H328*J328</f>
        <v/>
      </c>
      <c r="U328">
        <f>IF(AND(K328=0,G328&lt;=Assumptions!$C$6),1,0)</f>
        <v/>
      </c>
      <c r="V328">
        <f>IF(U328=1,IF(M328&gt;0,IF(P328&lt;=G328+Assumptions!$C$7,1,0),0),0)</f>
        <v/>
      </c>
      <c r="W328">
        <f>IF(AND(U328=1,M328&gt;=H328*(1-Assumptions!$C$8)),1,0)</f>
        <v/>
      </c>
      <c r="X328">
        <f>IF(AND(U328=1,N328&gt;=H328*(1-Assumptions!$C$8)),1,0)</f>
        <v/>
      </c>
      <c r="Y328">
        <f>IF(ISNUMBER(Q328),1,0)</f>
        <v/>
      </c>
      <c r="Z328">
        <f>IF(AND(K328=0,L328=0,Y328=0),1,0)</f>
        <v/>
      </c>
      <c r="AA328">
        <f>IF(AND(Z328=1,G328&lt;Assumptions!$C$6),1,0)</f>
        <v/>
      </c>
      <c r="AB328">
        <f>IF(U328=0,"",IF(Y328=1,MAX(0,Q328-G328),IF(L328=1,MAX(0,R328-G328),MAX(0,Assumptions!$C$6-G328))))</f>
        <v/>
      </c>
      <c r="AC328">
        <f>IF(Y328=1,Q328-F328,"")</f>
        <v/>
      </c>
      <c r="AD328">
        <f>IF(Y328=1,AC328^2,"")</f>
        <v/>
      </c>
      <c r="AE328" s="19">
        <f>IF(Z328=1,(H328-M328)*I328,0)</f>
        <v/>
      </c>
      <c r="AF328">
        <f>IF(G328&lt;EDATE(Assumptions!$C$6,-12)+1,"prior_12m","last_12m")</f>
        <v/>
      </c>
      <c r="AG328" s="21">
        <f>DATE(YEAR(G328),MONTH(G328),1)</f>
        <v/>
      </c>
    </row>
    <row r="329">
      <c r="A329" t="inlineStr">
        <is>
          <t>SPO-00178-2</t>
        </is>
      </c>
      <c r="B329" t="inlineStr">
        <is>
          <t>SPO-00178</t>
        </is>
      </c>
      <c r="C329" t="inlineStr">
        <is>
          <t>SUP-01</t>
        </is>
      </c>
      <c r="D329" t="inlineStr">
        <is>
          <t>ELEC</t>
        </is>
      </c>
      <c r="E329" t="inlineStr">
        <is>
          <t>ELEC-01</t>
        </is>
      </c>
      <c r="F329" s="17" t="n">
        <v>45616</v>
      </c>
      <c r="G329" s="17" t="n">
        <v>45634</v>
      </c>
      <c r="H329" s="18" t="n">
        <v>60</v>
      </c>
      <c r="I329" s="19" t="n">
        <v>38.87</v>
      </c>
      <c r="J329" s="19" t="n">
        <v>38</v>
      </c>
      <c r="K329" s="20" t="n">
        <v>0</v>
      </c>
      <c r="L329" s="20" t="n">
        <v>0</v>
      </c>
      <c r="M329" s="18" t="n">
        <v>60</v>
      </c>
      <c r="N329" s="18" t="n">
        <v>0</v>
      </c>
      <c r="O329" s="18" t="n">
        <v>0</v>
      </c>
      <c r="P329" s="17" t="n">
        <v>45636</v>
      </c>
      <c r="Q329" s="17" t="n">
        <v>45636</v>
      </c>
      <c r="R329" s="17" t="n">
        <v>45636</v>
      </c>
      <c r="S329" s="19">
        <f>H329*I329</f>
        <v/>
      </c>
      <c r="T329" s="19">
        <f>H329*J329</f>
        <v/>
      </c>
      <c r="U329">
        <f>IF(AND(K329=0,G329&lt;=Assumptions!$C$6),1,0)</f>
        <v/>
      </c>
      <c r="V329">
        <f>IF(U329=1,IF(M329&gt;0,IF(P329&lt;=G329+Assumptions!$C$7,1,0),0),0)</f>
        <v/>
      </c>
      <c r="W329">
        <f>IF(AND(U329=1,M329&gt;=H329*(1-Assumptions!$C$8)),1,0)</f>
        <v/>
      </c>
      <c r="X329">
        <f>IF(AND(U329=1,N329&gt;=H329*(1-Assumptions!$C$8)),1,0)</f>
        <v/>
      </c>
      <c r="Y329">
        <f>IF(ISNUMBER(Q329),1,0)</f>
        <v/>
      </c>
      <c r="Z329">
        <f>IF(AND(K329=0,L329=0,Y329=0),1,0)</f>
        <v/>
      </c>
      <c r="AA329">
        <f>IF(AND(Z329=1,G329&lt;Assumptions!$C$6),1,0)</f>
        <v/>
      </c>
      <c r="AB329">
        <f>IF(U329=0,"",IF(Y329=1,MAX(0,Q329-G329),IF(L329=1,MAX(0,R329-G329),MAX(0,Assumptions!$C$6-G329))))</f>
        <v/>
      </c>
      <c r="AC329">
        <f>IF(Y329=1,Q329-F329,"")</f>
        <v/>
      </c>
      <c r="AD329">
        <f>IF(Y329=1,AC329^2,"")</f>
        <v/>
      </c>
      <c r="AE329" s="19">
        <f>IF(Z329=1,(H329-M329)*I329,0)</f>
        <v/>
      </c>
      <c r="AF329">
        <f>IF(G329&lt;EDATE(Assumptions!$C$6,-12)+1,"prior_12m","last_12m")</f>
        <v/>
      </c>
      <c r="AG329" s="21">
        <f>DATE(YEAR(G329),MONTH(G329),1)</f>
        <v/>
      </c>
    </row>
    <row r="330">
      <c r="A330" t="inlineStr">
        <is>
          <t>SPO-00178-3</t>
        </is>
      </c>
      <c r="B330" t="inlineStr">
        <is>
          <t>SPO-00178</t>
        </is>
      </c>
      <c r="C330" t="inlineStr">
        <is>
          <t>SUP-01</t>
        </is>
      </c>
      <c r="D330" t="inlineStr">
        <is>
          <t>ELEC</t>
        </is>
      </c>
      <c r="E330" t="inlineStr">
        <is>
          <t>ELEC-04</t>
        </is>
      </c>
      <c r="F330" s="17" t="n">
        <v>45616</v>
      </c>
      <c r="G330" s="17" t="n">
        <v>45634</v>
      </c>
      <c r="H330" s="18" t="n">
        <v>24</v>
      </c>
      <c r="I330" s="19" t="n">
        <v>72.39</v>
      </c>
      <c r="J330" s="19" t="n">
        <v>72</v>
      </c>
      <c r="K330" s="20" t="n">
        <v>0</v>
      </c>
      <c r="L330" s="20" t="n">
        <v>0</v>
      </c>
      <c r="M330" s="18" t="n">
        <v>24</v>
      </c>
      <c r="N330" s="18" t="n">
        <v>24</v>
      </c>
      <c r="O330" s="18" t="n">
        <v>0</v>
      </c>
      <c r="P330" s="17" t="n">
        <v>45630</v>
      </c>
      <c r="Q330" s="17" t="n">
        <v>45630</v>
      </c>
      <c r="R330" s="17" t="n">
        <v>45630</v>
      </c>
      <c r="S330" s="19">
        <f>H330*I330</f>
        <v/>
      </c>
      <c r="T330" s="19">
        <f>H330*J330</f>
        <v/>
      </c>
      <c r="U330">
        <f>IF(AND(K330=0,G330&lt;=Assumptions!$C$6),1,0)</f>
        <v/>
      </c>
      <c r="V330">
        <f>IF(U330=1,IF(M330&gt;0,IF(P330&lt;=G330+Assumptions!$C$7,1,0),0),0)</f>
        <v/>
      </c>
      <c r="W330">
        <f>IF(AND(U330=1,M330&gt;=H330*(1-Assumptions!$C$8)),1,0)</f>
        <v/>
      </c>
      <c r="X330">
        <f>IF(AND(U330=1,N330&gt;=H330*(1-Assumptions!$C$8)),1,0)</f>
        <v/>
      </c>
      <c r="Y330">
        <f>IF(ISNUMBER(Q330),1,0)</f>
        <v/>
      </c>
      <c r="Z330">
        <f>IF(AND(K330=0,L330=0,Y330=0),1,0)</f>
        <v/>
      </c>
      <c r="AA330">
        <f>IF(AND(Z330=1,G330&lt;Assumptions!$C$6),1,0)</f>
        <v/>
      </c>
      <c r="AB330">
        <f>IF(U330=0,"",IF(Y330=1,MAX(0,Q330-G330),IF(L330=1,MAX(0,R330-G330),MAX(0,Assumptions!$C$6-G330))))</f>
        <v/>
      </c>
      <c r="AC330">
        <f>IF(Y330=1,Q330-F330,"")</f>
        <v/>
      </c>
      <c r="AD330">
        <f>IF(Y330=1,AC330^2,"")</f>
        <v/>
      </c>
      <c r="AE330" s="19">
        <f>IF(Z330=1,(H330-M330)*I330,0)</f>
        <v/>
      </c>
      <c r="AF330">
        <f>IF(G330&lt;EDATE(Assumptions!$C$6,-12)+1,"prior_12m","last_12m")</f>
        <v/>
      </c>
      <c r="AG330" s="21">
        <f>DATE(YEAR(G330),MONTH(G330),1)</f>
        <v/>
      </c>
    </row>
    <row r="331">
      <c r="A331" t="inlineStr">
        <is>
          <t>SPO-00179-1</t>
        </is>
      </c>
      <c r="B331" t="inlineStr">
        <is>
          <t>SPO-00179</t>
        </is>
      </c>
      <c r="C331" t="inlineStr">
        <is>
          <t>SUP-01</t>
        </is>
      </c>
      <c r="D331" t="inlineStr">
        <is>
          <t>ELEC</t>
        </is>
      </c>
      <c r="E331" t="inlineStr">
        <is>
          <t>ELEC-05</t>
        </is>
      </c>
      <c r="F331" s="17" t="n">
        <v>45616</v>
      </c>
      <c r="G331" s="17" t="n">
        <v>45634</v>
      </c>
      <c r="H331" s="18" t="n">
        <v>169</v>
      </c>
      <c r="I331" s="19" t="n">
        <v>11.37</v>
      </c>
      <c r="J331" s="19" t="n">
        <v>11.5</v>
      </c>
      <c r="K331" s="20" t="n">
        <v>0</v>
      </c>
      <c r="L331" s="20" t="n">
        <v>0</v>
      </c>
      <c r="M331" s="18" t="n">
        <v>169</v>
      </c>
      <c r="N331" s="18" t="n">
        <v>169</v>
      </c>
      <c r="O331" s="18" t="n">
        <v>0</v>
      </c>
      <c r="P331" s="17" t="n">
        <v>45629</v>
      </c>
      <c r="Q331" s="17" t="n">
        <v>45629</v>
      </c>
      <c r="R331" s="17" t="n">
        <v>45629</v>
      </c>
      <c r="S331" s="19">
        <f>H331*I331</f>
        <v/>
      </c>
      <c r="T331" s="19">
        <f>H331*J331</f>
        <v/>
      </c>
      <c r="U331">
        <f>IF(AND(K331=0,G331&lt;=Assumptions!$C$6),1,0)</f>
        <v/>
      </c>
      <c r="V331">
        <f>IF(U331=1,IF(M331&gt;0,IF(P331&lt;=G331+Assumptions!$C$7,1,0),0),0)</f>
        <v/>
      </c>
      <c r="W331">
        <f>IF(AND(U331=1,M331&gt;=H331*(1-Assumptions!$C$8)),1,0)</f>
        <v/>
      </c>
      <c r="X331">
        <f>IF(AND(U331=1,N331&gt;=H331*(1-Assumptions!$C$8)),1,0)</f>
        <v/>
      </c>
      <c r="Y331">
        <f>IF(ISNUMBER(Q331),1,0)</f>
        <v/>
      </c>
      <c r="Z331">
        <f>IF(AND(K331=0,L331=0,Y331=0),1,0)</f>
        <v/>
      </c>
      <c r="AA331">
        <f>IF(AND(Z331=1,G331&lt;Assumptions!$C$6),1,0)</f>
        <v/>
      </c>
      <c r="AB331">
        <f>IF(U331=0,"",IF(Y331=1,MAX(0,Q331-G331),IF(L331=1,MAX(0,R331-G331),MAX(0,Assumptions!$C$6-G331))))</f>
        <v/>
      </c>
      <c r="AC331">
        <f>IF(Y331=1,Q331-F331,"")</f>
        <v/>
      </c>
      <c r="AD331">
        <f>IF(Y331=1,AC331^2,"")</f>
        <v/>
      </c>
      <c r="AE331" s="19">
        <f>IF(Z331=1,(H331-M331)*I331,0)</f>
        <v/>
      </c>
      <c r="AF331">
        <f>IF(G331&lt;EDATE(Assumptions!$C$6,-12)+1,"prior_12m","last_12m")</f>
        <v/>
      </c>
      <c r="AG331" s="21">
        <f>DATE(YEAR(G331),MONTH(G331),1)</f>
        <v/>
      </c>
    </row>
    <row r="332">
      <c r="A332" t="inlineStr">
        <is>
          <t>SPO-00179-2</t>
        </is>
      </c>
      <c r="B332" t="inlineStr">
        <is>
          <t>SPO-00179</t>
        </is>
      </c>
      <c r="C332" t="inlineStr">
        <is>
          <t>SUP-01</t>
        </is>
      </c>
      <c r="D332" t="inlineStr">
        <is>
          <t>ELEC</t>
        </is>
      </c>
      <c r="E332" t="inlineStr">
        <is>
          <t>ELEC-03</t>
        </is>
      </c>
      <c r="F332" s="17" t="n">
        <v>45616</v>
      </c>
      <c r="G332" s="17" t="n">
        <v>45634</v>
      </c>
      <c r="H332" s="18" t="n">
        <v>39</v>
      </c>
      <c r="I332" s="19" t="n">
        <v>95.93000000000001</v>
      </c>
      <c r="J332" s="19" t="n">
        <v>96</v>
      </c>
      <c r="K332" s="20" t="n">
        <v>0</v>
      </c>
      <c r="L332" s="20" t="n">
        <v>0</v>
      </c>
      <c r="M332" s="18" t="n">
        <v>39</v>
      </c>
      <c r="N332" s="18" t="n">
        <v>39</v>
      </c>
      <c r="O332" s="18" t="n">
        <v>0</v>
      </c>
      <c r="P332" s="17" t="n">
        <v>45626</v>
      </c>
      <c r="Q332" s="17" t="n">
        <v>45626</v>
      </c>
      <c r="R332" s="17" t="n">
        <v>45626</v>
      </c>
      <c r="S332" s="19">
        <f>H332*I332</f>
        <v/>
      </c>
      <c r="T332" s="19">
        <f>H332*J332</f>
        <v/>
      </c>
      <c r="U332">
        <f>IF(AND(K332=0,G332&lt;=Assumptions!$C$6),1,0)</f>
        <v/>
      </c>
      <c r="V332">
        <f>IF(U332=1,IF(M332&gt;0,IF(P332&lt;=G332+Assumptions!$C$7,1,0),0),0)</f>
        <v/>
      </c>
      <c r="W332">
        <f>IF(AND(U332=1,M332&gt;=H332*(1-Assumptions!$C$8)),1,0)</f>
        <v/>
      </c>
      <c r="X332">
        <f>IF(AND(U332=1,N332&gt;=H332*(1-Assumptions!$C$8)),1,0)</f>
        <v/>
      </c>
      <c r="Y332">
        <f>IF(ISNUMBER(Q332),1,0)</f>
        <v/>
      </c>
      <c r="Z332">
        <f>IF(AND(K332=0,L332=0,Y332=0),1,0)</f>
        <v/>
      </c>
      <c r="AA332">
        <f>IF(AND(Z332=1,G332&lt;Assumptions!$C$6),1,0)</f>
        <v/>
      </c>
      <c r="AB332">
        <f>IF(U332=0,"",IF(Y332=1,MAX(0,Q332-G332),IF(L332=1,MAX(0,R332-G332),MAX(0,Assumptions!$C$6-G332))))</f>
        <v/>
      </c>
      <c r="AC332">
        <f>IF(Y332=1,Q332-F332,"")</f>
        <v/>
      </c>
      <c r="AD332">
        <f>IF(Y332=1,AC332^2,"")</f>
        <v/>
      </c>
      <c r="AE332" s="19">
        <f>IF(Z332=1,(H332-M332)*I332,0)</f>
        <v/>
      </c>
      <c r="AF332">
        <f>IF(G332&lt;EDATE(Assumptions!$C$6,-12)+1,"prior_12m","last_12m")</f>
        <v/>
      </c>
      <c r="AG332" s="21">
        <f>DATE(YEAR(G332),MONTH(G332),1)</f>
        <v/>
      </c>
    </row>
    <row r="333">
      <c r="A333" t="inlineStr">
        <is>
          <t>SPO-00179-3</t>
        </is>
      </c>
      <c r="B333" t="inlineStr">
        <is>
          <t>SPO-00179</t>
        </is>
      </c>
      <c r="C333" t="inlineStr">
        <is>
          <t>SUP-01</t>
        </is>
      </c>
      <c r="D333" t="inlineStr">
        <is>
          <t>ELEC</t>
        </is>
      </c>
      <c r="E333" t="inlineStr">
        <is>
          <t>ELEC-06</t>
        </is>
      </c>
      <c r="F333" s="17" t="n">
        <v>45616</v>
      </c>
      <c r="G333" s="17" t="n">
        <v>45634</v>
      </c>
      <c r="H333" s="18" t="n">
        <v>18</v>
      </c>
      <c r="I333" s="19" t="n">
        <v>146.59</v>
      </c>
      <c r="J333" s="19" t="n">
        <v>145</v>
      </c>
      <c r="K333" s="20" t="n">
        <v>0</v>
      </c>
      <c r="L333" s="20" t="n">
        <v>0</v>
      </c>
      <c r="M333" s="18" t="n">
        <v>18</v>
      </c>
      <c r="N333" s="18" t="n">
        <v>18</v>
      </c>
      <c r="O333" s="18" t="n">
        <v>0</v>
      </c>
      <c r="P333" s="17" t="n">
        <v>45629</v>
      </c>
      <c r="Q333" s="17" t="n">
        <v>45629</v>
      </c>
      <c r="R333" s="17" t="n">
        <v>45629</v>
      </c>
      <c r="S333" s="19">
        <f>H333*I333</f>
        <v/>
      </c>
      <c r="T333" s="19">
        <f>H333*J333</f>
        <v/>
      </c>
      <c r="U333">
        <f>IF(AND(K333=0,G333&lt;=Assumptions!$C$6),1,0)</f>
        <v/>
      </c>
      <c r="V333">
        <f>IF(U333=1,IF(M333&gt;0,IF(P333&lt;=G333+Assumptions!$C$7,1,0),0),0)</f>
        <v/>
      </c>
      <c r="W333">
        <f>IF(AND(U333=1,M333&gt;=H333*(1-Assumptions!$C$8)),1,0)</f>
        <v/>
      </c>
      <c r="X333">
        <f>IF(AND(U333=1,N333&gt;=H333*(1-Assumptions!$C$8)),1,0)</f>
        <v/>
      </c>
      <c r="Y333">
        <f>IF(ISNUMBER(Q333),1,0)</f>
        <v/>
      </c>
      <c r="Z333">
        <f>IF(AND(K333=0,L333=0,Y333=0),1,0)</f>
        <v/>
      </c>
      <c r="AA333">
        <f>IF(AND(Z333=1,G333&lt;Assumptions!$C$6),1,0)</f>
        <v/>
      </c>
      <c r="AB333">
        <f>IF(U333=0,"",IF(Y333=1,MAX(0,Q333-G333),IF(L333=1,MAX(0,R333-G333),MAX(0,Assumptions!$C$6-G333))))</f>
        <v/>
      </c>
      <c r="AC333">
        <f>IF(Y333=1,Q333-F333,"")</f>
        <v/>
      </c>
      <c r="AD333">
        <f>IF(Y333=1,AC333^2,"")</f>
        <v/>
      </c>
      <c r="AE333" s="19">
        <f>IF(Z333=1,(H333-M333)*I333,0)</f>
        <v/>
      </c>
      <c r="AF333">
        <f>IF(G333&lt;EDATE(Assumptions!$C$6,-12)+1,"prior_12m","last_12m")</f>
        <v/>
      </c>
      <c r="AG333" s="21">
        <f>DATE(YEAR(G333),MONTH(G333),1)</f>
        <v/>
      </c>
    </row>
    <row r="334">
      <c r="A334" t="inlineStr">
        <is>
          <t>SPO-00179-4</t>
        </is>
      </c>
      <c r="B334" t="inlineStr">
        <is>
          <t>SPO-00179</t>
        </is>
      </c>
      <c r="C334" t="inlineStr">
        <is>
          <t>SUP-01</t>
        </is>
      </c>
      <c r="D334" t="inlineStr">
        <is>
          <t>ELEC</t>
        </is>
      </c>
      <c r="E334" t="inlineStr">
        <is>
          <t>ELEC-04</t>
        </is>
      </c>
      <c r="F334" s="17" t="n">
        <v>45616</v>
      </c>
      <c r="G334" s="17" t="n">
        <v>45634</v>
      </c>
      <c r="H334" s="18" t="n">
        <v>17</v>
      </c>
      <c r="I334" s="19" t="n">
        <v>71.31</v>
      </c>
      <c r="J334" s="19" t="n">
        <v>72</v>
      </c>
      <c r="K334" s="20" t="n">
        <v>0</v>
      </c>
      <c r="L334" s="20" t="n">
        <v>0</v>
      </c>
      <c r="M334" s="18" t="n">
        <v>17</v>
      </c>
      <c r="N334" s="18" t="n">
        <v>17</v>
      </c>
      <c r="O334" s="18" t="n">
        <v>0</v>
      </c>
      <c r="P334" s="17" t="n">
        <v>45630</v>
      </c>
      <c r="Q334" s="17" t="n">
        <v>45630</v>
      </c>
      <c r="R334" s="17" t="n">
        <v>45630</v>
      </c>
      <c r="S334" s="19">
        <f>H334*I334</f>
        <v/>
      </c>
      <c r="T334" s="19">
        <f>H334*J334</f>
        <v/>
      </c>
      <c r="U334">
        <f>IF(AND(K334=0,G334&lt;=Assumptions!$C$6),1,0)</f>
        <v/>
      </c>
      <c r="V334">
        <f>IF(U334=1,IF(M334&gt;0,IF(P334&lt;=G334+Assumptions!$C$7,1,0),0),0)</f>
        <v/>
      </c>
      <c r="W334">
        <f>IF(AND(U334=1,M334&gt;=H334*(1-Assumptions!$C$8)),1,0)</f>
        <v/>
      </c>
      <c r="X334">
        <f>IF(AND(U334=1,N334&gt;=H334*(1-Assumptions!$C$8)),1,0)</f>
        <v/>
      </c>
      <c r="Y334">
        <f>IF(ISNUMBER(Q334),1,0)</f>
        <v/>
      </c>
      <c r="Z334">
        <f>IF(AND(K334=0,L334=0,Y334=0),1,0)</f>
        <v/>
      </c>
      <c r="AA334">
        <f>IF(AND(Z334=1,G334&lt;Assumptions!$C$6),1,0)</f>
        <v/>
      </c>
      <c r="AB334">
        <f>IF(U334=0,"",IF(Y334=1,MAX(0,Q334-G334),IF(L334=1,MAX(0,R334-G334),MAX(0,Assumptions!$C$6-G334))))</f>
        <v/>
      </c>
      <c r="AC334">
        <f>IF(Y334=1,Q334-F334,"")</f>
        <v/>
      </c>
      <c r="AD334">
        <f>IF(Y334=1,AC334^2,"")</f>
        <v/>
      </c>
      <c r="AE334" s="19">
        <f>IF(Z334=1,(H334-M334)*I334,0)</f>
        <v/>
      </c>
      <c r="AF334">
        <f>IF(G334&lt;EDATE(Assumptions!$C$6,-12)+1,"prior_12m","last_12m")</f>
        <v/>
      </c>
      <c r="AG334" s="21">
        <f>DATE(YEAR(G334),MONTH(G334),1)</f>
        <v/>
      </c>
    </row>
    <row r="335">
      <c r="A335" t="inlineStr">
        <is>
          <t>SPO-00180-1</t>
        </is>
      </c>
      <c r="B335" t="inlineStr">
        <is>
          <t>SPO-00180</t>
        </is>
      </c>
      <c r="C335" t="inlineStr">
        <is>
          <t>SUP-06</t>
        </is>
      </c>
      <c r="D335" t="inlineStr">
        <is>
          <t>MRO</t>
        </is>
      </c>
      <c r="E335" t="inlineStr">
        <is>
          <t>MRO-07</t>
        </is>
      </c>
      <c r="F335" s="17" t="n">
        <v>45616</v>
      </c>
      <c r="G335" s="17" t="n">
        <v>45624</v>
      </c>
      <c r="H335" s="18" t="n">
        <v>125</v>
      </c>
      <c r="I335" s="19" t="n">
        <v>14.08</v>
      </c>
      <c r="J335" s="19" t="n">
        <v>14</v>
      </c>
      <c r="K335" s="20" t="n">
        <v>0</v>
      </c>
      <c r="L335" s="20" t="n">
        <v>0</v>
      </c>
      <c r="M335" s="18" t="n">
        <v>125</v>
      </c>
      <c r="N335" s="18" t="n">
        <v>125</v>
      </c>
      <c r="O335" s="18" t="n">
        <v>0</v>
      </c>
      <c r="P335" s="17" t="n">
        <v>45624</v>
      </c>
      <c r="Q335" s="17" t="n">
        <v>45624</v>
      </c>
      <c r="R335" s="17" t="n">
        <v>45624</v>
      </c>
      <c r="S335" s="19">
        <f>H335*I335</f>
        <v/>
      </c>
      <c r="T335" s="19">
        <f>H335*J335</f>
        <v/>
      </c>
      <c r="U335">
        <f>IF(AND(K335=0,G335&lt;=Assumptions!$C$6),1,0)</f>
        <v/>
      </c>
      <c r="V335">
        <f>IF(U335=1,IF(M335&gt;0,IF(P335&lt;=G335+Assumptions!$C$7,1,0),0),0)</f>
        <v/>
      </c>
      <c r="W335">
        <f>IF(AND(U335=1,M335&gt;=H335*(1-Assumptions!$C$8)),1,0)</f>
        <v/>
      </c>
      <c r="X335">
        <f>IF(AND(U335=1,N335&gt;=H335*(1-Assumptions!$C$8)),1,0)</f>
        <v/>
      </c>
      <c r="Y335">
        <f>IF(ISNUMBER(Q335),1,0)</f>
        <v/>
      </c>
      <c r="Z335">
        <f>IF(AND(K335=0,L335=0,Y335=0),1,0)</f>
        <v/>
      </c>
      <c r="AA335">
        <f>IF(AND(Z335=1,G335&lt;Assumptions!$C$6),1,0)</f>
        <v/>
      </c>
      <c r="AB335">
        <f>IF(U335=0,"",IF(Y335=1,MAX(0,Q335-G335),IF(L335=1,MAX(0,R335-G335),MAX(0,Assumptions!$C$6-G335))))</f>
        <v/>
      </c>
      <c r="AC335">
        <f>IF(Y335=1,Q335-F335,"")</f>
        <v/>
      </c>
      <c r="AD335">
        <f>IF(Y335=1,AC335^2,"")</f>
        <v/>
      </c>
      <c r="AE335" s="19">
        <f>IF(Z335=1,(H335-M335)*I335,0)</f>
        <v/>
      </c>
      <c r="AF335">
        <f>IF(G335&lt;EDATE(Assumptions!$C$6,-12)+1,"prior_12m","last_12m")</f>
        <v/>
      </c>
      <c r="AG335" s="21">
        <f>DATE(YEAR(G335),MONTH(G335),1)</f>
        <v/>
      </c>
    </row>
    <row r="336">
      <c r="A336" t="inlineStr">
        <is>
          <t>SPO-00181-1</t>
        </is>
      </c>
      <c r="B336" t="inlineStr">
        <is>
          <t>SPO-00181</t>
        </is>
      </c>
      <c r="C336" t="inlineStr">
        <is>
          <t>SUP-06</t>
        </is>
      </c>
      <c r="D336" t="inlineStr">
        <is>
          <t>MRO</t>
        </is>
      </c>
      <c r="E336" t="inlineStr">
        <is>
          <t>MRO-04</t>
        </is>
      </c>
      <c r="F336" s="17" t="n">
        <v>45617</v>
      </c>
      <c r="G336" s="17" t="n">
        <v>45625</v>
      </c>
      <c r="H336" s="18" t="n">
        <v>22</v>
      </c>
      <c r="I336" s="19" t="n">
        <v>57.95</v>
      </c>
      <c r="J336" s="19" t="n">
        <v>58</v>
      </c>
      <c r="K336" s="20" t="n">
        <v>0</v>
      </c>
      <c r="L336" s="20" t="n">
        <v>0</v>
      </c>
      <c r="M336" s="18" t="n">
        <v>22</v>
      </c>
      <c r="N336" s="18" t="n">
        <v>22</v>
      </c>
      <c r="O336" s="18" t="n">
        <v>0</v>
      </c>
      <c r="P336" s="17" t="n">
        <v>45622</v>
      </c>
      <c r="Q336" s="17" t="n">
        <v>45622</v>
      </c>
      <c r="R336" s="17" t="n">
        <v>45622</v>
      </c>
      <c r="S336" s="19">
        <f>H336*I336</f>
        <v/>
      </c>
      <c r="T336" s="19">
        <f>H336*J336</f>
        <v/>
      </c>
      <c r="U336">
        <f>IF(AND(K336=0,G336&lt;=Assumptions!$C$6),1,0)</f>
        <v/>
      </c>
      <c r="V336">
        <f>IF(U336=1,IF(M336&gt;0,IF(P336&lt;=G336+Assumptions!$C$7,1,0),0),0)</f>
        <v/>
      </c>
      <c r="W336">
        <f>IF(AND(U336=1,M336&gt;=H336*(1-Assumptions!$C$8)),1,0)</f>
        <v/>
      </c>
      <c r="X336">
        <f>IF(AND(U336=1,N336&gt;=H336*(1-Assumptions!$C$8)),1,0)</f>
        <v/>
      </c>
      <c r="Y336">
        <f>IF(ISNUMBER(Q336),1,0)</f>
        <v/>
      </c>
      <c r="Z336">
        <f>IF(AND(K336=0,L336=0,Y336=0),1,0)</f>
        <v/>
      </c>
      <c r="AA336">
        <f>IF(AND(Z336=1,G336&lt;Assumptions!$C$6),1,0)</f>
        <v/>
      </c>
      <c r="AB336">
        <f>IF(U336=0,"",IF(Y336=1,MAX(0,Q336-G336),IF(L336=1,MAX(0,R336-G336),MAX(0,Assumptions!$C$6-G336))))</f>
        <v/>
      </c>
      <c r="AC336">
        <f>IF(Y336=1,Q336-F336,"")</f>
        <v/>
      </c>
      <c r="AD336">
        <f>IF(Y336=1,AC336^2,"")</f>
        <v/>
      </c>
      <c r="AE336" s="19">
        <f>IF(Z336=1,(H336-M336)*I336,0)</f>
        <v/>
      </c>
      <c r="AF336">
        <f>IF(G336&lt;EDATE(Assumptions!$C$6,-12)+1,"prior_12m","last_12m")</f>
        <v/>
      </c>
      <c r="AG336" s="21">
        <f>DATE(YEAR(G336),MONTH(G336),1)</f>
        <v/>
      </c>
    </row>
    <row r="337">
      <c r="A337" t="inlineStr">
        <is>
          <t>SPO-00182-1</t>
        </is>
      </c>
      <c r="B337" t="inlineStr">
        <is>
          <t>SPO-00182</t>
        </is>
      </c>
      <c r="C337" t="inlineStr">
        <is>
          <t>SUP-12</t>
        </is>
      </c>
      <c r="D337" t="inlineStr">
        <is>
          <t>IT</t>
        </is>
      </c>
      <c r="E337" t="inlineStr">
        <is>
          <t>IT-07</t>
        </is>
      </c>
      <c r="F337" s="17" t="n">
        <v>45618</v>
      </c>
      <c r="G337" s="17" t="n">
        <v>45628</v>
      </c>
      <c r="H337" s="18" t="n">
        <v>18</v>
      </c>
      <c r="I337" s="19" t="n">
        <v>80.40000000000001</v>
      </c>
      <c r="J337" s="19" t="n">
        <v>74</v>
      </c>
      <c r="K337" s="20" t="n">
        <v>0</v>
      </c>
      <c r="L337" s="20" t="n">
        <v>0</v>
      </c>
      <c r="M337" s="18" t="n">
        <v>18</v>
      </c>
      <c r="N337" s="18" t="n">
        <v>14</v>
      </c>
      <c r="O337" s="18" t="n">
        <v>0</v>
      </c>
      <c r="P337" s="17" t="n">
        <v>45627</v>
      </c>
      <c r="Q337" s="17" t="n">
        <v>45638</v>
      </c>
      <c r="R337" s="17" t="n">
        <v>45638</v>
      </c>
      <c r="S337" s="19">
        <f>H337*I337</f>
        <v/>
      </c>
      <c r="T337" s="19">
        <f>H337*J337</f>
        <v/>
      </c>
      <c r="U337">
        <f>IF(AND(K337=0,G337&lt;=Assumptions!$C$6),1,0)</f>
        <v/>
      </c>
      <c r="V337">
        <f>IF(U337=1,IF(M337&gt;0,IF(P337&lt;=G337+Assumptions!$C$7,1,0),0),0)</f>
        <v/>
      </c>
      <c r="W337">
        <f>IF(AND(U337=1,M337&gt;=H337*(1-Assumptions!$C$8)),1,0)</f>
        <v/>
      </c>
      <c r="X337">
        <f>IF(AND(U337=1,N337&gt;=H337*(1-Assumptions!$C$8)),1,0)</f>
        <v/>
      </c>
      <c r="Y337">
        <f>IF(ISNUMBER(Q337),1,0)</f>
        <v/>
      </c>
      <c r="Z337">
        <f>IF(AND(K337=0,L337=0,Y337=0),1,0)</f>
        <v/>
      </c>
      <c r="AA337">
        <f>IF(AND(Z337=1,G337&lt;Assumptions!$C$6),1,0)</f>
        <v/>
      </c>
      <c r="AB337">
        <f>IF(U337=0,"",IF(Y337=1,MAX(0,Q337-G337),IF(L337=1,MAX(0,R337-G337),MAX(0,Assumptions!$C$6-G337))))</f>
        <v/>
      </c>
      <c r="AC337">
        <f>IF(Y337=1,Q337-F337,"")</f>
        <v/>
      </c>
      <c r="AD337">
        <f>IF(Y337=1,AC337^2,"")</f>
        <v/>
      </c>
      <c r="AE337" s="19">
        <f>IF(Z337=1,(H337-M337)*I337,0)</f>
        <v/>
      </c>
      <c r="AF337">
        <f>IF(G337&lt;EDATE(Assumptions!$C$6,-12)+1,"prior_12m","last_12m")</f>
        <v/>
      </c>
      <c r="AG337" s="21">
        <f>DATE(YEAR(G337),MONTH(G337),1)</f>
        <v/>
      </c>
    </row>
    <row r="338">
      <c r="A338" t="inlineStr">
        <is>
          <t>SPO-00182-2</t>
        </is>
      </c>
      <c r="B338" t="inlineStr">
        <is>
          <t>SPO-00182</t>
        </is>
      </c>
      <c r="C338" t="inlineStr">
        <is>
          <t>SUP-12</t>
        </is>
      </c>
      <c r="D338" t="inlineStr">
        <is>
          <t>IT</t>
        </is>
      </c>
      <c r="E338" t="inlineStr">
        <is>
          <t>IT-03</t>
        </is>
      </c>
      <c r="F338" s="17" t="n">
        <v>45618</v>
      </c>
      <c r="G338" s="17" t="n">
        <v>45628</v>
      </c>
      <c r="H338" s="18" t="n">
        <v>36</v>
      </c>
      <c r="I338" s="19" t="n">
        <v>44.14</v>
      </c>
      <c r="J338" s="19" t="n">
        <v>38</v>
      </c>
      <c r="K338" s="20" t="n">
        <v>0</v>
      </c>
      <c r="L338" s="20" t="n">
        <v>0</v>
      </c>
      <c r="M338" s="18" t="n">
        <v>36</v>
      </c>
      <c r="N338" s="18" t="n">
        <v>36</v>
      </c>
      <c r="O338" s="18" t="n">
        <v>0</v>
      </c>
      <c r="P338" s="17" t="n">
        <v>45622</v>
      </c>
      <c r="Q338" s="17" t="n">
        <v>45622</v>
      </c>
      <c r="R338" s="17" t="n">
        <v>45622</v>
      </c>
      <c r="S338" s="19">
        <f>H338*I338</f>
        <v/>
      </c>
      <c r="T338" s="19">
        <f>H338*J338</f>
        <v/>
      </c>
      <c r="U338">
        <f>IF(AND(K338=0,G338&lt;=Assumptions!$C$6),1,0)</f>
        <v/>
      </c>
      <c r="V338">
        <f>IF(U338=1,IF(M338&gt;0,IF(P338&lt;=G338+Assumptions!$C$7,1,0),0),0)</f>
        <v/>
      </c>
      <c r="W338">
        <f>IF(AND(U338=1,M338&gt;=H338*(1-Assumptions!$C$8)),1,0)</f>
        <v/>
      </c>
      <c r="X338">
        <f>IF(AND(U338=1,N338&gt;=H338*(1-Assumptions!$C$8)),1,0)</f>
        <v/>
      </c>
      <c r="Y338">
        <f>IF(ISNUMBER(Q338),1,0)</f>
        <v/>
      </c>
      <c r="Z338">
        <f>IF(AND(K338=0,L338=0,Y338=0),1,0)</f>
        <v/>
      </c>
      <c r="AA338">
        <f>IF(AND(Z338=1,G338&lt;Assumptions!$C$6),1,0)</f>
        <v/>
      </c>
      <c r="AB338">
        <f>IF(U338=0,"",IF(Y338=1,MAX(0,Q338-G338),IF(L338=1,MAX(0,R338-G338),MAX(0,Assumptions!$C$6-G338))))</f>
        <v/>
      </c>
      <c r="AC338">
        <f>IF(Y338=1,Q338-F338,"")</f>
        <v/>
      </c>
      <c r="AD338">
        <f>IF(Y338=1,AC338^2,"")</f>
        <v/>
      </c>
      <c r="AE338" s="19">
        <f>IF(Z338=1,(H338-M338)*I338,0)</f>
        <v/>
      </c>
      <c r="AF338">
        <f>IF(G338&lt;EDATE(Assumptions!$C$6,-12)+1,"prior_12m","last_12m")</f>
        <v/>
      </c>
      <c r="AG338" s="21">
        <f>DATE(YEAR(G338),MONTH(G338),1)</f>
        <v/>
      </c>
    </row>
    <row r="339">
      <c r="A339" t="inlineStr">
        <is>
          <t>SPO-00183-1</t>
        </is>
      </c>
      <c r="B339" t="inlineStr">
        <is>
          <t>SPO-00183</t>
        </is>
      </c>
      <c r="C339" t="inlineStr">
        <is>
          <t>SUP-08</t>
        </is>
      </c>
      <c r="D339" t="inlineStr">
        <is>
          <t>PPE</t>
        </is>
      </c>
      <c r="E339" t="inlineStr">
        <is>
          <t>PPE-01</t>
        </is>
      </c>
      <c r="F339" s="17" t="n">
        <v>45618</v>
      </c>
      <c r="G339" s="17" t="n">
        <v>45629</v>
      </c>
      <c r="H339" s="18" t="n">
        <v>182</v>
      </c>
      <c r="I339" s="19" t="n">
        <v>4.82</v>
      </c>
      <c r="J339" s="19" t="n">
        <v>4.8</v>
      </c>
      <c r="K339" s="20" t="n">
        <v>0</v>
      </c>
      <c r="L339" s="20" t="n">
        <v>0</v>
      </c>
      <c r="M339" s="18" t="n">
        <v>182</v>
      </c>
      <c r="N339" s="18" t="n">
        <v>182</v>
      </c>
      <c r="O339" s="18" t="n">
        <v>0</v>
      </c>
      <c r="P339" s="17" t="n">
        <v>45619</v>
      </c>
      <c r="Q339" s="17" t="n">
        <v>45619</v>
      </c>
      <c r="R339" s="17" t="n">
        <v>45619</v>
      </c>
      <c r="S339" s="19">
        <f>H339*I339</f>
        <v/>
      </c>
      <c r="T339" s="19">
        <f>H339*J339</f>
        <v/>
      </c>
      <c r="U339">
        <f>IF(AND(K339=0,G339&lt;=Assumptions!$C$6),1,0)</f>
        <v/>
      </c>
      <c r="V339">
        <f>IF(U339=1,IF(M339&gt;0,IF(P339&lt;=G339+Assumptions!$C$7,1,0),0),0)</f>
        <v/>
      </c>
      <c r="W339">
        <f>IF(AND(U339=1,M339&gt;=H339*(1-Assumptions!$C$8)),1,0)</f>
        <v/>
      </c>
      <c r="X339">
        <f>IF(AND(U339=1,N339&gt;=H339*(1-Assumptions!$C$8)),1,0)</f>
        <v/>
      </c>
      <c r="Y339">
        <f>IF(ISNUMBER(Q339),1,0)</f>
        <v/>
      </c>
      <c r="Z339">
        <f>IF(AND(K339=0,L339=0,Y339=0),1,0)</f>
        <v/>
      </c>
      <c r="AA339">
        <f>IF(AND(Z339=1,G339&lt;Assumptions!$C$6),1,0)</f>
        <v/>
      </c>
      <c r="AB339">
        <f>IF(U339=0,"",IF(Y339=1,MAX(0,Q339-G339),IF(L339=1,MAX(0,R339-G339),MAX(0,Assumptions!$C$6-G339))))</f>
        <v/>
      </c>
      <c r="AC339">
        <f>IF(Y339=1,Q339-F339,"")</f>
        <v/>
      </c>
      <c r="AD339">
        <f>IF(Y339=1,AC339^2,"")</f>
        <v/>
      </c>
      <c r="AE339" s="19">
        <f>IF(Z339=1,(H339-M339)*I339,0)</f>
        <v/>
      </c>
      <c r="AF339">
        <f>IF(G339&lt;EDATE(Assumptions!$C$6,-12)+1,"prior_12m","last_12m")</f>
        <v/>
      </c>
      <c r="AG339" s="21">
        <f>DATE(YEAR(G339),MONTH(G339),1)</f>
        <v/>
      </c>
    </row>
    <row r="340">
      <c r="A340" t="inlineStr">
        <is>
          <t>SPO-00183-2</t>
        </is>
      </c>
      <c r="B340" t="inlineStr">
        <is>
          <t>SPO-00183</t>
        </is>
      </c>
      <c r="C340" t="inlineStr">
        <is>
          <t>SUP-08</t>
        </is>
      </c>
      <c r="D340" t="inlineStr">
        <is>
          <t>PPE</t>
        </is>
      </c>
      <c r="E340" t="inlineStr">
        <is>
          <t>PPE-03</t>
        </is>
      </c>
      <c r="F340" s="17" t="n">
        <v>45618</v>
      </c>
      <c r="G340" s="17" t="n">
        <v>45629</v>
      </c>
      <c r="H340" s="18" t="n">
        <v>92</v>
      </c>
      <c r="I340" s="19" t="n">
        <v>21.25</v>
      </c>
      <c r="J340" s="19" t="n">
        <v>21</v>
      </c>
      <c r="K340" s="20" t="n">
        <v>0</v>
      </c>
      <c r="L340" s="20" t="n">
        <v>0</v>
      </c>
      <c r="M340" s="18" t="n">
        <v>92</v>
      </c>
      <c r="N340" s="18" t="n">
        <v>92</v>
      </c>
      <c r="O340" s="18" t="n">
        <v>0</v>
      </c>
      <c r="P340" s="17" t="n">
        <v>45627</v>
      </c>
      <c r="Q340" s="17" t="n">
        <v>45627</v>
      </c>
      <c r="R340" s="17" t="n">
        <v>45627</v>
      </c>
      <c r="S340" s="19">
        <f>H340*I340</f>
        <v/>
      </c>
      <c r="T340" s="19">
        <f>H340*J340</f>
        <v/>
      </c>
      <c r="U340">
        <f>IF(AND(K340=0,G340&lt;=Assumptions!$C$6),1,0)</f>
        <v/>
      </c>
      <c r="V340">
        <f>IF(U340=1,IF(M340&gt;0,IF(P340&lt;=G340+Assumptions!$C$7,1,0),0),0)</f>
        <v/>
      </c>
      <c r="W340">
        <f>IF(AND(U340=1,M340&gt;=H340*(1-Assumptions!$C$8)),1,0)</f>
        <v/>
      </c>
      <c r="X340">
        <f>IF(AND(U340=1,N340&gt;=H340*(1-Assumptions!$C$8)),1,0)</f>
        <v/>
      </c>
      <c r="Y340">
        <f>IF(ISNUMBER(Q340),1,0)</f>
        <v/>
      </c>
      <c r="Z340">
        <f>IF(AND(K340=0,L340=0,Y340=0),1,0)</f>
        <v/>
      </c>
      <c r="AA340">
        <f>IF(AND(Z340=1,G340&lt;Assumptions!$C$6),1,0)</f>
        <v/>
      </c>
      <c r="AB340">
        <f>IF(U340=0,"",IF(Y340=1,MAX(0,Q340-G340),IF(L340=1,MAX(0,R340-G340),MAX(0,Assumptions!$C$6-G340))))</f>
        <v/>
      </c>
      <c r="AC340">
        <f>IF(Y340=1,Q340-F340,"")</f>
        <v/>
      </c>
      <c r="AD340">
        <f>IF(Y340=1,AC340^2,"")</f>
        <v/>
      </c>
      <c r="AE340" s="19">
        <f>IF(Z340=1,(H340-M340)*I340,0)</f>
        <v/>
      </c>
      <c r="AF340">
        <f>IF(G340&lt;EDATE(Assumptions!$C$6,-12)+1,"prior_12m","last_12m")</f>
        <v/>
      </c>
      <c r="AG340" s="21">
        <f>DATE(YEAR(G340),MONTH(G340),1)</f>
        <v/>
      </c>
    </row>
    <row r="341">
      <c r="A341" t="inlineStr">
        <is>
          <t>SPO-00184-1</t>
        </is>
      </c>
      <c r="B341" t="inlineStr">
        <is>
          <t>SPO-00184</t>
        </is>
      </c>
      <c r="C341" t="inlineStr">
        <is>
          <t>SUP-11</t>
        </is>
      </c>
      <c r="D341" t="inlineStr">
        <is>
          <t>PPE</t>
        </is>
      </c>
      <c r="E341" t="inlineStr">
        <is>
          <t>PPE-05</t>
        </is>
      </c>
      <c r="F341" s="17" t="n">
        <v>45619</v>
      </c>
      <c r="G341" s="17" t="n">
        <v>45631</v>
      </c>
      <c r="H341" s="18" t="n">
        <v>148</v>
      </c>
      <c r="I341" s="19" t="n">
        <v>11.16</v>
      </c>
      <c r="J341" s="19" t="n">
        <v>11</v>
      </c>
      <c r="K341" s="20" t="n">
        <v>0</v>
      </c>
      <c r="L341" s="20" t="n">
        <v>0</v>
      </c>
      <c r="M341" s="18" t="n">
        <v>148</v>
      </c>
      <c r="N341" s="18" t="n">
        <v>148</v>
      </c>
      <c r="O341" s="18" t="n">
        <v>0</v>
      </c>
      <c r="P341" s="17" t="n">
        <v>45631</v>
      </c>
      <c r="Q341" s="17" t="n">
        <v>45631</v>
      </c>
      <c r="R341" s="17" t="n">
        <v>45631</v>
      </c>
      <c r="S341" s="19">
        <f>H341*I341</f>
        <v/>
      </c>
      <c r="T341" s="19">
        <f>H341*J341</f>
        <v/>
      </c>
      <c r="U341">
        <f>IF(AND(K341=0,G341&lt;=Assumptions!$C$6),1,0)</f>
        <v/>
      </c>
      <c r="V341">
        <f>IF(U341=1,IF(M341&gt;0,IF(P341&lt;=G341+Assumptions!$C$7,1,0),0),0)</f>
        <v/>
      </c>
      <c r="W341">
        <f>IF(AND(U341=1,M341&gt;=H341*(1-Assumptions!$C$8)),1,0)</f>
        <v/>
      </c>
      <c r="X341">
        <f>IF(AND(U341=1,N341&gt;=H341*(1-Assumptions!$C$8)),1,0)</f>
        <v/>
      </c>
      <c r="Y341">
        <f>IF(ISNUMBER(Q341),1,0)</f>
        <v/>
      </c>
      <c r="Z341">
        <f>IF(AND(K341=0,L341=0,Y341=0),1,0)</f>
        <v/>
      </c>
      <c r="AA341">
        <f>IF(AND(Z341=1,G341&lt;Assumptions!$C$6),1,0)</f>
        <v/>
      </c>
      <c r="AB341">
        <f>IF(U341=0,"",IF(Y341=1,MAX(0,Q341-G341),IF(L341=1,MAX(0,R341-G341),MAX(0,Assumptions!$C$6-G341))))</f>
        <v/>
      </c>
      <c r="AC341">
        <f>IF(Y341=1,Q341-F341,"")</f>
        <v/>
      </c>
      <c r="AD341">
        <f>IF(Y341=1,AC341^2,"")</f>
        <v/>
      </c>
      <c r="AE341" s="19">
        <f>IF(Z341=1,(H341-M341)*I341,0)</f>
        <v/>
      </c>
      <c r="AF341">
        <f>IF(G341&lt;EDATE(Assumptions!$C$6,-12)+1,"prior_12m","last_12m")</f>
        <v/>
      </c>
      <c r="AG341" s="21">
        <f>DATE(YEAR(G341),MONTH(G341),1)</f>
        <v/>
      </c>
    </row>
    <row r="342">
      <c r="A342" t="inlineStr">
        <is>
          <t>SPO-00185-1</t>
        </is>
      </c>
      <c r="B342" t="inlineStr">
        <is>
          <t>SPO-00185</t>
        </is>
      </c>
      <c r="C342" t="inlineStr">
        <is>
          <t>SUP-05</t>
        </is>
      </c>
      <c r="D342" t="inlineStr">
        <is>
          <t>FLEET</t>
        </is>
      </c>
      <c r="E342" t="inlineStr">
        <is>
          <t>FLEET-07</t>
        </is>
      </c>
      <c r="F342" s="17" t="n">
        <v>45619</v>
      </c>
      <c r="G342" s="17" t="n">
        <v>45633</v>
      </c>
      <c r="H342" s="18" t="n">
        <v>5</v>
      </c>
      <c r="I342" s="19" t="n">
        <v>118.51</v>
      </c>
      <c r="J342" s="19" t="n">
        <v>118</v>
      </c>
      <c r="K342" s="20" t="n">
        <v>0</v>
      </c>
      <c r="L342" s="20" t="n">
        <v>0</v>
      </c>
      <c r="M342" s="18" t="n">
        <v>5</v>
      </c>
      <c r="N342" s="18" t="n">
        <v>5</v>
      </c>
      <c r="O342" s="18" t="n">
        <v>0</v>
      </c>
      <c r="P342" s="17" t="n">
        <v>45630</v>
      </c>
      <c r="Q342" s="17" t="n">
        <v>45630</v>
      </c>
      <c r="R342" s="17" t="n">
        <v>45630</v>
      </c>
      <c r="S342" s="19">
        <f>H342*I342</f>
        <v/>
      </c>
      <c r="T342" s="19">
        <f>H342*J342</f>
        <v/>
      </c>
      <c r="U342">
        <f>IF(AND(K342=0,G342&lt;=Assumptions!$C$6),1,0)</f>
        <v/>
      </c>
      <c r="V342">
        <f>IF(U342=1,IF(M342&gt;0,IF(P342&lt;=G342+Assumptions!$C$7,1,0),0),0)</f>
        <v/>
      </c>
      <c r="W342">
        <f>IF(AND(U342=1,M342&gt;=H342*(1-Assumptions!$C$8)),1,0)</f>
        <v/>
      </c>
      <c r="X342">
        <f>IF(AND(U342=1,N342&gt;=H342*(1-Assumptions!$C$8)),1,0)</f>
        <v/>
      </c>
      <c r="Y342">
        <f>IF(ISNUMBER(Q342),1,0)</f>
        <v/>
      </c>
      <c r="Z342">
        <f>IF(AND(K342=0,L342=0,Y342=0),1,0)</f>
        <v/>
      </c>
      <c r="AA342">
        <f>IF(AND(Z342=1,G342&lt;Assumptions!$C$6),1,0)</f>
        <v/>
      </c>
      <c r="AB342">
        <f>IF(U342=0,"",IF(Y342=1,MAX(0,Q342-G342),IF(L342=1,MAX(0,R342-G342),MAX(0,Assumptions!$C$6-G342))))</f>
        <v/>
      </c>
      <c r="AC342">
        <f>IF(Y342=1,Q342-F342,"")</f>
        <v/>
      </c>
      <c r="AD342">
        <f>IF(Y342=1,AC342^2,"")</f>
        <v/>
      </c>
      <c r="AE342" s="19">
        <f>IF(Z342=1,(H342-M342)*I342,0)</f>
        <v/>
      </c>
      <c r="AF342">
        <f>IF(G342&lt;EDATE(Assumptions!$C$6,-12)+1,"prior_12m","last_12m")</f>
        <v/>
      </c>
      <c r="AG342" s="21">
        <f>DATE(YEAR(G342),MONTH(G342),1)</f>
        <v/>
      </c>
    </row>
    <row r="343">
      <c r="A343" t="inlineStr">
        <is>
          <t>SPO-00185-2</t>
        </is>
      </c>
      <c r="B343" t="inlineStr">
        <is>
          <t>SPO-00185</t>
        </is>
      </c>
      <c r="C343" t="inlineStr">
        <is>
          <t>SUP-05</t>
        </is>
      </c>
      <c r="D343" t="inlineStr">
        <is>
          <t>FLEET</t>
        </is>
      </c>
      <c r="E343" t="inlineStr">
        <is>
          <t>FLEET-02</t>
        </is>
      </c>
      <c r="F343" s="17" t="n">
        <v>45619</v>
      </c>
      <c r="G343" s="17" t="n">
        <v>45633</v>
      </c>
      <c r="H343" s="18" t="n">
        <v>194</v>
      </c>
      <c r="I343" s="19" t="n">
        <v>8.07</v>
      </c>
      <c r="J343" s="19" t="n">
        <v>7.5</v>
      </c>
      <c r="K343" s="20" t="n">
        <v>0</v>
      </c>
      <c r="L343" s="20" t="n">
        <v>0</v>
      </c>
      <c r="M343" s="18" t="n">
        <v>194</v>
      </c>
      <c r="N343" s="18" t="n">
        <v>194</v>
      </c>
      <c r="O343" s="18" t="n">
        <v>0</v>
      </c>
      <c r="P343" s="17" t="n">
        <v>45631</v>
      </c>
      <c r="Q343" s="17" t="n">
        <v>45631</v>
      </c>
      <c r="R343" s="17" t="n">
        <v>45631</v>
      </c>
      <c r="S343" s="19">
        <f>H343*I343</f>
        <v/>
      </c>
      <c r="T343" s="19">
        <f>H343*J343</f>
        <v/>
      </c>
      <c r="U343">
        <f>IF(AND(K343=0,G343&lt;=Assumptions!$C$6),1,0)</f>
        <v/>
      </c>
      <c r="V343">
        <f>IF(U343=1,IF(M343&gt;0,IF(P343&lt;=G343+Assumptions!$C$7,1,0),0),0)</f>
        <v/>
      </c>
      <c r="W343">
        <f>IF(AND(U343=1,M343&gt;=H343*(1-Assumptions!$C$8)),1,0)</f>
        <v/>
      </c>
      <c r="X343">
        <f>IF(AND(U343=1,N343&gt;=H343*(1-Assumptions!$C$8)),1,0)</f>
        <v/>
      </c>
      <c r="Y343">
        <f>IF(ISNUMBER(Q343),1,0)</f>
        <v/>
      </c>
      <c r="Z343">
        <f>IF(AND(K343=0,L343=0,Y343=0),1,0)</f>
        <v/>
      </c>
      <c r="AA343">
        <f>IF(AND(Z343=1,G343&lt;Assumptions!$C$6),1,0)</f>
        <v/>
      </c>
      <c r="AB343">
        <f>IF(U343=0,"",IF(Y343=1,MAX(0,Q343-G343),IF(L343=1,MAX(0,R343-G343),MAX(0,Assumptions!$C$6-G343))))</f>
        <v/>
      </c>
      <c r="AC343">
        <f>IF(Y343=1,Q343-F343,"")</f>
        <v/>
      </c>
      <c r="AD343">
        <f>IF(Y343=1,AC343^2,"")</f>
        <v/>
      </c>
      <c r="AE343" s="19">
        <f>IF(Z343=1,(H343-M343)*I343,0)</f>
        <v/>
      </c>
      <c r="AF343">
        <f>IF(G343&lt;EDATE(Assumptions!$C$6,-12)+1,"prior_12m","last_12m")</f>
        <v/>
      </c>
      <c r="AG343" s="21">
        <f>DATE(YEAR(G343),MONTH(G343),1)</f>
        <v/>
      </c>
    </row>
    <row r="344">
      <c r="A344" t="inlineStr">
        <is>
          <t>SPO-00185-3</t>
        </is>
      </c>
      <c r="B344" t="inlineStr">
        <is>
          <t>SPO-00185</t>
        </is>
      </c>
      <c r="C344" t="inlineStr">
        <is>
          <t>SUP-05</t>
        </is>
      </c>
      <c r="D344" t="inlineStr">
        <is>
          <t>FLEET</t>
        </is>
      </c>
      <c r="E344" t="inlineStr">
        <is>
          <t>FLEET-01</t>
        </is>
      </c>
      <c r="F344" s="17" t="n">
        <v>45619</v>
      </c>
      <c r="G344" s="17" t="n">
        <v>45633</v>
      </c>
      <c r="H344" s="18" t="n">
        <v>21</v>
      </c>
      <c r="I344" s="19" t="n">
        <v>68.70999999999999</v>
      </c>
      <c r="J344" s="19" t="n">
        <v>64</v>
      </c>
      <c r="K344" s="20" t="n">
        <v>0</v>
      </c>
      <c r="L344" s="20" t="n">
        <v>0</v>
      </c>
      <c r="M344" s="18" t="n">
        <v>21</v>
      </c>
      <c r="N344" s="18" t="n">
        <v>21</v>
      </c>
      <c r="O344" s="18" t="n">
        <v>0</v>
      </c>
      <c r="P344" s="17" t="n">
        <v>45630</v>
      </c>
      <c r="Q344" s="17" t="n">
        <v>45630</v>
      </c>
      <c r="R344" s="17" t="n">
        <v>45630</v>
      </c>
      <c r="S344" s="19">
        <f>H344*I344</f>
        <v/>
      </c>
      <c r="T344" s="19">
        <f>H344*J344</f>
        <v/>
      </c>
      <c r="U344">
        <f>IF(AND(K344=0,G344&lt;=Assumptions!$C$6),1,0)</f>
        <v/>
      </c>
      <c r="V344">
        <f>IF(U344=1,IF(M344&gt;0,IF(P344&lt;=G344+Assumptions!$C$7,1,0),0),0)</f>
        <v/>
      </c>
      <c r="W344">
        <f>IF(AND(U344=1,M344&gt;=H344*(1-Assumptions!$C$8)),1,0)</f>
        <v/>
      </c>
      <c r="X344">
        <f>IF(AND(U344=1,N344&gt;=H344*(1-Assumptions!$C$8)),1,0)</f>
        <v/>
      </c>
      <c r="Y344">
        <f>IF(ISNUMBER(Q344),1,0)</f>
        <v/>
      </c>
      <c r="Z344">
        <f>IF(AND(K344=0,L344=0,Y344=0),1,0)</f>
        <v/>
      </c>
      <c r="AA344">
        <f>IF(AND(Z344=1,G344&lt;Assumptions!$C$6),1,0)</f>
        <v/>
      </c>
      <c r="AB344">
        <f>IF(U344=0,"",IF(Y344=1,MAX(0,Q344-G344),IF(L344=1,MAX(0,R344-G344),MAX(0,Assumptions!$C$6-G344))))</f>
        <v/>
      </c>
      <c r="AC344">
        <f>IF(Y344=1,Q344-F344,"")</f>
        <v/>
      </c>
      <c r="AD344">
        <f>IF(Y344=1,AC344^2,"")</f>
        <v/>
      </c>
      <c r="AE344" s="19">
        <f>IF(Z344=1,(H344-M344)*I344,0)</f>
        <v/>
      </c>
      <c r="AF344">
        <f>IF(G344&lt;EDATE(Assumptions!$C$6,-12)+1,"prior_12m","last_12m")</f>
        <v/>
      </c>
      <c r="AG344" s="21">
        <f>DATE(YEAR(G344),MONTH(G344),1)</f>
        <v/>
      </c>
    </row>
    <row r="345">
      <c r="A345" t="inlineStr">
        <is>
          <t>SPO-00185-4</t>
        </is>
      </c>
      <c r="B345" t="inlineStr">
        <is>
          <t>SPO-00185</t>
        </is>
      </c>
      <c r="C345" t="inlineStr">
        <is>
          <t>SUP-05</t>
        </is>
      </c>
      <c r="D345" t="inlineStr">
        <is>
          <t>FLEET</t>
        </is>
      </c>
      <c r="E345" t="inlineStr">
        <is>
          <t>FLEET-04</t>
        </is>
      </c>
      <c r="F345" s="17" t="n">
        <v>45619</v>
      </c>
      <c r="G345" s="17" t="n">
        <v>45633</v>
      </c>
      <c r="H345" s="18" t="n">
        <v>278</v>
      </c>
      <c r="I345" s="19" t="n">
        <v>9.35</v>
      </c>
      <c r="J345" s="19" t="n">
        <v>9</v>
      </c>
      <c r="K345" s="20" t="n">
        <v>0</v>
      </c>
      <c r="L345" s="20" t="n">
        <v>0</v>
      </c>
      <c r="M345" s="18" t="n">
        <v>278</v>
      </c>
      <c r="N345" s="18" t="n">
        <v>278</v>
      </c>
      <c r="O345" s="18" t="n">
        <v>0</v>
      </c>
      <c r="P345" s="17" t="n">
        <v>45628</v>
      </c>
      <c r="Q345" s="17" t="n">
        <v>45628</v>
      </c>
      <c r="R345" s="17" t="n">
        <v>45628</v>
      </c>
      <c r="S345" s="19">
        <f>H345*I345</f>
        <v/>
      </c>
      <c r="T345" s="19">
        <f>H345*J345</f>
        <v/>
      </c>
      <c r="U345">
        <f>IF(AND(K345=0,G345&lt;=Assumptions!$C$6),1,0)</f>
        <v/>
      </c>
      <c r="V345">
        <f>IF(U345=1,IF(M345&gt;0,IF(P345&lt;=G345+Assumptions!$C$7,1,0),0),0)</f>
        <v/>
      </c>
      <c r="W345">
        <f>IF(AND(U345=1,M345&gt;=H345*(1-Assumptions!$C$8)),1,0)</f>
        <v/>
      </c>
      <c r="X345">
        <f>IF(AND(U345=1,N345&gt;=H345*(1-Assumptions!$C$8)),1,0)</f>
        <v/>
      </c>
      <c r="Y345">
        <f>IF(ISNUMBER(Q345),1,0)</f>
        <v/>
      </c>
      <c r="Z345">
        <f>IF(AND(K345=0,L345=0,Y345=0),1,0)</f>
        <v/>
      </c>
      <c r="AA345">
        <f>IF(AND(Z345=1,G345&lt;Assumptions!$C$6),1,0)</f>
        <v/>
      </c>
      <c r="AB345">
        <f>IF(U345=0,"",IF(Y345=1,MAX(0,Q345-G345),IF(L345=1,MAX(0,R345-G345),MAX(0,Assumptions!$C$6-G345))))</f>
        <v/>
      </c>
      <c r="AC345">
        <f>IF(Y345=1,Q345-F345,"")</f>
        <v/>
      </c>
      <c r="AD345">
        <f>IF(Y345=1,AC345^2,"")</f>
        <v/>
      </c>
      <c r="AE345" s="19">
        <f>IF(Z345=1,(H345-M345)*I345,0)</f>
        <v/>
      </c>
      <c r="AF345">
        <f>IF(G345&lt;EDATE(Assumptions!$C$6,-12)+1,"prior_12m","last_12m")</f>
        <v/>
      </c>
      <c r="AG345" s="21">
        <f>DATE(YEAR(G345),MONTH(G345),1)</f>
        <v/>
      </c>
    </row>
    <row r="346">
      <c r="A346" t="inlineStr">
        <is>
          <t>SPO-00186-1</t>
        </is>
      </c>
      <c r="B346" t="inlineStr">
        <is>
          <t>SPO-00186</t>
        </is>
      </c>
      <c r="C346" t="inlineStr">
        <is>
          <t>SUP-04</t>
        </is>
      </c>
      <c r="D346" t="inlineStr">
        <is>
          <t>FLEET</t>
        </is>
      </c>
      <c r="E346" t="inlineStr">
        <is>
          <t>FLEET-02</t>
        </is>
      </c>
      <c r="F346" s="17" t="n">
        <v>45619</v>
      </c>
      <c r="G346" s="17" t="n">
        <v>45632</v>
      </c>
      <c r="H346" s="18" t="n">
        <v>795</v>
      </c>
      <c r="I346" s="19" t="n">
        <v>7.73</v>
      </c>
      <c r="J346" s="19" t="n">
        <v>7.5</v>
      </c>
      <c r="K346" s="20" t="n">
        <v>0</v>
      </c>
      <c r="L346" s="20" t="n">
        <v>0</v>
      </c>
      <c r="M346" s="18" t="n">
        <v>795</v>
      </c>
      <c r="N346" s="18" t="n">
        <v>795</v>
      </c>
      <c r="O346" s="18" t="n">
        <v>0</v>
      </c>
      <c r="P346" s="17" t="n">
        <v>45632</v>
      </c>
      <c r="Q346" s="17" t="n">
        <v>45632</v>
      </c>
      <c r="R346" s="17" t="n">
        <v>45632</v>
      </c>
      <c r="S346" s="19">
        <f>H346*I346</f>
        <v/>
      </c>
      <c r="T346" s="19">
        <f>H346*J346</f>
        <v/>
      </c>
      <c r="U346">
        <f>IF(AND(K346=0,G346&lt;=Assumptions!$C$6),1,0)</f>
        <v/>
      </c>
      <c r="V346">
        <f>IF(U346=1,IF(M346&gt;0,IF(P346&lt;=G346+Assumptions!$C$7,1,0),0),0)</f>
        <v/>
      </c>
      <c r="W346">
        <f>IF(AND(U346=1,M346&gt;=H346*(1-Assumptions!$C$8)),1,0)</f>
        <v/>
      </c>
      <c r="X346">
        <f>IF(AND(U346=1,N346&gt;=H346*(1-Assumptions!$C$8)),1,0)</f>
        <v/>
      </c>
      <c r="Y346">
        <f>IF(ISNUMBER(Q346),1,0)</f>
        <v/>
      </c>
      <c r="Z346">
        <f>IF(AND(K346=0,L346=0,Y346=0),1,0)</f>
        <v/>
      </c>
      <c r="AA346">
        <f>IF(AND(Z346=1,G346&lt;Assumptions!$C$6),1,0)</f>
        <v/>
      </c>
      <c r="AB346">
        <f>IF(U346=0,"",IF(Y346=1,MAX(0,Q346-G346),IF(L346=1,MAX(0,R346-G346),MAX(0,Assumptions!$C$6-G346))))</f>
        <v/>
      </c>
      <c r="AC346">
        <f>IF(Y346=1,Q346-F346,"")</f>
        <v/>
      </c>
      <c r="AD346">
        <f>IF(Y346=1,AC346^2,"")</f>
        <v/>
      </c>
      <c r="AE346" s="19">
        <f>IF(Z346=1,(H346-M346)*I346,0)</f>
        <v/>
      </c>
      <c r="AF346">
        <f>IF(G346&lt;EDATE(Assumptions!$C$6,-12)+1,"prior_12m","last_12m")</f>
        <v/>
      </c>
      <c r="AG346" s="21">
        <f>DATE(YEAR(G346),MONTH(G346),1)</f>
        <v/>
      </c>
    </row>
    <row r="347">
      <c r="A347" t="inlineStr">
        <is>
          <t>SPO-00186-2</t>
        </is>
      </c>
      <c r="B347" t="inlineStr">
        <is>
          <t>SPO-00186</t>
        </is>
      </c>
      <c r="C347" t="inlineStr">
        <is>
          <t>SUP-04</t>
        </is>
      </c>
      <c r="D347" t="inlineStr">
        <is>
          <t>FLEET</t>
        </is>
      </c>
      <c r="E347" t="inlineStr">
        <is>
          <t>FLEET-05</t>
        </is>
      </c>
      <c r="F347" s="17" t="n">
        <v>45619</v>
      </c>
      <c r="G347" s="17" t="n">
        <v>45632</v>
      </c>
      <c r="H347" s="18" t="n">
        <v>5</v>
      </c>
      <c r="I347" s="19" t="n">
        <v>160.98</v>
      </c>
      <c r="J347" s="19" t="n">
        <v>168</v>
      </c>
      <c r="K347" s="20" t="n">
        <v>0</v>
      </c>
      <c r="L347" s="20" t="n">
        <v>0</v>
      </c>
      <c r="M347" s="18" t="n">
        <v>5</v>
      </c>
      <c r="N347" s="18" t="n">
        <v>0</v>
      </c>
      <c r="O347" s="18" t="n">
        <v>0</v>
      </c>
      <c r="P347" s="17" t="n">
        <v>45635</v>
      </c>
      <c r="Q347" s="17" t="n">
        <v>45641</v>
      </c>
      <c r="R347" s="17" t="n">
        <v>45641</v>
      </c>
      <c r="S347" s="19">
        <f>H347*I347</f>
        <v/>
      </c>
      <c r="T347" s="19">
        <f>H347*J347</f>
        <v/>
      </c>
      <c r="U347">
        <f>IF(AND(K347=0,G347&lt;=Assumptions!$C$6),1,0)</f>
        <v/>
      </c>
      <c r="V347">
        <f>IF(U347=1,IF(M347&gt;0,IF(P347&lt;=G347+Assumptions!$C$7,1,0),0),0)</f>
        <v/>
      </c>
      <c r="W347">
        <f>IF(AND(U347=1,M347&gt;=H347*(1-Assumptions!$C$8)),1,0)</f>
        <v/>
      </c>
      <c r="X347">
        <f>IF(AND(U347=1,N347&gt;=H347*(1-Assumptions!$C$8)),1,0)</f>
        <v/>
      </c>
      <c r="Y347">
        <f>IF(ISNUMBER(Q347),1,0)</f>
        <v/>
      </c>
      <c r="Z347">
        <f>IF(AND(K347=0,L347=0,Y347=0),1,0)</f>
        <v/>
      </c>
      <c r="AA347">
        <f>IF(AND(Z347=1,G347&lt;Assumptions!$C$6),1,0)</f>
        <v/>
      </c>
      <c r="AB347">
        <f>IF(U347=0,"",IF(Y347=1,MAX(0,Q347-G347),IF(L347=1,MAX(0,R347-G347),MAX(0,Assumptions!$C$6-G347))))</f>
        <v/>
      </c>
      <c r="AC347">
        <f>IF(Y347=1,Q347-F347,"")</f>
        <v/>
      </c>
      <c r="AD347">
        <f>IF(Y347=1,AC347^2,"")</f>
        <v/>
      </c>
      <c r="AE347" s="19">
        <f>IF(Z347=1,(H347-M347)*I347,0)</f>
        <v/>
      </c>
      <c r="AF347">
        <f>IF(G347&lt;EDATE(Assumptions!$C$6,-12)+1,"prior_12m","last_12m")</f>
        <v/>
      </c>
      <c r="AG347" s="21">
        <f>DATE(YEAR(G347),MONTH(G347),1)</f>
        <v/>
      </c>
    </row>
    <row r="348">
      <c r="A348" t="inlineStr">
        <is>
          <t>SPO-00187-1</t>
        </is>
      </c>
      <c r="B348" t="inlineStr">
        <is>
          <t>SPO-00187</t>
        </is>
      </c>
      <c r="C348" t="inlineStr">
        <is>
          <t>SUP-09</t>
        </is>
      </c>
      <c r="D348" t="inlineStr">
        <is>
          <t>CHEM</t>
        </is>
      </c>
      <c r="E348" t="inlineStr">
        <is>
          <t>CHEM-02</t>
        </is>
      </c>
      <c r="F348" s="17" t="n">
        <v>45619</v>
      </c>
      <c r="G348" s="17" t="n">
        <v>45633</v>
      </c>
      <c r="H348" s="18" t="n">
        <v>4</v>
      </c>
      <c r="I348" s="19" t="n">
        <v>417.16</v>
      </c>
      <c r="J348" s="19" t="n">
        <v>410</v>
      </c>
      <c r="K348" s="20" t="n">
        <v>0</v>
      </c>
      <c r="L348" s="20" t="n">
        <v>0</v>
      </c>
      <c r="M348" s="18" t="n">
        <v>4</v>
      </c>
      <c r="N348" s="18" t="n">
        <v>2</v>
      </c>
      <c r="O348" s="18" t="n">
        <v>0</v>
      </c>
      <c r="P348" s="17" t="n">
        <v>45631</v>
      </c>
      <c r="Q348" s="17" t="n">
        <v>45646</v>
      </c>
      <c r="R348" s="17" t="n">
        <v>45646</v>
      </c>
      <c r="S348" s="19">
        <f>H348*I348</f>
        <v/>
      </c>
      <c r="T348" s="19">
        <f>H348*J348</f>
        <v/>
      </c>
      <c r="U348">
        <f>IF(AND(K348=0,G348&lt;=Assumptions!$C$6),1,0)</f>
        <v/>
      </c>
      <c r="V348">
        <f>IF(U348=1,IF(M348&gt;0,IF(P348&lt;=G348+Assumptions!$C$7,1,0),0),0)</f>
        <v/>
      </c>
      <c r="W348">
        <f>IF(AND(U348=1,M348&gt;=H348*(1-Assumptions!$C$8)),1,0)</f>
        <v/>
      </c>
      <c r="X348">
        <f>IF(AND(U348=1,N348&gt;=H348*(1-Assumptions!$C$8)),1,0)</f>
        <v/>
      </c>
      <c r="Y348">
        <f>IF(ISNUMBER(Q348),1,0)</f>
        <v/>
      </c>
      <c r="Z348">
        <f>IF(AND(K348=0,L348=0,Y348=0),1,0)</f>
        <v/>
      </c>
      <c r="AA348">
        <f>IF(AND(Z348=1,G348&lt;Assumptions!$C$6),1,0)</f>
        <v/>
      </c>
      <c r="AB348">
        <f>IF(U348=0,"",IF(Y348=1,MAX(0,Q348-G348),IF(L348=1,MAX(0,R348-G348),MAX(0,Assumptions!$C$6-G348))))</f>
        <v/>
      </c>
      <c r="AC348">
        <f>IF(Y348=1,Q348-F348,"")</f>
        <v/>
      </c>
      <c r="AD348">
        <f>IF(Y348=1,AC348^2,"")</f>
        <v/>
      </c>
      <c r="AE348" s="19">
        <f>IF(Z348=1,(H348-M348)*I348,0)</f>
        <v/>
      </c>
      <c r="AF348">
        <f>IF(G348&lt;EDATE(Assumptions!$C$6,-12)+1,"prior_12m","last_12m")</f>
        <v/>
      </c>
      <c r="AG348" s="21">
        <f>DATE(YEAR(G348),MONTH(G348),1)</f>
        <v/>
      </c>
    </row>
    <row r="349">
      <c r="A349" t="inlineStr">
        <is>
          <t>SPO-00188-1</t>
        </is>
      </c>
      <c r="B349" t="inlineStr">
        <is>
          <t>SPO-00188</t>
        </is>
      </c>
      <c r="C349" t="inlineStr">
        <is>
          <t>SUP-01</t>
        </is>
      </c>
      <c r="D349" t="inlineStr">
        <is>
          <t>ELEC</t>
        </is>
      </c>
      <c r="E349" t="inlineStr">
        <is>
          <t>ELEC-05</t>
        </is>
      </c>
      <c r="F349" s="17" t="n">
        <v>45619</v>
      </c>
      <c r="G349" s="17" t="n">
        <v>45637</v>
      </c>
      <c r="H349" s="18" t="n">
        <v>317</v>
      </c>
      <c r="I349" s="19" t="n">
        <v>11.57</v>
      </c>
      <c r="J349" s="19" t="n">
        <v>11.5</v>
      </c>
      <c r="K349" s="20" t="n">
        <v>0</v>
      </c>
      <c r="L349" s="20" t="n">
        <v>0</v>
      </c>
      <c r="M349" s="18" t="n">
        <v>317</v>
      </c>
      <c r="N349" s="18" t="n">
        <v>317</v>
      </c>
      <c r="O349" s="18" t="n">
        <v>0</v>
      </c>
      <c r="P349" s="17" t="n">
        <v>45630</v>
      </c>
      <c r="Q349" s="17" t="n">
        <v>45630</v>
      </c>
      <c r="R349" s="17" t="n">
        <v>45630</v>
      </c>
      <c r="S349" s="19">
        <f>H349*I349</f>
        <v/>
      </c>
      <c r="T349" s="19">
        <f>H349*J349</f>
        <v/>
      </c>
      <c r="U349">
        <f>IF(AND(K349=0,G349&lt;=Assumptions!$C$6),1,0)</f>
        <v/>
      </c>
      <c r="V349">
        <f>IF(U349=1,IF(M349&gt;0,IF(P349&lt;=G349+Assumptions!$C$7,1,0),0),0)</f>
        <v/>
      </c>
      <c r="W349">
        <f>IF(AND(U349=1,M349&gt;=H349*(1-Assumptions!$C$8)),1,0)</f>
        <v/>
      </c>
      <c r="X349">
        <f>IF(AND(U349=1,N349&gt;=H349*(1-Assumptions!$C$8)),1,0)</f>
        <v/>
      </c>
      <c r="Y349">
        <f>IF(ISNUMBER(Q349),1,0)</f>
        <v/>
      </c>
      <c r="Z349">
        <f>IF(AND(K349=0,L349=0,Y349=0),1,0)</f>
        <v/>
      </c>
      <c r="AA349">
        <f>IF(AND(Z349=1,G349&lt;Assumptions!$C$6),1,0)</f>
        <v/>
      </c>
      <c r="AB349">
        <f>IF(U349=0,"",IF(Y349=1,MAX(0,Q349-G349),IF(L349=1,MAX(0,R349-G349),MAX(0,Assumptions!$C$6-G349))))</f>
        <v/>
      </c>
      <c r="AC349">
        <f>IF(Y349=1,Q349-F349,"")</f>
        <v/>
      </c>
      <c r="AD349">
        <f>IF(Y349=1,AC349^2,"")</f>
        <v/>
      </c>
      <c r="AE349" s="19">
        <f>IF(Z349=1,(H349-M349)*I349,0)</f>
        <v/>
      </c>
      <c r="AF349">
        <f>IF(G349&lt;EDATE(Assumptions!$C$6,-12)+1,"prior_12m","last_12m")</f>
        <v/>
      </c>
      <c r="AG349" s="21">
        <f>DATE(YEAR(G349),MONTH(G349),1)</f>
        <v/>
      </c>
    </row>
    <row r="350">
      <c r="A350" t="inlineStr">
        <is>
          <t>SPO-00189-1</t>
        </is>
      </c>
      <c r="B350" t="inlineStr">
        <is>
          <t>SPO-00189</t>
        </is>
      </c>
      <c r="C350" t="inlineStr">
        <is>
          <t>SUP-04</t>
        </is>
      </c>
      <c r="D350" t="inlineStr">
        <is>
          <t>FLEET</t>
        </is>
      </c>
      <c r="E350" t="inlineStr">
        <is>
          <t>FLEET-08</t>
        </is>
      </c>
      <c r="F350" s="17" t="n">
        <v>45619</v>
      </c>
      <c r="G350" s="17" t="n">
        <v>45632</v>
      </c>
      <c r="H350" s="18" t="n">
        <v>136</v>
      </c>
      <c r="I350" s="19" t="n">
        <v>6.35</v>
      </c>
      <c r="J350" s="19" t="n">
        <v>6.4</v>
      </c>
      <c r="K350" s="20" t="n">
        <v>0</v>
      </c>
      <c r="L350" s="20" t="n">
        <v>0</v>
      </c>
      <c r="M350" s="18" t="n">
        <v>136</v>
      </c>
      <c r="N350" s="18" t="n">
        <v>136</v>
      </c>
      <c r="O350" s="18" t="n">
        <v>0</v>
      </c>
      <c r="P350" s="17" t="n">
        <v>45629</v>
      </c>
      <c r="Q350" s="17" t="n">
        <v>45629</v>
      </c>
      <c r="R350" s="17" t="n">
        <v>45629</v>
      </c>
      <c r="S350" s="19">
        <f>H350*I350</f>
        <v/>
      </c>
      <c r="T350" s="19">
        <f>H350*J350</f>
        <v/>
      </c>
      <c r="U350">
        <f>IF(AND(K350=0,G350&lt;=Assumptions!$C$6),1,0)</f>
        <v/>
      </c>
      <c r="V350">
        <f>IF(U350=1,IF(M350&gt;0,IF(P350&lt;=G350+Assumptions!$C$7,1,0),0),0)</f>
        <v/>
      </c>
      <c r="W350">
        <f>IF(AND(U350=1,M350&gt;=H350*(1-Assumptions!$C$8)),1,0)</f>
        <v/>
      </c>
      <c r="X350">
        <f>IF(AND(U350=1,N350&gt;=H350*(1-Assumptions!$C$8)),1,0)</f>
        <v/>
      </c>
      <c r="Y350">
        <f>IF(ISNUMBER(Q350),1,0)</f>
        <v/>
      </c>
      <c r="Z350">
        <f>IF(AND(K350=0,L350=0,Y350=0),1,0)</f>
        <v/>
      </c>
      <c r="AA350">
        <f>IF(AND(Z350=1,G350&lt;Assumptions!$C$6),1,0)</f>
        <v/>
      </c>
      <c r="AB350">
        <f>IF(U350=0,"",IF(Y350=1,MAX(0,Q350-G350),IF(L350=1,MAX(0,R350-G350),MAX(0,Assumptions!$C$6-G350))))</f>
        <v/>
      </c>
      <c r="AC350">
        <f>IF(Y350=1,Q350-F350,"")</f>
        <v/>
      </c>
      <c r="AD350">
        <f>IF(Y350=1,AC350^2,"")</f>
        <v/>
      </c>
      <c r="AE350" s="19">
        <f>IF(Z350=1,(H350-M350)*I350,0)</f>
        <v/>
      </c>
      <c r="AF350">
        <f>IF(G350&lt;EDATE(Assumptions!$C$6,-12)+1,"prior_12m","last_12m")</f>
        <v/>
      </c>
      <c r="AG350" s="21">
        <f>DATE(YEAR(G350),MONTH(G350),1)</f>
        <v/>
      </c>
    </row>
    <row r="351">
      <c r="A351" t="inlineStr">
        <is>
          <t>SPO-00190-1</t>
        </is>
      </c>
      <c r="B351" t="inlineStr">
        <is>
          <t>SPO-00190</t>
        </is>
      </c>
      <c r="C351" t="inlineStr">
        <is>
          <t>SUP-03</t>
        </is>
      </c>
      <c r="D351" t="inlineStr">
        <is>
          <t>ELEC</t>
        </is>
      </c>
      <c r="E351" t="inlineStr">
        <is>
          <t>ELEC-02</t>
        </is>
      </c>
      <c r="F351" s="17" t="n">
        <v>45620</v>
      </c>
      <c r="G351" s="17" t="n">
        <v>45637</v>
      </c>
      <c r="H351" s="18" t="n">
        <v>306</v>
      </c>
      <c r="I351" s="19" t="n">
        <v>4.19</v>
      </c>
      <c r="J351" s="19" t="n">
        <v>4.2</v>
      </c>
      <c r="K351" s="20" t="n">
        <v>0</v>
      </c>
      <c r="L351" s="20" t="n">
        <v>0</v>
      </c>
      <c r="M351" s="18" t="n">
        <v>306</v>
      </c>
      <c r="N351" s="18" t="n">
        <v>306</v>
      </c>
      <c r="O351" s="18" t="n">
        <v>91</v>
      </c>
      <c r="P351" s="17" t="n">
        <v>45632</v>
      </c>
      <c r="Q351" s="17" t="n">
        <v>45632</v>
      </c>
      <c r="R351" s="17" t="n">
        <v>45632</v>
      </c>
      <c r="S351" s="19">
        <f>H351*I351</f>
        <v/>
      </c>
      <c r="T351" s="19">
        <f>H351*J351</f>
        <v/>
      </c>
      <c r="U351">
        <f>IF(AND(K351=0,G351&lt;=Assumptions!$C$6),1,0)</f>
        <v/>
      </c>
      <c r="V351">
        <f>IF(U351=1,IF(M351&gt;0,IF(P351&lt;=G351+Assumptions!$C$7,1,0),0),0)</f>
        <v/>
      </c>
      <c r="W351">
        <f>IF(AND(U351=1,M351&gt;=H351*(1-Assumptions!$C$8)),1,0)</f>
        <v/>
      </c>
      <c r="X351">
        <f>IF(AND(U351=1,N351&gt;=H351*(1-Assumptions!$C$8)),1,0)</f>
        <v/>
      </c>
      <c r="Y351">
        <f>IF(ISNUMBER(Q351),1,0)</f>
        <v/>
      </c>
      <c r="Z351">
        <f>IF(AND(K351=0,L351=0,Y351=0),1,0)</f>
        <v/>
      </c>
      <c r="AA351">
        <f>IF(AND(Z351=1,G351&lt;Assumptions!$C$6),1,0)</f>
        <v/>
      </c>
      <c r="AB351">
        <f>IF(U351=0,"",IF(Y351=1,MAX(0,Q351-G351),IF(L351=1,MAX(0,R351-G351),MAX(0,Assumptions!$C$6-G351))))</f>
        <v/>
      </c>
      <c r="AC351">
        <f>IF(Y351=1,Q351-F351,"")</f>
        <v/>
      </c>
      <c r="AD351">
        <f>IF(Y351=1,AC351^2,"")</f>
        <v/>
      </c>
      <c r="AE351" s="19">
        <f>IF(Z351=1,(H351-M351)*I351,0)</f>
        <v/>
      </c>
      <c r="AF351">
        <f>IF(G351&lt;EDATE(Assumptions!$C$6,-12)+1,"prior_12m","last_12m")</f>
        <v/>
      </c>
      <c r="AG351" s="21">
        <f>DATE(YEAR(G351),MONTH(G351),1)</f>
        <v/>
      </c>
    </row>
    <row r="352">
      <c r="A352" t="inlineStr">
        <is>
          <t>SPO-00191-1</t>
        </is>
      </c>
      <c r="B352" t="inlineStr">
        <is>
          <t>SPO-00191</t>
        </is>
      </c>
      <c r="C352" t="inlineStr">
        <is>
          <t>SUP-13</t>
        </is>
      </c>
      <c r="D352" t="inlineStr">
        <is>
          <t>IT</t>
        </is>
      </c>
      <c r="E352" t="inlineStr">
        <is>
          <t>IT-03</t>
        </is>
      </c>
      <c r="F352" s="17" t="n">
        <v>45620</v>
      </c>
      <c r="G352" s="17" t="n">
        <v>45631</v>
      </c>
      <c r="H352" s="18" t="n">
        <v>36</v>
      </c>
      <c r="I352" s="19" t="n">
        <v>40.15</v>
      </c>
      <c r="J352" s="19" t="n">
        <v>38</v>
      </c>
      <c r="K352" s="20" t="n">
        <v>0</v>
      </c>
      <c r="L352" s="20" t="n">
        <v>0</v>
      </c>
      <c r="M352" s="18" t="n">
        <v>36</v>
      </c>
      <c r="N352" s="18" t="n">
        <v>36</v>
      </c>
      <c r="O352" s="18" t="n">
        <v>0</v>
      </c>
      <c r="P352" s="17" t="n">
        <v>45628</v>
      </c>
      <c r="Q352" s="17" t="n">
        <v>45628</v>
      </c>
      <c r="R352" s="17" t="n">
        <v>45628</v>
      </c>
      <c r="S352" s="19">
        <f>H352*I352</f>
        <v/>
      </c>
      <c r="T352" s="19">
        <f>H352*J352</f>
        <v/>
      </c>
      <c r="U352">
        <f>IF(AND(K352=0,G352&lt;=Assumptions!$C$6),1,0)</f>
        <v/>
      </c>
      <c r="V352">
        <f>IF(U352=1,IF(M352&gt;0,IF(P352&lt;=G352+Assumptions!$C$7,1,0),0),0)</f>
        <v/>
      </c>
      <c r="W352">
        <f>IF(AND(U352=1,M352&gt;=H352*(1-Assumptions!$C$8)),1,0)</f>
        <v/>
      </c>
      <c r="X352">
        <f>IF(AND(U352=1,N352&gt;=H352*(1-Assumptions!$C$8)),1,0)</f>
        <v/>
      </c>
      <c r="Y352">
        <f>IF(ISNUMBER(Q352),1,0)</f>
        <v/>
      </c>
      <c r="Z352">
        <f>IF(AND(K352=0,L352=0,Y352=0),1,0)</f>
        <v/>
      </c>
      <c r="AA352">
        <f>IF(AND(Z352=1,G352&lt;Assumptions!$C$6),1,0)</f>
        <v/>
      </c>
      <c r="AB352">
        <f>IF(U352=0,"",IF(Y352=1,MAX(0,Q352-G352),IF(L352=1,MAX(0,R352-G352),MAX(0,Assumptions!$C$6-G352))))</f>
        <v/>
      </c>
      <c r="AC352">
        <f>IF(Y352=1,Q352-F352,"")</f>
        <v/>
      </c>
      <c r="AD352">
        <f>IF(Y352=1,AC352^2,"")</f>
        <v/>
      </c>
      <c r="AE352" s="19">
        <f>IF(Z352=1,(H352-M352)*I352,0)</f>
        <v/>
      </c>
      <c r="AF352">
        <f>IF(G352&lt;EDATE(Assumptions!$C$6,-12)+1,"prior_12m","last_12m")</f>
        <v/>
      </c>
      <c r="AG352" s="21">
        <f>DATE(YEAR(G352),MONTH(G352),1)</f>
        <v/>
      </c>
    </row>
    <row r="353">
      <c r="A353" t="inlineStr">
        <is>
          <t>SPO-00191-2</t>
        </is>
      </c>
      <c r="B353" t="inlineStr">
        <is>
          <t>SPO-00191</t>
        </is>
      </c>
      <c r="C353" t="inlineStr">
        <is>
          <t>SUP-13</t>
        </is>
      </c>
      <c r="D353" t="inlineStr">
        <is>
          <t>IT</t>
        </is>
      </c>
      <c r="E353" t="inlineStr">
        <is>
          <t>IT-05</t>
        </is>
      </c>
      <c r="F353" s="17" t="n">
        <v>45620</v>
      </c>
      <c r="G353" s="17" t="n">
        <v>45631</v>
      </c>
      <c r="H353" s="18" t="n">
        <v>4</v>
      </c>
      <c r="I353" s="19" t="n">
        <v>664.58</v>
      </c>
      <c r="J353" s="19" t="n">
        <v>640</v>
      </c>
      <c r="K353" s="20" t="n">
        <v>0</v>
      </c>
      <c r="L353" s="20" t="n">
        <v>0</v>
      </c>
      <c r="M353" s="18" t="n">
        <v>4</v>
      </c>
      <c r="N353" s="18" t="n">
        <v>4</v>
      </c>
      <c r="O353" s="18" t="n">
        <v>0</v>
      </c>
      <c r="P353" s="17" t="n">
        <v>45628</v>
      </c>
      <c r="Q353" s="17" t="n">
        <v>45628</v>
      </c>
      <c r="R353" s="17" t="n">
        <v>45628</v>
      </c>
      <c r="S353" s="19">
        <f>H353*I353</f>
        <v/>
      </c>
      <c r="T353" s="19">
        <f>H353*J353</f>
        <v/>
      </c>
      <c r="U353">
        <f>IF(AND(K353=0,G353&lt;=Assumptions!$C$6),1,0)</f>
        <v/>
      </c>
      <c r="V353">
        <f>IF(U353=1,IF(M353&gt;0,IF(P353&lt;=G353+Assumptions!$C$7,1,0),0),0)</f>
        <v/>
      </c>
      <c r="W353">
        <f>IF(AND(U353=1,M353&gt;=H353*(1-Assumptions!$C$8)),1,0)</f>
        <v/>
      </c>
      <c r="X353">
        <f>IF(AND(U353=1,N353&gt;=H353*(1-Assumptions!$C$8)),1,0)</f>
        <v/>
      </c>
      <c r="Y353">
        <f>IF(ISNUMBER(Q353),1,0)</f>
        <v/>
      </c>
      <c r="Z353">
        <f>IF(AND(K353=0,L353=0,Y353=0),1,0)</f>
        <v/>
      </c>
      <c r="AA353">
        <f>IF(AND(Z353=1,G353&lt;Assumptions!$C$6),1,0)</f>
        <v/>
      </c>
      <c r="AB353">
        <f>IF(U353=0,"",IF(Y353=1,MAX(0,Q353-G353),IF(L353=1,MAX(0,R353-G353),MAX(0,Assumptions!$C$6-G353))))</f>
        <v/>
      </c>
      <c r="AC353">
        <f>IF(Y353=1,Q353-F353,"")</f>
        <v/>
      </c>
      <c r="AD353">
        <f>IF(Y353=1,AC353^2,"")</f>
        <v/>
      </c>
      <c r="AE353" s="19">
        <f>IF(Z353=1,(H353-M353)*I353,0)</f>
        <v/>
      </c>
      <c r="AF353">
        <f>IF(G353&lt;EDATE(Assumptions!$C$6,-12)+1,"prior_12m","last_12m")</f>
        <v/>
      </c>
      <c r="AG353" s="21">
        <f>DATE(YEAR(G353),MONTH(G353),1)</f>
        <v/>
      </c>
    </row>
    <row r="354">
      <c r="A354" t="inlineStr">
        <is>
          <t>SPO-00191-3</t>
        </is>
      </c>
      <c r="B354" t="inlineStr">
        <is>
          <t>SPO-00191</t>
        </is>
      </c>
      <c r="C354" t="inlineStr">
        <is>
          <t>SUP-13</t>
        </is>
      </c>
      <c r="D354" t="inlineStr">
        <is>
          <t>IT</t>
        </is>
      </c>
      <c r="E354" t="inlineStr">
        <is>
          <t>IT-07</t>
        </is>
      </c>
      <c r="F354" s="17" t="n">
        <v>45620</v>
      </c>
      <c r="G354" s="17" t="n">
        <v>45631</v>
      </c>
      <c r="H354" s="18" t="n">
        <v>15</v>
      </c>
      <c r="I354" s="19" t="n">
        <v>75.17</v>
      </c>
      <c r="J354" s="19" t="n">
        <v>74</v>
      </c>
      <c r="K354" s="20" t="n">
        <v>0</v>
      </c>
      <c r="L354" s="20" t="n">
        <v>0</v>
      </c>
      <c r="M354" s="18" t="n">
        <v>15</v>
      </c>
      <c r="N354" s="18" t="n">
        <v>15</v>
      </c>
      <c r="O354" s="18" t="n">
        <v>0</v>
      </c>
      <c r="P354" s="17" t="n">
        <v>45626</v>
      </c>
      <c r="Q354" s="17" t="n">
        <v>45626</v>
      </c>
      <c r="R354" s="17" t="n">
        <v>45626</v>
      </c>
      <c r="S354" s="19">
        <f>H354*I354</f>
        <v/>
      </c>
      <c r="T354" s="19">
        <f>H354*J354</f>
        <v/>
      </c>
      <c r="U354">
        <f>IF(AND(K354=0,G354&lt;=Assumptions!$C$6),1,0)</f>
        <v/>
      </c>
      <c r="V354">
        <f>IF(U354=1,IF(M354&gt;0,IF(P354&lt;=G354+Assumptions!$C$7,1,0),0),0)</f>
        <v/>
      </c>
      <c r="W354">
        <f>IF(AND(U354=1,M354&gt;=H354*(1-Assumptions!$C$8)),1,0)</f>
        <v/>
      </c>
      <c r="X354">
        <f>IF(AND(U354=1,N354&gt;=H354*(1-Assumptions!$C$8)),1,0)</f>
        <v/>
      </c>
      <c r="Y354">
        <f>IF(ISNUMBER(Q354),1,0)</f>
        <v/>
      </c>
      <c r="Z354">
        <f>IF(AND(K354=0,L354=0,Y354=0),1,0)</f>
        <v/>
      </c>
      <c r="AA354">
        <f>IF(AND(Z354=1,G354&lt;Assumptions!$C$6),1,0)</f>
        <v/>
      </c>
      <c r="AB354">
        <f>IF(U354=0,"",IF(Y354=1,MAX(0,Q354-G354),IF(L354=1,MAX(0,R354-G354),MAX(0,Assumptions!$C$6-G354))))</f>
        <v/>
      </c>
      <c r="AC354">
        <f>IF(Y354=1,Q354-F354,"")</f>
        <v/>
      </c>
      <c r="AD354">
        <f>IF(Y354=1,AC354^2,"")</f>
        <v/>
      </c>
      <c r="AE354" s="19">
        <f>IF(Z354=1,(H354-M354)*I354,0)</f>
        <v/>
      </c>
      <c r="AF354">
        <f>IF(G354&lt;EDATE(Assumptions!$C$6,-12)+1,"prior_12m","last_12m")</f>
        <v/>
      </c>
      <c r="AG354" s="21">
        <f>DATE(YEAR(G354),MONTH(G354),1)</f>
        <v/>
      </c>
    </row>
    <row r="355">
      <c r="A355" t="inlineStr">
        <is>
          <t>SPO-00192-1</t>
        </is>
      </c>
      <c r="B355" t="inlineStr">
        <is>
          <t>SPO-00192</t>
        </is>
      </c>
      <c r="C355" t="inlineStr">
        <is>
          <t>SUP-10</t>
        </is>
      </c>
      <c r="D355" t="inlineStr">
        <is>
          <t>PPE</t>
        </is>
      </c>
      <c r="E355" t="inlineStr">
        <is>
          <t>PPE-04</t>
        </is>
      </c>
      <c r="F355" s="17" t="n">
        <v>45620</v>
      </c>
      <c r="G355" s="17" t="n">
        <v>45633</v>
      </c>
      <c r="H355" s="18" t="n">
        <v>63</v>
      </c>
      <c r="I355" s="19" t="n">
        <v>26.29</v>
      </c>
      <c r="J355" s="19" t="n">
        <v>26</v>
      </c>
      <c r="K355" s="20" t="n">
        <v>0</v>
      </c>
      <c r="L355" s="20" t="n">
        <v>0</v>
      </c>
      <c r="M355" s="18" t="n">
        <v>63</v>
      </c>
      <c r="N355" s="18" t="n">
        <v>63</v>
      </c>
      <c r="O355" s="18" t="n">
        <v>17</v>
      </c>
      <c r="P355" s="17" t="n">
        <v>45630</v>
      </c>
      <c r="Q355" s="17" t="n">
        <v>45630</v>
      </c>
      <c r="R355" s="17" t="n">
        <v>45630</v>
      </c>
      <c r="S355" s="19">
        <f>H355*I355</f>
        <v/>
      </c>
      <c r="T355" s="19">
        <f>H355*J355</f>
        <v/>
      </c>
      <c r="U355">
        <f>IF(AND(K355=0,G355&lt;=Assumptions!$C$6),1,0)</f>
        <v/>
      </c>
      <c r="V355">
        <f>IF(U355=1,IF(M355&gt;0,IF(P355&lt;=G355+Assumptions!$C$7,1,0),0),0)</f>
        <v/>
      </c>
      <c r="W355">
        <f>IF(AND(U355=1,M355&gt;=H355*(1-Assumptions!$C$8)),1,0)</f>
        <v/>
      </c>
      <c r="X355">
        <f>IF(AND(U355=1,N355&gt;=H355*(1-Assumptions!$C$8)),1,0)</f>
        <v/>
      </c>
      <c r="Y355">
        <f>IF(ISNUMBER(Q355),1,0)</f>
        <v/>
      </c>
      <c r="Z355">
        <f>IF(AND(K355=0,L355=0,Y355=0),1,0)</f>
        <v/>
      </c>
      <c r="AA355">
        <f>IF(AND(Z355=1,G355&lt;Assumptions!$C$6),1,0)</f>
        <v/>
      </c>
      <c r="AB355">
        <f>IF(U355=0,"",IF(Y355=1,MAX(0,Q355-G355),IF(L355=1,MAX(0,R355-G355),MAX(0,Assumptions!$C$6-G355))))</f>
        <v/>
      </c>
      <c r="AC355">
        <f>IF(Y355=1,Q355-F355,"")</f>
        <v/>
      </c>
      <c r="AD355">
        <f>IF(Y355=1,AC355^2,"")</f>
        <v/>
      </c>
      <c r="AE355" s="19">
        <f>IF(Z355=1,(H355-M355)*I355,0)</f>
        <v/>
      </c>
      <c r="AF355">
        <f>IF(G355&lt;EDATE(Assumptions!$C$6,-12)+1,"prior_12m","last_12m")</f>
        <v/>
      </c>
      <c r="AG355" s="21">
        <f>DATE(YEAR(G355),MONTH(G355),1)</f>
        <v/>
      </c>
    </row>
    <row r="356">
      <c r="A356" t="inlineStr">
        <is>
          <t>SPO-00193-1</t>
        </is>
      </c>
      <c r="B356" t="inlineStr">
        <is>
          <t>SPO-00193</t>
        </is>
      </c>
      <c r="C356" t="inlineStr">
        <is>
          <t>SUP-07</t>
        </is>
      </c>
      <c r="D356" t="inlineStr">
        <is>
          <t>MRO</t>
        </is>
      </c>
      <c r="E356" t="inlineStr">
        <is>
          <t>MRO-02</t>
        </is>
      </c>
      <c r="F356" s="17" t="n">
        <v>45620</v>
      </c>
      <c r="G356" s="17" t="n">
        <v>45630</v>
      </c>
      <c r="H356" s="18" t="n">
        <v>39</v>
      </c>
      <c r="I356" s="19" t="n">
        <v>40.42</v>
      </c>
      <c r="J356" s="19" t="n">
        <v>41</v>
      </c>
      <c r="K356" s="20" t="n">
        <v>0</v>
      </c>
      <c r="L356" s="20" t="n">
        <v>0</v>
      </c>
      <c r="M356" s="18" t="n">
        <v>39</v>
      </c>
      <c r="N356" s="18" t="n">
        <v>39</v>
      </c>
      <c r="O356" s="18" t="n">
        <v>0</v>
      </c>
      <c r="P356" s="17" t="n">
        <v>45624</v>
      </c>
      <c r="Q356" s="17" t="n">
        <v>45624</v>
      </c>
      <c r="R356" s="17" t="n">
        <v>45624</v>
      </c>
      <c r="S356" s="19">
        <f>H356*I356</f>
        <v/>
      </c>
      <c r="T356" s="19">
        <f>H356*J356</f>
        <v/>
      </c>
      <c r="U356">
        <f>IF(AND(K356=0,G356&lt;=Assumptions!$C$6),1,0)</f>
        <v/>
      </c>
      <c r="V356">
        <f>IF(U356=1,IF(M356&gt;0,IF(P356&lt;=G356+Assumptions!$C$7,1,0),0),0)</f>
        <v/>
      </c>
      <c r="W356">
        <f>IF(AND(U356=1,M356&gt;=H356*(1-Assumptions!$C$8)),1,0)</f>
        <v/>
      </c>
      <c r="X356">
        <f>IF(AND(U356=1,N356&gt;=H356*(1-Assumptions!$C$8)),1,0)</f>
        <v/>
      </c>
      <c r="Y356">
        <f>IF(ISNUMBER(Q356),1,0)</f>
        <v/>
      </c>
      <c r="Z356">
        <f>IF(AND(K356=0,L356=0,Y356=0),1,0)</f>
        <v/>
      </c>
      <c r="AA356">
        <f>IF(AND(Z356=1,G356&lt;Assumptions!$C$6),1,0)</f>
        <v/>
      </c>
      <c r="AB356">
        <f>IF(U356=0,"",IF(Y356=1,MAX(0,Q356-G356),IF(L356=1,MAX(0,R356-G356),MAX(0,Assumptions!$C$6-G356))))</f>
        <v/>
      </c>
      <c r="AC356">
        <f>IF(Y356=1,Q356-F356,"")</f>
        <v/>
      </c>
      <c r="AD356">
        <f>IF(Y356=1,AC356^2,"")</f>
        <v/>
      </c>
      <c r="AE356" s="19">
        <f>IF(Z356=1,(H356-M356)*I356,0)</f>
        <v/>
      </c>
      <c r="AF356">
        <f>IF(G356&lt;EDATE(Assumptions!$C$6,-12)+1,"prior_12m","last_12m")</f>
        <v/>
      </c>
      <c r="AG356" s="21">
        <f>DATE(YEAR(G356),MONTH(G356),1)</f>
        <v/>
      </c>
    </row>
    <row r="357">
      <c r="A357" t="inlineStr">
        <is>
          <t>SPO-00194-1</t>
        </is>
      </c>
      <c r="B357" t="inlineStr">
        <is>
          <t>SPO-00194</t>
        </is>
      </c>
      <c r="C357" t="inlineStr">
        <is>
          <t>SUP-01</t>
        </is>
      </c>
      <c r="D357" t="inlineStr">
        <is>
          <t>ELEC</t>
        </is>
      </c>
      <c r="E357" t="inlineStr">
        <is>
          <t>ELEC-06</t>
        </is>
      </c>
      <c r="F357" s="17" t="n">
        <v>45620</v>
      </c>
      <c r="G357" s="17" t="n">
        <v>45638</v>
      </c>
      <c r="H357" s="18" t="n">
        <v>19</v>
      </c>
      <c r="I357" s="19" t="n">
        <v>140.51</v>
      </c>
      <c r="J357" s="19" t="n">
        <v>145</v>
      </c>
      <c r="K357" s="20" t="n">
        <v>0</v>
      </c>
      <c r="L357" s="20" t="n">
        <v>0</v>
      </c>
      <c r="M357" s="18" t="n">
        <v>19</v>
      </c>
      <c r="N357" s="18" t="n">
        <v>19</v>
      </c>
      <c r="O357" s="18" t="n">
        <v>0</v>
      </c>
      <c r="P357" s="17" t="n">
        <v>45636</v>
      </c>
      <c r="Q357" s="17" t="n">
        <v>45636</v>
      </c>
      <c r="R357" s="17" t="n">
        <v>45636</v>
      </c>
      <c r="S357" s="19">
        <f>H357*I357</f>
        <v/>
      </c>
      <c r="T357" s="19">
        <f>H357*J357</f>
        <v/>
      </c>
      <c r="U357">
        <f>IF(AND(K357=0,G357&lt;=Assumptions!$C$6),1,0)</f>
        <v/>
      </c>
      <c r="V357">
        <f>IF(U357=1,IF(M357&gt;0,IF(P357&lt;=G357+Assumptions!$C$7,1,0),0),0)</f>
        <v/>
      </c>
      <c r="W357">
        <f>IF(AND(U357=1,M357&gt;=H357*(1-Assumptions!$C$8)),1,0)</f>
        <v/>
      </c>
      <c r="X357">
        <f>IF(AND(U357=1,N357&gt;=H357*(1-Assumptions!$C$8)),1,0)</f>
        <v/>
      </c>
      <c r="Y357">
        <f>IF(ISNUMBER(Q357),1,0)</f>
        <v/>
      </c>
      <c r="Z357">
        <f>IF(AND(K357=0,L357=0,Y357=0),1,0)</f>
        <v/>
      </c>
      <c r="AA357">
        <f>IF(AND(Z357=1,G357&lt;Assumptions!$C$6),1,0)</f>
        <v/>
      </c>
      <c r="AB357">
        <f>IF(U357=0,"",IF(Y357=1,MAX(0,Q357-G357),IF(L357=1,MAX(0,R357-G357),MAX(0,Assumptions!$C$6-G357))))</f>
        <v/>
      </c>
      <c r="AC357">
        <f>IF(Y357=1,Q357-F357,"")</f>
        <v/>
      </c>
      <c r="AD357">
        <f>IF(Y357=1,AC357^2,"")</f>
        <v/>
      </c>
      <c r="AE357" s="19">
        <f>IF(Z357=1,(H357-M357)*I357,0)</f>
        <v/>
      </c>
      <c r="AF357">
        <f>IF(G357&lt;EDATE(Assumptions!$C$6,-12)+1,"prior_12m","last_12m")</f>
        <v/>
      </c>
      <c r="AG357" s="21">
        <f>DATE(YEAR(G357),MONTH(G357),1)</f>
        <v/>
      </c>
    </row>
    <row r="358">
      <c r="A358" t="inlineStr">
        <is>
          <t>SPO-00194-2</t>
        </is>
      </c>
      <c r="B358" t="inlineStr">
        <is>
          <t>SPO-00194</t>
        </is>
      </c>
      <c r="C358" t="inlineStr">
        <is>
          <t>SUP-01</t>
        </is>
      </c>
      <c r="D358" t="inlineStr">
        <is>
          <t>ELEC</t>
        </is>
      </c>
      <c r="E358" t="inlineStr">
        <is>
          <t>ELEC-08</t>
        </is>
      </c>
      <c r="F358" s="17" t="n">
        <v>45620</v>
      </c>
      <c r="G358" s="17" t="n">
        <v>45638</v>
      </c>
      <c r="H358" s="18" t="n">
        <v>181</v>
      </c>
      <c r="I358" s="19" t="n">
        <v>19.27</v>
      </c>
      <c r="J358" s="19" t="n">
        <v>18</v>
      </c>
      <c r="K358" s="20" t="n">
        <v>0</v>
      </c>
      <c r="L358" s="20" t="n">
        <v>0</v>
      </c>
      <c r="M358" s="18" t="n">
        <v>181</v>
      </c>
      <c r="N358" s="18" t="n">
        <v>181</v>
      </c>
      <c r="O358" s="18" t="n">
        <v>38</v>
      </c>
      <c r="P358" s="17" t="n">
        <v>45638</v>
      </c>
      <c r="Q358" s="17" t="n">
        <v>45638</v>
      </c>
      <c r="R358" s="17" t="n">
        <v>45638</v>
      </c>
      <c r="S358" s="19">
        <f>H358*I358</f>
        <v/>
      </c>
      <c r="T358" s="19">
        <f>H358*J358</f>
        <v/>
      </c>
      <c r="U358">
        <f>IF(AND(K358=0,G358&lt;=Assumptions!$C$6),1,0)</f>
        <v/>
      </c>
      <c r="V358">
        <f>IF(U358=1,IF(M358&gt;0,IF(P358&lt;=G358+Assumptions!$C$7,1,0),0),0)</f>
        <v/>
      </c>
      <c r="W358">
        <f>IF(AND(U358=1,M358&gt;=H358*(1-Assumptions!$C$8)),1,0)</f>
        <v/>
      </c>
      <c r="X358">
        <f>IF(AND(U358=1,N358&gt;=H358*(1-Assumptions!$C$8)),1,0)</f>
        <v/>
      </c>
      <c r="Y358">
        <f>IF(ISNUMBER(Q358),1,0)</f>
        <v/>
      </c>
      <c r="Z358">
        <f>IF(AND(K358=0,L358=0,Y358=0),1,0)</f>
        <v/>
      </c>
      <c r="AA358">
        <f>IF(AND(Z358=1,G358&lt;Assumptions!$C$6),1,0)</f>
        <v/>
      </c>
      <c r="AB358">
        <f>IF(U358=0,"",IF(Y358=1,MAX(0,Q358-G358),IF(L358=1,MAX(0,R358-G358),MAX(0,Assumptions!$C$6-G358))))</f>
        <v/>
      </c>
      <c r="AC358">
        <f>IF(Y358=1,Q358-F358,"")</f>
        <v/>
      </c>
      <c r="AD358">
        <f>IF(Y358=1,AC358^2,"")</f>
        <v/>
      </c>
      <c r="AE358" s="19">
        <f>IF(Z358=1,(H358-M358)*I358,0)</f>
        <v/>
      </c>
      <c r="AF358">
        <f>IF(G358&lt;EDATE(Assumptions!$C$6,-12)+1,"prior_12m","last_12m")</f>
        <v/>
      </c>
      <c r="AG358" s="21">
        <f>DATE(YEAR(G358),MONTH(G358),1)</f>
        <v/>
      </c>
    </row>
    <row r="359">
      <c r="A359" t="inlineStr">
        <is>
          <t>SPO-00194-3</t>
        </is>
      </c>
      <c r="B359" t="inlineStr">
        <is>
          <t>SPO-00194</t>
        </is>
      </c>
      <c r="C359" t="inlineStr">
        <is>
          <t>SUP-01</t>
        </is>
      </c>
      <c r="D359" t="inlineStr">
        <is>
          <t>ELEC</t>
        </is>
      </c>
      <c r="E359" t="inlineStr">
        <is>
          <t>ELEC-03</t>
        </is>
      </c>
      <c r="F359" s="17" t="n">
        <v>45620</v>
      </c>
      <c r="G359" s="17" t="n">
        <v>45638</v>
      </c>
      <c r="H359" s="18" t="n">
        <v>16</v>
      </c>
      <c r="I359" s="19" t="n">
        <v>97.66</v>
      </c>
      <c r="J359" s="19" t="n">
        <v>96</v>
      </c>
      <c r="K359" s="20" t="n">
        <v>0</v>
      </c>
      <c r="L359" s="20" t="n">
        <v>0</v>
      </c>
      <c r="M359" s="18" t="n">
        <v>16</v>
      </c>
      <c r="N359" s="18" t="n">
        <v>16</v>
      </c>
      <c r="O359" s="18" t="n">
        <v>0</v>
      </c>
      <c r="P359" s="17" t="n">
        <v>45636</v>
      </c>
      <c r="Q359" s="17" t="n">
        <v>45636</v>
      </c>
      <c r="R359" s="17" t="n">
        <v>45636</v>
      </c>
      <c r="S359" s="19">
        <f>H359*I359</f>
        <v/>
      </c>
      <c r="T359" s="19">
        <f>H359*J359</f>
        <v/>
      </c>
      <c r="U359">
        <f>IF(AND(K359=0,G359&lt;=Assumptions!$C$6),1,0)</f>
        <v/>
      </c>
      <c r="V359">
        <f>IF(U359=1,IF(M359&gt;0,IF(P359&lt;=G359+Assumptions!$C$7,1,0),0),0)</f>
        <v/>
      </c>
      <c r="W359">
        <f>IF(AND(U359=1,M359&gt;=H359*(1-Assumptions!$C$8)),1,0)</f>
        <v/>
      </c>
      <c r="X359">
        <f>IF(AND(U359=1,N359&gt;=H359*(1-Assumptions!$C$8)),1,0)</f>
        <v/>
      </c>
      <c r="Y359">
        <f>IF(ISNUMBER(Q359),1,0)</f>
        <v/>
      </c>
      <c r="Z359">
        <f>IF(AND(K359=0,L359=0,Y359=0),1,0)</f>
        <v/>
      </c>
      <c r="AA359">
        <f>IF(AND(Z359=1,G359&lt;Assumptions!$C$6),1,0)</f>
        <v/>
      </c>
      <c r="AB359">
        <f>IF(U359=0,"",IF(Y359=1,MAX(0,Q359-G359),IF(L359=1,MAX(0,R359-G359),MAX(0,Assumptions!$C$6-G359))))</f>
        <v/>
      </c>
      <c r="AC359">
        <f>IF(Y359=1,Q359-F359,"")</f>
        <v/>
      </c>
      <c r="AD359">
        <f>IF(Y359=1,AC359^2,"")</f>
        <v/>
      </c>
      <c r="AE359" s="19">
        <f>IF(Z359=1,(H359-M359)*I359,0)</f>
        <v/>
      </c>
      <c r="AF359">
        <f>IF(G359&lt;EDATE(Assumptions!$C$6,-12)+1,"prior_12m","last_12m")</f>
        <v/>
      </c>
      <c r="AG359" s="21">
        <f>DATE(YEAR(G359),MONTH(G359),1)</f>
        <v/>
      </c>
    </row>
    <row r="360">
      <c r="A360" t="inlineStr">
        <is>
          <t>SPO-00195-1</t>
        </is>
      </c>
      <c r="B360" t="inlineStr">
        <is>
          <t>SPO-00195</t>
        </is>
      </c>
      <c r="C360" t="inlineStr">
        <is>
          <t>SUP-06</t>
        </is>
      </c>
      <c r="D360" t="inlineStr">
        <is>
          <t>MRO</t>
        </is>
      </c>
      <c r="E360" t="inlineStr">
        <is>
          <t>MRO-04</t>
        </is>
      </c>
      <c r="F360" s="17" t="n">
        <v>45621</v>
      </c>
      <c r="G360" s="17" t="n">
        <v>45629</v>
      </c>
      <c r="H360" s="18" t="n">
        <v>25</v>
      </c>
      <c r="I360" s="19" t="n">
        <v>59.92</v>
      </c>
      <c r="J360" s="19" t="n">
        <v>58</v>
      </c>
      <c r="K360" s="20" t="n">
        <v>0</v>
      </c>
      <c r="L360" s="20" t="n">
        <v>0</v>
      </c>
      <c r="M360" s="18" t="n">
        <v>25</v>
      </c>
      <c r="N360" s="18" t="n">
        <v>25</v>
      </c>
      <c r="O360" s="18" t="n">
        <v>0</v>
      </c>
      <c r="P360" s="17" t="n">
        <v>45627</v>
      </c>
      <c r="Q360" s="17" t="n">
        <v>45627</v>
      </c>
      <c r="R360" s="17" t="n">
        <v>45627</v>
      </c>
      <c r="S360" s="19">
        <f>H360*I360</f>
        <v/>
      </c>
      <c r="T360" s="19">
        <f>H360*J360</f>
        <v/>
      </c>
      <c r="U360">
        <f>IF(AND(K360=0,G360&lt;=Assumptions!$C$6),1,0)</f>
        <v/>
      </c>
      <c r="V360">
        <f>IF(U360=1,IF(M360&gt;0,IF(P360&lt;=G360+Assumptions!$C$7,1,0),0),0)</f>
        <v/>
      </c>
      <c r="W360">
        <f>IF(AND(U360=1,M360&gt;=H360*(1-Assumptions!$C$8)),1,0)</f>
        <v/>
      </c>
      <c r="X360">
        <f>IF(AND(U360=1,N360&gt;=H360*(1-Assumptions!$C$8)),1,0)</f>
        <v/>
      </c>
      <c r="Y360">
        <f>IF(ISNUMBER(Q360),1,0)</f>
        <v/>
      </c>
      <c r="Z360">
        <f>IF(AND(K360=0,L360=0,Y360=0),1,0)</f>
        <v/>
      </c>
      <c r="AA360">
        <f>IF(AND(Z360=1,G360&lt;Assumptions!$C$6),1,0)</f>
        <v/>
      </c>
      <c r="AB360">
        <f>IF(U360=0,"",IF(Y360=1,MAX(0,Q360-G360),IF(L360=1,MAX(0,R360-G360),MAX(0,Assumptions!$C$6-G360))))</f>
        <v/>
      </c>
      <c r="AC360">
        <f>IF(Y360=1,Q360-F360,"")</f>
        <v/>
      </c>
      <c r="AD360">
        <f>IF(Y360=1,AC360^2,"")</f>
        <v/>
      </c>
      <c r="AE360" s="19">
        <f>IF(Z360=1,(H360-M360)*I360,0)</f>
        <v/>
      </c>
      <c r="AF360">
        <f>IF(G360&lt;EDATE(Assumptions!$C$6,-12)+1,"prior_12m","last_12m")</f>
        <v/>
      </c>
      <c r="AG360" s="21">
        <f>DATE(YEAR(G360),MONTH(G360),1)</f>
        <v/>
      </c>
    </row>
    <row r="361">
      <c r="A361" t="inlineStr">
        <is>
          <t>SPO-00195-2</t>
        </is>
      </c>
      <c r="B361" t="inlineStr">
        <is>
          <t>SPO-00195</t>
        </is>
      </c>
      <c r="C361" t="inlineStr">
        <is>
          <t>SUP-06</t>
        </is>
      </c>
      <c r="D361" t="inlineStr">
        <is>
          <t>MRO</t>
        </is>
      </c>
      <c r="E361" t="inlineStr">
        <is>
          <t>MRO-07</t>
        </is>
      </c>
      <c r="F361" s="17" t="n">
        <v>45621</v>
      </c>
      <c r="G361" s="17" t="n">
        <v>45629</v>
      </c>
      <c r="H361" s="18" t="n">
        <v>202</v>
      </c>
      <c r="I361" s="19" t="n">
        <v>13.65</v>
      </c>
      <c r="J361" s="19" t="n">
        <v>14</v>
      </c>
      <c r="K361" s="20" t="n">
        <v>0</v>
      </c>
      <c r="L361" s="20" t="n">
        <v>0</v>
      </c>
      <c r="M361" s="18" t="n">
        <v>202</v>
      </c>
      <c r="N361" s="18" t="n">
        <v>202</v>
      </c>
      <c r="O361" s="18" t="n">
        <v>0</v>
      </c>
      <c r="P361" s="17" t="n">
        <v>45627</v>
      </c>
      <c r="Q361" s="17" t="n">
        <v>45627</v>
      </c>
      <c r="R361" s="17" t="n">
        <v>45627</v>
      </c>
      <c r="S361" s="19">
        <f>H361*I361</f>
        <v/>
      </c>
      <c r="T361" s="19">
        <f>H361*J361</f>
        <v/>
      </c>
      <c r="U361">
        <f>IF(AND(K361=0,G361&lt;=Assumptions!$C$6),1,0)</f>
        <v/>
      </c>
      <c r="V361">
        <f>IF(U361=1,IF(M361&gt;0,IF(P361&lt;=G361+Assumptions!$C$7,1,0),0),0)</f>
        <v/>
      </c>
      <c r="W361">
        <f>IF(AND(U361=1,M361&gt;=H361*(1-Assumptions!$C$8)),1,0)</f>
        <v/>
      </c>
      <c r="X361">
        <f>IF(AND(U361=1,N361&gt;=H361*(1-Assumptions!$C$8)),1,0)</f>
        <v/>
      </c>
      <c r="Y361">
        <f>IF(ISNUMBER(Q361),1,0)</f>
        <v/>
      </c>
      <c r="Z361">
        <f>IF(AND(K361=0,L361=0,Y361=0),1,0)</f>
        <v/>
      </c>
      <c r="AA361">
        <f>IF(AND(Z361=1,G361&lt;Assumptions!$C$6),1,0)</f>
        <v/>
      </c>
      <c r="AB361">
        <f>IF(U361=0,"",IF(Y361=1,MAX(0,Q361-G361),IF(L361=1,MAX(0,R361-G361),MAX(0,Assumptions!$C$6-G361))))</f>
        <v/>
      </c>
      <c r="AC361">
        <f>IF(Y361=1,Q361-F361,"")</f>
        <v/>
      </c>
      <c r="AD361">
        <f>IF(Y361=1,AC361^2,"")</f>
        <v/>
      </c>
      <c r="AE361" s="19">
        <f>IF(Z361=1,(H361-M361)*I361,0)</f>
        <v/>
      </c>
      <c r="AF361">
        <f>IF(G361&lt;EDATE(Assumptions!$C$6,-12)+1,"prior_12m","last_12m")</f>
        <v/>
      </c>
      <c r="AG361" s="21">
        <f>DATE(YEAR(G361),MONTH(G361),1)</f>
        <v/>
      </c>
    </row>
    <row r="362">
      <c r="A362" t="inlineStr">
        <is>
          <t>SPO-00195-3</t>
        </is>
      </c>
      <c r="B362" t="inlineStr">
        <is>
          <t>SPO-00195</t>
        </is>
      </c>
      <c r="C362" t="inlineStr">
        <is>
          <t>SUP-06</t>
        </is>
      </c>
      <c r="D362" t="inlineStr">
        <is>
          <t>MRO</t>
        </is>
      </c>
      <c r="E362" t="inlineStr">
        <is>
          <t>MRO-06</t>
        </is>
      </c>
      <c r="F362" s="17" t="n">
        <v>45621</v>
      </c>
      <c r="G362" s="17" t="n">
        <v>45629</v>
      </c>
      <c r="H362" s="18" t="n">
        <v>150</v>
      </c>
      <c r="I362" s="19" t="n">
        <v>6.13</v>
      </c>
      <c r="J362" s="19" t="n">
        <v>6.1</v>
      </c>
      <c r="K362" s="20" t="n">
        <v>0</v>
      </c>
      <c r="L362" s="20" t="n">
        <v>0</v>
      </c>
      <c r="M362" s="18" t="n">
        <v>150</v>
      </c>
      <c r="N362" s="18" t="n">
        <v>150</v>
      </c>
      <c r="O362" s="18" t="n">
        <v>0</v>
      </c>
      <c r="P362" s="17" t="n">
        <v>45628</v>
      </c>
      <c r="Q362" s="17" t="n">
        <v>45628</v>
      </c>
      <c r="R362" s="17" t="n">
        <v>45628</v>
      </c>
      <c r="S362" s="19">
        <f>H362*I362</f>
        <v/>
      </c>
      <c r="T362" s="19">
        <f>H362*J362</f>
        <v/>
      </c>
      <c r="U362">
        <f>IF(AND(K362=0,G362&lt;=Assumptions!$C$6),1,0)</f>
        <v/>
      </c>
      <c r="V362">
        <f>IF(U362=1,IF(M362&gt;0,IF(P362&lt;=G362+Assumptions!$C$7,1,0),0),0)</f>
        <v/>
      </c>
      <c r="W362">
        <f>IF(AND(U362=1,M362&gt;=H362*(1-Assumptions!$C$8)),1,0)</f>
        <v/>
      </c>
      <c r="X362">
        <f>IF(AND(U362=1,N362&gt;=H362*(1-Assumptions!$C$8)),1,0)</f>
        <v/>
      </c>
      <c r="Y362">
        <f>IF(ISNUMBER(Q362),1,0)</f>
        <v/>
      </c>
      <c r="Z362">
        <f>IF(AND(K362=0,L362=0,Y362=0),1,0)</f>
        <v/>
      </c>
      <c r="AA362">
        <f>IF(AND(Z362=1,G362&lt;Assumptions!$C$6),1,0)</f>
        <v/>
      </c>
      <c r="AB362">
        <f>IF(U362=0,"",IF(Y362=1,MAX(0,Q362-G362),IF(L362=1,MAX(0,R362-G362),MAX(0,Assumptions!$C$6-G362))))</f>
        <v/>
      </c>
      <c r="AC362">
        <f>IF(Y362=1,Q362-F362,"")</f>
        <v/>
      </c>
      <c r="AD362">
        <f>IF(Y362=1,AC362^2,"")</f>
        <v/>
      </c>
      <c r="AE362" s="19">
        <f>IF(Z362=1,(H362-M362)*I362,0)</f>
        <v/>
      </c>
      <c r="AF362">
        <f>IF(G362&lt;EDATE(Assumptions!$C$6,-12)+1,"prior_12m","last_12m")</f>
        <v/>
      </c>
      <c r="AG362" s="21">
        <f>DATE(YEAR(G362),MONTH(G362),1)</f>
        <v/>
      </c>
    </row>
    <row r="363">
      <c r="A363" t="inlineStr">
        <is>
          <t>SPO-00196-1</t>
        </is>
      </c>
      <c r="B363" t="inlineStr">
        <is>
          <t>SPO-00196</t>
        </is>
      </c>
      <c r="C363" t="inlineStr">
        <is>
          <t>SUP-14</t>
        </is>
      </c>
      <c r="D363" t="inlineStr">
        <is>
          <t>FLEET</t>
        </is>
      </c>
      <c r="E363" t="inlineStr">
        <is>
          <t>FLEET-04</t>
        </is>
      </c>
      <c r="F363" s="17" t="n">
        <v>45621</v>
      </c>
      <c r="G363" s="17" t="n">
        <v>45635</v>
      </c>
      <c r="H363" s="18" t="n">
        <v>288</v>
      </c>
      <c r="I363" s="19" t="n">
        <v>9.199999999999999</v>
      </c>
      <c r="J363" s="19" t="n">
        <v>9</v>
      </c>
      <c r="K363" s="20" t="n">
        <v>0</v>
      </c>
      <c r="L363" s="20" t="n">
        <v>0</v>
      </c>
      <c r="M363" s="18" t="n">
        <v>288</v>
      </c>
      <c r="N363" s="18" t="n">
        <v>288</v>
      </c>
      <c r="O363" s="18" t="n">
        <v>0</v>
      </c>
      <c r="P363" s="17" t="n">
        <v>45630</v>
      </c>
      <c r="Q363" s="17" t="n">
        <v>45630</v>
      </c>
      <c r="R363" s="17" t="n">
        <v>45630</v>
      </c>
      <c r="S363" s="19">
        <f>H363*I363</f>
        <v/>
      </c>
      <c r="T363" s="19">
        <f>H363*J363</f>
        <v/>
      </c>
      <c r="U363">
        <f>IF(AND(K363=0,G363&lt;=Assumptions!$C$6),1,0)</f>
        <v/>
      </c>
      <c r="V363">
        <f>IF(U363=1,IF(M363&gt;0,IF(P363&lt;=G363+Assumptions!$C$7,1,0),0),0)</f>
        <v/>
      </c>
      <c r="W363">
        <f>IF(AND(U363=1,M363&gt;=H363*(1-Assumptions!$C$8)),1,0)</f>
        <v/>
      </c>
      <c r="X363">
        <f>IF(AND(U363=1,N363&gt;=H363*(1-Assumptions!$C$8)),1,0)</f>
        <v/>
      </c>
      <c r="Y363">
        <f>IF(ISNUMBER(Q363),1,0)</f>
        <v/>
      </c>
      <c r="Z363">
        <f>IF(AND(K363=0,L363=0,Y363=0),1,0)</f>
        <v/>
      </c>
      <c r="AA363">
        <f>IF(AND(Z363=1,G363&lt;Assumptions!$C$6),1,0)</f>
        <v/>
      </c>
      <c r="AB363">
        <f>IF(U363=0,"",IF(Y363=1,MAX(0,Q363-G363),IF(L363=1,MAX(0,R363-G363),MAX(0,Assumptions!$C$6-G363))))</f>
        <v/>
      </c>
      <c r="AC363">
        <f>IF(Y363=1,Q363-F363,"")</f>
        <v/>
      </c>
      <c r="AD363">
        <f>IF(Y363=1,AC363^2,"")</f>
        <v/>
      </c>
      <c r="AE363" s="19">
        <f>IF(Z363=1,(H363-M363)*I363,0)</f>
        <v/>
      </c>
      <c r="AF363">
        <f>IF(G363&lt;EDATE(Assumptions!$C$6,-12)+1,"prior_12m","last_12m")</f>
        <v/>
      </c>
      <c r="AG363" s="21">
        <f>DATE(YEAR(G363),MONTH(G363),1)</f>
        <v/>
      </c>
    </row>
    <row r="364">
      <c r="A364" t="inlineStr">
        <is>
          <t>SPO-00197-1</t>
        </is>
      </c>
      <c r="B364" t="inlineStr">
        <is>
          <t>SPO-00197</t>
        </is>
      </c>
      <c r="C364" t="inlineStr">
        <is>
          <t>SUP-09</t>
        </is>
      </c>
      <c r="D364" t="inlineStr">
        <is>
          <t>CHEM</t>
        </is>
      </c>
      <c r="E364" t="inlineStr">
        <is>
          <t>CHEM-03</t>
        </is>
      </c>
      <c r="F364" s="17" t="n">
        <v>45622</v>
      </c>
      <c r="G364" s="17" t="n">
        <v>45636</v>
      </c>
      <c r="H364" s="18" t="n">
        <v>5</v>
      </c>
      <c r="I364" s="19" t="n">
        <v>280.84</v>
      </c>
      <c r="J364" s="19" t="n">
        <v>265</v>
      </c>
      <c r="K364" s="20" t="n">
        <v>0</v>
      </c>
      <c r="L364" s="20" t="n">
        <v>0</v>
      </c>
      <c r="M364" s="18" t="n">
        <v>5</v>
      </c>
      <c r="N364" s="18" t="n">
        <v>5</v>
      </c>
      <c r="O364" s="18" t="n">
        <v>0</v>
      </c>
      <c r="P364" s="17" t="n">
        <v>45634</v>
      </c>
      <c r="Q364" s="17" t="n">
        <v>45634</v>
      </c>
      <c r="R364" s="17" t="n">
        <v>45634</v>
      </c>
      <c r="S364" s="19">
        <f>H364*I364</f>
        <v/>
      </c>
      <c r="T364" s="19">
        <f>H364*J364</f>
        <v/>
      </c>
      <c r="U364">
        <f>IF(AND(K364=0,G364&lt;=Assumptions!$C$6),1,0)</f>
        <v/>
      </c>
      <c r="V364">
        <f>IF(U364=1,IF(M364&gt;0,IF(P364&lt;=G364+Assumptions!$C$7,1,0),0),0)</f>
        <v/>
      </c>
      <c r="W364">
        <f>IF(AND(U364=1,M364&gt;=H364*(1-Assumptions!$C$8)),1,0)</f>
        <v/>
      </c>
      <c r="X364">
        <f>IF(AND(U364=1,N364&gt;=H364*(1-Assumptions!$C$8)),1,0)</f>
        <v/>
      </c>
      <c r="Y364">
        <f>IF(ISNUMBER(Q364),1,0)</f>
        <v/>
      </c>
      <c r="Z364">
        <f>IF(AND(K364=0,L364=0,Y364=0),1,0)</f>
        <v/>
      </c>
      <c r="AA364">
        <f>IF(AND(Z364=1,G364&lt;Assumptions!$C$6),1,0)</f>
        <v/>
      </c>
      <c r="AB364">
        <f>IF(U364=0,"",IF(Y364=1,MAX(0,Q364-G364),IF(L364=1,MAX(0,R364-G364),MAX(0,Assumptions!$C$6-G364))))</f>
        <v/>
      </c>
      <c r="AC364">
        <f>IF(Y364=1,Q364-F364,"")</f>
        <v/>
      </c>
      <c r="AD364">
        <f>IF(Y364=1,AC364^2,"")</f>
        <v/>
      </c>
      <c r="AE364" s="19">
        <f>IF(Z364=1,(H364-M364)*I364,0)</f>
        <v/>
      </c>
      <c r="AF364">
        <f>IF(G364&lt;EDATE(Assumptions!$C$6,-12)+1,"prior_12m","last_12m")</f>
        <v/>
      </c>
      <c r="AG364" s="21">
        <f>DATE(YEAR(G364),MONTH(G364),1)</f>
        <v/>
      </c>
    </row>
    <row r="365">
      <c r="A365" t="inlineStr">
        <is>
          <t>SPO-00197-2</t>
        </is>
      </c>
      <c r="B365" t="inlineStr">
        <is>
          <t>SPO-00197</t>
        </is>
      </c>
      <c r="C365" t="inlineStr">
        <is>
          <t>SUP-09</t>
        </is>
      </c>
      <c r="D365" t="inlineStr">
        <is>
          <t>CHEM</t>
        </is>
      </c>
      <c r="E365" t="inlineStr">
        <is>
          <t>CHEM-01</t>
        </is>
      </c>
      <c r="F365" s="17" t="n">
        <v>45622</v>
      </c>
      <c r="G365" s="17" t="n">
        <v>45636</v>
      </c>
      <c r="H365" s="18" t="n">
        <v>3</v>
      </c>
      <c r="I365" s="19" t="n">
        <v>681.5</v>
      </c>
      <c r="J365" s="19" t="n">
        <v>640</v>
      </c>
      <c r="K365" s="20" t="n">
        <v>0</v>
      </c>
      <c r="L365" s="20" t="n">
        <v>0</v>
      </c>
      <c r="M365" s="18" t="n">
        <v>3</v>
      </c>
      <c r="N365" s="18" t="n">
        <v>3</v>
      </c>
      <c r="O365" s="18" t="n">
        <v>0</v>
      </c>
      <c r="P365" s="17" t="n">
        <v>45631</v>
      </c>
      <c r="Q365" s="17" t="n">
        <v>45631</v>
      </c>
      <c r="R365" s="17" t="n">
        <v>45631</v>
      </c>
      <c r="S365" s="19">
        <f>H365*I365</f>
        <v/>
      </c>
      <c r="T365" s="19">
        <f>H365*J365</f>
        <v/>
      </c>
      <c r="U365">
        <f>IF(AND(K365=0,G365&lt;=Assumptions!$C$6),1,0)</f>
        <v/>
      </c>
      <c r="V365">
        <f>IF(U365=1,IF(M365&gt;0,IF(P365&lt;=G365+Assumptions!$C$7,1,0),0),0)</f>
        <v/>
      </c>
      <c r="W365">
        <f>IF(AND(U365=1,M365&gt;=H365*(1-Assumptions!$C$8)),1,0)</f>
        <v/>
      </c>
      <c r="X365">
        <f>IF(AND(U365=1,N365&gt;=H365*(1-Assumptions!$C$8)),1,0)</f>
        <v/>
      </c>
      <c r="Y365">
        <f>IF(ISNUMBER(Q365),1,0)</f>
        <v/>
      </c>
      <c r="Z365">
        <f>IF(AND(K365=0,L365=0,Y365=0),1,0)</f>
        <v/>
      </c>
      <c r="AA365">
        <f>IF(AND(Z365=1,G365&lt;Assumptions!$C$6),1,0)</f>
        <v/>
      </c>
      <c r="AB365">
        <f>IF(U365=0,"",IF(Y365=1,MAX(0,Q365-G365),IF(L365=1,MAX(0,R365-G365),MAX(0,Assumptions!$C$6-G365))))</f>
        <v/>
      </c>
      <c r="AC365">
        <f>IF(Y365=1,Q365-F365,"")</f>
        <v/>
      </c>
      <c r="AD365">
        <f>IF(Y365=1,AC365^2,"")</f>
        <v/>
      </c>
      <c r="AE365" s="19">
        <f>IF(Z365=1,(H365-M365)*I365,0)</f>
        <v/>
      </c>
      <c r="AF365">
        <f>IF(G365&lt;EDATE(Assumptions!$C$6,-12)+1,"prior_12m","last_12m")</f>
        <v/>
      </c>
      <c r="AG365" s="21">
        <f>DATE(YEAR(G365),MONTH(G365),1)</f>
        <v/>
      </c>
    </row>
    <row r="366">
      <c r="A366" t="inlineStr">
        <is>
          <t>SPO-00197-3</t>
        </is>
      </c>
      <c r="B366" t="inlineStr">
        <is>
          <t>SPO-00197</t>
        </is>
      </c>
      <c r="C366" t="inlineStr">
        <is>
          <t>SUP-09</t>
        </is>
      </c>
      <c r="D366" t="inlineStr">
        <is>
          <t>CHEM</t>
        </is>
      </c>
      <c r="E366" t="inlineStr">
        <is>
          <t>CHEM-04</t>
        </is>
      </c>
      <c r="F366" s="17" t="n">
        <v>45622</v>
      </c>
      <c r="G366" s="17" t="n">
        <v>45636</v>
      </c>
      <c r="H366" s="18" t="n">
        <v>2</v>
      </c>
      <c r="I366" s="19" t="n">
        <v>808.17</v>
      </c>
      <c r="J366" s="19" t="n">
        <v>820</v>
      </c>
      <c r="K366" s="20" t="n">
        <v>0</v>
      </c>
      <c r="L366" s="20" t="n">
        <v>0</v>
      </c>
      <c r="M366" s="18" t="n">
        <v>2</v>
      </c>
      <c r="N366" s="18" t="n">
        <v>2</v>
      </c>
      <c r="O366" s="18" t="n">
        <v>0</v>
      </c>
      <c r="P366" s="17" t="n">
        <v>45633</v>
      </c>
      <c r="Q366" s="17" t="n">
        <v>45633</v>
      </c>
      <c r="R366" s="17" t="n">
        <v>45633</v>
      </c>
      <c r="S366" s="19">
        <f>H366*I366</f>
        <v/>
      </c>
      <c r="T366" s="19">
        <f>H366*J366</f>
        <v/>
      </c>
      <c r="U366">
        <f>IF(AND(K366=0,G366&lt;=Assumptions!$C$6),1,0)</f>
        <v/>
      </c>
      <c r="V366">
        <f>IF(U366=1,IF(M366&gt;0,IF(P366&lt;=G366+Assumptions!$C$7,1,0),0),0)</f>
        <v/>
      </c>
      <c r="W366">
        <f>IF(AND(U366=1,M366&gt;=H366*(1-Assumptions!$C$8)),1,0)</f>
        <v/>
      </c>
      <c r="X366">
        <f>IF(AND(U366=1,N366&gt;=H366*(1-Assumptions!$C$8)),1,0)</f>
        <v/>
      </c>
      <c r="Y366">
        <f>IF(ISNUMBER(Q366),1,0)</f>
        <v/>
      </c>
      <c r="Z366">
        <f>IF(AND(K366=0,L366=0,Y366=0),1,0)</f>
        <v/>
      </c>
      <c r="AA366">
        <f>IF(AND(Z366=1,G366&lt;Assumptions!$C$6),1,0)</f>
        <v/>
      </c>
      <c r="AB366">
        <f>IF(U366=0,"",IF(Y366=1,MAX(0,Q366-G366),IF(L366=1,MAX(0,R366-G366),MAX(0,Assumptions!$C$6-G366))))</f>
        <v/>
      </c>
      <c r="AC366">
        <f>IF(Y366=1,Q366-F366,"")</f>
        <v/>
      </c>
      <c r="AD366">
        <f>IF(Y366=1,AC366^2,"")</f>
        <v/>
      </c>
      <c r="AE366" s="19">
        <f>IF(Z366=1,(H366-M366)*I366,0)</f>
        <v/>
      </c>
      <c r="AF366">
        <f>IF(G366&lt;EDATE(Assumptions!$C$6,-12)+1,"prior_12m","last_12m")</f>
        <v/>
      </c>
      <c r="AG366" s="21">
        <f>DATE(YEAR(G366),MONTH(G366),1)</f>
        <v/>
      </c>
    </row>
    <row r="367">
      <c r="A367" t="inlineStr">
        <is>
          <t>SPO-00197-4</t>
        </is>
      </c>
      <c r="B367" t="inlineStr">
        <is>
          <t>SPO-00197</t>
        </is>
      </c>
      <c r="C367" t="inlineStr">
        <is>
          <t>SUP-09</t>
        </is>
      </c>
      <c r="D367" t="inlineStr">
        <is>
          <t>CHEM</t>
        </is>
      </c>
      <c r="E367" t="inlineStr">
        <is>
          <t>CHEM-02</t>
        </is>
      </c>
      <c r="F367" s="17" t="n">
        <v>45622</v>
      </c>
      <c r="G367" s="17" t="n">
        <v>45636</v>
      </c>
      <c r="H367" s="18" t="n">
        <v>3</v>
      </c>
      <c r="I367" s="19" t="n">
        <v>413.69</v>
      </c>
      <c r="J367" s="19" t="n">
        <v>410</v>
      </c>
      <c r="K367" s="20" t="n">
        <v>0</v>
      </c>
      <c r="L367" s="20" t="n">
        <v>0</v>
      </c>
      <c r="M367" s="18" t="n">
        <v>3</v>
      </c>
      <c r="N367" s="18" t="n">
        <v>3</v>
      </c>
      <c r="O367" s="18" t="n">
        <v>0</v>
      </c>
      <c r="P367" s="17" t="n">
        <v>45636</v>
      </c>
      <c r="Q367" s="17" t="n">
        <v>45636</v>
      </c>
      <c r="R367" s="17" t="n">
        <v>45636</v>
      </c>
      <c r="S367" s="19">
        <f>H367*I367</f>
        <v/>
      </c>
      <c r="T367" s="19">
        <f>H367*J367</f>
        <v/>
      </c>
      <c r="U367">
        <f>IF(AND(K367=0,G367&lt;=Assumptions!$C$6),1,0)</f>
        <v/>
      </c>
      <c r="V367">
        <f>IF(U367=1,IF(M367&gt;0,IF(P367&lt;=G367+Assumptions!$C$7,1,0),0),0)</f>
        <v/>
      </c>
      <c r="W367">
        <f>IF(AND(U367=1,M367&gt;=H367*(1-Assumptions!$C$8)),1,0)</f>
        <v/>
      </c>
      <c r="X367">
        <f>IF(AND(U367=1,N367&gt;=H367*(1-Assumptions!$C$8)),1,0)</f>
        <v/>
      </c>
      <c r="Y367">
        <f>IF(ISNUMBER(Q367),1,0)</f>
        <v/>
      </c>
      <c r="Z367">
        <f>IF(AND(K367=0,L367=0,Y367=0),1,0)</f>
        <v/>
      </c>
      <c r="AA367">
        <f>IF(AND(Z367=1,G367&lt;Assumptions!$C$6),1,0)</f>
        <v/>
      </c>
      <c r="AB367">
        <f>IF(U367=0,"",IF(Y367=1,MAX(0,Q367-G367),IF(L367=1,MAX(0,R367-G367),MAX(0,Assumptions!$C$6-G367))))</f>
        <v/>
      </c>
      <c r="AC367">
        <f>IF(Y367=1,Q367-F367,"")</f>
        <v/>
      </c>
      <c r="AD367">
        <f>IF(Y367=1,AC367^2,"")</f>
        <v/>
      </c>
      <c r="AE367" s="19">
        <f>IF(Z367=1,(H367-M367)*I367,0)</f>
        <v/>
      </c>
      <c r="AF367">
        <f>IF(G367&lt;EDATE(Assumptions!$C$6,-12)+1,"prior_12m","last_12m")</f>
        <v/>
      </c>
      <c r="AG367" s="21">
        <f>DATE(YEAR(G367),MONTH(G367),1)</f>
        <v/>
      </c>
    </row>
    <row r="368">
      <c r="A368" t="inlineStr">
        <is>
          <t>SPO-00198-1</t>
        </is>
      </c>
      <c r="B368" t="inlineStr">
        <is>
          <t>SPO-00198</t>
        </is>
      </c>
      <c r="C368" t="inlineStr">
        <is>
          <t>SUP-01</t>
        </is>
      </c>
      <c r="D368" t="inlineStr">
        <is>
          <t>ELEC</t>
        </is>
      </c>
      <c r="E368" t="inlineStr">
        <is>
          <t>ELEC-06</t>
        </is>
      </c>
      <c r="F368" s="17" t="n">
        <v>45622</v>
      </c>
      <c r="G368" s="17" t="n">
        <v>45640</v>
      </c>
      <c r="H368" s="18" t="n">
        <v>18</v>
      </c>
      <c r="I368" s="19" t="n">
        <v>144.87</v>
      </c>
      <c r="J368" s="19" t="n">
        <v>145</v>
      </c>
      <c r="K368" s="20" t="n">
        <v>0</v>
      </c>
      <c r="L368" s="20" t="n">
        <v>0</v>
      </c>
      <c r="M368" s="18" t="n">
        <v>18</v>
      </c>
      <c r="N368" s="18" t="n">
        <v>18</v>
      </c>
      <c r="O368" s="18" t="n">
        <v>0</v>
      </c>
      <c r="P368" s="17" t="n">
        <v>45637</v>
      </c>
      <c r="Q368" s="17" t="n">
        <v>45637</v>
      </c>
      <c r="R368" s="17" t="n">
        <v>45637</v>
      </c>
      <c r="S368" s="19">
        <f>H368*I368</f>
        <v/>
      </c>
      <c r="T368" s="19">
        <f>H368*J368</f>
        <v/>
      </c>
      <c r="U368">
        <f>IF(AND(K368=0,G368&lt;=Assumptions!$C$6),1,0)</f>
        <v/>
      </c>
      <c r="V368">
        <f>IF(U368=1,IF(M368&gt;0,IF(P368&lt;=G368+Assumptions!$C$7,1,0),0),0)</f>
        <v/>
      </c>
      <c r="W368">
        <f>IF(AND(U368=1,M368&gt;=H368*(1-Assumptions!$C$8)),1,0)</f>
        <v/>
      </c>
      <c r="X368">
        <f>IF(AND(U368=1,N368&gt;=H368*(1-Assumptions!$C$8)),1,0)</f>
        <v/>
      </c>
      <c r="Y368">
        <f>IF(ISNUMBER(Q368),1,0)</f>
        <v/>
      </c>
      <c r="Z368">
        <f>IF(AND(K368=0,L368=0,Y368=0),1,0)</f>
        <v/>
      </c>
      <c r="AA368">
        <f>IF(AND(Z368=1,G368&lt;Assumptions!$C$6),1,0)</f>
        <v/>
      </c>
      <c r="AB368">
        <f>IF(U368=0,"",IF(Y368=1,MAX(0,Q368-G368),IF(L368=1,MAX(0,R368-G368),MAX(0,Assumptions!$C$6-G368))))</f>
        <v/>
      </c>
      <c r="AC368">
        <f>IF(Y368=1,Q368-F368,"")</f>
        <v/>
      </c>
      <c r="AD368">
        <f>IF(Y368=1,AC368^2,"")</f>
        <v/>
      </c>
      <c r="AE368" s="19">
        <f>IF(Z368=1,(H368-M368)*I368,0)</f>
        <v/>
      </c>
      <c r="AF368">
        <f>IF(G368&lt;EDATE(Assumptions!$C$6,-12)+1,"prior_12m","last_12m")</f>
        <v/>
      </c>
      <c r="AG368" s="21">
        <f>DATE(YEAR(G368),MONTH(G368),1)</f>
        <v/>
      </c>
    </row>
    <row r="369">
      <c r="A369" t="inlineStr">
        <is>
          <t>SPO-00198-2</t>
        </is>
      </c>
      <c r="B369" t="inlineStr">
        <is>
          <t>SPO-00198</t>
        </is>
      </c>
      <c r="C369" t="inlineStr">
        <is>
          <t>SUP-01</t>
        </is>
      </c>
      <c r="D369" t="inlineStr">
        <is>
          <t>ELEC</t>
        </is>
      </c>
      <c r="E369" t="inlineStr">
        <is>
          <t>ELEC-03</t>
        </is>
      </c>
      <c r="F369" s="17" t="n">
        <v>45622</v>
      </c>
      <c r="G369" s="17" t="n">
        <v>45640</v>
      </c>
      <c r="H369" s="18" t="n">
        <v>24</v>
      </c>
      <c r="I369" s="19" t="n">
        <v>98.19</v>
      </c>
      <c r="J369" s="19" t="n">
        <v>96</v>
      </c>
      <c r="K369" s="20" t="n">
        <v>0</v>
      </c>
      <c r="L369" s="20" t="n">
        <v>0</v>
      </c>
      <c r="M369" s="18" t="n">
        <v>24</v>
      </c>
      <c r="N369" s="18" t="n">
        <v>24</v>
      </c>
      <c r="O369" s="18" t="n">
        <v>0</v>
      </c>
      <c r="P369" s="17" t="n">
        <v>45635</v>
      </c>
      <c r="Q369" s="17" t="n">
        <v>45635</v>
      </c>
      <c r="R369" s="17" t="n">
        <v>45635</v>
      </c>
      <c r="S369" s="19">
        <f>H369*I369</f>
        <v/>
      </c>
      <c r="T369" s="19">
        <f>H369*J369</f>
        <v/>
      </c>
      <c r="U369">
        <f>IF(AND(K369=0,G369&lt;=Assumptions!$C$6),1,0)</f>
        <v/>
      </c>
      <c r="V369">
        <f>IF(U369=1,IF(M369&gt;0,IF(P369&lt;=G369+Assumptions!$C$7,1,0),0),0)</f>
        <v/>
      </c>
      <c r="W369">
        <f>IF(AND(U369=1,M369&gt;=H369*(1-Assumptions!$C$8)),1,0)</f>
        <v/>
      </c>
      <c r="X369">
        <f>IF(AND(U369=1,N369&gt;=H369*(1-Assumptions!$C$8)),1,0)</f>
        <v/>
      </c>
      <c r="Y369">
        <f>IF(ISNUMBER(Q369),1,0)</f>
        <v/>
      </c>
      <c r="Z369">
        <f>IF(AND(K369=0,L369=0,Y369=0),1,0)</f>
        <v/>
      </c>
      <c r="AA369">
        <f>IF(AND(Z369=1,G369&lt;Assumptions!$C$6),1,0)</f>
        <v/>
      </c>
      <c r="AB369">
        <f>IF(U369=0,"",IF(Y369=1,MAX(0,Q369-G369),IF(L369=1,MAX(0,R369-G369),MAX(0,Assumptions!$C$6-G369))))</f>
        <v/>
      </c>
      <c r="AC369">
        <f>IF(Y369=1,Q369-F369,"")</f>
        <v/>
      </c>
      <c r="AD369">
        <f>IF(Y369=1,AC369^2,"")</f>
        <v/>
      </c>
      <c r="AE369" s="19">
        <f>IF(Z369=1,(H369-M369)*I369,0)</f>
        <v/>
      </c>
      <c r="AF369">
        <f>IF(G369&lt;EDATE(Assumptions!$C$6,-12)+1,"prior_12m","last_12m")</f>
        <v/>
      </c>
      <c r="AG369" s="21">
        <f>DATE(YEAR(G369),MONTH(G369),1)</f>
        <v/>
      </c>
    </row>
    <row r="370">
      <c r="A370" t="inlineStr">
        <is>
          <t>SPO-00199-1</t>
        </is>
      </c>
      <c r="B370" t="inlineStr">
        <is>
          <t>SPO-00199</t>
        </is>
      </c>
      <c r="C370" t="inlineStr">
        <is>
          <t>SUP-08</t>
        </is>
      </c>
      <c r="D370" t="inlineStr">
        <is>
          <t>MRO</t>
        </is>
      </c>
      <c r="E370" t="inlineStr">
        <is>
          <t>MRO-03</t>
        </is>
      </c>
      <c r="F370" s="17" t="n">
        <v>45623</v>
      </c>
      <c r="G370" s="17" t="n">
        <v>45634</v>
      </c>
      <c r="H370" s="18" t="n">
        <v>108</v>
      </c>
      <c r="I370" s="19" t="n">
        <v>8.27</v>
      </c>
      <c r="J370" s="19" t="n">
        <v>8.9</v>
      </c>
      <c r="K370" s="20" t="n">
        <v>0</v>
      </c>
      <c r="L370" s="20" t="n">
        <v>0</v>
      </c>
      <c r="M370" s="18" t="n">
        <v>108</v>
      </c>
      <c r="N370" s="18" t="n">
        <v>108</v>
      </c>
      <c r="O370" s="18" t="n">
        <v>0</v>
      </c>
      <c r="P370" s="17" t="n">
        <v>45630</v>
      </c>
      <c r="Q370" s="17" t="n">
        <v>45630</v>
      </c>
      <c r="R370" s="17" t="n">
        <v>45630</v>
      </c>
      <c r="S370" s="19">
        <f>H370*I370</f>
        <v/>
      </c>
      <c r="T370" s="19">
        <f>H370*J370</f>
        <v/>
      </c>
      <c r="U370">
        <f>IF(AND(K370=0,G370&lt;=Assumptions!$C$6),1,0)</f>
        <v/>
      </c>
      <c r="V370">
        <f>IF(U370=1,IF(M370&gt;0,IF(P370&lt;=G370+Assumptions!$C$7,1,0),0),0)</f>
        <v/>
      </c>
      <c r="W370">
        <f>IF(AND(U370=1,M370&gt;=H370*(1-Assumptions!$C$8)),1,0)</f>
        <v/>
      </c>
      <c r="X370">
        <f>IF(AND(U370=1,N370&gt;=H370*(1-Assumptions!$C$8)),1,0)</f>
        <v/>
      </c>
      <c r="Y370">
        <f>IF(ISNUMBER(Q370),1,0)</f>
        <v/>
      </c>
      <c r="Z370">
        <f>IF(AND(K370=0,L370=0,Y370=0),1,0)</f>
        <v/>
      </c>
      <c r="AA370">
        <f>IF(AND(Z370=1,G370&lt;Assumptions!$C$6),1,0)</f>
        <v/>
      </c>
      <c r="AB370">
        <f>IF(U370=0,"",IF(Y370=1,MAX(0,Q370-G370),IF(L370=1,MAX(0,R370-G370),MAX(0,Assumptions!$C$6-G370))))</f>
        <v/>
      </c>
      <c r="AC370">
        <f>IF(Y370=1,Q370-F370,"")</f>
        <v/>
      </c>
      <c r="AD370">
        <f>IF(Y370=1,AC370^2,"")</f>
        <v/>
      </c>
      <c r="AE370" s="19">
        <f>IF(Z370=1,(H370-M370)*I370,0)</f>
        <v/>
      </c>
      <c r="AF370">
        <f>IF(G370&lt;EDATE(Assumptions!$C$6,-12)+1,"prior_12m","last_12m")</f>
        <v/>
      </c>
      <c r="AG370" s="21">
        <f>DATE(YEAR(G370),MONTH(G370),1)</f>
        <v/>
      </c>
    </row>
    <row r="371">
      <c r="A371" t="inlineStr">
        <is>
          <t>SPO-00200-1</t>
        </is>
      </c>
      <c r="B371" t="inlineStr">
        <is>
          <t>SPO-00200</t>
        </is>
      </c>
      <c r="C371" t="inlineStr">
        <is>
          <t>SUP-04</t>
        </is>
      </c>
      <c r="D371" t="inlineStr">
        <is>
          <t>FLEET</t>
        </is>
      </c>
      <c r="E371" t="inlineStr">
        <is>
          <t>FLEET-05</t>
        </is>
      </c>
      <c r="F371" s="17" t="n">
        <v>45623</v>
      </c>
      <c r="G371" s="17" t="n">
        <v>45636</v>
      </c>
      <c r="H371" s="18" t="n">
        <v>8</v>
      </c>
      <c r="I371" s="19" t="n">
        <v>172.26</v>
      </c>
      <c r="J371" s="19" t="n">
        <v>168</v>
      </c>
      <c r="K371" s="20" t="n">
        <v>0</v>
      </c>
      <c r="L371" s="20" t="n">
        <v>0</v>
      </c>
      <c r="M371" s="18" t="n">
        <v>8</v>
      </c>
      <c r="N371" s="18" t="n">
        <v>8</v>
      </c>
      <c r="O371" s="18" t="n">
        <v>0</v>
      </c>
      <c r="P371" s="17" t="n">
        <v>45626</v>
      </c>
      <c r="Q371" s="17" t="n">
        <v>45626</v>
      </c>
      <c r="R371" s="17" t="n">
        <v>45626</v>
      </c>
      <c r="S371" s="19">
        <f>H371*I371</f>
        <v/>
      </c>
      <c r="T371" s="19">
        <f>H371*J371</f>
        <v/>
      </c>
      <c r="U371">
        <f>IF(AND(K371=0,G371&lt;=Assumptions!$C$6),1,0)</f>
        <v/>
      </c>
      <c r="V371">
        <f>IF(U371=1,IF(M371&gt;0,IF(P371&lt;=G371+Assumptions!$C$7,1,0),0),0)</f>
        <v/>
      </c>
      <c r="W371">
        <f>IF(AND(U371=1,M371&gt;=H371*(1-Assumptions!$C$8)),1,0)</f>
        <v/>
      </c>
      <c r="X371">
        <f>IF(AND(U371=1,N371&gt;=H371*(1-Assumptions!$C$8)),1,0)</f>
        <v/>
      </c>
      <c r="Y371">
        <f>IF(ISNUMBER(Q371),1,0)</f>
        <v/>
      </c>
      <c r="Z371">
        <f>IF(AND(K371=0,L371=0,Y371=0),1,0)</f>
        <v/>
      </c>
      <c r="AA371">
        <f>IF(AND(Z371=1,G371&lt;Assumptions!$C$6),1,0)</f>
        <v/>
      </c>
      <c r="AB371">
        <f>IF(U371=0,"",IF(Y371=1,MAX(0,Q371-G371),IF(L371=1,MAX(0,R371-G371),MAX(0,Assumptions!$C$6-G371))))</f>
        <v/>
      </c>
      <c r="AC371">
        <f>IF(Y371=1,Q371-F371,"")</f>
        <v/>
      </c>
      <c r="AD371">
        <f>IF(Y371=1,AC371^2,"")</f>
        <v/>
      </c>
      <c r="AE371" s="19">
        <f>IF(Z371=1,(H371-M371)*I371,0)</f>
        <v/>
      </c>
      <c r="AF371">
        <f>IF(G371&lt;EDATE(Assumptions!$C$6,-12)+1,"prior_12m","last_12m")</f>
        <v/>
      </c>
      <c r="AG371" s="21">
        <f>DATE(YEAR(G371),MONTH(G371),1)</f>
        <v/>
      </c>
    </row>
    <row r="372">
      <c r="A372" t="inlineStr">
        <is>
          <t>SPO-00201-1</t>
        </is>
      </c>
      <c r="B372" t="inlineStr">
        <is>
          <t>SPO-00201</t>
        </is>
      </c>
      <c r="C372" t="inlineStr">
        <is>
          <t>SUP-14</t>
        </is>
      </c>
      <c r="D372" t="inlineStr">
        <is>
          <t>FLEET</t>
        </is>
      </c>
      <c r="E372" t="inlineStr">
        <is>
          <t>FLEET-05</t>
        </is>
      </c>
      <c r="F372" s="17" t="n">
        <v>45623</v>
      </c>
      <c r="G372" s="17" t="n">
        <v>45637</v>
      </c>
      <c r="H372" s="18" t="n">
        <v>6</v>
      </c>
      <c r="I372" s="19" t="n">
        <v>164.77</v>
      </c>
      <c r="J372" s="19" t="n">
        <v>168</v>
      </c>
      <c r="K372" s="20" t="n">
        <v>0</v>
      </c>
      <c r="L372" s="20" t="n">
        <v>0</v>
      </c>
      <c r="M372" s="18" t="n">
        <v>6</v>
      </c>
      <c r="N372" s="18" t="n">
        <v>6</v>
      </c>
      <c r="O372" s="18" t="n">
        <v>0</v>
      </c>
      <c r="P372" s="17" t="n">
        <v>45634</v>
      </c>
      <c r="Q372" s="17" t="n">
        <v>45634</v>
      </c>
      <c r="R372" s="17" t="n">
        <v>45634</v>
      </c>
      <c r="S372" s="19">
        <f>H372*I372</f>
        <v/>
      </c>
      <c r="T372" s="19">
        <f>H372*J372</f>
        <v/>
      </c>
      <c r="U372">
        <f>IF(AND(K372=0,G372&lt;=Assumptions!$C$6),1,0)</f>
        <v/>
      </c>
      <c r="V372">
        <f>IF(U372=1,IF(M372&gt;0,IF(P372&lt;=G372+Assumptions!$C$7,1,0),0),0)</f>
        <v/>
      </c>
      <c r="W372">
        <f>IF(AND(U372=1,M372&gt;=H372*(1-Assumptions!$C$8)),1,0)</f>
        <v/>
      </c>
      <c r="X372">
        <f>IF(AND(U372=1,N372&gt;=H372*(1-Assumptions!$C$8)),1,0)</f>
        <v/>
      </c>
      <c r="Y372">
        <f>IF(ISNUMBER(Q372),1,0)</f>
        <v/>
      </c>
      <c r="Z372">
        <f>IF(AND(K372=0,L372=0,Y372=0),1,0)</f>
        <v/>
      </c>
      <c r="AA372">
        <f>IF(AND(Z372=1,G372&lt;Assumptions!$C$6),1,0)</f>
        <v/>
      </c>
      <c r="AB372">
        <f>IF(U372=0,"",IF(Y372=1,MAX(0,Q372-G372),IF(L372=1,MAX(0,R372-G372),MAX(0,Assumptions!$C$6-G372))))</f>
        <v/>
      </c>
      <c r="AC372">
        <f>IF(Y372=1,Q372-F372,"")</f>
        <v/>
      </c>
      <c r="AD372">
        <f>IF(Y372=1,AC372^2,"")</f>
        <v/>
      </c>
      <c r="AE372" s="19">
        <f>IF(Z372=1,(H372-M372)*I372,0)</f>
        <v/>
      </c>
      <c r="AF372">
        <f>IF(G372&lt;EDATE(Assumptions!$C$6,-12)+1,"prior_12m","last_12m")</f>
        <v/>
      </c>
      <c r="AG372" s="21">
        <f>DATE(YEAR(G372),MONTH(G372),1)</f>
        <v/>
      </c>
    </row>
    <row r="373">
      <c r="A373" t="inlineStr">
        <is>
          <t>SPO-00201-2</t>
        </is>
      </c>
      <c r="B373" t="inlineStr">
        <is>
          <t>SPO-00201</t>
        </is>
      </c>
      <c r="C373" t="inlineStr">
        <is>
          <t>SUP-14</t>
        </is>
      </c>
      <c r="D373" t="inlineStr">
        <is>
          <t>FLEET</t>
        </is>
      </c>
      <c r="E373" t="inlineStr">
        <is>
          <t>FLEET-02</t>
        </is>
      </c>
      <c r="F373" s="17" t="n">
        <v>45623</v>
      </c>
      <c r="G373" s="17" t="n">
        <v>45637</v>
      </c>
      <c r="H373" s="18" t="n">
        <v>171</v>
      </c>
      <c r="I373" s="19" t="n">
        <v>7.5</v>
      </c>
      <c r="J373" s="19" t="n">
        <v>7.5</v>
      </c>
      <c r="K373" s="20" t="n">
        <v>0</v>
      </c>
      <c r="L373" s="20" t="n">
        <v>0</v>
      </c>
      <c r="M373" s="18" t="n">
        <v>171</v>
      </c>
      <c r="N373" s="18" t="n">
        <v>171</v>
      </c>
      <c r="O373" s="18" t="n">
        <v>0</v>
      </c>
      <c r="P373" s="17" t="n">
        <v>45633</v>
      </c>
      <c r="Q373" s="17" t="n">
        <v>45633</v>
      </c>
      <c r="R373" s="17" t="n">
        <v>45633</v>
      </c>
      <c r="S373" s="19">
        <f>H373*I373</f>
        <v/>
      </c>
      <c r="T373" s="19">
        <f>H373*J373</f>
        <v/>
      </c>
      <c r="U373">
        <f>IF(AND(K373=0,G373&lt;=Assumptions!$C$6),1,0)</f>
        <v/>
      </c>
      <c r="V373">
        <f>IF(U373=1,IF(M373&gt;0,IF(P373&lt;=G373+Assumptions!$C$7,1,0),0),0)</f>
        <v/>
      </c>
      <c r="W373">
        <f>IF(AND(U373=1,M373&gt;=H373*(1-Assumptions!$C$8)),1,0)</f>
        <v/>
      </c>
      <c r="X373">
        <f>IF(AND(U373=1,N373&gt;=H373*(1-Assumptions!$C$8)),1,0)</f>
        <v/>
      </c>
      <c r="Y373">
        <f>IF(ISNUMBER(Q373),1,0)</f>
        <v/>
      </c>
      <c r="Z373">
        <f>IF(AND(K373=0,L373=0,Y373=0),1,0)</f>
        <v/>
      </c>
      <c r="AA373">
        <f>IF(AND(Z373=1,G373&lt;Assumptions!$C$6),1,0)</f>
        <v/>
      </c>
      <c r="AB373">
        <f>IF(U373=0,"",IF(Y373=1,MAX(0,Q373-G373),IF(L373=1,MAX(0,R373-G373),MAX(0,Assumptions!$C$6-G373))))</f>
        <v/>
      </c>
      <c r="AC373">
        <f>IF(Y373=1,Q373-F373,"")</f>
        <v/>
      </c>
      <c r="AD373">
        <f>IF(Y373=1,AC373^2,"")</f>
        <v/>
      </c>
      <c r="AE373" s="19">
        <f>IF(Z373=1,(H373-M373)*I373,0)</f>
        <v/>
      </c>
      <c r="AF373">
        <f>IF(G373&lt;EDATE(Assumptions!$C$6,-12)+1,"prior_12m","last_12m")</f>
        <v/>
      </c>
      <c r="AG373" s="21">
        <f>DATE(YEAR(G373),MONTH(G373),1)</f>
        <v/>
      </c>
    </row>
    <row r="374">
      <c r="A374" t="inlineStr">
        <is>
          <t>SPO-00201-3</t>
        </is>
      </c>
      <c r="B374" t="inlineStr">
        <is>
          <t>SPO-00201</t>
        </is>
      </c>
      <c r="C374" t="inlineStr">
        <is>
          <t>SUP-14</t>
        </is>
      </c>
      <c r="D374" t="inlineStr">
        <is>
          <t>FLEET</t>
        </is>
      </c>
      <c r="E374" t="inlineStr">
        <is>
          <t>FLEET-06</t>
        </is>
      </c>
      <c r="F374" s="17" t="n">
        <v>45623</v>
      </c>
      <c r="G374" s="17" t="n">
        <v>45637</v>
      </c>
      <c r="H374" s="18" t="n">
        <v>27</v>
      </c>
      <c r="I374" s="19" t="n">
        <v>34.66</v>
      </c>
      <c r="J374" s="19" t="n">
        <v>33</v>
      </c>
      <c r="K374" s="20" t="n">
        <v>0</v>
      </c>
      <c r="L374" s="20" t="n">
        <v>0</v>
      </c>
      <c r="M374" s="18" t="n">
        <v>27</v>
      </c>
      <c r="N374" s="18" t="n">
        <v>27</v>
      </c>
      <c r="O374" s="18" t="n">
        <v>0</v>
      </c>
      <c r="P374" s="17" t="n">
        <v>45631</v>
      </c>
      <c r="Q374" s="17" t="n">
        <v>45631</v>
      </c>
      <c r="R374" s="17" t="n">
        <v>45631</v>
      </c>
      <c r="S374" s="19">
        <f>H374*I374</f>
        <v/>
      </c>
      <c r="T374" s="19">
        <f>H374*J374</f>
        <v/>
      </c>
      <c r="U374">
        <f>IF(AND(K374=0,G374&lt;=Assumptions!$C$6),1,0)</f>
        <v/>
      </c>
      <c r="V374">
        <f>IF(U374=1,IF(M374&gt;0,IF(P374&lt;=G374+Assumptions!$C$7,1,0),0),0)</f>
        <v/>
      </c>
      <c r="W374">
        <f>IF(AND(U374=1,M374&gt;=H374*(1-Assumptions!$C$8)),1,0)</f>
        <v/>
      </c>
      <c r="X374">
        <f>IF(AND(U374=1,N374&gt;=H374*(1-Assumptions!$C$8)),1,0)</f>
        <v/>
      </c>
      <c r="Y374">
        <f>IF(ISNUMBER(Q374),1,0)</f>
        <v/>
      </c>
      <c r="Z374">
        <f>IF(AND(K374=0,L374=0,Y374=0),1,0)</f>
        <v/>
      </c>
      <c r="AA374">
        <f>IF(AND(Z374=1,G374&lt;Assumptions!$C$6),1,0)</f>
        <v/>
      </c>
      <c r="AB374">
        <f>IF(U374=0,"",IF(Y374=1,MAX(0,Q374-G374),IF(L374=1,MAX(0,R374-G374),MAX(0,Assumptions!$C$6-G374))))</f>
        <v/>
      </c>
      <c r="AC374">
        <f>IF(Y374=1,Q374-F374,"")</f>
        <v/>
      </c>
      <c r="AD374">
        <f>IF(Y374=1,AC374^2,"")</f>
        <v/>
      </c>
      <c r="AE374" s="19">
        <f>IF(Z374=1,(H374-M374)*I374,0)</f>
        <v/>
      </c>
      <c r="AF374">
        <f>IF(G374&lt;EDATE(Assumptions!$C$6,-12)+1,"prior_12m","last_12m")</f>
        <v/>
      </c>
      <c r="AG374" s="21">
        <f>DATE(YEAR(G374),MONTH(G374),1)</f>
        <v/>
      </c>
    </row>
    <row r="375">
      <c r="A375" t="inlineStr">
        <is>
          <t>SPO-00202-1</t>
        </is>
      </c>
      <c r="B375" t="inlineStr">
        <is>
          <t>SPO-00202</t>
        </is>
      </c>
      <c r="C375" t="inlineStr">
        <is>
          <t>SUP-01</t>
        </is>
      </c>
      <c r="D375" t="inlineStr">
        <is>
          <t>ELEC</t>
        </is>
      </c>
      <c r="E375" t="inlineStr">
        <is>
          <t>ELEC-08</t>
        </is>
      </c>
      <c r="F375" s="17" t="n">
        <v>45624</v>
      </c>
      <c r="G375" s="17" t="n">
        <v>45642</v>
      </c>
      <c r="H375" s="18" t="n">
        <v>141</v>
      </c>
      <c r="I375" s="19" t="n">
        <v>18.56</v>
      </c>
      <c r="J375" s="19" t="n">
        <v>18</v>
      </c>
      <c r="K375" s="20" t="n">
        <v>0</v>
      </c>
      <c r="L375" s="20" t="n">
        <v>0</v>
      </c>
      <c r="M375" s="18" t="n">
        <v>141</v>
      </c>
      <c r="N375" s="18" t="n">
        <v>141</v>
      </c>
      <c r="O375" s="18" t="n">
        <v>0</v>
      </c>
      <c r="P375" s="17" t="n">
        <v>45640</v>
      </c>
      <c r="Q375" s="17" t="n">
        <v>45640</v>
      </c>
      <c r="R375" s="17" t="n">
        <v>45640</v>
      </c>
      <c r="S375" s="19">
        <f>H375*I375</f>
        <v/>
      </c>
      <c r="T375" s="19">
        <f>H375*J375</f>
        <v/>
      </c>
      <c r="U375">
        <f>IF(AND(K375=0,G375&lt;=Assumptions!$C$6),1,0)</f>
        <v/>
      </c>
      <c r="V375">
        <f>IF(U375=1,IF(M375&gt;0,IF(P375&lt;=G375+Assumptions!$C$7,1,0),0),0)</f>
        <v/>
      </c>
      <c r="W375">
        <f>IF(AND(U375=1,M375&gt;=H375*(1-Assumptions!$C$8)),1,0)</f>
        <v/>
      </c>
      <c r="X375">
        <f>IF(AND(U375=1,N375&gt;=H375*(1-Assumptions!$C$8)),1,0)</f>
        <v/>
      </c>
      <c r="Y375">
        <f>IF(ISNUMBER(Q375),1,0)</f>
        <v/>
      </c>
      <c r="Z375">
        <f>IF(AND(K375=0,L375=0,Y375=0),1,0)</f>
        <v/>
      </c>
      <c r="AA375">
        <f>IF(AND(Z375=1,G375&lt;Assumptions!$C$6),1,0)</f>
        <v/>
      </c>
      <c r="AB375">
        <f>IF(U375=0,"",IF(Y375=1,MAX(0,Q375-G375),IF(L375=1,MAX(0,R375-G375),MAX(0,Assumptions!$C$6-G375))))</f>
        <v/>
      </c>
      <c r="AC375">
        <f>IF(Y375=1,Q375-F375,"")</f>
        <v/>
      </c>
      <c r="AD375">
        <f>IF(Y375=1,AC375^2,"")</f>
        <v/>
      </c>
      <c r="AE375" s="19">
        <f>IF(Z375=1,(H375-M375)*I375,0)</f>
        <v/>
      </c>
      <c r="AF375">
        <f>IF(G375&lt;EDATE(Assumptions!$C$6,-12)+1,"prior_12m","last_12m")</f>
        <v/>
      </c>
      <c r="AG375" s="21">
        <f>DATE(YEAR(G375),MONTH(G375),1)</f>
        <v/>
      </c>
    </row>
    <row r="376">
      <c r="A376" t="inlineStr">
        <is>
          <t>SPO-00203-1</t>
        </is>
      </c>
      <c r="B376" t="inlineStr">
        <is>
          <t>SPO-00203</t>
        </is>
      </c>
      <c r="C376" t="inlineStr">
        <is>
          <t>SUP-01</t>
        </is>
      </c>
      <c r="D376" t="inlineStr">
        <is>
          <t>ELEC</t>
        </is>
      </c>
      <c r="E376" t="inlineStr">
        <is>
          <t>ELEC-08</t>
        </is>
      </c>
      <c r="F376" s="17" t="n">
        <v>45624</v>
      </c>
      <c r="G376" s="17" t="n">
        <v>45642</v>
      </c>
      <c r="H376" s="18" t="n">
        <v>141</v>
      </c>
      <c r="I376" s="19" t="n">
        <v>18.44</v>
      </c>
      <c r="J376" s="19" t="n">
        <v>18</v>
      </c>
      <c r="K376" s="20" t="n">
        <v>0</v>
      </c>
      <c r="L376" s="20" t="n">
        <v>0</v>
      </c>
      <c r="M376" s="18" t="n">
        <v>141</v>
      </c>
      <c r="N376" s="18" t="n">
        <v>141</v>
      </c>
      <c r="O376" s="18" t="n">
        <v>0</v>
      </c>
      <c r="P376" s="17" t="n">
        <v>45638</v>
      </c>
      <c r="Q376" s="17" t="n">
        <v>45638</v>
      </c>
      <c r="R376" s="17" t="n">
        <v>45638</v>
      </c>
      <c r="S376" s="19">
        <f>H376*I376</f>
        <v/>
      </c>
      <c r="T376" s="19">
        <f>H376*J376</f>
        <v/>
      </c>
      <c r="U376">
        <f>IF(AND(K376=0,G376&lt;=Assumptions!$C$6),1,0)</f>
        <v/>
      </c>
      <c r="V376">
        <f>IF(U376=1,IF(M376&gt;0,IF(P376&lt;=G376+Assumptions!$C$7,1,0),0),0)</f>
        <v/>
      </c>
      <c r="W376">
        <f>IF(AND(U376=1,M376&gt;=H376*(1-Assumptions!$C$8)),1,0)</f>
        <v/>
      </c>
      <c r="X376">
        <f>IF(AND(U376=1,N376&gt;=H376*(1-Assumptions!$C$8)),1,0)</f>
        <v/>
      </c>
      <c r="Y376">
        <f>IF(ISNUMBER(Q376),1,0)</f>
        <v/>
      </c>
      <c r="Z376">
        <f>IF(AND(K376=0,L376=0,Y376=0),1,0)</f>
        <v/>
      </c>
      <c r="AA376">
        <f>IF(AND(Z376=1,G376&lt;Assumptions!$C$6),1,0)</f>
        <v/>
      </c>
      <c r="AB376">
        <f>IF(U376=0,"",IF(Y376=1,MAX(0,Q376-G376),IF(L376=1,MAX(0,R376-G376),MAX(0,Assumptions!$C$6-G376))))</f>
        <v/>
      </c>
      <c r="AC376">
        <f>IF(Y376=1,Q376-F376,"")</f>
        <v/>
      </c>
      <c r="AD376">
        <f>IF(Y376=1,AC376^2,"")</f>
        <v/>
      </c>
      <c r="AE376" s="19">
        <f>IF(Z376=1,(H376-M376)*I376,0)</f>
        <v/>
      </c>
      <c r="AF376">
        <f>IF(G376&lt;EDATE(Assumptions!$C$6,-12)+1,"prior_12m","last_12m")</f>
        <v/>
      </c>
      <c r="AG376" s="21">
        <f>DATE(YEAR(G376),MONTH(G376),1)</f>
        <v/>
      </c>
    </row>
    <row r="377">
      <c r="A377" t="inlineStr">
        <is>
          <t>SPO-00204-1</t>
        </is>
      </c>
      <c r="B377" t="inlineStr">
        <is>
          <t>SPO-00204</t>
        </is>
      </c>
      <c r="C377" t="inlineStr">
        <is>
          <t>SUP-04</t>
        </is>
      </c>
      <c r="D377" t="inlineStr">
        <is>
          <t>FLEET</t>
        </is>
      </c>
      <c r="E377" t="inlineStr">
        <is>
          <t>FLEET-07</t>
        </is>
      </c>
      <c r="F377" s="17" t="n">
        <v>45625</v>
      </c>
      <c r="G377" s="17" t="n">
        <v>45638</v>
      </c>
      <c r="H377" s="18" t="n">
        <v>25</v>
      </c>
      <c r="I377" s="19" t="n">
        <v>112.22</v>
      </c>
      <c r="J377" s="19" t="n">
        <v>118</v>
      </c>
      <c r="K377" s="20" t="n">
        <v>0</v>
      </c>
      <c r="L377" s="20" t="n">
        <v>0</v>
      </c>
      <c r="M377" s="18" t="n">
        <v>25</v>
      </c>
      <c r="N377" s="18" t="n">
        <v>0</v>
      </c>
      <c r="O377" s="18" t="n">
        <v>0</v>
      </c>
      <c r="P377" s="17" t="n">
        <v>45640</v>
      </c>
      <c r="Q377" s="17" t="n">
        <v>45640</v>
      </c>
      <c r="R377" s="17" t="n">
        <v>45640</v>
      </c>
      <c r="S377" s="19">
        <f>H377*I377</f>
        <v/>
      </c>
      <c r="T377" s="19">
        <f>H377*J377</f>
        <v/>
      </c>
      <c r="U377">
        <f>IF(AND(K377=0,G377&lt;=Assumptions!$C$6),1,0)</f>
        <v/>
      </c>
      <c r="V377">
        <f>IF(U377=1,IF(M377&gt;0,IF(P377&lt;=G377+Assumptions!$C$7,1,0),0),0)</f>
        <v/>
      </c>
      <c r="W377">
        <f>IF(AND(U377=1,M377&gt;=H377*(1-Assumptions!$C$8)),1,0)</f>
        <v/>
      </c>
      <c r="X377">
        <f>IF(AND(U377=1,N377&gt;=H377*(1-Assumptions!$C$8)),1,0)</f>
        <v/>
      </c>
      <c r="Y377">
        <f>IF(ISNUMBER(Q377),1,0)</f>
        <v/>
      </c>
      <c r="Z377">
        <f>IF(AND(K377=0,L377=0,Y377=0),1,0)</f>
        <v/>
      </c>
      <c r="AA377">
        <f>IF(AND(Z377=1,G377&lt;Assumptions!$C$6),1,0)</f>
        <v/>
      </c>
      <c r="AB377">
        <f>IF(U377=0,"",IF(Y377=1,MAX(0,Q377-G377),IF(L377=1,MAX(0,R377-G377),MAX(0,Assumptions!$C$6-G377))))</f>
        <v/>
      </c>
      <c r="AC377">
        <f>IF(Y377=1,Q377-F377,"")</f>
        <v/>
      </c>
      <c r="AD377">
        <f>IF(Y377=1,AC377^2,"")</f>
        <v/>
      </c>
      <c r="AE377" s="19">
        <f>IF(Z377=1,(H377-M377)*I377,0)</f>
        <v/>
      </c>
      <c r="AF377">
        <f>IF(G377&lt;EDATE(Assumptions!$C$6,-12)+1,"prior_12m","last_12m")</f>
        <v/>
      </c>
      <c r="AG377" s="21">
        <f>DATE(YEAR(G377),MONTH(G377),1)</f>
        <v/>
      </c>
    </row>
    <row r="378">
      <c r="A378" t="inlineStr">
        <is>
          <t>SPO-00204-2</t>
        </is>
      </c>
      <c r="B378" t="inlineStr">
        <is>
          <t>SPO-00204</t>
        </is>
      </c>
      <c r="C378" t="inlineStr">
        <is>
          <t>SUP-04</t>
        </is>
      </c>
      <c r="D378" t="inlineStr">
        <is>
          <t>FLEET</t>
        </is>
      </c>
      <c r="E378" t="inlineStr">
        <is>
          <t>FLEET-05</t>
        </is>
      </c>
      <c r="F378" s="17" t="n">
        <v>45625</v>
      </c>
      <c r="G378" s="17" t="n">
        <v>45638</v>
      </c>
      <c r="H378" s="18" t="n">
        <v>12</v>
      </c>
      <c r="I378" s="19" t="n">
        <v>155.7</v>
      </c>
      <c r="J378" s="19" t="n">
        <v>168</v>
      </c>
      <c r="K378" s="20" t="n">
        <v>0</v>
      </c>
      <c r="L378" s="20" t="n">
        <v>0</v>
      </c>
      <c r="M378" s="18" t="n">
        <v>12</v>
      </c>
      <c r="N378" s="18" t="n">
        <v>0</v>
      </c>
      <c r="O378" s="18" t="n">
        <v>0</v>
      </c>
      <c r="P378" s="17" t="n">
        <v>45639</v>
      </c>
      <c r="Q378" s="17" t="n">
        <v>45639</v>
      </c>
      <c r="R378" s="17" t="n">
        <v>45639</v>
      </c>
      <c r="S378" s="19">
        <f>H378*I378</f>
        <v/>
      </c>
      <c r="T378" s="19">
        <f>H378*J378</f>
        <v/>
      </c>
      <c r="U378">
        <f>IF(AND(K378=0,G378&lt;=Assumptions!$C$6),1,0)</f>
        <v/>
      </c>
      <c r="V378">
        <f>IF(U378=1,IF(M378&gt;0,IF(P378&lt;=G378+Assumptions!$C$7,1,0),0),0)</f>
        <v/>
      </c>
      <c r="W378">
        <f>IF(AND(U378=1,M378&gt;=H378*(1-Assumptions!$C$8)),1,0)</f>
        <v/>
      </c>
      <c r="X378">
        <f>IF(AND(U378=1,N378&gt;=H378*(1-Assumptions!$C$8)),1,0)</f>
        <v/>
      </c>
      <c r="Y378">
        <f>IF(ISNUMBER(Q378),1,0)</f>
        <v/>
      </c>
      <c r="Z378">
        <f>IF(AND(K378=0,L378=0,Y378=0),1,0)</f>
        <v/>
      </c>
      <c r="AA378">
        <f>IF(AND(Z378=1,G378&lt;Assumptions!$C$6),1,0)</f>
        <v/>
      </c>
      <c r="AB378">
        <f>IF(U378=0,"",IF(Y378=1,MAX(0,Q378-G378),IF(L378=1,MAX(0,R378-G378),MAX(0,Assumptions!$C$6-G378))))</f>
        <v/>
      </c>
      <c r="AC378">
        <f>IF(Y378=1,Q378-F378,"")</f>
        <v/>
      </c>
      <c r="AD378">
        <f>IF(Y378=1,AC378^2,"")</f>
        <v/>
      </c>
      <c r="AE378" s="19">
        <f>IF(Z378=1,(H378-M378)*I378,0)</f>
        <v/>
      </c>
      <c r="AF378">
        <f>IF(G378&lt;EDATE(Assumptions!$C$6,-12)+1,"prior_12m","last_12m")</f>
        <v/>
      </c>
      <c r="AG378" s="21">
        <f>DATE(YEAR(G378),MONTH(G378),1)</f>
        <v/>
      </c>
    </row>
    <row r="379">
      <c r="A379" t="inlineStr">
        <is>
          <t>SPO-00205-1</t>
        </is>
      </c>
      <c r="B379" t="inlineStr">
        <is>
          <t>SPO-00205</t>
        </is>
      </c>
      <c r="C379" t="inlineStr">
        <is>
          <t>SUP-13</t>
        </is>
      </c>
      <c r="D379" t="inlineStr">
        <is>
          <t>IT</t>
        </is>
      </c>
      <c r="E379" t="inlineStr">
        <is>
          <t>IT-06</t>
        </is>
      </c>
      <c r="F379" s="17" t="n">
        <v>45625</v>
      </c>
      <c r="G379" s="17" t="n">
        <v>45636</v>
      </c>
      <c r="H379" s="18" t="n">
        <v>9</v>
      </c>
      <c r="I379" s="19" t="n">
        <v>89.76000000000001</v>
      </c>
      <c r="J379" s="19" t="n">
        <v>89</v>
      </c>
      <c r="K379" s="20" t="n">
        <v>0</v>
      </c>
      <c r="L379" s="20" t="n">
        <v>0</v>
      </c>
      <c r="M379" s="18" t="n">
        <v>9</v>
      </c>
      <c r="N379" s="18" t="n">
        <v>9</v>
      </c>
      <c r="O379" s="18" t="n">
        <v>0</v>
      </c>
      <c r="P379" s="17" t="n">
        <v>45632</v>
      </c>
      <c r="Q379" s="17" t="n">
        <v>45632</v>
      </c>
      <c r="R379" s="17" t="n">
        <v>45632</v>
      </c>
      <c r="S379" s="19">
        <f>H379*I379</f>
        <v/>
      </c>
      <c r="T379" s="19">
        <f>H379*J379</f>
        <v/>
      </c>
      <c r="U379">
        <f>IF(AND(K379=0,G379&lt;=Assumptions!$C$6),1,0)</f>
        <v/>
      </c>
      <c r="V379">
        <f>IF(U379=1,IF(M379&gt;0,IF(P379&lt;=G379+Assumptions!$C$7,1,0),0),0)</f>
        <v/>
      </c>
      <c r="W379">
        <f>IF(AND(U379=1,M379&gt;=H379*(1-Assumptions!$C$8)),1,0)</f>
        <v/>
      </c>
      <c r="X379">
        <f>IF(AND(U379=1,N379&gt;=H379*(1-Assumptions!$C$8)),1,0)</f>
        <v/>
      </c>
      <c r="Y379">
        <f>IF(ISNUMBER(Q379),1,0)</f>
        <v/>
      </c>
      <c r="Z379">
        <f>IF(AND(K379=0,L379=0,Y379=0),1,0)</f>
        <v/>
      </c>
      <c r="AA379">
        <f>IF(AND(Z379=1,G379&lt;Assumptions!$C$6),1,0)</f>
        <v/>
      </c>
      <c r="AB379">
        <f>IF(U379=0,"",IF(Y379=1,MAX(0,Q379-G379),IF(L379=1,MAX(0,R379-G379),MAX(0,Assumptions!$C$6-G379))))</f>
        <v/>
      </c>
      <c r="AC379">
        <f>IF(Y379=1,Q379-F379,"")</f>
        <v/>
      </c>
      <c r="AD379">
        <f>IF(Y379=1,AC379^2,"")</f>
        <v/>
      </c>
      <c r="AE379" s="19">
        <f>IF(Z379=1,(H379-M379)*I379,0)</f>
        <v/>
      </c>
      <c r="AF379">
        <f>IF(G379&lt;EDATE(Assumptions!$C$6,-12)+1,"prior_12m","last_12m")</f>
        <v/>
      </c>
      <c r="AG379" s="21">
        <f>DATE(YEAR(G379),MONTH(G379),1)</f>
        <v/>
      </c>
    </row>
    <row r="380">
      <c r="A380" t="inlineStr">
        <is>
          <t>SPO-00206-1</t>
        </is>
      </c>
      <c r="B380" t="inlineStr">
        <is>
          <t>SPO-00206</t>
        </is>
      </c>
      <c r="C380" t="inlineStr">
        <is>
          <t>SUP-12</t>
        </is>
      </c>
      <c r="D380" t="inlineStr">
        <is>
          <t>IT</t>
        </is>
      </c>
      <c r="E380" t="inlineStr">
        <is>
          <t>IT-06</t>
        </is>
      </c>
      <c r="F380" s="17" t="n">
        <v>45626</v>
      </c>
      <c r="G380" s="17" t="n">
        <v>45636</v>
      </c>
      <c r="H380" s="18" t="n">
        <v>37</v>
      </c>
      <c r="I380" s="19" t="n">
        <v>97.51000000000001</v>
      </c>
      <c r="J380" s="19" t="n">
        <v>89</v>
      </c>
      <c r="K380" s="20" t="n">
        <v>0</v>
      </c>
      <c r="L380" s="20" t="n">
        <v>0</v>
      </c>
      <c r="M380" s="18" t="n">
        <v>37</v>
      </c>
      <c r="N380" s="18" t="n">
        <v>0</v>
      </c>
      <c r="O380" s="18" t="n">
        <v>0</v>
      </c>
      <c r="P380" s="17" t="n">
        <v>45639</v>
      </c>
      <c r="Q380" s="17" t="n">
        <v>45639</v>
      </c>
      <c r="R380" s="17" t="n">
        <v>45639</v>
      </c>
      <c r="S380" s="19">
        <f>H380*I380</f>
        <v/>
      </c>
      <c r="T380" s="19">
        <f>H380*J380</f>
        <v/>
      </c>
      <c r="U380">
        <f>IF(AND(K380=0,G380&lt;=Assumptions!$C$6),1,0)</f>
        <v/>
      </c>
      <c r="V380">
        <f>IF(U380=1,IF(M380&gt;0,IF(P380&lt;=G380+Assumptions!$C$7,1,0),0),0)</f>
        <v/>
      </c>
      <c r="W380">
        <f>IF(AND(U380=1,M380&gt;=H380*(1-Assumptions!$C$8)),1,0)</f>
        <v/>
      </c>
      <c r="X380">
        <f>IF(AND(U380=1,N380&gt;=H380*(1-Assumptions!$C$8)),1,0)</f>
        <v/>
      </c>
      <c r="Y380">
        <f>IF(ISNUMBER(Q380),1,0)</f>
        <v/>
      </c>
      <c r="Z380">
        <f>IF(AND(K380=0,L380=0,Y380=0),1,0)</f>
        <v/>
      </c>
      <c r="AA380">
        <f>IF(AND(Z380=1,G380&lt;Assumptions!$C$6),1,0)</f>
        <v/>
      </c>
      <c r="AB380">
        <f>IF(U380=0,"",IF(Y380=1,MAX(0,Q380-G380),IF(L380=1,MAX(0,R380-G380),MAX(0,Assumptions!$C$6-G380))))</f>
        <v/>
      </c>
      <c r="AC380">
        <f>IF(Y380=1,Q380-F380,"")</f>
        <v/>
      </c>
      <c r="AD380">
        <f>IF(Y380=1,AC380^2,"")</f>
        <v/>
      </c>
      <c r="AE380" s="19">
        <f>IF(Z380=1,(H380-M380)*I380,0)</f>
        <v/>
      </c>
      <c r="AF380">
        <f>IF(G380&lt;EDATE(Assumptions!$C$6,-12)+1,"prior_12m","last_12m")</f>
        <v/>
      </c>
      <c r="AG380" s="21">
        <f>DATE(YEAR(G380),MONTH(G380),1)</f>
        <v/>
      </c>
    </row>
    <row r="381">
      <c r="A381" t="inlineStr">
        <is>
          <t>SPO-00207-1</t>
        </is>
      </c>
      <c r="B381" t="inlineStr">
        <is>
          <t>SPO-00207</t>
        </is>
      </c>
      <c r="C381" t="inlineStr">
        <is>
          <t>SUP-08</t>
        </is>
      </c>
      <c r="D381" t="inlineStr">
        <is>
          <t>PPE</t>
        </is>
      </c>
      <c r="E381" t="inlineStr">
        <is>
          <t>PPE-02</t>
        </is>
      </c>
      <c r="F381" s="17" t="n">
        <v>45626</v>
      </c>
      <c r="G381" s="17" t="n">
        <v>45637</v>
      </c>
      <c r="H381" s="18" t="n">
        <v>135</v>
      </c>
      <c r="I381" s="19" t="n">
        <v>13.03</v>
      </c>
      <c r="J381" s="19" t="n">
        <v>12.5</v>
      </c>
      <c r="K381" s="20" t="n">
        <v>0</v>
      </c>
      <c r="L381" s="20" t="n">
        <v>0</v>
      </c>
      <c r="M381" s="18" t="n">
        <v>135</v>
      </c>
      <c r="N381" s="18" t="n">
        <v>135</v>
      </c>
      <c r="O381" s="18" t="n">
        <v>0</v>
      </c>
      <c r="P381" s="17" t="n">
        <v>45635</v>
      </c>
      <c r="Q381" s="17" t="n">
        <v>45635</v>
      </c>
      <c r="R381" s="17" t="n">
        <v>45635</v>
      </c>
      <c r="S381" s="19">
        <f>H381*I381</f>
        <v/>
      </c>
      <c r="T381" s="19">
        <f>H381*J381</f>
        <v/>
      </c>
      <c r="U381">
        <f>IF(AND(K381=0,G381&lt;=Assumptions!$C$6),1,0)</f>
        <v/>
      </c>
      <c r="V381">
        <f>IF(U381=1,IF(M381&gt;0,IF(P381&lt;=G381+Assumptions!$C$7,1,0),0),0)</f>
        <v/>
      </c>
      <c r="W381">
        <f>IF(AND(U381=1,M381&gt;=H381*(1-Assumptions!$C$8)),1,0)</f>
        <v/>
      </c>
      <c r="X381">
        <f>IF(AND(U381=1,N381&gt;=H381*(1-Assumptions!$C$8)),1,0)</f>
        <v/>
      </c>
      <c r="Y381">
        <f>IF(ISNUMBER(Q381),1,0)</f>
        <v/>
      </c>
      <c r="Z381">
        <f>IF(AND(K381=0,L381=0,Y381=0),1,0)</f>
        <v/>
      </c>
      <c r="AA381">
        <f>IF(AND(Z381=1,G381&lt;Assumptions!$C$6),1,0)</f>
        <v/>
      </c>
      <c r="AB381">
        <f>IF(U381=0,"",IF(Y381=1,MAX(0,Q381-G381),IF(L381=1,MAX(0,R381-G381),MAX(0,Assumptions!$C$6-G381))))</f>
        <v/>
      </c>
      <c r="AC381">
        <f>IF(Y381=1,Q381-F381,"")</f>
        <v/>
      </c>
      <c r="AD381">
        <f>IF(Y381=1,AC381^2,"")</f>
        <v/>
      </c>
      <c r="AE381" s="19">
        <f>IF(Z381=1,(H381-M381)*I381,0)</f>
        <v/>
      </c>
      <c r="AF381">
        <f>IF(G381&lt;EDATE(Assumptions!$C$6,-12)+1,"prior_12m","last_12m")</f>
        <v/>
      </c>
      <c r="AG381" s="21">
        <f>DATE(YEAR(G381),MONTH(G381),1)</f>
        <v/>
      </c>
    </row>
    <row r="382">
      <c r="A382" t="inlineStr">
        <is>
          <t>SPO-00208-1</t>
        </is>
      </c>
      <c r="B382" t="inlineStr">
        <is>
          <t>SPO-00208</t>
        </is>
      </c>
      <c r="C382" t="inlineStr">
        <is>
          <t>SUP-01</t>
        </is>
      </c>
      <c r="D382" t="inlineStr">
        <is>
          <t>ELEC</t>
        </is>
      </c>
      <c r="E382" t="inlineStr">
        <is>
          <t>ELEC-06</t>
        </is>
      </c>
      <c r="F382" s="17" t="n">
        <v>45626</v>
      </c>
      <c r="G382" s="17" t="n">
        <v>45644</v>
      </c>
      <c r="H382" s="18" t="n">
        <v>25</v>
      </c>
      <c r="I382" s="19" t="n">
        <v>151.88</v>
      </c>
      <c r="J382" s="19" t="n">
        <v>145</v>
      </c>
      <c r="K382" s="20" t="n">
        <v>0</v>
      </c>
      <c r="L382" s="20" t="n">
        <v>0</v>
      </c>
      <c r="M382" s="18" t="n">
        <v>25</v>
      </c>
      <c r="N382" s="18" t="n">
        <v>25</v>
      </c>
      <c r="O382" s="18" t="n">
        <v>0</v>
      </c>
      <c r="P382" s="17" t="n">
        <v>45639</v>
      </c>
      <c r="Q382" s="17" t="n">
        <v>45639</v>
      </c>
      <c r="R382" s="17" t="n">
        <v>45639</v>
      </c>
      <c r="S382" s="19">
        <f>H382*I382</f>
        <v/>
      </c>
      <c r="T382" s="19">
        <f>H382*J382</f>
        <v/>
      </c>
      <c r="U382">
        <f>IF(AND(K382=0,G382&lt;=Assumptions!$C$6),1,0)</f>
        <v/>
      </c>
      <c r="V382">
        <f>IF(U382=1,IF(M382&gt;0,IF(P382&lt;=G382+Assumptions!$C$7,1,0),0),0)</f>
        <v/>
      </c>
      <c r="W382">
        <f>IF(AND(U382=1,M382&gt;=H382*(1-Assumptions!$C$8)),1,0)</f>
        <v/>
      </c>
      <c r="X382">
        <f>IF(AND(U382=1,N382&gt;=H382*(1-Assumptions!$C$8)),1,0)</f>
        <v/>
      </c>
      <c r="Y382">
        <f>IF(ISNUMBER(Q382),1,0)</f>
        <v/>
      </c>
      <c r="Z382">
        <f>IF(AND(K382=0,L382=0,Y382=0),1,0)</f>
        <v/>
      </c>
      <c r="AA382">
        <f>IF(AND(Z382=1,G382&lt;Assumptions!$C$6),1,0)</f>
        <v/>
      </c>
      <c r="AB382">
        <f>IF(U382=0,"",IF(Y382=1,MAX(0,Q382-G382),IF(L382=1,MAX(0,R382-G382),MAX(0,Assumptions!$C$6-G382))))</f>
        <v/>
      </c>
      <c r="AC382">
        <f>IF(Y382=1,Q382-F382,"")</f>
        <v/>
      </c>
      <c r="AD382">
        <f>IF(Y382=1,AC382^2,"")</f>
        <v/>
      </c>
      <c r="AE382" s="19">
        <f>IF(Z382=1,(H382-M382)*I382,0)</f>
        <v/>
      </c>
      <c r="AF382">
        <f>IF(G382&lt;EDATE(Assumptions!$C$6,-12)+1,"prior_12m","last_12m")</f>
        <v/>
      </c>
      <c r="AG382" s="21">
        <f>DATE(YEAR(G382),MONTH(G382),1)</f>
        <v/>
      </c>
    </row>
    <row r="383">
      <c r="A383" t="inlineStr">
        <is>
          <t>SPO-00208-2</t>
        </is>
      </c>
      <c r="B383" t="inlineStr">
        <is>
          <t>SPO-00208</t>
        </is>
      </c>
      <c r="C383" t="inlineStr">
        <is>
          <t>SUP-01</t>
        </is>
      </c>
      <c r="D383" t="inlineStr">
        <is>
          <t>ELEC</t>
        </is>
      </c>
      <c r="E383" t="inlineStr">
        <is>
          <t>ELEC-08</t>
        </is>
      </c>
      <c r="F383" s="17" t="n">
        <v>45626</v>
      </c>
      <c r="G383" s="17" t="n">
        <v>45644</v>
      </c>
      <c r="H383" s="18" t="n">
        <v>101</v>
      </c>
      <c r="I383" s="19" t="n">
        <v>17.8</v>
      </c>
      <c r="J383" s="19" t="n">
        <v>18</v>
      </c>
      <c r="K383" s="20" t="n">
        <v>0</v>
      </c>
      <c r="L383" s="20" t="n">
        <v>0</v>
      </c>
      <c r="M383" s="18" t="n">
        <v>101</v>
      </c>
      <c r="N383" s="18" t="n">
        <v>67</v>
      </c>
      <c r="O383" s="18" t="n">
        <v>0</v>
      </c>
      <c r="P383" s="17" t="n">
        <v>45640</v>
      </c>
      <c r="Q383" s="17" t="n">
        <v>45650</v>
      </c>
      <c r="R383" s="17" t="n">
        <v>45650</v>
      </c>
      <c r="S383" s="19">
        <f>H383*I383</f>
        <v/>
      </c>
      <c r="T383" s="19">
        <f>H383*J383</f>
        <v/>
      </c>
      <c r="U383">
        <f>IF(AND(K383=0,G383&lt;=Assumptions!$C$6),1,0)</f>
        <v/>
      </c>
      <c r="V383">
        <f>IF(U383=1,IF(M383&gt;0,IF(P383&lt;=G383+Assumptions!$C$7,1,0),0),0)</f>
        <v/>
      </c>
      <c r="W383">
        <f>IF(AND(U383=1,M383&gt;=H383*(1-Assumptions!$C$8)),1,0)</f>
        <v/>
      </c>
      <c r="X383">
        <f>IF(AND(U383=1,N383&gt;=H383*(1-Assumptions!$C$8)),1,0)</f>
        <v/>
      </c>
      <c r="Y383">
        <f>IF(ISNUMBER(Q383),1,0)</f>
        <v/>
      </c>
      <c r="Z383">
        <f>IF(AND(K383=0,L383=0,Y383=0),1,0)</f>
        <v/>
      </c>
      <c r="AA383">
        <f>IF(AND(Z383=1,G383&lt;Assumptions!$C$6),1,0)</f>
        <v/>
      </c>
      <c r="AB383">
        <f>IF(U383=0,"",IF(Y383=1,MAX(0,Q383-G383),IF(L383=1,MAX(0,R383-G383),MAX(0,Assumptions!$C$6-G383))))</f>
        <v/>
      </c>
      <c r="AC383">
        <f>IF(Y383=1,Q383-F383,"")</f>
        <v/>
      </c>
      <c r="AD383">
        <f>IF(Y383=1,AC383^2,"")</f>
        <v/>
      </c>
      <c r="AE383" s="19">
        <f>IF(Z383=1,(H383-M383)*I383,0)</f>
        <v/>
      </c>
      <c r="AF383">
        <f>IF(G383&lt;EDATE(Assumptions!$C$6,-12)+1,"prior_12m","last_12m")</f>
        <v/>
      </c>
      <c r="AG383" s="21">
        <f>DATE(YEAR(G383),MONTH(G383),1)</f>
        <v/>
      </c>
    </row>
    <row r="384">
      <c r="A384" t="inlineStr">
        <is>
          <t>SPO-00209-1</t>
        </is>
      </c>
      <c r="B384" t="inlineStr">
        <is>
          <t>SPO-00209</t>
        </is>
      </c>
      <c r="C384" t="inlineStr">
        <is>
          <t>SUP-04</t>
        </is>
      </c>
      <c r="D384" t="inlineStr">
        <is>
          <t>FLEET</t>
        </is>
      </c>
      <c r="E384" t="inlineStr">
        <is>
          <t>FLEET-01</t>
        </is>
      </c>
      <c r="F384" s="17" t="n">
        <v>45626</v>
      </c>
      <c r="G384" s="17" t="n">
        <v>45639</v>
      </c>
      <c r="H384" s="18" t="n">
        <v>52</v>
      </c>
      <c r="I384" s="19" t="n">
        <v>65.31999999999999</v>
      </c>
      <c r="J384" s="19" t="n">
        <v>64</v>
      </c>
      <c r="K384" s="20" t="n">
        <v>0</v>
      </c>
      <c r="L384" s="20" t="n">
        <v>1</v>
      </c>
      <c r="M384" s="18" t="n">
        <v>31</v>
      </c>
      <c r="N384" s="18" t="n">
        <v>31</v>
      </c>
      <c r="O384" s="18" t="n">
        <v>0</v>
      </c>
      <c r="P384" s="17" t="n">
        <v>45637</v>
      </c>
      <c r="Q384" s="17" t="n"/>
      <c r="R384" s="17" t="n">
        <v>45637</v>
      </c>
      <c r="S384" s="19">
        <f>H384*I384</f>
        <v/>
      </c>
      <c r="T384" s="19">
        <f>H384*J384</f>
        <v/>
      </c>
      <c r="U384">
        <f>IF(AND(K384=0,G384&lt;=Assumptions!$C$6),1,0)</f>
        <v/>
      </c>
      <c r="V384">
        <f>IF(U384=1,IF(M384&gt;0,IF(P384&lt;=G384+Assumptions!$C$7,1,0),0),0)</f>
        <v/>
      </c>
      <c r="W384">
        <f>IF(AND(U384=1,M384&gt;=H384*(1-Assumptions!$C$8)),1,0)</f>
        <v/>
      </c>
      <c r="X384">
        <f>IF(AND(U384=1,N384&gt;=H384*(1-Assumptions!$C$8)),1,0)</f>
        <v/>
      </c>
      <c r="Y384">
        <f>IF(ISNUMBER(Q384),1,0)</f>
        <v/>
      </c>
      <c r="Z384">
        <f>IF(AND(K384=0,L384=0,Y384=0),1,0)</f>
        <v/>
      </c>
      <c r="AA384">
        <f>IF(AND(Z384=1,G384&lt;Assumptions!$C$6),1,0)</f>
        <v/>
      </c>
      <c r="AB384">
        <f>IF(U384=0,"",IF(Y384=1,MAX(0,Q384-G384),IF(L384=1,MAX(0,R384-G384),MAX(0,Assumptions!$C$6-G384))))</f>
        <v/>
      </c>
      <c r="AC384">
        <f>IF(Y384=1,Q384-F384,"")</f>
        <v/>
      </c>
      <c r="AD384">
        <f>IF(Y384=1,AC384^2,"")</f>
        <v/>
      </c>
      <c r="AE384" s="19">
        <f>IF(Z384=1,(H384-M384)*I384,0)</f>
        <v/>
      </c>
      <c r="AF384">
        <f>IF(G384&lt;EDATE(Assumptions!$C$6,-12)+1,"prior_12m","last_12m")</f>
        <v/>
      </c>
      <c r="AG384" s="21">
        <f>DATE(YEAR(G384),MONTH(G384),1)</f>
        <v/>
      </c>
    </row>
    <row r="385">
      <c r="A385" t="inlineStr">
        <is>
          <t>SPO-00209-2</t>
        </is>
      </c>
      <c r="B385" t="inlineStr">
        <is>
          <t>SPO-00209</t>
        </is>
      </c>
      <c r="C385" t="inlineStr">
        <is>
          <t>SUP-04</t>
        </is>
      </c>
      <c r="D385" t="inlineStr">
        <is>
          <t>FLEET</t>
        </is>
      </c>
      <c r="E385" t="inlineStr">
        <is>
          <t>FLEET-04</t>
        </is>
      </c>
      <c r="F385" s="17" t="n">
        <v>45626</v>
      </c>
      <c r="G385" s="17" t="n">
        <v>45639</v>
      </c>
      <c r="H385" s="18" t="n">
        <v>65</v>
      </c>
      <c r="I385" s="19" t="n">
        <v>8.949999999999999</v>
      </c>
      <c r="J385" s="19" t="n">
        <v>9</v>
      </c>
      <c r="K385" s="20" t="n">
        <v>0</v>
      </c>
      <c r="L385" s="20" t="n">
        <v>0</v>
      </c>
      <c r="M385" s="18" t="n">
        <v>65</v>
      </c>
      <c r="N385" s="18" t="n">
        <v>65</v>
      </c>
      <c r="O385" s="18" t="n">
        <v>0</v>
      </c>
      <c r="P385" s="17" t="n">
        <v>45632</v>
      </c>
      <c r="Q385" s="17" t="n">
        <v>45632</v>
      </c>
      <c r="R385" s="17" t="n">
        <v>45632</v>
      </c>
      <c r="S385" s="19">
        <f>H385*I385</f>
        <v/>
      </c>
      <c r="T385" s="19">
        <f>H385*J385</f>
        <v/>
      </c>
      <c r="U385">
        <f>IF(AND(K385=0,G385&lt;=Assumptions!$C$6),1,0)</f>
        <v/>
      </c>
      <c r="V385">
        <f>IF(U385=1,IF(M385&gt;0,IF(P385&lt;=G385+Assumptions!$C$7,1,0),0),0)</f>
        <v/>
      </c>
      <c r="W385">
        <f>IF(AND(U385=1,M385&gt;=H385*(1-Assumptions!$C$8)),1,0)</f>
        <v/>
      </c>
      <c r="X385">
        <f>IF(AND(U385=1,N385&gt;=H385*(1-Assumptions!$C$8)),1,0)</f>
        <v/>
      </c>
      <c r="Y385">
        <f>IF(ISNUMBER(Q385),1,0)</f>
        <v/>
      </c>
      <c r="Z385">
        <f>IF(AND(K385=0,L385=0,Y385=0),1,0)</f>
        <v/>
      </c>
      <c r="AA385">
        <f>IF(AND(Z385=1,G385&lt;Assumptions!$C$6),1,0)</f>
        <v/>
      </c>
      <c r="AB385">
        <f>IF(U385=0,"",IF(Y385=1,MAX(0,Q385-G385),IF(L385=1,MAX(0,R385-G385),MAX(0,Assumptions!$C$6-G385))))</f>
        <v/>
      </c>
      <c r="AC385">
        <f>IF(Y385=1,Q385-F385,"")</f>
        <v/>
      </c>
      <c r="AD385">
        <f>IF(Y385=1,AC385^2,"")</f>
        <v/>
      </c>
      <c r="AE385" s="19">
        <f>IF(Z385=1,(H385-M385)*I385,0)</f>
        <v/>
      </c>
      <c r="AF385">
        <f>IF(G385&lt;EDATE(Assumptions!$C$6,-12)+1,"prior_12m","last_12m")</f>
        <v/>
      </c>
      <c r="AG385" s="21">
        <f>DATE(YEAR(G385),MONTH(G385),1)</f>
        <v/>
      </c>
    </row>
    <row r="386">
      <c r="A386" t="inlineStr">
        <is>
          <t>SPO-00210-1</t>
        </is>
      </c>
      <c r="B386" t="inlineStr">
        <is>
          <t>SPO-00210</t>
        </is>
      </c>
      <c r="C386" t="inlineStr">
        <is>
          <t>SUP-14</t>
        </is>
      </c>
      <c r="D386" t="inlineStr">
        <is>
          <t>FLEET</t>
        </is>
      </c>
      <c r="E386" t="inlineStr">
        <is>
          <t>FLEET-05</t>
        </is>
      </c>
      <c r="F386" s="17" t="n">
        <v>45627</v>
      </c>
      <c r="G386" s="17" t="n">
        <v>45641</v>
      </c>
      <c r="H386" s="18" t="n">
        <v>6</v>
      </c>
      <c r="I386" s="19" t="n">
        <v>164.71</v>
      </c>
      <c r="J386" s="19" t="n">
        <v>168</v>
      </c>
      <c r="K386" s="20" t="n">
        <v>0</v>
      </c>
      <c r="L386" s="20" t="n">
        <v>0</v>
      </c>
      <c r="M386" s="18" t="n">
        <v>6</v>
      </c>
      <c r="N386" s="18" t="n">
        <v>6</v>
      </c>
      <c r="O386" s="18" t="n">
        <v>0</v>
      </c>
      <c r="P386" s="17" t="n">
        <v>45641</v>
      </c>
      <c r="Q386" s="17" t="n">
        <v>45641</v>
      </c>
      <c r="R386" s="17" t="n">
        <v>45641</v>
      </c>
      <c r="S386" s="19">
        <f>H386*I386</f>
        <v/>
      </c>
      <c r="T386" s="19">
        <f>H386*J386</f>
        <v/>
      </c>
      <c r="U386">
        <f>IF(AND(K386=0,G386&lt;=Assumptions!$C$6),1,0)</f>
        <v/>
      </c>
      <c r="V386">
        <f>IF(U386=1,IF(M386&gt;0,IF(P386&lt;=G386+Assumptions!$C$7,1,0),0),0)</f>
        <v/>
      </c>
      <c r="W386">
        <f>IF(AND(U386=1,M386&gt;=H386*(1-Assumptions!$C$8)),1,0)</f>
        <v/>
      </c>
      <c r="X386">
        <f>IF(AND(U386=1,N386&gt;=H386*(1-Assumptions!$C$8)),1,0)</f>
        <v/>
      </c>
      <c r="Y386">
        <f>IF(ISNUMBER(Q386),1,0)</f>
        <v/>
      </c>
      <c r="Z386">
        <f>IF(AND(K386=0,L386=0,Y386=0),1,0)</f>
        <v/>
      </c>
      <c r="AA386">
        <f>IF(AND(Z386=1,G386&lt;Assumptions!$C$6),1,0)</f>
        <v/>
      </c>
      <c r="AB386">
        <f>IF(U386=0,"",IF(Y386=1,MAX(0,Q386-G386),IF(L386=1,MAX(0,R386-G386),MAX(0,Assumptions!$C$6-G386))))</f>
        <v/>
      </c>
      <c r="AC386">
        <f>IF(Y386=1,Q386-F386,"")</f>
        <v/>
      </c>
      <c r="AD386">
        <f>IF(Y386=1,AC386^2,"")</f>
        <v/>
      </c>
      <c r="AE386" s="19">
        <f>IF(Z386=1,(H386-M386)*I386,0)</f>
        <v/>
      </c>
      <c r="AF386">
        <f>IF(G386&lt;EDATE(Assumptions!$C$6,-12)+1,"prior_12m","last_12m")</f>
        <v/>
      </c>
      <c r="AG386" s="21">
        <f>DATE(YEAR(G386),MONTH(G386),1)</f>
        <v/>
      </c>
    </row>
    <row r="387">
      <c r="A387" t="inlineStr">
        <is>
          <t>SPO-00211-1</t>
        </is>
      </c>
      <c r="B387" t="inlineStr">
        <is>
          <t>SPO-00211</t>
        </is>
      </c>
      <c r="C387" t="inlineStr">
        <is>
          <t>SUP-05</t>
        </is>
      </c>
      <c r="D387" t="inlineStr">
        <is>
          <t>FLEET</t>
        </is>
      </c>
      <c r="E387" t="inlineStr">
        <is>
          <t>FLEET-04</t>
        </is>
      </c>
      <c r="F387" s="17" t="n">
        <v>45627</v>
      </c>
      <c r="G387" s="17" t="n">
        <v>45641</v>
      </c>
      <c r="H387" s="18" t="n">
        <v>160</v>
      </c>
      <c r="I387" s="19" t="n">
        <v>9.17</v>
      </c>
      <c r="J387" s="19" t="n">
        <v>9</v>
      </c>
      <c r="K387" s="20" t="n">
        <v>0</v>
      </c>
      <c r="L387" s="20" t="n">
        <v>0</v>
      </c>
      <c r="M387" s="18" t="n">
        <v>160</v>
      </c>
      <c r="N387" s="18" t="n">
        <v>160</v>
      </c>
      <c r="O387" s="18" t="n">
        <v>0</v>
      </c>
      <c r="P387" s="17" t="n">
        <v>45636</v>
      </c>
      <c r="Q387" s="17" t="n">
        <v>45636</v>
      </c>
      <c r="R387" s="17" t="n">
        <v>45636</v>
      </c>
      <c r="S387" s="19">
        <f>H387*I387</f>
        <v/>
      </c>
      <c r="T387" s="19">
        <f>H387*J387</f>
        <v/>
      </c>
      <c r="U387">
        <f>IF(AND(K387=0,G387&lt;=Assumptions!$C$6),1,0)</f>
        <v/>
      </c>
      <c r="V387">
        <f>IF(U387=1,IF(M387&gt;0,IF(P387&lt;=G387+Assumptions!$C$7,1,0),0),0)</f>
        <v/>
      </c>
      <c r="W387">
        <f>IF(AND(U387=1,M387&gt;=H387*(1-Assumptions!$C$8)),1,0)</f>
        <v/>
      </c>
      <c r="X387">
        <f>IF(AND(U387=1,N387&gt;=H387*(1-Assumptions!$C$8)),1,0)</f>
        <v/>
      </c>
      <c r="Y387">
        <f>IF(ISNUMBER(Q387),1,0)</f>
        <v/>
      </c>
      <c r="Z387">
        <f>IF(AND(K387=0,L387=0,Y387=0),1,0)</f>
        <v/>
      </c>
      <c r="AA387">
        <f>IF(AND(Z387=1,G387&lt;Assumptions!$C$6),1,0)</f>
        <v/>
      </c>
      <c r="AB387">
        <f>IF(U387=0,"",IF(Y387=1,MAX(0,Q387-G387),IF(L387=1,MAX(0,R387-G387),MAX(0,Assumptions!$C$6-G387))))</f>
        <v/>
      </c>
      <c r="AC387">
        <f>IF(Y387=1,Q387-F387,"")</f>
        <v/>
      </c>
      <c r="AD387">
        <f>IF(Y387=1,AC387^2,"")</f>
        <v/>
      </c>
      <c r="AE387" s="19">
        <f>IF(Z387=1,(H387-M387)*I387,0)</f>
        <v/>
      </c>
      <c r="AF387">
        <f>IF(G387&lt;EDATE(Assumptions!$C$6,-12)+1,"prior_12m","last_12m")</f>
        <v/>
      </c>
      <c r="AG387" s="21">
        <f>DATE(YEAR(G387),MONTH(G387),1)</f>
        <v/>
      </c>
    </row>
    <row r="388">
      <c r="A388" t="inlineStr">
        <is>
          <t>SPO-00212-1</t>
        </is>
      </c>
      <c r="B388" t="inlineStr">
        <is>
          <t>SPO-00212</t>
        </is>
      </c>
      <c r="C388" t="inlineStr">
        <is>
          <t>SUP-01</t>
        </is>
      </c>
      <c r="D388" t="inlineStr">
        <is>
          <t>ELEC</t>
        </is>
      </c>
      <c r="E388" t="inlineStr">
        <is>
          <t>ELEC-07</t>
        </is>
      </c>
      <c r="F388" s="17" t="n">
        <v>45627</v>
      </c>
      <c r="G388" s="17" t="n">
        <v>45645</v>
      </c>
      <c r="H388" s="18" t="n">
        <v>295</v>
      </c>
      <c r="I388" s="19" t="n">
        <v>10.31</v>
      </c>
      <c r="J388" s="19" t="n">
        <v>9.800000000000001</v>
      </c>
      <c r="K388" s="20" t="n">
        <v>0</v>
      </c>
      <c r="L388" s="20" t="n">
        <v>0</v>
      </c>
      <c r="M388" s="18" t="n">
        <v>295</v>
      </c>
      <c r="N388" s="18" t="n">
        <v>295</v>
      </c>
      <c r="O388" s="18" t="n">
        <v>0</v>
      </c>
      <c r="P388" s="17" t="n">
        <v>45645</v>
      </c>
      <c r="Q388" s="17" t="n">
        <v>45645</v>
      </c>
      <c r="R388" s="17" t="n">
        <v>45645</v>
      </c>
      <c r="S388" s="19">
        <f>H388*I388</f>
        <v/>
      </c>
      <c r="T388" s="19">
        <f>H388*J388</f>
        <v/>
      </c>
      <c r="U388">
        <f>IF(AND(K388=0,G388&lt;=Assumptions!$C$6),1,0)</f>
        <v/>
      </c>
      <c r="V388">
        <f>IF(U388=1,IF(M388&gt;0,IF(P388&lt;=G388+Assumptions!$C$7,1,0),0),0)</f>
        <v/>
      </c>
      <c r="W388">
        <f>IF(AND(U388=1,M388&gt;=H388*(1-Assumptions!$C$8)),1,0)</f>
        <v/>
      </c>
      <c r="X388">
        <f>IF(AND(U388=1,N388&gt;=H388*(1-Assumptions!$C$8)),1,0)</f>
        <v/>
      </c>
      <c r="Y388">
        <f>IF(ISNUMBER(Q388),1,0)</f>
        <v/>
      </c>
      <c r="Z388">
        <f>IF(AND(K388=0,L388=0,Y388=0),1,0)</f>
        <v/>
      </c>
      <c r="AA388">
        <f>IF(AND(Z388=1,G388&lt;Assumptions!$C$6),1,0)</f>
        <v/>
      </c>
      <c r="AB388">
        <f>IF(U388=0,"",IF(Y388=1,MAX(0,Q388-G388),IF(L388=1,MAX(0,R388-G388),MAX(0,Assumptions!$C$6-G388))))</f>
        <v/>
      </c>
      <c r="AC388">
        <f>IF(Y388=1,Q388-F388,"")</f>
        <v/>
      </c>
      <c r="AD388">
        <f>IF(Y388=1,AC388^2,"")</f>
        <v/>
      </c>
      <c r="AE388" s="19">
        <f>IF(Z388=1,(H388-M388)*I388,0)</f>
        <v/>
      </c>
      <c r="AF388">
        <f>IF(G388&lt;EDATE(Assumptions!$C$6,-12)+1,"prior_12m","last_12m")</f>
        <v/>
      </c>
      <c r="AG388" s="21">
        <f>DATE(YEAR(G388),MONTH(G388),1)</f>
        <v/>
      </c>
    </row>
    <row r="389">
      <c r="A389" t="inlineStr">
        <is>
          <t>SPO-00213-1</t>
        </is>
      </c>
      <c r="B389" t="inlineStr">
        <is>
          <t>SPO-00213</t>
        </is>
      </c>
      <c r="C389" t="inlineStr">
        <is>
          <t>SUP-09</t>
        </is>
      </c>
      <c r="D389" t="inlineStr">
        <is>
          <t>CHEM</t>
        </is>
      </c>
      <c r="E389" t="inlineStr">
        <is>
          <t>CHEM-03</t>
        </is>
      </c>
      <c r="F389" s="17" t="n">
        <v>45627</v>
      </c>
      <c r="G389" s="17" t="n">
        <v>45641</v>
      </c>
      <c r="H389" s="18" t="n">
        <v>5</v>
      </c>
      <c r="I389" s="19" t="n">
        <v>266.6</v>
      </c>
      <c r="J389" s="19" t="n">
        <v>265</v>
      </c>
      <c r="K389" s="20" t="n">
        <v>0</v>
      </c>
      <c r="L389" s="20" t="n">
        <v>0</v>
      </c>
      <c r="M389" s="18" t="n">
        <v>5</v>
      </c>
      <c r="N389" s="18" t="n">
        <v>5</v>
      </c>
      <c r="O389" s="18" t="n">
        <v>0</v>
      </c>
      <c r="P389" s="17" t="n">
        <v>45637</v>
      </c>
      <c r="Q389" s="17" t="n">
        <v>45637</v>
      </c>
      <c r="R389" s="17" t="n">
        <v>45637</v>
      </c>
      <c r="S389" s="19">
        <f>H389*I389</f>
        <v/>
      </c>
      <c r="T389" s="19">
        <f>H389*J389</f>
        <v/>
      </c>
      <c r="U389">
        <f>IF(AND(K389=0,G389&lt;=Assumptions!$C$6),1,0)</f>
        <v/>
      </c>
      <c r="V389">
        <f>IF(U389=1,IF(M389&gt;0,IF(P389&lt;=G389+Assumptions!$C$7,1,0),0),0)</f>
        <v/>
      </c>
      <c r="W389">
        <f>IF(AND(U389=1,M389&gt;=H389*(1-Assumptions!$C$8)),1,0)</f>
        <v/>
      </c>
      <c r="X389">
        <f>IF(AND(U389=1,N389&gt;=H389*(1-Assumptions!$C$8)),1,0)</f>
        <v/>
      </c>
      <c r="Y389">
        <f>IF(ISNUMBER(Q389),1,0)</f>
        <v/>
      </c>
      <c r="Z389">
        <f>IF(AND(K389=0,L389=0,Y389=0),1,0)</f>
        <v/>
      </c>
      <c r="AA389">
        <f>IF(AND(Z389=1,G389&lt;Assumptions!$C$6),1,0)</f>
        <v/>
      </c>
      <c r="AB389">
        <f>IF(U389=0,"",IF(Y389=1,MAX(0,Q389-G389),IF(L389=1,MAX(0,R389-G389),MAX(0,Assumptions!$C$6-G389))))</f>
        <v/>
      </c>
      <c r="AC389">
        <f>IF(Y389=1,Q389-F389,"")</f>
        <v/>
      </c>
      <c r="AD389">
        <f>IF(Y389=1,AC389^2,"")</f>
        <v/>
      </c>
      <c r="AE389" s="19">
        <f>IF(Z389=1,(H389-M389)*I389,0)</f>
        <v/>
      </c>
      <c r="AF389">
        <f>IF(G389&lt;EDATE(Assumptions!$C$6,-12)+1,"prior_12m","last_12m")</f>
        <v/>
      </c>
      <c r="AG389" s="21">
        <f>DATE(YEAR(G389),MONTH(G389),1)</f>
        <v/>
      </c>
    </row>
    <row r="390">
      <c r="A390" t="inlineStr">
        <is>
          <t>SPO-00214-1</t>
        </is>
      </c>
      <c r="B390" t="inlineStr">
        <is>
          <t>SPO-00214</t>
        </is>
      </c>
      <c r="C390" t="inlineStr">
        <is>
          <t>SUP-07</t>
        </is>
      </c>
      <c r="D390" t="inlineStr">
        <is>
          <t>MRO</t>
        </is>
      </c>
      <c r="E390" t="inlineStr">
        <is>
          <t>MRO-01</t>
        </is>
      </c>
      <c r="F390" s="17" t="n">
        <v>45627</v>
      </c>
      <c r="G390" s="17" t="n">
        <v>45637</v>
      </c>
      <c r="H390" s="18" t="n">
        <v>28</v>
      </c>
      <c r="I390" s="19" t="n">
        <v>53.88</v>
      </c>
      <c r="J390" s="19" t="n">
        <v>52</v>
      </c>
      <c r="K390" s="20" t="n">
        <v>0</v>
      </c>
      <c r="L390" s="20" t="n">
        <v>0</v>
      </c>
      <c r="M390" s="18" t="n">
        <v>28</v>
      </c>
      <c r="N390" s="18" t="n">
        <v>28</v>
      </c>
      <c r="O390" s="18" t="n">
        <v>0</v>
      </c>
      <c r="P390" s="17" t="n">
        <v>45635</v>
      </c>
      <c r="Q390" s="17" t="n">
        <v>45635</v>
      </c>
      <c r="R390" s="17" t="n">
        <v>45635</v>
      </c>
      <c r="S390" s="19">
        <f>H390*I390</f>
        <v/>
      </c>
      <c r="T390" s="19">
        <f>H390*J390</f>
        <v/>
      </c>
      <c r="U390">
        <f>IF(AND(K390=0,G390&lt;=Assumptions!$C$6),1,0)</f>
        <v/>
      </c>
      <c r="V390">
        <f>IF(U390=1,IF(M390&gt;0,IF(P390&lt;=G390+Assumptions!$C$7,1,0),0),0)</f>
        <v/>
      </c>
      <c r="W390">
        <f>IF(AND(U390=1,M390&gt;=H390*(1-Assumptions!$C$8)),1,0)</f>
        <v/>
      </c>
      <c r="X390">
        <f>IF(AND(U390=1,N390&gt;=H390*(1-Assumptions!$C$8)),1,0)</f>
        <v/>
      </c>
      <c r="Y390">
        <f>IF(ISNUMBER(Q390),1,0)</f>
        <v/>
      </c>
      <c r="Z390">
        <f>IF(AND(K390=0,L390=0,Y390=0),1,0)</f>
        <v/>
      </c>
      <c r="AA390">
        <f>IF(AND(Z390=1,G390&lt;Assumptions!$C$6),1,0)</f>
        <v/>
      </c>
      <c r="AB390">
        <f>IF(U390=0,"",IF(Y390=1,MAX(0,Q390-G390),IF(L390=1,MAX(0,R390-G390),MAX(0,Assumptions!$C$6-G390))))</f>
        <v/>
      </c>
      <c r="AC390">
        <f>IF(Y390=1,Q390-F390,"")</f>
        <v/>
      </c>
      <c r="AD390">
        <f>IF(Y390=1,AC390^2,"")</f>
        <v/>
      </c>
      <c r="AE390" s="19">
        <f>IF(Z390=1,(H390-M390)*I390,0)</f>
        <v/>
      </c>
      <c r="AF390">
        <f>IF(G390&lt;EDATE(Assumptions!$C$6,-12)+1,"prior_12m","last_12m")</f>
        <v/>
      </c>
      <c r="AG390" s="21">
        <f>DATE(YEAR(G390),MONTH(G390),1)</f>
        <v/>
      </c>
    </row>
    <row r="391">
      <c r="A391" t="inlineStr">
        <is>
          <t>SPO-00215-1</t>
        </is>
      </c>
      <c r="B391" t="inlineStr">
        <is>
          <t>SPO-00215</t>
        </is>
      </c>
      <c r="C391" t="inlineStr">
        <is>
          <t>SUP-08</t>
        </is>
      </c>
      <c r="D391" t="inlineStr">
        <is>
          <t>MRO</t>
        </is>
      </c>
      <c r="E391" t="inlineStr">
        <is>
          <t>MRO-01</t>
        </is>
      </c>
      <c r="F391" s="17" t="n">
        <v>45627</v>
      </c>
      <c r="G391" s="17" t="n">
        <v>45638</v>
      </c>
      <c r="H391" s="18" t="n">
        <v>22</v>
      </c>
      <c r="I391" s="19" t="n">
        <v>53.02</v>
      </c>
      <c r="J391" s="19" t="n">
        <v>52</v>
      </c>
      <c r="K391" s="20" t="n">
        <v>0</v>
      </c>
      <c r="L391" s="20" t="n">
        <v>0</v>
      </c>
      <c r="M391" s="18" t="n">
        <v>22</v>
      </c>
      <c r="N391" s="18" t="n">
        <v>22</v>
      </c>
      <c r="O391" s="18" t="n">
        <v>0</v>
      </c>
      <c r="P391" s="17" t="n">
        <v>45637</v>
      </c>
      <c r="Q391" s="17" t="n">
        <v>45637</v>
      </c>
      <c r="R391" s="17" t="n">
        <v>45637</v>
      </c>
      <c r="S391" s="19">
        <f>H391*I391</f>
        <v/>
      </c>
      <c r="T391" s="19">
        <f>H391*J391</f>
        <v/>
      </c>
      <c r="U391">
        <f>IF(AND(K391=0,G391&lt;=Assumptions!$C$6),1,0)</f>
        <v/>
      </c>
      <c r="V391">
        <f>IF(U391=1,IF(M391&gt;0,IF(P391&lt;=G391+Assumptions!$C$7,1,0),0),0)</f>
        <v/>
      </c>
      <c r="W391">
        <f>IF(AND(U391=1,M391&gt;=H391*(1-Assumptions!$C$8)),1,0)</f>
        <v/>
      </c>
      <c r="X391">
        <f>IF(AND(U391=1,N391&gt;=H391*(1-Assumptions!$C$8)),1,0)</f>
        <v/>
      </c>
      <c r="Y391">
        <f>IF(ISNUMBER(Q391),1,0)</f>
        <v/>
      </c>
      <c r="Z391">
        <f>IF(AND(K391=0,L391=0,Y391=0),1,0)</f>
        <v/>
      </c>
      <c r="AA391">
        <f>IF(AND(Z391=1,G391&lt;Assumptions!$C$6),1,0)</f>
        <v/>
      </c>
      <c r="AB391">
        <f>IF(U391=0,"",IF(Y391=1,MAX(0,Q391-G391),IF(L391=1,MAX(0,R391-G391),MAX(0,Assumptions!$C$6-G391))))</f>
        <v/>
      </c>
      <c r="AC391">
        <f>IF(Y391=1,Q391-F391,"")</f>
        <v/>
      </c>
      <c r="AD391">
        <f>IF(Y391=1,AC391^2,"")</f>
        <v/>
      </c>
      <c r="AE391" s="19">
        <f>IF(Z391=1,(H391-M391)*I391,0)</f>
        <v/>
      </c>
      <c r="AF391">
        <f>IF(G391&lt;EDATE(Assumptions!$C$6,-12)+1,"prior_12m","last_12m")</f>
        <v/>
      </c>
      <c r="AG391" s="21">
        <f>DATE(YEAR(G391),MONTH(G391),1)</f>
        <v/>
      </c>
    </row>
    <row r="392">
      <c r="A392" t="inlineStr">
        <is>
          <t>SPO-00216-1</t>
        </is>
      </c>
      <c r="B392" t="inlineStr">
        <is>
          <t>SPO-00216</t>
        </is>
      </c>
      <c r="C392" t="inlineStr">
        <is>
          <t>SUP-01</t>
        </is>
      </c>
      <c r="D392" t="inlineStr">
        <is>
          <t>ELEC</t>
        </is>
      </c>
      <c r="E392" t="inlineStr">
        <is>
          <t>ELEC-05</t>
        </is>
      </c>
      <c r="F392" s="17" t="n">
        <v>45627</v>
      </c>
      <c r="G392" s="17" t="n">
        <v>45645</v>
      </c>
      <c r="H392" s="18" t="n">
        <v>497</v>
      </c>
      <c r="I392" s="19" t="n">
        <v>11.24</v>
      </c>
      <c r="J392" s="19" t="n">
        <v>11.5</v>
      </c>
      <c r="K392" s="20" t="n">
        <v>0</v>
      </c>
      <c r="L392" s="20" t="n">
        <v>0</v>
      </c>
      <c r="M392" s="18" t="n">
        <v>497</v>
      </c>
      <c r="N392" s="18" t="n">
        <v>497</v>
      </c>
      <c r="O392" s="18" t="n">
        <v>0</v>
      </c>
      <c r="P392" s="17" t="n">
        <v>45642</v>
      </c>
      <c r="Q392" s="17" t="n">
        <v>45642</v>
      </c>
      <c r="R392" s="17" t="n">
        <v>45642</v>
      </c>
      <c r="S392" s="19">
        <f>H392*I392</f>
        <v/>
      </c>
      <c r="T392" s="19">
        <f>H392*J392</f>
        <v/>
      </c>
      <c r="U392">
        <f>IF(AND(K392=0,G392&lt;=Assumptions!$C$6),1,0)</f>
        <v/>
      </c>
      <c r="V392">
        <f>IF(U392=1,IF(M392&gt;0,IF(P392&lt;=G392+Assumptions!$C$7,1,0),0),0)</f>
        <v/>
      </c>
      <c r="W392">
        <f>IF(AND(U392=1,M392&gt;=H392*(1-Assumptions!$C$8)),1,0)</f>
        <v/>
      </c>
      <c r="X392">
        <f>IF(AND(U392=1,N392&gt;=H392*(1-Assumptions!$C$8)),1,0)</f>
        <v/>
      </c>
      <c r="Y392">
        <f>IF(ISNUMBER(Q392),1,0)</f>
        <v/>
      </c>
      <c r="Z392">
        <f>IF(AND(K392=0,L392=0,Y392=0),1,0)</f>
        <v/>
      </c>
      <c r="AA392">
        <f>IF(AND(Z392=1,G392&lt;Assumptions!$C$6),1,0)</f>
        <v/>
      </c>
      <c r="AB392">
        <f>IF(U392=0,"",IF(Y392=1,MAX(0,Q392-G392),IF(L392=1,MAX(0,R392-G392),MAX(0,Assumptions!$C$6-G392))))</f>
        <v/>
      </c>
      <c r="AC392">
        <f>IF(Y392=1,Q392-F392,"")</f>
        <v/>
      </c>
      <c r="AD392">
        <f>IF(Y392=1,AC392^2,"")</f>
        <v/>
      </c>
      <c r="AE392" s="19">
        <f>IF(Z392=1,(H392-M392)*I392,0)</f>
        <v/>
      </c>
      <c r="AF392">
        <f>IF(G392&lt;EDATE(Assumptions!$C$6,-12)+1,"prior_12m","last_12m")</f>
        <v/>
      </c>
      <c r="AG392" s="21">
        <f>DATE(YEAR(G392),MONTH(G392),1)</f>
        <v/>
      </c>
    </row>
    <row r="393">
      <c r="A393" t="inlineStr">
        <is>
          <t>SPO-00216-2</t>
        </is>
      </c>
      <c r="B393" t="inlineStr">
        <is>
          <t>SPO-00216</t>
        </is>
      </c>
      <c r="C393" t="inlineStr">
        <is>
          <t>SUP-01</t>
        </is>
      </c>
      <c r="D393" t="inlineStr">
        <is>
          <t>ELEC</t>
        </is>
      </c>
      <c r="E393" t="inlineStr">
        <is>
          <t>ELEC-08</t>
        </is>
      </c>
      <c r="F393" s="17" t="n">
        <v>45627</v>
      </c>
      <c r="G393" s="17" t="n">
        <v>45645</v>
      </c>
      <c r="H393" s="18" t="n">
        <v>94</v>
      </c>
      <c r="I393" s="19" t="n">
        <v>17.93</v>
      </c>
      <c r="J393" s="19" t="n">
        <v>18</v>
      </c>
      <c r="K393" s="20" t="n">
        <v>0</v>
      </c>
      <c r="L393" s="20" t="n">
        <v>0</v>
      </c>
      <c r="M393" s="18" t="n">
        <v>94</v>
      </c>
      <c r="N393" s="18" t="n">
        <v>94</v>
      </c>
      <c r="O393" s="18" t="n">
        <v>0</v>
      </c>
      <c r="P393" s="17" t="n">
        <v>45642</v>
      </c>
      <c r="Q393" s="17" t="n">
        <v>45642</v>
      </c>
      <c r="R393" s="17" t="n">
        <v>45642</v>
      </c>
      <c r="S393" s="19">
        <f>H393*I393</f>
        <v/>
      </c>
      <c r="T393" s="19">
        <f>H393*J393</f>
        <v/>
      </c>
      <c r="U393">
        <f>IF(AND(K393=0,G393&lt;=Assumptions!$C$6),1,0)</f>
        <v/>
      </c>
      <c r="V393">
        <f>IF(U393=1,IF(M393&gt;0,IF(P393&lt;=G393+Assumptions!$C$7,1,0),0),0)</f>
        <v/>
      </c>
      <c r="W393">
        <f>IF(AND(U393=1,M393&gt;=H393*(1-Assumptions!$C$8)),1,0)</f>
        <v/>
      </c>
      <c r="X393">
        <f>IF(AND(U393=1,N393&gt;=H393*(1-Assumptions!$C$8)),1,0)</f>
        <v/>
      </c>
      <c r="Y393">
        <f>IF(ISNUMBER(Q393),1,0)</f>
        <v/>
      </c>
      <c r="Z393">
        <f>IF(AND(K393=0,L393=0,Y393=0),1,0)</f>
        <v/>
      </c>
      <c r="AA393">
        <f>IF(AND(Z393=1,G393&lt;Assumptions!$C$6),1,0)</f>
        <v/>
      </c>
      <c r="AB393">
        <f>IF(U393=0,"",IF(Y393=1,MAX(0,Q393-G393),IF(L393=1,MAX(0,R393-G393),MAX(0,Assumptions!$C$6-G393))))</f>
        <v/>
      </c>
      <c r="AC393">
        <f>IF(Y393=1,Q393-F393,"")</f>
        <v/>
      </c>
      <c r="AD393">
        <f>IF(Y393=1,AC393^2,"")</f>
        <v/>
      </c>
      <c r="AE393" s="19">
        <f>IF(Z393=1,(H393-M393)*I393,0)</f>
        <v/>
      </c>
      <c r="AF393">
        <f>IF(G393&lt;EDATE(Assumptions!$C$6,-12)+1,"prior_12m","last_12m")</f>
        <v/>
      </c>
      <c r="AG393" s="21">
        <f>DATE(YEAR(G393),MONTH(G393),1)</f>
        <v/>
      </c>
    </row>
    <row r="394">
      <c r="A394" t="inlineStr">
        <is>
          <t>SPO-00217-1</t>
        </is>
      </c>
      <c r="B394" t="inlineStr">
        <is>
          <t>SPO-00217</t>
        </is>
      </c>
      <c r="C394" t="inlineStr">
        <is>
          <t>SUP-06</t>
        </is>
      </c>
      <c r="D394" t="inlineStr">
        <is>
          <t>MRO</t>
        </is>
      </c>
      <c r="E394" t="inlineStr">
        <is>
          <t>MRO-02</t>
        </is>
      </c>
      <c r="F394" s="17" t="n">
        <v>45627</v>
      </c>
      <c r="G394" s="17" t="n">
        <v>45635</v>
      </c>
      <c r="H394" s="18" t="n">
        <v>34</v>
      </c>
      <c r="I394" s="19" t="n">
        <v>40.59</v>
      </c>
      <c r="J394" s="19" t="n">
        <v>41</v>
      </c>
      <c r="K394" s="20" t="n">
        <v>0</v>
      </c>
      <c r="L394" s="20" t="n">
        <v>0</v>
      </c>
      <c r="M394" s="18" t="n">
        <v>34</v>
      </c>
      <c r="N394" s="18" t="n">
        <v>34</v>
      </c>
      <c r="O394" s="18" t="n">
        <v>0</v>
      </c>
      <c r="P394" s="17" t="n">
        <v>45631</v>
      </c>
      <c r="Q394" s="17" t="n">
        <v>45631</v>
      </c>
      <c r="R394" s="17" t="n">
        <v>45631</v>
      </c>
      <c r="S394" s="19">
        <f>H394*I394</f>
        <v/>
      </c>
      <c r="T394" s="19">
        <f>H394*J394</f>
        <v/>
      </c>
      <c r="U394">
        <f>IF(AND(K394=0,G394&lt;=Assumptions!$C$6),1,0)</f>
        <v/>
      </c>
      <c r="V394">
        <f>IF(U394=1,IF(M394&gt;0,IF(P394&lt;=G394+Assumptions!$C$7,1,0),0),0)</f>
        <v/>
      </c>
      <c r="W394">
        <f>IF(AND(U394=1,M394&gt;=H394*(1-Assumptions!$C$8)),1,0)</f>
        <v/>
      </c>
      <c r="X394">
        <f>IF(AND(U394=1,N394&gt;=H394*(1-Assumptions!$C$8)),1,0)</f>
        <v/>
      </c>
      <c r="Y394">
        <f>IF(ISNUMBER(Q394),1,0)</f>
        <v/>
      </c>
      <c r="Z394">
        <f>IF(AND(K394=0,L394=0,Y394=0),1,0)</f>
        <v/>
      </c>
      <c r="AA394">
        <f>IF(AND(Z394=1,G394&lt;Assumptions!$C$6),1,0)</f>
        <v/>
      </c>
      <c r="AB394">
        <f>IF(U394=0,"",IF(Y394=1,MAX(0,Q394-G394),IF(L394=1,MAX(0,R394-G394),MAX(0,Assumptions!$C$6-G394))))</f>
        <v/>
      </c>
      <c r="AC394">
        <f>IF(Y394=1,Q394-F394,"")</f>
        <v/>
      </c>
      <c r="AD394">
        <f>IF(Y394=1,AC394^2,"")</f>
        <v/>
      </c>
      <c r="AE394" s="19">
        <f>IF(Z394=1,(H394-M394)*I394,0)</f>
        <v/>
      </c>
      <c r="AF394">
        <f>IF(G394&lt;EDATE(Assumptions!$C$6,-12)+1,"prior_12m","last_12m")</f>
        <v/>
      </c>
      <c r="AG394" s="21">
        <f>DATE(YEAR(G394),MONTH(G394),1)</f>
        <v/>
      </c>
    </row>
    <row r="395">
      <c r="A395" t="inlineStr">
        <is>
          <t>SPO-00217-2</t>
        </is>
      </c>
      <c r="B395" t="inlineStr">
        <is>
          <t>SPO-00217</t>
        </is>
      </c>
      <c r="C395" t="inlineStr">
        <is>
          <t>SUP-06</t>
        </is>
      </c>
      <c r="D395" t="inlineStr">
        <is>
          <t>MRO</t>
        </is>
      </c>
      <c r="E395" t="inlineStr">
        <is>
          <t>MRO-01</t>
        </is>
      </c>
      <c r="F395" s="17" t="n">
        <v>45627</v>
      </c>
      <c r="G395" s="17" t="n">
        <v>45635</v>
      </c>
      <c r="H395" s="18" t="n">
        <v>36</v>
      </c>
      <c r="I395" s="19" t="n">
        <v>53.72</v>
      </c>
      <c r="J395" s="19" t="n">
        <v>52</v>
      </c>
      <c r="K395" s="20" t="n">
        <v>0</v>
      </c>
      <c r="L395" s="20" t="n">
        <v>0</v>
      </c>
      <c r="M395" s="18" t="n">
        <v>36</v>
      </c>
      <c r="N395" s="18" t="n">
        <v>36</v>
      </c>
      <c r="O395" s="18" t="n">
        <v>0</v>
      </c>
      <c r="P395" s="17" t="n">
        <v>45632</v>
      </c>
      <c r="Q395" s="17" t="n">
        <v>45632</v>
      </c>
      <c r="R395" s="17" t="n">
        <v>45632</v>
      </c>
      <c r="S395" s="19">
        <f>H395*I395</f>
        <v/>
      </c>
      <c r="T395" s="19">
        <f>H395*J395</f>
        <v/>
      </c>
      <c r="U395">
        <f>IF(AND(K395=0,G395&lt;=Assumptions!$C$6),1,0)</f>
        <v/>
      </c>
      <c r="V395">
        <f>IF(U395=1,IF(M395&gt;0,IF(P395&lt;=G395+Assumptions!$C$7,1,0),0),0)</f>
        <v/>
      </c>
      <c r="W395">
        <f>IF(AND(U395=1,M395&gt;=H395*(1-Assumptions!$C$8)),1,0)</f>
        <v/>
      </c>
      <c r="X395">
        <f>IF(AND(U395=1,N395&gt;=H395*(1-Assumptions!$C$8)),1,0)</f>
        <v/>
      </c>
      <c r="Y395">
        <f>IF(ISNUMBER(Q395),1,0)</f>
        <v/>
      </c>
      <c r="Z395">
        <f>IF(AND(K395=0,L395=0,Y395=0),1,0)</f>
        <v/>
      </c>
      <c r="AA395">
        <f>IF(AND(Z395=1,G395&lt;Assumptions!$C$6),1,0)</f>
        <v/>
      </c>
      <c r="AB395">
        <f>IF(U395=0,"",IF(Y395=1,MAX(0,Q395-G395),IF(L395=1,MAX(0,R395-G395),MAX(0,Assumptions!$C$6-G395))))</f>
        <v/>
      </c>
      <c r="AC395">
        <f>IF(Y395=1,Q395-F395,"")</f>
        <v/>
      </c>
      <c r="AD395">
        <f>IF(Y395=1,AC395^2,"")</f>
        <v/>
      </c>
      <c r="AE395" s="19">
        <f>IF(Z395=1,(H395-M395)*I395,0)</f>
        <v/>
      </c>
      <c r="AF395">
        <f>IF(G395&lt;EDATE(Assumptions!$C$6,-12)+1,"prior_12m","last_12m")</f>
        <v/>
      </c>
      <c r="AG395" s="21">
        <f>DATE(YEAR(G395),MONTH(G395),1)</f>
        <v/>
      </c>
    </row>
    <row r="396">
      <c r="A396" t="inlineStr">
        <is>
          <t>SPO-00218-1</t>
        </is>
      </c>
      <c r="B396" t="inlineStr">
        <is>
          <t>SPO-00218</t>
        </is>
      </c>
      <c r="C396" t="inlineStr">
        <is>
          <t>SUP-12</t>
        </is>
      </c>
      <c r="D396" t="inlineStr">
        <is>
          <t>IT</t>
        </is>
      </c>
      <c r="E396" t="inlineStr">
        <is>
          <t>IT-08</t>
        </is>
      </c>
      <c r="F396" s="17" t="n">
        <v>45628</v>
      </c>
      <c r="G396" s="17" t="n">
        <v>45638</v>
      </c>
      <c r="H396" s="18" t="n">
        <v>5</v>
      </c>
      <c r="I396" s="19" t="n">
        <v>274.66</v>
      </c>
      <c r="J396" s="19" t="n">
        <v>245</v>
      </c>
      <c r="K396" s="20" t="n">
        <v>0</v>
      </c>
      <c r="L396" s="20" t="n">
        <v>0</v>
      </c>
      <c r="M396" s="18" t="n">
        <v>5</v>
      </c>
      <c r="N396" s="18" t="n">
        <v>5</v>
      </c>
      <c r="O396" s="18" t="n">
        <v>0</v>
      </c>
      <c r="P396" s="17" t="n">
        <v>45633</v>
      </c>
      <c r="Q396" s="17" t="n">
        <v>45633</v>
      </c>
      <c r="R396" s="17" t="n">
        <v>45633</v>
      </c>
      <c r="S396" s="19">
        <f>H396*I396</f>
        <v/>
      </c>
      <c r="T396" s="19">
        <f>H396*J396</f>
        <v/>
      </c>
      <c r="U396">
        <f>IF(AND(K396=0,G396&lt;=Assumptions!$C$6),1,0)</f>
        <v/>
      </c>
      <c r="V396">
        <f>IF(U396=1,IF(M396&gt;0,IF(P396&lt;=G396+Assumptions!$C$7,1,0),0),0)</f>
        <v/>
      </c>
      <c r="W396">
        <f>IF(AND(U396=1,M396&gt;=H396*(1-Assumptions!$C$8)),1,0)</f>
        <v/>
      </c>
      <c r="X396">
        <f>IF(AND(U396=1,N396&gt;=H396*(1-Assumptions!$C$8)),1,0)</f>
        <v/>
      </c>
      <c r="Y396">
        <f>IF(ISNUMBER(Q396),1,0)</f>
        <v/>
      </c>
      <c r="Z396">
        <f>IF(AND(K396=0,L396=0,Y396=0),1,0)</f>
        <v/>
      </c>
      <c r="AA396">
        <f>IF(AND(Z396=1,G396&lt;Assumptions!$C$6),1,0)</f>
        <v/>
      </c>
      <c r="AB396">
        <f>IF(U396=0,"",IF(Y396=1,MAX(0,Q396-G396),IF(L396=1,MAX(0,R396-G396),MAX(0,Assumptions!$C$6-G396))))</f>
        <v/>
      </c>
      <c r="AC396">
        <f>IF(Y396=1,Q396-F396,"")</f>
        <v/>
      </c>
      <c r="AD396">
        <f>IF(Y396=1,AC396^2,"")</f>
        <v/>
      </c>
      <c r="AE396" s="19">
        <f>IF(Z396=1,(H396-M396)*I396,0)</f>
        <v/>
      </c>
      <c r="AF396">
        <f>IF(G396&lt;EDATE(Assumptions!$C$6,-12)+1,"prior_12m","last_12m")</f>
        <v/>
      </c>
      <c r="AG396" s="21">
        <f>DATE(YEAR(G396),MONTH(G396),1)</f>
        <v/>
      </c>
    </row>
    <row r="397">
      <c r="A397" t="inlineStr">
        <is>
          <t>SPO-00219-1</t>
        </is>
      </c>
      <c r="B397" t="inlineStr">
        <is>
          <t>SPO-00219</t>
        </is>
      </c>
      <c r="C397" t="inlineStr">
        <is>
          <t>SUP-01</t>
        </is>
      </c>
      <c r="D397" t="inlineStr">
        <is>
          <t>ELEC</t>
        </is>
      </c>
      <c r="E397" t="inlineStr">
        <is>
          <t>ELEC-08</t>
        </is>
      </c>
      <c r="F397" s="17" t="n">
        <v>45628</v>
      </c>
      <c r="G397" s="17" t="n">
        <v>45646</v>
      </c>
      <c r="H397" s="18" t="n">
        <v>244</v>
      </c>
      <c r="I397" s="19" t="n">
        <v>18.68</v>
      </c>
      <c r="J397" s="19" t="n">
        <v>18</v>
      </c>
      <c r="K397" s="20" t="n">
        <v>0</v>
      </c>
      <c r="L397" s="20" t="n">
        <v>0</v>
      </c>
      <c r="M397" s="18" t="n">
        <v>244</v>
      </c>
      <c r="N397" s="18" t="n">
        <v>244</v>
      </c>
      <c r="O397" s="18" t="n">
        <v>0</v>
      </c>
      <c r="P397" s="17" t="n">
        <v>45642</v>
      </c>
      <c r="Q397" s="17" t="n">
        <v>45642</v>
      </c>
      <c r="R397" s="17" t="n">
        <v>45642</v>
      </c>
      <c r="S397" s="19">
        <f>H397*I397</f>
        <v/>
      </c>
      <c r="T397" s="19">
        <f>H397*J397</f>
        <v/>
      </c>
      <c r="U397">
        <f>IF(AND(K397=0,G397&lt;=Assumptions!$C$6),1,0)</f>
        <v/>
      </c>
      <c r="V397">
        <f>IF(U397=1,IF(M397&gt;0,IF(P397&lt;=G397+Assumptions!$C$7,1,0),0),0)</f>
        <v/>
      </c>
      <c r="W397">
        <f>IF(AND(U397=1,M397&gt;=H397*(1-Assumptions!$C$8)),1,0)</f>
        <v/>
      </c>
      <c r="X397">
        <f>IF(AND(U397=1,N397&gt;=H397*(1-Assumptions!$C$8)),1,0)</f>
        <v/>
      </c>
      <c r="Y397">
        <f>IF(ISNUMBER(Q397),1,0)</f>
        <v/>
      </c>
      <c r="Z397">
        <f>IF(AND(K397=0,L397=0,Y397=0),1,0)</f>
        <v/>
      </c>
      <c r="AA397">
        <f>IF(AND(Z397=1,G397&lt;Assumptions!$C$6),1,0)</f>
        <v/>
      </c>
      <c r="AB397">
        <f>IF(U397=0,"",IF(Y397=1,MAX(0,Q397-G397),IF(L397=1,MAX(0,R397-G397),MAX(0,Assumptions!$C$6-G397))))</f>
        <v/>
      </c>
      <c r="AC397">
        <f>IF(Y397=1,Q397-F397,"")</f>
        <v/>
      </c>
      <c r="AD397">
        <f>IF(Y397=1,AC397^2,"")</f>
        <v/>
      </c>
      <c r="AE397" s="19">
        <f>IF(Z397=1,(H397-M397)*I397,0)</f>
        <v/>
      </c>
      <c r="AF397">
        <f>IF(G397&lt;EDATE(Assumptions!$C$6,-12)+1,"prior_12m","last_12m")</f>
        <v/>
      </c>
      <c r="AG397" s="21">
        <f>DATE(YEAR(G397),MONTH(G397),1)</f>
        <v/>
      </c>
    </row>
    <row r="398">
      <c r="A398" t="inlineStr">
        <is>
          <t>SPO-00219-2</t>
        </is>
      </c>
      <c r="B398" t="inlineStr">
        <is>
          <t>SPO-00219</t>
        </is>
      </c>
      <c r="C398" t="inlineStr">
        <is>
          <t>SUP-01</t>
        </is>
      </c>
      <c r="D398" t="inlineStr">
        <is>
          <t>ELEC</t>
        </is>
      </c>
      <c r="E398" t="inlineStr">
        <is>
          <t>ELEC-05</t>
        </is>
      </c>
      <c r="F398" s="17" t="n">
        <v>45628</v>
      </c>
      <c r="G398" s="17" t="n">
        <v>45646</v>
      </c>
      <c r="H398" s="18" t="n">
        <v>232</v>
      </c>
      <c r="I398" s="19" t="n">
        <v>11.29</v>
      </c>
      <c r="J398" s="19" t="n">
        <v>11.5</v>
      </c>
      <c r="K398" s="20" t="n">
        <v>0</v>
      </c>
      <c r="L398" s="20" t="n">
        <v>0</v>
      </c>
      <c r="M398" s="18" t="n">
        <v>232</v>
      </c>
      <c r="N398" s="18" t="n">
        <v>232</v>
      </c>
      <c r="O398" s="18" t="n">
        <v>0</v>
      </c>
      <c r="P398" s="17" t="n">
        <v>45644</v>
      </c>
      <c r="Q398" s="17" t="n">
        <v>45644</v>
      </c>
      <c r="R398" s="17" t="n">
        <v>45644</v>
      </c>
      <c r="S398" s="19">
        <f>H398*I398</f>
        <v/>
      </c>
      <c r="T398" s="19">
        <f>H398*J398</f>
        <v/>
      </c>
      <c r="U398">
        <f>IF(AND(K398=0,G398&lt;=Assumptions!$C$6),1,0)</f>
        <v/>
      </c>
      <c r="V398">
        <f>IF(U398=1,IF(M398&gt;0,IF(P398&lt;=G398+Assumptions!$C$7,1,0),0),0)</f>
        <v/>
      </c>
      <c r="W398">
        <f>IF(AND(U398=1,M398&gt;=H398*(1-Assumptions!$C$8)),1,0)</f>
        <v/>
      </c>
      <c r="X398">
        <f>IF(AND(U398=1,N398&gt;=H398*(1-Assumptions!$C$8)),1,0)</f>
        <v/>
      </c>
      <c r="Y398">
        <f>IF(ISNUMBER(Q398),1,0)</f>
        <v/>
      </c>
      <c r="Z398">
        <f>IF(AND(K398=0,L398=0,Y398=0),1,0)</f>
        <v/>
      </c>
      <c r="AA398">
        <f>IF(AND(Z398=1,G398&lt;Assumptions!$C$6),1,0)</f>
        <v/>
      </c>
      <c r="AB398">
        <f>IF(U398=0,"",IF(Y398=1,MAX(0,Q398-G398),IF(L398=1,MAX(0,R398-G398),MAX(0,Assumptions!$C$6-G398))))</f>
        <v/>
      </c>
      <c r="AC398">
        <f>IF(Y398=1,Q398-F398,"")</f>
        <v/>
      </c>
      <c r="AD398">
        <f>IF(Y398=1,AC398^2,"")</f>
        <v/>
      </c>
      <c r="AE398" s="19">
        <f>IF(Z398=1,(H398-M398)*I398,0)</f>
        <v/>
      </c>
      <c r="AF398">
        <f>IF(G398&lt;EDATE(Assumptions!$C$6,-12)+1,"prior_12m","last_12m")</f>
        <v/>
      </c>
      <c r="AG398" s="21">
        <f>DATE(YEAR(G398),MONTH(G398),1)</f>
        <v/>
      </c>
    </row>
    <row r="399">
      <c r="A399" t="inlineStr">
        <is>
          <t>SPO-00220-1</t>
        </is>
      </c>
      <c r="B399" t="inlineStr">
        <is>
          <t>SPO-00220</t>
        </is>
      </c>
      <c r="C399" t="inlineStr">
        <is>
          <t>SUP-13</t>
        </is>
      </c>
      <c r="D399" t="inlineStr">
        <is>
          <t>IT</t>
        </is>
      </c>
      <c r="E399" t="inlineStr">
        <is>
          <t>IT-06</t>
        </is>
      </c>
      <c r="F399" s="17" t="n">
        <v>45629</v>
      </c>
      <c r="G399" s="17" t="n">
        <v>45640</v>
      </c>
      <c r="H399" s="18" t="n">
        <v>15</v>
      </c>
      <c r="I399" s="19" t="n">
        <v>95.31999999999999</v>
      </c>
      <c r="J399" s="19" t="n">
        <v>89</v>
      </c>
      <c r="K399" s="20" t="n">
        <v>0</v>
      </c>
      <c r="L399" s="20" t="n">
        <v>0</v>
      </c>
      <c r="M399" s="18" t="n">
        <v>15</v>
      </c>
      <c r="N399" s="18" t="n">
        <v>15</v>
      </c>
      <c r="O399" s="18" t="n">
        <v>0</v>
      </c>
      <c r="P399" s="17" t="n">
        <v>45636</v>
      </c>
      <c r="Q399" s="17" t="n">
        <v>45636</v>
      </c>
      <c r="R399" s="17" t="n">
        <v>45636</v>
      </c>
      <c r="S399" s="19">
        <f>H399*I399</f>
        <v/>
      </c>
      <c r="T399" s="19">
        <f>H399*J399</f>
        <v/>
      </c>
      <c r="U399">
        <f>IF(AND(K399=0,G399&lt;=Assumptions!$C$6),1,0)</f>
        <v/>
      </c>
      <c r="V399">
        <f>IF(U399=1,IF(M399&gt;0,IF(P399&lt;=G399+Assumptions!$C$7,1,0),0),0)</f>
        <v/>
      </c>
      <c r="W399">
        <f>IF(AND(U399=1,M399&gt;=H399*(1-Assumptions!$C$8)),1,0)</f>
        <v/>
      </c>
      <c r="X399">
        <f>IF(AND(U399=1,N399&gt;=H399*(1-Assumptions!$C$8)),1,0)</f>
        <v/>
      </c>
      <c r="Y399">
        <f>IF(ISNUMBER(Q399),1,0)</f>
        <v/>
      </c>
      <c r="Z399">
        <f>IF(AND(K399=0,L399=0,Y399=0),1,0)</f>
        <v/>
      </c>
      <c r="AA399">
        <f>IF(AND(Z399=1,G399&lt;Assumptions!$C$6),1,0)</f>
        <v/>
      </c>
      <c r="AB399">
        <f>IF(U399=0,"",IF(Y399=1,MAX(0,Q399-G399),IF(L399=1,MAX(0,R399-G399),MAX(0,Assumptions!$C$6-G399))))</f>
        <v/>
      </c>
      <c r="AC399">
        <f>IF(Y399=1,Q399-F399,"")</f>
        <v/>
      </c>
      <c r="AD399">
        <f>IF(Y399=1,AC399^2,"")</f>
        <v/>
      </c>
      <c r="AE399" s="19">
        <f>IF(Z399=1,(H399-M399)*I399,0)</f>
        <v/>
      </c>
      <c r="AF399">
        <f>IF(G399&lt;EDATE(Assumptions!$C$6,-12)+1,"prior_12m","last_12m")</f>
        <v/>
      </c>
      <c r="AG399" s="21">
        <f>DATE(YEAR(G399),MONTH(G399),1)</f>
        <v/>
      </c>
    </row>
    <row r="400">
      <c r="A400" t="inlineStr">
        <is>
          <t>SPO-00221-1</t>
        </is>
      </c>
      <c r="B400" t="inlineStr">
        <is>
          <t>SPO-00221</t>
        </is>
      </c>
      <c r="C400" t="inlineStr">
        <is>
          <t>SUP-02</t>
        </is>
      </c>
      <c r="D400" t="inlineStr">
        <is>
          <t>ELEC</t>
        </is>
      </c>
      <c r="E400" t="inlineStr">
        <is>
          <t>ELEC-06</t>
        </is>
      </c>
      <c r="F400" s="17" t="n">
        <v>45629</v>
      </c>
      <c r="G400" s="17" t="n">
        <v>45645</v>
      </c>
      <c r="H400" s="18" t="n">
        <v>16</v>
      </c>
      <c r="I400" s="19" t="n">
        <v>145.82</v>
      </c>
      <c r="J400" s="19" t="n">
        <v>145</v>
      </c>
      <c r="K400" s="20" t="n">
        <v>0</v>
      </c>
      <c r="L400" s="20" t="n">
        <v>0</v>
      </c>
      <c r="M400" s="18" t="n">
        <v>16</v>
      </c>
      <c r="N400" s="18" t="n">
        <v>16</v>
      </c>
      <c r="O400" s="18" t="n">
        <v>0</v>
      </c>
      <c r="P400" s="17" t="n">
        <v>45643</v>
      </c>
      <c r="Q400" s="17" t="n">
        <v>45643</v>
      </c>
      <c r="R400" s="17" t="n">
        <v>45643</v>
      </c>
      <c r="S400" s="19">
        <f>H400*I400</f>
        <v/>
      </c>
      <c r="T400" s="19">
        <f>H400*J400</f>
        <v/>
      </c>
      <c r="U400">
        <f>IF(AND(K400=0,G400&lt;=Assumptions!$C$6),1,0)</f>
        <v/>
      </c>
      <c r="V400">
        <f>IF(U400=1,IF(M400&gt;0,IF(P400&lt;=G400+Assumptions!$C$7,1,0),0),0)</f>
        <v/>
      </c>
      <c r="W400">
        <f>IF(AND(U400=1,M400&gt;=H400*(1-Assumptions!$C$8)),1,0)</f>
        <v/>
      </c>
      <c r="X400">
        <f>IF(AND(U400=1,N400&gt;=H400*(1-Assumptions!$C$8)),1,0)</f>
        <v/>
      </c>
      <c r="Y400">
        <f>IF(ISNUMBER(Q400),1,0)</f>
        <v/>
      </c>
      <c r="Z400">
        <f>IF(AND(K400=0,L400=0,Y400=0),1,0)</f>
        <v/>
      </c>
      <c r="AA400">
        <f>IF(AND(Z400=1,G400&lt;Assumptions!$C$6),1,0)</f>
        <v/>
      </c>
      <c r="AB400">
        <f>IF(U400=0,"",IF(Y400=1,MAX(0,Q400-G400),IF(L400=1,MAX(0,R400-G400),MAX(0,Assumptions!$C$6-G400))))</f>
        <v/>
      </c>
      <c r="AC400">
        <f>IF(Y400=1,Q400-F400,"")</f>
        <v/>
      </c>
      <c r="AD400">
        <f>IF(Y400=1,AC400^2,"")</f>
        <v/>
      </c>
      <c r="AE400" s="19">
        <f>IF(Z400=1,(H400-M400)*I400,0)</f>
        <v/>
      </c>
      <c r="AF400">
        <f>IF(G400&lt;EDATE(Assumptions!$C$6,-12)+1,"prior_12m","last_12m")</f>
        <v/>
      </c>
      <c r="AG400" s="21">
        <f>DATE(YEAR(G400),MONTH(G400),1)</f>
        <v/>
      </c>
    </row>
    <row r="401">
      <c r="A401" t="inlineStr">
        <is>
          <t>SPO-00221-2</t>
        </is>
      </c>
      <c r="B401" t="inlineStr">
        <is>
          <t>SPO-00221</t>
        </is>
      </c>
      <c r="C401" t="inlineStr">
        <is>
          <t>SUP-02</t>
        </is>
      </c>
      <c r="D401" t="inlineStr">
        <is>
          <t>ELEC</t>
        </is>
      </c>
      <c r="E401" t="inlineStr">
        <is>
          <t>ELEC-01</t>
        </is>
      </c>
      <c r="F401" s="17" t="n">
        <v>45629</v>
      </c>
      <c r="G401" s="17" t="n">
        <v>45645</v>
      </c>
      <c r="H401" s="18" t="n">
        <v>159</v>
      </c>
      <c r="I401" s="19" t="n">
        <v>38.92</v>
      </c>
      <c r="J401" s="19" t="n">
        <v>38</v>
      </c>
      <c r="K401" s="20" t="n">
        <v>0</v>
      </c>
      <c r="L401" s="20" t="n">
        <v>0</v>
      </c>
      <c r="M401" s="18" t="n">
        <v>159</v>
      </c>
      <c r="N401" s="18" t="n">
        <v>159</v>
      </c>
      <c r="O401" s="18" t="n">
        <v>0</v>
      </c>
      <c r="P401" s="17" t="n">
        <v>45644</v>
      </c>
      <c r="Q401" s="17" t="n">
        <v>45644</v>
      </c>
      <c r="R401" s="17" t="n">
        <v>45644</v>
      </c>
      <c r="S401" s="19">
        <f>H401*I401</f>
        <v/>
      </c>
      <c r="T401" s="19">
        <f>H401*J401</f>
        <v/>
      </c>
      <c r="U401">
        <f>IF(AND(K401=0,G401&lt;=Assumptions!$C$6),1,0)</f>
        <v/>
      </c>
      <c r="V401">
        <f>IF(U401=1,IF(M401&gt;0,IF(P401&lt;=G401+Assumptions!$C$7,1,0),0),0)</f>
        <v/>
      </c>
      <c r="W401">
        <f>IF(AND(U401=1,M401&gt;=H401*(1-Assumptions!$C$8)),1,0)</f>
        <v/>
      </c>
      <c r="X401">
        <f>IF(AND(U401=1,N401&gt;=H401*(1-Assumptions!$C$8)),1,0)</f>
        <v/>
      </c>
      <c r="Y401">
        <f>IF(ISNUMBER(Q401),1,0)</f>
        <v/>
      </c>
      <c r="Z401">
        <f>IF(AND(K401=0,L401=0,Y401=0),1,0)</f>
        <v/>
      </c>
      <c r="AA401">
        <f>IF(AND(Z401=1,G401&lt;Assumptions!$C$6),1,0)</f>
        <v/>
      </c>
      <c r="AB401">
        <f>IF(U401=0,"",IF(Y401=1,MAX(0,Q401-G401),IF(L401=1,MAX(0,R401-G401),MAX(0,Assumptions!$C$6-G401))))</f>
        <v/>
      </c>
      <c r="AC401">
        <f>IF(Y401=1,Q401-F401,"")</f>
        <v/>
      </c>
      <c r="AD401">
        <f>IF(Y401=1,AC401^2,"")</f>
        <v/>
      </c>
      <c r="AE401" s="19">
        <f>IF(Z401=1,(H401-M401)*I401,0)</f>
        <v/>
      </c>
      <c r="AF401">
        <f>IF(G401&lt;EDATE(Assumptions!$C$6,-12)+1,"prior_12m","last_12m")</f>
        <v/>
      </c>
      <c r="AG401" s="21">
        <f>DATE(YEAR(G401),MONTH(G401),1)</f>
        <v/>
      </c>
    </row>
    <row r="402">
      <c r="A402" t="inlineStr">
        <is>
          <t>SPO-00221-3</t>
        </is>
      </c>
      <c r="B402" t="inlineStr">
        <is>
          <t>SPO-00221</t>
        </is>
      </c>
      <c r="C402" t="inlineStr">
        <is>
          <t>SUP-02</t>
        </is>
      </c>
      <c r="D402" t="inlineStr">
        <is>
          <t>ELEC</t>
        </is>
      </c>
      <c r="E402" t="inlineStr">
        <is>
          <t>ELEC-03</t>
        </is>
      </c>
      <c r="F402" s="17" t="n">
        <v>45629</v>
      </c>
      <c r="G402" s="17" t="n">
        <v>45645</v>
      </c>
      <c r="H402" s="18" t="n">
        <v>15</v>
      </c>
      <c r="I402" s="19" t="n">
        <v>93.37</v>
      </c>
      <c r="J402" s="19" t="n">
        <v>96</v>
      </c>
      <c r="K402" s="20" t="n">
        <v>0</v>
      </c>
      <c r="L402" s="20" t="n">
        <v>0</v>
      </c>
      <c r="M402" s="18" t="n">
        <v>15</v>
      </c>
      <c r="N402" s="18" t="n">
        <v>0</v>
      </c>
      <c r="O402" s="18" t="n">
        <v>0</v>
      </c>
      <c r="P402" s="17" t="n">
        <v>45646</v>
      </c>
      <c r="Q402" s="17" t="n">
        <v>45646</v>
      </c>
      <c r="R402" s="17" t="n">
        <v>45646</v>
      </c>
      <c r="S402" s="19">
        <f>H402*I402</f>
        <v/>
      </c>
      <c r="T402" s="19">
        <f>H402*J402</f>
        <v/>
      </c>
      <c r="U402">
        <f>IF(AND(K402=0,G402&lt;=Assumptions!$C$6),1,0)</f>
        <v/>
      </c>
      <c r="V402">
        <f>IF(U402=1,IF(M402&gt;0,IF(P402&lt;=G402+Assumptions!$C$7,1,0),0),0)</f>
        <v/>
      </c>
      <c r="W402">
        <f>IF(AND(U402=1,M402&gt;=H402*(1-Assumptions!$C$8)),1,0)</f>
        <v/>
      </c>
      <c r="X402">
        <f>IF(AND(U402=1,N402&gt;=H402*(1-Assumptions!$C$8)),1,0)</f>
        <v/>
      </c>
      <c r="Y402">
        <f>IF(ISNUMBER(Q402),1,0)</f>
        <v/>
      </c>
      <c r="Z402">
        <f>IF(AND(K402=0,L402=0,Y402=0),1,0)</f>
        <v/>
      </c>
      <c r="AA402">
        <f>IF(AND(Z402=1,G402&lt;Assumptions!$C$6),1,0)</f>
        <v/>
      </c>
      <c r="AB402">
        <f>IF(U402=0,"",IF(Y402=1,MAX(0,Q402-G402),IF(L402=1,MAX(0,R402-G402),MAX(0,Assumptions!$C$6-G402))))</f>
        <v/>
      </c>
      <c r="AC402">
        <f>IF(Y402=1,Q402-F402,"")</f>
        <v/>
      </c>
      <c r="AD402">
        <f>IF(Y402=1,AC402^2,"")</f>
        <v/>
      </c>
      <c r="AE402" s="19">
        <f>IF(Z402=1,(H402-M402)*I402,0)</f>
        <v/>
      </c>
      <c r="AF402">
        <f>IF(G402&lt;EDATE(Assumptions!$C$6,-12)+1,"prior_12m","last_12m")</f>
        <v/>
      </c>
      <c r="AG402" s="21">
        <f>DATE(YEAR(G402),MONTH(G402),1)</f>
        <v/>
      </c>
    </row>
    <row r="403">
      <c r="A403" t="inlineStr">
        <is>
          <t>SPO-00221-4</t>
        </is>
      </c>
      <c r="B403" t="inlineStr">
        <is>
          <t>SPO-00221</t>
        </is>
      </c>
      <c r="C403" t="inlineStr">
        <is>
          <t>SUP-02</t>
        </is>
      </c>
      <c r="D403" t="inlineStr">
        <is>
          <t>ELEC</t>
        </is>
      </c>
      <c r="E403" t="inlineStr">
        <is>
          <t>ELEC-08</t>
        </is>
      </c>
      <c r="F403" s="17" t="n">
        <v>45629</v>
      </c>
      <c r="G403" s="17" t="n">
        <v>45645</v>
      </c>
      <c r="H403" s="18" t="n">
        <v>83</v>
      </c>
      <c r="I403" s="19" t="n">
        <v>17.97</v>
      </c>
      <c r="J403" s="19" t="n">
        <v>18</v>
      </c>
      <c r="K403" s="20" t="n">
        <v>0</v>
      </c>
      <c r="L403" s="20" t="n">
        <v>0</v>
      </c>
      <c r="M403" s="18" t="n">
        <v>83</v>
      </c>
      <c r="N403" s="18" t="n">
        <v>83</v>
      </c>
      <c r="O403" s="18" t="n">
        <v>0</v>
      </c>
      <c r="P403" s="17" t="n">
        <v>45642</v>
      </c>
      <c r="Q403" s="17" t="n">
        <v>45642</v>
      </c>
      <c r="R403" s="17" t="n">
        <v>45642</v>
      </c>
      <c r="S403" s="19">
        <f>H403*I403</f>
        <v/>
      </c>
      <c r="T403" s="19">
        <f>H403*J403</f>
        <v/>
      </c>
      <c r="U403">
        <f>IF(AND(K403=0,G403&lt;=Assumptions!$C$6),1,0)</f>
        <v/>
      </c>
      <c r="V403">
        <f>IF(U403=1,IF(M403&gt;0,IF(P403&lt;=G403+Assumptions!$C$7,1,0),0),0)</f>
        <v/>
      </c>
      <c r="W403">
        <f>IF(AND(U403=1,M403&gt;=H403*(1-Assumptions!$C$8)),1,0)</f>
        <v/>
      </c>
      <c r="X403">
        <f>IF(AND(U403=1,N403&gt;=H403*(1-Assumptions!$C$8)),1,0)</f>
        <v/>
      </c>
      <c r="Y403">
        <f>IF(ISNUMBER(Q403),1,0)</f>
        <v/>
      </c>
      <c r="Z403">
        <f>IF(AND(K403=0,L403=0,Y403=0),1,0)</f>
        <v/>
      </c>
      <c r="AA403">
        <f>IF(AND(Z403=1,G403&lt;Assumptions!$C$6),1,0)</f>
        <v/>
      </c>
      <c r="AB403">
        <f>IF(U403=0,"",IF(Y403=1,MAX(0,Q403-G403),IF(L403=1,MAX(0,R403-G403),MAX(0,Assumptions!$C$6-G403))))</f>
        <v/>
      </c>
      <c r="AC403">
        <f>IF(Y403=1,Q403-F403,"")</f>
        <v/>
      </c>
      <c r="AD403">
        <f>IF(Y403=1,AC403^2,"")</f>
        <v/>
      </c>
      <c r="AE403" s="19">
        <f>IF(Z403=1,(H403-M403)*I403,0)</f>
        <v/>
      </c>
      <c r="AF403">
        <f>IF(G403&lt;EDATE(Assumptions!$C$6,-12)+1,"prior_12m","last_12m")</f>
        <v/>
      </c>
      <c r="AG403" s="21">
        <f>DATE(YEAR(G403),MONTH(G403),1)</f>
        <v/>
      </c>
    </row>
    <row r="404">
      <c r="A404" t="inlineStr">
        <is>
          <t>SPO-00222-1</t>
        </is>
      </c>
      <c r="B404" t="inlineStr">
        <is>
          <t>SPO-00222</t>
        </is>
      </c>
      <c r="C404" t="inlineStr">
        <is>
          <t>SUP-01</t>
        </is>
      </c>
      <c r="D404" t="inlineStr">
        <is>
          <t>ELEC</t>
        </is>
      </c>
      <c r="E404" t="inlineStr">
        <is>
          <t>ELEC-04</t>
        </is>
      </c>
      <c r="F404" s="17" t="n">
        <v>45629</v>
      </c>
      <c r="G404" s="17" t="n">
        <v>45647</v>
      </c>
      <c r="H404" s="18" t="n">
        <v>43</v>
      </c>
      <c r="I404" s="19" t="n">
        <v>71.98</v>
      </c>
      <c r="J404" s="19" t="n">
        <v>72</v>
      </c>
      <c r="K404" s="20" t="n">
        <v>0</v>
      </c>
      <c r="L404" s="20" t="n">
        <v>0</v>
      </c>
      <c r="M404" s="18" t="n">
        <v>43</v>
      </c>
      <c r="N404" s="18" t="n">
        <v>43</v>
      </c>
      <c r="O404" s="18" t="n">
        <v>0</v>
      </c>
      <c r="P404" s="17" t="n">
        <v>45645</v>
      </c>
      <c r="Q404" s="17" t="n">
        <v>45645</v>
      </c>
      <c r="R404" s="17" t="n">
        <v>45645</v>
      </c>
      <c r="S404" s="19">
        <f>H404*I404</f>
        <v/>
      </c>
      <c r="T404" s="19">
        <f>H404*J404</f>
        <v/>
      </c>
      <c r="U404">
        <f>IF(AND(K404=0,G404&lt;=Assumptions!$C$6),1,0)</f>
        <v/>
      </c>
      <c r="V404">
        <f>IF(U404=1,IF(M404&gt;0,IF(P404&lt;=G404+Assumptions!$C$7,1,0),0),0)</f>
        <v/>
      </c>
      <c r="W404">
        <f>IF(AND(U404=1,M404&gt;=H404*(1-Assumptions!$C$8)),1,0)</f>
        <v/>
      </c>
      <c r="X404">
        <f>IF(AND(U404=1,N404&gt;=H404*(1-Assumptions!$C$8)),1,0)</f>
        <v/>
      </c>
      <c r="Y404">
        <f>IF(ISNUMBER(Q404),1,0)</f>
        <v/>
      </c>
      <c r="Z404">
        <f>IF(AND(K404=0,L404=0,Y404=0),1,0)</f>
        <v/>
      </c>
      <c r="AA404">
        <f>IF(AND(Z404=1,G404&lt;Assumptions!$C$6),1,0)</f>
        <v/>
      </c>
      <c r="AB404">
        <f>IF(U404=0,"",IF(Y404=1,MAX(0,Q404-G404),IF(L404=1,MAX(0,R404-G404),MAX(0,Assumptions!$C$6-G404))))</f>
        <v/>
      </c>
      <c r="AC404">
        <f>IF(Y404=1,Q404-F404,"")</f>
        <v/>
      </c>
      <c r="AD404">
        <f>IF(Y404=1,AC404^2,"")</f>
        <v/>
      </c>
      <c r="AE404" s="19">
        <f>IF(Z404=1,(H404-M404)*I404,0)</f>
        <v/>
      </c>
      <c r="AF404">
        <f>IF(G404&lt;EDATE(Assumptions!$C$6,-12)+1,"prior_12m","last_12m")</f>
        <v/>
      </c>
      <c r="AG404" s="21">
        <f>DATE(YEAR(G404),MONTH(G404),1)</f>
        <v/>
      </c>
    </row>
    <row r="405">
      <c r="A405" t="inlineStr">
        <is>
          <t>SPO-00222-2</t>
        </is>
      </c>
      <c r="B405" t="inlineStr">
        <is>
          <t>SPO-00222</t>
        </is>
      </c>
      <c r="C405" t="inlineStr">
        <is>
          <t>SUP-01</t>
        </is>
      </c>
      <c r="D405" t="inlineStr">
        <is>
          <t>ELEC</t>
        </is>
      </c>
      <c r="E405" t="inlineStr">
        <is>
          <t>ELEC-08</t>
        </is>
      </c>
      <c r="F405" s="17" t="n">
        <v>45629</v>
      </c>
      <c r="G405" s="17" t="n">
        <v>45647</v>
      </c>
      <c r="H405" s="18" t="n">
        <v>98</v>
      </c>
      <c r="I405" s="19" t="n">
        <v>17.97</v>
      </c>
      <c r="J405" s="19" t="n">
        <v>18</v>
      </c>
      <c r="K405" s="20" t="n">
        <v>0</v>
      </c>
      <c r="L405" s="20" t="n">
        <v>0</v>
      </c>
      <c r="M405" s="18" t="n">
        <v>98</v>
      </c>
      <c r="N405" s="18" t="n">
        <v>98</v>
      </c>
      <c r="O405" s="18" t="n">
        <v>0</v>
      </c>
      <c r="P405" s="17" t="n">
        <v>45643</v>
      </c>
      <c r="Q405" s="17" t="n">
        <v>45643</v>
      </c>
      <c r="R405" s="17" t="n">
        <v>45643</v>
      </c>
      <c r="S405" s="19">
        <f>H405*I405</f>
        <v/>
      </c>
      <c r="T405" s="19">
        <f>H405*J405</f>
        <v/>
      </c>
      <c r="U405">
        <f>IF(AND(K405=0,G405&lt;=Assumptions!$C$6),1,0)</f>
        <v/>
      </c>
      <c r="V405">
        <f>IF(U405=1,IF(M405&gt;0,IF(P405&lt;=G405+Assumptions!$C$7,1,0),0),0)</f>
        <v/>
      </c>
      <c r="W405">
        <f>IF(AND(U405=1,M405&gt;=H405*(1-Assumptions!$C$8)),1,0)</f>
        <v/>
      </c>
      <c r="X405">
        <f>IF(AND(U405=1,N405&gt;=H405*(1-Assumptions!$C$8)),1,0)</f>
        <v/>
      </c>
      <c r="Y405">
        <f>IF(ISNUMBER(Q405),1,0)</f>
        <v/>
      </c>
      <c r="Z405">
        <f>IF(AND(K405=0,L405=0,Y405=0),1,0)</f>
        <v/>
      </c>
      <c r="AA405">
        <f>IF(AND(Z405=1,G405&lt;Assumptions!$C$6),1,0)</f>
        <v/>
      </c>
      <c r="AB405">
        <f>IF(U405=0,"",IF(Y405=1,MAX(0,Q405-G405),IF(L405=1,MAX(0,R405-G405),MAX(0,Assumptions!$C$6-G405))))</f>
        <v/>
      </c>
      <c r="AC405">
        <f>IF(Y405=1,Q405-F405,"")</f>
        <v/>
      </c>
      <c r="AD405">
        <f>IF(Y405=1,AC405^2,"")</f>
        <v/>
      </c>
      <c r="AE405" s="19">
        <f>IF(Z405=1,(H405-M405)*I405,0)</f>
        <v/>
      </c>
      <c r="AF405">
        <f>IF(G405&lt;EDATE(Assumptions!$C$6,-12)+1,"prior_12m","last_12m")</f>
        <v/>
      </c>
      <c r="AG405" s="21">
        <f>DATE(YEAR(G405),MONTH(G405),1)</f>
        <v/>
      </c>
    </row>
    <row r="406">
      <c r="A406" t="inlineStr">
        <is>
          <t>SPO-00223-1</t>
        </is>
      </c>
      <c r="B406" t="inlineStr">
        <is>
          <t>SPO-00223</t>
        </is>
      </c>
      <c r="C406" t="inlineStr">
        <is>
          <t>SUP-12</t>
        </is>
      </c>
      <c r="D406" t="inlineStr">
        <is>
          <t>IT</t>
        </is>
      </c>
      <c r="E406" t="inlineStr">
        <is>
          <t>IT-03</t>
        </is>
      </c>
      <c r="F406" s="17" t="n">
        <v>45629</v>
      </c>
      <c r="G406" s="17" t="n">
        <v>45639</v>
      </c>
      <c r="H406" s="18" t="n">
        <v>54</v>
      </c>
      <c r="I406" s="19" t="n">
        <v>42.41</v>
      </c>
      <c r="J406" s="19" t="n">
        <v>38</v>
      </c>
      <c r="K406" s="20" t="n">
        <v>0</v>
      </c>
      <c r="L406" s="20" t="n">
        <v>0</v>
      </c>
      <c r="M406" s="18" t="n">
        <v>54</v>
      </c>
      <c r="N406" s="18" t="n">
        <v>54</v>
      </c>
      <c r="O406" s="18" t="n">
        <v>0</v>
      </c>
      <c r="P406" s="17" t="n">
        <v>45637</v>
      </c>
      <c r="Q406" s="17" t="n">
        <v>45637</v>
      </c>
      <c r="R406" s="17" t="n">
        <v>45637</v>
      </c>
      <c r="S406" s="19">
        <f>H406*I406</f>
        <v/>
      </c>
      <c r="T406" s="19">
        <f>H406*J406</f>
        <v/>
      </c>
      <c r="U406">
        <f>IF(AND(K406=0,G406&lt;=Assumptions!$C$6),1,0)</f>
        <v/>
      </c>
      <c r="V406">
        <f>IF(U406=1,IF(M406&gt;0,IF(P406&lt;=G406+Assumptions!$C$7,1,0),0),0)</f>
        <v/>
      </c>
      <c r="W406">
        <f>IF(AND(U406=1,M406&gt;=H406*(1-Assumptions!$C$8)),1,0)</f>
        <v/>
      </c>
      <c r="X406">
        <f>IF(AND(U406=1,N406&gt;=H406*(1-Assumptions!$C$8)),1,0)</f>
        <v/>
      </c>
      <c r="Y406">
        <f>IF(ISNUMBER(Q406),1,0)</f>
        <v/>
      </c>
      <c r="Z406">
        <f>IF(AND(K406=0,L406=0,Y406=0),1,0)</f>
        <v/>
      </c>
      <c r="AA406">
        <f>IF(AND(Z406=1,G406&lt;Assumptions!$C$6),1,0)</f>
        <v/>
      </c>
      <c r="AB406">
        <f>IF(U406=0,"",IF(Y406=1,MAX(0,Q406-G406),IF(L406=1,MAX(0,R406-G406),MAX(0,Assumptions!$C$6-G406))))</f>
        <v/>
      </c>
      <c r="AC406">
        <f>IF(Y406=1,Q406-F406,"")</f>
        <v/>
      </c>
      <c r="AD406">
        <f>IF(Y406=1,AC406^2,"")</f>
        <v/>
      </c>
      <c r="AE406" s="19">
        <f>IF(Z406=1,(H406-M406)*I406,0)</f>
        <v/>
      </c>
      <c r="AF406">
        <f>IF(G406&lt;EDATE(Assumptions!$C$6,-12)+1,"prior_12m","last_12m")</f>
        <v/>
      </c>
      <c r="AG406" s="21">
        <f>DATE(YEAR(G406),MONTH(G406),1)</f>
        <v/>
      </c>
    </row>
    <row r="407">
      <c r="A407" t="inlineStr">
        <is>
          <t>SPO-00224-1</t>
        </is>
      </c>
      <c r="B407" t="inlineStr">
        <is>
          <t>SPO-00224</t>
        </is>
      </c>
      <c r="C407" t="inlineStr">
        <is>
          <t>SUP-14</t>
        </is>
      </c>
      <c r="D407" t="inlineStr">
        <is>
          <t>FLEET</t>
        </is>
      </c>
      <c r="E407" t="inlineStr">
        <is>
          <t>FLEET-06</t>
        </is>
      </c>
      <c r="F407" s="17" t="n">
        <v>45629</v>
      </c>
      <c r="G407" s="17" t="n">
        <v>45643</v>
      </c>
      <c r="H407" s="18" t="n">
        <v>18</v>
      </c>
      <c r="I407" s="19" t="n">
        <v>33.41</v>
      </c>
      <c r="J407" s="19" t="n">
        <v>33</v>
      </c>
      <c r="K407" s="20" t="n">
        <v>0</v>
      </c>
      <c r="L407" s="20" t="n">
        <v>0</v>
      </c>
      <c r="M407" s="18" t="n">
        <v>18</v>
      </c>
      <c r="N407" s="18" t="n">
        <v>18</v>
      </c>
      <c r="O407" s="18" t="n">
        <v>0</v>
      </c>
      <c r="P407" s="17" t="n">
        <v>45636</v>
      </c>
      <c r="Q407" s="17" t="n">
        <v>45636</v>
      </c>
      <c r="R407" s="17" t="n">
        <v>45636</v>
      </c>
      <c r="S407" s="19">
        <f>H407*I407</f>
        <v/>
      </c>
      <c r="T407" s="19">
        <f>H407*J407</f>
        <v/>
      </c>
      <c r="U407">
        <f>IF(AND(K407=0,G407&lt;=Assumptions!$C$6),1,0)</f>
        <v/>
      </c>
      <c r="V407">
        <f>IF(U407=1,IF(M407&gt;0,IF(P407&lt;=G407+Assumptions!$C$7,1,0),0),0)</f>
        <v/>
      </c>
      <c r="W407">
        <f>IF(AND(U407=1,M407&gt;=H407*(1-Assumptions!$C$8)),1,0)</f>
        <v/>
      </c>
      <c r="X407">
        <f>IF(AND(U407=1,N407&gt;=H407*(1-Assumptions!$C$8)),1,0)</f>
        <v/>
      </c>
      <c r="Y407">
        <f>IF(ISNUMBER(Q407),1,0)</f>
        <v/>
      </c>
      <c r="Z407">
        <f>IF(AND(K407=0,L407=0,Y407=0),1,0)</f>
        <v/>
      </c>
      <c r="AA407">
        <f>IF(AND(Z407=1,G407&lt;Assumptions!$C$6),1,0)</f>
        <v/>
      </c>
      <c r="AB407">
        <f>IF(U407=0,"",IF(Y407=1,MAX(0,Q407-G407),IF(L407=1,MAX(0,R407-G407),MAX(0,Assumptions!$C$6-G407))))</f>
        <v/>
      </c>
      <c r="AC407">
        <f>IF(Y407=1,Q407-F407,"")</f>
        <v/>
      </c>
      <c r="AD407">
        <f>IF(Y407=1,AC407^2,"")</f>
        <v/>
      </c>
      <c r="AE407" s="19">
        <f>IF(Z407=1,(H407-M407)*I407,0)</f>
        <v/>
      </c>
      <c r="AF407">
        <f>IF(G407&lt;EDATE(Assumptions!$C$6,-12)+1,"prior_12m","last_12m")</f>
        <v/>
      </c>
      <c r="AG407" s="21">
        <f>DATE(YEAR(G407),MONTH(G407),1)</f>
        <v/>
      </c>
    </row>
    <row r="408">
      <c r="A408" t="inlineStr">
        <is>
          <t>SPO-00225-1</t>
        </is>
      </c>
      <c r="B408" t="inlineStr">
        <is>
          <t>SPO-00225</t>
        </is>
      </c>
      <c r="C408" t="inlineStr">
        <is>
          <t>SUP-14</t>
        </is>
      </c>
      <c r="D408" t="inlineStr">
        <is>
          <t>FLEET</t>
        </is>
      </c>
      <c r="E408" t="inlineStr">
        <is>
          <t>FLEET-07</t>
        </is>
      </c>
      <c r="F408" s="17" t="n">
        <v>45629</v>
      </c>
      <c r="G408" s="17" t="n">
        <v>45643</v>
      </c>
      <c r="H408" s="18" t="n">
        <v>40</v>
      </c>
      <c r="I408" s="19" t="n">
        <v>124.55</v>
      </c>
      <c r="J408" s="19" t="n">
        <v>118</v>
      </c>
      <c r="K408" s="20" t="n">
        <v>0</v>
      </c>
      <c r="L408" s="20" t="n">
        <v>1</v>
      </c>
      <c r="M408" s="18" t="n">
        <v>31</v>
      </c>
      <c r="N408" s="18" t="n">
        <v>31</v>
      </c>
      <c r="O408" s="18" t="n">
        <v>0</v>
      </c>
      <c r="P408" s="17" t="n">
        <v>45638</v>
      </c>
      <c r="Q408" s="17" t="n"/>
      <c r="R408" s="17" t="n">
        <v>45638</v>
      </c>
      <c r="S408" s="19">
        <f>H408*I408</f>
        <v/>
      </c>
      <c r="T408" s="19">
        <f>H408*J408</f>
        <v/>
      </c>
      <c r="U408">
        <f>IF(AND(K408=0,G408&lt;=Assumptions!$C$6),1,0)</f>
        <v/>
      </c>
      <c r="V408">
        <f>IF(U408=1,IF(M408&gt;0,IF(P408&lt;=G408+Assumptions!$C$7,1,0),0),0)</f>
        <v/>
      </c>
      <c r="W408">
        <f>IF(AND(U408=1,M408&gt;=H408*(1-Assumptions!$C$8)),1,0)</f>
        <v/>
      </c>
      <c r="X408">
        <f>IF(AND(U408=1,N408&gt;=H408*(1-Assumptions!$C$8)),1,0)</f>
        <v/>
      </c>
      <c r="Y408">
        <f>IF(ISNUMBER(Q408),1,0)</f>
        <v/>
      </c>
      <c r="Z408">
        <f>IF(AND(K408=0,L408=0,Y408=0),1,0)</f>
        <v/>
      </c>
      <c r="AA408">
        <f>IF(AND(Z408=1,G408&lt;Assumptions!$C$6),1,0)</f>
        <v/>
      </c>
      <c r="AB408">
        <f>IF(U408=0,"",IF(Y408=1,MAX(0,Q408-G408),IF(L408=1,MAX(0,R408-G408),MAX(0,Assumptions!$C$6-G408))))</f>
        <v/>
      </c>
      <c r="AC408">
        <f>IF(Y408=1,Q408-F408,"")</f>
        <v/>
      </c>
      <c r="AD408">
        <f>IF(Y408=1,AC408^2,"")</f>
        <v/>
      </c>
      <c r="AE408" s="19">
        <f>IF(Z408=1,(H408-M408)*I408,0)</f>
        <v/>
      </c>
      <c r="AF408">
        <f>IF(G408&lt;EDATE(Assumptions!$C$6,-12)+1,"prior_12m","last_12m")</f>
        <v/>
      </c>
      <c r="AG408" s="21">
        <f>DATE(YEAR(G408),MONTH(G408),1)</f>
        <v/>
      </c>
    </row>
    <row r="409">
      <c r="A409" t="inlineStr">
        <is>
          <t>SPO-00225-2</t>
        </is>
      </c>
      <c r="B409" t="inlineStr">
        <is>
          <t>SPO-00225</t>
        </is>
      </c>
      <c r="C409" t="inlineStr">
        <is>
          <t>SUP-14</t>
        </is>
      </c>
      <c r="D409" t="inlineStr">
        <is>
          <t>FLEET</t>
        </is>
      </c>
      <c r="E409" t="inlineStr">
        <is>
          <t>FLEET-08</t>
        </is>
      </c>
      <c r="F409" s="17" t="n">
        <v>45629</v>
      </c>
      <c r="G409" s="17" t="n">
        <v>45643</v>
      </c>
      <c r="H409" s="18" t="n">
        <v>344</v>
      </c>
      <c r="I409" s="19" t="n">
        <v>6.72</v>
      </c>
      <c r="J409" s="19" t="n">
        <v>6.4</v>
      </c>
      <c r="K409" s="20" t="n">
        <v>0</v>
      </c>
      <c r="L409" s="20" t="n">
        <v>0</v>
      </c>
      <c r="M409" s="18" t="n">
        <v>344</v>
      </c>
      <c r="N409" s="18" t="n">
        <v>344</v>
      </c>
      <c r="O409" s="18" t="n">
        <v>0</v>
      </c>
      <c r="P409" s="17" t="n">
        <v>45639</v>
      </c>
      <c r="Q409" s="17" t="n">
        <v>45639</v>
      </c>
      <c r="R409" s="17" t="n">
        <v>45639</v>
      </c>
      <c r="S409" s="19">
        <f>H409*I409</f>
        <v/>
      </c>
      <c r="T409" s="19">
        <f>H409*J409</f>
        <v/>
      </c>
      <c r="U409">
        <f>IF(AND(K409=0,G409&lt;=Assumptions!$C$6),1,0)</f>
        <v/>
      </c>
      <c r="V409">
        <f>IF(U409=1,IF(M409&gt;0,IF(P409&lt;=G409+Assumptions!$C$7,1,0),0),0)</f>
        <v/>
      </c>
      <c r="W409">
        <f>IF(AND(U409=1,M409&gt;=H409*(1-Assumptions!$C$8)),1,0)</f>
        <v/>
      </c>
      <c r="X409">
        <f>IF(AND(U409=1,N409&gt;=H409*(1-Assumptions!$C$8)),1,0)</f>
        <v/>
      </c>
      <c r="Y409">
        <f>IF(ISNUMBER(Q409),1,0)</f>
        <v/>
      </c>
      <c r="Z409">
        <f>IF(AND(K409=0,L409=0,Y409=0),1,0)</f>
        <v/>
      </c>
      <c r="AA409">
        <f>IF(AND(Z409=1,G409&lt;Assumptions!$C$6),1,0)</f>
        <v/>
      </c>
      <c r="AB409">
        <f>IF(U409=0,"",IF(Y409=1,MAX(0,Q409-G409),IF(L409=1,MAX(0,R409-G409),MAX(0,Assumptions!$C$6-G409))))</f>
        <v/>
      </c>
      <c r="AC409">
        <f>IF(Y409=1,Q409-F409,"")</f>
        <v/>
      </c>
      <c r="AD409">
        <f>IF(Y409=1,AC409^2,"")</f>
        <v/>
      </c>
      <c r="AE409" s="19">
        <f>IF(Z409=1,(H409-M409)*I409,0)</f>
        <v/>
      </c>
      <c r="AF409">
        <f>IF(G409&lt;EDATE(Assumptions!$C$6,-12)+1,"prior_12m","last_12m")</f>
        <v/>
      </c>
      <c r="AG409" s="21">
        <f>DATE(YEAR(G409),MONTH(G409),1)</f>
        <v/>
      </c>
    </row>
    <row r="410">
      <c r="A410" t="inlineStr">
        <is>
          <t>SPO-00226-1</t>
        </is>
      </c>
      <c r="B410" t="inlineStr">
        <is>
          <t>SPO-00226</t>
        </is>
      </c>
      <c r="C410" t="inlineStr">
        <is>
          <t>SUP-12</t>
        </is>
      </c>
      <c r="D410" t="inlineStr">
        <is>
          <t>IT</t>
        </is>
      </c>
      <c r="E410" t="inlineStr">
        <is>
          <t>IT-06</t>
        </is>
      </c>
      <c r="F410" s="17" t="n">
        <v>45630</v>
      </c>
      <c r="G410" s="17" t="n">
        <v>45640</v>
      </c>
      <c r="H410" s="18" t="n">
        <v>30</v>
      </c>
      <c r="I410" s="19" t="n">
        <v>98.40000000000001</v>
      </c>
      <c r="J410" s="19" t="n">
        <v>89</v>
      </c>
      <c r="K410" s="20" t="n">
        <v>0</v>
      </c>
      <c r="L410" s="20" t="n">
        <v>0</v>
      </c>
      <c r="M410" s="18" t="n">
        <v>30</v>
      </c>
      <c r="N410" s="18" t="n">
        <v>30</v>
      </c>
      <c r="O410" s="18" t="n">
        <v>0</v>
      </c>
      <c r="P410" s="17" t="n">
        <v>45640</v>
      </c>
      <c r="Q410" s="17" t="n">
        <v>45640</v>
      </c>
      <c r="R410" s="17" t="n">
        <v>45640</v>
      </c>
      <c r="S410" s="19">
        <f>H410*I410</f>
        <v/>
      </c>
      <c r="T410" s="19">
        <f>H410*J410</f>
        <v/>
      </c>
      <c r="U410">
        <f>IF(AND(K410=0,G410&lt;=Assumptions!$C$6),1,0)</f>
        <v/>
      </c>
      <c r="V410">
        <f>IF(U410=1,IF(M410&gt;0,IF(P410&lt;=G410+Assumptions!$C$7,1,0),0),0)</f>
        <v/>
      </c>
      <c r="W410">
        <f>IF(AND(U410=1,M410&gt;=H410*(1-Assumptions!$C$8)),1,0)</f>
        <v/>
      </c>
      <c r="X410">
        <f>IF(AND(U410=1,N410&gt;=H410*(1-Assumptions!$C$8)),1,0)</f>
        <v/>
      </c>
      <c r="Y410">
        <f>IF(ISNUMBER(Q410),1,0)</f>
        <v/>
      </c>
      <c r="Z410">
        <f>IF(AND(K410=0,L410=0,Y410=0),1,0)</f>
        <v/>
      </c>
      <c r="AA410">
        <f>IF(AND(Z410=1,G410&lt;Assumptions!$C$6),1,0)</f>
        <v/>
      </c>
      <c r="AB410">
        <f>IF(U410=0,"",IF(Y410=1,MAX(0,Q410-G410),IF(L410=1,MAX(0,R410-G410),MAX(0,Assumptions!$C$6-G410))))</f>
        <v/>
      </c>
      <c r="AC410">
        <f>IF(Y410=1,Q410-F410,"")</f>
        <v/>
      </c>
      <c r="AD410">
        <f>IF(Y410=1,AC410^2,"")</f>
        <v/>
      </c>
      <c r="AE410" s="19">
        <f>IF(Z410=1,(H410-M410)*I410,0)</f>
        <v/>
      </c>
      <c r="AF410">
        <f>IF(G410&lt;EDATE(Assumptions!$C$6,-12)+1,"prior_12m","last_12m")</f>
        <v/>
      </c>
      <c r="AG410" s="21">
        <f>DATE(YEAR(G410),MONTH(G410),1)</f>
        <v/>
      </c>
    </row>
    <row r="411">
      <c r="A411" t="inlineStr">
        <is>
          <t>SPO-00227-1</t>
        </is>
      </c>
      <c r="B411" t="inlineStr">
        <is>
          <t>SPO-00227</t>
        </is>
      </c>
      <c r="C411" t="inlineStr">
        <is>
          <t>SUP-05</t>
        </is>
      </c>
      <c r="D411" t="inlineStr">
        <is>
          <t>FLEET</t>
        </is>
      </c>
      <c r="E411" t="inlineStr">
        <is>
          <t>FLEET-05</t>
        </is>
      </c>
      <c r="F411" s="17" t="n">
        <v>45630</v>
      </c>
      <c r="G411" s="17" t="n">
        <v>45644</v>
      </c>
      <c r="H411" s="18" t="n">
        <v>13</v>
      </c>
      <c r="I411" s="19" t="n">
        <v>168.22</v>
      </c>
      <c r="J411" s="19" t="n">
        <v>168</v>
      </c>
      <c r="K411" s="20" t="n">
        <v>0</v>
      </c>
      <c r="L411" s="20" t="n">
        <v>0</v>
      </c>
      <c r="M411" s="18" t="n">
        <v>13</v>
      </c>
      <c r="N411" s="18" t="n">
        <v>13</v>
      </c>
      <c r="O411" s="18" t="n">
        <v>0</v>
      </c>
      <c r="P411" s="17" t="n">
        <v>45635</v>
      </c>
      <c r="Q411" s="17" t="n">
        <v>45635</v>
      </c>
      <c r="R411" s="17" t="n">
        <v>45635</v>
      </c>
      <c r="S411" s="19">
        <f>H411*I411</f>
        <v/>
      </c>
      <c r="T411" s="19">
        <f>H411*J411</f>
        <v/>
      </c>
      <c r="U411">
        <f>IF(AND(K411=0,G411&lt;=Assumptions!$C$6),1,0)</f>
        <v/>
      </c>
      <c r="V411">
        <f>IF(U411=1,IF(M411&gt;0,IF(P411&lt;=G411+Assumptions!$C$7,1,0),0),0)</f>
        <v/>
      </c>
      <c r="W411">
        <f>IF(AND(U411=1,M411&gt;=H411*(1-Assumptions!$C$8)),1,0)</f>
        <v/>
      </c>
      <c r="X411">
        <f>IF(AND(U411=1,N411&gt;=H411*(1-Assumptions!$C$8)),1,0)</f>
        <v/>
      </c>
      <c r="Y411">
        <f>IF(ISNUMBER(Q411),1,0)</f>
        <v/>
      </c>
      <c r="Z411">
        <f>IF(AND(K411=0,L411=0,Y411=0),1,0)</f>
        <v/>
      </c>
      <c r="AA411">
        <f>IF(AND(Z411=1,G411&lt;Assumptions!$C$6),1,0)</f>
        <v/>
      </c>
      <c r="AB411">
        <f>IF(U411=0,"",IF(Y411=1,MAX(0,Q411-G411),IF(L411=1,MAX(0,R411-G411),MAX(0,Assumptions!$C$6-G411))))</f>
        <v/>
      </c>
      <c r="AC411">
        <f>IF(Y411=1,Q411-F411,"")</f>
        <v/>
      </c>
      <c r="AD411">
        <f>IF(Y411=1,AC411^2,"")</f>
        <v/>
      </c>
      <c r="AE411" s="19">
        <f>IF(Z411=1,(H411-M411)*I411,0)</f>
        <v/>
      </c>
      <c r="AF411">
        <f>IF(G411&lt;EDATE(Assumptions!$C$6,-12)+1,"prior_12m","last_12m")</f>
        <v/>
      </c>
      <c r="AG411" s="21">
        <f>DATE(YEAR(G411),MONTH(G411),1)</f>
        <v/>
      </c>
    </row>
    <row r="412">
      <c r="A412" t="inlineStr">
        <is>
          <t>SPO-00227-2</t>
        </is>
      </c>
      <c r="B412" t="inlineStr">
        <is>
          <t>SPO-00227</t>
        </is>
      </c>
      <c r="C412" t="inlineStr">
        <is>
          <t>SUP-05</t>
        </is>
      </c>
      <c r="D412" t="inlineStr">
        <is>
          <t>FLEET</t>
        </is>
      </c>
      <c r="E412" t="inlineStr">
        <is>
          <t>FLEET-01</t>
        </is>
      </c>
      <c r="F412" s="17" t="n">
        <v>45630</v>
      </c>
      <c r="G412" s="17" t="n">
        <v>45644</v>
      </c>
      <c r="H412" s="18" t="n">
        <v>22</v>
      </c>
      <c r="I412" s="19" t="n">
        <v>67.20999999999999</v>
      </c>
      <c r="J412" s="19" t="n">
        <v>64</v>
      </c>
      <c r="K412" s="20" t="n">
        <v>0</v>
      </c>
      <c r="L412" s="20" t="n">
        <v>0</v>
      </c>
      <c r="M412" s="18" t="n">
        <v>22</v>
      </c>
      <c r="N412" s="18" t="n">
        <v>22</v>
      </c>
      <c r="O412" s="18" t="n">
        <v>0</v>
      </c>
      <c r="P412" s="17" t="n">
        <v>45641</v>
      </c>
      <c r="Q412" s="17" t="n">
        <v>45641</v>
      </c>
      <c r="R412" s="17" t="n">
        <v>45641</v>
      </c>
      <c r="S412" s="19">
        <f>H412*I412</f>
        <v/>
      </c>
      <c r="T412" s="19">
        <f>H412*J412</f>
        <v/>
      </c>
      <c r="U412">
        <f>IF(AND(K412=0,G412&lt;=Assumptions!$C$6),1,0)</f>
        <v/>
      </c>
      <c r="V412">
        <f>IF(U412=1,IF(M412&gt;0,IF(P412&lt;=G412+Assumptions!$C$7,1,0),0),0)</f>
        <v/>
      </c>
      <c r="W412">
        <f>IF(AND(U412=1,M412&gt;=H412*(1-Assumptions!$C$8)),1,0)</f>
        <v/>
      </c>
      <c r="X412">
        <f>IF(AND(U412=1,N412&gt;=H412*(1-Assumptions!$C$8)),1,0)</f>
        <v/>
      </c>
      <c r="Y412">
        <f>IF(ISNUMBER(Q412),1,0)</f>
        <v/>
      </c>
      <c r="Z412">
        <f>IF(AND(K412=0,L412=0,Y412=0),1,0)</f>
        <v/>
      </c>
      <c r="AA412">
        <f>IF(AND(Z412=1,G412&lt;Assumptions!$C$6),1,0)</f>
        <v/>
      </c>
      <c r="AB412">
        <f>IF(U412=0,"",IF(Y412=1,MAX(0,Q412-G412),IF(L412=1,MAX(0,R412-G412),MAX(0,Assumptions!$C$6-G412))))</f>
        <v/>
      </c>
      <c r="AC412">
        <f>IF(Y412=1,Q412-F412,"")</f>
        <v/>
      </c>
      <c r="AD412">
        <f>IF(Y412=1,AC412^2,"")</f>
        <v/>
      </c>
      <c r="AE412" s="19">
        <f>IF(Z412=1,(H412-M412)*I412,0)</f>
        <v/>
      </c>
      <c r="AF412">
        <f>IF(G412&lt;EDATE(Assumptions!$C$6,-12)+1,"prior_12m","last_12m")</f>
        <v/>
      </c>
      <c r="AG412" s="21">
        <f>DATE(YEAR(G412),MONTH(G412),1)</f>
        <v/>
      </c>
    </row>
    <row r="413">
      <c r="A413" t="inlineStr">
        <is>
          <t>SPO-00228-1</t>
        </is>
      </c>
      <c r="B413" t="inlineStr">
        <is>
          <t>SPO-00228</t>
        </is>
      </c>
      <c r="C413" t="inlineStr">
        <is>
          <t>SUP-10</t>
        </is>
      </c>
      <c r="D413" t="inlineStr">
        <is>
          <t>PPE</t>
        </is>
      </c>
      <c r="E413" t="inlineStr">
        <is>
          <t>PPE-01</t>
        </is>
      </c>
      <c r="F413" s="17" t="n">
        <v>45630</v>
      </c>
      <c r="G413" s="17" t="n">
        <v>45643</v>
      </c>
      <c r="H413" s="18" t="n">
        <v>171</v>
      </c>
      <c r="I413" s="19" t="n">
        <v>4.5</v>
      </c>
      <c r="J413" s="19" t="n">
        <v>4.8</v>
      </c>
      <c r="K413" s="20" t="n">
        <v>0</v>
      </c>
      <c r="L413" s="20" t="n">
        <v>0</v>
      </c>
      <c r="M413" s="18" t="n">
        <v>171</v>
      </c>
      <c r="N413" s="18" t="n">
        <v>171</v>
      </c>
      <c r="O413" s="18" t="n">
        <v>0</v>
      </c>
      <c r="P413" s="17" t="n">
        <v>45642</v>
      </c>
      <c r="Q413" s="17" t="n">
        <v>45642</v>
      </c>
      <c r="R413" s="17" t="n">
        <v>45642</v>
      </c>
      <c r="S413" s="19">
        <f>H413*I413</f>
        <v/>
      </c>
      <c r="T413" s="19">
        <f>H413*J413</f>
        <v/>
      </c>
      <c r="U413">
        <f>IF(AND(K413=0,G413&lt;=Assumptions!$C$6),1,0)</f>
        <v/>
      </c>
      <c r="V413">
        <f>IF(U413=1,IF(M413&gt;0,IF(P413&lt;=G413+Assumptions!$C$7,1,0),0),0)</f>
        <v/>
      </c>
      <c r="W413">
        <f>IF(AND(U413=1,M413&gt;=H413*(1-Assumptions!$C$8)),1,0)</f>
        <v/>
      </c>
      <c r="X413">
        <f>IF(AND(U413=1,N413&gt;=H413*(1-Assumptions!$C$8)),1,0)</f>
        <v/>
      </c>
      <c r="Y413">
        <f>IF(ISNUMBER(Q413),1,0)</f>
        <v/>
      </c>
      <c r="Z413">
        <f>IF(AND(K413=0,L413=0,Y413=0),1,0)</f>
        <v/>
      </c>
      <c r="AA413">
        <f>IF(AND(Z413=1,G413&lt;Assumptions!$C$6),1,0)</f>
        <v/>
      </c>
      <c r="AB413">
        <f>IF(U413=0,"",IF(Y413=1,MAX(0,Q413-G413),IF(L413=1,MAX(0,R413-G413),MAX(0,Assumptions!$C$6-G413))))</f>
        <v/>
      </c>
      <c r="AC413">
        <f>IF(Y413=1,Q413-F413,"")</f>
        <v/>
      </c>
      <c r="AD413">
        <f>IF(Y413=1,AC413^2,"")</f>
        <v/>
      </c>
      <c r="AE413" s="19">
        <f>IF(Z413=1,(H413-M413)*I413,0)</f>
        <v/>
      </c>
      <c r="AF413">
        <f>IF(G413&lt;EDATE(Assumptions!$C$6,-12)+1,"prior_12m","last_12m")</f>
        <v/>
      </c>
      <c r="AG413" s="21">
        <f>DATE(YEAR(G413),MONTH(G413),1)</f>
        <v/>
      </c>
    </row>
    <row r="414">
      <c r="A414" t="inlineStr">
        <is>
          <t>SPO-00228-2</t>
        </is>
      </c>
      <c r="B414" t="inlineStr">
        <is>
          <t>SPO-00228</t>
        </is>
      </c>
      <c r="C414" t="inlineStr">
        <is>
          <t>SUP-10</t>
        </is>
      </c>
      <c r="D414" t="inlineStr">
        <is>
          <t>PPE</t>
        </is>
      </c>
      <c r="E414" t="inlineStr">
        <is>
          <t>PPE-08</t>
        </is>
      </c>
      <c r="F414" s="17" t="n">
        <v>45630</v>
      </c>
      <c r="G414" s="17" t="n">
        <v>45643</v>
      </c>
      <c r="H414" s="18" t="n">
        <v>28</v>
      </c>
      <c r="I414" s="19" t="n">
        <v>66.48999999999999</v>
      </c>
      <c r="J414" s="19" t="n">
        <v>64</v>
      </c>
      <c r="K414" s="20" t="n">
        <v>0</v>
      </c>
      <c r="L414" s="20" t="n">
        <v>0</v>
      </c>
      <c r="M414" s="18" t="n">
        <v>28</v>
      </c>
      <c r="N414" s="18" t="n">
        <v>28</v>
      </c>
      <c r="O414" s="18" t="n">
        <v>0</v>
      </c>
      <c r="P414" s="17" t="n">
        <v>45639</v>
      </c>
      <c r="Q414" s="17" t="n">
        <v>45639</v>
      </c>
      <c r="R414" s="17" t="n">
        <v>45639</v>
      </c>
      <c r="S414" s="19">
        <f>H414*I414</f>
        <v/>
      </c>
      <c r="T414" s="19">
        <f>H414*J414</f>
        <v/>
      </c>
      <c r="U414">
        <f>IF(AND(K414=0,G414&lt;=Assumptions!$C$6),1,0)</f>
        <v/>
      </c>
      <c r="V414">
        <f>IF(U414=1,IF(M414&gt;0,IF(P414&lt;=G414+Assumptions!$C$7,1,0),0),0)</f>
        <v/>
      </c>
      <c r="W414">
        <f>IF(AND(U414=1,M414&gt;=H414*(1-Assumptions!$C$8)),1,0)</f>
        <v/>
      </c>
      <c r="X414">
        <f>IF(AND(U414=1,N414&gt;=H414*(1-Assumptions!$C$8)),1,0)</f>
        <v/>
      </c>
      <c r="Y414">
        <f>IF(ISNUMBER(Q414),1,0)</f>
        <v/>
      </c>
      <c r="Z414">
        <f>IF(AND(K414=0,L414=0,Y414=0),1,0)</f>
        <v/>
      </c>
      <c r="AA414">
        <f>IF(AND(Z414=1,G414&lt;Assumptions!$C$6),1,0)</f>
        <v/>
      </c>
      <c r="AB414">
        <f>IF(U414=0,"",IF(Y414=1,MAX(0,Q414-G414),IF(L414=1,MAX(0,R414-G414),MAX(0,Assumptions!$C$6-G414))))</f>
        <v/>
      </c>
      <c r="AC414">
        <f>IF(Y414=1,Q414-F414,"")</f>
        <v/>
      </c>
      <c r="AD414">
        <f>IF(Y414=1,AC414^2,"")</f>
        <v/>
      </c>
      <c r="AE414" s="19">
        <f>IF(Z414=1,(H414-M414)*I414,0)</f>
        <v/>
      </c>
      <c r="AF414">
        <f>IF(G414&lt;EDATE(Assumptions!$C$6,-12)+1,"prior_12m","last_12m")</f>
        <v/>
      </c>
      <c r="AG414" s="21">
        <f>DATE(YEAR(G414),MONTH(G414),1)</f>
        <v/>
      </c>
    </row>
    <row r="415">
      <c r="A415" t="inlineStr">
        <is>
          <t>SPO-00228-3</t>
        </is>
      </c>
      <c r="B415" t="inlineStr">
        <is>
          <t>SPO-00228</t>
        </is>
      </c>
      <c r="C415" t="inlineStr">
        <is>
          <t>SUP-10</t>
        </is>
      </c>
      <c r="D415" t="inlineStr">
        <is>
          <t>PPE</t>
        </is>
      </c>
      <c r="E415" t="inlineStr">
        <is>
          <t>PPE-04</t>
        </is>
      </c>
      <c r="F415" s="17" t="n">
        <v>45630</v>
      </c>
      <c r="G415" s="17" t="n">
        <v>45643</v>
      </c>
      <c r="H415" s="18" t="n">
        <v>36</v>
      </c>
      <c r="I415" s="19" t="n">
        <v>25.69</v>
      </c>
      <c r="J415" s="19" t="n">
        <v>26</v>
      </c>
      <c r="K415" s="20" t="n">
        <v>0</v>
      </c>
      <c r="L415" s="20" t="n">
        <v>0</v>
      </c>
      <c r="M415" s="18" t="n">
        <v>36</v>
      </c>
      <c r="N415" s="18" t="n">
        <v>36</v>
      </c>
      <c r="O415" s="18" t="n">
        <v>0</v>
      </c>
      <c r="P415" s="17" t="n">
        <v>45637</v>
      </c>
      <c r="Q415" s="17" t="n">
        <v>45637</v>
      </c>
      <c r="R415" s="17" t="n">
        <v>45637</v>
      </c>
      <c r="S415" s="19">
        <f>H415*I415</f>
        <v/>
      </c>
      <c r="T415" s="19">
        <f>H415*J415</f>
        <v/>
      </c>
      <c r="U415">
        <f>IF(AND(K415=0,G415&lt;=Assumptions!$C$6),1,0)</f>
        <v/>
      </c>
      <c r="V415">
        <f>IF(U415=1,IF(M415&gt;0,IF(P415&lt;=G415+Assumptions!$C$7,1,0),0),0)</f>
        <v/>
      </c>
      <c r="W415">
        <f>IF(AND(U415=1,M415&gt;=H415*(1-Assumptions!$C$8)),1,0)</f>
        <v/>
      </c>
      <c r="X415">
        <f>IF(AND(U415=1,N415&gt;=H415*(1-Assumptions!$C$8)),1,0)</f>
        <v/>
      </c>
      <c r="Y415">
        <f>IF(ISNUMBER(Q415),1,0)</f>
        <v/>
      </c>
      <c r="Z415">
        <f>IF(AND(K415=0,L415=0,Y415=0),1,0)</f>
        <v/>
      </c>
      <c r="AA415">
        <f>IF(AND(Z415=1,G415&lt;Assumptions!$C$6),1,0)</f>
        <v/>
      </c>
      <c r="AB415">
        <f>IF(U415=0,"",IF(Y415=1,MAX(0,Q415-G415),IF(L415=1,MAX(0,R415-G415),MAX(0,Assumptions!$C$6-G415))))</f>
        <v/>
      </c>
      <c r="AC415">
        <f>IF(Y415=1,Q415-F415,"")</f>
        <v/>
      </c>
      <c r="AD415">
        <f>IF(Y415=1,AC415^2,"")</f>
        <v/>
      </c>
      <c r="AE415" s="19">
        <f>IF(Z415=1,(H415-M415)*I415,0)</f>
        <v/>
      </c>
      <c r="AF415">
        <f>IF(G415&lt;EDATE(Assumptions!$C$6,-12)+1,"prior_12m","last_12m")</f>
        <v/>
      </c>
      <c r="AG415" s="21">
        <f>DATE(YEAR(G415),MONTH(G415),1)</f>
        <v/>
      </c>
    </row>
    <row r="416">
      <c r="A416" t="inlineStr">
        <is>
          <t>SPO-00229-1</t>
        </is>
      </c>
      <c r="B416" t="inlineStr">
        <is>
          <t>SPO-00229</t>
        </is>
      </c>
      <c r="C416" t="inlineStr">
        <is>
          <t>SUP-06</t>
        </is>
      </c>
      <c r="D416" t="inlineStr">
        <is>
          <t>MRO</t>
        </is>
      </c>
      <c r="E416" t="inlineStr">
        <is>
          <t>MRO-04</t>
        </is>
      </c>
      <c r="F416" s="17" t="n">
        <v>45631</v>
      </c>
      <c r="G416" s="17" t="n">
        <v>45639</v>
      </c>
      <c r="H416" s="18" t="n">
        <v>33</v>
      </c>
      <c r="I416" s="19" t="n">
        <v>62.99</v>
      </c>
      <c r="J416" s="19" t="n">
        <v>58</v>
      </c>
      <c r="K416" s="20" t="n">
        <v>0</v>
      </c>
      <c r="L416" s="20" t="n">
        <v>0</v>
      </c>
      <c r="M416" s="18" t="n">
        <v>33</v>
      </c>
      <c r="N416" s="18" t="n">
        <v>33</v>
      </c>
      <c r="O416" s="18" t="n">
        <v>0</v>
      </c>
      <c r="P416" s="17" t="n">
        <v>45635</v>
      </c>
      <c r="Q416" s="17" t="n">
        <v>45635</v>
      </c>
      <c r="R416" s="17" t="n">
        <v>45635</v>
      </c>
      <c r="S416" s="19">
        <f>H416*I416</f>
        <v/>
      </c>
      <c r="T416" s="19">
        <f>H416*J416</f>
        <v/>
      </c>
      <c r="U416">
        <f>IF(AND(K416=0,G416&lt;=Assumptions!$C$6),1,0)</f>
        <v/>
      </c>
      <c r="V416">
        <f>IF(U416=1,IF(M416&gt;0,IF(P416&lt;=G416+Assumptions!$C$7,1,0),0),0)</f>
        <v/>
      </c>
      <c r="W416">
        <f>IF(AND(U416=1,M416&gt;=H416*(1-Assumptions!$C$8)),1,0)</f>
        <v/>
      </c>
      <c r="X416">
        <f>IF(AND(U416=1,N416&gt;=H416*(1-Assumptions!$C$8)),1,0)</f>
        <v/>
      </c>
      <c r="Y416">
        <f>IF(ISNUMBER(Q416),1,0)</f>
        <v/>
      </c>
      <c r="Z416">
        <f>IF(AND(K416=0,L416=0,Y416=0),1,0)</f>
        <v/>
      </c>
      <c r="AA416">
        <f>IF(AND(Z416=1,G416&lt;Assumptions!$C$6),1,0)</f>
        <v/>
      </c>
      <c r="AB416">
        <f>IF(U416=0,"",IF(Y416=1,MAX(0,Q416-G416),IF(L416=1,MAX(0,R416-G416),MAX(0,Assumptions!$C$6-G416))))</f>
        <v/>
      </c>
      <c r="AC416">
        <f>IF(Y416=1,Q416-F416,"")</f>
        <v/>
      </c>
      <c r="AD416">
        <f>IF(Y416=1,AC416^2,"")</f>
        <v/>
      </c>
      <c r="AE416" s="19">
        <f>IF(Z416=1,(H416-M416)*I416,0)</f>
        <v/>
      </c>
      <c r="AF416">
        <f>IF(G416&lt;EDATE(Assumptions!$C$6,-12)+1,"prior_12m","last_12m")</f>
        <v/>
      </c>
      <c r="AG416" s="21">
        <f>DATE(YEAR(G416),MONTH(G416),1)</f>
        <v/>
      </c>
    </row>
    <row r="417">
      <c r="A417" t="inlineStr">
        <is>
          <t>SPO-00230-1</t>
        </is>
      </c>
      <c r="B417" t="inlineStr">
        <is>
          <t>SPO-00230</t>
        </is>
      </c>
      <c r="C417" t="inlineStr">
        <is>
          <t>SUP-05</t>
        </is>
      </c>
      <c r="D417" t="inlineStr">
        <is>
          <t>FLEET</t>
        </is>
      </c>
      <c r="E417" t="inlineStr">
        <is>
          <t>FLEET-08</t>
        </is>
      </c>
      <c r="F417" s="17" t="n">
        <v>45631</v>
      </c>
      <c r="G417" s="17" t="n">
        <v>45645</v>
      </c>
      <c r="H417" s="18" t="n">
        <v>240</v>
      </c>
      <c r="I417" s="19" t="n">
        <v>6.8</v>
      </c>
      <c r="J417" s="19" t="n">
        <v>6.4</v>
      </c>
      <c r="K417" s="20" t="n">
        <v>0</v>
      </c>
      <c r="L417" s="20" t="n">
        <v>0</v>
      </c>
      <c r="M417" s="18" t="n">
        <v>240</v>
      </c>
      <c r="N417" s="18" t="n">
        <v>240</v>
      </c>
      <c r="O417" s="18" t="n">
        <v>0</v>
      </c>
      <c r="P417" s="17" t="n">
        <v>45644</v>
      </c>
      <c r="Q417" s="17" t="n">
        <v>45644</v>
      </c>
      <c r="R417" s="17" t="n">
        <v>45644</v>
      </c>
      <c r="S417" s="19">
        <f>H417*I417</f>
        <v/>
      </c>
      <c r="T417" s="19">
        <f>H417*J417</f>
        <v/>
      </c>
      <c r="U417">
        <f>IF(AND(K417=0,G417&lt;=Assumptions!$C$6),1,0)</f>
        <v/>
      </c>
      <c r="V417">
        <f>IF(U417=1,IF(M417&gt;0,IF(P417&lt;=G417+Assumptions!$C$7,1,0),0),0)</f>
        <v/>
      </c>
      <c r="W417">
        <f>IF(AND(U417=1,M417&gt;=H417*(1-Assumptions!$C$8)),1,0)</f>
        <v/>
      </c>
      <c r="X417">
        <f>IF(AND(U417=1,N417&gt;=H417*(1-Assumptions!$C$8)),1,0)</f>
        <v/>
      </c>
      <c r="Y417">
        <f>IF(ISNUMBER(Q417),1,0)</f>
        <v/>
      </c>
      <c r="Z417">
        <f>IF(AND(K417=0,L417=0,Y417=0),1,0)</f>
        <v/>
      </c>
      <c r="AA417">
        <f>IF(AND(Z417=1,G417&lt;Assumptions!$C$6),1,0)</f>
        <v/>
      </c>
      <c r="AB417">
        <f>IF(U417=0,"",IF(Y417=1,MAX(0,Q417-G417),IF(L417=1,MAX(0,R417-G417),MAX(0,Assumptions!$C$6-G417))))</f>
        <v/>
      </c>
      <c r="AC417">
        <f>IF(Y417=1,Q417-F417,"")</f>
        <v/>
      </c>
      <c r="AD417">
        <f>IF(Y417=1,AC417^2,"")</f>
        <v/>
      </c>
      <c r="AE417" s="19">
        <f>IF(Z417=1,(H417-M417)*I417,0)</f>
        <v/>
      </c>
      <c r="AF417">
        <f>IF(G417&lt;EDATE(Assumptions!$C$6,-12)+1,"prior_12m","last_12m")</f>
        <v/>
      </c>
      <c r="AG417" s="21">
        <f>DATE(YEAR(G417),MONTH(G417),1)</f>
        <v/>
      </c>
    </row>
    <row r="418">
      <c r="A418" t="inlineStr">
        <is>
          <t>SPO-00231-1</t>
        </is>
      </c>
      <c r="B418" t="inlineStr">
        <is>
          <t>SPO-00231</t>
        </is>
      </c>
      <c r="C418" t="inlineStr">
        <is>
          <t>SUP-06</t>
        </is>
      </c>
      <c r="D418" t="inlineStr">
        <is>
          <t>MRO</t>
        </is>
      </c>
      <c r="E418" t="inlineStr">
        <is>
          <t>MRO-02</t>
        </is>
      </c>
      <c r="F418" s="17" t="n">
        <v>45632</v>
      </c>
      <c r="G418" s="17" t="n">
        <v>45640</v>
      </c>
      <c r="H418" s="18" t="n">
        <v>18</v>
      </c>
      <c r="I418" s="19" t="n">
        <v>41.67</v>
      </c>
      <c r="J418" s="19" t="n">
        <v>41</v>
      </c>
      <c r="K418" s="20" t="n">
        <v>0</v>
      </c>
      <c r="L418" s="20" t="n">
        <v>0</v>
      </c>
      <c r="M418" s="18" t="n">
        <v>18</v>
      </c>
      <c r="N418" s="18" t="n">
        <v>18</v>
      </c>
      <c r="O418" s="18" t="n">
        <v>0</v>
      </c>
      <c r="P418" s="17" t="n">
        <v>45637</v>
      </c>
      <c r="Q418" s="17" t="n">
        <v>45637</v>
      </c>
      <c r="R418" s="17" t="n">
        <v>45637</v>
      </c>
      <c r="S418" s="19">
        <f>H418*I418</f>
        <v/>
      </c>
      <c r="T418" s="19">
        <f>H418*J418</f>
        <v/>
      </c>
      <c r="U418">
        <f>IF(AND(K418=0,G418&lt;=Assumptions!$C$6),1,0)</f>
        <v/>
      </c>
      <c r="V418">
        <f>IF(U418=1,IF(M418&gt;0,IF(P418&lt;=G418+Assumptions!$C$7,1,0),0),0)</f>
        <v/>
      </c>
      <c r="W418">
        <f>IF(AND(U418=1,M418&gt;=H418*(1-Assumptions!$C$8)),1,0)</f>
        <v/>
      </c>
      <c r="X418">
        <f>IF(AND(U418=1,N418&gt;=H418*(1-Assumptions!$C$8)),1,0)</f>
        <v/>
      </c>
      <c r="Y418">
        <f>IF(ISNUMBER(Q418),1,0)</f>
        <v/>
      </c>
      <c r="Z418">
        <f>IF(AND(K418=0,L418=0,Y418=0),1,0)</f>
        <v/>
      </c>
      <c r="AA418">
        <f>IF(AND(Z418=1,G418&lt;Assumptions!$C$6),1,0)</f>
        <v/>
      </c>
      <c r="AB418">
        <f>IF(U418=0,"",IF(Y418=1,MAX(0,Q418-G418),IF(L418=1,MAX(0,R418-G418),MAX(0,Assumptions!$C$6-G418))))</f>
        <v/>
      </c>
      <c r="AC418">
        <f>IF(Y418=1,Q418-F418,"")</f>
        <v/>
      </c>
      <c r="AD418">
        <f>IF(Y418=1,AC418^2,"")</f>
        <v/>
      </c>
      <c r="AE418" s="19">
        <f>IF(Z418=1,(H418-M418)*I418,0)</f>
        <v/>
      </c>
      <c r="AF418">
        <f>IF(G418&lt;EDATE(Assumptions!$C$6,-12)+1,"prior_12m","last_12m")</f>
        <v/>
      </c>
      <c r="AG418" s="21">
        <f>DATE(YEAR(G418),MONTH(G418),1)</f>
        <v/>
      </c>
    </row>
    <row r="419">
      <c r="A419" t="inlineStr">
        <is>
          <t>SPO-00232-1</t>
        </is>
      </c>
      <c r="B419" t="inlineStr">
        <is>
          <t>SPO-00232</t>
        </is>
      </c>
      <c r="C419" t="inlineStr">
        <is>
          <t>SUP-02</t>
        </is>
      </c>
      <c r="D419" t="inlineStr">
        <is>
          <t>ELEC</t>
        </is>
      </c>
      <c r="E419" t="inlineStr">
        <is>
          <t>ELEC-02</t>
        </is>
      </c>
      <c r="F419" s="17" t="n">
        <v>45632</v>
      </c>
      <c r="G419" s="17" t="n">
        <v>45648</v>
      </c>
      <c r="H419" s="18" t="n">
        <v>376</v>
      </c>
      <c r="I419" s="19" t="n">
        <v>3.97</v>
      </c>
      <c r="J419" s="19" t="n">
        <v>4.2</v>
      </c>
      <c r="K419" s="20" t="n">
        <v>0</v>
      </c>
      <c r="L419" s="20" t="n">
        <v>0</v>
      </c>
      <c r="M419" s="18" t="n">
        <v>376</v>
      </c>
      <c r="N419" s="18" t="n">
        <v>376</v>
      </c>
      <c r="O419" s="18" t="n">
        <v>0</v>
      </c>
      <c r="P419" s="17" t="n">
        <v>45648</v>
      </c>
      <c r="Q419" s="17" t="n">
        <v>45648</v>
      </c>
      <c r="R419" s="17" t="n">
        <v>45648</v>
      </c>
      <c r="S419" s="19">
        <f>H419*I419</f>
        <v/>
      </c>
      <c r="T419" s="19">
        <f>H419*J419</f>
        <v/>
      </c>
      <c r="U419">
        <f>IF(AND(K419=0,G419&lt;=Assumptions!$C$6),1,0)</f>
        <v/>
      </c>
      <c r="V419">
        <f>IF(U419=1,IF(M419&gt;0,IF(P419&lt;=G419+Assumptions!$C$7,1,0),0),0)</f>
        <v/>
      </c>
      <c r="W419">
        <f>IF(AND(U419=1,M419&gt;=H419*(1-Assumptions!$C$8)),1,0)</f>
        <v/>
      </c>
      <c r="X419">
        <f>IF(AND(U419=1,N419&gt;=H419*(1-Assumptions!$C$8)),1,0)</f>
        <v/>
      </c>
      <c r="Y419">
        <f>IF(ISNUMBER(Q419),1,0)</f>
        <v/>
      </c>
      <c r="Z419">
        <f>IF(AND(K419=0,L419=0,Y419=0),1,0)</f>
        <v/>
      </c>
      <c r="AA419">
        <f>IF(AND(Z419=1,G419&lt;Assumptions!$C$6),1,0)</f>
        <v/>
      </c>
      <c r="AB419">
        <f>IF(U419=0,"",IF(Y419=1,MAX(0,Q419-G419),IF(L419=1,MAX(0,R419-G419),MAX(0,Assumptions!$C$6-G419))))</f>
        <v/>
      </c>
      <c r="AC419">
        <f>IF(Y419=1,Q419-F419,"")</f>
        <v/>
      </c>
      <c r="AD419">
        <f>IF(Y419=1,AC419^2,"")</f>
        <v/>
      </c>
      <c r="AE419" s="19">
        <f>IF(Z419=1,(H419-M419)*I419,0)</f>
        <v/>
      </c>
      <c r="AF419">
        <f>IF(G419&lt;EDATE(Assumptions!$C$6,-12)+1,"prior_12m","last_12m")</f>
        <v/>
      </c>
      <c r="AG419" s="21">
        <f>DATE(YEAR(G419),MONTH(G419),1)</f>
        <v/>
      </c>
    </row>
    <row r="420">
      <c r="A420" t="inlineStr">
        <is>
          <t>SPO-00233-1</t>
        </is>
      </c>
      <c r="B420" t="inlineStr">
        <is>
          <t>SPO-00233</t>
        </is>
      </c>
      <c r="C420" t="inlineStr">
        <is>
          <t>SUP-05</t>
        </is>
      </c>
      <c r="D420" t="inlineStr">
        <is>
          <t>FLEET</t>
        </is>
      </c>
      <c r="E420" t="inlineStr">
        <is>
          <t>FLEET-02</t>
        </is>
      </c>
      <c r="F420" s="17" t="n">
        <v>45632</v>
      </c>
      <c r="G420" s="17" t="n">
        <v>45646</v>
      </c>
      <c r="H420" s="18" t="n">
        <v>432</v>
      </c>
      <c r="I420" s="19" t="n">
        <v>7.7</v>
      </c>
      <c r="J420" s="19" t="n">
        <v>7.5</v>
      </c>
      <c r="K420" s="20" t="n">
        <v>0</v>
      </c>
      <c r="L420" s="20" t="n">
        <v>0</v>
      </c>
      <c r="M420" s="18" t="n">
        <v>432</v>
      </c>
      <c r="N420" s="18" t="n">
        <v>432</v>
      </c>
      <c r="O420" s="18" t="n">
        <v>0</v>
      </c>
      <c r="P420" s="17" t="n">
        <v>45645</v>
      </c>
      <c r="Q420" s="17" t="n">
        <v>45645</v>
      </c>
      <c r="R420" s="17" t="n">
        <v>45645</v>
      </c>
      <c r="S420" s="19">
        <f>H420*I420</f>
        <v/>
      </c>
      <c r="T420" s="19">
        <f>H420*J420</f>
        <v/>
      </c>
      <c r="U420">
        <f>IF(AND(K420=0,G420&lt;=Assumptions!$C$6),1,0)</f>
        <v/>
      </c>
      <c r="V420">
        <f>IF(U420=1,IF(M420&gt;0,IF(P420&lt;=G420+Assumptions!$C$7,1,0),0),0)</f>
        <v/>
      </c>
      <c r="W420">
        <f>IF(AND(U420=1,M420&gt;=H420*(1-Assumptions!$C$8)),1,0)</f>
        <v/>
      </c>
      <c r="X420">
        <f>IF(AND(U420=1,N420&gt;=H420*(1-Assumptions!$C$8)),1,0)</f>
        <v/>
      </c>
      <c r="Y420">
        <f>IF(ISNUMBER(Q420),1,0)</f>
        <v/>
      </c>
      <c r="Z420">
        <f>IF(AND(K420=0,L420=0,Y420=0),1,0)</f>
        <v/>
      </c>
      <c r="AA420">
        <f>IF(AND(Z420=1,G420&lt;Assumptions!$C$6),1,0)</f>
        <v/>
      </c>
      <c r="AB420">
        <f>IF(U420=0,"",IF(Y420=1,MAX(0,Q420-G420),IF(L420=1,MAX(0,R420-G420),MAX(0,Assumptions!$C$6-G420))))</f>
        <v/>
      </c>
      <c r="AC420">
        <f>IF(Y420=1,Q420-F420,"")</f>
        <v/>
      </c>
      <c r="AD420">
        <f>IF(Y420=1,AC420^2,"")</f>
        <v/>
      </c>
      <c r="AE420" s="19">
        <f>IF(Z420=1,(H420-M420)*I420,0)</f>
        <v/>
      </c>
      <c r="AF420">
        <f>IF(G420&lt;EDATE(Assumptions!$C$6,-12)+1,"prior_12m","last_12m")</f>
        <v/>
      </c>
      <c r="AG420" s="21">
        <f>DATE(YEAR(G420),MONTH(G420),1)</f>
        <v/>
      </c>
    </row>
    <row r="421">
      <c r="A421" t="inlineStr">
        <is>
          <t>SPO-00233-2</t>
        </is>
      </c>
      <c r="B421" t="inlineStr">
        <is>
          <t>SPO-00233</t>
        </is>
      </c>
      <c r="C421" t="inlineStr">
        <is>
          <t>SUP-05</t>
        </is>
      </c>
      <c r="D421" t="inlineStr">
        <is>
          <t>FLEET</t>
        </is>
      </c>
      <c r="E421" t="inlineStr">
        <is>
          <t>FLEET-08</t>
        </is>
      </c>
      <c r="F421" s="17" t="n">
        <v>45632</v>
      </c>
      <c r="G421" s="17" t="n">
        <v>45646</v>
      </c>
      <c r="H421" s="18" t="n">
        <v>245</v>
      </c>
      <c r="I421" s="19" t="n">
        <v>6.78</v>
      </c>
      <c r="J421" s="19" t="n">
        <v>6.4</v>
      </c>
      <c r="K421" s="20" t="n">
        <v>0</v>
      </c>
      <c r="L421" s="20" t="n">
        <v>0</v>
      </c>
      <c r="M421" s="18" t="n">
        <v>245</v>
      </c>
      <c r="N421" s="18" t="n">
        <v>245</v>
      </c>
      <c r="O421" s="18" t="n">
        <v>0</v>
      </c>
      <c r="P421" s="17" t="n">
        <v>45643</v>
      </c>
      <c r="Q421" s="17" t="n">
        <v>45643</v>
      </c>
      <c r="R421" s="17" t="n">
        <v>45643</v>
      </c>
      <c r="S421" s="19">
        <f>H421*I421</f>
        <v/>
      </c>
      <c r="T421" s="19">
        <f>H421*J421</f>
        <v/>
      </c>
      <c r="U421">
        <f>IF(AND(K421=0,G421&lt;=Assumptions!$C$6),1,0)</f>
        <v/>
      </c>
      <c r="V421">
        <f>IF(U421=1,IF(M421&gt;0,IF(P421&lt;=G421+Assumptions!$C$7,1,0),0),0)</f>
        <v/>
      </c>
      <c r="W421">
        <f>IF(AND(U421=1,M421&gt;=H421*(1-Assumptions!$C$8)),1,0)</f>
        <v/>
      </c>
      <c r="X421">
        <f>IF(AND(U421=1,N421&gt;=H421*(1-Assumptions!$C$8)),1,0)</f>
        <v/>
      </c>
      <c r="Y421">
        <f>IF(ISNUMBER(Q421),1,0)</f>
        <v/>
      </c>
      <c r="Z421">
        <f>IF(AND(K421=0,L421=0,Y421=0),1,0)</f>
        <v/>
      </c>
      <c r="AA421">
        <f>IF(AND(Z421=1,G421&lt;Assumptions!$C$6),1,0)</f>
        <v/>
      </c>
      <c r="AB421">
        <f>IF(U421=0,"",IF(Y421=1,MAX(0,Q421-G421),IF(L421=1,MAX(0,R421-G421),MAX(0,Assumptions!$C$6-G421))))</f>
        <v/>
      </c>
      <c r="AC421">
        <f>IF(Y421=1,Q421-F421,"")</f>
        <v/>
      </c>
      <c r="AD421">
        <f>IF(Y421=1,AC421^2,"")</f>
        <v/>
      </c>
      <c r="AE421" s="19">
        <f>IF(Z421=1,(H421-M421)*I421,0)</f>
        <v/>
      </c>
      <c r="AF421">
        <f>IF(G421&lt;EDATE(Assumptions!$C$6,-12)+1,"prior_12m","last_12m")</f>
        <v/>
      </c>
      <c r="AG421" s="21">
        <f>DATE(YEAR(G421),MONTH(G421),1)</f>
        <v/>
      </c>
    </row>
    <row r="422">
      <c r="A422" t="inlineStr">
        <is>
          <t>SPO-00234-1</t>
        </is>
      </c>
      <c r="B422" t="inlineStr">
        <is>
          <t>SPO-00234</t>
        </is>
      </c>
      <c r="C422" t="inlineStr">
        <is>
          <t>SUP-14</t>
        </is>
      </c>
      <c r="D422" t="inlineStr">
        <is>
          <t>FLEET</t>
        </is>
      </c>
      <c r="E422" t="inlineStr">
        <is>
          <t>FLEET-06</t>
        </is>
      </c>
      <c r="F422" s="17" t="n">
        <v>45633</v>
      </c>
      <c r="G422" s="17" t="n">
        <v>45647</v>
      </c>
      <c r="H422" s="18" t="n">
        <v>56</v>
      </c>
      <c r="I422" s="19" t="n">
        <v>33.93</v>
      </c>
      <c r="J422" s="19" t="n">
        <v>33</v>
      </c>
      <c r="K422" s="20" t="n">
        <v>0</v>
      </c>
      <c r="L422" s="20" t="n">
        <v>0</v>
      </c>
      <c r="M422" s="18" t="n">
        <v>56</v>
      </c>
      <c r="N422" s="18" t="n">
        <v>32</v>
      </c>
      <c r="O422" s="18" t="n">
        <v>0</v>
      </c>
      <c r="P422" s="17" t="n">
        <v>45643</v>
      </c>
      <c r="Q422" s="17" t="n">
        <v>45659</v>
      </c>
      <c r="R422" s="17" t="n">
        <v>45659</v>
      </c>
      <c r="S422" s="19">
        <f>H422*I422</f>
        <v/>
      </c>
      <c r="T422" s="19">
        <f>H422*J422</f>
        <v/>
      </c>
      <c r="U422">
        <f>IF(AND(K422=0,G422&lt;=Assumptions!$C$6),1,0)</f>
        <v/>
      </c>
      <c r="V422">
        <f>IF(U422=1,IF(M422&gt;0,IF(P422&lt;=G422+Assumptions!$C$7,1,0),0),0)</f>
        <v/>
      </c>
      <c r="W422">
        <f>IF(AND(U422=1,M422&gt;=H422*(1-Assumptions!$C$8)),1,0)</f>
        <v/>
      </c>
      <c r="X422">
        <f>IF(AND(U422=1,N422&gt;=H422*(1-Assumptions!$C$8)),1,0)</f>
        <v/>
      </c>
      <c r="Y422">
        <f>IF(ISNUMBER(Q422),1,0)</f>
        <v/>
      </c>
      <c r="Z422">
        <f>IF(AND(K422=0,L422=0,Y422=0),1,0)</f>
        <v/>
      </c>
      <c r="AA422">
        <f>IF(AND(Z422=1,G422&lt;Assumptions!$C$6),1,0)</f>
        <v/>
      </c>
      <c r="AB422">
        <f>IF(U422=0,"",IF(Y422=1,MAX(0,Q422-G422),IF(L422=1,MAX(0,R422-G422),MAX(0,Assumptions!$C$6-G422))))</f>
        <v/>
      </c>
      <c r="AC422">
        <f>IF(Y422=1,Q422-F422,"")</f>
        <v/>
      </c>
      <c r="AD422">
        <f>IF(Y422=1,AC422^2,"")</f>
        <v/>
      </c>
      <c r="AE422" s="19">
        <f>IF(Z422=1,(H422-M422)*I422,0)</f>
        <v/>
      </c>
      <c r="AF422">
        <f>IF(G422&lt;EDATE(Assumptions!$C$6,-12)+1,"prior_12m","last_12m")</f>
        <v/>
      </c>
      <c r="AG422" s="21">
        <f>DATE(YEAR(G422),MONTH(G422),1)</f>
        <v/>
      </c>
    </row>
    <row r="423">
      <c r="A423" t="inlineStr">
        <is>
          <t>SPO-00234-2</t>
        </is>
      </c>
      <c r="B423" t="inlineStr">
        <is>
          <t>SPO-00234</t>
        </is>
      </c>
      <c r="C423" t="inlineStr">
        <is>
          <t>SUP-14</t>
        </is>
      </c>
      <c r="D423" t="inlineStr">
        <is>
          <t>FLEET</t>
        </is>
      </c>
      <c r="E423" t="inlineStr">
        <is>
          <t>FLEET-05</t>
        </is>
      </c>
      <c r="F423" s="17" t="n">
        <v>45633</v>
      </c>
      <c r="G423" s="17" t="n">
        <v>45647</v>
      </c>
      <c r="H423" s="18" t="n">
        <v>3</v>
      </c>
      <c r="I423" s="19" t="n">
        <v>161.08</v>
      </c>
      <c r="J423" s="19" t="n">
        <v>168</v>
      </c>
      <c r="K423" s="20" t="n">
        <v>0</v>
      </c>
      <c r="L423" s="20" t="n">
        <v>0</v>
      </c>
      <c r="M423" s="18" t="n">
        <v>3</v>
      </c>
      <c r="N423" s="18" t="n">
        <v>3</v>
      </c>
      <c r="O423" s="18" t="n">
        <v>0</v>
      </c>
      <c r="P423" s="17" t="n">
        <v>45644</v>
      </c>
      <c r="Q423" s="17" t="n">
        <v>45644</v>
      </c>
      <c r="R423" s="17" t="n">
        <v>45644</v>
      </c>
      <c r="S423" s="19">
        <f>H423*I423</f>
        <v/>
      </c>
      <c r="T423" s="19">
        <f>H423*J423</f>
        <v/>
      </c>
      <c r="U423">
        <f>IF(AND(K423=0,G423&lt;=Assumptions!$C$6),1,0)</f>
        <v/>
      </c>
      <c r="V423">
        <f>IF(U423=1,IF(M423&gt;0,IF(P423&lt;=G423+Assumptions!$C$7,1,0),0),0)</f>
        <v/>
      </c>
      <c r="W423">
        <f>IF(AND(U423=1,M423&gt;=H423*(1-Assumptions!$C$8)),1,0)</f>
        <v/>
      </c>
      <c r="X423">
        <f>IF(AND(U423=1,N423&gt;=H423*(1-Assumptions!$C$8)),1,0)</f>
        <v/>
      </c>
      <c r="Y423">
        <f>IF(ISNUMBER(Q423),1,0)</f>
        <v/>
      </c>
      <c r="Z423">
        <f>IF(AND(K423=0,L423=0,Y423=0),1,0)</f>
        <v/>
      </c>
      <c r="AA423">
        <f>IF(AND(Z423=1,G423&lt;Assumptions!$C$6),1,0)</f>
        <v/>
      </c>
      <c r="AB423">
        <f>IF(U423=0,"",IF(Y423=1,MAX(0,Q423-G423),IF(L423=1,MAX(0,R423-G423),MAX(0,Assumptions!$C$6-G423))))</f>
        <v/>
      </c>
      <c r="AC423">
        <f>IF(Y423=1,Q423-F423,"")</f>
        <v/>
      </c>
      <c r="AD423">
        <f>IF(Y423=1,AC423^2,"")</f>
        <v/>
      </c>
      <c r="AE423" s="19">
        <f>IF(Z423=1,(H423-M423)*I423,0)</f>
        <v/>
      </c>
      <c r="AF423">
        <f>IF(G423&lt;EDATE(Assumptions!$C$6,-12)+1,"prior_12m","last_12m")</f>
        <v/>
      </c>
      <c r="AG423" s="21">
        <f>DATE(YEAR(G423),MONTH(G423),1)</f>
        <v/>
      </c>
    </row>
    <row r="424">
      <c r="A424" t="inlineStr">
        <is>
          <t>SPO-00234-3</t>
        </is>
      </c>
      <c r="B424" t="inlineStr">
        <is>
          <t>SPO-00234</t>
        </is>
      </c>
      <c r="C424" t="inlineStr">
        <is>
          <t>SUP-14</t>
        </is>
      </c>
      <c r="D424" t="inlineStr">
        <is>
          <t>FLEET</t>
        </is>
      </c>
      <c r="E424" t="inlineStr">
        <is>
          <t>FLEET-07</t>
        </is>
      </c>
      <c r="F424" s="17" t="n">
        <v>45633</v>
      </c>
      <c r="G424" s="17" t="n">
        <v>45647</v>
      </c>
      <c r="H424" s="18" t="n">
        <v>25</v>
      </c>
      <c r="I424" s="19" t="n">
        <v>119.9</v>
      </c>
      <c r="J424" s="19" t="n">
        <v>118</v>
      </c>
      <c r="K424" s="20" t="n">
        <v>1</v>
      </c>
      <c r="L424" s="20" t="n">
        <v>0</v>
      </c>
      <c r="M424" s="18" t="n">
        <v>0</v>
      </c>
      <c r="N424" s="18" t="n">
        <v>0</v>
      </c>
      <c r="O424" s="18" t="n">
        <v>0</v>
      </c>
      <c r="P424" s="17" t="n"/>
      <c r="Q424" s="17" t="n"/>
      <c r="R424" s="17" t="n"/>
      <c r="S424" s="19">
        <f>H424*I424</f>
        <v/>
      </c>
      <c r="T424" s="19">
        <f>H424*J424</f>
        <v/>
      </c>
      <c r="U424">
        <f>IF(AND(K424=0,G424&lt;=Assumptions!$C$6),1,0)</f>
        <v/>
      </c>
      <c r="V424">
        <f>IF(U424=1,IF(M424&gt;0,IF(P424&lt;=G424+Assumptions!$C$7,1,0),0),0)</f>
        <v/>
      </c>
      <c r="W424">
        <f>IF(AND(U424=1,M424&gt;=H424*(1-Assumptions!$C$8)),1,0)</f>
        <v/>
      </c>
      <c r="X424">
        <f>IF(AND(U424=1,N424&gt;=H424*(1-Assumptions!$C$8)),1,0)</f>
        <v/>
      </c>
      <c r="Y424">
        <f>IF(ISNUMBER(Q424),1,0)</f>
        <v/>
      </c>
      <c r="Z424">
        <f>IF(AND(K424=0,L424=0,Y424=0),1,0)</f>
        <v/>
      </c>
      <c r="AA424">
        <f>IF(AND(Z424=1,G424&lt;Assumptions!$C$6),1,0)</f>
        <v/>
      </c>
      <c r="AB424">
        <f>IF(U424=0,"",IF(Y424=1,MAX(0,Q424-G424),IF(L424=1,MAX(0,R424-G424),MAX(0,Assumptions!$C$6-G424))))</f>
        <v/>
      </c>
      <c r="AC424">
        <f>IF(Y424=1,Q424-F424,"")</f>
        <v/>
      </c>
      <c r="AD424">
        <f>IF(Y424=1,AC424^2,"")</f>
        <v/>
      </c>
      <c r="AE424" s="19">
        <f>IF(Z424=1,(H424-M424)*I424,0)</f>
        <v/>
      </c>
      <c r="AF424">
        <f>IF(G424&lt;EDATE(Assumptions!$C$6,-12)+1,"prior_12m","last_12m")</f>
        <v/>
      </c>
      <c r="AG424" s="21">
        <f>DATE(YEAR(G424),MONTH(G424),1)</f>
        <v/>
      </c>
    </row>
    <row r="425">
      <c r="A425" t="inlineStr">
        <is>
          <t>SPO-00235-1</t>
        </is>
      </c>
      <c r="B425" t="inlineStr">
        <is>
          <t>SPO-00235</t>
        </is>
      </c>
      <c r="C425" t="inlineStr">
        <is>
          <t>SUP-04</t>
        </is>
      </c>
      <c r="D425" t="inlineStr">
        <is>
          <t>FLEET</t>
        </is>
      </c>
      <c r="E425" t="inlineStr">
        <is>
          <t>FLEET-03</t>
        </is>
      </c>
      <c r="F425" s="17" t="n">
        <v>45633</v>
      </c>
      <c r="G425" s="17" t="n">
        <v>45646</v>
      </c>
      <c r="H425" s="18" t="n">
        <v>56</v>
      </c>
      <c r="I425" s="19" t="n">
        <v>21.61</v>
      </c>
      <c r="J425" s="19" t="n">
        <v>21</v>
      </c>
      <c r="K425" s="20" t="n">
        <v>0</v>
      </c>
      <c r="L425" s="20" t="n">
        <v>0</v>
      </c>
      <c r="M425" s="18" t="n">
        <v>56</v>
      </c>
      <c r="N425" s="18" t="n">
        <v>0</v>
      </c>
      <c r="O425" s="18" t="n">
        <v>0</v>
      </c>
      <c r="P425" s="17" t="n">
        <v>45651</v>
      </c>
      <c r="Q425" s="17" t="n">
        <v>45651</v>
      </c>
      <c r="R425" s="17" t="n">
        <v>45651</v>
      </c>
      <c r="S425" s="19">
        <f>H425*I425</f>
        <v/>
      </c>
      <c r="T425" s="19">
        <f>H425*J425</f>
        <v/>
      </c>
      <c r="U425">
        <f>IF(AND(K425=0,G425&lt;=Assumptions!$C$6),1,0)</f>
        <v/>
      </c>
      <c r="V425">
        <f>IF(U425=1,IF(M425&gt;0,IF(P425&lt;=G425+Assumptions!$C$7,1,0),0),0)</f>
        <v/>
      </c>
      <c r="W425">
        <f>IF(AND(U425=1,M425&gt;=H425*(1-Assumptions!$C$8)),1,0)</f>
        <v/>
      </c>
      <c r="X425">
        <f>IF(AND(U425=1,N425&gt;=H425*(1-Assumptions!$C$8)),1,0)</f>
        <v/>
      </c>
      <c r="Y425">
        <f>IF(ISNUMBER(Q425),1,0)</f>
        <v/>
      </c>
      <c r="Z425">
        <f>IF(AND(K425=0,L425=0,Y425=0),1,0)</f>
        <v/>
      </c>
      <c r="AA425">
        <f>IF(AND(Z425=1,G425&lt;Assumptions!$C$6),1,0)</f>
        <v/>
      </c>
      <c r="AB425">
        <f>IF(U425=0,"",IF(Y425=1,MAX(0,Q425-G425),IF(L425=1,MAX(0,R425-G425),MAX(0,Assumptions!$C$6-G425))))</f>
        <v/>
      </c>
      <c r="AC425">
        <f>IF(Y425=1,Q425-F425,"")</f>
        <v/>
      </c>
      <c r="AD425">
        <f>IF(Y425=1,AC425^2,"")</f>
        <v/>
      </c>
      <c r="AE425" s="19">
        <f>IF(Z425=1,(H425-M425)*I425,0)</f>
        <v/>
      </c>
      <c r="AF425">
        <f>IF(G425&lt;EDATE(Assumptions!$C$6,-12)+1,"prior_12m","last_12m")</f>
        <v/>
      </c>
      <c r="AG425" s="21">
        <f>DATE(YEAR(G425),MONTH(G425),1)</f>
        <v/>
      </c>
    </row>
    <row r="426">
      <c r="A426" t="inlineStr">
        <is>
          <t>SPO-00236-1</t>
        </is>
      </c>
      <c r="B426" t="inlineStr">
        <is>
          <t>SPO-00236</t>
        </is>
      </c>
      <c r="C426" t="inlineStr">
        <is>
          <t>SUP-12</t>
        </is>
      </c>
      <c r="D426" t="inlineStr">
        <is>
          <t>IT</t>
        </is>
      </c>
      <c r="E426" t="inlineStr">
        <is>
          <t>IT-07</t>
        </is>
      </c>
      <c r="F426" s="17" t="n">
        <v>45633</v>
      </c>
      <c r="G426" s="17" t="n">
        <v>45643</v>
      </c>
      <c r="H426" s="18" t="n">
        <v>32</v>
      </c>
      <c r="I426" s="19" t="n">
        <v>85.29000000000001</v>
      </c>
      <c r="J426" s="19" t="n">
        <v>74</v>
      </c>
      <c r="K426" s="20" t="n">
        <v>1</v>
      </c>
      <c r="L426" s="20" t="n">
        <v>0</v>
      </c>
      <c r="M426" s="18" t="n">
        <v>0</v>
      </c>
      <c r="N426" s="18" t="n">
        <v>0</v>
      </c>
      <c r="O426" s="18" t="n">
        <v>0</v>
      </c>
      <c r="P426" s="17" t="n"/>
      <c r="Q426" s="17" t="n"/>
      <c r="R426" s="17" t="n"/>
      <c r="S426" s="19">
        <f>H426*I426</f>
        <v/>
      </c>
      <c r="T426" s="19">
        <f>H426*J426</f>
        <v/>
      </c>
      <c r="U426">
        <f>IF(AND(K426=0,G426&lt;=Assumptions!$C$6),1,0)</f>
        <v/>
      </c>
      <c r="V426">
        <f>IF(U426=1,IF(M426&gt;0,IF(P426&lt;=G426+Assumptions!$C$7,1,0),0),0)</f>
        <v/>
      </c>
      <c r="W426">
        <f>IF(AND(U426=1,M426&gt;=H426*(1-Assumptions!$C$8)),1,0)</f>
        <v/>
      </c>
      <c r="X426">
        <f>IF(AND(U426=1,N426&gt;=H426*(1-Assumptions!$C$8)),1,0)</f>
        <v/>
      </c>
      <c r="Y426">
        <f>IF(ISNUMBER(Q426),1,0)</f>
        <v/>
      </c>
      <c r="Z426">
        <f>IF(AND(K426=0,L426=0,Y426=0),1,0)</f>
        <v/>
      </c>
      <c r="AA426">
        <f>IF(AND(Z426=1,G426&lt;Assumptions!$C$6),1,0)</f>
        <v/>
      </c>
      <c r="AB426">
        <f>IF(U426=0,"",IF(Y426=1,MAX(0,Q426-G426),IF(L426=1,MAX(0,R426-G426),MAX(0,Assumptions!$C$6-G426))))</f>
        <v/>
      </c>
      <c r="AC426">
        <f>IF(Y426=1,Q426-F426,"")</f>
        <v/>
      </c>
      <c r="AD426">
        <f>IF(Y426=1,AC426^2,"")</f>
        <v/>
      </c>
      <c r="AE426" s="19">
        <f>IF(Z426=1,(H426-M426)*I426,0)</f>
        <v/>
      </c>
      <c r="AF426">
        <f>IF(G426&lt;EDATE(Assumptions!$C$6,-12)+1,"prior_12m","last_12m")</f>
        <v/>
      </c>
      <c r="AG426" s="21">
        <f>DATE(YEAR(G426),MONTH(G426),1)</f>
        <v/>
      </c>
    </row>
    <row r="427">
      <c r="A427" t="inlineStr">
        <is>
          <t>SPO-00236-2</t>
        </is>
      </c>
      <c r="B427" t="inlineStr">
        <is>
          <t>SPO-00236</t>
        </is>
      </c>
      <c r="C427" t="inlineStr">
        <is>
          <t>SUP-12</t>
        </is>
      </c>
      <c r="D427" t="inlineStr">
        <is>
          <t>IT</t>
        </is>
      </c>
      <c r="E427" t="inlineStr">
        <is>
          <t>IT-05</t>
        </is>
      </c>
      <c r="F427" s="17" t="n">
        <v>45633</v>
      </c>
      <c r="G427" s="17" t="n">
        <v>45643</v>
      </c>
      <c r="H427" s="18" t="n">
        <v>3</v>
      </c>
      <c r="I427" s="19" t="n">
        <v>699.51</v>
      </c>
      <c r="J427" s="19" t="n">
        <v>640</v>
      </c>
      <c r="K427" s="20" t="n">
        <v>0</v>
      </c>
      <c r="L427" s="20" t="n">
        <v>0</v>
      </c>
      <c r="M427" s="18" t="n">
        <v>3</v>
      </c>
      <c r="N427" s="18" t="n">
        <v>3</v>
      </c>
      <c r="O427" s="18" t="n">
        <v>0</v>
      </c>
      <c r="P427" s="17" t="n">
        <v>45638</v>
      </c>
      <c r="Q427" s="17" t="n">
        <v>45638</v>
      </c>
      <c r="R427" s="17" t="n">
        <v>45638</v>
      </c>
      <c r="S427" s="19">
        <f>H427*I427</f>
        <v/>
      </c>
      <c r="T427" s="19">
        <f>H427*J427</f>
        <v/>
      </c>
      <c r="U427">
        <f>IF(AND(K427=0,G427&lt;=Assumptions!$C$6),1,0)</f>
        <v/>
      </c>
      <c r="V427">
        <f>IF(U427=1,IF(M427&gt;0,IF(P427&lt;=G427+Assumptions!$C$7,1,0),0),0)</f>
        <v/>
      </c>
      <c r="W427">
        <f>IF(AND(U427=1,M427&gt;=H427*(1-Assumptions!$C$8)),1,0)</f>
        <v/>
      </c>
      <c r="X427">
        <f>IF(AND(U427=1,N427&gt;=H427*(1-Assumptions!$C$8)),1,0)</f>
        <v/>
      </c>
      <c r="Y427">
        <f>IF(ISNUMBER(Q427),1,0)</f>
        <v/>
      </c>
      <c r="Z427">
        <f>IF(AND(K427=0,L427=0,Y427=0),1,0)</f>
        <v/>
      </c>
      <c r="AA427">
        <f>IF(AND(Z427=1,G427&lt;Assumptions!$C$6),1,0)</f>
        <v/>
      </c>
      <c r="AB427">
        <f>IF(U427=0,"",IF(Y427=1,MAX(0,Q427-G427),IF(L427=1,MAX(0,R427-G427),MAX(0,Assumptions!$C$6-G427))))</f>
        <v/>
      </c>
      <c r="AC427">
        <f>IF(Y427=1,Q427-F427,"")</f>
        <v/>
      </c>
      <c r="AD427">
        <f>IF(Y427=1,AC427^2,"")</f>
        <v/>
      </c>
      <c r="AE427" s="19">
        <f>IF(Z427=1,(H427-M427)*I427,0)</f>
        <v/>
      </c>
      <c r="AF427">
        <f>IF(G427&lt;EDATE(Assumptions!$C$6,-12)+1,"prior_12m","last_12m")</f>
        <v/>
      </c>
      <c r="AG427" s="21">
        <f>DATE(YEAR(G427),MONTH(G427),1)</f>
        <v/>
      </c>
    </row>
    <row r="428">
      <c r="A428" t="inlineStr">
        <is>
          <t>SPO-00237-1</t>
        </is>
      </c>
      <c r="B428" t="inlineStr">
        <is>
          <t>SPO-00237</t>
        </is>
      </c>
      <c r="C428" t="inlineStr">
        <is>
          <t>SUP-01</t>
        </is>
      </c>
      <c r="D428" t="inlineStr">
        <is>
          <t>ELEC</t>
        </is>
      </c>
      <c r="E428" t="inlineStr">
        <is>
          <t>ELEC-03</t>
        </is>
      </c>
      <c r="F428" s="17" t="n">
        <v>45633</v>
      </c>
      <c r="G428" s="17" t="n">
        <v>45651</v>
      </c>
      <c r="H428" s="18" t="n">
        <v>39</v>
      </c>
      <c r="I428" s="19" t="n">
        <v>97.16</v>
      </c>
      <c r="J428" s="19" t="n">
        <v>96</v>
      </c>
      <c r="K428" s="20" t="n">
        <v>0</v>
      </c>
      <c r="L428" s="20" t="n">
        <v>0</v>
      </c>
      <c r="M428" s="18" t="n">
        <v>39</v>
      </c>
      <c r="N428" s="18" t="n">
        <v>26</v>
      </c>
      <c r="O428" s="18" t="n">
        <v>0</v>
      </c>
      <c r="P428" s="17" t="n">
        <v>45646</v>
      </c>
      <c r="Q428" s="17" t="n">
        <v>45662</v>
      </c>
      <c r="R428" s="17" t="n">
        <v>45662</v>
      </c>
      <c r="S428" s="19">
        <f>H428*I428</f>
        <v/>
      </c>
      <c r="T428" s="19">
        <f>H428*J428</f>
        <v/>
      </c>
      <c r="U428">
        <f>IF(AND(K428=0,G428&lt;=Assumptions!$C$6),1,0)</f>
        <v/>
      </c>
      <c r="V428">
        <f>IF(U428=1,IF(M428&gt;0,IF(P428&lt;=G428+Assumptions!$C$7,1,0),0),0)</f>
        <v/>
      </c>
      <c r="W428">
        <f>IF(AND(U428=1,M428&gt;=H428*(1-Assumptions!$C$8)),1,0)</f>
        <v/>
      </c>
      <c r="X428">
        <f>IF(AND(U428=1,N428&gt;=H428*(1-Assumptions!$C$8)),1,0)</f>
        <v/>
      </c>
      <c r="Y428">
        <f>IF(ISNUMBER(Q428),1,0)</f>
        <v/>
      </c>
      <c r="Z428">
        <f>IF(AND(K428=0,L428=0,Y428=0),1,0)</f>
        <v/>
      </c>
      <c r="AA428">
        <f>IF(AND(Z428=1,G428&lt;Assumptions!$C$6),1,0)</f>
        <v/>
      </c>
      <c r="AB428">
        <f>IF(U428=0,"",IF(Y428=1,MAX(0,Q428-G428),IF(L428=1,MAX(0,R428-G428),MAX(0,Assumptions!$C$6-G428))))</f>
        <v/>
      </c>
      <c r="AC428">
        <f>IF(Y428=1,Q428-F428,"")</f>
        <v/>
      </c>
      <c r="AD428">
        <f>IF(Y428=1,AC428^2,"")</f>
        <v/>
      </c>
      <c r="AE428" s="19">
        <f>IF(Z428=1,(H428-M428)*I428,0)</f>
        <v/>
      </c>
      <c r="AF428">
        <f>IF(G428&lt;EDATE(Assumptions!$C$6,-12)+1,"prior_12m","last_12m")</f>
        <v/>
      </c>
      <c r="AG428" s="21">
        <f>DATE(YEAR(G428),MONTH(G428),1)</f>
        <v/>
      </c>
    </row>
    <row r="429">
      <c r="A429" t="inlineStr">
        <is>
          <t>SPO-00237-2</t>
        </is>
      </c>
      <c r="B429" t="inlineStr">
        <is>
          <t>SPO-00237</t>
        </is>
      </c>
      <c r="C429" t="inlineStr">
        <is>
          <t>SUP-01</t>
        </is>
      </c>
      <c r="D429" t="inlineStr">
        <is>
          <t>ELEC</t>
        </is>
      </c>
      <c r="E429" t="inlineStr">
        <is>
          <t>ELEC-06</t>
        </is>
      </c>
      <c r="F429" s="17" t="n">
        <v>45633</v>
      </c>
      <c r="G429" s="17" t="n">
        <v>45651</v>
      </c>
      <c r="H429" s="18" t="n">
        <v>17</v>
      </c>
      <c r="I429" s="19" t="n">
        <v>139.46</v>
      </c>
      <c r="J429" s="19" t="n">
        <v>145</v>
      </c>
      <c r="K429" s="20" t="n">
        <v>0</v>
      </c>
      <c r="L429" s="20" t="n">
        <v>0</v>
      </c>
      <c r="M429" s="18" t="n">
        <v>17</v>
      </c>
      <c r="N429" s="18" t="n">
        <v>17</v>
      </c>
      <c r="O429" s="18" t="n">
        <v>0</v>
      </c>
      <c r="P429" s="17" t="n">
        <v>45648</v>
      </c>
      <c r="Q429" s="17" t="n">
        <v>45648</v>
      </c>
      <c r="R429" s="17" t="n">
        <v>45648</v>
      </c>
      <c r="S429" s="19">
        <f>H429*I429</f>
        <v/>
      </c>
      <c r="T429" s="19">
        <f>H429*J429</f>
        <v/>
      </c>
      <c r="U429">
        <f>IF(AND(K429=0,G429&lt;=Assumptions!$C$6),1,0)</f>
        <v/>
      </c>
      <c r="V429">
        <f>IF(U429=1,IF(M429&gt;0,IF(P429&lt;=G429+Assumptions!$C$7,1,0),0),0)</f>
        <v/>
      </c>
      <c r="W429">
        <f>IF(AND(U429=1,M429&gt;=H429*(1-Assumptions!$C$8)),1,0)</f>
        <v/>
      </c>
      <c r="X429">
        <f>IF(AND(U429=1,N429&gt;=H429*(1-Assumptions!$C$8)),1,0)</f>
        <v/>
      </c>
      <c r="Y429">
        <f>IF(ISNUMBER(Q429),1,0)</f>
        <v/>
      </c>
      <c r="Z429">
        <f>IF(AND(K429=0,L429=0,Y429=0),1,0)</f>
        <v/>
      </c>
      <c r="AA429">
        <f>IF(AND(Z429=1,G429&lt;Assumptions!$C$6),1,0)</f>
        <v/>
      </c>
      <c r="AB429">
        <f>IF(U429=0,"",IF(Y429=1,MAX(0,Q429-G429),IF(L429=1,MAX(0,R429-G429),MAX(0,Assumptions!$C$6-G429))))</f>
        <v/>
      </c>
      <c r="AC429">
        <f>IF(Y429=1,Q429-F429,"")</f>
        <v/>
      </c>
      <c r="AD429">
        <f>IF(Y429=1,AC429^2,"")</f>
        <v/>
      </c>
      <c r="AE429" s="19">
        <f>IF(Z429=1,(H429-M429)*I429,0)</f>
        <v/>
      </c>
      <c r="AF429">
        <f>IF(G429&lt;EDATE(Assumptions!$C$6,-12)+1,"prior_12m","last_12m")</f>
        <v/>
      </c>
      <c r="AG429" s="21">
        <f>DATE(YEAR(G429),MONTH(G429),1)</f>
        <v/>
      </c>
    </row>
    <row r="430">
      <c r="A430" t="inlineStr">
        <is>
          <t>SPO-00237-3</t>
        </is>
      </c>
      <c r="B430" t="inlineStr">
        <is>
          <t>SPO-00237</t>
        </is>
      </c>
      <c r="C430" t="inlineStr">
        <is>
          <t>SUP-01</t>
        </is>
      </c>
      <c r="D430" t="inlineStr">
        <is>
          <t>ELEC</t>
        </is>
      </c>
      <c r="E430" t="inlineStr">
        <is>
          <t>ELEC-07</t>
        </is>
      </c>
      <c r="F430" s="17" t="n">
        <v>45633</v>
      </c>
      <c r="G430" s="17" t="n">
        <v>45651</v>
      </c>
      <c r="H430" s="18" t="n">
        <v>140</v>
      </c>
      <c r="I430" s="19" t="n">
        <v>10</v>
      </c>
      <c r="J430" s="19" t="n">
        <v>9.800000000000001</v>
      </c>
      <c r="K430" s="20" t="n">
        <v>0</v>
      </c>
      <c r="L430" s="20" t="n">
        <v>0</v>
      </c>
      <c r="M430" s="18" t="n">
        <v>140</v>
      </c>
      <c r="N430" s="18" t="n">
        <v>140</v>
      </c>
      <c r="O430" s="18" t="n">
        <v>0</v>
      </c>
      <c r="P430" s="17" t="n">
        <v>45651</v>
      </c>
      <c r="Q430" s="17" t="n">
        <v>45651</v>
      </c>
      <c r="R430" s="17" t="n">
        <v>45651</v>
      </c>
      <c r="S430" s="19">
        <f>H430*I430</f>
        <v/>
      </c>
      <c r="T430" s="19">
        <f>H430*J430</f>
        <v/>
      </c>
      <c r="U430">
        <f>IF(AND(K430=0,G430&lt;=Assumptions!$C$6),1,0)</f>
        <v/>
      </c>
      <c r="V430">
        <f>IF(U430=1,IF(M430&gt;0,IF(P430&lt;=G430+Assumptions!$C$7,1,0),0),0)</f>
        <v/>
      </c>
      <c r="W430">
        <f>IF(AND(U430=1,M430&gt;=H430*(1-Assumptions!$C$8)),1,0)</f>
        <v/>
      </c>
      <c r="X430">
        <f>IF(AND(U430=1,N430&gt;=H430*(1-Assumptions!$C$8)),1,0)</f>
        <v/>
      </c>
      <c r="Y430">
        <f>IF(ISNUMBER(Q430),1,0)</f>
        <v/>
      </c>
      <c r="Z430">
        <f>IF(AND(K430=0,L430=0,Y430=0),1,0)</f>
        <v/>
      </c>
      <c r="AA430">
        <f>IF(AND(Z430=1,G430&lt;Assumptions!$C$6),1,0)</f>
        <v/>
      </c>
      <c r="AB430">
        <f>IF(U430=0,"",IF(Y430=1,MAX(0,Q430-G430),IF(L430=1,MAX(0,R430-G430),MAX(0,Assumptions!$C$6-G430))))</f>
        <v/>
      </c>
      <c r="AC430">
        <f>IF(Y430=1,Q430-F430,"")</f>
        <v/>
      </c>
      <c r="AD430">
        <f>IF(Y430=1,AC430^2,"")</f>
        <v/>
      </c>
      <c r="AE430" s="19">
        <f>IF(Z430=1,(H430-M430)*I430,0)</f>
        <v/>
      </c>
      <c r="AF430">
        <f>IF(G430&lt;EDATE(Assumptions!$C$6,-12)+1,"prior_12m","last_12m")</f>
        <v/>
      </c>
      <c r="AG430" s="21">
        <f>DATE(YEAR(G430),MONTH(G430),1)</f>
        <v/>
      </c>
    </row>
    <row r="431">
      <c r="A431" t="inlineStr">
        <is>
          <t>SPO-00238-1</t>
        </is>
      </c>
      <c r="B431" t="inlineStr">
        <is>
          <t>SPO-00238</t>
        </is>
      </c>
      <c r="C431" t="inlineStr">
        <is>
          <t>SUP-01</t>
        </is>
      </c>
      <c r="D431" t="inlineStr">
        <is>
          <t>ELEC</t>
        </is>
      </c>
      <c r="E431" t="inlineStr">
        <is>
          <t>ELEC-08</t>
        </is>
      </c>
      <c r="F431" s="17" t="n">
        <v>45633</v>
      </c>
      <c r="G431" s="17" t="n">
        <v>45651</v>
      </c>
      <c r="H431" s="18" t="n">
        <v>98</v>
      </c>
      <c r="I431" s="19" t="n">
        <v>19.21</v>
      </c>
      <c r="J431" s="19" t="n">
        <v>18</v>
      </c>
      <c r="K431" s="20" t="n">
        <v>0</v>
      </c>
      <c r="L431" s="20" t="n">
        <v>0</v>
      </c>
      <c r="M431" s="18" t="n">
        <v>98</v>
      </c>
      <c r="N431" s="18" t="n">
        <v>98</v>
      </c>
      <c r="O431" s="18" t="n">
        <v>0</v>
      </c>
      <c r="P431" s="17" t="n">
        <v>45645</v>
      </c>
      <c r="Q431" s="17" t="n">
        <v>45645</v>
      </c>
      <c r="R431" s="17" t="n">
        <v>45645</v>
      </c>
      <c r="S431" s="19">
        <f>H431*I431</f>
        <v/>
      </c>
      <c r="T431" s="19">
        <f>H431*J431</f>
        <v/>
      </c>
      <c r="U431">
        <f>IF(AND(K431=0,G431&lt;=Assumptions!$C$6),1,0)</f>
        <v/>
      </c>
      <c r="V431">
        <f>IF(U431=1,IF(M431&gt;0,IF(P431&lt;=G431+Assumptions!$C$7,1,0),0),0)</f>
        <v/>
      </c>
      <c r="W431">
        <f>IF(AND(U431=1,M431&gt;=H431*(1-Assumptions!$C$8)),1,0)</f>
        <v/>
      </c>
      <c r="X431">
        <f>IF(AND(U431=1,N431&gt;=H431*(1-Assumptions!$C$8)),1,0)</f>
        <v/>
      </c>
      <c r="Y431">
        <f>IF(ISNUMBER(Q431),1,0)</f>
        <v/>
      </c>
      <c r="Z431">
        <f>IF(AND(K431=0,L431=0,Y431=0),1,0)</f>
        <v/>
      </c>
      <c r="AA431">
        <f>IF(AND(Z431=1,G431&lt;Assumptions!$C$6),1,0)</f>
        <v/>
      </c>
      <c r="AB431">
        <f>IF(U431=0,"",IF(Y431=1,MAX(0,Q431-G431),IF(L431=1,MAX(0,R431-G431),MAX(0,Assumptions!$C$6-G431))))</f>
        <v/>
      </c>
      <c r="AC431">
        <f>IF(Y431=1,Q431-F431,"")</f>
        <v/>
      </c>
      <c r="AD431">
        <f>IF(Y431=1,AC431^2,"")</f>
        <v/>
      </c>
      <c r="AE431" s="19">
        <f>IF(Z431=1,(H431-M431)*I431,0)</f>
        <v/>
      </c>
      <c r="AF431">
        <f>IF(G431&lt;EDATE(Assumptions!$C$6,-12)+1,"prior_12m","last_12m")</f>
        <v/>
      </c>
      <c r="AG431" s="21">
        <f>DATE(YEAR(G431),MONTH(G431),1)</f>
        <v/>
      </c>
    </row>
    <row r="432">
      <c r="A432" t="inlineStr">
        <is>
          <t>SPO-00239-1</t>
        </is>
      </c>
      <c r="B432" t="inlineStr">
        <is>
          <t>SPO-00239</t>
        </is>
      </c>
      <c r="C432" t="inlineStr">
        <is>
          <t>SUP-08</t>
        </is>
      </c>
      <c r="D432" t="inlineStr">
        <is>
          <t>MRO</t>
        </is>
      </c>
      <c r="E432" t="inlineStr">
        <is>
          <t>MRO-05</t>
        </is>
      </c>
      <c r="F432" s="17" t="n">
        <v>45633</v>
      </c>
      <c r="G432" s="17" t="n">
        <v>45644</v>
      </c>
      <c r="H432" s="18" t="n">
        <v>23</v>
      </c>
      <c r="I432" s="19" t="n">
        <v>35.73</v>
      </c>
      <c r="J432" s="19" t="n">
        <v>36</v>
      </c>
      <c r="K432" s="20" t="n">
        <v>0</v>
      </c>
      <c r="L432" s="20" t="n">
        <v>0</v>
      </c>
      <c r="M432" s="18" t="n">
        <v>23</v>
      </c>
      <c r="N432" s="18" t="n">
        <v>11</v>
      </c>
      <c r="O432" s="18" t="n">
        <v>0</v>
      </c>
      <c r="P432" s="17" t="n">
        <v>45640</v>
      </c>
      <c r="Q432" s="17" t="n">
        <v>45648</v>
      </c>
      <c r="R432" s="17" t="n">
        <v>45648</v>
      </c>
      <c r="S432" s="19">
        <f>H432*I432</f>
        <v/>
      </c>
      <c r="T432" s="19">
        <f>H432*J432</f>
        <v/>
      </c>
      <c r="U432">
        <f>IF(AND(K432=0,G432&lt;=Assumptions!$C$6),1,0)</f>
        <v/>
      </c>
      <c r="V432">
        <f>IF(U432=1,IF(M432&gt;0,IF(P432&lt;=G432+Assumptions!$C$7,1,0),0),0)</f>
        <v/>
      </c>
      <c r="W432">
        <f>IF(AND(U432=1,M432&gt;=H432*(1-Assumptions!$C$8)),1,0)</f>
        <v/>
      </c>
      <c r="X432">
        <f>IF(AND(U432=1,N432&gt;=H432*(1-Assumptions!$C$8)),1,0)</f>
        <v/>
      </c>
      <c r="Y432">
        <f>IF(ISNUMBER(Q432),1,0)</f>
        <v/>
      </c>
      <c r="Z432">
        <f>IF(AND(K432=0,L432=0,Y432=0),1,0)</f>
        <v/>
      </c>
      <c r="AA432">
        <f>IF(AND(Z432=1,G432&lt;Assumptions!$C$6),1,0)</f>
        <v/>
      </c>
      <c r="AB432">
        <f>IF(U432=0,"",IF(Y432=1,MAX(0,Q432-G432),IF(L432=1,MAX(0,R432-G432),MAX(0,Assumptions!$C$6-G432))))</f>
        <v/>
      </c>
      <c r="AC432">
        <f>IF(Y432=1,Q432-F432,"")</f>
        <v/>
      </c>
      <c r="AD432">
        <f>IF(Y432=1,AC432^2,"")</f>
        <v/>
      </c>
      <c r="AE432" s="19">
        <f>IF(Z432=1,(H432-M432)*I432,0)</f>
        <v/>
      </c>
      <c r="AF432">
        <f>IF(G432&lt;EDATE(Assumptions!$C$6,-12)+1,"prior_12m","last_12m")</f>
        <v/>
      </c>
      <c r="AG432" s="21">
        <f>DATE(YEAR(G432),MONTH(G432),1)</f>
        <v/>
      </c>
    </row>
    <row r="433">
      <c r="A433" t="inlineStr">
        <is>
          <t>SPO-00239-2</t>
        </is>
      </c>
      <c r="B433" t="inlineStr">
        <is>
          <t>SPO-00239</t>
        </is>
      </c>
      <c r="C433" t="inlineStr">
        <is>
          <t>SUP-08</t>
        </is>
      </c>
      <c r="D433" t="inlineStr">
        <is>
          <t>MRO</t>
        </is>
      </c>
      <c r="E433" t="inlineStr">
        <is>
          <t>MRO-06</t>
        </is>
      </c>
      <c r="F433" s="17" t="n">
        <v>45633</v>
      </c>
      <c r="G433" s="17" t="n">
        <v>45644</v>
      </c>
      <c r="H433" s="18" t="n">
        <v>179</v>
      </c>
      <c r="I433" s="19" t="n">
        <v>6.27</v>
      </c>
      <c r="J433" s="19" t="n">
        <v>6.1</v>
      </c>
      <c r="K433" s="20" t="n">
        <v>0</v>
      </c>
      <c r="L433" s="20" t="n">
        <v>0</v>
      </c>
      <c r="M433" s="18" t="n">
        <v>179</v>
      </c>
      <c r="N433" s="18" t="n">
        <v>179</v>
      </c>
      <c r="O433" s="18" t="n">
        <v>0</v>
      </c>
      <c r="P433" s="17" t="n">
        <v>45641</v>
      </c>
      <c r="Q433" s="17" t="n">
        <v>45641</v>
      </c>
      <c r="R433" s="17" t="n">
        <v>45641</v>
      </c>
      <c r="S433" s="19">
        <f>H433*I433</f>
        <v/>
      </c>
      <c r="T433" s="19">
        <f>H433*J433</f>
        <v/>
      </c>
      <c r="U433">
        <f>IF(AND(K433=0,G433&lt;=Assumptions!$C$6),1,0)</f>
        <v/>
      </c>
      <c r="V433">
        <f>IF(U433=1,IF(M433&gt;0,IF(P433&lt;=G433+Assumptions!$C$7,1,0),0),0)</f>
        <v/>
      </c>
      <c r="W433">
        <f>IF(AND(U433=1,M433&gt;=H433*(1-Assumptions!$C$8)),1,0)</f>
        <v/>
      </c>
      <c r="X433">
        <f>IF(AND(U433=1,N433&gt;=H433*(1-Assumptions!$C$8)),1,0)</f>
        <v/>
      </c>
      <c r="Y433">
        <f>IF(ISNUMBER(Q433),1,0)</f>
        <v/>
      </c>
      <c r="Z433">
        <f>IF(AND(K433=0,L433=0,Y433=0),1,0)</f>
        <v/>
      </c>
      <c r="AA433">
        <f>IF(AND(Z433=1,G433&lt;Assumptions!$C$6),1,0)</f>
        <v/>
      </c>
      <c r="AB433">
        <f>IF(U433=0,"",IF(Y433=1,MAX(0,Q433-G433),IF(L433=1,MAX(0,R433-G433),MAX(0,Assumptions!$C$6-G433))))</f>
        <v/>
      </c>
      <c r="AC433">
        <f>IF(Y433=1,Q433-F433,"")</f>
        <v/>
      </c>
      <c r="AD433">
        <f>IF(Y433=1,AC433^2,"")</f>
        <v/>
      </c>
      <c r="AE433" s="19">
        <f>IF(Z433=1,(H433-M433)*I433,0)</f>
        <v/>
      </c>
      <c r="AF433">
        <f>IF(G433&lt;EDATE(Assumptions!$C$6,-12)+1,"prior_12m","last_12m")</f>
        <v/>
      </c>
      <c r="AG433" s="21">
        <f>DATE(YEAR(G433),MONTH(G433),1)</f>
        <v/>
      </c>
    </row>
    <row r="434">
      <c r="A434" t="inlineStr">
        <is>
          <t>SPO-00240-1</t>
        </is>
      </c>
      <c r="B434" t="inlineStr">
        <is>
          <t>SPO-00240</t>
        </is>
      </c>
      <c r="C434" t="inlineStr">
        <is>
          <t>SUP-01</t>
        </is>
      </c>
      <c r="D434" t="inlineStr">
        <is>
          <t>ELEC</t>
        </is>
      </c>
      <c r="E434" t="inlineStr">
        <is>
          <t>ELEC-05</t>
        </is>
      </c>
      <c r="F434" s="17" t="n">
        <v>45633</v>
      </c>
      <c r="G434" s="17" t="n">
        <v>45651</v>
      </c>
      <c r="H434" s="18" t="n">
        <v>225</v>
      </c>
      <c r="I434" s="19" t="n">
        <v>11.3</v>
      </c>
      <c r="J434" s="19" t="n">
        <v>11.5</v>
      </c>
      <c r="K434" s="20" t="n">
        <v>0</v>
      </c>
      <c r="L434" s="20" t="n">
        <v>0</v>
      </c>
      <c r="M434" s="18" t="n">
        <v>225</v>
      </c>
      <c r="N434" s="18" t="n">
        <v>225</v>
      </c>
      <c r="O434" s="18" t="n">
        <v>0</v>
      </c>
      <c r="P434" s="17" t="n">
        <v>45649</v>
      </c>
      <c r="Q434" s="17" t="n">
        <v>45649</v>
      </c>
      <c r="R434" s="17" t="n">
        <v>45649</v>
      </c>
      <c r="S434" s="19">
        <f>H434*I434</f>
        <v/>
      </c>
      <c r="T434" s="19">
        <f>H434*J434</f>
        <v/>
      </c>
      <c r="U434">
        <f>IF(AND(K434=0,G434&lt;=Assumptions!$C$6),1,0)</f>
        <v/>
      </c>
      <c r="V434">
        <f>IF(U434=1,IF(M434&gt;0,IF(P434&lt;=G434+Assumptions!$C$7,1,0),0),0)</f>
        <v/>
      </c>
      <c r="W434">
        <f>IF(AND(U434=1,M434&gt;=H434*(1-Assumptions!$C$8)),1,0)</f>
        <v/>
      </c>
      <c r="X434">
        <f>IF(AND(U434=1,N434&gt;=H434*(1-Assumptions!$C$8)),1,0)</f>
        <v/>
      </c>
      <c r="Y434">
        <f>IF(ISNUMBER(Q434),1,0)</f>
        <v/>
      </c>
      <c r="Z434">
        <f>IF(AND(K434=0,L434=0,Y434=0),1,0)</f>
        <v/>
      </c>
      <c r="AA434">
        <f>IF(AND(Z434=1,G434&lt;Assumptions!$C$6),1,0)</f>
        <v/>
      </c>
      <c r="AB434">
        <f>IF(U434=0,"",IF(Y434=1,MAX(0,Q434-G434),IF(L434=1,MAX(0,R434-G434),MAX(0,Assumptions!$C$6-G434))))</f>
        <v/>
      </c>
      <c r="AC434">
        <f>IF(Y434=1,Q434-F434,"")</f>
        <v/>
      </c>
      <c r="AD434">
        <f>IF(Y434=1,AC434^2,"")</f>
        <v/>
      </c>
      <c r="AE434" s="19">
        <f>IF(Z434=1,(H434-M434)*I434,0)</f>
        <v/>
      </c>
      <c r="AF434">
        <f>IF(G434&lt;EDATE(Assumptions!$C$6,-12)+1,"prior_12m","last_12m")</f>
        <v/>
      </c>
      <c r="AG434" s="21">
        <f>DATE(YEAR(G434),MONTH(G434),1)</f>
        <v/>
      </c>
    </row>
    <row r="435">
      <c r="A435" t="inlineStr">
        <is>
          <t>SPO-00240-2</t>
        </is>
      </c>
      <c r="B435" t="inlineStr">
        <is>
          <t>SPO-00240</t>
        </is>
      </c>
      <c r="C435" t="inlineStr">
        <is>
          <t>SUP-01</t>
        </is>
      </c>
      <c r="D435" t="inlineStr">
        <is>
          <t>ELEC</t>
        </is>
      </c>
      <c r="E435" t="inlineStr">
        <is>
          <t>ELEC-03</t>
        </is>
      </c>
      <c r="F435" s="17" t="n">
        <v>45633</v>
      </c>
      <c r="G435" s="17" t="n">
        <v>45651</v>
      </c>
      <c r="H435" s="18" t="n">
        <v>53</v>
      </c>
      <c r="I435" s="19" t="n">
        <v>101.32</v>
      </c>
      <c r="J435" s="19" t="n">
        <v>96</v>
      </c>
      <c r="K435" s="20" t="n">
        <v>0</v>
      </c>
      <c r="L435" s="20" t="n">
        <v>0</v>
      </c>
      <c r="M435" s="18" t="n">
        <v>53</v>
      </c>
      <c r="N435" s="18" t="n">
        <v>29</v>
      </c>
      <c r="O435" s="18" t="n">
        <v>0</v>
      </c>
      <c r="P435" s="17" t="n">
        <v>45647</v>
      </c>
      <c r="Q435" s="17" t="n">
        <v>45664</v>
      </c>
      <c r="R435" s="17" t="n">
        <v>45664</v>
      </c>
      <c r="S435" s="19">
        <f>H435*I435</f>
        <v/>
      </c>
      <c r="T435" s="19">
        <f>H435*J435</f>
        <v/>
      </c>
      <c r="U435">
        <f>IF(AND(K435=0,G435&lt;=Assumptions!$C$6),1,0)</f>
        <v/>
      </c>
      <c r="V435">
        <f>IF(U435=1,IF(M435&gt;0,IF(P435&lt;=G435+Assumptions!$C$7,1,0),0),0)</f>
        <v/>
      </c>
      <c r="W435">
        <f>IF(AND(U435=1,M435&gt;=H435*(1-Assumptions!$C$8)),1,0)</f>
        <v/>
      </c>
      <c r="X435">
        <f>IF(AND(U435=1,N435&gt;=H435*(1-Assumptions!$C$8)),1,0)</f>
        <v/>
      </c>
      <c r="Y435">
        <f>IF(ISNUMBER(Q435),1,0)</f>
        <v/>
      </c>
      <c r="Z435">
        <f>IF(AND(K435=0,L435=0,Y435=0),1,0)</f>
        <v/>
      </c>
      <c r="AA435">
        <f>IF(AND(Z435=1,G435&lt;Assumptions!$C$6),1,0)</f>
        <v/>
      </c>
      <c r="AB435">
        <f>IF(U435=0,"",IF(Y435=1,MAX(0,Q435-G435),IF(L435=1,MAX(0,R435-G435),MAX(0,Assumptions!$C$6-G435))))</f>
        <v/>
      </c>
      <c r="AC435">
        <f>IF(Y435=1,Q435-F435,"")</f>
        <v/>
      </c>
      <c r="AD435">
        <f>IF(Y435=1,AC435^2,"")</f>
        <v/>
      </c>
      <c r="AE435" s="19">
        <f>IF(Z435=1,(H435-M435)*I435,0)</f>
        <v/>
      </c>
      <c r="AF435">
        <f>IF(G435&lt;EDATE(Assumptions!$C$6,-12)+1,"prior_12m","last_12m")</f>
        <v/>
      </c>
      <c r="AG435" s="21">
        <f>DATE(YEAR(G435),MONTH(G435),1)</f>
        <v/>
      </c>
    </row>
    <row r="436">
      <c r="A436" t="inlineStr">
        <is>
          <t>SPO-00241-1</t>
        </is>
      </c>
      <c r="B436" t="inlineStr">
        <is>
          <t>SPO-00241</t>
        </is>
      </c>
      <c r="C436" t="inlineStr">
        <is>
          <t>SUP-01</t>
        </is>
      </c>
      <c r="D436" t="inlineStr">
        <is>
          <t>ELEC</t>
        </is>
      </c>
      <c r="E436" t="inlineStr">
        <is>
          <t>ELEC-01</t>
        </is>
      </c>
      <c r="F436" s="17" t="n">
        <v>45633</v>
      </c>
      <c r="G436" s="17" t="n">
        <v>45651</v>
      </c>
      <c r="H436" s="18" t="n">
        <v>72</v>
      </c>
      <c r="I436" s="19" t="n">
        <v>36.71</v>
      </c>
      <c r="J436" s="19" t="n">
        <v>38</v>
      </c>
      <c r="K436" s="20" t="n">
        <v>0</v>
      </c>
      <c r="L436" s="20" t="n">
        <v>0</v>
      </c>
      <c r="M436" s="18" t="n">
        <v>72</v>
      </c>
      <c r="N436" s="18" t="n">
        <v>72</v>
      </c>
      <c r="O436" s="18" t="n">
        <v>0</v>
      </c>
      <c r="P436" s="17" t="n">
        <v>45648</v>
      </c>
      <c r="Q436" s="17" t="n">
        <v>45648</v>
      </c>
      <c r="R436" s="17" t="n">
        <v>45648</v>
      </c>
      <c r="S436" s="19">
        <f>H436*I436</f>
        <v/>
      </c>
      <c r="T436" s="19">
        <f>H436*J436</f>
        <v/>
      </c>
      <c r="U436">
        <f>IF(AND(K436=0,G436&lt;=Assumptions!$C$6),1,0)</f>
        <v/>
      </c>
      <c r="V436">
        <f>IF(U436=1,IF(M436&gt;0,IF(P436&lt;=G436+Assumptions!$C$7,1,0),0),0)</f>
        <v/>
      </c>
      <c r="W436">
        <f>IF(AND(U436=1,M436&gt;=H436*(1-Assumptions!$C$8)),1,0)</f>
        <v/>
      </c>
      <c r="X436">
        <f>IF(AND(U436=1,N436&gt;=H436*(1-Assumptions!$C$8)),1,0)</f>
        <v/>
      </c>
      <c r="Y436">
        <f>IF(ISNUMBER(Q436),1,0)</f>
        <v/>
      </c>
      <c r="Z436">
        <f>IF(AND(K436=0,L436=0,Y436=0),1,0)</f>
        <v/>
      </c>
      <c r="AA436">
        <f>IF(AND(Z436=1,G436&lt;Assumptions!$C$6),1,0)</f>
        <v/>
      </c>
      <c r="AB436">
        <f>IF(U436=0,"",IF(Y436=1,MAX(0,Q436-G436),IF(L436=1,MAX(0,R436-G436),MAX(0,Assumptions!$C$6-G436))))</f>
        <v/>
      </c>
      <c r="AC436">
        <f>IF(Y436=1,Q436-F436,"")</f>
        <v/>
      </c>
      <c r="AD436">
        <f>IF(Y436=1,AC436^2,"")</f>
        <v/>
      </c>
      <c r="AE436" s="19">
        <f>IF(Z436=1,(H436-M436)*I436,0)</f>
        <v/>
      </c>
      <c r="AF436">
        <f>IF(G436&lt;EDATE(Assumptions!$C$6,-12)+1,"prior_12m","last_12m")</f>
        <v/>
      </c>
      <c r="AG436" s="21">
        <f>DATE(YEAR(G436),MONTH(G436),1)</f>
        <v/>
      </c>
    </row>
    <row r="437">
      <c r="A437" t="inlineStr">
        <is>
          <t>SPO-00241-2</t>
        </is>
      </c>
      <c r="B437" t="inlineStr">
        <is>
          <t>SPO-00241</t>
        </is>
      </c>
      <c r="C437" t="inlineStr">
        <is>
          <t>SUP-01</t>
        </is>
      </c>
      <c r="D437" t="inlineStr">
        <is>
          <t>ELEC</t>
        </is>
      </c>
      <c r="E437" t="inlineStr">
        <is>
          <t>ELEC-06</t>
        </is>
      </c>
      <c r="F437" s="17" t="n">
        <v>45633</v>
      </c>
      <c r="G437" s="17" t="n">
        <v>45651</v>
      </c>
      <c r="H437" s="18" t="n">
        <v>13</v>
      </c>
      <c r="I437" s="19" t="n">
        <v>148.45</v>
      </c>
      <c r="J437" s="19" t="n">
        <v>145</v>
      </c>
      <c r="K437" s="20" t="n">
        <v>0</v>
      </c>
      <c r="L437" s="20" t="n">
        <v>0</v>
      </c>
      <c r="M437" s="18" t="n">
        <v>13</v>
      </c>
      <c r="N437" s="18" t="n">
        <v>13</v>
      </c>
      <c r="O437" s="18" t="n">
        <v>0</v>
      </c>
      <c r="P437" s="17" t="n">
        <v>45646</v>
      </c>
      <c r="Q437" s="17" t="n">
        <v>45646</v>
      </c>
      <c r="R437" s="17" t="n">
        <v>45646</v>
      </c>
      <c r="S437" s="19">
        <f>H437*I437</f>
        <v/>
      </c>
      <c r="T437" s="19">
        <f>H437*J437</f>
        <v/>
      </c>
      <c r="U437">
        <f>IF(AND(K437=0,G437&lt;=Assumptions!$C$6),1,0)</f>
        <v/>
      </c>
      <c r="V437">
        <f>IF(U437=1,IF(M437&gt;0,IF(P437&lt;=G437+Assumptions!$C$7,1,0),0),0)</f>
        <v/>
      </c>
      <c r="W437">
        <f>IF(AND(U437=1,M437&gt;=H437*(1-Assumptions!$C$8)),1,0)</f>
        <v/>
      </c>
      <c r="X437">
        <f>IF(AND(U437=1,N437&gt;=H437*(1-Assumptions!$C$8)),1,0)</f>
        <v/>
      </c>
      <c r="Y437">
        <f>IF(ISNUMBER(Q437),1,0)</f>
        <v/>
      </c>
      <c r="Z437">
        <f>IF(AND(K437=0,L437=0,Y437=0),1,0)</f>
        <v/>
      </c>
      <c r="AA437">
        <f>IF(AND(Z437=1,G437&lt;Assumptions!$C$6),1,0)</f>
        <v/>
      </c>
      <c r="AB437">
        <f>IF(U437=0,"",IF(Y437=1,MAX(0,Q437-G437),IF(L437=1,MAX(0,R437-G437),MAX(0,Assumptions!$C$6-G437))))</f>
        <v/>
      </c>
      <c r="AC437">
        <f>IF(Y437=1,Q437-F437,"")</f>
        <v/>
      </c>
      <c r="AD437">
        <f>IF(Y437=1,AC437^2,"")</f>
        <v/>
      </c>
      <c r="AE437" s="19">
        <f>IF(Z437=1,(H437-M437)*I437,0)</f>
        <v/>
      </c>
      <c r="AF437">
        <f>IF(G437&lt;EDATE(Assumptions!$C$6,-12)+1,"prior_12m","last_12m")</f>
        <v/>
      </c>
      <c r="AG437" s="21">
        <f>DATE(YEAR(G437),MONTH(G437),1)</f>
        <v/>
      </c>
    </row>
    <row r="438">
      <c r="A438" t="inlineStr">
        <is>
          <t>SPO-00242-1</t>
        </is>
      </c>
      <c r="B438" t="inlineStr">
        <is>
          <t>SPO-00242</t>
        </is>
      </c>
      <c r="C438" t="inlineStr">
        <is>
          <t>SUP-12</t>
        </is>
      </c>
      <c r="D438" t="inlineStr">
        <is>
          <t>IT</t>
        </is>
      </c>
      <c r="E438" t="inlineStr">
        <is>
          <t>IT-01</t>
        </is>
      </c>
      <c r="F438" s="17" t="n">
        <v>45634</v>
      </c>
      <c r="G438" s="17" t="n">
        <v>45644</v>
      </c>
      <c r="H438" s="18" t="n">
        <v>3</v>
      </c>
      <c r="I438" s="19" t="n">
        <v>215.13</v>
      </c>
      <c r="J438" s="19" t="n">
        <v>189</v>
      </c>
      <c r="K438" s="20" t="n">
        <v>0</v>
      </c>
      <c r="L438" s="20" t="n">
        <v>0</v>
      </c>
      <c r="M438" s="18" t="n">
        <v>3</v>
      </c>
      <c r="N438" s="18" t="n">
        <v>3</v>
      </c>
      <c r="O438" s="18" t="n">
        <v>0</v>
      </c>
      <c r="P438" s="17" t="n">
        <v>45639</v>
      </c>
      <c r="Q438" s="17" t="n">
        <v>45639</v>
      </c>
      <c r="R438" s="17" t="n">
        <v>45639</v>
      </c>
      <c r="S438" s="19">
        <f>H438*I438</f>
        <v/>
      </c>
      <c r="T438" s="19">
        <f>H438*J438</f>
        <v/>
      </c>
      <c r="U438">
        <f>IF(AND(K438=0,G438&lt;=Assumptions!$C$6),1,0)</f>
        <v/>
      </c>
      <c r="V438">
        <f>IF(U438=1,IF(M438&gt;0,IF(P438&lt;=G438+Assumptions!$C$7,1,0),0),0)</f>
        <v/>
      </c>
      <c r="W438">
        <f>IF(AND(U438=1,M438&gt;=H438*(1-Assumptions!$C$8)),1,0)</f>
        <v/>
      </c>
      <c r="X438">
        <f>IF(AND(U438=1,N438&gt;=H438*(1-Assumptions!$C$8)),1,0)</f>
        <v/>
      </c>
      <c r="Y438">
        <f>IF(ISNUMBER(Q438),1,0)</f>
        <v/>
      </c>
      <c r="Z438">
        <f>IF(AND(K438=0,L438=0,Y438=0),1,0)</f>
        <v/>
      </c>
      <c r="AA438">
        <f>IF(AND(Z438=1,G438&lt;Assumptions!$C$6),1,0)</f>
        <v/>
      </c>
      <c r="AB438">
        <f>IF(U438=0,"",IF(Y438=1,MAX(0,Q438-G438),IF(L438=1,MAX(0,R438-G438),MAX(0,Assumptions!$C$6-G438))))</f>
        <v/>
      </c>
      <c r="AC438">
        <f>IF(Y438=1,Q438-F438,"")</f>
        <v/>
      </c>
      <c r="AD438">
        <f>IF(Y438=1,AC438^2,"")</f>
        <v/>
      </c>
      <c r="AE438" s="19">
        <f>IF(Z438=1,(H438-M438)*I438,0)</f>
        <v/>
      </c>
      <c r="AF438">
        <f>IF(G438&lt;EDATE(Assumptions!$C$6,-12)+1,"prior_12m","last_12m")</f>
        <v/>
      </c>
      <c r="AG438" s="21">
        <f>DATE(YEAR(G438),MONTH(G438),1)</f>
        <v/>
      </c>
    </row>
    <row r="439">
      <c r="A439" t="inlineStr">
        <is>
          <t>SPO-00242-2</t>
        </is>
      </c>
      <c r="B439" t="inlineStr">
        <is>
          <t>SPO-00242</t>
        </is>
      </c>
      <c r="C439" t="inlineStr">
        <is>
          <t>SUP-12</t>
        </is>
      </c>
      <c r="D439" t="inlineStr">
        <is>
          <t>IT</t>
        </is>
      </c>
      <c r="E439" t="inlineStr">
        <is>
          <t>IT-05</t>
        </is>
      </c>
      <c r="F439" s="17" t="n">
        <v>45634</v>
      </c>
      <c r="G439" s="17" t="n">
        <v>45644</v>
      </c>
      <c r="H439" s="18" t="n">
        <v>3</v>
      </c>
      <c r="I439" s="19" t="n">
        <v>715.99</v>
      </c>
      <c r="J439" s="19" t="n">
        <v>640</v>
      </c>
      <c r="K439" s="20" t="n">
        <v>0</v>
      </c>
      <c r="L439" s="20" t="n">
        <v>0</v>
      </c>
      <c r="M439" s="18" t="n">
        <v>3</v>
      </c>
      <c r="N439" s="18" t="n">
        <v>3</v>
      </c>
      <c r="O439" s="18" t="n">
        <v>0</v>
      </c>
      <c r="P439" s="17" t="n">
        <v>45641</v>
      </c>
      <c r="Q439" s="17" t="n">
        <v>45641</v>
      </c>
      <c r="R439" s="17" t="n">
        <v>45641</v>
      </c>
      <c r="S439" s="19">
        <f>H439*I439</f>
        <v/>
      </c>
      <c r="T439" s="19">
        <f>H439*J439</f>
        <v/>
      </c>
      <c r="U439">
        <f>IF(AND(K439=0,G439&lt;=Assumptions!$C$6),1,0)</f>
        <v/>
      </c>
      <c r="V439">
        <f>IF(U439=1,IF(M439&gt;0,IF(P439&lt;=G439+Assumptions!$C$7,1,0),0),0)</f>
        <v/>
      </c>
      <c r="W439">
        <f>IF(AND(U439=1,M439&gt;=H439*(1-Assumptions!$C$8)),1,0)</f>
        <v/>
      </c>
      <c r="X439">
        <f>IF(AND(U439=1,N439&gt;=H439*(1-Assumptions!$C$8)),1,0)</f>
        <v/>
      </c>
      <c r="Y439">
        <f>IF(ISNUMBER(Q439),1,0)</f>
        <v/>
      </c>
      <c r="Z439">
        <f>IF(AND(K439=0,L439=0,Y439=0),1,0)</f>
        <v/>
      </c>
      <c r="AA439">
        <f>IF(AND(Z439=1,G439&lt;Assumptions!$C$6),1,0)</f>
        <v/>
      </c>
      <c r="AB439">
        <f>IF(U439=0,"",IF(Y439=1,MAX(0,Q439-G439),IF(L439=1,MAX(0,R439-G439),MAX(0,Assumptions!$C$6-G439))))</f>
        <v/>
      </c>
      <c r="AC439">
        <f>IF(Y439=1,Q439-F439,"")</f>
        <v/>
      </c>
      <c r="AD439">
        <f>IF(Y439=1,AC439^2,"")</f>
        <v/>
      </c>
      <c r="AE439" s="19">
        <f>IF(Z439=1,(H439-M439)*I439,0)</f>
        <v/>
      </c>
      <c r="AF439">
        <f>IF(G439&lt;EDATE(Assumptions!$C$6,-12)+1,"prior_12m","last_12m")</f>
        <v/>
      </c>
      <c r="AG439" s="21">
        <f>DATE(YEAR(G439),MONTH(G439),1)</f>
        <v/>
      </c>
    </row>
    <row r="440">
      <c r="A440" t="inlineStr">
        <is>
          <t>SPO-00242-3</t>
        </is>
      </c>
      <c r="B440" t="inlineStr">
        <is>
          <t>SPO-00242</t>
        </is>
      </c>
      <c r="C440" t="inlineStr">
        <is>
          <t>SUP-12</t>
        </is>
      </c>
      <c r="D440" t="inlineStr">
        <is>
          <t>IT</t>
        </is>
      </c>
      <c r="E440" t="inlineStr">
        <is>
          <t>IT-08</t>
        </is>
      </c>
      <c r="F440" s="17" t="n">
        <v>45634</v>
      </c>
      <c r="G440" s="17" t="n">
        <v>45644</v>
      </c>
      <c r="H440" s="18" t="n">
        <v>6</v>
      </c>
      <c r="I440" s="19" t="n">
        <v>256.81</v>
      </c>
      <c r="J440" s="19" t="n">
        <v>245</v>
      </c>
      <c r="K440" s="20" t="n">
        <v>0</v>
      </c>
      <c r="L440" s="20" t="n">
        <v>0</v>
      </c>
      <c r="M440" s="18" t="n">
        <v>6</v>
      </c>
      <c r="N440" s="18" t="n">
        <v>6</v>
      </c>
      <c r="O440" s="18" t="n">
        <v>0</v>
      </c>
      <c r="P440" s="17" t="n">
        <v>45643</v>
      </c>
      <c r="Q440" s="17" t="n">
        <v>45643</v>
      </c>
      <c r="R440" s="17" t="n">
        <v>45643</v>
      </c>
      <c r="S440" s="19">
        <f>H440*I440</f>
        <v/>
      </c>
      <c r="T440" s="19">
        <f>H440*J440</f>
        <v/>
      </c>
      <c r="U440">
        <f>IF(AND(K440=0,G440&lt;=Assumptions!$C$6),1,0)</f>
        <v/>
      </c>
      <c r="V440">
        <f>IF(U440=1,IF(M440&gt;0,IF(P440&lt;=G440+Assumptions!$C$7,1,0),0),0)</f>
        <v/>
      </c>
      <c r="W440">
        <f>IF(AND(U440=1,M440&gt;=H440*(1-Assumptions!$C$8)),1,0)</f>
        <v/>
      </c>
      <c r="X440">
        <f>IF(AND(U440=1,N440&gt;=H440*(1-Assumptions!$C$8)),1,0)</f>
        <v/>
      </c>
      <c r="Y440">
        <f>IF(ISNUMBER(Q440),1,0)</f>
        <v/>
      </c>
      <c r="Z440">
        <f>IF(AND(K440=0,L440=0,Y440=0),1,0)</f>
        <v/>
      </c>
      <c r="AA440">
        <f>IF(AND(Z440=1,G440&lt;Assumptions!$C$6),1,0)</f>
        <v/>
      </c>
      <c r="AB440">
        <f>IF(U440=0,"",IF(Y440=1,MAX(0,Q440-G440),IF(L440=1,MAX(0,R440-G440),MAX(0,Assumptions!$C$6-G440))))</f>
        <v/>
      </c>
      <c r="AC440">
        <f>IF(Y440=1,Q440-F440,"")</f>
        <v/>
      </c>
      <c r="AD440">
        <f>IF(Y440=1,AC440^2,"")</f>
        <v/>
      </c>
      <c r="AE440" s="19">
        <f>IF(Z440=1,(H440-M440)*I440,0)</f>
        <v/>
      </c>
      <c r="AF440">
        <f>IF(G440&lt;EDATE(Assumptions!$C$6,-12)+1,"prior_12m","last_12m")</f>
        <v/>
      </c>
      <c r="AG440" s="21">
        <f>DATE(YEAR(G440),MONTH(G440),1)</f>
        <v/>
      </c>
    </row>
    <row r="441">
      <c r="A441" t="inlineStr">
        <is>
          <t>SPO-00243-1</t>
        </is>
      </c>
      <c r="B441" t="inlineStr">
        <is>
          <t>SPO-00243</t>
        </is>
      </c>
      <c r="C441" t="inlineStr">
        <is>
          <t>SUP-02</t>
        </is>
      </c>
      <c r="D441" t="inlineStr">
        <is>
          <t>ELEC</t>
        </is>
      </c>
      <c r="E441" t="inlineStr">
        <is>
          <t>ELEC-05</t>
        </is>
      </c>
      <c r="F441" s="17" t="n">
        <v>45634</v>
      </c>
      <c r="G441" s="17" t="n">
        <v>45650</v>
      </c>
      <c r="H441" s="18" t="n">
        <v>61</v>
      </c>
      <c r="I441" s="19" t="n">
        <v>11.42</v>
      </c>
      <c r="J441" s="19" t="n">
        <v>11.5</v>
      </c>
      <c r="K441" s="20" t="n">
        <v>0</v>
      </c>
      <c r="L441" s="20" t="n">
        <v>0</v>
      </c>
      <c r="M441" s="18" t="n">
        <v>61</v>
      </c>
      <c r="N441" s="18" t="n">
        <v>61</v>
      </c>
      <c r="O441" s="18" t="n">
        <v>0</v>
      </c>
      <c r="P441" s="17" t="n">
        <v>45647</v>
      </c>
      <c r="Q441" s="17" t="n">
        <v>45647</v>
      </c>
      <c r="R441" s="17" t="n">
        <v>45647</v>
      </c>
      <c r="S441" s="19">
        <f>H441*I441</f>
        <v/>
      </c>
      <c r="T441" s="19">
        <f>H441*J441</f>
        <v/>
      </c>
      <c r="U441">
        <f>IF(AND(K441=0,G441&lt;=Assumptions!$C$6),1,0)</f>
        <v/>
      </c>
      <c r="V441">
        <f>IF(U441=1,IF(M441&gt;0,IF(P441&lt;=G441+Assumptions!$C$7,1,0),0),0)</f>
        <v/>
      </c>
      <c r="W441">
        <f>IF(AND(U441=1,M441&gt;=H441*(1-Assumptions!$C$8)),1,0)</f>
        <v/>
      </c>
      <c r="X441">
        <f>IF(AND(U441=1,N441&gt;=H441*(1-Assumptions!$C$8)),1,0)</f>
        <v/>
      </c>
      <c r="Y441">
        <f>IF(ISNUMBER(Q441),1,0)</f>
        <v/>
      </c>
      <c r="Z441">
        <f>IF(AND(K441=0,L441=0,Y441=0),1,0)</f>
        <v/>
      </c>
      <c r="AA441">
        <f>IF(AND(Z441=1,G441&lt;Assumptions!$C$6),1,0)</f>
        <v/>
      </c>
      <c r="AB441">
        <f>IF(U441=0,"",IF(Y441=1,MAX(0,Q441-G441),IF(L441=1,MAX(0,R441-G441),MAX(0,Assumptions!$C$6-G441))))</f>
        <v/>
      </c>
      <c r="AC441">
        <f>IF(Y441=1,Q441-F441,"")</f>
        <v/>
      </c>
      <c r="AD441">
        <f>IF(Y441=1,AC441^2,"")</f>
        <v/>
      </c>
      <c r="AE441" s="19">
        <f>IF(Z441=1,(H441-M441)*I441,0)</f>
        <v/>
      </c>
      <c r="AF441">
        <f>IF(G441&lt;EDATE(Assumptions!$C$6,-12)+1,"prior_12m","last_12m")</f>
        <v/>
      </c>
      <c r="AG441" s="21">
        <f>DATE(YEAR(G441),MONTH(G441),1)</f>
        <v/>
      </c>
    </row>
    <row r="442">
      <c r="A442" t="inlineStr">
        <is>
          <t>SPO-00243-2</t>
        </is>
      </c>
      <c r="B442" t="inlineStr">
        <is>
          <t>SPO-00243</t>
        </is>
      </c>
      <c r="C442" t="inlineStr">
        <is>
          <t>SUP-02</t>
        </is>
      </c>
      <c r="D442" t="inlineStr">
        <is>
          <t>ELEC</t>
        </is>
      </c>
      <c r="E442" t="inlineStr">
        <is>
          <t>ELEC-01</t>
        </is>
      </c>
      <c r="F442" s="17" t="n">
        <v>45634</v>
      </c>
      <c r="G442" s="17" t="n">
        <v>45650</v>
      </c>
      <c r="H442" s="18" t="n">
        <v>21</v>
      </c>
      <c r="I442" s="19" t="n">
        <v>37.94</v>
      </c>
      <c r="J442" s="19" t="n">
        <v>38</v>
      </c>
      <c r="K442" s="20" t="n">
        <v>0</v>
      </c>
      <c r="L442" s="20" t="n">
        <v>0</v>
      </c>
      <c r="M442" s="18" t="n">
        <v>21</v>
      </c>
      <c r="N442" s="18" t="n">
        <v>21</v>
      </c>
      <c r="O442" s="18" t="n">
        <v>0</v>
      </c>
      <c r="P442" s="17" t="n">
        <v>45644</v>
      </c>
      <c r="Q442" s="17" t="n">
        <v>45644</v>
      </c>
      <c r="R442" s="17" t="n">
        <v>45644</v>
      </c>
      <c r="S442" s="19">
        <f>H442*I442</f>
        <v/>
      </c>
      <c r="T442" s="19">
        <f>H442*J442</f>
        <v/>
      </c>
      <c r="U442">
        <f>IF(AND(K442=0,G442&lt;=Assumptions!$C$6),1,0)</f>
        <v/>
      </c>
      <c r="V442">
        <f>IF(U442=1,IF(M442&gt;0,IF(P442&lt;=G442+Assumptions!$C$7,1,0),0),0)</f>
        <v/>
      </c>
      <c r="W442">
        <f>IF(AND(U442=1,M442&gt;=H442*(1-Assumptions!$C$8)),1,0)</f>
        <v/>
      </c>
      <c r="X442">
        <f>IF(AND(U442=1,N442&gt;=H442*(1-Assumptions!$C$8)),1,0)</f>
        <v/>
      </c>
      <c r="Y442">
        <f>IF(ISNUMBER(Q442),1,0)</f>
        <v/>
      </c>
      <c r="Z442">
        <f>IF(AND(K442=0,L442=0,Y442=0),1,0)</f>
        <v/>
      </c>
      <c r="AA442">
        <f>IF(AND(Z442=1,G442&lt;Assumptions!$C$6),1,0)</f>
        <v/>
      </c>
      <c r="AB442">
        <f>IF(U442=0,"",IF(Y442=1,MAX(0,Q442-G442),IF(L442=1,MAX(0,R442-G442),MAX(0,Assumptions!$C$6-G442))))</f>
        <v/>
      </c>
      <c r="AC442">
        <f>IF(Y442=1,Q442-F442,"")</f>
        <v/>
      </c>
      <c r="AD442">
        <f>IF(Y442=1,AC442^2,"")</f>
        <v/>
      </c>
      <c r="AE442" s="19">
        <f>IF(Z442=1,(H442-M442)*I442,0)</f>
        <v/>
      </c>
      <c r="AF442">
        <f>IF(G442&lt;EDATE(Assumptions!$C$6,-12)+1,"prior_12m","last_12m")</f>
        <v/>
      </c>
      <c r="AG442" s="21">
        <f>DATE(YEAR(G442),MONTH(G442),1)</f>
        <v/>
      </c>
    </row>
    <row r="443">
      <c r="A443" t="inlineStr">
        <is>
          <t>SPO-00243-3</t>
        </is>
      </c>
      <c r="B443" t="inlineStr">
        <is>
          <t>SPO-00243</t>
        </is>
      </c>
      <c r="C443" t="inlineStr">
        <is>
          <t>SUP-02</t>
        </is>
      </c>
      <c r="D443" t="inlineStr">
        <is>
          <t>ELEC</t>
        </is>
      </c>
      <c r="E443" t="inlineStr">
        <is>
          <t>ELEC-02</t>
        </is>
      </c>
      <c r="F443" s="17" t="n">
        <v>45634</v>
      </c>
      <c r="G443" s="17" t="n">
        <v>45650</v>
      </c>
      <c r="H443" s="18" t="n">
        <v>293</v>
      </c>
      <c r="I443" s="19" t="n">
        <v>4.17</v>
      </c>
      <c r="J443" s="19" t="n">
        <v>4.2</v>
      </c>
      <c r="K443" s="20" t="n">
        <v>0</v>
      </c>
      <c r="L443" s="20" t="n">
        <v>0</v>
      </c>
      <c r="M443" s="18" t="n">
        <v>293</v>
      </c>
      <c r="N443" s="18" t="n">
        <v>293</v>
      </c>
      <c r="O443" s="18" t="n">
        <v>0</v>
      </c>
      <c r="P443" s="17" t="n">
        <v>45647</v>
      </c>
      <c r="Q443" s="17" t="n">
        <v>45647</v>
      </c>
      <c r="R443" s="17" t="n">
        <v>45647</v>
      </c>
      <c r="S443" s="19">
        <f>H443*I443</f>
        <v/>
      </c>
      <c r="T443" s="19">
        <f>H443*J443</f>
        <v/>
      </c>
      <c r="U443">
        <f>IF(AND(K443=0,G443&lt;=Assumptions!$C$6),1,0)</f>
        <v/>
      </c>
      <c r="V443">
        <f>IF(U443=1,IF(M443&gt;0,IF(P443&lt;=G443+Assumptions!$C$7,1,0),0),0)</f>
        <v/>
      </c>
      <c r="W443">
        <f>IF(AND(U443=1,M443&gt;=H443*(1-Assumptions!$C$8)),1,0)</f>
        <v/>
      </c>
      <c r="X443">
        <f>IF(AND(U443=1,N443&gt;=H443*(1-Assumptions!$C$8)),1,0)</f>
        <v/>
      </c>
      <c r="Y443">
        <f>IF(ISNUMBER(Q443),1,0)</f>
        <v/>
      </c>
      <c r="Z443">
        <f>IF(AND(K443=0,L443=0,Y443=0),1,0)</f>
        <v/>
      </c>
      <c r="AA443">
        <f>IF(AND(Z443=1,G443&lt;Assumptions!$C$6),1,0)</f>
        <v/>
      </c>
      <c r="AB443">
        <f>IF(U443=0,"",IF(Y443=1,MAX(0,Q443-G443),IF(L443=1,MAX(0,R443-G443),MAX(0,Assumptions!$C$6-G443))))</f>
        <v/>
      </c>
      <c r="AC443">
        <f>IF(Y443=1,Q443-F443,"")</f>
        <v/>
      </c>
      <c r="AD443">
        <f>IF(Y443=1,AC443^2,"")</f>
        <v/>
      </c>
      <c r="AE443" s="19">
        <f>IF(Z443=1,(H443-M443)*I443,0)</f>
        <v/>
      </c>
      <c r="AF443">
        <f>IF(G443&lt;EDATE(Assumptions!$C$6,-12)+1,"prior_12m","last_12m")</f>
        <v/>
      </c>
      <c r="AG443" s="21">
        <f>DATE(YEAR(G443),MONTH(G443),1)</f>
        <v/>
      </c>
    </row>
    <row r="444">
      <c r="A444" t="inlineStr">
        <is>
          <t>SPO-00244-1</t>
        </is>
      </c>
      <c r="B444" t="inlineStr">
        <is>
          <t>SPO-00244</t>
        </is>
      </c>
      <c r="C444" t="inlineStr">
        <is>
          <t>SUP-05</t>
        </is>
      </c>
      <c r="D444" t="inlineStr">
        <is>
          <t>FLEET</t>
        </is>
      </c>
      <c r="E444" t="inlineStr">
        <is>
          <t>FLEET-01</t>
        </is>
      </c>
      <c r="F444" s="17" t="n">
        <v>45634</v>
      </c>
      <c r="G444" s="17" t="n">
        <v>45648</v>
      </c>
      <c r="H444" s="18" t="n">
        <v>41</v>
      </c>
      <c r="I444" s="19" t="n">
        <v>65.01000000000001</v>
      </c>
      <c r="J444" s="19" t="n">
        <v>64</v>
      </c>
      <c r="K444" s="20" t="n">
        <v>0</v>
      </c>
      <c r="L444" s="20" t="n">
        <v>0</v>
      </c>
      <c r="M444" s="18" t="n">
        <v>41</v>
      </c>
      <c r="N444" s="18" t="n">
        <v>0</v>
      </c>
      <c r="O444" s="18" t="n">
        <v>0</v>
      </c>
      <c r="P444" s="17" t="n">
        <v>45649</v>
      </c>
      <c r="Q444" s="17" t="n">
        <v>45649</v>
      </c>
      <c r="R444" s="17" t="n">
        <v>45649</v>
      </c>
      <c r="S444" s="19">
        <f>H444*I444</f>
        <v/>
      </c>
      <c r="T444" s="19">
        <f>H444*J444</f>
        <v/>
      </c>
      <c r="U444">
        <f>IF(AND(K444=0,G444&lt;=Assumptions!$C$6),1,0)</f>
        <v/>
      </c>
      <c r="V444">
        <f>IF(U444=1,IF(M444&gt;0,IF(P444&lt;=G444+Assumptions!$C$7,1,0),0),0)</f>
        <v/>
      </c>
      <c r="W444">
        <f>IF(AND(U444=1,M444&gt;=H444*(1-Assumptions!$C$8)),1,0)</f>
        <v/>
      </c>
      <c r="X444">
        <f>IF(AND(U444=1,N444&gt;=H444*(1-Assumptions!$C$8)),1,0)</f>
        <v/>
      </c>
      <c r="Y444">
        <f>IF(ISNUMBER(Q444),1,0)</f>
        <v/>
      </c>
      <c r="Z444">
        <f>IF(AND(K444=0,L444=0,Y444=0),1,0)</f>
        <v/>
      </c>
      <c r="AA444">
        <f>IF(AND(Z444=1,G444&lt;Assumptions!$C$6),1,0)</f>
        <v/>
      </c>
      <c r="AB444">
        <f>IF(U444=0,"",IF(Y444=1,MAX(0,Q444-G444),IF(L444=1,MAX(0,R444-G444),MAX(0,Assumptions!$C$6-G444))))</f>
        <v/>
      </c>
      <c r="AC444">
        <f>IF(Y444=1,Q444-F444,"")</f>
        <v/>
      </c>
      <c r="AD444">
        <f>IF(Y444=1,AC444^2,"")</f>
        <v/>
      </c>
      <c r="AE444" s="19">
        <f>IF(Z444=1,(H444-M444)*I444,0)</f>
        <v/>
      </c>
      <c r="AF444">
        <f>IF(G444&lt;EDATE(Assumptions!$C$6,-12)+1,"prior_12m","last_12m")</f>
        <v/>
      </c>
      <c r="AG444" s="21">
        <f>DATE(YEAR(G444),MONTH(G444),1)</f>
        <v/>
      </c>
    </row>
    <row r="445">
      <c r="A445" t="inlineStr">
        <is>
          <t>SPO-00244-2</t>
        </is>
      </c>
      <c r="B445" t="inlineStr">
        <is>
          <t>SPO-00244</t>
        </is>
      </c>
      <c r="C445" t="inlineStr">
        <is>
          <t>SUP-05</t>
        </is>
      </c>
      <c r="D445" t="inlineStr">
        <is>
          <t>FLEET</t>
        </is>
      </c>
      <c r="E445" t="inlineStr">
        <is>
          <t>FLEET-04</t>
        </is>
      </c>
      <c r="F445" s="17" t="n">
        <v>45634</v>
      </c>
      <c r="G445" s="17" t="n">
        <v>45648</v>
      </c>
      <c r="H445" s="18" t="n">
        <v>138</v>
      </c>
      <c r="I445" s="19" t="n">
        <v>9.31</v>
      </c>
      <c r="J445" s="19" t="n">
        <v>9</v>
      </c>
      <c r="K445" s="20" t="n">
        <v>0</v>
      </c>
      <c r="L445" s="20" t="n">
        <v>0</v>
      </c>
      <c r="M445" s="18" t="n">
        <v>138</v>
      </c>
      <c r="N445" s="18" t="n">
        <v>138</v>
      </c>
      <c r="O445" s="18" t="n">
        <v>0</v>
      </c>
      <c r="P445" s="17" t="n">
        <v>45646</v>
      </c>
      <c r="Q445" s="17" t="n">
        <v>45646</v>
      </c>
      <c r="R445" s="17" t="n">
        <v>45646</v>
      </c>
      <c r="S445" s="19">
        <f>H445*I445</f>
        <v/>
      </c>
      <c r="T445" s="19">
        <f>H445*J445</f>
        <v/>
      </c>
      <c r="U445">
        <f>IF(AND(K445=0,G445&lt;=Assumptions!$C$6),1,0)</f>
        <v/>
      </c>
      <c r="V445">
        <f>IF(U445=1,IF(M445&gt;0,IF(P445&lt;=G445+Assumptions!$C$7,1,0),0),0)</f>
        <v/>
      </c>
      <c r="W445">
        <f>IF(AND(U445=1,M445&gt;=H445*(1-Assumptions!$C$8)),1,0)</f>
        <v/>
      </c>
      <c r="X445">
        <f>IF(AND(U445=1,N445&gt;=H445*(1-Assumptions!$C$8)),1,0)</f>
        <v/>
      </c>
      <c r="Y445">
        <f>IF(ISNUMBER(Q445),1,0)</f>
        <v/>
      </c>
      <c r="Z445">
        <f>IF(AND(K445=0,L445=0,Y445=0),1,0)</f>
        <v/>
      </c>
      <c r="AA445">
        <f>IF(AND(Z445=1,G445&lt;Assumptions!$C$6),1,0)</f>
        <v/>
      </c>
      <c r="AB445">
        <f>IF(U445=0,"",IF(Y445=1,MAX(0,Q445-G445),IF(L445=1,MAX(0,R445-G445),MAX(0,Assumptions!$C$6-G445))))</f>
        <v/>
      </c>
      <c r="AC445">
        <f>IF(Y445=1,Q445-F445,"")</f>
        <v/>
      </c>
      <c r="AD445">
        <f>IF(Y445=1,AC445^2,"")</f>
        <v/>
      </c>
      <c r="AE445" s="19">
        <f>IF(Z445=1,(H445-M445)*I445,0)</f>
        <v/>
      </c>
      <c r="AF445">
        <f>IF(G445&lt;EDATE(Assumptions!$C$6,-12)+1,"prior_12m","last_12m")</f>
        <v/>
      </c>
      <c r="AG445" s="21">
        <f>DATE(YEAR(G445),MONTH(G445),1)</f>
        <v/>
      </c>
    </row>
    <row r="446">
      <c r="A446" t="inlineStr">
        <is>
          <t>SPO-00244-3</t>
        </is>
      </c>
      <c r="B446" t="inlineStr">
        <is>
          <t>SPO-00244</t>
        </is>
      </c>
      <c r="C446" t="inlineStr">
        <is>
          <t>SUP-05</t>
        </is>
      </c>
      <c r="D446" t="inlineStr">
        <is>
          <t>FLEET</t>
        </is>
      </c>
      <c r="E446" t="inlineStr">
        <is>
          <t>FLEET-08</t>
        </is>
      </c>
      <c r="F446" s="17" t="n">
        <v>45634</v>
      </c>
      <c r="G446" s="17" t="n">
        <v>45648</v>
      </c>
      <c r="H446" s="18" t="n">
        <v>396</v>
      </c>
      <c r="I446" s="19" t="n">
        <v>6.46</v>
      </c>
      <c r="J446" s="19" t="n">
        <v>6.4</v>
      </c>
      <c r="K446" s="20" t="n">
        <v>0</v>
      </c>
      <c r="L446" s="20" t="n">
        <v>0</v>
      </c>
      <c r="M446" s="18" t="n">
        <v>396</v>
      </c>
      <c r="N446" s="18" t="n">
        <v>396</v>
      </c>
      <c r="O446" s="18" t="n">
        <v>0</v>
      </c>
      <c r="P446" s="17" t="n">
        <v>45646</v>
      </c>
      <c r="Q446" s="17" t="n">
        <v>45646</v>
      </c>
      <c r="R446" s="17" t="n">
        <v>45646</v>
      </c>
      <c r="S446" s="19">
        <f>H446*I446</f>
        <v/>
      </c>
      <c r="T446" s="19">
        <f>H446*J446</f>
        <v/>
      </c>
      <c r="U446">
        <f>IF(AND(K446=0,G446&lt;=Assumptions!$C$6),1,0)</f>
        <v/>
      </c>
      <c r="V446">
        <f>IF(U446=1,IF(M446&gt;0,IF(P446&lt;=G446+Assumptions!$C$7,1,0),0),0)</f>
        <v/>
      </c>
      <c r="W446">
        <f>IF(AND(U446=1,M446&gt;=H446*(1-Assumptions!$C$8)),1,0)</f>
        <v/>
      </c>
      <c r="X446">
        <f>IF(AND(U446=1,N446&gt;=H446*(1-Assumptions!$C$8)),1,0)</f>
        <v/>
      </c>
      <c r="Y446">
        <f>IF(ISNUMBER(Q446),1,0)</f>
        <v/>
      </c>
      <c r="Z446">
        <f>IF(AND(K446=0,L446=0,Y446=0),1,0)</f>
        <v/>
      </c>
      <c r="AA446">
        <f>IF(AND(Z446=1,G446&lt;Assumptions!$C$6),1,0)</f>
        <v/>
      </c>
      <c r="AB446">
        <f>IF(U446=0,"",IF(Y446=1,MAX(0,Q446-G446),IF(L446=1,MAX(0,R446-G446),MAX(0,Assumptions!$C$6-G446))))</f>
        <v/>
      </c>
      <c r="AC446">
        <f>IF(Y446=1,Q446-F446,"")</f>
        <v/>
      </c>
      <c r="AD446">
        <f>IF(Y446=1,AC446^2,"")</f>
        <v/>
      </c>
      <c r="AE446" s="19">
        <f>IF(Z446=1,(H446-M446)*I446,0)</f>
        <v/>
      </c>
      <c r="AF446">
        <f>IF(G446&lt;EDATE(Assumptions!$C$6,-12)+1,"prior_12m","last_12m")</f>
        <v/>
      </c>
      <c r="AG446" s="21">
        <f>DATE(YEAR(G446),MONTH(G446),1)</f>
        <v/>
      </c>
    </row>
    <row r="447">
      <c r="A447" t="inlineStr">
        <is>
          <t>SPO-00244-4</t>
        </is>
      </c>
      <c r="B447" t="inlineStr">
        <is>
          <t>SPO-00244</t>
        </is>
      </c>
      <c r="C447" t="inlineStr">
        <is>
          <t>SUP-05</t>
        </is>
      </c>
      <c r="D447" t="inlineStr">
        <is>
          <t>FLEET</t>
        </is>
      </c>
      <c r="E447" t="inlineStr">
        <is>
          <t>FLEET-03</t>
        </is>
      </c>
      <c r="F447" s="17" t="n">
        <v>45634</v>
      </c>
      <c r="G447" s="17" t="n">
        <v>45648</v>
      </c>
      <c r="H447" s="18" t="n">
        <v>80</v>
      </c>
      <c r="I447" s="19" t="n">
        <v>21.46</v>
      </c>
      <c r="J447" s="19" t="n">
        <v>21</v>
      </c>
      <c r="K447" s="20" t="n">
        <v>0</v>
      </c>
      <c r="L447" s="20" t="n">
        <v>0</v>
      </c>
      <c r="M447" s="18" t="n">
        <v>80</v>
      </c>
      <c r="N447" s="18" t="n">
        <v>80</v>
      </c>
      <c r="O447" s="18" t="n">
        <v>0</v>
      </c>
      <c r="P447" s="17" t="n">
        <v>45644</v>
      </c>
      <c r="Q447" s="17" t="n">
        <v>45644</v>
      </c>
      <c r="R447" s="17" t="n">
        <v>45644</v>
      </c>
      <c r="S447" s="19">
        <f>H447*I447</f>
        <v/>
      </c>
      <c r="T447" s="19">
        <f>H447*J447</f>
        <v/>
      </c>
      <c r="U447">
        <f>IF(AND(K447=0,G447&lt;=Assumptions!$C$6),1,0)</f>
        <v/>
      </c>
      <c r="V447">
        <f>IF(U447=1,IF(M447&gt;0,IF(P447&lt;=G447+Assumptions!$C$7,1,0),0),0)</f>
        <v/>
      </c>
      <c r="W447">
        <f>IF(AND(U447=1,M447&gt;=H447*(1-Assumptions!$C$8)),1,0)</f>
        <v/>
      </c>
      <c r="X447">
        <f>IF(AND(U447=1,N447&gt;=H447*(1-Assumptions!$C$8)),1,0)</f>
        <v/>
      </c>
      <c r="Y447">
        <f>IF(ISNUMBER(Q447),1,0)</f>
        <v/>
      </c>
      <c r="Z447">
        <f>IF(AND(K447=0,L447=0,Y447=0),1,0)</f>
        <v/>
      </c>
      <c r="AA447">
        <f>IF(AND(Z447=1,G447&lt;Assumptions!$C$6),1,0)</f>
        <v/>
      </c>
      <c r="AB447">
        <f>IF(U447=0,"",IF(Y447=1,MAX(0,Q447-G447),IF(L447=1,MAX(0,R447-G447),MAX(0,Assumptions!$C$6-G447))))</f>
        <v/>
      </c>
      <c r="AC447">
        <f>IF(Y447=1,Q447-F447,"")</f>
        <v/>
      </c>
      <c r="AD447">
        <f>IF(Y447=1,AC447^2,"")</f>
        <v/>
      </c>
      <c r="AE447" s="19">
        <f>IF(Z447=1,(H447-M447)*I447,0)</f>
        <v/>
      </c>
      <c r="AF447">
        <f>IF(G447&lt;EDATE(Assumptions!$C$6,-12)+1,"prior_12m","last_12m")</f>
        <v/>
      </c>
      <c r="AG447" s="21">
        <f>DATE(YEAR(G447),MONTH(G447),1)</f>
        <v/>
      </c>
    </row>
    <row r="448">
      <c r="A448" t="inlineStr">
        <is>
          <t>SPO-00245-1</t>
        </is>
      </c>
      <c r="B448" t="inlineStr">
        <is>
          <t>SPO-00245</t>
        </is>
      </c>
      <c r="C448" t="inlineStr">
        <is>
          <t>SUP-09</t>
        </is>
      </c>
      <c r="D448" t="inlineStr">
        <is>
          <t>CHEM</t>
        </is>
      </c>
      <c r="E448" t="inlineStr">
        <is>
          <t>CHEM-05</t>
        </is>
      </c>
      <c r="F448" s="17" t="n">
        <v>45634</v>
      </c>
      <c r="G448" s="17" t="n">
        <v>45648</v>
      </c>
      <c r="H448" s="18" t="n">
        <v>1</v>
      </c>
      <c r="I448" s="19" t="n">
        <v>957.22</v>
      </c>
      <c r="J448" s="19" t="n">
        <v>930</v>
      </c>
      <c r="K448" s="20" t="n">
        <v>1</v>
      </c>
      <c r="L448" s="20" t="n">
        <v>0</v>
      </c>
      <c r="M448" s="18" t="n">
        <v>0</v>
      </c>
      <c r="N448" s="18" t="n">
        <v>0</v>
      </c>
      <c r="O448" s="18" t="n">
        <v>0</v>
      </c>
      <c r="P448" s="17" t="n"/>
      <c r="Q448" s="17" t="n"/>
      <c r="R448" s="17" t="n"/>
      <c r="S448" s="19">
        <f>H448*I448</f>
        <v/>
      </c>
      <c r="T448" s="19">
        <f>H448*J448</f>
        <v/>
      </c>
      <c r="U448">
        <f>IF(AND(K448=0,G448&lt;=Assumptions!$C$6),1,0)</f>
        <v/>
      </c>
      <c r="V448">
        <f>IF(U448=1,IF(M448&gt;0,IF(P448&lt;=G448+Assumptions!$C$7,1,0),0),0)</f>
        <v/>
      </c>
      <c r="W448">
        <f>IF(AND(U448=1,M448&gt;=H448*(1-Assumptions!$C$8)),1,0)</f>
        <v/>
      </c>
      <c r="X448">
        <f>IF(AND(U448=1,N448&gt;=H448*(1-Assumptions!$C$8)),1,0)</f>
        <v/>
      </c>
      <c r="Y448">
        <f>IF(ISNUMBER(Q448),1,0)</f>
        <v/>
      </c>
      <c r="Z448">
        <f>IF(AND(K448=0,L448=0,Y448=0),1,0)</f>
        <v/>
      </c>
      <c r="AA448">
        <f>IF(AND(Z448=1,G448&lt;Assumptions!$C$6),1,0)</f>
        <v/>
      </c>
      <c r="AB448">
        <f>IF(U448=0,"",IF(Y448=1,MAX(0,Q448-G448),IF(L448=1,MAX(0,R448-G448),MAX(0,Assumptions!$C$6-G448))))</f>
        <v/>
      </c>
      <c r="AC448">
        <f>IF(Y448=1,Q448-F448,"")</f>
        <v/>
      </c>
      <c r="AD448">
        <f>IF(Y448=1,AC448^2,"")</f>
        <v/>
      </c>
      <c r="AE448" s="19">
        <f>IF(Z448=1,(H448-M448)*I448,0)</f>
        <v/>
      </c>
      <c r="AF448">
        <f>IF(G448&lt;EDATE(Assumptions!$C$6,-12)+1,"prior_12m","last_12m")</f>
        <v/>
      </c>
      <c r="AG448" s="21">
        <f>DATE(YEAR(G448),MONTH(G448),1)</f>
        <v/>
      </c>
    </row>
    <row r="449">
      <c r="A449" t="inlineStr">
        <is>
          <t>SPO-00246-1</t>
        </is>
      </c>
      <c r="B449" t="inlineStr">
        <is>
          <t>SPO-00246</t>
        </is>
      </c>
      <c r="C449" t="inlineStr">
        <is>
          <t>SUP-09</t>
        </is>
      </c>
      <c r="D449" t="inlineStr">
        <is>
          <t>CHEM</t>
        </is>
      </c>
      <c r="E449" t="inlineStr">
        <is>
          <t>CHEM-06</t>
        </is>
      </c>
      <c r="F449" s="17" t="n">
        <v>45634</v>
      </c>
      <c r="G449" s="17" t="n">
        <v>45648</v>
      </c>
      <c r="H449" s="18" t="n">
        <v>4</v>
      </c>
      <c r="I449" s="19" t="n">
        <v>407.09</v>
      </c>
      <c r="J449" s="19" t="n">
        <v>380</v>
      </c>
      <c r="K449" s="20" t="n">
        <v>0</v>
      </c>
      <c r="L449" s="20" t="n">
        <v>0</v>
      </c>
      <c r="M449" s="18" t="n">
        <v>4</v>
      </c>
      <c r="N449" s="18" t="n">
        <v>4</v>
      </c>
      <c r="O449" s="18" t="n">
        <v>0</v>
      </c>
      <c r="P449" s="17" t="n">
        <v>45645</v>
      </c>
      <c r="Q449" s="17" t="n">
        <v>45645</v>
      </c>
      <c r="R449" s="17" t="n">
        <v>45645</v>
      </c>
      <c r="S449" s="19">
        <f>H449*I449</f>
        <v/>
      </c>
      <c r="T449" s="19">
        <f>H449*J449</f>
        <v/>
      </c>
      <c r="U449">
        <f>IF(AND(K449=0,G449&lt;=Assumptions!$C$6),1,0)</f>
        <v/>
      </c>
      <c r="V449">
        <f>IF(U449=1,IF(M449&gt;0,IF(P449&lt;=G449+Assumptions!$C$7,1,0),0),0)</f>
        <v/>
      </c>
      <c r="W449">
        <f>IF(AND(U449=1,M449&gt;=H449*(1-Assumptions!$C$8)),1,0)</f>
        <v/>
      </c>
      <c r="X449">
        <f>IF(AND(U449=1,N449&gt;=H449*(1-Assumptions!$C$8)),1,0)</f>
        <v/>
      </c>
      <c r="Y449">
        <f>IF(ISNUMBER(Q449),1,0)</f>
        <v/>
      </c>
      <c r="Z449">
        <f>IF(AND(K449=0,L449=0,Y449=0),1,0)</f>
        <v/>
      </c>
      <c r="AA449">
        <f>IF(AND(Z449=1,G449&lt;Assumptions!$C$6),1,0)</f>
        <v/>
      </c>
      <c r="AB449">
        <f>IF(U449=0,"",IF(Y449=1,MAX(0,Q449-G449),IF(L449=1,MAX(0,R449-G449),MAX(0,Assumptions!$C$6-G449))))</f>
        <v/>
      </c>
      <c r="AC449">
        <f>IF(Y449=1,Q449-F449,"")</f>
        <v/>
      </c>
      <c r="AD449">
        <f>IF(Y449=1,AC449^2,"")</f>
        <v/>
      </c>
      <c r="AE449" s="19">
        <f>IF(Z449=1,(H449-M449)*I449,0)</f>
        <v/>
      </c>
      <c r="AF449">
        <f>IF(G449&lt;EDATE(Assumptions!$C$6,-12)+1,"prior_12m","last_12m")</f>
        <v/>
      </c>
      <c r="AG449" s="21">
        <f>DATE(YEAR(G449),MONTH(G449),1)</f>
        <v/>
      </c>
    </row>
    <row r="450">
      <c r="A450" t="inlineStr">
        <is>
          <t>SPO-00246-2</t>
        </is>
      </c>
      <c r="B450" t="inlineStr">
        <is>
          <t>SPO-00246</t>
        </is>
      </c>
      <c r="C450" t="inlineStr">
        <is>
          <t>SUP-09</t>
        </is>
      </c>
      <c r="D450" t="inlineStr">
        <is>
          <t>CHEM</t>
        </is>
      </c>
      <c r="E450" t="inlineStr">
        <is>
          <t>CHEM-05</t>
        </is>
      </c>
      <c r="F450" s="17" t="n">
        <v>45634</v>
      </c>
      <c r="G450" s="17" t="n">
        <v>45648</v>
      </c>
      <c r="H450" s="18" t="n">
        <v>2</v>
      </c>
      <c r="I450" s="19" t="n">
        <v>988.78</v>
      </c>
      <c r="J450" s="19" t="n">
        <v>930</v>
      </c>
      <c r="K450" s="20" t="n">
        <v>0</v>
      </c>
      <c r="L450" s="20" t="n">
        <v>0</v>
      </c>
      <c r="M450" s="18" t="n">
        <v>2</v>
      </c>
      <c r="N450" s="18" t="n">
        <v>0</v>
      </c>
      <c r="O450" s="18" t="n">
        <v>0</v>
      </c>
      <c r="P450" s="17" t="n">
        <v>45649</v>
      </c>
      <c r="Q450" s="17" t="n">
        <v>45649</v>
      </c>
      <c r="R450" s="17" t="n">
        <v>45649</v>
      </c>
      <c r="S450" s="19">
        <f>H450*I450</f>
        <v/>
      </c>
      <c r="T450" s="19">
        <f>H450*J450</f>
        <v/>
      </c>
      <c r="U450">
        <f>IF(AND(K450=0,G450&lt;=Assumptions!$C$6),1,0)</f>
        <v/>
      </c>
      <c r="V450">
        <f>IF(U450=1,IF(M450&gt;0,IF(P450&lt;=G450+Assumptions!$C$7,1,0),0),0)</f>
        <v/>
      </c>
      <c r="W450">
        <f>IF(AND(U450=1,M450&gt;=H450*(1-Assumptions!$C$8)),1,0)</f>
        <v/>
      </c>
      <c r="X450">
        <f>IF(AND(U450=1,N450&gt;=H450*(1-Assumptions!$C$8)),1,0)</f>
        <v/>
      </c>
      <c r="Y450">
        <f>IF(ISNUMBER(Q450),1,0)</f>
        <v/>
      </c>
      <c r="Z450">
        <f>IF(AND(K450=0,L450=0,Y450=0),1,0)</f>
        <v/>
      </c>
      <c r="AA450">
        <f>IF(AND(Z450=1,G450&lt;Assumptions!$C$6),1,0)</f>
        <v/>
      </c>
      <c r="AB450">
        <f>IF(U450=0,"",IF(Y450=1,MAX(0,Q450-G450),IF(L450=1,MAX(0,R450-G450),MAX(0,Assumptions!$C$6-G450))))</f>
        <v/>
      </c>
      <c r="AC450">
        <f>IF(Y450=1,Q450-F450,"")</f>
        <v/>
      </c>
      <c r="AD450">
        <f>IF(Y450=1,AC450^2,"")</f>
        <v/>
      </c>
      <c r="AE450" s="19">
        <f>IF(Z450=1,(H450-M450)*I450,0)</f>
        <v/>
      </c>
      <c r="AF450">
        <f>IF(G450&lt;EDATE(Assumptions!$C$6,-12)+1,"prior_12m","last_12m")</f>
        <v/>
      </c>
      <c r="AG450" s="21">
        <f>DATE(YEAR(G450),MONTH(G450),1)</f>
        <v/>
      </c>
    </row>
    <row r="451">
      <c r="A451" t="inlineStr">
        <is>
          <t>SPO-00247-1</t>
        </is>
      </c>
      <c r="B451" t="inlineStr">
        <is>
          <t>SPO-00247</t>
        </is>
      </c>
      <c r="C451" t="inlineStr">
        <is>
          <t>SUP-04</t>
        </is>
      </c>
      <c r="D451" t="inlineStr">
        <is>
          <t>FLEET</t>
        </is>
      </c>
      <c r="E451" t="inlineStr">
        <is>
          <t>FLEET-08</t>
        </is>
      </c>
      <c r="F451" s="17" t="n">
        <v>45635</v>
      </c>
      <c r="G451" s="17" t="n">
        <v>45648</v>
      </c>
      <c r="H451" s="18" t="n">
        <v>260</v>
      </c>
      <c r="I451" s="19" t="n">
        <v>6.39</v>
      </c>
      <c r="J451" s="19" t="n">
        <v>6.4</v>
      </c>
      <c r="K451" s="20" t="n">
        <v>0</v>
      </c>
      <c r="L451" s="20" t="n">
        <v>0</v>
      </c>
      <c r="M451" s="18" t="n">
        <v>260</v>
      </c>
      <c r="N451" s="18" t="n">
        <v>260</v>
      </c>
      <c r="O451" s="18" t="n">
        <v>0</v>
      </c>
      <c r="P451" s="17" t="n">
        <v>45636</v>
      </c>
      <c r="Q451" s="17" t="n">
        <v>45636</v>
      </c>
      <c r="R451" s="17" t="n">
        <v>45636</v>
      </c>
      <c r="S451" s="19">
        <f>H451*I451</f>
        <v/>
      </c>
      <c r="T451" s="19">
        <f>H451*J451</f>
        <v/>
      </c>
      <c r="U451">
        <f>IF(AND(K451=0,G451&lt;=Assumptions!$C$6),1,0)</f>
        <v/>
      </c>
      <c r="V451">
        <f>IF(U451=1,IF(M451&gt;0,IF(P451&lt;=G451+Assumptions!$C$7,1,0),0),0)</f>
        <v/>
      </c>
      <c r="W451">
        <f>IF(AND(U451=1,M451&gt;=H451*(1-Assumptions!$C$8)),1,0)</f>
        <v/>
      </c>
      <c r="X451">
        <f>IF(AND(U451=1,N451&gt;=H451*(1-Assumptions!$C$8)),1,0)</f>
        <v/>
      </c>
      <c r="Y451">
        <f>IF(ISNUMBER(Q451),1,0)</f>
        <v/>
      </c>
      <c r="Z451">
        <f>IF(AND(K451=0,L451=0,Y451=0),1,0)</f>
        <v/>
      </c>
      <c r="AA451">
        <f>IF(AND(Z451=1,G451&lt;Assumptions!$C$6),1,0)</f>
        <v/>
      </c>
      <c r="AB451">
        <f>IF(U451=0,"",IF(Y451=1,MAX(0,Q451-G451),IF(L451=1,MAX(0,R451-G451),MAX(0,Assumptions!$C$6-G451))))</f>
        <v/>
      </c>
      <c r="AC451">
        <f>IF(Y451=1,Q451-F451,"")</f>
        <v/>
      </c>
      <c r="AD451">
        <f>IF(Y451=1,AC451^2,"")</f>
        <v/>
      </c>
      <c r="AE451" s="19">
        <f>IF(Z451=1,(H451-M451)*I451,0)</f>
        <v/>
      </c>
      <c r="AF451">
        <f>IF(G451&lt;EDATE(Assumptions!$C$6,-12)+1,"prior_12m","last_12m")</f>
        <v/>
      </c>
      <c r="AG451" s="21">
        <f>DATE(YEAR(G451),MONTH(G451),1)</f>
        <v/>
      </c>
    </row>
    <row r="452">
      <c r="A452" t="inlineStr">
        <is>
          <t>SPO-00247-2</t>
        </is>
      </c>
      <c r="B452" t="inlineStr">
        <is>
          <t>SPO-00247</t>
        </is>
      </c>
      <c r="C452" t="inlineStr">
        <is>
          <t>SUP-04</t>
        </is>
      </c>
      <c r="D452" t="inlineStr">
        <is>
          <t>FLEET</t>
        </is>
      </c>
      <c r="E452" t="inlineStr">
        <is>
          <t>FLEET-02</t>
        </is>
      </c>
      <c r="F452" s="17" t="n">
        <v>45635</v>
      </c>
      <c r="G452" s="17" t="n">
        <v>45648</v>
      </c>
      <c r="H452" s="18" t="n">
        <v>163</v>
      </c>
      <c r="I452" s="19" t="n">
        <v>7.49</v>
      </c>
      <c r="J452" s="19" t="n">
        <v>7.5</v>
      </c>
      <c r="K452" s="20" t="n">
        <v>0</v>
      </c>
      <c r="L452" s="20" t="n">
        <v>0</v>
      </c>
      <c r="M452" s="18" t="n">
        <v>163</v>
      </c>
      <c r="N452" s="18" t="n">
        <v>163</v>
      </c>
      <c r="O452" s="18" t="n">
        <v>0</v>
      </c>
      <c r="P452" s="17" t="n">
        <v>45647</v>
      </c>
      <c r="Q452" s="17" t="n">
        <v>45647</v>
      </c>
      <c r="R452" s="17" t="n">
        <v>45647</v>
      </c>
      <c r="S452" s="19">
        <f>H452*I452</f>
        <v/>
      </c>
      <c r="T452" s="19">
        <f>H452*J452</f>
        <v/>
      </c>
      <c r="U452">
        <f>IF(AND(K452=0,G452&lt;=Assumptions!$C$6),1,0)</f>
        <v/>
      </c>
      <c r="V452">
        <f>IF(U452=1,IF(M452&gt;0,IF(P452&lt;=G452+Assumptions!$C$7,1,0),0),0)</f>
        <v/>
      </c>
      <c r="W452">
        <f>IF(AND(U452=1,M452&gt;=H452*(1-Assumptions!$C$8)),1,0)</f>
        <v/>
      </c>
      <c r="X452">
        <f>IF(AND(U452=1,N452&gt;=H452*(1-Assumptions!$C$8)),1,0)</f>
        <v/>
      </c>
      <c r="Y452">
        <f>IF(ISNUMBER(Q452),1,0)</f>
        <v/>
      </c>
      <c r="Z452">
        <f>IF(AND(K452=0,L452=0,Y452=0),1,0)</f>
        <v/>
      </c>
      <c r="AA452">
        <f>IF(AND(Z452=1,G452&lt;Assumptions!$C$6),1,0)</f>
        <v/>
      </c>
      <c r="AB452">
        <f>IF(U452=0,"",IF(Y452=1,MAX(0,Q452-G452),IF(L452=1,MAX(0,R452-G452),MAX(0,Assumptions!$C$6-G452))))</f>
        <v/>
      </c>
      <c r="AC452">
        <f>IF(Y452=1,Q452-F452,"")</f>
        <v/>
      </c>
      <c r="AD452">
        <f>IF(Y452=1,AC452^2,"")</f>
        <v/>
      </c>
      <c r="AE452" s="19">
        <f>IF(Z452=1,(H452-M452)*I452,0)</f>
        <v/>
      </c>
      <c r="AF452">
        <f>IF(G452&lt;EDATE(Assumptions!$C$6,-12)+1,"prior_12m","last_12m")</f>
        <v/>
      </c>
      <c r="AG452" s="21">
        <f>DATE(YEAR(G452),MONTH(G452),1)</f>
        <v/>
      </c>
    </row>
    <row r="453">
      <c r="A453" t="inlineStr">
        <is>
          <t>SPO-00247-3</t>
        </is>
      </c>
      <c r="B453" t="inlineStr">
        <is>
          <t>SPO-00247</t>
        </is>
      </c>
      <c r="C453" t="inlineStr">
        <is>
          <t>SUP-04</t>
        </is>
      </c>
      <c r="D453" t="inlineStr">
        <is>
          <t>FLEET</t>
        </is>
      </c>
      <c r="E453" t="inlineStr">
        <is>
          <t>FLEET-04</t>
        </is>
      </c>
      <c r="F453" s="17" t="n">
        <v>45635</v>
      </c>
      <c r="G453" s="17" t="n">
        <v>45648</v>
      </c>
      <c r="H453" s="18" t="n">
        <v>294</v>
      </c>
      <c r="I453" s="19" t="n">
        <v>8.630000000000001</v>
      </c>
      <c r="J453" s="19" t="n">
        <v>9</v>
      </c>
      <c r="K453" s="20" t="n">
        <v>0</v>
      </c>
      <c r="L453" s="20" t="n">
        <v>0</v>
      </c>
      <c r="M453" s="18" t="n">
        <v>294</v>
      </c>
      <c r="N453" s="18" t="n">
        <v>294</v>
      </c>
      <c r="O453" s="18" t="n">
        <v>0</v>
      </c>
      <c r="P453" s="17" t="n">
        <v>45638</v>
      </c>
      <c r="Q453" s="17" t="n">
        <v>45647</v>
      </c>
      <c r="R453" s="17" t="n">
        <v>45647</v>
      </c>
      <c r="S453" s="19">
        <f>H453*I453</f>
        <v/>
      </c>
      <c r="T453" s="19">
        <f>H453*J453</f>
        <v/>
      </c>
      <c r="U453">
        <f>IF(AND(K453=0,G453&lt;=Assumptions!$C$6),1,0)</f>
        <v/>
      </c>
      <c r="V453">
        <f>IF(U453=1,IF(M453&gt;0,IF(P453&lt;=G453+Assumptions!$C$7,1,0),0),0)</f>
        <v/>
      </c>
      <c r="W453">
        <f>IF(AND(U453=1,M453&gt;=H453*(1-Assumptions!$C$8)),1,0)</f>
        <v/>
      </c>
      <c r="X453">
        <f>IF(AND(U453=1,N453&gt;=H453*(1-Assumptions!$C$8)),1,0)</f>
        <v/>
      </c>
      <c r="Y453">
        <f>IF(ISNUMBER(Q453),1,0)</f>
        <v/>
      </c>
      <c r="Z453">
        <f>IF(AND(K453=0,L453=0,Y453=0),1,0)</f>
        <v/>
      </c>
      <c r="AA453">
        <f>IF(AND(Z453=1,G453&lt;Assumptions!$C$6),1,0)</f>
        <v/>
      </c>
      <c r="AB453">
        <f>IF(U453=0,"",IF(Y453=1,MAX(0,Q453-G453),IF(L453=1,MAX(0,R453-G453),MAX(0,Assumptions!$C$6-G453))))</f>
        <v/>
      </c>
      <c r="AC453">
        <f>IF(Y453=1,Q453-F453,"")</f>
        <v/>
      </c>
      <c r="AD453">
        <f>IF(Y453=1,AC453^2,"")</f>
        <v/>
      </c>
      <c r="AE453" s="19">
        <f>IF(Z453=1,(H453-M453)*I453,0)</f>
        <v/>
      </c>
      <c r="AF453">
        <f>IF(G453&lt;EDATE(Assumptions!$C$6,-12)+1,"prior_12m","last_12m")</f>
        <v/>
      </c>
      <c r="AG453" s="21">
        <f>DATE(YEAR(G453),MONTH(G453),1)</f>
        <v/>
      </c>
    </row>
    <row r="454">
      <c r="A454" t="inlineStr">
        <is>
          <t>SPO-00248-1</t>
        </is>
      </c>
      <c r="B454" t="inlineStr">
        <is>
          <t>SPO-00248</t>
        </is>
      </c>
      <c r="C454" t="inlineStr">
        <is>
          <t>SUP-08</t>
        </is>
      </c>
      <c r="D454" t="inlineStr">
        <is>
          <t>MRO</t>
        </is>
      </c>
      <c r="E454" t="inlineStr">
        <is>
          <t>MRO-02</t>
        </is>
      </c>
      <c r="F454" s="17" t="n">
        <v>45635</v>
      </c>
      <c r="G454" s="17" t="n">
        <v>45646</v>
      </c>
      <c r="H454" s="18" t="n">
        <v>52</v>
      </c>
      <c r="I454" s="19" t="n">
        <v>38.97</v>
      </c>
      <c r="J454" s="19" t="n">
        <v>41</v>
      </c>
      <c r="K454" s="20" t="n">
        <v>0</v>
      </c>
      <c r="L454" s="20" t="n">
        <v>0</v>
      </c>
      <c r="M454" s="18" t="n">
        <v>52</v>
      </c>
      <c r="N454" s="18" t="n">
        <v>52</v>
      </c>
      <c r="O454" s="18" t="n">
        <v>0</v>
      </c>
      <c r="P454" s="17" t="n">
        <v>45645</v>
      </c>
      <c r="Q454" s="17" t="n">
        <v>45645</v>
      </c>
      <c r="R454" s="17" t="n">
        <v>45645</v>
      </c>
      <c r="S454" s="19">
        <f>H454*I454</f>
        <v/>
      </c>
      <c r="T454" s="19">
        <f>H454*J454</f>
        <v/>
      </c>
      <c r="U454">
        <f>IF(AND(K454=0,G454&lt;=Assumptions!$C$6),1,0)</f>
        <v/>
      </c>
      <c r="V454">
        <f>IF(U454=1,IF(M454&gt;0,IF(P454&lt;=G454+Assumptions!$C$7,1,0),0),0)</f>
        <v/>
      </c>
      <c r="W454">
        <f>IF(AND(U454=1,M454&gt;=H454*(1-Assumptions!$C$8)),1,0)</f>
        <v/>
      </c>
      <c r="X454">
        <f>IF(AND(U454=1,N454&gt;=H454*(1-Assumptions!$C$8)),1,0)</f>
        <v/>
      </c>
      <c r="Y454">
        <f>IF(ISNUMBER(Q454),1,0)</f>
        <v/>
      </c>
      <c r="Z454">
        <f>IF(AND(K454=0,L454=0,Y454=0),1,0)</f>
        <v/>
      </c>
      <c r="AA454">
        <f>IF(AND(Z454=1,G454&lt;Assumptions!$C$6),1,0)</f>
        <v/>
      </c>
      <c r="AB454">
        <f>IF(U454=0,"",IF(Y454=1,MAX(0,Q454-G454),IF(L454=1,MAX(0,R454-G454),MAX(0,Assumptions!$C$6-G454))))</f>
        <v/>
      </c>
      <c r="AC454">
        <f>IF(Y454=1,Q454-F454,"")</f>
        <v/>
      </c>
      <c r="AD454">
        <f>IF(Y454=1,AC454^2,"")</f>
        <v/>
      </c>
      <c r="AE454" s="19">
        <f>IF(Z454=1,(H454-M454)*I454,0)</f>
        <v/>
      </c>
      <c r="AF454">
        <f>IF(G454&lt;EDATE(Assumptions!$C$6,-12)+1,"prior_12m","last_12m")</f>
        <v/>
      </c>
      <c r="AG454" s="21">
        <f>DATE(YEAR(G454),MONTH(G454),1)</f>
        <v/>
      </c>
    </row>
    <row r="455">
      <c r="A455" t="inlineStr">
        <is>
          <t>SPO-00248-2</t>
        </is>
      </c>
      <c r="B455" t="inlineStr">
        <is>
          <t>SPO-00248</t>
        </is>
      </c>
      <c r="C455" t="inlineStr">
        <is>
          <t>SUP-08</t>
        </is>
      </c>
      <c r="D455" t="inlineStr">
        <is>
          <t>MRO</t>
        </is>
      </c>
      <c r="E455" t="inlineStr">
        <is>
          <t>MRO-05</t>
        </is>
      </c>
      <c r="F455" s="17" t="n">
        <v>45635</v>
      </c>
      <c r="G455" s="17" t="n">
        <v>45646</v>
      </c>
      <c r="H455" s="18" t="n">
        <v>59</v>
      </c>
      <c r="I455" s="19" t="n">
        <v>34.32</v>
      </c>
      <c r="J455" s="19" t="n">
        <v>36</v>
      </c>
      <c r="K455" s="20" t="n">
        <v>0</v>
      </c>
      <c r="L455" s="20" t="n">
        <v>0</v>
      </c>
      <c r="M455" s="18" t="n">
        <v>59</v>
      </c>
      <c r="N455" s="18" t="n">
        <v>59</v>
      </c>
      <c r="O455" s="18" t="n">
        <v>0</v>
      </c>
      <c r="P455" s="17" t="n">
        <v>45641</v>
      </c>
      <c r="Q455" s="17" t="n">
        <v>45641</v>
      </c>
      <c r="R455" s="17" t="n">
        <v>45641</v>
      </c>
      <c r="S455" s="19">
        <f>H455*I455</f>
        <v/>
      </c>
      <c r="T455" s="19">
        <f>H455*J455</f>
        <v/>
      </c>
      <c r="U455">
        <f>IF(AND(K455=0,G455&lt;=Assumptions!$C$6),1,0)</f>
        <v/>
      </c>
      <c r="V455">
        <f>IF(U455=1,IF(M455&gt;0,IF(P455&lt;=G455+Assumptions!$C$7,1,0),0),0)</f>
        <v/>
      </c>
      <c r="W455">
        <f>IF(AND(U455=1,M455&gt;=H455*(1-Assumptions!$C$8)),1,0)</f>
        <v/>
      </c>
      <c r="X455">
        <f>IF(AND(U455=1,N455&gt;=H455*(1-Assumptions!$C$8)),1,0)</f>
        <v/>
      </c>
      <c r="Y455">
        <f>IF(ISNUMBER(Q455),1,0)</f>
        <v/>
      </c>
      <c r="Z455">
        <f>IF(AND(K455=0,L455=0,Y455=0),1,0)</f>
        <v/>
      </c>
      <c r="AA455">
        <f>IF(AND(Z455=1,G455&lt;Assumptions!$C$6),1,0)</f>
        <v/>
      </c>
      <c r="AB455">
        <f>IF(U455=0,"",IF(Y455=1,MAX(0,Q455-G455),IF(L455=1,MAX(0,R455-G455),MAX(0,Assumptions!$C$6-G455))))</f>
        <v/>
      </c>
      <c r="AC455">
        <f>IF(Y455=1,Q455-F455,"")</f>
        <v/>
      </c>
      <c r="AD455">
        <f>IF(Y455=1,AC455^2,"")</f>
        <v/>
      </c>
      <c r="AE455" s="19">
        <f>IF(Z455=1,(H455-M455)*I455,0)</f>
        <v/>
      </c>
      <c r="AF455">
        <f>IF(G455&lt;EDATE(Assumptions!$C$6,-12)+1,"prior_12m","last_12m")</f>
        <v/>
      </c>
      <c r="AG455" s="21">
        <f>DATE(YEAR(G455),MONTH(G455),1)</f>
        <v/>
      </c>
    </row>
    <row r="456">
      <c r="A456" t="inlineStr">
        <is>
          <t>SPO-00249-1</t>
        </is>
      </c>
      <c r="B456" t="inlineStr">
        <is>
          <t>SPO-00249</t>
        </is>
      </c>
      <c r="C456" t="inlineStr">
        <is>
          <t>SUP-08</t>
        </is>
      </c>
      <c r="D456" t="inlineStr">
        <is>
          <t>MRO</t>
        </is>
      </c>
      <c r="E456" t="inlineStr">
        <is>
          <t>MRO-07</t>
        </is>
      </c>
      <c r="F456" s="17" t="n">
        <v>45635</v>
      </c>
      <c r="G456" s="17" t="n">
        <v>45646</v>
      </c>
      <c r="H456" s="18" t="n">
        <v>43</v>
      </c>
      <c r="I456" s="19" t="n">
        <v>13.78</v>
      </c>
      <c r="J456" s="19" t="n">
        <v>14</v>
      </c>
      <c r="K456" s="20" t="n">
        <v>0</v>
      </c>
      <c r="L456" s="20" t="n">
        <v>0</v>
      </c>
      <c r="M456" s="18" t="n">
        <v>43</v>
      </c>
      <c r="N456" s="18" t="n">
        <v>43</v>
      </c>
      <c r="O456" s="18" t="n">
        <v>0</v>
      </c>
      <c r="P456" s="17" t="n">
        <v>45641</v>
      </c>
      <c r="Q456" s="17" t="n">
        <v>45641</v>
      </c>
      <c r="R456" s="17" t="n">
        <v>45641</v>
      </c>
      <c r="S456" s="19">
        <f>H456*I456</f>
        <v/>
      </c>
      <c r="T456" s="19">
        <f>H456*J456</f>
        <v/>
      </c>
      <c r="U456">
        <f>IF(AND(K456=0,G456&lt;=Assumptions!$C$6),1,0)</f>
        <v/>
      </c>
      <c r="V456">
        <f>IF(U456=1,IF(M456&gt;0,IF(P456&lt;=G456+Assumptions!$C$7,1,0),0),0)</f>
        <v/>
      </c>
      <c r="W456">
        <f>IF(AND(U456=1,M456&gt;=H456*(1-Assumptions!$C$8)),1,0)</f>
        <v/>
      </c>
      <c r="X456">
        <f>IF(AND(U456=1,N456&gt;=H456*(1-Assumptions!$C$8)),1,0)</f>
        <v/>
      </c>
      <c r="Y456">
        <f>IF(ISNUMBER(Q456),1,0)</f>
        <v/>
      </c>
      <c r="Z456">
        <f>IF(AND(K456=0,L456=0,Y456=0),1,0)</f>
        <v/>
      </c>
      <c r="AA456">
        <f>IF(AND(Z456=1,G456&lt;Assumptions!$C$6),1,0)</f>
        <v/>
      </c>
      <c r="AB456">
        <f>IF(U456=0,"",IF(Y456=1,MAX(0,Q456-G456),IF(L456=1,MAX(0,R456-G456),MAX(0,Assumptions!$C$6-G456))))</f>
        <v/>
      </c>
      <c r="AC456">
        <f>IF(Y456=1,Q456-F456,"")</f>
        <v/>
      </c>
      <c r="AD456">
        <f>IF(Y456=1,AC456^2,"")</f>
        <v/>
      </c>
      <c r="AE456" s="19">
        <f>IF(Z456=1,(H456-M456)*I456,0)</f>
        <v/>
      </c>
      <c r="AF456">
        <f>IF(G456&lt;EDATE(Assumptions!$C$6,-12)+1,"prior_12m","last_12m")</f>
        <v/>
      </c>
      <c r="AG456" s="21">
        <f>DATE(YEAR(G456),MONTH(G456),1)</f>
        <v/>
      </c>
    </row>
    <row r="457">
      <c r="A457" t="inlineStr">
        <is>
          <t>SPO-00250-1</t>
        </is>
      </c>
      <c r="B457" t="inlineStr">
        <is>
          <t>SPO-00250</t>
        </is>
      </c>
      <c r="C457" t="inlineStr">
        <is>
          <t>SUP-14</t>
        </is>
      </c>
      <c r="D457" t="inlineStr">
        <is>
          <t>FLEET</t>
        </is>
      </c>
      <c r="E457" t="inlineStr">
        <is>
          <t>FLEET-04</t>
        </is>
      </c>
      <c r="F457" s="17" t="n">
        <v>45635</v>
      </c>
      <c r="G457" s="17" t="n">
        <v>45649</v>
      </c>
      <c r="H457" s="18" t="n">
        <v>411</v>
      </c>
      <c r="I457" s="19" t="n">
        <v>8.960000000000001</v>
      </c>
      <c r="J457" s="19" t="n">
        <v>9</v>
      </c>
      <c r="K457" s="20" t="n">
        <v>0</v>
      </c>
      <c r="L457" s="20" t="n">
        <v>0</v>
      </c>
      <c r="M457" s="18" t="n">
        <v>411</v>
      </c>
      <c r="N457" s="18" t="n">
        <v>411</v>
      </c>
      <c r="O457" s="18" t="n">
        <v>114</v>
      </c>
      <c r="P457" s="17" t="n">
        <v>45641</v>
      </c>
      <c r="Q457" s="17" t="n">
        <v>45641</v>
      </c>
      <c r="R457" s="17" t="n">
        <v>45641</v>
      </c>
      <c r="S457" s="19">
        <f>H457*I457</f>
        <v/>
      </c>
      <c r="T457" s="19">
        <f>H457*J457</f>
        <v/>
      </c>
      <c r="U457">
        <f>IF(AND(K457=0,G457&lt;=Assumptions!$C$6),1,0)</f>
        <v/>
      </c>
      <c r="V457">
        <f>IF(U457=1,IF(M457&gt;0,IF(P457&lt;=G457+Assumptions!$C$7,1,0),0),0)</f>
        <v/>
      </c>
      <c r="W457">
        <f>IF(AND(U457=1,M457&gt;=H457*(1-Assumptions!$C$8)),1,0)</f>
        <v/>
      </c>
      <c r="X457">
        <f>IF(AND(U457=1,N457&gt;=H457*(1-Assumptions!$C$8)),1,0)</f>
        <v/>
      </c>
      <c r="Y457">
        <f>IF(ISNUMBER(Q457),1,0)</f>
        <v/>
      </c>
      <c r="Z457">
        <f>IF(AND(K457=0,L457=0,Y457=0),1,0)</f>
        <v/>
      </c>
      <c r="AA457">
        <f>IF(AND(Z457=1,G457&lt;Assumptions!$C$6),1,0)</f>
        <v/>
      </c>
      <c r="AB457">
        <f>IF(U457=0,"",IF(Y457=1,MAX(0,Q457-G457),IF(L457=1,MAX(0,R457-G457),MAX(0,Assumptions!$C$6-G457))))</f>
        <v/>
      </c>
      <c r="AC457">
        <f>IF(Y457=1,Q457-F457,"")</f>
        <v/>
      </c>
      <c r="AD457">
        <f>IF(Y457=1,AC457^2,"")</f>
        <v/>
      </c>
      <c r="AE457" s="19">
        <f>IF(Z457=1,(H457-M457)*I457,0)</f>
        <v/>
      </c>
      <c r="AF457">
        <f>IF(G457&lt;EDATE(Assumptions!$C$6,-12)+1,"prior_12m","last_12m")</f>
        <v/>
      </c>
      <c r="AG457" s="21">
        <f>DATE(YEAR(G457),MONTH(G457),1)</f>
        <v/>
      </c>
    </row>
    <row r="458">
      <c r="A458" t="inlineStr">
        <is>
          <t>SPO-00251-1</t>
        </is>
      </c>
      <c r="B458" t="inlineStr">
        <is>
          <t>SPO-00251</t>
        </is>
      </c>
      <c r="C458" t="inlineStr">
        <is>
          <t>SUP-01</t>
        </is>
      </c>
      <c r="D458" t="inlineStr">
        <is>
          <t>ELEC</t>
        </is>
      </c>
      <c r="E458" t="inlineStr">
        <is>
          <t>ELEC-08</t>
        </is>
      </c>
      <c r="F458" s="17" t="n">
        <v>45635</v>
      </c>
      <c r="G458" s="17" t="n">
        <v>45653</v>
      </c>
      <c r="H458" s="18" t="n">
        <v>30</v>
      </c>
      <c r="I458" s="19" t="n">
        <v>17.53</v>
      </c>
      <c r="J458" s="19" t="n">
        <v>18</v>
      </c>
      <c r="K458" s="20" t="n">
        <v>0</v>
      </c>
      <c r="L458" s="20" t="n">
        <v>0</v>
      </c>
      <c r="M458" s="18" t="n">
        <v>30</v>
      </c>
      <c r="N458" s="18" t="n">
        <v>30</v>
      </c>
      <c r="O458" s="18" t="n">
        <v>0</v>
      </c>
      <c r="P458" s="17" t="n">
        <v>45649</v>
      </c>
      <c r="Q458" s="17" t="n">
        <v>45649</v>
      </c>
      <c r="R458" s="17" t="n">
        <v>45649</v>
      </c>
      <c r="S458" s="19">
        <f>H458*I458</f>
        <v/>
      </c>
      <c r="T458" s="19">
        <f>H458*J458</f>
        <v/>
      </c>
      <c r="U458">
        <f>IF(AND(K458=0,G458&lt;=Assumptions!$C$6),1,0)</f>
        <v/>
      </c>
      <c r="V458">
        <f>IF(U458=1,IF(M458&gt;0,IF(P458&lt;=G458+Assumptions!$C$7,1,0),0),0)</f>
        <v/>
      </c>
      <c r="W458">
        <f>IF(AND(U458=1,M458&gt;=H458*(1-Assumptions!$C$8)),1,0)</f>
        <v/>
      </c>
      <c r="X458">
        <f>IF(AND(U458=1,N458&gt;=H458*(1-Assumptions!$C$8)),1,0)</f>
        <v/>
      </c>
      <c r="Y458">
        <f>IF(ISNUMBER(Q458),1,0)</f>
        <v/>
      </c>
      <c r="Z458">
        <f>IF(AND(K458=0,L458=0,Y458=0),1,0)</f>
        <v/>
      </c>
      <c r="AA458">
        <f>IF(AND(Z458=1,G458&lt;Assumptions!$C$6),1,0)</f>
        <v/>
      </c>
      <c r="AB458">
        <f>IF(U458=0,"",IF(Y458=1,MAX(0,Q458-G458),IF(L458=1,MAX(0,R458-G458),MAX(0,Assumptions!$C$6-G458))))</f>
        <v/>
      </c>
      <c r="AC458">
        <f>IF(Y458=1,Q458-F458,"")</f>
        <v/>
      </c>
      <c r="AD458">
        <f>IF(Y458=1,AC458^2,"")</f>
        <v/>
      </c>
      <c r="AE458" s="19">
        <f>IF(Z458=1,(H458-M458)*I458,0)</f>
        <v/>
      </c>
      <c r="AF458">
        <f>IF(G458&lt;EDATE(Assumptions!$C$6,-12)+1,"prior_12m","last_12m")</f>
        <v/>
      </c>
      <c r="AG458" s="21">
        <f>DATE(YEAR(G458),MONTH(G458),1)</f>
        <v/>
      </c>
    </row>
    <row r="459">
      <c r="A459" t="inlineStr">
        <is>
          <t>SPO-00252-1</t>
        </is>
      </c>
      <c r="B459" t="inlineStr">
        <is>
          <t>SPO-00252</t>
        </is>
      </c>
      <c r="C459" t="inlineStr">
        <is>
          <t>SUP-05</t>
        </is>
      </c>
      <c r="D459" t="inlineStr">
        <is>
          <t>FLEET</t>
        </is>
      </c>
      <c r="E459" t="inlineStr">
        <is>
          <t>FLEET-01</t>
        </is>
      </c>
      <c r="F459" s="17" t="n">
        <v>45635</v>
      </c>
      <c r="G459" s="17" t="n">
        <v>45649</v>
      </c>
      <c r="H459" s="18" t="n">
        <v>35</v>
      </c>
      <c r="I459" s="19" t="n">
        <v>64.08</v>
      </c>
      <c r="J459" s="19" t="n">
        <v>64</v>
      </c>
      <c r="K459" s="20" t="n">
        <v>0</v>
      </c>
      <c r="L459" s="20" t="n">
        <v>0</v>
      </c>
      <c r="M459" s="18" t="n">
        <v>35</v>
      </c>
      <c r="N459" s="18" t="n">
        <v>35</v>
      </c>
      <c r="O459" s="18" t="n">
        <v>0</v>
      </c>
      <c r="P459" s="17" t="n">
        <v>45647</v>
      </c>
      <c r="Q459" s="17" t="n">
        <v>45647</v>
      </c>
      <c r="R459" s="17" t="n">
        <v>45647</v>
      </c>
      <c r="S459" s="19">
        <f>H459*I459</f>
        <v/>
      </c>
      <c r="T459" s="19">
        <f>H459*J459</f>
        <v/>
      </c>
      <c r="U459">
        <f>IF(AND(K459=0,G459&lt;=Assumptions!$C$6),1,0)</f>
        <v/>
      </c>
      <c r="V459">
        <f>IF(U459=1,IF(M459&gt;0,IF(P459&lt;=G459+Assumptions!$C$7,1,0),0),0)</f>
        <v/>
      </c>
      <c r="W459">
        <f>IF(AND(U459=1,M459&gt;=H459*(1-Assumptions!$C$8)),1,0)</f>
        <v/>
      </c>
      <c r="X459">
        <f>IF(AND(U459=1,N459&gt;=H459*(1-Assumptions!$C$8)),1,0)</f>
        <v/>
      </c>
      <c r="Y459">
        <f>IF(ISNUMBER(Q459),1,0)</f>
        <v/>
      </c>
      <c r="Z459">
        <f>IF(AND(K459=0,L459=0,Y459=0),1,0)</f>
        <v/>
      </c>
      <c r="AA459">
        <f>IF(AND(Z459=1,G459&lt;Assumptions!$C$6),1,0)</f>
        <v/>
      </c>
      <c r="AB459">
        <f>IF(U459=0,"",IF(Y459=1,MAX(0,Q459-G459),IF(L459=1,MAX(0,R459-G459),MAX(0,Assumptions!$C$6-G459))))</f>
        <v/>
      </c>
      <c r="AC459">
        <f>IF(Y459=1,Q459-F459,"")</f>
        <v/>
      </c>
      <c r="AD459">
        <f>IF(Y459=1,AC459^2,"")</f>
        <v/>
      </c>
      <c r="AE459" s="19">
        <f>IF(Z459=1,(H459-M459)*I459,0)</f>
        <v/>
      </c>
      <c r="AF459">
        <f>IF(G459&lt;EDATE(Assumptions!$C$6,-12)+1,"prior_12m","last_12m")</f>
        <v/>
      </c>
      <c r="AG459" s="21">
        <f>DATE(YEAR(G459),MONTH(G459),1)</f>
        <v/>
      </c>
    </row>
    <row r="460">
      <c r="A460" t="inlineStr">
        <is>
          <t>SPO-00253-1</t>
        </is>
      </c>
      <c r="B460" t="inlineStr">
        <is>
          <t>SPO-00253</t>
        </is>
      </c>
      <c r="C460" t="inlineStr">
        <is>
          <t>SUP-01</t>
        </is>
      </c>
      <c r="D460" t="inlineStr">
        <is>
          <t>ELEC</t>
        </is>
      </c>
      <c r="E460" t="inlineStr">
        <is>
          <t>ELEC-08</t>
        </is>
      </c>
      <c r="F460" s="17" t="n">
        <v>45635</v>
      </c>
      <c r="G460" s="17" t="n">
        <v>45653</v>
      </c>
      <c r="H460" s="18" t="n">
        <v>142</v>
      </c>
      <c r="I460" s="19" t="n">
        <v>18.44</v>
      </c>
      <c r="J460" s="19" t="n">
        <v>18</v>
      </c>
      <c r="K460" s="20" t="n">
        <v>0</v>
      </c>
      <c r="L460" s="20" t="n">
        <v>0</v>
      </c>
      <c r="M460" s="18" t="n">
        <v>142</v>
      </c>
      <c r="N460" s="18" t="n">
        <v>142</v>
      </c>
      <c r="O460" s="18" t="n">
        <v>0</v>
      </c>
      <c r="P460" s="17" t="n">
        <v>45648</v>
      </c>
      <c r="Q460" s="17" t="n">
        <v>45648</v>
      </c>
      <c r="R460" s="17" t="n">
        <v>45648</v>
      </c>
      <c r="S460" s="19">
        <f>H460*I460</f>
        <v/>
      </c>
      <c r="T460" s="19">
        <f>H460*J460</f>
        <v/>
      </c>
      <c r="U460">
        <f>IF(AND(K460=0,G460&lt;=Assumptions!$C$6),1,0)</f>
        <v/>
      </c>
      <c r="V460">
        <f>IF(U460=1,IF(M460&gt;0,IF(P460&lt;=G460+Assumptions!$C$7,1,0),0),0)</f>
        <v/>
      </c>
      <c r="W460">
        <f>IF(AND(U460=1,M460&gt;=H460*(1-Assumptions!$C$8)),1,0)</f>
        <v/>
      </c>
      <c r="X460">
        <f>IF(AND(U460=1,N460&gt;=H460*(1-Assumptions!$C$8)),1,0)</f>
        <v/>
      </c>
      <c r="Y460">
        <f>IF(ISNUMBER(Q460),1,0)</f>
        <v/>
      </c>
      <c r="Z460">
        <f>IF(AND(K460=0,L460=0,Y460=0),1,0)</f>
        <v/>
      </c>
      <c r="AA460">
        <f>IF(AND(Z460=1,G460&lt;Assumptions!$C$6),1,0)</f>
        <v/>
      </c>
      <c r="AB460">
        <f>IF(U460=0,"",IF(Y460=1,MAX(0,Q460-G460),IF(L460=1,MAX(0,R460-G460),MAX(0,Assumptions!$C$6-G460))))</f>
        <v/>
      </c>
      <c r="AC460">
        <f>IF(Y460=1,Q460-F460,"")</f>
        <v/>
      </c>
      <c r="AD460">
        <f>IF(Y460=1,AC460^2,"")</f>
        <v/>
      </c>
      <c r="AE460" s="19">
        <f>IF(Z460=1,(H460-M460)*I460,0)</f>
        <v/>
      </c>
      <c r="AF460">
        <f>IF(G460&lt;EDATE(Assumptions!$C$6,-12)+1,"prior_12m","last_12m")</f>
        <v/>
      </c>
      <c r="AG460" s="21">
        <f>DATE(YEAR(G460),MONTH(G460),1)</f>
        <v/>
      </c>
    </row>
    <row r="461">
      <c r="A461" t="inlineStr">
        <is>
          <t>SPO-00254-1</t>
        </is>
      </c>
      <c r="B461" t="inlineStr">
        <is>
          <t>SPO-00254</t>
        </is>
      </c>
      <c r="C461" t="inlineStr">
        <is>
          <t>SUP-02</t>
        </is>
      </c>
      <c r="D461" t="inlineStr">
        <is>
          <t>ELEC</t>
        </is>
      </c>
      <c r="E461" t="inlineStr">
        <is>
          <t>ELEC-05</t>
        </is>
      </c>
      <c r="F461" s="17" t="n">
        <v>45636</v>
      </c>
      <c r="G461" s="17" t="n">
        <v>45652</v>
      </c>
      <c r="H461" s="18" t="n">
        <v>103</v>
      </c>
      <c r="I461" s="19" t="n">
        <v>11.42</v>
      </c>
      <c r="J461" s="19" t="n">
        <v>11.5</v>
      </c>
      <c r="K461" s="20" t="n">
        <v>0</v>
      </c>
      <c r="L461" s="20" t="n">
        <v>0</v>
      </c>
      <c r="M461" s="18" t="n">
        <v>103</v>
      </c>
      <c r="N461" s="18" t="n">
        <v>103</v>
      </c>
      <c r="O461" s="18" t="n">
        <v>0</v>
      </c>
      <c r="P461" s="17" t="n">
        <v>45646</v>
      </c>
      <c r="Q461" s="17" t="n">
        <v>45646</v>
      </c>
      <c r="R461" s="17" t="n">
        <v>45646</v>
      </c>
      <c r="S461" s="19">
        <f>H461*I461</f>
        <v/>
      </c>
      <c r="T461" s="19">
        <f>H461*J461</f>
        <v/>
      </c>
      <c r="U461">
        <f>IF(AND(K461=0,G461&lt;=Assumptions!$C$6),1,0)</f>
        <v/>
      </c>
      <c r="V461">
        <f>IF(U461=1,IF(M461&gt;0,IF(P461&lt;=G461+Assumptions!$C$7,1,0),0),0)</f>
        <v/>
      </c>
      <c r="W461">
        <f>IF(AND(U461=1,M461&gt;=H461*(1-Assumptions!$C$8)),1,0)</f>
        <v/>
      </c>
      <c r="X461">
        <f>IF(AND(U461=1,N461&gt;=H461*(1-Assumptions!$C$8)),1,0)</f>
        <v/>
      </c>
      <c r="Y461">
        <f>IF(ISNUMBER(Q461),1,0)</f>
        <v/>
      </c>
      <c r="Z461">
        <f>IF(AND(K461=0,L461=0,Y461=0),1,0)</f>
        <v/>
      </c>
      <c r="AA461">
        <f>IF(AND(Z461=1,G461&lt;Assumptions!$C$6),1,0)</f>
        <v/>
      </c>
      <c r="AB461">
        <f>IF(U461=0,"",IF(Y461=1,MAX(0,Q461-G461),IF(L461=1,MAX(0,R461-G461),MAX(0,Assumptions!$C$6-G461))))</f>
        <v/>
      </c>
      <c r="AC461">
        <f>IF(Y461=1,Q461-F461,"")</f>
        <v/>
      </c>
      <c r="AD461">
        <f>IF(Y461=1,AC461^2,"")</f>
        <v/>
      </c>
      <c r="AE461" s="19">
        <f>IF(Z461=1,(H461-M461)*I461,0)</f>
        <v/>
      </c>
      <c r="AF461">
        <f>IF(G461&lt;EDATE(Assumptions!$C$6,-12)+1,"prior_12m","last_12m")</f>
        <v/>
      </c>
      <c r="AG461" s="21">
        <f>DATE(YEAR(G461),MONTH(G461),1)</f>
        <v/>
      </c>
    </row>
    <row r="462">
      <c r="A462" t="inlineStr">
        <is>
          <t>SPO-00254-2</t>
        </is>
      </c>
      <c r="B462" t="inlineStr">
        <is>
          <t>SPO-00254</t>
        </is>
      </c>
      <c r="C462" t="inlineStr">
        <is>
          <t>SUP-02</t>
        </is>
      </c>
      <c r="D462" t="inlineStr">
        <is>
          <t>ELEC</t>
        </is>
      </c>
      <c r="E462" t="inlineStr">
        <is>
          <t>ELEC-02</t>
        </is>
      </c>
      <c r="F462" s="17" t="n">
        <v>45636</v>
      </c>
      <c r="G462" s="17" t="n">
        <v>45652</v>
      </c>
      <c r="H462" s="18" t="n">
        <v>316</v>
      </c>
      <c r="I462" s="19" t="n">
        <v>4.11</v>
      </c>
      <c r="J462" s="19" t="n">
        <v>4.2</v>
      </c>
      <c r="K462" s="20" t="n">
        <v>0</v>
      </c>
      <c r="L462" s="20" t="n">
        <v>0</v>
      </c>
      <c r="M462" s="18" t="n">
        <v>316</v>
      </c>
      <c r="N462" s="18" t="n">
        <v>316</v>
      </c>
      <c r="O462" s="18" t="n">
        <v>0</v>
      </c>
      <c r="P462" s="17" t="n">
        <v>45650</v>
      </c>
      <c r="Q462" s="17" t="n">
        <v>45650</v>
      </c>
      <c r="R462" s="17" t="n">
        <v>45650</v>
      </c>
      <c r="S462" s="19">
        <f>H462*I462</f>
        <v/>
      </c>
      <c r="T462" s="19">
        <f>H462*J462</f>
        <v/>
      </c>
      <c r="U462">
        <f>IF(AND(K462=0,G462&lt;=Assumptions!$C$6),1,0)</f>
        <v/>
      </c>
      <c r="V462">
        <f>IF(U462=1,IF(M462&gt;0,IF(P462&lt;=G462+Assumptions!$C$7,1,0),0),0)</f>
        <v/>
      </c>
      <c r="W462">
        <f>IF(AND(U462=1,M462&gt;=H462*(1-Assumptions!$C$8)),1,0)</f>
        <v/>
      </c>
      <c r="X462">
        <f>IF(AND(U462=1,N462&gt;=H462*(1-Assumptions!$C$8)),1,0)</f>
        <v/>
      </c>
      <c r="Y462">
        <f>IF(ISNUMBER(Q462),1,0)</f>
        <v/>
      </c>
      <c r="Z462">
        <f>IF(AND(K462=0,L462=0,Y462=0),1,0)</f>
        <v/>
      </c>
      <c r="AA462">
        <f>IF(AND(Z462=1,G462&lt;Assumptions!$C$6),1,0)</f>
        <v/>
      </c>
      <c r="AB462">
        <f>IF(U462=0,"",IF(Y462=1,MAX(0,Q462-G462),IF(L462=1,MAX(0,R462-G462),MAX(0,Assumptions!$C$6-G462))))</f>
        <v/>
      </c>
      <c r="AC462">
        <f>IF(Y462=1,Q462-F462,"")</f>
        <v/>
      </c>
      <c r="AD462">
        <f>IF(Y462=1,AC462^2,"")</f>
        <v/>
      </c>
      <c r="AE462" s="19">
        <f>IF(Z462=1,(H462-M462)*I462,0)</f>
        <v/>
      </c>
      <c r="AF462">
        <f>IF(G462&lt;EDATE(Assumptions!$C$6,-12)+1,"prior_12m","last_12m")</f>
        <v/>
      </c>
      <c r="AG462" s="21">
        <f>DATE(YEAR(G462),MONTH(G462),1)</f>
        <v/>
      </c>
    </row>
    <row r="463">
      <c r="A463" t="inlineStr">
        <is>
          <t>SPO-00254-3</t>
        </is>
      </c>
      <c r="B463" t="inlineStr">
        <is>
          <t>SPO-00254</t>
        </is>
      </c>
      <c r="C463" t="inlineStr">
        <is>
          <t>SUP-02</t>
        </is>
      </c>
      <c r="D463" t="inlineStr">
        <is>
          <t>ELEC</t>
        </is>
      </c>
      <c r="E463" t="inlineStr">
        <is>
          <t>ELEC-06</t>
        </is>
      </c>
      <c r="F463" s="17" t="n">
        <v>45636</v>
      </c>
      <c r="G463" s="17" t="n">
        <v>45652</v>
      </c>
      <c r="H463" s="18" t="n">
        <v>12</v>
      </c>
      <c r="I463" s="19" t="n">
        <v>146.21</v>
      </c>
      <c r="J463" s="19" t="n">
        <v>145</v>
      </c>
      <c r="K463" s="20" t="n">
        <v>0</v>
      </c>
      <c r="L463" s="20" t="n">
        <v>0</v>
      </c>
      <c r="M463" s="18" t="n">
        <v>12</v>
      </c>
      <c r="N463" s="18" t="n">
        <v>12</v>
      </c>
      <c r="O463" s="18" t="n">
        <v>0</v>
      </c>
      <c r="P463" s="17" t="n">
        <v>45649</v>
      </c>
      <c r="Q463" s="17" t="n">
        <v>45649</v>
      </c>
      <c r="R463" s="17" t="n">
        <v>45649</v>
      </c>
      <c r="S463" s="19">
        <f>H463*I463</f>
        <v/>
      </c>
      <c r="T463" s="19">
        <f>H463*J463</f>
        <v/>
      </c>
      <c r="U463">
        <f>IF(AND(K463=0,G463&lt;=Assumptions!$C$6),1,0)</f>
        <v/>
      </c>
      <c r="V463">
        <f>IF(U463=1,IF(M463&gt;0,IF(P463&lt;=G463+Assumptions!$C$7,1,0),0),0)</f>
        <v/>
      </c>
      <c r="W463">
        <f>IF(AND(U463=1,M463&gt;=H463*(1-Assumptions!$C$8)),1,0)</f>
        <v/>
      </c>
      <c r="X463">
        <f>IF(AND(U463=1,N463&gt;=H463*(1-Assumptions!$C$8)),1,0)</f>
        <v/>
      </c>
      <c r="Y463">
        <f>IF(ISNUMBER(Q463),1,0)</f>
        <v/>
      </c>
      <c r="Z463">
        <f>IF(AND(K463=0,L463=0,Y463=0),1,0)</f>
        <v/>
      </c>
      <c r="AA463">
        <f>IF(AND(Z463=1,G463&lt;Assumptions!$C$6),1,0)</f>
        <v/>
      </c>
      <c r="AB463">
        <f>IF(U463=0,"",IF(Y463=1,MAX(0,Q463-G463),IF(L463=1,MAX(0,R463-G463),MAX(0,Assumptions!$C$6-G463))))</f>
        <v/>
      </c>
      <c r="AC463">
        <f>IF(Y463=1,Q463-F463,"")</f>
        <v/>
      </c>
      <c r="AD463">
        <f>IF(Y463=1,AC463^2,"")</f>
        <v/>
      </c>
      <c r="AE463" s="19">
        <f>IF(Z463=1,(H463-M463)*I463,0)</f>
        <v/>
      </c>
      <c r="AF463">
        <f>IF(G463&lt;EDATE(Assumptions!$C$6,-12)+1,"prior_12m","last_12m")</f>
        <v/>
      </c>
      <c r="AG463" s="21">
        <f>DATE(YEAR(G463),MONTH(G463),1)</f>
        <v/>
      </c>
    </row>
    <row r="464">
      <c r="A464" t="inlineStr">
        <is>
          <t>SPO-00255-1</t>
        </is>
      </c>
      <c r="B464" t="inlineStr">
        <is>
          <t>SPO-00255</t>
        </is>
      </c>
      <c r="C464" t="inlineStr">
        <is>
          <t>SUP-01</t>
        </is>
      </c>
      <c r="D464" t="inlineStr">
        <is>
          <t>ELEC</t>
        </is>
      </c>
      <c r="E464" t="inlineStr">
        <is>
          <t>ELEC-03</t>
        </is>
      </c>
      <c r="F464" s="17" t="n">
        <v>45636</v>
      </c>
      <c r="G464" s="17" t="n">
        <v>45654</v>
      </c>
      <c r="H464" s="18" t="n">
        <v>42</v>
      </c>
      <c r="I464" s="19" t="n">
        <v>96.68000000000001</v>
      </c>
      <c r="J464" s="19" t="n">
        <v>96</v>
      </c>
      <c r="K464" s="20" t="n">
        <v>0</v>
      </c>
      <c r="L464" s="20" t="n">
        <v>0</v>
      </c>
      <c r="M464" s="18" t="n">
        <v>42</v>
      </c>
      <c r="N464" s="18" t="n">
        <v>42</v>
      </c>
      <c r="O464" s="18" t="n">
        <v>0</v>
      </c>
      <c r="P464" s="17" t="n">
        <v>45651</v>
      </c>
      <c r="Q464" s="17" t="n">
        <v>45651</v>
      </c>
      <c r="R464" s="17" t="n">
        <v>45651</v>
      </c>
      <c r="S464" s="19">
        <f>H464*I464</f>
        <v/>
      </c>
      <c r="T464" s="19">
        <f>H464*J464</f>
        <v/>
      </c>
      <c r="U464">
        <f>IF(AND(K464=0,G464&lt;=Assumptions!$C$6),1,0)</f>
        <v/>
      </c>
      <c r="V464">
        <f>IF(U464=1,IF(M464&gt;0,IF(P464&lt;=G464+Assumptions!$C$7,1,0),0),0)</f>
        <v/>
      </c>
      <c r="W464">
        <f>IF(AND(U464=1,M464&gt;=H464*(1-Assumptions!$C$8)),1,0)</f>
        <v/>
      </c>
      <c r="X464">
        <f>IF(AND(U464=1,N464&gt;=H464*(1-Assumptions!$C$8)),1,0)</f>
        <v/>
      </c>
      <c r="Y464">
        <f>IF(ISNUMBER(Q464),1,0)</f>
        <v/>
      </c>
      <c r="Z464">
        <f>IF(AND(K464=0,L464=0,Y464=0),1,0)</f>
        <v/>
      </c>
      <c r="AA464">
        <f>IF(AND(Z464=1,G464&lt;Assumptions!$C$6),1,0)</f>
        <v/>
      </c>
      <c r="AB464">
        <f>IF(U464=0,"",IF(Y464=1,MAX(0,Q464-G464),IF(L464=1,MAX(0,R464-G464),MAX(0,Assumptions!$C$6-G464))))</f>
        <v/>
      </c>
      <c r="AC464">
        <f>IF(Y464=1,Q464-F464,"")</f>
        <v/>
      </c>
      <c r="AD464">
        <f>IF(Y464=1,AC464^2,"")</f>
        <v/>
      </c>
      <c r="AE464" s="19">
        <f>IF(Z464=1,(H464-M464)*I464,0)</f>
        <v/>
      </c>
      <c r="AF464">
        <f>IF(G464&lt;EDATE(Assumptions!$C$6,-12)+1,"prior_12m","last_12m")</f>
        <v/>
      </c>
      <c r="AG464" s="21">
        <f>DATE(YEAR(G464),MONTH(G464),1)</f>
        <v/>
      </c>
    </row>
    <row r="465">
      <c r="A465" t="inlineStr">
        <is>
          <t>SPO-00256-1</t>
        </is>
      </c>
      <c r="B465" t="inlineStr">
        <is>
          <t>SPO-00256</t>
        </is>
      </c>
      <c r="C465" t="inlineStr">
        <is>
          <t>SUP-02</t>
        </is>
      </c>
      <c r="D465" t="inlineStr">
        <is>
          <t>ELEC</t>
        </is>
      </c>
      <c r="E465" t="inlineStr">
        <is>
          <t>ELEC-07</t>
        </is>
      </c>
      <c r="F465" s="17" t="n">
        <v>45636</v>
      </c>
      <c r="G465" s="17" t="n">
        <v>45652</v>
      </c>
      <c r="H465" s="18" t="n">
        <v>214</v>
      </c>
      <c r="I465" s="19" t="n">
        <v>10.02</v>
      </c>
      <c r="J465" s="19" t="n">
        <v>9.800000000000001</v>
      </c>
      <c r="K465" s="20" t="n">
        <v>0</v>
      </c>
      <c r="L465" s="20" t="n">
        <v>0</v>
      </c>
      <c r="M465" s="18" t="n">
        <v>214</v>
      </c>
      <c r="N465" s="18" t="n">
        <v>214</v>
      </c>
      <c r="O465" s="18" t="n">
        <v>0</v>
      </c>
      <c r="P465" s="17" t="n">
        <v>45651</v>
      </c>
      <c r="Q465" s="17" t="n">
        <v>45651</v>
      </c>
      <c r="R465" s="17" t="n">
        <v>45651</v>
      </c>
      <c r="S465" s="19">
        <f>H465*I465</f>
        <v/>
      </c>
      <c r="T465" s="19">
        <f>H465*J465</f>
        <v/>
      </c>
      <c r="U465">
        <f>IF(AND(K465=0,G465&lt;=Assumptions!$C$6),1,0)</f>
        <v/>
      </c>
      <c r="V465">
        <f>IF(U465=1,IF(M465&gt;0,IF(P465&lt;=G465+Assumptions!$C$7,1,0),0),0)</f>
        <v/>
      </c>
      <c r="W465">
        <f>IF(AND(U465=1,M465&gt;=H465*(1-Assumptions!$C$8)),1,0)</f>
        <v/>
      </c>
      <c r="X465">
        <f>IF(AND(U465=1,N465&gt;=H465*(1-Assumptions!$C$8)),1,0)</f>
        <v/>
      </c>
      <c r="Y465">
        <f>IF(ISNUMBER(Q465),1,0)</f>
        <v/>
      </c>
      <c r="Z465">
        <f>IF(AND(K465=0,L465=0,Y465=0),1,0)</f>
        <v/>
      </c>
      <c r="AA465">
        <f>IF(AND(Z465=1,G465&lt;Assumptions!$C$6),1,0)</f>
        <v/>
      </c>
      <c r="AB465">
        <f>IF(U465=0,"",IF(Y465=1,MAX(0,Q465-G465),IF(L465=1,MAX(0,R465-G465),MAX(0,Assumptions!$C$6-G465))))</f>
        <v/>
      </c>
      <c r="AC465">
        <f>IF(Y465=1,Q465-F465,"")</f>
        <v/>
      </c>
      <c r="AD465">
        <f>IF(Y465=1,AC465^2,"")</f>
        <v/>
      </c>
      <c r="AE465" s="19">
        <f>IF(Z465=1,(H465-M465)*I465,0)</f>
        <v/>
      </c>
      <c r="AF465">
        <f>IF(G465&lt;EDATE(Assumptions!$C$6,-12)+1,"prior_12m","last_12m")</f>
        <v/>
      </c>
      <c r="AG465" s="21">
        <f>DATE(YEAR(G465),MONTH(G465),1)</f>
        <v/>
      </c>
    </row>
    <row r="466">
      <c r="A466" t="inlineStr">
        <is>
          <t>SPO-00256-2</t>
        </is>
      </c>
      <c r="B466" t="inlineStr">
        <is>
          <t>SPO-00256</t>
        </is>
      </c>
      <c r="C466" t="inlineStr">
        <is>
          <t>SUP-02</t>
        </is>
      </c>
      <c r="D466" t="inlineStr">
        <is>
          <t>ELEC</t>
        </is>
      </c>
      <c r="E466" t="inlineStr">
        <is>
          <t>ELEC-04</t>
        </is>
      </c>
      <c r="F466" s="17" t="n">
        <v>45636</v>
      </c>
      <c r="G466" s="17" t="n">
        <v>45652</v>
      </c>
      <c r="H466" s="18" t="n">
        <v>11</v>
      </c>
      <c r="I466" s="19" t="n">
        <v>68.27</v>
      </c>
      <c r="J466" s="19" t="n">
        <v>72</v>
      </c>
      <c r="K466" s="20" t="n">
        <v>0</v>
      </c>
      <c r="L466" s="20" t="n">
        <v>0</v>
      </c>
      <c r="M466" s="18" t="n">
        <v>11</v>
      </c>
      <c r="N466" s="18" t="n">
        <v>11</v>
      </c>
      <c r="O466" s="18" t="n">
        <v>0</v>
      </c>
      <c r="P466" s="17" t="n">
        <v>45648</v>
      </c>
      <c r="Q466" s="17" t="n">
        <v>45648</v>
      </c>
      <c r="R466" s="17" t="n">
        <v>45648</v>
      </c>
      <c r="S466" s="19">
        <f>H466*I466</f>
        <v/>
      </c>
      <c r="T466" s="19">
        <f>H466*J466</f>
        <v/>
      </c>
      <c r="U466">
        <f>IF(AND(K466=0,G466&lt;=Assumptions!$C$6),1,0)</f>
        <v/>
      </c>
      <c r="V466">
        <f>IF(U466=1,IF(M466&gt;0,IF(P466&lt;=G466+Assumptions!$C$7,1,0),0),0)</f>
        <v/>
      </c>
      <c r="W466">
        <f>IF(AND(U466=1,M466&gt;=H466*(1-Assumptions!$C$8)),1,0)</f>
        <v/>
      </c>
      <c r="X466">
        <f>IF(AND(U466=1,N466&gt;=H466*(1-Assumptions!$C$8)),1,0)</f>
        <v/>
      </c>
      <c r="Y466">
        <f>IF(ISNUMBER(Q466),1,0)</f>
        <v/>
      </c>
      <c r="Z466">
        <f>IF(AND(K466=0,L466=0,Y466=0),1,0)</f>
        <v/>
      </c>
      <c r="AA466">
        <f>IF(AND(Z466=1,G466&lt;Assumptions!$C$6),1,0)</f>
        <v/>
      </c>
      <c r="AB466">
        <f>IF(U466=0,"",IF(Y466=1,MAX(0,Q466-G466),IF(L466=1,MAX(0,R466-G466),MAX(0,Assumptions!$C$6-G466))))</f>
        <v/>
      </c>
      <c r="AC466">
        <f>IF(Y466=1,Q466-F466,"")</f>
        <v/>
      </c>
      <c r="AD466">
        <f>IF(Y466=1,AC466^2,"")</f>
        <v/>
      </c>
      <c r="AE466" s="19">
        <f>IF(Z466=1,(H466-M466)*I466,0)</f>
        <v/>
      </c>
      <c r="AF466">
        <f>IF(G466&lt;EDATE(Assumptions!$C$6,-12)+1,"prior_12m","last_12m")</f>
        <v/>
      </c>
      <c r="AG466" s="21">
        <f>DATE(YEAR(G466),MONTH(G466),1)</f>
        <v/>
      </c>
    </row>
    <row r="467">
      <c r="A467" t="inlineStr">
        <is>
          <t>SPO-00257-1</t>
        </is>
      </c>
      <c r="B467" t="inlineStr">
        <is>
          <t>SPO-00257</t>
        </is>
      </c>
      <c r="C467" t="inlineStr">
        <is>
          <t>SUP-06</t>
        </is>
      </c>
      <c r="D467" t="inlineStr">
        <is>
          <t>MRO</t>
        </is>
      </c>
      <c r="E467" t="inlineStr">
        <is>
          <t>MRO-02</t>
        </is>
      </c>
      <c r="F467" s="17" t="n">
        <v>45636</v>
      </c>
      <c r="G467" s="17" t="n">
        <v>45644</v>
      </c>
      <c r="H467" s="18" t="n">
        <v>65</v>
      </c>
      <c r="I467" s="19" t="n">
        <v>41.61</v>
      </c>
      <c r="J467" s="19" t="n">
        <v>41</v>
      </c>
      <c r="K467" s="20" t="n">
        <v>0</v>
      </c>
      <c r="L467" s="20" t="n">
        <v>0</v>
      </c>
      <c r="M467" s="18" t="n">
        <v>65</v>
      </c>
      <c r="N467" s="18" t="n">
        <v>65</v>
      </c>
      <c r="O467" s="18" t="n">
        <v>0</v>
      </c>
      <c r="P467" s="17" t="n">
        <v>45640</v>
      </c>
      <c r="Q467" s="17" t="n">
        <v>45640</v>
      </c>
      <c r="R467" s="17" t="n">
        <v>45640</v>
      </c>
      <c r="S467" s="19">
        <f>H467*I467</f>
        <v/>
      </c>
      <c r="T467" s="19">
        <f>H467*J467</f>
        <v/>
      </c>
      <c r="U467">
        <f>IF(AND(K467=0,G467&lt;=Assumptions!$C$6),1,0)</f>
        <v/>
      </c>
      <c r="V467">
        <f>IF(U467=1,IF(M467&gt;0,IF(P467&lt;=G467+Assumptions!$C$7,1,0),0),0)</f>
        <v/>
      </c>
      <c r="W467">
        <f>IF(AND(U467=1,M467&gt;=H467*(1-Assumptions!$C$8)),1,0)</f>
        <v/>
      </c>
      <c r="X467">
        <f>IF(AND(U467=1,N467&gt;=H467*(1-Assumptions!$C$8)),1,0)</f>
        <v/>
      </c>
      <c r="Y467">
        <f>IF(ISNUMBER(Q467),1,0)</f>
        <v/>
      </c>
      <c r="Z467">
        <f>IF(AND(K467=0,L467=0,Y467=0),1,0)</f>
        <v/>
      </c>
      <c r="AA467">
        <f>IF(AND(Z467=1,G467&lt;Assumptions!$C$6),1,0)</f>
        <v/>
      </c>
      <c r="AB467">
        <f>IF(U467=0,"",IF(Y467=1,MAX(0,Q467-G467),IF(L467=1,MAX(0,R467-G467),MAX(0,Assumptions!$C$6-G467))))</f>
        <v/>
      </c>
      <c r="AC467">
        <f>IF(Y467=1,Q467-F467,"")</f>
        <v/>
      </c>
      <c r="AD467">
        <f>IF(Y467=1,AC467^2,"")</f>
        <v/>
      </c>
      <c r="AE467" s="19">
        <f>IF(Z467=1,(H467-M467)*I467,0)</f>
        <v/>
      </c>
      <c r="AF467">
        <f>IF(G467&lt;EDATE(Assumptions!$C$6,-12)+1,"prior_12m","last_12m")</f>
        <v/>
      </c>
      <c r="AG467" s="21">
        <f>DATE(YEAR(G467),MONTH(G467),1)</f>
        <v/>
      </c>
    </row>
    <row r="468">
      <c r="A468" t="inlineStr">
        <is>
          <t>SPO-00258-1</t>
        </is>
      </c>
      <c r="B468" t="inlineStr">
        <is>
          <t>SPO-00258</t>
        </is>
      </c>
      <c r="C468" t="inlineStr">
        <is>
          <t>SUP-06</t>
        </is>
      </c>
      <c r="D468" t="inlineStr">
        <is>
          <t>MRO</t>
        </is>
      </c>
      <c r="E468" t="inlineStr">
        <is>
          <t>MRO-07</t>
        </is>
      </c>
      <c r="F468" s="17" t="n">
        <v>45636</v>
      </c>
      <c r="G468" s="17" t="n">
        <v>45644</v>
      </c>
      <c r="H468" s="18" t="n">
        <v>152</v>
      </c>
      <c r="I468" s="19" t="n">
        <v>14.43</v>
      </c>
      <c r="J468" s="19" t="n">
        <v>14</v>
      </c>
      <c r="K468" s="20" t="n">
        <v>0</v>
      </c>
      <c r="L468" s="20" t="n">
        <v>0</v>
      </c>
      <c r="M468" s="18" t="n">
        <v>152</v>
      </c>
      <c r="N468" s="18" t="n">
        <v>152</v>
      </c>
      <c r="O468" s="18" t="n">
        <v>0</v>
      </c>
      <c r="P468" s="17" t="n">
        <v>45642</v>
      </c>
      <c r="Q468" s="17" t="n">
        <v>45642</v>
      </c>
      <c r="R468" s="17" t="n">
        <v>45642</v>
      </c>
      <c r="S468" s="19">
        <f>H468*I468</f>
        <v/>
      </c>
      <c r="T468" s="19">
        <f>H468*J468</f>
        <v/>
      </c>
      <c r="U468">
        <f>IF(AND(K468=0,G468&lt;=Assumptions!$C$6),1,0)</f>
        <v/>
      </c>
      <c r="V468">
        <f>IF(U468=1,IF(M468&gt;0,IF(P468&lt;=G468+Assumptions!$C$7,1,0),0),0)</f>
        <v/>
      </c>
      <c r="W468">
        <f>IF(AND(U468=1,M468&gt;=H468*(1-Assumptions!$C$8)),1,0)</f>
        <v/>
      </c>
      <c r="X468">
        <f>IF(AND(U468=1,N468&gt;=H468*(1-Assumptions!$C$8)),1,0)</f>
        <v/>
      </c>
      <c r="Y468">
        <f>IF(ISNUMBER(Q468),1,0)</f>
        <v/>
      </c>
      <c r="Z468">
        <f>IF(AND(K468=0,L468=0,Y468=0),1,0)</f>
        <v/>
      </c>
      <c r="AA468">
        <f>IF(AND(Z468=1,G468&lt;Assumptions!$C$6),1,0)</f>
        <v/>
      </c>
      <c r="AB468">
        <f>IF(U468=0,"",IF(Y468=1,MAX(0,Q468-G468),IF(L468=1,MAX(0,R468-G468),MAX(0,Assumptions!$C$6-G468))))</f>
        <v/>
      </c>
      <c r="AC468">
        <f>IF(Y468=1,Q468-F468,"")</f>
        <v/>
      </c>
      <c r="AD468">
        <f>IF(Y468=1,AC468^2,"")</f>
        <v/>
      </c>
      <c r="AE468" s="19">
        <f>IF(Z468=1,(H468-M468)*I468,0)</f>
        <v/>
      </c>
      <c r="AF468">
        <f>IF(G468&lt;EDATE(Assumptions!$C$6,-12)+1,"prior_12m","last_12m")</f>
        <v/>
      </c>
      <c r="AG468" s="21">
        <f>DATE(YEAR(G468),MONTH(G468),1)</f>
        <v/>
      </c>
    </row>
    <row r="469">
      <c r="A469" t="inlineStr">
        <is>
          <t>SPO-00259-1</t>
        </is>
      </c>
      <c r="B469" t="inlineStr">
        <is>
          <t>SPO-00259</t>
        </is>
      </c>
      <c r="C469" t="inlineStr">
        <is>
          <t>SUP-01</t>
        </is>
      </c>
      <c r="D469" t="inlineStr">
        <is>
          <t>ELEC</t>
        </is>
      </c>
      <c r="E469" t="inlineStr">
        <is>
          <t>ELEC-03</t>
        </is>
      </c>
      <c r="F469" s="17" t="n">
        <v>45637</v>
      </c>
      <c r="G469" s="17" t="n">
        <v>45655</v>
      </c>
      <c r="H469" s="18" t="n">
        <v>10</v>
      </c>
      <c r="I469" s="19" t="n">
        <v>96.08</v>
      </c>
      <c r="J469" s="19" t="n">
        <v>96</v>
      </c>
      <c r="K469" s="20" t="n">
        <v>0</v>
      </c>
      <c r="L469" s="20" t="n">
        <v>0</v>
      </c>
      <c r="M469" s="18" t="n">
        <v>10</v>
      </c>
      <c r="N469" s="18" t="n">
        <v>10</v>
      </c>
      <c r="O469" s="18" t="n">
        <v>0</v>
      </c>
      <c r="P469" s="17" t="n">
        <v>45649</v>
      </c>
      <c r="Q469" s="17" t="n">
        <v>45649</v>
      </c>
      <c r="R469" s="17" t="n">
        <v>45649</v>
      </c>
      <c r="S469" s="19">
        <f>H469*I469</f>
        <v/>
      </c>
      <c r="T469" s="19">
        <f>H469*J469</f>
        <v/>
      </c>
      <c r="U469">
        <f>IF(AND(K469=0,G469&lt;=Assumptions!$C$6),1,0)</f>
        <v/>
      </c>
      <c r="V469">
        <f>IF(U469=1,IF(M469&gt;0,IF(P469&lt;=G469+Assumptions!$C$7,1,0),0),0)</f>
        <v/>
      </c>
      <c r="W469">
        <f>IF(AND(U469=1,M469&gt;=H469*(1-Assumptions!$C$8)),1,0)</f>
        <v/>
      </c>
      <c r="X469">
        <f>IF(AND(U469=1,N469&gt;=H469*(1-Assumptions!$C$8)),1,0)</f>
        <v/>
      </c>
      <c r="Y469">
        <f>IF(ISNUMBER(Q469),1,0)</f>
        <v/>
      </c>
      <c r="Z469">
        <f>IF(AND(K469=0,L469=0,Y469=0),1,0)</f>
        <v/>
      </c>
      <c r="AA469">
        <f>IF(AND(Z469=1,G469&lt;Assumptions!$C$6),1,0)</f>
        <v/>
      </c>
      <c r="AB469">
        <f>IF(U469=0,"",IF(Y469=1,MAX(0,Q469-G469),IF(L469=1,MAX(0,R469-G469),MAX(0,Assumptions!$C$6-G469))))</f>
        <v/>
      </c>
      <c r="AC469">
        <f>IF(Y469=1,Q469-F469,"")</f>
        <v/>
      </c>
      <c r="AD469">
        <f>IF(Y469=1,AC469^2,"")</f>
        <v/>
      </c>
      <c r="AE469" s="19">
        <f>IF(Z469=1,(H469-M469)*I469,0)</f>
        <v/>
      </c>
      <c r="AF469">
        <f>IF(G469&lt;EDATE(Assumptions!$C$6,-12)+1,"prior_12m","last_12m")</f>
        <v/>
      </c>
      <c r="AG469" s="21">
        <f>DATE(YEAR(G469),MONTH(G469),1)</f>
        <v/>
      </c>
    </row>
    <row r="470">
      <c r="A470" t="inlineStr">
        <is>
          <t>SPO-00259-2</t>
        </is>
      </c>
      <c r="B470" t="inlineStr">
        <is>
          <t>SPO-00259</t>
        </is>
      </c>
      <c r="C470" t="inlineStr">
        <is>
          <t>SUP-01</t>
        </is>
      </c>
      <c r="D470" t="inlineStr">
        <is>
          <t>ELEC</t>
        </is>
      </c>
      <c r="E470" t="inlineStr">
        <is>
          <t>ELEC-01</t>
        </is>
      </c>
      <c r="F470" s="17" t="n">
        <v>45637</v>
      </c>
      <c r="G470" s="17" t="n">
        <v>45655</v>
      </c>
      <c r="H470" s="18" t="n">
        <v>47</v>
      </c>
      <c r="I470" s="19" t="n">
        <v>39.87</v>
      </c>
      <c r="J470" s="19" t="n">
        <v>38</v>
      </c>
      <c r="K470" s="20" t="n">
        <v>0</v>
      </c>
      <c r="L470" s="20" t="n">
        <v>0</v>
      </c>
      <c r="M470" s="18" t="n">
        <v>47</v>
      </c>
      <c r="N470" s="18" t="n">
        <v>47</v>
      </c>
      <c r="O470" s="18" t="n">
        <v>0</v>
      </c>
      <c r="P470" s="17" t="n">
        <v>45652</v>
      </c>
      <c r="Q470" s="17" t="n">
        <v>45652</v>
      </c>
      <c r="R470" s="17" t="n">
        <v>45652</v>
      </c>
      <c r="S470" s="19">
        <f>H470*I470</f>
        <v/>
      </c>
      <c r="T470" s="19">
        <f>H470*J470</f>
        <v/>
      </c>
      <c r="U470">
        <f>IF(AND(K470=0,G470&lt;=Assumptions!$C$6),1,0)</f>
        <v/>
      </c>
      <c r="V470">
        <f>IF(U470=1,IF(M470&gt;0,IF(P470&lt;=G470+Assumptions!$C$7,1,0),0),0)</f>
        <v/>
      </c>
      <c r="W470">
        <f>IF(AND(U470=1,M470&gt;=H470*(1-Assumptions!$C$8)),1,0)</f>
        <v/>
      </c>
      <c r="X470">
        <f>IF(AND(U470=1,N470&gt;=H470*(1-Assumptions!$C$8)),1,0)</f>
        <v/>
      </c>
      <c r="Y470">
        <f>IF(ISNUMBER(Q470),1,0)</f>
        <v/>
      </c>
      <c r="Z470">
        <f>IF(AND(K470=0,L470=0,Y470=0),1,0)</f>
        <v/>
      </c>
      <c r="AA470">
        <f>IF(AND(Z470=1,G470&lt;Assumptions!$C$6),1,0)</f>
        <v/>
      </c>
      <c r="AB470">
        <f>IF(U470=0,"",IF(Y470=1,MAX(0,Q470-G470),IF(L470=1,MAX(0,R470-G470),MAX(0,Assumptions!$C$6-G470))))</f>
        <v/>
      </c>
      <c r="AC470">
        <f>IF(Y470=1,Q470-F470,"")</f>
        <v/>
      </c>
      <c r="AD470">
        <f>IF(Y470=1,AC470^2,"")</f>
        <v/>
      </c>
      <c r="AE470" s="19">
        <f>IF(Z470=1,(H470-M470)*I470,0)</f>
        <v/>
      </c>
      <c r="AF470">
        <f>IF(G470&lt;EDATE(Assumptions!$C$6,-12)+1,"prior_12m","last_12m")</f>
        <v/>
      </c>
      <c r="AG470" s="21">
        <f>DATE(YEAR(G470),MONTH(G470),1)</f>
        <v/>
      </c>
    </row>
    <row r="471">
      <c r="A471" t="inlineStr">
        <is>
          <t>SPO-00260-1</t>
        </is>
      </c>
      <c r="B471" t="inlineStr">
        <is>
          <t>SPO-00260</t>
        </is>
      </c>
      <c r="C471" t="inlineStr">
        <is>
          <t>SUP-09</t>
        </is>
      </c>
      <c r="D471" t="inlineStr">
        <is>
          <t>CHEM</t>
        </is>
      </c>
      <c r="E471" t="inlineStr">
        <is>
          <t>CHEM-03</t>
        </is>
      </c>
      <c r="F471" s="17" t="n">
        <v>45637</v>
      </c>
      <c r="G471" s="17" t="n">
        <v>45651</v>
      </c>
      <c r="H471" s="18" t="n">
        <v>3</v>
      </c>
      <c r="I471" s="19" t="n">
        <v>273.36</v>
      </c>
      <c r="J471" s="19" t="n">
        <v>265</v>
      </c>
      <c r="K471" s="20" t="n">
        <v>0</v>
      </c>
      <c r="L471" s="20" t="n">
        <v>0</v>
      </c>
      <c r="M471" s="18" t="n">
        <v>3</v>
      </c>
      <c r="N471" s="18" t="n">
        <v>3</v>
      </c>
      <c r="O471" s="18" t="n">
        <v>0</v>
      </c>
      <c r="P471" s="17" t="n">
        <v>45650</v>
      </c>
      <c r="Q471" s="17" t="n">
        <v>45650</v>
      </c>
      <c r="R471" s="17" t="n">
        <v>45650</v>
      </c>
      <c r="S471" s="19">
        <f>H471*I471</f>
        <v/>
      </c>
      <c r="T471" s="19">
        <f>H471*J471</f>
        <v/>
      </c>
      <c r="U471">
        <f>IF(AND(K471=0,G471&lt;=Assumptions!$C$6),1,0)</f>
        <v/>
      </c>
      <c r="V471">
        <f>IF(U471=1,IF(M471&gt;0,IF(P471&lt;=G471+Assumptions!$C$7,1,0),0),0)</f>
        <v/>
      </c>
      <c r="W471">
        <f>IF(AND(U471=1,M471&gt;=H471*(1-Assumptions!$C$8)),1,0)</f>
        <v/>
      </c>
      <c r="X471">
        <f>IF(AND(U471=1,N471&gt;=H471*(1-Assumptions!$C$8)),1,0)</f>
        <v/>
      </c>
      <c r="Y471">
        <f>IF(ISNUMBER(Q471),1,0)</f>
        <v/>
      </c>
      <c r="Z471">
        <f>IF(AND(K471=0,L471=0,Y471=0),1,0)</f>
        <v/>
      </c>
      <c r="AA471">
        <f>IF(AND(Z471=1,G471&lt;Assumptions!$C$6),1,0)</f>
        <v/>
      </c>
      <c r="AB471">
        <f>IF(U471=0,"",IF(Y471=1,MAX(0,Q471-G471),IF(L471=1,MAX(0,R471-G471),MAX(0,Assumptions!$C$6-G471))))</f>
        <v/>
      </c>
      <c r="AC471">
        <f>IF(Y471=1,Q471-F471,"")</f>
        <v/>
      </c>
      <c r="AD471">
        <f>IF(Y471=1,AC471^2,"")</f>
        <v/>
      </c>
      <c r="AE471" s="19">
        <f>IF(Z471=1,(H471-M471)*I471,0)</f>
        <v/>
      </c>
      <c r="AF471">
        <f>IF(G471&lt;EDATE(Assumptions!$C$6,-12)+1,"prior_12m","last_12m")</f>
        <v/>
      </c>
      <c r="AG471" s="21">
        <f>DATE(YEAR(G471),MONTH(G471),1)</f>
        <v/>
      </c>
    </row>
    <row r="472">
      <c r="A472" t="inlineStr">
        <is>
          <t>SPO-00260-2</t>
        </is>
      </c>
      <c r="B472" t="inlineStr">
        <is>
          <t>SPO-00260</t>
        </is>
      </c>
      <c r="C472" t="inlineStr">
        <is>
          <t>SUP-09</t>
        </is>
      </c>
      <c r="D472" t="inlineStr">
        <is>
          <t>CHEM</t>
        </is>
      </c>
      <c r="E472" t="inlineStr">
        <is>
          <t>CHEM-04</t>
        </is>
      </c>
      <c r="F472" s="17" t="n">
        <v>45637</v>
      </c>
      <c r="G472" s="17" t="n">
        <v>45651</v>
      </c>
      <c r="H472" s="18" t="n">
        <v>1</v>
      </c>
      <c r="I472" s="19" t="n">
        <v>824.47</v>
      </c>
      <c r="J472" s="19" t="n">
        <v>820</v>
      </c>
      <c r="K472" s="20" t="n">
        <v>0</v>
      </c>
      <c r="L472" s="20" t="n">
        <v>0</v>
      </c>
      <c r="M472" s="18" t="n">
        <v>1</v>
      </c>
      <c r="N472" s="18" t="n">
        <v>1</v>
      </c>
      <c r="O472" s="18" t="n">
        <v>0</v>
      </c>
      <c r="P472" s="17" t="n">
        <v>45649</v>
      </c>
      <c r="Q472" s="17" t="n">
        <v>45649</v>
      </c>
      <c r="R472" s="17" t="n">
        <v>45649</v>
      </c>
      <c r="S472" s="19">
        <f>H472*I472</f>
        <v/>
      </c>
      <c r="T472" s="19">
        <f>H472*J472</f>
        <v/>
      </c>
      <c r="U472">
        <f>IF(AND(K472=0,G472&lt;=Assumptions!$C$6),1,0)</f>
        <v/>
      </c>
      <c r="V472">
        <f>IF(U472=1,IF(M472&gt;0,IF(P472&lt;=G472+Assumptions!$C$7,1,0),0),0)</f>
        <v/>
      </c>
      <c r="W472">
        <f>IF(AND(U472=1,M472&gt;=H472*(1-Assumptions!$C$8)),1,0)</f>
        <v/>
      </c>
      <c r="X472">
        <f>IF(AND(U472=1,N472&gt;=H472*(1-Assumptions!$C$8)),1,0)</f>
        <v/>
      </c>
      <c r="Y472">
        <f>IF(ISNUMBER(Q472),1,0)</f>
        <v/>
      </c>
      <c r="Z472">
        <f>IF(AND(K472=0,L472=0,Y472=0),1,0)</f>
        <v/>
      </c>
      <c r="AA472">
        <f>IF(AND(Z472=1,G472&lt;Assumptions!$C$6),1,0)</f>
        <v/>
      </c>
      <c r="AB472">
        <f>IF(U472=0,"",IF(Y472=1,MAX(0,Q472-G472),IF(L472=1,MAX(0,R472-G472),MAX(0,Assumptions!$C$6-G472))))</f>
        <v/>
      </c>
      <c r="AC472">
        <f>IF(Y472=1,Q472-F472,"")</f>
        <v/>
      </c>
      <c r="AD472">
        <f>IF(Y472=1,AC472^2,"")</f>
        <v/>
      </c>
      <c r="AE472" s="19">
        <f>IF(Z472=1,(H472-M472)*I472,0)</f>
        <v/>
      </c>
      <c r="AF472">
        <f>IF(G472&lt;EDATE(Assumptions!$C$6,-12)+1,"prior_12m","last_12m")</f>
        <v/>
      </c>
      <c r="AG472" s="21">
        <f>DATE(YEAR(G472),MONTH(G472),1)</f>
        <v/>
      </c>
    </row>
    <row r="473">
      <c r="A473" t="inlineStr">
        <is>
          <t>SPO-00260-3</t>
        </is>
      </c>
      <c r="B473" t="inlineStr">
        <is>
          <t>SPO-00260</t>
        </is>
      </c>
      <c r="C473" t="inlineStr">
        <is>
          <t>SUP-09</t>
        </is>
      </c>
      <c r="D473" t="inlineStr">
        <is>
          <t>CHEM</t>
        </is>
      </c>
      <c r="E473" t="inlineStr">
        <is>
          <t>CHEM-05</t>
        </is>
      </c>
      <c r="F473" s="17" t="n">
        <v>45637</v>
      </c>
      <c r="G473" s="17" t="n">
        <v>45651</v>
      </c>
      <c r="H473" s="18" t="n">
        <v>5</v>
      </c>
      <c r="I473" s="19" t="n">
        <v>923.83</v>
      </c>
      <c r="J473" s="19" t="n">
        <v>930</v>
      </c>
      <c r="K473" s="20" t="n">
        <v>0</v>
      </c>
      <c r="L473" s="20" t="n">
        <v>0</v>
      </c>
      <c r="M473" s="18" t="n">
        <v>5</v>
      </c>
      <c r="N473" s="18" t="n">
        <v>5</v>
      </c>
      <c r="O473" s="18" t="n">
        <v>0</v>
      </c>
      <c r="P473" s="17" t="n">
        <v>45649</v>
      </c>
      <c r="Q473" s="17" t="n">
        <v>45649</v>
      </c>
      <c r="R473" s="17" t="n">
        <v>45649</v>
      </c>
      <c r="S473" s="19">
        <f>H473*I473</f>
        <v/>
      </c>
      <c r="T473" s="19">
        <f>H473*J473</f>
        <v/>
      </c>
      <c r="U473">
        <f>IF(AND(K473=0,G473&lt;=Assumptions!$C$6),1,0)</f>
        <v/>
      </c>
      <c r="V473">
        <f>IF(U473=1,IF(M473&gt;0,IF(P473&lt;=G473+Assumptions!$C$7,1,0),0),0)</f>
        <v/>
      </c>
      <c r="W473">
        <f>IF(AND(U473=1,M473&gt;=H473*(1-Assumptions!$C$8)),1,0)</f>
        <v/>
      </c>
      <c r="X473">
        <f>IF(AND(U473=1,N473&gt;=H473*(1-Assumptions!$C$8)),1,0)</f>
        <v/>
      </c>
      <c r="Y473">
        <f>IF(ISNUMBER(Q473),1,0)</f>
        <v/>
      </c>
      <c r="Z473">
        <f>IF(AND(K473=0,L473=0,Y473=0),1,0)</f>
        <v/>
      </c>
      <c r="AA473">
        <f>IF(AND(Z473=1,G473&lt;Assumptions!$C$6),1,0)</f>
        <v/>
      </c>
      <c r="AB473">
        <f>IF(U473=0,"",IF(Y473=1,MAX(0,Q473-G473),IF(L473=1,MAX(0,R473-G473),MAX(0,Assumptions!$C$6-G473))))</f>
        <v/>
      </c>
      <c r="AC473">
        <f>IF(Y473=1,Q473-F473,"")</f>
        <v/>
      </c>
      <c r="AD473">
        <f>IF(Y473=1,AC473^2,"")</f>
        <v/>
      </c>
      <c r="AE473" s="19">
        <f>IF(Z473=1,(H473-M473)*I473,0)</f>
        <v/>
      </c>
      <c r="AF473">
        <f>IF(G473&lt;EDATE(Assumptions!$C$6,-12)+1,"prior_12m","last_12m")</f>
        <v/>
      </c>
      <c r="AG473" s="21">
        <f>DATE(YEAR(G473),MONTH(G473),1)</f>
        <v/>
      </c>
    </row>
    <row r="474">
      <c r="A474" t="inlineStr">
        <is>
          <t>SPO-00261-1</t>
        </is>
      </c>
      <c r="B474" t="inlineStr">
        <is>
          <t>SPO-00261</t>
        </is>
      </c>
      <c r="C474" t="inlineStr">
        <is>
          <t>SUP-08</t>
        </is>
      </c>
      <c r="D474" t="inlineStr">
        <is>
          <t>PPE</t>
        </is>
      </c>
      <c r="E474" t="inlineStr">
        <is>
          <t>PPE-03</t>
        </is>
      </c>
      <c r="F474" s="17" t="n">
        <v>45638</v>
      </c>
      <c r="G474" s="17" t="n">
        <v>45649</v>
      </c>
      <c r="H474" s="18" t="n">
        <v>27</v>
      </c>
      <c r="I474" s="19" t="n">
        <v>21.02</v>
      </c>
      <c r="J474" s="19" t="n">
        <v>21</v>
      </c>
      <c r="K474" s="20" t="n">
        <v>0</v>
      </c>
      <c r="L474" s="20" t="n">
        <v>0</v>
      </c>
      <c r="M474" s="18" t="n">
        <v>27</v>
      </c>
      <c r="N474" s="18" t="n">
        <v>27</v>
      </c>
      <c r="O474" s="18" t="n">
        <v>0</v>
      </c>
      <c r="P474" s="17" t="n">
        <v>45642</v>
      </c>
      <c r="Q474" s="17" t="n">
        <v>45642</v>
      </c>
      <c r="R474" s="17" t="n">
        <v>45642</v>
      </c>
      <c r="S474" s="19">
        <f>H474*I474</f>
        <v/>
      </c>
      <c r="T474" s="19">
        <f>H474*J474</f>
        <v/>
      </c>
      <c r="U474">
        <f>IF(AND(K474=0,G474&lt;=Assumptions!$C$6),1,0)</f>
        <v/>
      </c>
      <c r="V474">
        <f>IF(U474=1,IF(M474&gt;0,IF(P474&lt;=G474+Assumptions!$C$7,1,0),0),0)</f>
        <v/>
      </c>
      <c r="W474">
        <f>IF(AND(U474=1,M474&gt;=H474*(1-Assumptions!$C$8)),1,0)</f>
        <v/>
      </c>
      <c r="X474">
        <f>IF(AND(U474=1,N474&gt;=H474*(1-Assumptions!$C$8)),1,0)</f>
        <v/>
      </c>
      <c r="Y474">
        <f>IF(ISNUMBER(Q474),1,0)</f>
        <v/>
      </c>
      <c r="Z474">
        <f>IF(AND(K474=0,L474=0,Y474=0),1,0)</f>
        <v/>
      </c>
      <c r="AA474">
        <f>IF(AND(Z474=1,G474&lt;Assumptions!$C$6),1,0)</f>
        <v/>
      </c>
      <c r="AB474">
        <f>IF(U474=0,"",IF(Y474=1,MAX(0,Q474-G474),IF(L474=1,MAX(0,R474-G474),MAX(0,Assumptions!$C$6-G474))))</f>
        <v/>
      </c>
      <c r="AC474">
        <f>IF(Y474=1,Q474-F474,"")</f>
        <v/>
      </c>
      <c r="AD474">
        <f>IF(Y474=1,AC474^2,"")</f>
        <v/>
      </c>
      <c r="AE474" s="19">
        <f>IF(Z474=1,(H474-M474)*I474,0)</f>
        <v/>
      </c>
      <c r="AF474">
        <f>IF(G474&lt;EDATE(Assumptions!$C$6,-12)+1,"prior_12m","last_12m")</f>
        <v/>
      </c>
      <c r="AG474" s="21">
        <f>DATE(YEAR(G474),MONTH(G474),1)</f>
        <v/>
      </c>
    </row>
    <row r="475">
      <c r="A475" t="inlineStr">
        <is>
          <t>SPO-00261-2</t>
        </is>
      </c>
      <c r="B475" t="inlineStr">
        <is>
          <t>SPO-00261</t>
        </is>
      </c>
      <c r="C475" t="inlineStr">
        <is>
          <t>SUP-08</t>
        </is>
      </c>
      <c r="D475" t="inlineStr">
        <is>
          <t>PPE</t>
        </is>
      </c>
      <c r="E475" t="inlineStr">
        <is>
          <t>PPE-08</t>
        </is>
      </c>
      <c r="F475" s="17" t="n">
        <v>45638</v>
      </c>
      <c r="G475" s="17" t="n">
        <v>45649</v>
      </c>
      <c r="H475" s="18" t="n">
        <v>37</v>
      </c>
      <c r="I475" s="19" t="n">
        <v>64.36</v>
      </c>
      <c r="J475" s="19" t="n">
        <v>64</v>
      </c>
      <c r="K475" s="20" t="n">
        <v>0</v>
      </c>
      <c r="L475" s="20" t="n">
        <v>0</v>
      </c>
      <c r="M475" s="18" t="n">
        <v>37</v>
      </c>
      <c r="N475" s="18" t="n">
        <v>37</v>
      </c>
      <c r="O475" s="18" t="n">
        <v>0</v>
      </c>
      <c r="P475" s="17" t="n">
        <v>45647</v>
      </c>
      <c r="Q475" s="17" t="n">
        <v>45647</v>
      </c>
      <c r="R475" s="17" t="n">
        <v>45647</v>
      </c>
      <c r="S475" s="19">
        <f>H475*I475</f>
        <v/>
      </c>
      <c r="T475" s="19">
        <f>H475*J475</f>
        <v/>
      </c>
      <c r="U475">
        <f>IF(AND(K475=0,G475&lt;=Assumptions!$C$6),1,0)</f>
        <v/>
      </c>
      <c r="V475">
        <f>IF(U475=1,IF(M475&gt;0,IF(P475&lt;=G475+Assumptions!$C$7,1,0),0),0)</f>
        <v/>
      </c>
      <c r="W475">
        <f>IF(AND(U475=1,M475&gt;=H475*(1-Assumptions!$C$8)),1,0)</f>
        <v/>
      </c>
      <c r="X475">
        <f>IF(AND(U475=1,N475&gt;=H475*(1-Assumptions!$C$8)),1,0)</f>
        <v/>
      </c>
      <c r="Y475">
        <f>IF(ISNUMBER(Q475),1,0)</f>
        <v/>
      </c>
      <c r="Z475">
        <f>IF(AND(K475=0,L475=0,Y475=0),1,0)</f>
        <v/>
      </c>
      <c r="AA475">
        <f>IF(AND(Z475=1,G475&lt;Assumptions!$C$6),1,0)</f>
        <v/>
      </c>
      <c r="AB475">
        <f>IF(U475=0,"",IF(Y475=1,MAX(0,Q475-G475),IF(L475=1,MAX(0,R475-G475),MAX(0,Assumptions!$C$6-G475))))</f>
        <v/>
      </c>
      <c r="AC475">
        <f>IF(Y475=1,Q475-F475,"")</f>
        <v/>
      </c>
      <c r="AD475">
        <f>IF(Y475=1,AC475^2,"")</f>
        <v/>
      </c>
      <c r="AE475" s="19">
        <f>IF(Z475=1,(H475-M475)*I475,0)</f>
        <v/>
      </c>
      <c r="AF475">
        <f>IF(G475&lt;EDATE(Assumptions!$C$6,-12)+1,"prior_12m","last_12m")</f>
        <v/>
      </c>
      <c r="AG475" s="21">
        <f>DATE(YEAR(G475),MONTH(G475),1)</f>
        <v/>
      </c>
    </row>
    <row r="476">
      <c r="A476" t="inlineStr">
        <is>
          <t>SPO-00261-3</t>
        </is>
      </c>
      <c r="B476" t="inlineStr">
        <is>
          <t>SPO-00261</t>
        </is>
      </c>
      <c r="C476" t="inlineStr">
        <is>
          <t>SUP-08</t>
        </is>
      </c>
      <c r="D476" t="inlineStr">
        <is>
          <t>PPE</t>
        </is>
      </c>
      <c r="E476" t="inlineStr">
        <is>
          <t>PPE-01</t>
        </is>
      </c>
      <c r="F476" s="17" t="n">
        <v>45638</v>
      </c>
      <c r="G476" s="17" t="n">
        <v>45649</v>
      </c>
      <c r="H476" s="18" t="n">
        <v>415</v>
      </c>
      <c r="I476" s="19" t="n">
        <v>5.14</v>
      </c>
      <c r="J476" s="19" t="n">
        <v>4.8</v>
      </c>
      <c r="K476" s="20" t="n">
        <v>0</v>
      </c>
      <c r="L476" s="20" t="n">
        <v>0</v>
      </c>
      <c r="M476" s="18" t="n">
        <v>415</v>
      </c>
      <c r="N476" s="18" t="n">
        <v>415</v>
      </c>
      <c r="O476" s="18" t="n">
        <v>0</v>
      </c>
      <c r="P476" s="17" t="n">
        <v>45645</v>
      </c>
      <c r="Q476" s="17" t="n">
        <v>45645</v>
      </c>
      <c r="R476" s="17" t="n">
        <v>45645</v>
      </c>
      <c r="S476" s="19">
        <f>H476*I476</f>
        <v/>
      </c>
      <c r="T476" s="19">
        <f>H476*J476</f>
        <v/>
      </c>
      <c r="U476">
        <f>IF(AND(K476=0,G476&lt;=Assumptions!$C$6),1,0)</f>
        <v/>
      </c>
      <c r="V476">
        <f>IF(U476=1,IF(M476&gt;0,IF(P476&lt;=G476+Assumptions!$C$7,1,0),0),0)</f>
        <v/>
      </c>
      <c r="W476">
        <f>IF(AND(U476=1,M476&gt;=H476*(1-Assumptions!$C$8)),1,0)</f>
        <v/>
      </c>
      <c r="X476">
        <f>IF(AND(U476=1,N476&gt;=H476*(1-Assumptions!$C$8)),1,0)</f>
        <v/>
      </c>
      <c r="Y476">
        <f>IF(ISNUMBER(Q476),1,0)</f>
        <v/>
      </c>
      <c r="Z476">
        <f>IF(AND(K476=0,L476=0,Y476=0),1,0)</f>
        <v/>
      </c>
      <c r="AA476">
        <f>IF(AND(Z476=1,G476&lt;Assumptions!$C$6),1,0)</f>
        <v/>
      </c>
      <c r="AB476">
        <f>IF(U476=0,"",IF(Y476=1,MAX(0,Q476-G476),IF(L476=1,MAX(0,R476-G476),MAX(0,Assumptions!$C$6-G476))))</f>
        <v/>
      </c>
      <c r="AC476">
        <f>IF(Y476=1,Q476-F476,"")</f>
        <v/>
      </c>
      <c r="AD476">
        <f>IF(Y476=1,AC476^2,"")</f>
        <v/>
      </c>
      <c r="AE476" s="19">
        <f>IF(Z476=1,(H476-M476)*I476,0)</f>
        <v/>
      </c>
      <c r="AF476">
        <f>IF(G476&lt;EDATE(Assumptions!$C$6,-12)+1,"prior_12m","last_12m")</f>
        <v/>
      </c>
      <c r="AG476" s="21">
        <f>DATE(YEAR(G476),MONTH(G476),1)</f>
        <v/>
      </c>
    </row>
    <row r="477">
      <c r="A477" t="inlineStr">
        <is>
          <t>SPO-00262-1</t>
        </is>
      </c>
      <c r="B477" t="inlineStr">
        <is>
          <t>SPO-00262</t>
        </is>
      </c>
      <c r="C477" t="inlineStr">
        <is>
          <t>SUP-02</t>
        </is>
      </c>
      <c r="D477" t="inlineStr">
        <is>
          <t>ELEC</t>
        </is>
      </c>
      <c r="E477" t="inlineStr">
        <is>
          <t>ELEC-07</t>
        </is>
      </c>
      <c r="F477" s="17" t="n">
        <v>45638</v>
      </c>
      <c r="G477" s="17" t="n">
        <v>45654</v>
      </c>
      <c r="H477" s="18" t="n">
        <v>93</v>
      </c>
      <c r="I477" s="19" t="n">
        <v>9.82</v>
      </c>
      <c r="J477" s="19" t="n">
        <v>9.800000000000001</v>
      </c>
      <c r="K477" s="20" t="n">
        <v>0</v>
      </c>
      <c r="L477" s="20" t="n">
        <v>0</v>
      </c>
      <c r="M477" s="18" t="n">
        <v>93</v>
      </c>
      <c r="N477" s="18" t="n">
        <v>93</v>
      </c>
      <c r="O477" s="18" t="n">
        <v>0</v>
      </c>
      <c r="P477" s="17" t="n">
        <v>45651</v>
      </c>
      <c r="Q477" s="17" t="n">
        <v>45651</v>
      </c>
      <c r="R477" s="17" t="n">
        <v>45651</v>
      </c>
      <c r="S477" s="19">
        <f>H477*I477</f>
        <v/>
      </c>
      <c r="T477" s="19">
        <f>H477*J477</f>
        <v/>
      </c>
      <c r="U477">
        <f>IF(AND(K477=0,G477&lt;=Assumptions!$C$6),1,0)</f>
        <v/>
      </c>
      <c r="V477">
        <f>IF(U477=1,IF(M477&gt;0,IF(P477&lt;=G477+Assumptions!$C$7,1,0),0),0)</f>
        <v/>
      </c>
      <c r="W477">
        <f>IF(AND(U477=1,M477&gt;=H477*(1-Assumptions!$C$8)),1,0)</f>
        <v/>
      </c>
      <c r="X477">
        <f>IF(AND(U477=1,N477&gt;=H477*(1-Assumptions!$C$8)),1,0)</f>
        <v/>
      </c>
      <c r="Y477">
        <f>IF(ISNUMBER(Q477),1,0)</f>
        <v/>
      </c>
      <c r="Z477">
        <f>IF(AND(K477=0,L477=0,Y477=0),1,0)</f>
        <v/>
      </c>
      <c r="AA477">
        <f>IF(AND(Z477=1,G477&lt;Assumptions!$C$6),1,0)</f>
        <v/>
      </c>
      <c r="AB477">
        <f>IF(U477=0,"",IF(Y477=1,MAX(0,Q477-G477),IF(L477=1,MAX(0,R477-G477),MAX(0,Assumptions!$C$6-G477))))</f>
        <v/>
      </c>
      <c r="AC477">
        <f>IF(Y477=1,Q477-F477,"")</f>
        <v/>
      </c>
      <c r="AD477">
        <f>IF(Y477=1,AC477^2,"")</f>
        <v/>
      </c>
      <c r="AE477" s="19">
        <f>IF(Z477=1,(H477-M477)*I477,0)</f>
        <v/>
      </c>
      <c r="AF477">
        <f>IF(G477&lt;EDATE(Assumptions!$C$6,-12)+1,"prior_12m","last_12m")</f>
        <v/>
      </c>
      <c r="AG477" s="21">
        <f>DATE(YEAR(G477),MONTH(G477),1)</f>
        <v/>
      </c>
    </row>
    <row r="478">
      <c r="A478" t="inlineStr">
        <is>
          <t>SPO-00263-1</t>
        </is>
      </c>
      <c r="B478" t="inlineStr">
        <is>
          <t>SPO-00263</t>
        </is>
      </c>
      <c r="C478" t="inlineStr">
        <is>
          <t>SUP-06</t>
        </is>
      </c>
      <c r="D478" t="inlineStr">
        <is>
          <t>MRO</t>
        </is>
      </c>
      <c r="E478" t="inlineStr">
        <is>
          <t>MRO-02</t>
        </is>
      </c>
      <c r="F478" s="17" t="n">
        <v>45638</v>
      </c>
      <c r="G478" s="17" t="n">
        <v>45646</v>
      </c>
      <c r="H478" s="18" t="n">
        <v>61</v>
      </c>
      <c r="I478" s="19" t="n">
        <v>42.92</v>
      </c>
      <c r="J478" s="19" t="n">
        <v>41</v>
      </c>
      <c r="K478" s="20" t="n">
        <v>0</v>
      </c>
      <c r="L478" s="20" t="n">
        <v>0</v>
      </c>
      <c r="M478" s="18" t="n">
        <v>61</v>
      </c>
      <c r="N478" s="18" t="n">
        <v>61</v>
      </c>
      <c r="O478" s="18" t="n">
        <v>0</v>
      </c>
      <c r="P478" s="17" t="n">
        <v>45643</v>
      </c>
      <c r="Q478" s="17" t="n">
        <v>45643</v>
      </c>
      <c r="R478" s="17" t="n">
        <v>45643</v>
      </c>
      <c r="S478" s="19">
        <f>H478*I478</f>
        <v/>
      </c>
      <c r="T478" s="19">
        <f>H478*J478</f>
        <v/>
      </c>
      <c r="U478">
        <f>IF(AND(K478=0,G478&lt;=Assumptions!$C$6),1,0)</f>
        <v/>
      </c>
      <c r="V478">
        <f>IF(U478=1,IF(M478&gt;0,IF(P478&lt;=G478+Assumptions!$C$7,1,0),0),0)</f>
        <v/>
      </c>
      <c r="W478">
        <f>IF(AND(U478=1,M478&gt;=H478*(1-Assumptions!$C$8)),1,0)</f>
        <v/>
      </c>
      <c r="X478">
        <f>IF(AND(U478=1,N478&gt;=H478*(1-Assumptions!$C$8)),1,0)</f>
        <v/>
      </c>
      <c r="Y478">
        <f>IF(ISNUMBER(Q478),1,0)</f>
        <v/>
      </c>
      <c r="Z478">
        <f>IF(AND(K478=0,L478=0,Y478=0),1,0)</f>
        <v/>
      </c>
      <c r="AA478">
        <f>IF(AND(Z478=1,G478&lt;Assumptions!$C$6),1,0)</f>
        <v/>
      </c>
      <c r="AB478">
        <f>IF(U478=0,"",IF(Y478=1,MAX(0,Q478-G478),IF(L478=1,MAX(0,R478-G478),MAX(0,Assumptions!$C$6-G478))))</f>
        <v/>
      </c>
      <c r="AC478">
        <f>IF(Y478=1,Q478-F478,"")</f>
        <v/>
      </c>
      <c r="AD478">
        <f>IF(Y478=1,AC478^2,"")</f>
        <v/>
      </c>
      <c r="AE478" s="19">
        <f>IF(Z478=1,(H478-M478)*I478,0)</f>
        <v/>
      </c>
      <c r="AF478">
        <f>IF(G478&lt;EDATE(Assumptions!$C$6,-12)+1,"prior_12m","last_12m")</f>
        <v/>
      </c>
      <c r="AG478" s="21">
        <f>DATE(YEAR(G478),MONTH(G478),1)</f>
        <v/>
      </c>
    </row>
    <row r="479">
      <c r="A479" t="inlineStr">
        <is>
          <t>SPO-00264-1</t>
        </is>
      </c>
      <c r="B479" t="inlineStr">
        <is>
          <t>SPO-00264</t>
        </is>
      </c>
      <c r="C479" t="inlineStr">
        <is>
          <t>SUP-07</t>
        </is>
      </c>
      <c r="D479" t="inlineStr">
        <is>
          <t>MRO</t>
        </is>
      </c>
      <c r="E479" t="inlineStr">
        <is>
          <t>MRO-05</t>
        </is>
      </c>
      <c r="F479" s="17" t="n">
        <v>45639</v>
      </c>
      <c r="G479" s="17" t="n">
        <v>45649</v>
      </c>
      <c r="H479" s="18" t="n">
        <v>42</v>
      </c>
      <c r="I479" s="19" t="n">
        <v>36.45</v>
      </c>
      <c r="J479" s="19" t="n">
        <v>36</v>
      </c>
      <c r="K479" s="20" t="n">
        <v>0</v>
      </c>
      <c r="L479" s="20" t="n">
        <v>0</v>
      </c>
      <c r="M479" s="18" t="n">
        <v>42</v>
      </c>
      <c r="N479" s="18" t="n">
        <v>30</v>
      </c>
      <c r="O479" s="18" t="n">
        <v>0</v>
      </c>
      <c r="P479" s="17" t="n">
        <v>45645</v>
      </c>
      <c r="Q479" s="17" t="n">
        <v>45659</v>
      </c>
      <c r="R479" s="17" t="n">
        <v>45659</v>
      </c>
      <c r="S479" s="19">
        <f>H479*I479</f>
        <v/>
      </c>
      <c r="T479" s="19">
        <f>H479*J479</f>
        <v/>
      </c>
      <c r="U479">
        <f>IF(AND(K479=0,G479&lt;=Assumptions!$C$6),1,0)</f>
        <v/>
      </c>
      <c r="V479">
        <f>IF(U479=1,IF(M479&gt;0,IF(P479&lt;=G479+Assumptions!$C$7,1,0),0),0)</f>
        <v/>
      </c>
      <c r="W479">
        <f>IF(AND(U479=1,M479&gt;=H479*(1-Assumptions!$C$8)),1,0)</f>
        <v/>
      </c>
      <c r="X479">
        <f>IF(AND(U479=1,N479&gt;=H479*(1-Assumptions!$C$8)),1,0)</f>
        <v/>
      </c>
      <c r="Y479">
        <f>IF(ISNUMBER(Q479),1,0)</f>
        <v/>
      </c>
      <c r="Z479">
        <f>IF(AND(K479=0,L479=0,Y479=0),1,0)</f>
        <v/>
      </c>
      <c r="AA479">
        <f>IF(AND(Z479=1,G479&lt;Assumptions!$C$6),1,0)</f>
        <v/>
      </c>
      <c r="AB479">
        <f>IF(U479=0,"",IF(Y479=1,MAX(0,Q479-G479),IF(L479=1,MAX(0,R479-G479),MAX(0,Assumptions!$C$6-G479))))</f>
        <v/>
      </c>
      <c r="AC479">
        <f>IF(Y479=1,Q479-F479,"")</f>
        <v/>
      </c>
      <c r="AD479">
        <f>IF(Y479=1,AC479^2,"")</f>
        <v/>
      </c>
      <c r="AE479" s="19">
        <f>IF(Z479=1,(H479-M479)*I479,0)</f>
        <v/>
      </c>
      <c r="AF479">
        <f>IF(G479&lt;EDATE(Assumptions!$C$6,-12)+1,"prior_12m","last_12m")</f>
        <v/>
      </c>
      <c r="AG479" s="21">
        <f>DATE(YEAR(G479),MONTH(G479),1)</f>
        <v/>
      </c>
    </row>
    <row r="480">
      <c r="A480" t="inlineStr">
        <is>
          <t>SPO-00264-2</t>
        </is>
      </c>
      <c r="B480" t="inlineStr">
        <is>
          <t>SPO-00264</t>
        </is>
      </c>
      <c r="C480" t="inlineStr">
        <is>
          <t>SUP-07</t>
        </is>
      </c>
      <c r="D480" t="inlineStr">
        <is>
          <t>MRO</t>
        </is>
      </c>
      <c r="E480" t="inlineStr">
        <is>
          <t>MRO-06</t>
        </is>
      </c>
      <c r="F480" s="17" t="n">
        <v>45639</v>
      </c>
      <c r="G480" s="17" t="n">
        <v>45649</v>
      </c>
      <c r="H480" s="18" t="n">
        <v>222</v>
      </c>
      <c r="I480" s="19" t="n">
        <v>5.84</v>
      </c>
      <c r="J480" s="19" t="n">
        <v>6.1</v>
      </c>
      <c r="K480" s="20" t="n">
        <v>0</v>
      </c>
      <c r="L480" s="20" t="n">
        <v>0</v>
      </c>
      <c r="M480" s="18" t="n">
        <v>222</v>
      </c>
      <c r="N480" s="18" t="n">
        <v>222</v>
      </c>
      <c r="O480" s="18" t="n">
        <v>0</v>
      </c>
      <c r="P480" s="17" t="n">
        <v>45642</v>
      </c>
      <c r="Q480" s="17" t="n">
        <v>45642</v>
      </c>
      <c r="R480" s="17" t="n">
        <v>45642</v>
      </c>
      <c r="S480" s="19">
        <f>H480*I480</f>
        <v/>
      </c>
      <c r="T480" s="19">
        <f>H480*J480</f>
        <v/>
      </c>
      <c r="U480">
        <f>IF(AND(K480=0,G480&lt;=Assumptions!$C$6),1,0)</f>
        <v/>
      </c>
      <c r="V480">
        <f>IF(U480=1,IF(M480&gt;0,IF(P480&lt;=G480+Assumptions!$C$7,1,0),0),0)</f>
        <v/>
      </c>
      <c r="W480">
        <f>IF(AND(U480=1,M480&gt;=H480*(1-Assumptions!$C$8)),1,0)</f>
        <v/>
      </c>
      <c r="X480">
        <f>IF(AND(U480=1,N480&gt;=H480*(1-Assumptions!$C$8)),1,0)</f>
        <v/>
      </c>
      <c r="Y480">
        <f>IF(ISNUMBER(Q480),1,0)</f>
        <v/>
      </c>
      <c r="Z480">
        <f>IF(AND(K480=0,L480=0,Y480=0),1,0)</f>
        <v/>
      </c>
      <c r="AA480">
        <f>IF(AND(Z480=1,G480&lt;Assumptions!$C$6),1,0)</f>
        <v/>
      </c>
      <c r="AB480">
        <f>IF(U480=0,"",IF(Y480=1,MAX(0,Q480-G480),IF(L480=1,MAX(0,R480-G480),MAX(0,Assumptions!$C$6-G480))))</f>
        <v/>
      </c>
      <c r="AC480">
        <f>IF(Y480=1,Q480-F480,"")</f>
        <v/>
      </c>
      <c r="AD480">
        <f>IF(Y480=1,AC480^2,"")</f>
        <v/>
      </c>
      <c r="AE480" s="19">
        <f>IF(Z480=1,(H480-M480)*I480,0)</f>
        <v/>
      </c>
      <c r="AF480">
        <f>IF(G480&lt;EDATE(Assumptions!$C$6,-12)+1,"prior_12m","last_12m")</f>
        <v/>
      </c>
      <c r="AG480" s="21">
        <f>DATE(YEAR(G480),MONTH(G480),1)</f>
        <v/>
      </c>
    </row>
    <row r="481">
      <c r="A481" t="inlineStr">
        <is>
          <t>SPO-00265-1</t>
        </is>
      </c>
      <c r="B481" t="inlineStr">
        <is>
          <t>SPO-00265</t>
        </is>
      </c>
      <c r="C481" t="inlineStr">
        <is>
          <t>SUP-04</t>
        </is>
      </c>
      <c r="D481" t="inlineStr">
        <is>
          <t>FLEET</t>
        </is>
      </c>
      <c r="E481" t="inlineStr">
        <is>
          <t>FLEET-02</t>
        </is>
      </c>
      <c r="F481" s="17" t="n">
        <v>45639</v>
      </c>
      <c r="G481" s="17" t="n">
        <v>45652</v>
      </c>
      <c r="H481" s="18" t="n">
        <v>331</v>
      </c>
      <c r="I481" s="19" t="n">
        <v>7.79</v>
      </c>
      <c r="J481" s="19" t="n">
        <v>7.5</v>
      </c>
      <c r="K481" s="20" t="n">
        <v>0</v>
      </c>
      <c r="L481" s="20" t="n">
        <v>0</v>
      </c>
      <c r="M481" s="18" t="n">
        <v>331</v>
      </c>
      <c r="N481" s="18" t="n">
        <v>0</v>
      </c>
      <c r="O481" s="18" t="n">
        <v>0</v>
      </c>
      <c r="P481" s="17" t="n">
        <v>45798</v>
      </c>
      <c r="Q481" s="17" t="n">
        <v>45798</v>
      </c>
      <c r="R481" s="17" t="n">
        <v>45798</v>
      </c>
      <c r="S481" s="19">
        <f>H481*I481</f>
        <v/>
      </c>
      <c r="T481" s="19">
        <f>H481*J481</f>
        <v/>
      </c>
      <c r="U481">
        <f>IF(AND(K481=0,G481&lt;=Assumptions!$C$6),1,0)</f>
        <v/>
      </c>
      <c r="V481">
        <f>IF(U481=1,IF(M481&gt;0,IF(P481&lt;=G481+Assumptions!$C$7,1,0),0),0)</f>
        <v/>
      </c>
      <c r="W481">
        <f>IF(AND(U481=1,M481&gt;=H481*(1-Assumptions!$C$8)),1,0)</f>
        <v/>
      </c>
      <c r="X481">
        <f>IF(AND(U481=1,N481&gt;=H481*(1-Assumptions!$C$8)),1,0)</f>
        <v/>
      </c>
      <c r="Y481">
        <f>IF(ISNUMBER(Q481),1,0)</f>
        <v/>
      </c>
      <c r="Z481">
        <f>IF(AND(K481=0,L481=0,Y481=0),1,0)</f>
        <v/>
      </c>
      <c r="AA481">
        <f>IF(AND(Z481=1,G481&lt;Assumptions!$C$6),1,0)</f>
        <v/>
      </c>
      <c r="AB481">
        <f>IF(U481=0,"",IF(Y481=1,MAX(0,Q481-G481),IF(L481=1,MAX(0,R481-G481),MAX(0,Assumptions!$C$6-G481))))</f>
        <v/>
      </c>
      <c r="AC481">
        <f>IF(Y481=1,Q481-F481,"")</f>
        <v/>
      </c>
      <c r="AD481">
        <f>IF(Y481=1,AC481^2,"")</f>
        <v/>
      </c>
      <c r="AE481" s="19">
        <f>IF(Z481=1,(H481-M481)*I481,0)</f>
        <v/>
      </c>
      <c r="AF481">
        <f>IF(G481&lt;EDATE(Assumptions!$C$6,-12)+1,"prior_12m","last_12m")</f>
        <v/>
      </c>
      <c r="AG481" s="21">
        <f>DATE(YEAR(G481),MONTH(G481),1)</f>
        <v/>
      </c>
    </row>
    <row r="482">
      <c r="A482" t="inlineStr">
        <is>
          <t>SPO-00266-1</t>
        </is>
      </c>
      <c r="B482" t="inlineStr">
        <is>
          <t>SPO-00266</t>
        </is>
      </c>
      <c r="C482" t="inlineStr">
        <is>
          <t>SUP-06</t>
        </is>
      </c>
      <c r="D482" t="inlineStr">
        <is>
          <t>MRO</t>
        </is>
      </c>
      <c r="E482" t="inlineStr">
        <is>
          <t>MRO-02</t>
        </is>
      </c>
      <c r="F482" s="17" t="n">
        <v>45639</v>
      </c>
      <c r="G482" s="17" t="n">
        <v>45647</v>
      </c>
      <c r="H482" s="18" t="n">
        <v>64</v>
      </c>
      <c r="I482" s="19" t="n">
        <v>39.88</v>
      </c>
      <c r="J482" s="19" t="n">
        <v>41</v>
      </c>
      <c r="K482" s="20" t="n">
        <v>0</v>
      </c>
      <c r="L482" s="20" t="n">
        <v>0</v>
      </c>
      <c r="M482" s="18" t="n">
        <v>64</v>
      </c>
      <c r="N482" s="18" t="n">
        <v>64</v>
      </c>
      <c r="O482" s="18" t="n">
        <v>0</v>
      </c>
      <c r="P482" s="17" t="n">
        <v>45646</v>
      </c>
      <c r="Q482" s="17" t="n">
        <v>45646</v>
      </c>
      <c r="R482" s="17" t="n">
        <v>45646</v>
      </c>
      <c r="S482" s="19">
        <f>H482*I482</f>
        <v/>
      </c>
      <c r="T482" s="19">
        <f>H482*J482</f>
        <v/>
      </c>
      <c r="U482">
        <f>IF(AND(K482=0,G482&lt;=Assumptions!$C$6),1,0)</f>
        <v/>
      </c>
      <c r="V482">
        <f>IF(U482=1,IF(M482&gt;0,IF(P482&lt;=G482+Assumptions!$C$7,1,0),0),0)</f>
        <v/>
      </c>
      <c r="W482">
        <f>IF(AND(U482=1,M482&gt;=H482*(1-Assumptions!$C$8)),1,0)</f>
        <v/>
      </c>
      <c r="X482">
        <f>IF(AND(U482=1,N482&gt;=H482*(1-Assumptions!$C$8)),1,0)</f>
        <v/>
      </c>
      <c r="Y482">
        <f>IF(ISNUMBER(Q482),1,0)</f>
        <v/>
      </c>
      <c r="Z482">
        <f>IF(AND(K482=0,L482=0,Y482=0),1,0)</f>
        <v/>
      </c>
      <c r="AA482">
        <f>IF(AND(Z482=1,G482&lt;Assumptions!$C$6),1,0)</f>
        <v/>
      </c>
      <c r="AB482">
        <f>IF(U482=0,"",IF(Y482=1,MAX(0,Q482-G482),IF(L482=1,MAX(0,R482-G482),MAX(0,Assumptions!$C$6-G482))))</f>
        <v/>
      </c>
      <c r="AC482">
        <f>IF(Y482=1,Q482-F482,"")</f>
        <v/>
      </c>
      <c r="AD482">
        <f>IF(Y482=1,AC482^2,"")</f>
        <v/>
      </c>
      <c r="AE482" s="19">
        <f>IF(Z482=1,(H482-M482)*I482,0)</f>
        <v/>
      </c>
      <c r="AF482">
        <f>IF(G482&lt;EDATE(Assumptions!$C$6,-12)+1,"prior_12m","last_12m")</f>
        <v/>
      </c>
      <c r="AG482" s="21">
        <f>DATE(YEAR(G482),MONTH(G482),1)</f>
        <v/>
      </c>
    </row>
    <row r="483">
      <c r="A483" t="inlineStr">
        <is>
          <t>SPO-00266-2</t>
        </is>
      </c>
      <c r="B483" t="inlineStr">
        <is>
          <t>SPO-00266</t>
        </is>
      </c>
      <c r="C483" t="inlineStr">
        <is>
          <t>SUP-06</t>
        </is>
      </c>
      <c r="D483" t="inlineStr">
        <is>
          <t>MRO</t>
        </is>
      </c>
      <c r="E483" t="inlineStr">
        <is>
          <t>MRO-01</t>
        </is>
      </c>
      <c r="F483" s="17" t="n">
        <v>45639</v>
      </c>
      <c r="G483" s="17" t="n">
        <v>45647</v>
      </c>
      <c r="H483" s="18" t="n">
        <v>28</v>
      </c>
      <c r="I483" s="19" t="n">
        <v>54.61</v>
      </c>
      <c r="J483" s="19" t="n">
        <v>52</v>
      </c>
      <c r="K483" s="20" t="n">
        <v>0</v>
      </c>
      <c r="L483" s="20" t="n">
        <v>0</v>
      </c>
      <c r="M483" s="18" t="n">
        <v>28</v>
      </c>
      <c r="N483" s="18" t="n">
        <v>28</v>
      </c>
      <c r="O483" s="18" t="n">
        <v>0</v>
      </c>
      <c r="P483" s="17" t="n">
        <v>45645</v>
      </c>
      <c r="Q483" s="17" t="n">
        <v>45645</v>
      </c>
      <c r="R483" s="17" t="n">
        <v>45645</v>
      </c>
      <c r="S483" s="19">
        <f>H483*I483</f>
        <v/>
      </c>
      <c r="T483" s="19">
        <f>H483*J483</f>
        <v/>
      </c>
      <c r="U483">
        <f>IF(AND(K483=0,G483&lt;=Assumptions!$C$6),1,0)</f>
        <v/>
      </c>
      <c r="V483">
        <f>IF(U483=1,IF(M483&gt;0,IF(P483&lt;=G483+Assumptions!$C$7,1,0),0),0)</f>
        <v/>
      </c>
      <c r="W483">
        <f>IF(AND(U483=1,M483&gt;=H483*(1-Assumptions!$C$8)),1,0)</f>
        <v/>
      </c>
      <c r="X483">
        <f>IF(AND(U483=1,N483&gt;=H483*(1-Assumptions!$C$8)),1,0)</f>
        <v/>
      </c>
      <c r="Y483">
        <f>IF(ISNUMBER(Q483),1,0)</f>
        <v/>
      </c>
      <c r="Z483">
        <f>IF(AND(K483=0,L483=0,Y483=0),1,0)</f>
        <v/>
      </c>
      <c r="AA483">
        <f>IF(AND(Z483=1,G483&lt;Assumptions!$C$6),1,0)</f>
        <v/>
      </c>
      <c r="AB483">
        <f>IF(U483=0,"",IF(Y483=1,MAX(0,Q483-G483),IF(L483=1,MAX(0,R483-G483),MAX(0,Assumptions!$C$6-G483))))</f>
        <v/>
      </c>
      <c r="AC483">
        <f>IF(Y483=1,Q483-F483,"")</f>
        <v/>
      </c>
      <c r="AD483">
        <f>IF(Y483=1,AC483^2,"")</f>
        <v/>
      </c>
      <c r="AE483" s="19">
        <f>IF(Z483=1,(H483-M483)*I483,0)</f>
        <v/>
      </c>
      <c r="AF483">
        <f>IF(G483&lt;EDATE(Assumptions!$C$6,-12)+1,"prior_12m","last_12m")</f>
        <v/>
      </c>
      <c r="AG483" s="21">
        <f>DATE(YEAR(G483),MONTH(G483),1)</f>
        <v/>
      </c>
    </row>
    <row r="484">
      <c r="A484" t="inlineStr">
        <is>
          <t>SPO-00266-3</t>
        </is>
      </c>
      <c r="B484" t="inlineStr">
        <is>
          <t>SPO-00266</t>
        </is>
      </c>
      <c r="C484" t="inlineStr">
        <is>
          <t>SUP-06</t>
        </is>
      </c>
      <c r="D484" t="inlineStr">
        <is>
          <t>MRO</t>
        </is>
      </c>
      <c r="E484" t="inlineStr">
        <is>
          <t>MRO-06</t>
        </is>
      </c>
      <c r="F484" s="17" t="n">
        <v>45639</v>
      </c>
      <c r="G484" s="17" t="n">
        <v>45647</v>
      </c>
      <c r="H484" s="18" t="n">
        <v>326</v>
      </c>
      <c r="I484" s="19" t="n">
        <v>6.4</v>
      </c>
      <c r="J484" s="19" t="n">
        <v>6.1</v>
      </c>
      <c r="K484" s="20" t="n">
        <v>0</v>
      </c>
      <c r="L484" s="20" t="n">
        <v>0</v>
      </c>
      <c r="M484" s="18" t="n">
        <v>326</v>
      </c>
      <c r="N484" s="18" t="n">
        <v>326</v>
      </c>
      <c r="O484" s="18" t="n">
        <v>0</v>
      </c>
      <c r="P484" s="17" t="n">
        <v>45643</v>
      </c>
      <c r="Q484" s="17" t="n">
        <v>45643</v>
      </c>
      <c r="R484" s="17" t="n">
        <v>45643</v>
      </c>
      <c r="S484" s="19">
        <f>H484*I484</f>
        <v/>
      </c>
      <c r="T484" s="19">
        <f>H484*J484</f>
        <v/>
      </c>
      <c r="U484">
        <f>IF(AND(K484=0,G484&lt;=Assumptions!$C$6),1,0)</f>
        <v/>
      </c>
      <c r="V484">
        <f>IF(U484=1,IF(M484&gt;0,IF(P484&lt;=G484+Assumptions!$C$7,1,0),0),0)</f>
        <v/>
      </c>
      <c r="W484">
        <f>IF(AND(U484=1,M484&gt;=H484*(1-Assumptions!$C$8)),1,0)</f>
        <v/>
      </c>
      <c r="X484">
        <f>IF(AND(U484=1,N484&gt;=H484*(1-Assumptions!$C$8)),1,0)</f>
        <v/>
      </c>
      <c r="Y484">
        <f>IF(ISNUMBER(Q484),1,0)</f>
        <v/>
      </c>
      <c r="Z484">
        <f>IF(AND(K484=0,L484=0,Y484=0),1,0)</f>
        <v/>
      </c>
      <c r="AA484">
        <f>IF(AND(Z484=1,G484&lt;Assumptions!$C$6),1,0)</f>
        <v/>
      </c>
      <c r="AB484">
        <f>IF(U484=0,"",IF(Y484=1,MAX(0,Q484-G484),IF(L484=1,MAX(0,R484-G484),MAX(0,Assumptions!$C$6-G484))))</f>
        <v/>
      </c>
      <c r="AC484">
        <f>IF(Y484=1,Q484-F484,"")</f>
        <v/>
      </c>
      <c r="AD484">
        <f>IF(Y484=1,AC484^2,"")</f>
        <v/>
      </c>
      <c r="AE484" s="19">
        <f>IF(Z484=1,(H484-M484)*I484,0)</f>
        <v/>
      </c>
      <c r="AF484">
        <f>IF(G484&lt;EDATE(Assumptions!$C$6,-12)+1,"prior_12m","last_12m")</f>
        <v/>
      </c>
      <c r="AG484" s="21">
        <f>DATE(YEAR(G484),MONTH(G484),1)</f>
        <v/>
      </c>
    </row>
    <row r="485">
      <c r="A485" t="inlineStr">
        <is>
          <t>SPO-00267-1</t>
        </is>
      </c>
      <c r="B485" t="inlineStr">
        <is>
          <t>SPO-00267</t>
        </is>
      </c>
      <c r="C485" t="inlineStr">
        <is>
          <t>SUP-06</t>
        </is>
      </c>
      <c r="D485" t="inlineStr">
        <is>
          <t>MRO</t>
        </is>
      </c>
      <c r="E485" t="inlineStr">
        <is>
          <t>MRO-07</t>
        </is>
      </c>
      <c r="F485" s="17" t="n">
        <v>45639</v>
      </c>
      <c r="G485" s="17" t="n">
        <v>45647</v>
      </c>
      <c r="H485" s="18" t="n">
        <v>74</v>
      </c>
      <c r="I485" s="19" t="n">
        <v>14.46</v>
      </c>
      <c r="J485" s="19" t="n">
        <v>14</v>
      </c>
      <c r="K485" s="20" t="n">
        <v>0</v>
      </c>
      <c r="L485" s="20" t="n">
        <v>0</v>
      </c>
      <c r="M485" s="18" t="n">
        <v>74</v>
      </c>
      <c r="N485" s="18" t="n">
        <v>74</v>
      </c>
      <c r="O485" s="18" t="n">
        <v>0</v>
      </c>
      <c r="P485" s="17" t="n">
        <v>45643</v>
      </c>
      <c r="Q485" s="17" t="n">
        <v>45643</v>
      </c>
      <c r="R485" s="17" t="n">
        <v>45643</v>
      </c>
      <c r="S485" s="19">
        <f>H485*I485</f>
        <v/>
      </c>
      <c r="T485" s="19">
        <f>H485*J485</f>
        <v/>
      </c>
      <c r="U485">
        <f>IF(AND(K485=0,G485&lt;=Assumptions!$C$6),1,0)</f>
        <v/>
      </c>
      <c r="V485">
        <f>IF(U485=1,IF(M485&gt;0,IF(P485&lt;=G485+Assumptions!$C$7,1,0),0),0)</f>
        <v/>
      </c>
      <c r="W485">
        <f>IF(AND(U485=1,M485&gt;=H485*(1-Assumptions!$C$8)),1,0)</f>
        <v/>
      </c>
      <c r="X485">
        <f>IF(AND(U485=1,N485&gt;=H485*(1-Assumptions!$C$8)),1,0)</f>
        <v/>
      </c>
      <c r="Y485">
        <f>IF(ISNUMBER(Q485),1,0)</f>
        <v/>
      </c>
      <c r="Z485">
        <f>IF(AND(K485=0,L485=0,Y485=0),1,0)</f>
        <v/>
      </c>
      <c r="AA485">
        <f>IF(AND(Z485=1,G485&lt;Assumptions!$C$6),1,0)</f>
        <v/>
      </c>
      <c r="AB485">
        <f>IF(U485=0,"",IF(Y485=1,MAX(0,Q485-G485),IF(L485=1,MAX(0,R485-G485),MAX(0,Assumptions!$C$6-G485))))</f>
        <v/>
      </c>
      <c r="AC485">
        <f>IF(Y485=1,Q485-F485,"")</f>
        <v/>
      </c>
      <c r="AD485">
        <f>IF(Y485=1,AC485^2,"")</f>
        <v/>
      </c>
      <c r="AE485" s="19">
        <f>IF(Z485=1,(H485-M485)*I485,0)</f>
        <v/>
      </c>
      <c r="AF485">
        <f>IF(G485&lt;EDATE(Assumptions!$C$6,-12)+1,"prior_12m","last_12m")</f>
        <v/>
      </c>
      <c r="AG485" s="21">
        <f>DATE(YEAR(G485),MONTH(G485),1)</f>
        <v/>
      </c>
    </row>
    <row r="486">
      <c r="A486" t="inlineStr">
        <is>
          <t>SPO-00268-1</t>
        </is>
      </c>
      <c r="B486" t="inlineStr">
        <is>
          <t>SPO-00268</t>
        </is>
      </c>
      <c r="C486" t="inlineStr">
        <is>
          <t>SUP-12</t>
        </is>
      </c>
      <c r="D486" t="inlineStr">
        <is>
          <t>IT</t>
        </is>
      </c>
      <c r="E486" t="inlineStr">
        <is>
          <t>IT-02</t>
        </is>
      </c>
      <c r="F486" s="17" t="n">
        <v>45639</v>
      </c>
      <c r="G486" s="17" t="n">
        <v>45649</v>
      </c>
      <c r="H486" s="18" t="n">
        <v>8</v>
      </c>
      <c r="I486" s="19" t="n">
        <v>181.17</v>
      </c>
      <c r="J486" s="19" t="n">
        <v>162</v>
      </c>
      <c r="K486" s="20" t="n">
        <v>0</v>
      </c>
      <c r="L486" s="20" t="n">
        <v>0</v>
      </c>
      <c r="M486" s="18" t="n">
        <v>8</v>
      </c>
      <c r="N486" s="18" t="n">
        <v>8</v>
      </c>
      <c r="O486" s="18" t="n">
        <v>0</v>
      </c>
      <c r="P486" s="17" t="n">
        <v>45645</v>
      </c>
      <c r="Q486" s="17" t="n">
        <v>45645</v>
      </c>
      <c r="R486" s="17" t="n">
        <v>45645</v>
      </c>
      <c r="S486" s="19">
        <f>H486*I486</f>
        <v/>
      </c>
      <c r="T486" s="19">
        <f>H486*J486</f>
        <v/>
      </c>
      <c r="U486">
        <f>IF(AND(K486=0,G486&lt;=Assumptions!$C$6),1,0)</f>
        <v/>
      </c>
      <c r="V486">
        <f>IF(U486=1,IF(M486&gt;0,IF(P486&lt;=G486+Assumptions!$C$7,1,0),0),0)</f>
        <v/>
      </c>
      <c r="W486">
        <f>IF(AND(U486=1,M486&gt;=H486*(1-Assumptions!$C$8)),1,0)</f>
        <v/>
      </c>
      <c r="X486">
        <f>IF(AND(U486=1,N486&gt;=H486*(1-Assumptions!$C$8)),1,0)</f>
        <v/>
      </c>
      <c r="Y486">
        <f>IF(ISNUMBER(Q486),1,0)</f>
        <v/>
      </c>
      <c r="Z486">
        <f>IF(AND(K486=0,L486=0,Y486=0),1,0)</f>
        <v/>
      </c>
      <c r="AA486">
        <f>IF(AND(Z486=1,G486&lt;Assumptions!$C$6),1,0)</f>
        <v/>
      </c>
      <c r="AB486">
        <f>IF(U486=0,"",IF(Y486=1,MAX(0,Q486-G486),IF(L486=1,MAX(0,R486-G486),MAX(0,Assumptions!$C$6-G486))))</f>
        <v/>
      </c>
      <c r="AC486">
        <f>IF(Y486=1,Q486-F486,"")</f>
        <v/>
      </c>
      <c r="AD486">
        <f>IF(Y486=1,AC486^2,"")</f>
        <v/>
      </c>
      <c r="AE486" s="19">
        <f>IF(Z486=1,(H486-M486)*I486,0)</f>
        <v/>
      </c>
      <c r="AF486">
        <f>IF(G486&lt;EDATE(Assumptions!$C$6,-12)+1,"prior_12m","last_12m")</f>
        <v/>
      </c>
      <c r="AG486" s="21">
        <f>DATE(YEAR(G486),MONTH(G486),1)</f>
        <v/>
      </c>
    </row>
    <row r="487">
      <c r="A487" t="inlineStr">
        <is>
          <t>SPO-00268-2</t>
        </is>
      </c>
      <c r="B487" t="inlineStr">
        <is>
          <t>SPO-00268</t>
        </is>
      </c>
      <c r="C487" t="inlineStr">
        <is>
          <t>SUP-12</t>
        </is>
      </c>
      <c r="D487" t="inlineStr">
        <is>
          <t>IT</t>
        </is>
      </c>
      <c r="E487" t="inlineStr">
        <is>
          <t>IT-06</t>
        </is>
      </c>
      <c r="F487" s="17" t="n">
        <v>45639</v>
      </c>
      <c r="G487" s="17" t="n">
        <v>45649</v>
      </c>
      <c r="H487" s="18" t="n">
        <v>34</v>
      </c>
      <c r="I487" s="19" t="n">
        <v>97.08</v>
      </c>
      <c r="J487" s="19" t="n">
        <v>89</v>
      </c>
      <c r="K487" s="20" t="n">
        <v>0</v>
      </c>
      <c r="L487" s="20" t="n">
        <v>0</v>
      </c>
      <c r="M487" s="18" t="n">
        <v>34</v>
      </c>
      <c r="N487" s="18" t="n">
        <v>0</v>
      </c>
      <c r="O487" s="18" t="n">
        <v>0</v>
      </c>
      <c r="P487" s="17" t="n">
        <v>45650</v>
      </c>
      <c r="Q487" s="17" t="n">
        <v>45650</v>
      </c>
      <c r="R487" s="17" t="n">
        <v>45650</v>
      </c>
      <c r="S487" s="19">
        <f>H487*I487</f>
        <v/>
      </c>
      <c r="T487" s="19">
        <f>H487*J487</f>
        <v/>
      </c>
      <c r="U487">
        <f>IF(AND(K487=0,G487&lt;=Assumptions!$C$6),1,0)</f>
        <v/>
      </c>
      <c r="V487">
        <f>IF(U487=1,IF(M487&gt;0,IF(P487&lt;=G487+Assumptions!$C$7,1,0),0),0)</f>
        <v/>
      </c>
      <c r="W487">
        <f>IF(AND(U487=1,M487&gt;=H487*(1-Assumptions!$C$8)),1,0)</f>
        <v/>
      </c>
      <c r="X487">
        <f>IF(AND(U487=1,N487&gt;=H487*(1-Assumptions!$C$8)),1,0)</f>
        <v/>
      </c>
      <c r="Y487">
        <f>IF(ISNUMBER(Q487),1,0)</f>
        <v/>
      </c>
      <c r="Z487">
        <f>IF(AND(K487=0,L487=0,Y487=0),1,0)</f>
        <v/>
      </c>
      <c r="AA487">
        <f>IF(AND(Z487=1,G487&lt;Assumptions!$C$6),1,0)</f>
        <v/>
      </c>
      <c r="AB487">
        <f>IF(U487=0,"",IF(Y487=1,MAX(0,Q487-G487),IF(L487=1,MAX(0,R487-G487),MAX(0,Assumptions!$C$6-G487))))</f>
        <v/>
      </c>
      <c r="AC487">
        <f>IF(Y487=1,Q487-F487,"")</f>
        <v/>
      </c>
      <c r="AD487">
        <f>IF(Y487=1,AC487^2,"")</f>
        <v/>
      </c>
      <c r="AE487" s="19">
        <f>IF(Z487=1,(H487-M487)*I487,0)</f>
        <v/>
      </c>
      <c r="AF487">
        <f>IF(G487&lt;EDATE(Assumptions!$C$6,-12)+1,"prior_12m","last_12m")</f>
        <v/>
      </c>
      <c r="AG487" s="21">
        <f>DATE(YEAR(G487),MONTH(G487),1)</f>
        <v/>
      </c>
    </row>
    <row r="488">
      <c r="A488" t="inlineStr">
        <is>
          <t>SPO-00268-3</t>
        </is>
      </c>
      <c r="B488" t="inlineStr">
        <is>
          <t>SPO-00268</t>
        </is>
      </c>
      <c r="C488" t="inlineStr">
        <is>
          <t>SUP-12</t>
        </is>
      </c>
      <c r="D488" t="inlineStr">
        <is>
          <t>IT</t>
        </is>
      </c>
      <c r="E488" t="inlineStr">
        <is>
          <t>IT-08</t>
        </is>
      </c>
      <c r="F488" s="17" t="n">
        <v>45639</v>
      </c>
      <c r="G488" s="17" t="n">
        <v>45649</v>
      </c>
      <c r="H488" s="18" t="n">
        <v>9</v>
      </c>
      <c r="I488" s="19" t="n">
        <v>258.94</v>
      </c>
      <c r="J488" s="19" t="n">
        <v>245</v>
      </c>
      <c r="K488" s="20" t="n">
        <v>0</v>
      </c>
      <c r="L488" s="20" t="n">
        <v>0</v>
      </c>
      <c r="M488" s="18" t="n">
        <v>9</v>
      </c>
      <c r="N488" s="18" t="n">
        <v>9</v>
      </c>
      <c r="O488" s="18" t="n">
        <v>0</v>
      </c>
      <c r="P488" s="17" t="n">
        <v>45649</v>
      </c>
      <c r="Q488" s="17" t="n">
        <v>45649</v>
      </c>
      <c r="R488" s="17" t="n">
        <v>45649</v>
      </c>
      <c r="S488" s="19">
        <f>H488*I488</f>
        <v/>
      </c>
      <c r="T488" s="19">
        <f>H488*J488</f>
        <v/>
      </c>
      <c r="U488">
        <f>IF(AND(K488=0,G488&lt;=Assumptions!$C$6),1,0)</f>
        <v/>
      </c>
      <c r="V488">
        <f>IF(U488=1,IF(M488&gt;0,IF(P488&lt;=G488+Assumptions!$C$7,1,0),0),0)</f>
        <v/>
      </c>
      <c r="W488">
        <f>IF(AND(U488=1,M488&gt;=H488*(1-Assumptions!$C$8)),1,0)</f>
        <v/>
      </c>
      <c r="X488">
        <f>IF(AND(U488=1,N488&gt;=H488*(1-Assumptions!$C$8)),1,0)</f>
        <v/>
      </c>
      <c r="Y488">
        <f>IF(ISNUMBER(Q488),1,0)</f>
        <v/>
      </c>
      <c r="Z488">
        <f>IF(AND(K488=0,L488=0,Y488=0),1,0)</f>
        <v/>
      </c>
      <c r="AA488">
        <f>IF(AND(Z488=1,G488&lt;Assumptions!$C$6),1,0)</f>
        <v/>
      </c>
      <c r="AB488">
        <f>IF(U488=0,"",IF(Y488=1,MAX(0,Q488-G488),IF(L488=1,MAX(0,R488-G488),MAX(0,Assumptions!$C$6-G488))))</f>
        <v/>
      </c>
      <c r="AC488">
        <f>IF(Y488=1,Q488-F488,"")</f>
        <v/>
      </c>
      <c r="AD488">
        <f>IF(Y488=1,AC488^2,"")</f>
        <v/>
      </c>
      <c r="AE488" s="19">
        <f>IF(Z488=1,(H488-M488)*I488,0)</f>
        <v/>
      </c>
      <c r="AF488">
        <f>IF(G488&lt;EDATE(Assumptions!$C$6,-12)+1,"prior_12m","last_12m")</f>
        <v/>
      </c>
      <c r="AG488" s="21">
        <f>DATE(YEAR(G488),MONTH(G488),1)</f>
        <v/>
      </c>
    </row>
    <row r="489">
      <c r="A489" t="inlineStr">
        <is>
          <t>SPO-00269-1</t>
        </is>
      </c>
      <c r="B489" t="inlineStr">
        <is>
          <t>SPO-00269</t>
        </is>
      </c>
      <c r="C489" t="inlineStr">
        <is>
          <t>SUP-10</t>
        </is>
      </c>
      <c r="D489" t="inlineStr">
        <is>
          <t>PPE</t>
        </is>
      </c>
      <c r="E489" t="inlineStr">
        <is>
          <t>PPE-02</t>
        </is>
      </c>
      <c r="F489" s="17" t="n">
        <v>45639</v>
      </c>
      <c r="G489" s="17" t="n">
        <v>45652</v>
      </c>
      <c r="H489" s="18" t="n">
        <v>125</v>
      </c>
      <c r="I489" s="19" t="n">
        <v>11.98</v>
      </c>
      <c r="J489" s="19" t="n">
        <v>12.5</v>
      </c>
      <c r="K489" s="20" t="n">
        <v>0</v>
      </c>
      <c r="L489" s="20" t="n">
        <v>0</v>
      </c>
      <c r="M489" s="18" t="n">
        <v>125</v>
      </c>
      <c r="N489" s="18" t="n">
        <v>125</v>
      </c>
      <c r="O489" s="18" t="n">
        <v>11</v>
      </c>
      <c r="P489" s="17" t="n">
        <v>45652</v>
      </c>
      <c r="Q489" s="17" t="n">
        <v>45652</v>
      </c>
      <c r="R489" s="17" t="n">
        <v>45652</v>
      </c>
      <c r="S489" s="19">
        <f>H489*I489</f>
        <v/>
      </c>
      <c r="T489" s="19">
        <f>H489*J489</f>
        <v/>
      </c>
      <c r="U489">
        <f>IF(AND(K489=0,G489&lt;=Assumptions!$C$6),1,0)</f>
        <v/>
      </c>
      <c r="V489">
        <f>IF(U489=1,IF(M489&gt;0,IF(P489&lt;=G489+Assumptions!$C$7,1,0),0),0)</f>
        <v/>
      </c>
      <c r="W489">
        <f>IF(AND(U489=1,M489&gt;=H489*(1-Assumptions!$C$8)),1,0)</f>
        <v/>
      </c>
      <c r="X489">
        <f>IF(AND(U489=1,N489&gt;=H489*(1-Assumptions!$C$8)),1,0)</f>
        <v/>
      </c>
      <c r="Y489">
        <f>IF(ISNUMBER(Q489),1,0)</f>
        <v/>
      </c>
      <c r="Z489">
        <f>IF(AND(K489=0,L489=0,Y489=0),1,0)</f>
        <v/>
      </c>
      <c r="AA489">
        <f>IF(AND(Z489=1,G489&lt;Assumptions!$C$6),1,0)</f>
        <v/>
      </c>
      <c r="AB489">
        <f>IF(U489=0,"",IF(Y489=1,MAX(0,Q489-G489),IF(L489=1,MAX(0,R489-G489),MAX(0,Assumptions!$C$6-G489))))</f>
        <v/>
      </c>
      <c r="AC489">
        <f>IF(Y489=1,Q489-F489,"")</f>
        <v/>
      </c>
      <c r="AD489">
        <f>IF(Y489=1,AC489^2,"")</f>
        <v/>
      </c>
      <c r="AE489" s="19">
        <f>IF(Z489=1,(H489-M489)*I489,0)</f>
        <v/>
      </c>
      <c r="AF489">
        <f>IF(G489&lt;EDATE(Assumptions!$C$6,-12)+1,"prior_12m","last_12m")</f>
        <v/>
      </c>
      <c r="AG489" s="21">
        <f>DATE(YEAR(G489),MONTH(G489),1)</f>
        <v/>
      </c>
    </row>
    <row r="490">
      <c r="A490" t="inlineStr">
        <is>
          <t>SPO-00269-2</t>
        </is>
      </c>
      <c r="B490" t="inlineStr">
        <is>
          <t>SPO-00269</t>
        </is>
      </c>
      <c r="C490" t="inlineStr">
        <is>
          <t>SUP-10</t>
        </is>
      </c>
      <c r="D490" t="inlineStr">
        <is>
          <t>PPE</t>
        </is>
      </c>
      <c r="E490" t="inlineStr">
        <is>
          <t>PPE-08</t>
        </is>
      </c>
      <c r="F490" s="17" t="n">
        <v>45639</v>
      </c>
      <c r="G490" s="17" t="n">
        <v>45652</v>
      </c>
      <c r="H490" s="18" t="n">
        <v>86</v>
      </c>
      <c r="I490" s="19" t="n">
        <v>58.53</v>
      </c>
      <c r="J490" s="19" t="n">
        <v>64</v>
      </c>
      <c r="K490" s="20" t="n">
        <v>0</v>
      </c>
      <c r="L490" s="20" t="n">
        <v>0</v>
      </c>
      <c r="M490" s="18" t="n">
        <v>86</v>
      </c>
      <c r="N490" s="18" t="n">
        <v>86</v>
      </c>
      <c r="O490" s="18" t="n">
        <v>0</v>
      </c>
      <c r="P490" s="17" t="n">
        <v>45651</v>
      </c>
      <c r="Q490" s="17" t="n">
        <v>45651</v>
      </c>
      <c r="R490" s="17" t="n">
        <v>45651</v>
      </c>
      <c r="S490" s="19">
        <f>H490*I490</f>
        <v/>
      </c>
      <c r="T490" s="19">
        <f>H490*J490</f>
        <v/>
      </c>
      <c r="U490">
        <f>IF(AND(K490=0,G490&lt;=Assumptions!$C$6),1,0)</f>
        <v/>
      </c>
      <c r="V490">
        <f>IF(U490=1,IF(M490&gt;0,IF(P490&lt;=G490+Assumptions!$C$7,1,0),0),0)</f>
        <v/>
      </c>
      <c r="W490">
        <f>IF(AND(U490=1,M490&gt;=H490*(1-Assumptions!$C$8)),1,0)</f>
        <v/>
      </c>
      <c r="X490">
        <f>IF(AND(U490=1,N490&gt;=H490*(1-Assumptions!$C$8)),1,0)</f>
        <v/>
      </c>
      <c r="Y490">
        <f>IF(ISNUMBER(Q490),1,0)</f>
        <v/>
      </c>
      <c r="Z490">
        <f>IF(AND(K490=0,L490=0,Y490=0),1,0)</f>
        <v/>
      </c>
      <c r="AA490">
        <f>IF(AND(Z490=1,G490&lt;Assumptions!$C$6),1,0)</f>
        <v/>
      </c>
      <c r="AB490">
        <f>IF(U490=0,"",IF(Y490=1,MAX(0,Q490-G490),IF(L490=1,MAX(0,R490-G490),MAX(0,Assumptions!$C$6-G490))))</f>
        <v/>
      </c>
      <c r="AC490">
        <f>IF(Y490=1,Q490-F490,"")</f>
        <v/>
      </c>
      <c r="AD490">
        <f>IF(Y490=1,AC490^2,"")</f>
        <v/>
      </c>
      <c r="AE490" s="19">
        <f>IF(Z490=1,(H490-M490)*I490,0)</f>
        <v/>
      </c>
      <c r="AF490">
        <f>IF(G490&lt;EDATE(Assumptions!$C$6,-12)+1,"prior_12m","last_12m")</f>
        <v/>
      </c>
      <c r="AG490" s="21">
        <f>DATE(YEAR(G490),MONTH(G490),1)</f>
        <v/>
      </c>
    </row>
    <row r="491">
      <c r="A491" t="inlineStr">
        <is>
          <t>SPO-00269-3</t>
        </is>
      </c>
      <c r="B491" t="inlineStr">
        <is>
          <t>SPO-00269</t>
        </is>
      </c>
      <c r="C491" t="inlineStr">
        <is>
          <t>SUP-10</t>
        </is>
      </c>
      <c r="D491" t="inlineStr">
        <is>
          <t>PPE</t>
        </is>
      </c>
      <c r="E491" t="inlineStr">
        <is>
          <t>PPE-03</t>
        </is>
      </c>
      <c r="F491" s="17" t="n">
        <v>45639</v>
      </c>
      <c r="G491" s="17" t="n">
        <v>45652</v>
      </c>
      <c r="H491" s="18" t="n">
        <v>73</v>
      </c>
      <c r="I491" s="19" t="n">
        <v>19.52</v>
      </c>
      <c r="J491" s="19" t="n">
        <v>21</v>
      </c>
      <c r="K491" s="20" t="n">
        <v>0</v>
      </c>
      <c r="L491" s="20" t="n">
        <v>0</v>
      </c>
      <c r="M491" s="18" t="n">
        <v>73</v>
      </c>
      <c r="N491" s="18" t="n">
        <v>73</v>
      </c>
      <c r="O491" s="18" t="n">
        <v>0</v>
      </c>
      <c r="P491" s="17" t="n">
        <v>45647</v>
      </c>
      <c r="Q491" s="17" t="n">
        <v>45647</v>
      </c>
      <c r="R491" s="17" t="n">
        <v>45647</v>
      </c>
      <c r="S491" s="19">
        <f>H491*I491</f>
        <v/>
      </c>
      <c r="T491" s="19">
        <f>H491*J491</f>
        <v/>
      </c>
      <c r="U491">
        <f>IF(AND(K491=0,G491&lt;=Assumptions!$C$6),1,0)</f>
        <v/>
      </c>
      <c r="V491">
        <f>IF(U491=1,IF(M491&gt;0,IF(P491&lt;=G491+Assumptions!$C$7,1,0),0),0)</f>
        <v/>
      </c>
      <c r="W491">
        <f>IF(AND(U491=1,M491&gt;=H491*(1-Assumptions!$C$8)),1,0)</f>
        <v/>
      </c>
      <c r="X491">
        <f>IF(AND(U491=1,N491&gt;=H491*(1-Assumptions!$C$8)),1,0)</f>
        <v/>
      </c>
      <c r="Y491">
        <f>IF(ISNUMBER(Q491),1,0)</f>
        <v/>
      </c>
      <c r="Z491">
        <f>IF(AND(K491=0,L491=0,Y491=0),1,0)</f>
        <v/>
      </c>
      <c r="AA491">
        <f>IF(AND(Z491=1,G491&lt;Assumptions!$C$6),1,0)</f>
        <v/>
      </c>
      <c r="AB491">
        <f>IF(U491=0,"",IF(Y491=1,MAX(0,Q491-G491),IF(L491=1,MAX(0,R491-G491),MAX(0,Assumptions!$C$6-G491))))</f>
        <v/>
      </c>
      <c r="AC491">
        <f>IF(Y491=1,Q491-F491,"")</f>
        <v/>
      </c>
      <c r="AD491">
        <f>IF(Y491=1,AC491^2,"")</f>
        <v/>
      </c>
      <c r="AE491" s="19">
        <f>IF(Z491=1,(H491-M491)*I491,0)</f>
        <v/>
      </c>
      <c r="AF491">
        <f>IF(G491&lt;EDATE(Assumptions!$C$6,-12)+1,"prior_12m","last_12m")</f>
        <v/>
      </c>
      <c r="AG491" s="21">
        <f>DATE(YEAR(G491),MONTH(G491),1)</f>
        <v/>
      </c>
    </row>
    <row r="492">
      <c r="A492" t="inlineStr">
        <is>
          <t>SPO-00270-1</t>
        </is>
      </c>
      <c r="B492" t="inlineStr">
        <is>
          <t>SPO-00270</t>
        </is>
      </c>
      <c r="C492" t="inlineStr">
        <is>
          <t>SUP-11</t>
        </is>
      </c>
      <c r="D492" t="inlineStr">
        <is>
          <t>PPE</t>
        </is>
      </c>
      <c r="E492" t="inlineStr">
        <is>
          <t>PPE-06</t>
        </is>
      </c>
      <c r="F492" s="17" t="n">
        <v>45640</v>
      </c>
      <c r="G492" s="17" t="n">
        <v>45652</v>
      </c>
      <c r="H492" s="18" t="n">
        <v>5</v>
      </c>
      <c r="I492" s="19" t="n">
        <v>114.19</v>
      </c>
      <c r="J492" s="19" t="n">
        <v>115</v>
      </c>
      <c r="K492" s="20" t="n">
        <v>0</v>
      </c>
      <c r="L492" s="20" t="n">
        <v>0</v>
      </c>
      <c r="M492" s="18" t="n">
        <v>5</v>
      </c>
      <c r="N492" s="18" t="n">
        <v>5</v>
      </c>
      <c r="O492" s="18" t="n">
        <v>0</v>
      </c>
      <c r="P492" s="17" t="n">
        <v>45650</v>
      </c>
      <c r="Q492" s="17" t="n">
        <v>45650</v>
      </c>
      <c r="R492" s="17" t="n">
        <v>45650</v>
      </c>
      <c r="S492" s="19">
        <f>H492*I492</f>
        <v/>
      </c>
      <c r="T492" s="19">
        <f>H492*J492</f>
        <v/>
      </c>
      <c r="U492">
        <f>IF(AND(K492=0,G492&lt;=Assumptions!$C$6),1,0)</f>
        <v/>
      </c>
      <c r="V492">
        <f>IF(U492=1,IF(M492&gt;0,IF(P492&lt;=G492+Assumptions!$C$7,1,0),0),0)</f>
        <v/>
      </c>
      <c r="W492">
        <f>IF(AND(U492=1,M492&gt;=H492*(1-Assumptions!$C$8)),1,0)</f>
        <v/>
      </c>
      <c r="X492">
        <f>IF(AND(U492=1,N492&gt;=H492*(1-Assumptions!$C$8)),1,0)</f>
        <v/>
      </c>
      <c r="Y492">
        <f>IF(ISNUMBER(Q492),1,0)</f>
        <v/>
      </c>
      <c r="Z492">
        <f>IF(AND(K492=0,L492=0,Y492=0),1,0)</f>
        <v/>
      </c>
      <c r="AA492">
        <f>IF(AND(Z492=1,G492&lt;Assumptions!$C$6),1,0)</f>
        <v/>
      </c>
      <c r="AB492">
        <f>IF(U492=0,"",IF(Y492=1,MAX(0,Q492-G492),IF(L492=1,MAX(0,R492-G492),MAX(0,Assumptions!$C$6-G492))))</f>
        <v/>
      </c>
      <c r="AC492">
        <f>IF(Y492=1,Q492-F492,"")</f>
        <v/>
      </c>
      <c r="AD492">
        <f>IF(Y492=1,AC492^2,"")</f>
        <v/>
      </c>
      <c r="AE492" s="19">
        <f>IF(Z492=1,(H492-M492)*I492,0)</f>
        <v/>
      </c>
      <c r="AF492">
        <f>IF(G492&lt;EDATE(Assumptions!$C$6,-12)+1,"prior_12m","last_12m")</f>
        <v/>
      </c>
      <c r="AG492" s="21">
        <f>DATE(YEAR(G492),MONTH(G492),1)</f>
        <v/>
      </c>
    </row>
    <row r="493">
      <c r="A493" t="inlineStr">
        <is>
          <t>SPO-00270-2</t>
        </is>
      </c>
      <c r="B493" t="inlineStr">
        <is>
          <t>SPO-00270</t>
        </is>
      </c>
      <c r="C493" t="inlineStr">
        <is>
          <t>SUP-11</t>
        </is>
      </c>
      <c r="D493" t="inlineStr">
        <is>
          <t>PPE</t>
        </is>
      </c>
      <c r="E493" t="inlineStr">
        <is>
          <t>PPE-04</t>
        </is>
      </c>
      <c r="F493" s="17" t="n">
        <v>45640</v>
      </c>
      <c r="G493" s="17" t="n">
        <v>45652</v>
      </c>
      <c r="H493" s="18" t="n">
        <v>46</v>
      </c>
      <c r="I493" s="19" t="n">
        <v>25.67</v>
      </c>
      <c r="J493" s="19" t="n">
        <v>26</v>
      </c>
      <c r="K493" s="20" t="n">
        <v>0</v>
      </c>
      <c r="L493" s="20" t="n">
        <v>0</v>
      </c>
      <c r="M493" s="18" t="n">
        <v>46</v>
      </c>
      <c r="N493" s="18" t="n">
        <v>46</v>
      </c>
      <c r="O493" s="18" t="n">
        <v>0</v>
      </c>
      <c r="P493" s="17" t="n">
        <v>45650</v>
      </c>
      <c r="Q493" s="17" t="n">
        <v>45650</v>
      </c>
      <c r="R493" s="17" t="n">
        <v>45650</v>
      </c>
      <c r="S493" s="19">
        <f>H493*I493</f>
        <v/>
      </c>
      <c r="T493" s="19">
        <f>H493*J493</f>
        <v/>
      </c>
      <c r="U493">
        <f>IF(AND(K493=0,G493&lt;=Assumptions!$C$6),1,0)</f>
        <v/>
      </c>
      <c r="V493">
        <f>IF(U493=1,IF(M493&gt;0,IF(P493&lt;=G493+Assumptions!$C$7,1,0),0),0)</f>
        <v/>
      </c>
      <c r="W493">
        <f>IF(AND(U493=1,M493&gt;=H493*(1-Assumptions!$C$8)),1,0)</f>
        <v/>
      </c>
      <c r="X493">
        <f>IF(AND(U493=1,N493&gt;=H493*(1-Assumptions!$C$8)),1,0)</f>
        <v/>
      </c>
      <c r="Y493">
        <f>IF(ISNUMBER(Q493),1,0)</f>
        <v/>
      </c>
      <c r="Z493">
        <f>IF(AND(K493=0,L493=0,Y493=0),1,0)</f>
        <v/>
      </c>
      <c r="AA493">
        <f>IF(AND(Z493=1,G493&lt;Assumptions!$C$6),1,0)</f>
        <v/>
      </c>
      <c r="AB493">
        <f>IF(U493=0,"",IF(Y493=1,MAX(0,Q493-G493),IF(L493=1,MAX(0,R493-G493),MAX(0,Assumptions!$C$6-G493))))</f>
        <v/>
      </c>
      <c r="AC493">
        <f>IF(Y493=1,Q493-F493,"")</f>
        <v/>
      </c>
      <c r="AD493">
        <f>IF(Y493=1,AC493^2,"")</f>
        <v/>
      </c>
      <c r="AE493" s="19">
        <f>IF(Z493=1,(H493-M493)*I493,0)</f>
        <v/>
      </c>
      <c r="AF493">
        <f>IF(G493&lt;EDATE(Assumptions!$C$6,-12)+1,"prior_12m","last_12m")</f>
        <v/>
      </c>
      <c r="AG493" s="21">
        <f>DATE(YEAR(G493),MONTH(G493),1)</f>
        <v/>
      </c>
    </row>
    <row r="494">
      <c r="A494" t="inlineStr">
        <is>
          <t>SPO-00271-1</t>
        </is>
      </c>
      <c r="B494" t="inlineStr">
        <is>
          <t>SPO-00271</t>
        </is>
      </c>
      <c r="C494" t="inlineStr">
        <is>
          <t>SUP-06</t>
        </is>
      </c>
      <c r="D494" t="inlineStr">
        <is>
          <t>MRO</t>
        </is>
      </c>
      <c r="E494" t="inlineStr">
        <is>
          <t>MRO-07</t>
        </is>
      </c>
      <c r="F494" s="17" t="n">
        <v>45640</v>
      </c>
      <c r="G494" s="17" t="n">
        <v>45648</v>
      </c>
      <c r="H494" s="18" t="n">
        <v>103</v>
      </c>
      <c r="I494" s="19" t="n">
        <v>14.32</v>
      </c>
      <c r="J494" s="19" t="n">
        <v>14</v>
      </c>
      <c r="K494" s="20" t="n">
        <v>0</v>
      </c>
      <c r="L494" s="20" t="n">
        <v>0</v>
      </c>
      <c r="M494" s="18" t="n">
        <v>103</v>
      </c>
      <c r="N494" s="18" t="n">
        <v>103</v>
      </c>
      <c r="O494" s="18" t="n">
        <v>0</v>
      </c>
      <c r="P494" s="17" t="n">
        <v>45646</v>
      </c>
      <c r="Q494" s="17" t="n">
        <v>45646</v>
      </c>
      <c r="R494" s="17" t="n">
        <v>45646</v>
      </c>
      <c r="S494" s="19">
        <f>H494*I494</f>
        <v/>
      </c>
      <c r="T494" s="19">
        <f>H494*J494</f>
        <v/>
      </c>
      <c r="U494">
        <f>IF(AND(K494=0,G494&lt;=Assumptions!$C$6),1,0)</f>
        <v/>
      </c>
      <c r="V494">
        <f>IF(U494=1,IF(M494&gt;0,IF(P494&lt;=G494+Assumptions!$C$7,1,0),0),0)</f>
        <v/>
      </c>
      <c r="W494">
        <f>IF(AND(U494=1,M494&gt;=H494*(1-Assumptions!$C$8)),1,0)</f>
        <v/>
      </c>
      <c r="X494">
        <f>IF(AND(U494=1,N494&gt;=H494*(1-Assumptions!$C$8)),1,0)</f>
        <v/>
      </c>
      <c r="Y494">
        <f>IF(ISNUMBER(Q494),1,0)</f>
        <v/>
      </c>
      <c r="Z494">
        <f>IF(AND(K494=0,L494=0,Y494=0),1,0)</f>
        <v/>
      </c>
      <c r="AA494">
        <f>IF(AND(Z494=1,G494&lt;Assumptions!$C$6),1,0)</f>
        <v/>
      </c>
      <c r="AB494">
        <f>IF(U494=0,"",IF(Y494=1,MAX(0,Q494-G494),IF(L494=1,MAX(0,R494-G494),MAX(0,Assumptions!$C$6-G494))))</f>
        <v/>
      </c>
      <c r="AC494">
        <f>IF(Y494=1,Q494-F494,"")</f>
        <v/>
      </c>
      <c r="AD494">
        <f>IF(Y494=1,AC494^2,"")</f>
        <v/>
      </c>
      <c r="AE494" s="19">
        <f>IF(Z494=1,(H494-M494)*I494,0)</f>
        <v/>
      </c>
      <c r="AF494">
        <f>IF(G494&lt;EDATE(Assumptions!$C$6,-12)+1,"prior_12m","last_12m")</f>
        <v/>
      </c>
      <c r="AG494" s="21">
        <f>DATE(YEAR(G494),MONTH(G494),1)</f>
        <v/>
      </c>
    </row>
    <row r="495">
      <c r="A495" t="inlineStr">
        <is>
          <t>SPO-00271-2</t>
        </is>
      </c>
      <c r="B495" t="inlineStr">
        <is>
          <t>SPO-00271</t>
        </is>
      </c>
      <c r="C495" t="inlineStr">
        <is>
          <t>SUP-06</t>
        </is>
      </c>
      <c r="D495" t="inlineStr">
        <is>
          <t>MRO</t>
        </is>
      </c>
      <c r="E495" t="inlineStr">
        <is>
          <t>MRO-03</t>
        </is>
      </c>
      <c r="F495" s="17" t="n">
        <v>45640</v>
      </c>
      <c r="G495" s="17" t="n">
        <v>45648</v>
      </c>
      <c r="H495" s="18" t="n">
        <v>72</v>
      </c>
      <c r="I495" s="19" t="n">
        <v>8.9</v>
      </c>
      <c r="J495" s="19" t="n">
        <v>8.9</v>
      </c>
      <c r="K495" s="20" t="n">
        <v>0</v>
      </c>
      <c r="L495" s="20" t="n">
        <v>0</v>
      </c>
      <c r="M495" s="18" t="n">
        <v>72</v>
      </c>
      <c r="N495" s="18" t="n">
        <v>72</v>
      </c>
      <c r="O495" s="18" t="n">
        <v>0</v>
      </c>
      <c r="P495" s="17" t="n">
        <v>45647</v>
      </c>
      <c r="Q495" s="17" t="n">
        <v>45647</v>
      </c>
      <c r="R495" s="17" t="n">
        <v>45647</v>
      </c>
      <c r="S495" s="19">
        <f>H495*I495</f>
        <v/>
      </c>
      <c r="T495" s="19">
        <f>H495*J495</f>
        <v/>
      </c>
      <c r="U495">
        <f>IF(AND(K495=0,G495&lt;=Assumptions!$C$6),1,0)</f>
        <v/>
      </c>
      <c r="V495">
        <f>IF(U495=1,IF(M495&gt;0,IF(P495&lt;=G495+Assumptions!$C$7,1,0),0),0)</f>
        <v/>
      </c>
      <c r="W495">
        <f>IF(AND(U495=1,M495&gt;=H495*(1-Assumptions!$C$8)),1,0)</f>
        <v/>
      </c>
      <c r="X495">
        <f>IF(AND(U495=1,N495&gt;=H495*(1-Assumptions!$C$8)),1,0)</f>
        <v/>
      </c>
      <c r="Y495">
        <f>IF(ISNUMBER(Q495),1,0)</f>
        <v/>
      </c>
      <c r="Z495">
        <f>IF(AND(K495=0,L495=0,Y495=0),1,0)</f>
        <v/>
      </c>
      <c r="AA495">
        <f>IF(AND(Z495=1,G495&lt;Assumptions!$C$6),1,0)</f>
        <v/>
      </c>
      <c r="AB495">
        <f>IF(U495=0,"",IF(Y495=1,MAX(0,Q495-G495),IF(L495=1,MAX(0,R495-G495),MAX(0,Assumptions!$C$6-G495))))</f>
        <v/>
      </c>
      <c r="AC495">
        <f>IF(Y495=1,Q495-F495,"")</f>
        <v/>
      </c>
      <c r="AD495">
        <f>IF(Y495=1,AC495^2,"")</f>
        <v/>
      </c>
      <c r="AE495" s="19">
        <f>IF(Z495=1,(H495-M495)*I495,0)</f>
        <v/>
      </c>
      <c r="AF495">
        <f>IF(G495&lt;EDATE(Assumptions!$C$6,-12)+1,"prior_12m","last_12m")</f>
        <v/>
      </c>
      <c r="AG495" s="21">
        <f>DATE(YEAR(G495),MONTH(G495),1)</f>
        <v/>
      </c>
    </row>
    <row r="496">
      <c r="A496" t="inlineStr">
        <is>
          <t>SPO-00272-1</t>
        </is>
      </c>
      <c r="B496" t="inlineStr">
        <is>
          <t>SPO-00272</t>
        </is>
      </c>
      <c r="C496" t="inlineStr">
        <is>
          <t>SUP-08</t>
        </is>
      </c>
      <c r="D496" t="inlineStr">
        <is>
          <t>PPE</t>
        </is>
      </c>
      <c r="E496" t="inlineStr">
        <is>
          <t>PPE-02</t>
        </is>
      </c>
      <c r="F496" s="17" t="n">
        <v>45641</v>
      </c>
      <c r="G496" s="17" t="n">
        <v>45652</v>
      </c>
      <c r="H496" s="18" t="n">
        <v>88</v>
      </c>
      <c r="I496" s="19" t="n">
        <v>12.13</v>
      </c>
      <c r="J496" s="19" t="n">
        <v>12.5</v>
      </c>
      <c r="K496" s="20" t="n">
        <v>0</v>
      </c>
      <c r="L496" s="20" t="n">
        <v>0</v>
      </c>
      <c r="M496" s="18" t="n">
        <v>88</v>
      </c>
      <c r="N496" s="18" t="n">
        <v>51</v>
      </c>
      <c r="O496" s="18" t="n">
        <v>0</v>
      </c>
      <c r="P496" s="17" t="n">
        <v>45648</v>
      </c>
      <c r="Q496" s="17" t="n">
        <v>45660</v>
      </c>
      <c r="R496" s="17" t="n">
        <v>45660</v>
      </c>
      <c r="S496" s="19">
        <f>H496*I496</f>
        <v/>
      </c>
      <c r="T496" s="19">
        <f>H496*J496</f>
        <v/>
      </c>
      <c r="U496">
        <f>IF(AND(K496=0,G496&lt;=Assumptions!$C$6),1,0)</f>
        <v/>
      </c>
      <c r="V496">
        <f>IF(U496=1,IF(M496&gt;0,IF(P496&lt;=G496+Assumptions!$C$7,1,0),0),0)</f>
        <v/>
      </c>
      <c r="W496">
        <f>IF(AND(U496=1,M496&gt;=H496*(1-Assumptions!$C$8)),1,0)</f>
        <v/>
      </c>
      <c r="X496">
        <f>IF(AND(U496=1,N496&gt;=H496*(1-Assumptions!$C$8)),1,0)</f>
        <v/>
      </c>
      <c r="Y496">
        <f>IF(ISNUMBER(Q496),1,0)</f>
        <v/>
      </c>
      <c r="Z496">
        <f>IF(AND(K496=0,L496=0,Y496=0),1,0)</f>
        <v/>
      </c>
      <c r="AA496">
        <f>IF(AND(Z496=1,G496&lt;Assumptions!$C$6),1,0)</f>
        <v/>
      </c>
      <c r="AB496">
        <f>IF(U496=0,"",IF(Y496=1,MAX(0,Q496-G496),IF(L496=1,MAX(0,R496-G496),MAX(0,Assumptions!$C$6-G496))))</f>
        <v/>
      </c>
      <c r="AC496">
        <f>IF(Y496=1,Q496-F496,"")</f>
        <v/>
      </c>
      <c r="AD496">
        <f>IF(Y496=1,AC496^2,"")</f>
        <v/>
      </c>
      <c r="AE496" s="19">
        <f>IF(Z496=1,(H496-M496)*I496,0)</f>
        <v/>
      </c>
      <c r="AF496">
        <f>IF(G496&lt;EDATE(Assumptions!$C$6,-12)+1,"prior_12m","last_12m")</f>
        <v/>
      </c>
      <c r="AG496" s="21">
        <f>DATE(YEAR(G496),MONTH(G496),1)</f>
        <v/>
      </c>
    </row>
    <row r="497">
      <c r="A497" t="inlineStr">
        <is>
          <t>SPO-00272-2</t>
        </is>
      </c>
      <c r="B497" t="inlineStr">
        <is>
          <t>SPO-00272</t>
        </is>
      </c>
      <c r="C497" t="inlineStr">
        <is>
          <t>SUP-08</t>
        </is>
      </c>
      <c r="D497" t="inlineStr">
        <is>
          <t>PPE</t>
        </is>
      </c>
      <c r="E497" t="inlineStr">
        <is>
          <t>PPE-08</t>
        </is>
      </c>
      <c r="F497" s="17" t="n">
        <v>45641</v>
      </c>
      <c r="G497" s="17" t="n">
        <v>45652</v>
      </c>
      <c r="H497" s="18" t="n">
        <v>26</v>
      </c>
      <c r="I497" s="19" t="n">
        <v>63.26</v>
      </c>
      <c r="J497" s="19" t="n">
        <v>64</v>
      </c>
      <c r="K497" s="20" t="n">
        <v>0</v>
      </c>
      <c r="L497" s="20" t="n">
        <v>0</v>
      </c>
      <c r="M497" s="18" t="n">
        <v>26</v>
      </c>
      <c r="N497" s="18" t="n">
        <v>26</v>
      </c>
      <c r="O497" s="18" t="n">
        <v>0</v>
      </c>
      <c r="P497" s="17" t="n">
        <v>45651</v>
      </c>
      <c r="Q497" s="17" t="n">
        <v>45651</v>
      </c>
      <c r="R497" s="17" t="n">
        <v>45651</v>
      </c>
      <c r="S497" s="19">
        <f>H497*I497</f>
        <v/>
      </c>
      <c r="T497" s="19">
        <f>H497*J497</f>
        <v/>
      </c>
      <c r="U497">
        <f>IF(AND(K497=0,G497&lt;=Assumptions!$C$6),1,0)</f>
        <v/>
      </c>
      <c r="V497">
        <f>IF(U497=1,IF(M497&gt;0,IF(P497&lt;=G497+Assumptions!$C$7,1,0),0),0)</f>
        <v/>
      </c>
      <c r="W497">
        <f>IF(AND(U497=1,M497&gt;=H497*(1-Assumptions!$C$8)),1,0)</f>
        <v/>
      </c>
      <c r="X497">
        <f>IF(AND(U497=1,N497&gt;=H497*(1-Assumptions!$C$8)),1,0)</f>
        <v/>
      </c>
      <c r="Y497">
        <f>IF(ISNUMBER(Q497),1,0)</f>
        <v/>
      </c>
      <c r="Z497">
        <f>IF(AND(K497=0,L497=0,Y497=0),1,0)</f>
        <v/>
      </c>
      <c r="AA497">
        <f>IF(AND(Z497=1,G497&lt;Assumptions!$C$6),1,0)</f>
        <v/>
      </c>
      <c r="AB497">
        <f>IF(U497=0,"",IF(Y497=1,MAX(0,Q497-G497),IF(L497=1,MAX(0,R497-G497),MAX(0,Assumptions!$C$6-G497))))</f>
        <v/>
      </c>
      <c r="AC497">
        <f>IF(Y497=1,Q497-F497,"")</f>
        <v/>
      </c>
      <c r="AD497">
        <f>IF(Y497=1,AC497^2,"")</f>
        <v/>
      </c>
      <c r="AE497" s="19">
        <f>IF(Z497=1,(H497-M497)*I497,0)</f>
        <v/>
      </c>
      <c r="AF497">
        <f>IF(G497&lt;EDATE(Assumptions!$C$6,-12)+1,"prior_12m","last_12m")</f>
        <v/>
      </c>
      <c r="AG497" s="21">
        <f>DATE(YEAR(G497),MONTH(G497),1)</f>
        <v/>
      </c>
    </row>
    <row r="498">
      <c r="A498" t="inlineStr">
        <is>
          <t>SPO-00273-1</t>
        </is>
      </c>
      <c r="B498" t="inlineStr">
        <is>
          <t>SPO-00273</t>
        </is>
      </c>
      <c r="C498" t="inlineStr">
        <is>
          <t>SUP-06</t>
        </is>
      </c>
      <c r="D498" t="inlineStr">
        <is>
          <t>MRO</t>
        </is>
      </c>
      <c r="E498" t="inlineStr">
        <is>
          <t>MRO-04</t>
        </is>
      </c>
      <c r="F498" s="17" t="n">
        <v>45641</v>
      </c>
      <c r="G498" s="17" t="n">
        <v>45649</v>
      </c>
      <c r="H498" s="18" t="n">
        <v>71</v>
      </c>
      <c r="I498" s="19" t="n">
        <v>57.45</v>
      </c>
      <c r="J498" s="19" t="n">
        <v>58</v>
      </c>
      <c r="K498" s="20" t="n">
        <v>0</v>
      </c>
      <c r="L498" s="20" t="n">
        <v>0</v>
      </c>
      <c r="M498" s="18" t="n">
        <v>71</v>
      </c>
      <c r="N498" s="18" t="n">
        <v>71</v>
      </c>
      <c r="O498" s="18" t="n">
        <v>0</v>
      </c>
      <c r="P498" s="17" t="n">
        <v>45647</v>
      </c>
      <c r="Q498" s="17" t="n">
        <v>45647</v>
      </c>
      <c r="R498" s="17" t="n">
        <v>45647</v>
      </c>
      <c r="S498" s="19">
        <f>H498*I498</f>
        <v/>
      </c>
      <c r="T498" s="19">
        <f>H498*J498</f>
        <v/>
      </c>
      <c r="U498">
        <f>IF(AND(K498=0,G498&lt;=Assumptions!$C$6),1,0)</f>
        <v/>
      </c>
      <c r="V498">
        <f>IF(U498=1,IF(M498&gt;0,IF(P498&lt;=G498+Assumptions!$C$7,1,0),0),0)</f>
        <v/>
      </c>
      <c r="W498">
        <f>IF(AND(U498=1,M498&gt;=H498*(1-Assumptions!$C$8)),1,0)</f>
        <v/>
      </c>
      <c r="X498">
        <f>IF(AND(U498=1,N498&gt;=H498*(1-Assumptions!$C$8)),1,0)</f>
        <v/>
      </c>
      <c r="Y498">
        <f>IF(ISNUMBER(Q498),1,0)</f>
        <v/>
      </c>
      <c r="Z498">
        <f>IF(AND(K498=0,L498=0,Y498=0),1,0)</f>
        <v/>
      </c>
      <c r="AA498">
        <f>IF(AND(Z498=1,G498&lt;Assumptions!$C$6),1,0)</f>
        <v/>
      </c>
      <c r="AB498">
        <f>IF(U498=0,"",IF(Y498=1,MAX(0,Q498-G498),IF(L498=1,MAX(0,R498-G498),MAX(0,Assumptions!$C$6-G498))))</f>
        <v/>
      </c>
      <c r="AC498">
        <f>IF(Y498=1,Q498-F498,"")</f>
        <v/>
      </c>
      <c r="AD498">
        <f>IF(Y498=1,AC498^2,"")</f>
        <v/>
      </c>
      <c r="AE498" s="19">
        <f>IF(Z498=1,(H498-M498)*I498,0)</f>
        <v/>
      </c>
      <c r="AF498">
        <f>IF(G498&lt;EDATE(Assumptions!$C$6,-12)+1,"prior_12m","last_12m")</f>
        <v/>
      </c>
      <c r="AG498" s="21">
        <f>DATE(YEAR(G498),MONTH(G498),1)</f>
        <v/>
      </c>
    </row>
    <row r="499">
      <c r="A499" t="inlineStr">
        <is>
          <t>SPO-00274-1</t>
        </is>
      </c>
      <c r="B499" t="inlineStr">
        <is>
          <t>SPO-00274</t>
        </is>
      </c>
      <c r="C499" t="inlineStr">
        <is>
          <t>SUP-10</t>
        </is>
      </c>
      <c r="D499" t="inlineStr">
        <is>
          <t>PPE</t>
        </is>
      </c>
      <c r="E499" t="inlineStr">
        <is>
          <t>PPE-06</t>
        </is>
      </c>
      <c r="F499" s="17" t="n">
        <v>45642</v>
      </c>
      <c r="G499" s="17" t="n">
        <v>45655</v>
      </c>
      <c r="H499" s="18" t="n">
        <v>8</v>
      </c>
      <c r="I499" s="19" t="n">
        <v>110.05</v>
      </c>
      <c r="J499" s="19" t="n">
        <v>115</v>
      </c>
      <c r="K499" s="20" t="n">
        <v>0</v>
      </c>
      <c r="L499" s="20" t="n">
        <v>0</v>
      </c>
      <c r="M499" s="18" t="n">
        <v>8</v>
      </c>
      <c r="N499" s="18" t="n">
        <v>8</v>
      </c>
      <c r="O499" s="18" t="n">
        <v>0</v>
      </c>
      <c r="P499" s="17" t="n">
        <v>45651</v>
      </c>
      <c r="Q499" s="17" t="n">
        <v>45651</v>
      </c>
      <c r="R499" s="17" t="n">
        <v>45651</v>
      </c>
      <c r="S499" s="19">
        <f>H499*I499</f>
        <v/>
      </c>
      <c r="T499" s="19">
        <f>H499*J499</f>
        <v/>
      </c>
      <c r="U499">
        <f>IF(AND(K499=0,G499&lt;=Assumptions!$C$6),1,0)</f>
        <v/>
      </c>
      <c r="V499">
        <f>IF(U499=1,IF(M499&gt;0,IF(P499&lt;=G499+Assumptions!$C$7,1,0),0),0)</f>
        <v/>
      </c>
      <c r="W499">
        <f>IF(AND(U499=1,M499&gt;=H499*(1-Assumptions!$C$8)),1,0)</f>
        <v/>
      </c>
      <c r="X499">
        <f>IF(AND(U499=1,N499&gt;=H499*(1-Assumptions!$C$8)),1,0)</f>
        <v/>
      </c>
      <c r="Y499">
        <f>IF(ISNUMBER(Q499),1,0)</f>
        <v/>
      </c>
      <c r="Z499">
        <f>IF(AND(K499=0,L499=0,Y499=0),1,0)</f>
        <v/>
      </c>
      <c r="AA499">
        <f>IF(AND(Z499=1,G499&lt;Assumptions!$C$6),1,0)</f>
        <v/>
      </c>
      <c r="AB499">
        <f>IF(U499=0,"",IF(Y499=1,MAX(0,Q499-G499),IF(L499=1,MAX(0,R499-G499),MAX(0,Assumptions!$C$6-G499))))</f>
        <v/>
      </c>
      <c r="AC499">
        <f>IF(Y499=1,Q499-F499,"")</f>
        <v/>
      </c>
      <c r="AD499">
        <f>IF(Y499=1,AC499^2,"")</f>
        <v/>
      </c>
      <c r="AE499" s="19">
        <f>IF(Z499=1,(H499-M499)*I499,0)</f>
        <v/>
      </c>
      <c r="AF499">
        <f>IF(G499&lt;EDATE(Assumptions!$C$6,-12)+1,"prior_12m","last_12m")</f>
        <v/>
      </c>
      <c r="AG499" s="21">
        <f>DATE(YEAR(G499),MONTH(G499),1)</f>
        <v/>
      </c>
    </row>
    <row r="500">
      <c r="A500" t="inlineStr">
        <is>
          <t>SPO-00274-2</t>
        </is>
      </c>
      <c r="B500" t="inlineStr">
        <is>
          <t>SPO-00274</t>
        </is>
      </c>
      <c r="C500" t="inlineStr">
        <is>
          <t>SUP-10</t>
        </is>
      </c>
      <c r="D500" t="inlineStr">
        <is>
          <t>PPE</t>
        </is>
      </c>
      <c r="E500" t="inlineStr">
        <is>
          <t>PPE-07</t>
        </is>
      </c>
      <c r="F500" s="17" t="n">
        <v>45642</v>
      </c>
      <c r="G500" s="17" t="n">
        <v>45655</v>
      </c>
      <c r="H500" s="18" t="n">
        <v>101</v>
      </c>
      <c r="I500" s="19" t="n">
        <v>29.81</v>
      </c>
      <c r="J500" s="19" t="n">
        <v>31</v>
      </c>
      <c r="K500" s="20" t="n">
        <v>0</v>
      </c>
      <c r="L500" s="20" t="n">
        <v>0</v>
      </c>
      <c r="M500" s="18" t="n">
        <v>101</v>
      </c>
      <c r="N500" s="18" t="n">
        <v>101</v>
      </c>
      <c r="O500" s="18" t="n">
        <v>0</v>
      </c>
      <c r="P500" s="17" t="n">
        <v>45652</v>
      </c>
      <c r="Q500" s="17" t="n">
        <v>45652</v>
      </c>
      <c r="R500" s="17" t="n">
        <v>45652</v>
      </c>
      <c r="S500" s="19">
        <f>H500*I500</f>
        <v/>
      </c>
      <c r="T500" s="19">
        <f>H500*J500</f>
        <v/>
      </c>
      <c r="U500">
        <f>IF(AND(K500=0,G500&lt;=Assumptions!$C$6),1,0)</f>
        <v/>
      </c>
      <c r="V500">
        <f>IF(U500=1,IF(M500&gt;0,IF(P500&lt;=G500+Assumptions!$C$7,1,0),0),0)</f>
        <v/>
      </c>
      <c r="W500">
        <f>IF(AND(U500=1,M500&gt;=H500*(1-Assumptions!$C$8)),1,0)</f>
        <v/>
      </c>
      <c r="X500">
        <f>IF(AND(U500=1,N500&gt;=H500*(1-Assumptions!$C$8)),1,0)</f>
        <v/>
      </c>
      <c r="Y500">
        <f>IF(ISNUMBER(Q500),1,0)</f>
        <v/>
      </c>
      <c r="Z500">
        <f>IF(AND(K500=0,L500=0,Y500=0),1,0)</f>
        <v/>
      </c>
      <c r="AA500">
        <f>IF(AND(Z500=1,G500&lt;Assumptions!$C$6),1,0)</f>
        <v/>
      </c>
      <c r="AB500">
        <f>IF(U500=0,"",IF(Y500=1,MAX(0,Q500-G500),IF(L500=1,MAX(0,R500-G500),MAX(0,Assumptions!$C$6-G500))))</f>
        <v/>
      </c>
      <c r="AC500">
        <f>IF(Y500=1,Q500-F500,"")</f>
        <v/>
      </c>
      <c r="AD500">
        <f>IF(Y500=1,AC500^2,"")</f>
        <v/>
      </c>
      <c r="AE500" s="19">
        <f>IF(Z500=1,(H500-M500)*I500,0)</f>
        <v/>
      </c>
      <c r="AF500">
        <f>IF(G500&lt;EDATE(Assumptions!$C$6,-12)+1,"prior_12m","last_12m")</f>
        <v/>
      </c>
      <c r="AG500" s="21">
        <f>DATE(YEAR(G500),MONTH(G500),1)</f>
        <v/>
      </c>
    </row>
    <row r="501">
      <c r="A501" t="inlineStr">
        <is>
          <t>SPO-00274-3</t>
        </is>
      </c>
      <c r="B501" t="inlineStr">
        <is>
          <t>SPO-00274</t>
        </is>
      </c>
      <c r="C501" t="inlineStr">
        <is>
          <t>SUP-10</t>
        </is>
      </c>
      <c r="D501" t="inlineStr">
        <is>
          <t>PPE</t>
        </is>
      </c>
      <c r="E501" t="inlineStr">
        <is>
          <t>PPE-04</t>
        </is>
      </c>
      <c r="F501" s="17" t="n">
        <v>45642</v>
      </c>
      <c r="G501" s="17" t="n">
        <v>45655</v>
      </c>
      <c r="H501" s="18" t="n">
        <v>28</v>
      </c>
      <c r="I501" s="19" t="n">
        <v>25.44</v>
      </c>
      <c r="J501" s="19" t="n">
        <v>26</v>
      </c>
      <c r="K501" s="20" t="n">
        <v>0</v>
      </c>
      <c r="L501" s="20" t="n">
        <v>0</v>
      </c>
      <c r="M501" s="18" t="n">
        <v>28</v>
      </c>
      <c r="N501" s="18" t="n">
        <v>28</v>
      </c>
      <c r="O501" s="18" t="n">
        <v>0</v>
      </c>
      <c r="P501" s="17" t="n">
        <v>45653</v>
      </c>
      <c r="Q501" s="17" t="n">
        <v>45653</v>
      </c>
      <c r="R501" s="17" t="n">
        <v>45653</v>
      </c>
      <c r="S501" s="19">
        <f>H501*I501</f>
        <v/>
      </c>
      <c r="T501" s="19">
        <f>H501*J501</f>
        <v/>
      </c>
      <c r="U501">
        <f>IF(AND(K501=0,G501&lt;=Assumptions!$C$6),1,0)</f>
        <v/>
      </c>
      <c r="V501">
        <f>IF(U501=1,IF(M501&gt;0,IF(P501&lt;=G501+Assumptions!$C$7,1,0),0),0)</f>
        <v/>
      </c>
      <c r="W501">
        <f>IF(AND(U501=1,M501&gt;=H501*(1-Assumptions!$C$8)),1,0)</f>
        <v/>
      </c>
      <c r="X501">
        <f>IF(AND(U501=1,N501&gt;=H501*(1-Assumptions!$C$8)),1,0)</f>
        <v/>
      </c>
      <c r="Y501">
        <f>IF(ISNUMBER(Q501),1,0)</f>
        <v/>
      </c>
      <c r="Z501">
        <f>IF(AND(K501=0,L501=0,Y501=0),1,0)</f>
        <v/>
      </c>
      <c r="AA501">
        <f>IF(AND(Z501=1,G501&lt;Assumptions!$C$6),1,0)</f>
        <v/>
      </c>
      <c r="AB501">
        <f>IF(U501=0,"",IF(Y501=1,MAX(0,Q501-G501),IF(L501=1,MAX(0,R501-G501),MAX(0,Assumptions!$C$6-G501))))</f>
        <v/>
      </c>
      <c r="AC501">
        <f>IF(Y501=1,Q501-F501,"")</f>
        <v/>
      </c>
      <c r="AD501">
        <f>IF(Y501=1,AC501^2,"")</f>
        <v/>
      </c>
      <c r="AE501" s="19">
        <f>IF(Z501=1,(H501-M501)*I501,0)</f>
        <v/>
      </c>
      <c r="AF501">
        <f>IF(G501&lt;EDATE(Assumptions!$C$6,-12)+1,"prior_12m","last_12m")</f>
        <v/>
      </c>
      <c r="AG501" s="21">
        <f>DATE(YEAR(G501),MONTH(G501),1)</f>
        <v/>
      </c>
    </row>
    <row r="502">
      <c r="A502" t="inlineStr">
        <is>
          <t>SPO-00275-1</t>
        </is>
      </c>
      <c r="B502" t="inlineStr">
        <is>
          <t>SPO-00275</t>
        </is>
      </c>
      <c r="C502" t="inlineStr">
        <is>
          <t>SUP-01</t>
        </is>
      </c>
      <c r="D502" t="inlineStr">
        <is>
          <t>ELEC</t>
        </is>
      </c>
      <c r="E502" t="inlineStr">
        <is>
          <t>ELEC-01</t>
        </is>
      </c>
      <c r="F502" s="17" t="n">
        <v>45643</v>
      </c>
      <c r="G502" s="17" t="n">
        <v>45661</v>
      </c>
      <c r="H502" s="18" t="n">
        <v>141</v>
      </c>
      <c r="I502" s="19" t="n">
        <v>36.77</v>
      </c>
      <c r="J502" s="19" t="n">
        <v>38</v>
      </c>
      <c r="K502" s="20" t="n">
        <v>0</v>
      </c>
      <c r="L502" s="20" t="n">
        <v>0</v>
      </c>
      <c r="M502" s="18" t="n">
        <v>141</v>
      </c>
      <c r="N502" s="18" t="n">
        <v>141</v>
      </c>
      <c r="O502" s="18" t="n">
        <v>0</v>
      </c>
      <c r="P502" s="17" t="n">
        <v>45654</v>
      </c>
      <c r="Q502" s="17" t="n">
        <v>45654</v>
      </c>
      <c r="R502" s="17" t="n">
        <v>45654</v>
      </c>
      <c r="S502" s="19">
        <f>H502*I502</f>
        <v/>
      </c>
      <c r="T502" s="19">
        <f>H502*J502</f>
        <v/>
      </c>
      <c r="U502">
        <f>IF(AND(K502=0,G502&lt;=Assumptions!$C$6),1,0)</f>
        <v/>
      </c>
      <c r="V502">
        <f>IF(U502=1,IF(M502&gt;0,IF(P502&lt;=G502+Assumptions!$C$7,1,0),0),0)</f>
        <v/>
      </c>
      <c r="W502">
        <f>IF(AND(U502=1,M502&gt;=H502*(1-Assumptions!$C$8)),1,0)</f>
        <v/>
      </c>
      <c r="X502">
        <f>IF(AND(U502=1,N502&gt;=H502*(1-Assumptions!$C$8)),1,0)</f>
        <v/>
      </c>
      <c r="Y502">
        <f>IF(ISNUMBER(Q502),1,0)</f>
        <v/>
      </c>
      <c r="Z502">
        <f>IF(AND(K502=0,L502=0,Y502=0),1,0)</f>
        <v/>
      </c>
      <c r="AA502">
        <f>IF(AND(Z502=1,G502&lt;Assumptions!$C$6),1,0)</f>
        <v/>
      </c>
      <c r="AB502">
        <f>IF(U502=0,"",IF(Y502=1,MAX(0,Q502-G502),IF(L502=1,MAX(0,R502-G502),MAX(0,Assumptions!$C$6-G502))))</f>
        <v/>
      </c>
      <c r="AC502">
        <f>IF(Y502=1,Q502-F502,"")</f>
        <v/>
      </c>
      <c r="AD502">
        <f>IF(Y502=1,AC502^2,"")</f>
        <v/>
      </c>
      <c r="AE502" s="19">
        <f>IF(Z502=1,(H502-M502)*I502,0)</f>
        <v/>
      </c>
      <c r="AF502">
        <f>IF(G502&lt;EDATE(Assumptions!$C$6,-12)+1,"prior_12m","last_12m")</f>
        <v/>
      </c>
      <c r="AG502" s="21">
        <f>DATE(YEAR(G502),MONTH(G502),1)</f>
        <v/>
      </c>
    </row>
    <row r="503">
      <c r="A503" t="inlineStr">
        <is>
          <t>SPO-00275-2</t>
        </is>
      </c>
      <c r="B503" t="inlineStr">
        <is>
          <t>SPO-00275</t>
        </is>
      </c>
      <c r="C503" t="inlineStr">
        <is>
          <t>SUP-01</t>
        </is>
      </c>
      <c r="D503" t="inlineStr">
        <is>
          <t>ELEC</t>
        </is>
      </c>
      <c r="E503" t="inlineStr">
        <is>
          <t>ELEC-03</t>
        </is>
      </c>
      <c r="F503" s="17" t="n">
        <v>45643</v>
      </c>
      <c r="G503" s="17" t="n">
        <v>45661</v>
      </c>
      <c r="H503" s="18" t="n">
        <v>29</v>
      </c>
      <c r="I503" s="19" t="n">
        <v>94.64</v>
      </c>
      <c r="J503" s="19" t="n">
        <v>96</v>
      </c>
      <c r="K503" s="20" t="n">
        <v>0</v>
      </c>
      <c r="L503" s="20" t="n">
        <v>0</v>
      </c>
      <c r="M503" s="18" t="n">
        <v>29</v>
      </c>
      <c r="N503" s="18" t="n">
        <v>29</v>
      </c>
      <c r="O503" s="18" t="n">
        <v>0</v>
      </c>
      <c r="P503" s="17" t="n">
        <v>45658</v>
      </c>
      <c r="Q503" s="17" t="n">
        <v>45658</v>
      </c>
      <c r="R503" s="17" t="n">
        <v>45658</v>
      </c>
      <c r="S503" s="19">
        <f>H503*I503</f>
        <v/>
      </c>
      <c r="T503" s="19">
        <f>H503*J503</f>
        <v/>
      </c>
      <c r="U503">
        <f>IF(AND(K503=0,G503&lt;=Assumptions!$C$6),1,0)</f>
        <v/>
      </c>
      <c r="V503">
        <f>IF(U503=1,IF(M503&gt;0,IF(P503&lt;=G503+Assumptions!$C$7,1,0),0),0)</f>
        <v/>
      </c>
      <c r="W503">
        <f>IF(AND(U503=1,M503&gt;=H503*(1-Assumptions!$C$8)),1,0)</f>
        <v/>
      </c>
      <c r="X503">
        <f>IF(AND(U503=1,N503&gt;=H503*(1-Assumptions!$C$8)),1,0)</f>
        <v/>
      </c>
      <c r="Y503">
        <f>IF(ISNUMBER(Q503),1,0)</f>
        <v/>
      </c>
      <c r="Z503">
        <f>IF(AND(K503=0,L503=0,Y503=0),1,0)</f>
        <v/>
      </c>
      <c r="AA503">
        <f>IF(AND(Z503=1,G503&lt;Assumptions!$C$6),1,0)</f>
        <v/>
      </c>
      <c r="AB503">
        <f>IF(U503=0,"",IF(Y503=1,MAX(0,Q503-G503),IF(L503=1,MAX(0,R503-G503),MAX(0,Assumptions!$C$6-G503))))</f>
        <v/>
      </c>
      <c r="AC503">
        <f>IF(Y503=1,Q503-F503,"")</f>
        <v/>
      </c>
      <c r="AD503">
        <f>IF(Y503=1,AC503^2,"")</f>
        <v/>
      </c>
      <c r="AE503" s="19">
        <f>IF(Z503=1,(H503-M503)*I503,0)</f>
        <v/>
      </c>
      <c r="AF503">
        <f>IF(G503&lt;EDATE(Assumptions!$C$6,-12)+1,"prior_12m","last_12m")</f>
        <v/>
      </c>
      <c r="AG503" s="21">
        <f>DATE(YEAR(G503),MONTH(G503),1)</f>
        <v/>
      </c>
    </row>
    <row r="504">
      <c r="A504" t="inlineStr">
        <is>
          <t>SPO-00276-1</t>
        </is>
      </c>
      <c r="B504" t="inlineStr">
        <is>
          <t>SPO-00276</t>
        </is>
      </c>
      <c r="C504" t="inlineStr">
        <is>
          <t>SUP-05</t>
        </is>
      </c>
      <c r="D504" t="inlineStr">
        <is>
          <t>FLEET</t>
        </is>
      </c>
      <c r="E504" t="inlineStr">
        <is>
          <t>FLEET-01</t>
        </is>
      </c>
      <c r="F504" s="17" t="n">
        <v>45644</v>
      </c>
      <c r="G504" s="17" t="n">
        <v>45658</v>
      </c>
      <c r="H504" s="18" t="n">
        <v>33</v>
      </c>
      <c r="I504" s="19" t="n">
        <v>70</v>
      </c>
      <c r="J504" s="19" t="n">
        <v>64</v>
      </c>
      <c r="K504" s="20" t="n">
        <v>0</v>
      </c>
      <c r="L504" s="20" t="n">
        <v>0</v>
      </c>
      <c r="M504" s="18" t="n">
        <v>33</v>
      </c>
      <c r="N504" s="18" t="n">
        <v>33</v>
      </c>
      <c r="O504" s="18" t="n">
        <v>0</v>
      </c>
      <c r="P504" s="17" t="n">
        <v>45655</v>
      </c>
      <c r="Q504" s="17" t="n">
        <v>45655</v>
      </c>
      <c r="R504" s="17" t="n">
        <v>45655</v>
      </c>
      <c r="S504" s="19">
        <f>H504*I504</f>
        <v/>
      </c>
      <c r="T504" s="19">
        <f>H504*J504</f>
        <v/>
      </c>
      <c r="U504">
        <f>IF(AND(K504=0,G504&lt;=Assumptions!$C$6),1,0)</f>
        <v/>
      </c>
      <c r="V504">
        <f>IF(U504=1,IF(M504&gt;0,IF(P504&lt;=G504+Assumptions!$C$7,1,0),0),0)</f>
        <v/>
      </c>
      <c r="W504">
        <f>IF(AND(U504=1,M504&gt;=H504*(1-Assumptions!$C$8)),1,0)</f>
        <v/>
      </c>
      <c r="X504">
        <f>IF(AND(U504=1,N504&gt;=H504*(1-Assumptions!$C$8)),1,0)</f>
        <v/>
      </c>
      <c r="Y504">
        <f>IF(ISNUMBER(Q504),1,0)</f>
        <v/>
      </c>
      <c r="Z504">
        <f>IF(AND(K504=0,L504=0,Y504=0),1,0)</f>
        <v/>
      </c>
      <c r="AA504">
        <f>IF(AND(Z504=1,G504&lt;Assumptions!$C$6),1,0)</f>
        <v/>
      </c>
      <c r="AB504">
        <f>IF(U504=0,"",IF(Y504=1,MAX(0,Q504-G504),IF(L504=1,MAX(0,R504-G504),MAX(0,Assumptions!$C$6-G504))))</f>
        <v/>
      </c>
      <c r="AC504">
        <f>IF(Y504=1,Q504-F504,"")</f>
        <v/>
      </c>
      <c r="AD504">
        <f>IF(Y504=1,AC504^2,"")</f>
        <v/>
      </c>
      <c r="AE504" s="19">
        <f>IF(Z504=1,(H504-M504)*I504,0)</f>
        <v/>
      </c>
      <c r="AF504">
        <f>IF(G504&lt;EDATE(Assumptions!$C$6,-12)+1,"prior_12m","last_12m")</f>
        <v/>
      </c>
      <c r="AG504" s="21">
        <f>DATE(YEAR(G504),MONTH(G504),1)</f>
        <v/>
      </c>
    </row>
    <row r="505">
      <c r="A505" t="inlineStr">
        <is>
          <t>SPO-00276-2</t>
        </is>
      </c>
      <c r="B505" t="inlineStr">
        <is>
          <t>SPO-00276</t>
        </is>
      </c>
      <c r="C505" t="inlineStr">
        <is>
          <t>SUP-05</t>
        </is>
      </c>
      <c r="D505" t="inlineStr">
        <is>
          <t>FLEET</t>
        </is>
      </c>
      <c r="E505" t="inlineStr">
        <is>
          <t>FLEET-07</t>
        </is>
      </c>
      <c r="F505" s="17" t="n">
        <v>45644</v>
      </c>
      <c r="G505" s="17" t="n">
        <v>45658</v>
      </c>
      <c r="H505" s="18" t="n">
        <v>17</v>
      </c>
      <c r="I505" s="19" t="n">
        <v>121.39</v>
      </c>
      <c r="J505" s="19" t="n">
        <v>118</v>
      </c>
      <c r="K505" s="20" t="n">
        <v>0</v>
      </c>
      <c r="L505" s="20" t="n">
        <v>0</v>
      </c>
      <c r="M505" s="18" t="n">
        <v>17</v>
      </c>
      <c r="N505" s="18" t="n">
        <v>17</v>
      </c>
      <c r="O505" s="18" t="n">
        <v>0</v>
      </c>
      <c r="P505" s="17" t="n">
        <v>45657</v>
      </c>
      <c r="Q505" s="17" t="n">
        <v>45657</v>
      </c>
      <c r="R505" s="17" t="n">
        <v>45657</v>
      </c>
      <c r="S505" s="19">
        <f>H505*I505</f>
        <v/>
      </c>
      <c r="T505" s="19">
        <f>H505*J505</f>
        <v/>
      </c>
      <c r="U505">
        <f>IF(AND(K505=0,G505&lt;=Assumptions!$C$6),1,0)</f>
        <v/>
      </c>
      <c r="V505">
        <f>IF(U505=1,IF(M505&gt;0,IF(P505&lt;=G505+Assumptions!$C$7,1,0),0),0)</f>
        <v/>
      </c>
      <c r="W505">
        <f>IF(AND(U505=1,M505&gt;=H505*(1-Assumptions!$C$8)),1,0)</f>
        <v/>
      </c>
      <c r="X505">
        <f>IF(AND(U505=1,N505&gt;=H505*(1-Assumptions!$C$8)),1,0)</f>
        <v/>
      </c>
      <c r="Y505">
        <f>IF(ISNUMBER(Q505),1,0)</f>
        <v/>
      </c>
      <c r="Z505">
        <f>IF(AND(K505=0,L505=0,Y505=0),1,0)</f>
        <v/>
      </c>
      <c r="AA505">
        <f>IF(AND(Z505=1,G505&lt;Assumptions!$C$6),1,0)</f>
        <v/>
      </c>
      <c r="AB505">
        <f>IF(U505=0,"",IF(Y505=1,MAX(0,Q505-G505),IF(L505=1,MAX(0,R505-G505),MAX(0,Assumptions!$C$6-G505))))</f>
        <v/>
      </c>
      <c r="AC505">
        <f>IF(Y505=1,Q505-F505,"")</f>
        <v/>
      </c>
      <c r="AD505">
        <f>IF(Y505=1,AC505^2,"")</f>
        <v/>
      </c>
      <c r="AE505" s="19">
        <f>IF(Z505=1,(H505-M505)*I505,0)</f>
        <v/>
      </c>
      <c r="AF505">
        <f>IF(G505&lt;EDATE(Assumptions!$C$6,-12)+1,"prior_12m","last_12m")</f>
        <v/>
      </c>
      <c r="AG505" s="21">
        <f>DATE(YEAR(G505),MONTH(G505),1)</f>
        <v/>
      </c>
    </row>
    <row r="506">
      <c r="A506" t="inlineStr">
        <is>
          <t>SPO-00277-1</t>
        </is>
      </c>
      <c r="B506" t="inlineStr">
        <is>
          <t>SPO-00277</t>
        </is>
      </c>
      <c r="C506" t="inlineStr">
        <is>
          <t>SUP-02</t>
        </is>
      </c>
      <c r="D506" t="inlineStr">
        <is>
          <t>ELEC</t>
        </is>
      </c>
      <c r="E506" t="inlineStr">
        <is>
          <t>ELEC-01</t>
        </is>
      </c>
      <c r="F506" s="17" t="n">
        <v>45644</v>
      </c>
      <c r="G506" s="17" t="n">
        <v>45660</v>
      </c>
      <c r="H506" s="18" t="n">
        <v>42</v>
      </c>
      <c r="I506" s="19" t="n">
        <v>40.6</v>
      </c>
      <c r="J506" s="19" t="n">
        <v>38</v>
      </c>
      <c r="K506" s="20" t="n">
        <v>0</v>
      </c>
      <c r="L506" s="20" t="n">
        <v>0</v>
      </c>
      <c r="M506" s="18" t="n">
        <v>42</v>
      </c>
      <c r="N506" s="18" t="n">
        <v>42</v>
      </c>
      <c r="O506" s="18" t="n">
        <v>0</v>
      </c>
      <c r="P506" s="17" t="n">
        <v>45658</v>
      </c>
      <c r="Q506" s="17" t="n">
        <v>45658</v>
      </c>
      <c r="R506" s="17" t="n">
        <v>45658</v>
      </c>
      <c r="S506" s="19">
        <f>H506*I506</f>
        <v/>
      </c>
      <c r="T506" s="19">
        <f>H506*J506</f>
        <v/>
      </c>
      <c r="U506">
        <f>IF(AND(K506=0,G506&lt;=Assumptions!$C$6),1,0)</f>
        <v/>
      </c>
      <c r="V506">
        <f>IF(U506=1,IF(M506&gt;0,IF(P506&lt;=G506+Assumptions!$C$7,1,0),0),0)</f>
        <v/>
      </c>
      <c r="W506">
        <f>IF(AND(U506=1,M506&gt;=H506*(1-Assumptions!$C$8)),1,0)</f>
        <v/>
      </c>
      <c r="X506">
        <f>IF(AND(U506=1,N506&gt;=H506*(1-Assumptions!$C$8)),1,0)</f>
        <v/>
      </c>
      <c r="Y506">
        <f>IF(ISNUMBER(Q506),1,0)</f>
        <v/>
      </c>
      <c r="Z506">
        <f>IF(AND(K506=0,L506=0,Y506=0),1,0)</f>
        <v/>
      </c>
      <c r="AA506">
        <f>IF(AND(Z506=1,G506&lt;Assumptions!$C$6),1,0)</f>
        <v/>
      </c>
      <c r="AB506">
        <f>IF(U506=0,"",IF(Y506=1,MAX(0,Q506-G506),IF(L506=1,MAX(0,R506-G506),MAX(0,Assumptions!$C$6-G506))))</f>
        <v/>
      </c>
      <c r="AC506">
        <f>IF(Y506=1,Q506-F506,"")</f>
        <v/>
      </c>
      <c r="AD506">
        <f>IF(Y506=1,AC506^2,"")</f>
        <v/>
      </c>
      <c r="AE506" s="19">
        <f>IF(Z506=1,(H506-M506)*I506,0)</f>
        <v/>
      </c>
      <c r="AF506">
        <f>IF(G506&lt;EDATE(Assumptions!$C$6,-12)+1,"prior_12m","last_12m")</f>
        <v/>
      </c>
      <c r="AG506" s="21">
        <f>DATE(YEAR(G506),MONTH(G506),1)</f>
        <v/>
      </c>
    </row>
    <row r="507">
      <c r="A507" t="inlineStr">
        <is>
          <t>SPO-00278-1</t>
        </is>
      </c>
      <c r="B507" t="inlineStr">
        <is>
          <t>SPO-00278</t>
        </is>
      </c>
      <c r="C507" t="inlineStr">
        <is>
          <t>SUP-03</t>
        </is>
      </c>
      <c r="D507" t="inlineStr">
        <is>
          <t>ELEC</t>
        </is>
      </c>
      <c r="E507" t="inlineStr">
        <is>
          <t>ELEC-08</t>
        </is>
      </c>
      <c r="F507" s="17" t="n">
        <v>45644</v>
      </c>
      <c r="G507" s="17" t="n">
        <v>45661</v>
      </c>
      <c r="H507" s="18" t="n">
        <v>107</v>
      </c>
      <c r="I507" s="19" t="n">
        <v>16.86</v>
      </c>
      <c r="J507" s="19" t="n">
        <v>18</v>
      </c>
      <c r="K507" s="20" t="n">
        <v>0</v>
      </c>
      <c r="L507" s="20" t="n">
        <v>0</v>
      </c>
      <c r="M507" s="18" t="n">
        <v>107</v>
      </c>
      <c r="N507" s="18" t="n">
        <v>107</v>
      </c>
      <c r="O507" s="18" t="n">
        <v>0</v>
      </c>
      <c r="P507" s="17" t="n">
        <v>45660</v>
      </c>
      <c r="Q507" s="17" t="n">
        <v>45660</v>
      </c>
      <c r="R507" s="17" t="n">
        <v>45660</v>
      </c>
      <c r="S507" s="19">
        <f>H507*I507</f>
        <v/>
      </c>
      <c r="T507" s="19">
        <f>H507*J507</f>
        <v/>
      </c>
      <c r="U507">
        <f>IF(AND(K507=0,G507&lt;=Assumptions!$C$6),1,0)</f>
        <v/>
      </c>
      <c r="V507">
        <f>IF(U507=1,IF(M507&gt;0,IF(P507&lt;=G507+Assumptions!$C$7,1,0),0),0)</f>
        <v/>
      </c>
      <c r="W507">
        <f>IF(AND(U507=1,M507&gt;=H507*(1-Assumptions!$C$8)),1,0)</f>
        <v/>
      </c>
      <c r="X507">
        <f>IF(AND(U507=1,N507&gt;=H507*(1-Assumptions!$C$8)),1,0)</f>
        <v/>
      </c>
      <c r="Y507">
        <f>IF(ISNUMBER(Q507),1,0)</f>
        <v/>
      </c>
      <c r="Z507">
        <f>IF(AND(K507=0,L507=0,Y507=0),1,0)</f>
        <v/>
      </c>
      <c r="AA507">
        <f>IF(AND(Z507=1,G507&lt;Assumptions!$C$6),1,0)</f>
        <v/>
      </c>
      <c r="AB507">
        <f>IF(U507=0,"",IF(Y507=1,MAX(0,Q507-G507),IF(L507=1,MAX(0,R507-G507),MAX(0,Assumptions!$C$6-G507))))</f>
        <v/>
      </c>
      <c r="AC507">
        <f>IF(Y507=1,Q507-F507,"")</f>
        <v/>
      </c>
      <c r="AD507">
        <f>IF(Y507=1,AC507^2,"")</f>
        <v/>
      </c>
      <c r="AE507" s="19">
        <f>IF(Z507=1,(H507-M507)*I507,0)</f>
        <v/>
      </c>
      <c r="AF507">
        <f>IF(G507&lt;EDATE(Assumptions!$C$6,-12)+1,"prior_12m","last_12m")</f>
        <v/>
      </c>
      <c r="AG507" s="21">
        <f>DATE(YEAR(G507),MONTH(G507),1)</f>
        <v/>
      </c>
    </row>
    <row r="508">
      <c r="A508" t="inlineStr">
        <is>
          <t>SPO-00279-1</t>
        </is>
      </c>
      <c r="B508" t="inlineStr">
        <is>
          <t>SPO-00279</t>
        </is>
      </c>
      <c r="C508" t="inlineStr">
        <is>
          <t>SUP-05</t>
        </is>
      </c>
      <c r="D508" t="inlineStr">
        <is>
          <t>FLEET</t>
        </is>
      </c>
      <c r="E508" t="inlineStr">
        <is>
          <t>FLEET-03</t>
        </is>
      </c>
      <c r="F508" s="17" t="n">
        <v>45644</v>
      </c>
      <c r="G508" s="17" t="n">
        <v>45658</v>
      </c>
      <c r="H508" s="18" t="n">
        <v>29</v>
      </c>
      <c r="I508" s="19" t="n">
        <v>21.71</v>
      </c>
      <c r="J508" s="19" t="n">
        <v>21</v>
      </c>
      <c r="K508" s="20" t="n">
        <v>0</v>
      </c>
      <c r="L508" s="20" t="n">
        <v>0</v>
      </c>
      <c r="M508" s="18" t="n">
        <v>29</v>
      </c>
      <c r="N508" s="18" t="n">
        <v>29</v>
      </c>
      <c r="O508" s="18" t="n">
        <v>0</v>
      </c>
      <c r="P508" s="17" t="n">
        <v>45653</v>
      </c>
      <c r="Q508" s="17" t="n">
        <v>45653</v>
      </c>
      <c r="R508" s="17" t="n">
        <v>45653</v>
      </c>
      <c r="S508" s="19">
        <f>H508*I508</f>
        <v/>
      </c>
      <c r="T508" s="19">
        <f>H508*J508</f>
        <v/>
      </c>
      <c r="U508">
        <f>IF(AND(K508=0,G508&lt;=Assumptions!$C$6),1,0)</f>
        <v/>
      </c>
      <c r="V508">
        <f>IF(U508=1,IF(M508&gt;0,IF(P508&lt;=G508+Assumptions!$C$7,1,0),0),0)</f>
        <v/>
      </c>
      <c r="W508">
        <f>IF(AND(U508=1,M508&gt;=H508*(1-Assumptions!$C$8)),1,0)</f>
        <v/>
      </c>
      <c r="X508">
        <f>IF(AND(U508=1,N508&gt;=H508*(1-Assumptions!$C$8)),1,0)</f>
        <v/>
      </c>
      <c r="Y508">
        <f>IF(ISNUMBER(Q508),1,0)</f>
        <v/>
      </c>
      <c r="Z508">
        <f>IF(AND(K508=0,L508=0,Y508=0),1,0)</f>
        <v/>
      </c>
      <c r="AA508">
        <f>IF(AND(Z508=1,G508&lt;Assumptions!$C$6),1,0)</f>
        <v/>
      </c>
      <c r="AB508">
        <f>IF(U508=0,"",IF(Y508=1,MAX(0,Q508-G508),IF(L508=1,MAX(0,R508-G508),MAX(0,Assumptions!$C$6-G508))))</f>
        <v/>
      </c>
      <c r="AC508">
        <f>IF(Y508=1,Q508-F508,"")</f>
        <v/>
      </c>
      <c r="AD508">
        <f>IF(Y508=1,AC508^2,"")</f>
        <v/>
      </c>
      <c r="AE508" s="19">
        <f>IF(Z508=1,(H508-M508)*I508,0)</f>
        <v/>
      </c>
      <c r="AF508">
        <f>IF(G508&lt;EDATE(Assumptions!$C$6,-12)+1,"prior_12m","last_12m")</f>
        <v/>
      </c>
      <c r="AG508" s="21">
        <f>DATE(YEAR(G508),MONTH(G508),1)</f>
        <v/>
      </c>
    </row>
    <row r="509">
      <c r="A509" t="inlineStr">
        <is>
          <t>SPO-00280-1</t>
        </is>
      </c>
      <c r="B509" t="inlineStr">
        <is>
          <t>SPO-00280</t>
        </is>
      </c>
      <c r="C509" t="inlineStr">
        <is>
          <t>SUP-09</t>
        </is>
      </c>
      <c r="D509" t="inlineStr">
        <is>
          <t>CHEM</t>
        </is>
      </c>
      <c r="E509" t="inlineStr">
        <is>
          <t>CHEM-06</t>
        </is>
      </c>
      <c r="F509" s="17" t="n">
        <v>45644</v>
      </c>
      <c r="G509" s="17" t="n">
        <v>45658</v>
      </c>
      <c r="H509" s="18" t="n">
        <v>7</v>
      </c>
      <c r="I509" s="19" t="n">
        <v>381.9</v>
      </c>
      <c r="J509" s="19" t="n">
        <v>380</v>
      </c>
      <c r="K509" s="20" t="n">
        <v>1</v>
      </c>
      <c r="L509" s="20" t="n">
        <v>0</v>
      </c>
      <c r="M509" s="18" t="n">
        <v>0</v>
      </c>
      <c r="N509" s="18" t="n">
        <v>0</v>
      </c>
      <c r="O509" s="18" t="n">
        <v>0</v>
      </c>
      <c r="P509" s="17" t="n"/>
      <c r="Q509" s="17" t="n"/>
      <c r="R509" s="17" t="n"/>
      <c r="S509" s="19">
        <f>H509*I509</f>
        <v/>
      </c>
      <c r="T509" s="19">
        <f>H509*J509</f>
        <v/>
      </c>
      <c r="U509">
        <f>IF(AND(K509=0,G509&lt;=Assumptions!$C$6),1,0)</f>
        <v/>
      </c>
      <c r="V509">
        <f>IF(U509=1,IF(M509&gt;0,IF(P509&lt;=G509+Assumptions!$C$7,1,0),0),0)</f>
        <v/>
      </c>
      <c r="W509">
        <f>IF(AND(U509=1,M509&gt;=H509*(1-Assumptions!$C$8)),1,0)</f>
        <v/>
      </c>
      <c r="X509">
        <f>IF(AND(U509=1,N509&gt;=H509*(1-Assumptions!$C$8)),1,0)</f>
        <v/>
      </c>
      <c r="Y509">
        <f>IF(ISNUMBER(Q509),1,0)</f>
        <v/>
      </c>
      <c r="Z509">
        <f>IF(AND(K509=0,L509=0,Y509=0),1,0)</f>
        <v/>
      </c>
      <c r="AA509">
        <f>IF(AND(Z509=1,G509&lt;Assumptions!$C$6),1,0)</f>
        <v/>
      </c>
      <c r="AB509">
        <f>IF(U509=0,"",IF(Y509=1,MAX(0,Q509-G509),IF(L509=1,MAX(0,R509-G509),MAX(0,Assumptions!$C$6-G509))))</f>
        <v/>
      </c>
      <c r="AC509">
        <f>IF(Y509=1,Q509-F509,"")</f>
        <v/>
      </c>
      <c r="AD509">
        <f>IF(Y509=1,AC509^2,"")</f>
        <v/>
      </c>
      <c r="AE509" s="19">
        <f>IF(Z509=1,(H509-M509)*I509,0)</f>
        <v/>
      </c>
      <c r="AF509">
        <f>IF(G509&lt;EDATE(Assumptions!$C$6,-12)+1,"prior_12m","last_12m")</f>
        <v/>
      </c>
      <c r="AG509" s="21">
        <f>DATE(YEAR(G509),MONTH(G509),1)</f>
        <v/>
      </c>
    </row>
    <row r="510">
      <c r="A510" t="inlineStr">
        <is>
          <t>SPO-00281-1</t>
        </is>
      </c>
      <c r="B510" t="inlineStr">
        <is>
          <t>SPO-00281</t>
        </is>
      </c>
      <c r="C510" t="inlineStr">
        <is>
          <t>SUP-01</t>
        </is>
      </c>
      <c r="D510" t="inlineStr">
        <is>
          <t>ELEC</t>
        </is>
      </c>
      <c r="E510" t="inlineStr">
        <is>
          <t>ELEC-08</t>
        </is>
      </c>
      <c r="F510" s="17" t="n">
        <v>45645</v>
      </c>
      <c r="G510" s="17" t="n">
        <v>45663</v>
      </c>
      <c r="H510" s="18" t="n">
        <v>115</v>
      </c>
      <c r="I510" s="19" t="n">
        <v>17.11</v>
      </c>
      <c r="J510" s="19" t="n">
        <v>18</v>
      </c>
      <c r="K510" s="20" t="n">
        <v>0</v>
      </c>
      <c r="L510" s="20" t="n">
        <v>0</v>
      </c>
      <c r="M510" s="18" t="n">
        <v>115</v>
      </c>
      <c r="N510" s="18" t="n">
        <v>115</v>
      </c>
      <c r="O510" s="18" t="n">
        <v>0</v>
      </c>
      <c r="P510" s="17" t="n">
        <v>45659</v>
      </c>
      <c r="Q510" s="17" t="n">
        <v>45659</v>
      </c>
      <c r="R510" s="17" t="n">
        <v>45659</v>
      </c>
      <c r="S510" s="19">
        <f>H510*I510</f>
        <v/>
      </c>
      <c r="T510" s="19">
        <f>H510*J510</f>
        <v/>
      </c>
      <c r="U510">
        <f>IF(AND(K510=0,G510&lt;=Assumptions!$C$6),1,0)</f>
        <v/>
      </c>
      <c r="V510">
        <f>IF(U510=1,IF(M510&gt;0,IF(P510&lt;=G510+Assumptions!$C$7,1,0),0),0)</f>
        <v/>
      </c>
      <c r="W510">
        <f>IF(AND(U510=1,M510&gt;=H510*(1-Assumptions!$C$8)),1,0)</f>
        <v/>
      </c>
      <c r="X510">
        <f>IF(AND(U510=1,N510&gt;=H510*(1-Assumptions!$C$8)),1,0)</f>
        <v/>
      </c>
      <c r="Y510">
        <f>IF(ISNUMBER(Q510),1,0)</f>
        <v/>
      </c>
      <c r="Z510">
        <f>IF(AND(K510=0,L510=0,Y510=0),1,0)</f>
        <v/>
      </c>
      <c r="AA510">
        <f>IF(AND(Z510=1,G510&lt;Assumptions!$C$6),1,0)</f>
        <v/>
      </c>
      <c r="AB510">
        <f>IF(U510=0,"",IF(Y510=1,MAX(0,Q510-G510),IF(L510=1,MAX(0,R510-G510),MAX(0,Assumptions!$C$6-G510))))</f>
        <v/>
      </c>
      <c r="AC510">
        <f>IF(Y510=1,Q510-F510,"")</f>
        <v/>
      </c>
      <c r="AD510">
        <f>IF(Y510=1,AC510^2,"")</f>
        <v/>
      </c>
      <c r="AE510" s="19">
        <f>IF(Z510=1,(H510-M510)*I510,0)</f>
        <v/>
      </c>
      <c r="AF510">
        <f>IF(G510&lt;EDATE(Assumptions!$C$6,-12)+1,"prior_12m","last_12m")</f>
        <v/>
      </c>
      <c r="AG510" s="21">
        <f>DATE(YEAR(G510),MONTH(G510),1)</f>
        <v/>
      </c>
    </row>
    <row r="511">
      <c r="A511" t="inlineStr">
        <is>
          <t>SPO-00281-2</t>
        </is>
      </c>
      <c r="B511" t="inlineStr">
        <is>
          <t>SPO-00281</t>
        </is>
      </c>
      <c r="C511" t="inlineStr">
        <is>
          <t>SUP-01</t>
        </is>
      </c>
      <c r="D511" t="inlineStr">
        <is>
          <t>ELEC</t>
        </is>
      </c>
      <c r="E511" t="inlineStr">
        <is>
          <t>ELEC-01</t>
        </is>
      </c>
      <c r="F511" s="17" t="n">
        <v>45645</v>
      </c>
      <c r="G511" s="17" t="n">
        <v>45663</v>
      </c>
      <c r="H511" s="18" t="n">
        <v>56</v>
      </c>
      <c r="I511" s="19" t="n">
        <v>38.35</v>
      </c>
      <c r="J511" s="19" t="n">
        <v>38</v>
      </c>
      <c r="K511" s="20" t="n">
        <v>0</v>
      </c>
      <c r="L511" s="20" t="n">
        <v>0</v>
      </c>
      <c r="M511" s="18" t="n">
        <v>56</v>
      </c>
      <c r="N511" s="18" t="n">
        <v>56</v>
      </c>
      <c r="O511" s="18" t="n">
        <v>0</v>
      </c>
      <c r="P511" s="17" t="n">
        <v>45662</v>
      </c>
      <c r="Q511" s="17" t="n">
        <v>45662</v>
      </c>
      <c r="R511" s="17" t="n">
        <v>45662</v>
      </c>
      <c r="S511" s="19">
        <f>H511*I511</f>
        <v/>
      </c>
      <c r="T511" s="19">
        <f>H511*J511</f>
        <v/>
      </c>
      <c r="U511">
        <f>IF(AND(K511=0,G511&lt;=Assumptions!$C$6),1,0)</f>
        <v/>
      </c>
      <c r="V511">
        <f>IF(U511=1,IF(M511&gt;0,IF(P511&lt;=G511+Assumptions!$C$7,1,0),0),0)</f>
        <v/>
      </c>
      <c r="W511">
        <f>IF(AND(U511=1,M511&gt;=H511*(1-Assumptions!$C$8)),1,0)</f>
        <v/>
      </c>
      <c r="X511">
        <f>IF(AND(U511=1,N511&gt;=H511*(1-Assumptions!$C$8)),1,0)</f>
        <v/>
      </c>
      <c r="Y511">
        <f>IF(ISNUMBER(Q511),1,0)</f>
        <v/>
      </c>
      <c r="Z511">
        <f>IF(AND(K511=0,L511=0,Y511=0),1,0)</f>
        <v/>
      </c>
      <c r="AA511">
        <f>IF(AND(Z511=1,G511&lt;Assumptions!$C$6),1,0)</f>
        <v/>
      </c>
      <c r="AB511">
        <f>IF(U511=0,"",IF(Y511=1,MAX(0,Q511-G511),IF(L511=1,MAX(0,R511-G511),MAX(0,Assumptions!$C$6-G511))))</f>
        <v/>
      </c>
      <c r="AC511">
        <f>IF(Y511=1,Q511-F511,"")</f>
        <v/>
      </c>
      <c r="AD511">
        <f>IF(Y511=1,AC511^2,"")</f>
        <v/>
      </c>
      <c r="AE511" s="19">
        <f>IF(Z511=1,(H511-M511)*I511,0)</f>
        <v/>
      </c>
      <c r="AF511">
        <f>IF(G511&lt;EDATE(Assumptions!$C$6,-12)+1,"prior_12m","last_12m")</f>
        <v/>
      </c>
      <c r="AG511" s="21">
        <f>DATE(YEAR(G511),MONTH(G511),1)</f>
        <v/>
      </c>
    </row>
    <row r="512">
      <c r="A512" t="inlineStr">
        <is>
          <t>SPO-00282-1</t>
        </is>
      </c>
      <c r="B512" t="inlineStr">
        <is>
          <t>SPO-00282</t>
        </is>
      </c>
      <c r="C512" t="inlineStr">
        <is>
          <t>SUP-09</t>
        </is>
      </c>
      <c r="D512" t="inlineStr">
        <is>
          <t>CHEM</t>
        </is>
      </c>
      <c r="E512" t="inlineStr">
        <is>
          <t>CHEM-02</t>
        </is>
      </c>
      <c r="F512" s="17" t="n">
        <v>45645</v>
      </c>
      <c r="G512" s="17" t="n">
        <v>45659</v>
      </c>
      <c r="H512" s="18" t="n">
        <v>4</v>
      </c>
      <c r="I512" s="19" t="n">
        <v>411.06</v>
      </c>
      <c r="J512" s="19" t="n">
        <v>410</v>
      </c>
      <c r="K512" s="20" t="n">
        <v>0</v>
      </c>
      <c r="L512" s="20" t="n">
        <v>0</v>
      </c>
      <c r="M512" s="18" t="n">
        <v>4</v>
      </c>
      <c r="N512" s="18" t="n">
        <v>4</v>
      </c>
      <c r="O512" s="18" t="n">
        <v>0</v>
      </c>
      <c r="P512" s="17" t="n">
        <v>45656</v>
      </c>
      <c r="Q512" s="17" t="n">
        <v>45656</v>
      </c>
      <c r="R512" s="17" t="n">
        <v>45656</v>
      </c>
      <c r="S512" s="19">
        <f>H512*I512</f>
        <v/>
      </c>
      <c r="T512" s="19">
        <f>H512*J512</f>
        <v/>
      </c>
      <c r="U512">
        <f>IF(AND(K512=0,G512&lt;=Assumptions!$C$6),1,0)</f>
        <v/>
      </c>
      <c r="V512">
        <f>IF(U512=1,IF(M512&gt;0,IF(P512&lt;=G512+Assumptions!$C$7,1,0),0),0)</f>
        <v/>
      </c>
      <c r="W512">
        <f>IF(AND(U512=1,M512&gt;=H512*(1-Assumptions!$C$8)),1,0)</f>
        <v/>
      </c>
      <c r="X512">
        <f>IF(AND(U512=1,N512&gt;=H512*(1-Assumptions!$C$8)),1,0)</f>
        <v/>
      </c>
      <c r="Y512">
        <f>IF(ISNUMBER(Q512),1,0)</f>
        <v/>
      </c>
      <c r="Z512">
        <f>IF(AND(K512=0,L512=0,Y512=0),1,0)</f>
        <v/>
      </c>
      <c r="AA512">
        <f>IF(AND(Z512=1,G512&lt;Assumptions!$C$6),1,0)</f>
        <v/>
      </c>
      <c r="AB512">
        <f>IF(U512=0,"",IF(Y512=1,MAX(0,Q512-G512),IF(L512=1,MAX(0,R512-G512),MAX(0,Assumptions!$C$6-G512))))</f>
        <v/>
      </c>
      <c r="AC512">
        <f>IF(Y512=1,Q512-F512,"")</f>
        <v/>
      </c>
      <c r="AD512">
        <f>IF(Y512=1,AC512^2,"")</f>
        <v/>
      </c>
      <c r="AE512" s="19">
        <f>IF(Z512=1,(H512-M512)*I512,0)</f>
        <v/>
      </c>
      <c r="AF512">
        <f>IF(G512&lt;EDATE(Assumptions!$C$6,-12)+1,"prior_12m","last_12m")</f>
        <v/>
      </c>
      <c r="AG512" s="21">
        <f>DATE(YEAR(G512),MONTH(G512),1)</f>
        <v/>
      </c>
    </row>
    <row r="513">
      <c r="A513" t="inlineStr">
        <is>
          <t>SPO-00283-1</t>
        </is>
      </c>
      <c r="B513" t="inlineStr">
        <is>
          <t>SPO-00283</t>
        </is>
      </c>
      <c r="C513" t="inlineStr">
        <is>
          <t>SUP-05</t>
        </is>
      </c>
      <c r="D513" t="inlineStr">
        <is>
          <t>FLEET</t>
        </is>
      </c>
      <c r="E513" t="inlineStr">
        <is>
          <t>FLEET-01</t>
        </is>
      </c>
      <c r="F513" s="17" t="n">
        <v>45645</v>
      </c>
      <c r="G513" s="17" t="n">
        <v>45659</v>
      </c>
      <c r="H513" s="18" t="n">
        <v>24</v>
      </c>
      <c r="I513" s="19" t="n">
        <v>67.17</v>
      </c>
      <c r="J513" s="19" t="n">
        <v>64</v>
      </c>
      <c r="K513" s="20" t="n">
        <v>0</v>
      </c>
      <c r="L513" s="20" t="n">
        <v>0</v>
      </c>
      <c r="M513" s="18" t="n">
        <v>24</v>
      </c>
      <c r="N513" s="18" t="n">
        <v>24</v>
      </c>
      <c r="O513" s="18" t="n">
        <v>0</v>
      </c>
      <c r="P513" s="17" t="n">
        <v>45653</v>
      </c>
      <c r="Q513" s="17" t="n">
        <v>45653</v>
      </c>
      <c r="R513" s="17" t="n">
        <v>45653</v>
      </c>
      <c r="S513" s="19">
        <f>H513*I513</f>
        <v/>
      </c>
      <c r="T513" s="19">
        <f>H513*J513</f>
        <v/>
      </c>
      <c r="U513">
        <f>IF(AND(K513=0,G513&lt;=Assumptions!$C$6),1,0)</f>
        <v/>
      </c>
      <c r="V513">
        <f>IF(U513=1,IF(M513&gt;0,IF(P513&lt;=G513+Assumptions!$C$7,1,0),0),0)</f>
        <v/>
      </c>
      <c r="W513">
        <f>IF(AND(U513=1,M513&gt;=H513*(1-Assumptions!$C$8)),1,0)</f>
        <v/>
      </c>
      <c r="X513">
        <f>IF(AND(U513=1,N513&gt;=H513*(1-Assumptions!$C$8)),1,0)</f>
        <v/>
      </c>
      <c r="Y513">
        <f>IF(ISNUMBER(Q513),1,0)</f>
        <v/>
      </c>
      <c r="Z513">
        <f>IF(AND(K513=0,L513=0,Y513=0),1,0)</f>
        <v/>
      </c>
      <c r="AA513">
        <f>IF(AND(Z513=1,G513&lt;Assumptions!$C$6),1,0)</f>
        <v/>
      </c>
      <c r="AB513">
        <f>IF(U513=0,"",IF(Y513=1,MAX(0,Q513-G513),IF(L513=1,MAX(0,R513-G513),MAX(0,Assumptions!$C$6-G513))))</f>
        <v/>
      </c>
      <c r="AC513">
        <f>IF(Y513=1,Q513-F513,"")</f>
        <v/>
      </c>
      <c r="AD513">
        <f>IF(Y513=1,AC513^2,"")</f>
        <v/>
      </c>
      <c r="AE513" s="19">
        <f>IF(Z513=1,(H513-M513)*I513,0)</f>
        <v/>
      </c>
      <c r="AF513">
        <f>IF(G513&lt;EDATE(Assumptions!$C$6,-12)+1,"prior_12m","last_12m")</f>
        <v/>
      </c>
      <c r="AG513" s="21">
        <f>DATE(YEAR(G513),MONTH(G513),1)</f>
        <v/>
      </c>
    </row>
    <row r="514">
      <c r="A514" t="inlineStr">
        <is>
          <t>SPO-00283-2</t>
        </is>
      </c>
      <c r="B514" t="inlineStr">
        <is>
          <t>SPO-00283</t>
        </is>
      </c>
      <c r="C514" t="inlineStr">
        <is>
          <t>SUP-05</t>
        </is>
      </c>
      <c r="D514" t="inlineStr">
        <is>
          <t>FLEET</t>
        </is>
      </c>
      <c r="E514" t="inlineStr">
        <is>
          <t>FLEET-03</t>
        </is>
      </c>
      <c r="F514" s="17" t="n">
        <v>45645</v>
      </c>
      <c r="G514" s="17" t="n">
        <v>45659</v>
      </c>
      <c r="H514" s="18" t="n">
        <v>44</v>
      </c>
      <c r="I514" s="19" t="n">
        <v>20.19</v>
      </c>
      <c r="J514" s="19" t="n">
        <v>21</v>
      </c>
      <c r="K514" s="20" t="n">
        <v>0</v>
      </c>
      <c r="L514" s="20" t="n">
        <v>0</v>
      </c>
      <c r="M514" s="18" t="n">
        <v>44</v>
      </c>
      <c r="N514" s="18" t="n">
        <v>44</v>
      </c>
      <c r="O514" s="18" t="n">
        <v>0</v>
      </c>
      <c r="P514" s="17" t="n">
        <v>45656</v>
      </c>
      <c r="Q514" s="17" t="n">
        <v>45656</v>
      </c>
      <c r="R514" s="17" t="n">
        <v>45656</v>
      </c>
      <c r="S514" s="19">
        <f>H514*I514</f>
        <v/>
      </c>
      <c r="T514" s="19">
        <f>H514*J514</f>
        <v/>
      </c>
      <c r="U514">
        <f>IF(AND(K514=0,G514&lt;=Assumptions!$C$6),1,0)</f>
        <v/>
      </c>
      <c r="V514">
        <f>IF(U514=1,IF(M514&gt;0,IF(P514&lt;=G514+Assumptions!$C$7,1,0),0),0)</f>
        <v/>
      </c>
      <c r="W514">
        <f>IF(AND(U514=1,M514&gt;=H514*(1-Assumptions!$C$8)),1,0)</f>
        <v/>
      </c>
      <c r="X514">
        <f>IF(AND(U514=1,N514&gt;=H514*(1-Assumptions!$C$8)),1,0)</f>
        <v/>
      </c>
      <c r="Y514">
        <f>IF(ISNUMBER(Q514),1,0)</f>
        <v/>
      </c>
      <c r="Z514">
        <f>IF(AND(K514=0,L514=0,Y514=0),1,0)</f>
        <v/>
      </c>
      <c r="AA514">
        <f>IF(AND(Z514=1,G514&lt;Assumptions!$C$6),1,0)</f>
        <v/>
      </c>
      <c r="AB514">
        <f>IF(U514=0,"",IF(Y514=1,MAX(0,Q514-G514),IF(L514=1,MAX(0,R514-G514),MAX(0,Assumptions!$C$6-G514))))</f>
        <v/>
      </c>
      <c r="AC514">
        <f>IF(Y514=1,Q514-F514,"")</f>
        <v/>
      </c>
      <c r="AD514">
        <f>IF(Y514=1,AC514^2,"")</f>
        <v/>
      </c>
      <c r="AE514" s="19">
        <f>IF(Z514=1,(H514-M514)*I514,0)</f>
        <v/>
      </c>
      <c r="AF514">
        <f>IF(G514&lt;EDATE(Assumptions!$C$6,-12)+1,"prior_12m","last_12m")</f>
        <v/>
      </c>
      <c r="AG514" s="21">
        <f>DATE(YEAR(G514),MONTH(G514),1)</f>
        <v/>
      </c>
    </row>
    <row r="515">
      <c r="A515" t="inlineStr">
        <is>
          <t>SPO-00283-3</t>
        </is>
      </c>
      <c r="B515" t="inlineStr">
        <is>
          <t>SPO-00283</t>
        </is>
      </c>
      <c r="C515" t="inlineStr">
        <is>
          <t>SUP-05</t>
        </is>
      </c>
      <c r="D515" t="inlineStr">
        <is>
          <t>FLEET</t>
        </is>
      </c>
      <c r="E515" t="inlineStr">
        <is>
          <t>FLEET-06</t>
        </is>
      </c>
      <c r="F515" s="17" t="n">
        <v>45645</v>
      </c>
      <c r="G515" s="17" t="n">
        <v>45659</v>
      </c>
      <c r="H515" s="18" t="n">
        <v>34</v>
      </c>
      <c r="I515" s="19" t="n">
        <v>32.9</v>
      </c>
      <c r="J515" s="19" t="n">
        <v>33</v>
      </c>
      <c r="K515" s="20" t="n">
        <v>0</v>
      </c>
      <c r="L515" s="20" t="n">
        <v>0</v>
      </c>
      <c r="M515" s="18" t="n">
        <v>34</v>
      </c>
      <c r="N515" s="18" t="n">
        <v>34</v>
      </c>
      <c r="O515" s="18" t="n">
        <v>0</v>
      </c>
      <c r="P515" s="17" t="n">
        <v>45657</v>
      </c>
      <c r="Q515" s="17" t="n">
        <v>45657</v>
      </c>
      <c r="R515" s="17" t="n">
        <v>45657</v>
      </c>
      <c r="S515" s="19">
        <f>H515*I515</f>
        <v/>
      </c>
      <c r="T515" s="19">
        <f>H515*J515</f>
        <v/>
      </c>
      <c r="U515">
        <f>IF(AND(K515=0,G515&lt;=Assumptions!$C$6),1,0)</f>
        <v/>
      </c>
      <c r="V515">
        <f>IF(U515=1,IF(M515&gt;0,IF(P515&lt;=G515+Assumptions!$C$7,1,0),0),0)</f>
        <v/>
      </c>
      <c r="W515">
        <f>IF(AND(U515=1,M515&gt;=H515*(1-Assumptions!$C$8)),1,0)</f>
        <v/>
      </c>
      <c r="X515">
        <f>IF(AND(U515=1,N515&gt;=H515*(1-Assumptions!$C$8)),1,0)</f>
        <v/>
      </c>
      <c r="Y515">
        <f>IF(ISNUMBER(Q515),1,0)</f>
        <v/>
      </c>
      <c r="Z515">
        <f>IF(AND(K515=0,L515=0,Y515=0),1,0)</f>
        <v/>
      </c>
      <c r="AA515">
        <f>IF(AND(Z515=1,G515&lt;Assumptions!$C$6),1,0)</f>
        <v/>
      </c>
      <c r="AB515">
        <f>IF(U515=0,"",IF(Y515=1,MAX(0,Q515-G515),IF(L515=1,MAX(0,R515-G515),MAX(0,Assumptions!$C$6-G515))))</f>
        <v/>
      </c>
      <c r="AC515">
        <f>IF(Y515=1,Q515-F515,"")</f>
        <v/>
      </c>
      <c r="AD515">
        <f>IF(Y515=1,AC515^2,"")</f>
        <v/>
      </c>
      <c r="AE515" s="19">
        <f>IF(Z515=1,(H515-M515)*I515,0)</f>
        <v/>
      </c>
      <c r="AF515">
        <f>IF(G515&lt;EDATE(Assumptions!$C$6,-12)+1,"prior_12m","last_12m")</f>
        <v/>
      </c>
      <c r="AG515" s="21">
        <f>DATE(YEAR(G515),MONTH(G515),1)</f>
        <v/>
      </c>
    </row>
    <row r="516">
      <c r="A516" t="inlineStr">
        <is>
          <t>SPO-00284-1</t>
        </is>
      </c>
      <c r="B516" t="inlineStr">
        <is>
          <t>SPO-00284</t>
        </is>
      </c>
      <c r="C516" t="inlineStr">
        <is>
          <t>SUP-01</t>
        </is>
      </c>
      <c r="D516" t="inlineStr">
        <is>
          <t>ELEC</t>
        </is>
      </c>
      <c r="E516" t="inlineStr">
        <is>
          <t>ELEC-01</t>
        </is>
      </c>
      <c r="F516" s="17" t="n">
        <v>45645</v>
      </c>
      <c r="G516" s="17" t="n">
        <v>45663</v>
      </c>
      <c r="H516" s="18" t="n">
        <v>98</v>
      </c>
      <c r="I516" s="19" t="n">
        <v>37.61</v>
      </c>
      <c r="J516" s="19" t="n">
        <v>38</v>
      </c>
      <c r="K516" s="20" t="n">
        <v>0</v>
      </c>
      <c r="L516" s="20" t="n">
        <v>0</v>
      </c>
      <c r="M516" s="18" t="n">
        <v>98</v>
      </c>
      <c r="N516" s="18" t="n">
        <v>98</v>
      </c>
      <c r="O516" s="18" t="n">
        <v>0</v>
      </c>
      <c r="P516" s="17" t="n">
        <v>45661</v>
      </c>
      <c r="Q516" s="17" t="n">
        <v>45661</v>
      </c>
      <c r="R516" s="17" t="n">
        <v>45661</v>
      </c>
      <c r="S516" s="19">
        <f>H516*I516</f>
        <v/>
      </c>
      <c r="T516" s="19">
        <f>H516*J516</f>
        <v/>
      </c>
      <c r="U516">
        <f>IF(AND(K516=0,G516&lt;=Assumptions!$C$6),1,0)</f>
        <v/>
      </c>
      <c r="V516">
        <f>IF(U516=1,IF(M516&gt;0,IF(P516&lt;=G516+Assumptions!$C$7,1,0),0),0)</f>
        <v/>
      </c>
      <c r="W516">
        <f>IF(AND(U516=1,M516&gt;=H516*(1-Assumptions!$C$8)),1,0)</f>
        <v/>
      </c>
      <c r="X516">
        <f>IF(AND(U516=1,N516&gt;=H516*(1-Assumptions!$C$8)),1,0)</f>
        <v/>
      </c>
      <c r="Y516">
        <f>IF(ISNUMBER(Q516),1,0)</f>
        <v/>
      </c>
      <c r="Z516">
        <f>IF(AND(K516=0,L516=0,Y516=0),1,0)</f>
        <v/>
      </c>
      <c r="AA516">
        <f>IF(AND(Z516=1,G516&lt;Assumptions!$C$6),1,0)</f>
        <v/>
      </c>
      <c r="AB516">
        <f>IF(U516=0,"",IF(Y516=1,MAX(0,Q516-G516),IF(L516=1,MAX(0,R516-G516),MAX(0,Assumptions!$C$6-G516))))</f>
        <v/>
      </c>
      <c r="AC516">
        <f>IF(Y516=1,Q516-F516,"")</f>
        <v/>
      </c>
      <c r="AD516">
        <f>IF(Y516=1,AC516^2,"")</f>
        <v/>
      </c>
      <c r="AE516" s="19">
        <f>IF(Z516=1,(H516-M516)*I516,0)</f>
        <v/>
      </c>
      <c r="AF516">
        <f>IF(G516&lt;EDATE(Assumptions!$C$6,-12)+1,"prior_12m","last_12m")</f>
        <v/>
      </c>
      <c r="AG516" s="21">
        <f>DATE(YEAR(G516),MONTH(G516),1)</f>
        <v/>
      </c>
    </row>
    <row r="517">
      <c r="A517" t="inlineStr">
        <is>
          <t>SPO-00284-2</t>
        </is>
      </c>
      <c r="B517" t="inlineStr">
        <is>
          <t>SPO-00284</t>
        </is>
      </c>
      <c r="C517" t="inlineStr">
        <is>
          <t>SUP-01</t>
        </is>
      </c>
      <c r="D517" t="inlineStr">
        <is>
          <t>ELEC</t>
        </is>
      </c>
      <c r="E517" t="inlineStr">
        <is>
          <t>ELEC-04</t>
        </is>
      </c>
      <c r="F517" s="17" t="n">
        <v>45645</v>
      </c>
      <c r="G517" s="17" t="n">
        <v>45663</v>
      </c>
      <c r="H517" s="18" t="n">
        <v>74</v>
      </c>
      <c r="I517" s="19" t="n">
        <v>72.56999999999999</v>
      </c>
      <c r="J517" s="19" t="n">
        <v>72</v>
      </c>
      <c r="K517" s="20" t="n">
        <v>0</v>
      </c>
      <c r="L517" s="20" t="n">
        <v>0</v>
      </c>
      <c r="M517" s="18" t="n">
        <v>74</v>
      </c>
      <c r="N517" s="18" t="n">
        <v>74</v>
      </c>
      <c r="O517" s="18" t="n">
        <v>0</v>
      </c>
      <c r="P517" s="17" t="n">
        <v>45660</v>
      </c>
      <c r="Q517" s="17" t="n">
        <v>45660</v>
      </c>
      <c r="R517" s="17" t="n">
        <v>45660</v>
      </c>
      <c r="S517" s="19">
        <f>H517*I517</f>
        <v/>
      </c>
      <c r="T517" s="19">
        <f>H517*J517</f>
        <v/>
      </c>
      <c r="U517">
        <f>IF(AND(K517=0,G517&lt;=Assumptions!$C$6),1,0)</f>
        <v/>
      </c>
      <c r="V517">
        <f>IF(U517=1,IF(M517&gt;0,IF(P517&lt;=G517+Assumptions!$C$7,1,0),0),0)</f>
        <v/>
      </c>
      <c r="W517">
        <f>IF(AND(U517=1,M517&gt;=H517*(1-Assumptions!$C$8)),1,0)</f>
        <v/>
      </c>
      <c r="X517">
        <f>IF(AND(U517=1,N517&gt;=H517*(1-Assumptions!$C$8)),1,0)</f>
        <v/>
      </c>
      <c r="Y517">
        <f>IF(ISNUMBER(Q517),1,0)</f>
        <v/>
      </c>
      <c r="Z517">
        <f>IF(AND(K517=0,L517=0,Y517=0),1,0)</f>
        <v/>
      </c>
      <c r="AA517">
        <f>IF(AND(Z517=1,G517&lt;Assumptions!$C$6),1,0)</f>
        <v/>
      </c>
      <c r="AB517">
        <f>IF(U517=0,"",IF(Y517=1,MAX(0,Q517-G517),IF(L517=1,MAX(0,R517-G517),MAX(0,Assumptions!$C$6-G517))))</f>
        <v/>
      </c>
      <c r="AC517">
        <f>IF(Y517=1,Q517-F517,"")</f>
        <v/>
      </c>
      <c r="AD517">
        <f>IF(Y517=1,AC517^2,"")</f>
        <v/>
      </c>
      <c r="AE517" s="19">
        <f>IF(Z517=1,(H517-M517)*I517,0)</f>
        <v/>
      </c>
      <c r="AF517">
        <f>IF(G517&lt;EDATE(Assumptions!$C$6,-12)+1,"prior_12m","last_12m")</f>
        <v/>
      </c>
      <c r="AG517" s="21">
        <f>DATE(YEAR(G517),MONTH(G517),1)</f>
        <v/>
      </c>
    </row>
    <row r="518">
      <c r="A518" t="inlineStr">
        <is>
          <t>SPO-00284-3</t>
        </is>
      </c>
      <c r="B518" t="inlineStr">
        <is>
          <t>SPO-00284</t>
        </is>
      </c>
      <c r="C518" t="inlineStr">
        <is>
          <t>SUP-01</t>
        </is>
      </c>
      <c r="D518" t="inlineStr">
        <is>
          <t>ELEC</t>
        </is>
      </c>
      <c r="E518" t="inlineStr">
        <is>
          <t>ELEC-03</t>
        </is>
      </c>
      <c r="F518" s="17" t="n">
        <v>45645</v>
      </c>
      <c r="G518" s="17" t="n">
        <v>45663</v>
      </c>
      <c r="H518" s="18" t="n">
        <v>36</v>
      </c>
      <c r="I518" s="19" t="n">
        <v>97.59999999999999</v>
      </c>
      <c r="J518" s="19" t="n">
        <v>96</v>
      </c>
      <c r="K518" s="20" t="n">
        <v>0</v>
      </c>
      <c r="L518" s="20" t="n">
        <v>0</v>
      </c>
      <c r="M518" s="18" t="n">
        <v>36</v>
      </c>
      <c r="N518" s="18" t="n">
        <v>36</v>
      </c>
      <c r="O518" s="18" t="n">
        <v>0</v>
      </c>
      <c r="P518" s="17" t="n">
        <v>45654</v>
      </c>
      <c r="Q518" s="17" t="n">
        <v>45654</v>
      </c>
      <c r="R518" s="17" t="n">
        <v>45654</v>
      </c>
      <c r="S518" s="19">
        <f>H518*I518</f>
        <v/>
      </c>
      <c r="T518" s="19">
        <f>H518*J518</f>
        <v/>
      </c>
      <c r="U518">
        <f>IF(AND(K518=0,G518&lt;=Assumptions!$C$6),1,0)</f>
        <v/>
      </c>
      <c r="V518">
        <f>IF(U518=1,IF(M518&gt;0,IF(P518&lt;=G518+Assumptions!$C$7,1,0),0),0)</f>
        <v/>
      </c>
      <c r="W518">
        <f>IF(AND(U518=1,M518&gt;=H518*(1-Assumptions!$C$8)),1,0)</f>
        <v/>
      </c>
      <c r="X518">
        <f>IF(AND(U518=1,N518&gt;=H518*(1-Assumptions!$C$8)),1,0)</f>
        <v/>
      </c>
      <c r="Y518">
        <f>IF(ISNUMBER(Q518),1,0)</f>
        <v/>
      </c>
      <c r="Z518">
        <f>IF(AND(K518=0,L518=0,Y518=0),1,0)</f>
        <v/>
      </c>
      <c r="AA518">
        <f>IF(AND(Z518=1,G518&lt;Assumptions!$C$6),1,0)</f>
        <v/>
      </c>
      <c r="AB518">
        <f>IF(U518=0,"",IF(Y518=1,MAX(0,Q518-G518),IF(L518=1,MAX(0,R518-G518),MAX(0,Assumptions!$C$6-G518))))</f>
        <v/>
      </c>
      <c r="AC518">
        <f>IF(Y518=1,Q518-F518,"")</f>
        <v/>
      </c>
      <c r="AD518">
        <f>IF(Y518=1,AC518^2,"")</f>
        <v/>
      </c>
      <c r="AE518" s="19">
        <f>IF(Z518=1,(H518-M518)*I518,0)</f>
        <v/>
      </c>
      <c r="AF518">
        <f>IF(G518&lt;EDATE(Assumptions!$C$6,-12)+1,"prior_12m","last_12m")</f>
        <v/>
      </c>
      <c r="AG518" s="21">
        <f>DATE(YEAR(G518),MONTH(G518),1)</f>
        <v/>
      </c>
    </row>
    <row r="519">
      <c r="A519" t="inlineStr">
        <is>
          <t>SPO-00285-1</t>
        </is>
      </c>
      <c r="B519" t="inlineStr">
        <is>
          <t>SPO-00285</t>
        </is>
      </c>
      <c r="C519" t="inlineStr">
        <is>
          <t>SUP-09</t>
        </is>
      </c>
      <c r="D519" t="inlineStr">
        <is>
          <t>CHEM</t>
        </is>
      </c>
      <c r="E519" t="inlineStr">
        <is>
          <t>CHEM-03</t>
        </is>
      </c>
      <c r="F519" s="17" t="n">
        <v>45645</v>
      </c>
      <c r="G519" s="17" t="n">
        <v>45659</v>
      </c>
      <c r="H519" s="18" t="n">
        <v>2</v>
      </c>
      <c r="I519" s="19" t="n">
        <v>278.09</v>
      </c>
      <c r="J519" s="19" t="n">
        <v>265</v>
      </c>
      <c r="K519" s="20" t="n">
        <v>0</v>
      </c>
      <c r="L519" s="20" t="n">
        <v>0</v>
      </c>
      <c r="M519" s="18" t="n">
        <v>2</v>
      </c>
      <c r="N519" s="18" t="n">
        <v>2</v>
      </c>
      <c r="O519" s="18" t="n">
        <v>0</v>
      </c>
      <c r="P519" s="17" t="n">
        <v>45658</v>
      </c>
      <c r="Q519" s="17" t="n">
        <v>45658</v>
      </c>
      <c r="R519" s="17" t="n">
        <v>45658</v>
      </c>
      <c r="S519" s="19">
        <f>H519*I519</f>
        <v/>
      </c>
      <c r="T519" s="19">
        <f>H519*J519</f>
        <v/>
      </c>
      <c r="U519">
        <f>IF(AND(K519=0,G519&lt;=Assumptions!$C$6),1,0)</f>
        <v/>
      </c>
      <c r="V519">
        <f>IF(U519=1,IF(M519&gt;0,IF(P519&lt;=G519+Assumptions!$C$7,1,0),0),0)</f>
        <v/>
      </c>
      <c r="W519">
        <f>IF(AND(U519=1,M519&gt;=H519*(1-Assumptions!$C$8)),1,0)</f>
        <v/>
      </c>
      <c r="X519">
        <f>IF(AND(U519=1,N519&gt;=H519*(1-Assumptions!$C$8)),1,0)</f>
        <v/>
      </c>
      <c r="Y519">
        <f>IF(ISNUMBER(Q519),1,0)</f>
        <v/>
      </c>
      <c r="Z519">
        <f>IF(AND(K519=0,L519=0,Y519=0),1,0)</f>
        <v/>
      </c>
      <c r="AA519">
        <f>IF(AND(Z519=1,G519&lt;Assumptions!$C$6),1,0)</f>
        <v/>
      </c>
      <c r="AB519">
        <f>IF(U519=0,"",IF(Y519=1,MAX(0,Q519-G519),IF(L519=1,MAX(0,R519-G519),MAX(0,Assumptions!$C$6-G519))))</f>
        <v/>
      </c>
      <c r="AC519">
        <f>IF(Y519=1,Q519-F519,"")</f>
        <v/>
      </c>
      <c r="AD519">
        <f>IF(Y519=1,AC519^2,"")</f>
        <v/>
      </c>
      <c r="AE519" s="19">
        <f>IF(Z519=1,(H519-M519)*I519,0)</f>
        <v/>
      </c>
      <c r="AF519">
        <f>IF(G519&lt;EDATE(Assumptions!$C$6,-12)+1,"prior_12m","last_12m")</f>
        <v/>
      </c>
      <c r="AG519" s="21">
        <f>DATE(YEAR(G519),MONTH(G519),1)</f>
        <v/>
      </c>
    </row>
    <row r="520">
      <c r="A520" t="inlineStr">
        <is>
          <t>SPO-00285-2</t>
        </is>
      </c>
      <c r="B520" t="inlineStr">
        <is>
          <t>SPO-00285</t>
        </is>
      </c>
      <c r="C520" t="inlineStr">
        <is>
          <t>SUP-09</t>
        </is>
      </c>
      <c r="D520" t="inlineStr">
        <is>
          <t>CHEM</t>
        </is>
      </c>
      <c r="E520" t="inlineStr">
        <is>
          <t>CHEM-06</t>
        </is>
      </c>
      <c r="F520" s="17" t="n">
        <v>45645</v>
      </c>
      <c r="G520" s="17" t="n">
        <v>45659</v>
      </c>
      <c r="H520" s="18" t="n">
        <v>3</v>
      </c>
      <c r="I520" s="19" t="n">
        <v>385.41</v>
      </c>
      <c r="J520" s="19" t="n">
        <v>380</v>
      </c>
      <c r="K520" s="20" t="n">
        <v>0</v>
      </c>
      <c r="L520" s="20" t="n">
        <v>0</v>
      </c>
      <c r="M520" s="18" t="n">
        <v>3</v>
      </c>
      <c r="N520" s="18" t="n">
        <v>3</v>
      </c>
      <c r="O520" s="18" t="n">
        <v>0</v>
      </c>
      <c r="P520" s="17" t="n">
        <v>45656</v>
      </c>
      <c r="Q520" s="17" t="n">
        <v>45656</v>
      </c>
      <c r="R520" s="17" t="n">
        <v>45656</v>
      </c>
      <c r="S520" s="19">
        <f>H520*I520</f>
        <v/>
      </c>
      <c r="T520" s="19">
        <f>H520*J520</f>
        <v/>
      </c>
      <c r="U520">
        <f>IF(AND(K520=0,G520&lt;=Assumptions!$C$6),1,0)</f>
        <v/>
      </c>
      <c r="V520">
        <f>IF(U520=1,IF(M520&gt;0,IF(P520&lt;=G520+Assumptions!$C$7,1,0),0),0)</f>
        <v/>
      </c>
      <c r="W520">
        <f>IF(AND(U520=1,M520&gt;=H520*(1-Assumptions!$C$8)),1,0)</f>
        <v/>
      </c>
      <c r="X520">
        <f>IF(AND(U520=1,N520&gt;=H520*(1-Assumptions!$C$8)),1,0)</f>
        <v/>
      </c>
      <c r="Y520">
        <f>IF(ISNUMBER(Q520),1,0)</f>
        <v/>
      </c>
      <c r="Z520">
        <f>IF(AND(K520=0,L520=0,Y520=0),1,0)</f>
        <v/>
      </c>
      <c r="AA520">
        <f>IF(AND(Z520=1,G520&lt;Assumptions!$C$6),1,0)</f>
        <v/>
      </c>
      <c r="AB520">
        <f>IF(U520=0,"",IF(Y520=1,MAX(0,Q520-G520),IF(L520=1,MAX(0,R520-G520),MAX(0,Assumptions!$C$6-G520))))</f>
        <v/>
      </c>
      <c r="AC520">
        <f>IF(Y520=1,Q520-F520,"")</f>
        <v/>
      </c>
      <c r="AD520">
        <f>IF(Y520=1,AC520^2,"")</f>
        <v/>
      </c>
      <c r="AE520" s="19">
        <f>IF(Z520=1,(H520-M520)*I520,0)</f>
        <v/>
      </c>
      <c r="AF520">
        <f>IF(G520&lt;EDATE(Assumptions!$C$6,-12)+1,"prior_12m","last_12m")</f>
        <v/>
      </c>
      <c r="AG520" s="21">
        <f>DATE(YEAR(G520),MONTH(G520),1)</f>
        <v/>
      </c>
    </row>
    <row r="521">
      <c r="A521" t="inlineStr">
        <is>
          <t>SPO-00285-3</t>
        </is>
      </c>
      <c r="B521" t="inlineStr">
        <is>
          <t>SPO-00285</t>
        </is>
      </c>
      <c r="C521" t="inlineStr">
        <is>
          <t>SUP-09</t>
        </is>
      </c>
      <c r="D521" t="inlineStr">
        <is>
          <t>CHEM</t>
        </is>
      </c>
      <c r="E521" t="inlineStr">
        <is>
          <t>CHEM-01</t>
        </is>
      </c>
      <c r="F521" s="17" t="n">
        <v>45645</v>
      </c>
      <c r="G521" s="17" t="n">
        <v>45659</v>
      </c>
      <c r="H521" s="18" t="n">
        <v>3</v>
      </c>
      <c r="I521" s="19" t="n">
        <v>683.98</v>
      </c>
      <c r="J521" s="19" t="n">
        <v>640</v>
      </c>
      <c r="K521" s="20" t="n">
        <v>0</v>
      </c>
      <c r="L521" s="20" t="n">
        <v>0</v>
      </c>
      <c r="M521" s="18" t="n">
        <v>3</v>
      </c>
      <c r="N521" s="18" t="n">
        <v>3</v>
      </c>
      <c r="O521" s="18" t="n">
        <v>0</v>
      </c>
      <c r="P521" s="17" t="n">
        <v>45657</v>
      </c>
      <c r="Q521" s="17" t="n">
        <v>45657</v>
      </c>
      <c r="R521" s="17" t="n">
        <v>45657</v>
      </c>
      <c r="S521" s="19">
        <f>H521*I521</f>
        <v/>
      </c>
      <c r="T521" s="19">
        <f>H521*J521</f>
        <v/>
      </c>
      <c r="U521">
        <f>IF(AND(K521=0,G521&lt;=Assumptions!$C$6),1,0)</f>
        <v/>
      </c>
      <c r="V521">
        <f>IF(U521=1,IF(M521&gt;0,IF(P521&lt;=G521+Assumptions!$C$7,1,0),0),0)</f>
        <v/>
      </c>
      <c r="W521">
        <f>IF(AND(U521=1,M521&gt;=H521*(1-Assumptions!$C$8)),1,0)</f>
        <v/>
      </c>
      <c r="X521">
        <f>IF(AND(U521=1,N521&gt;=H521*(1-Assumptions!$C$8)),1,0)</f>
        <v/>
      </c>
      <c r="Y521">
        <f>IF(ISNUMBER(Q521),1,0)</f>
        <v/>
      </c>
      <c r="Z521">
        <f>IF(AND(K521=0,L521=0,Y521=0),1,0)</f>
        <v/>
      </c>
      <c r="AA521">
        <f>IF(AND(Z521=1,G521&lt;Assumptions!$C$6),1,0)</f>
        <v/>
      </c>
      <c r="AB521">
        <f>IF(U521=0,"",IF(Y521=1,MAX(0,Q521-G521),IF(L521=1,MAX(0,R521-G521),MAX(0,Assumptions!$C$6-G521))))</f>
        <v/>
      </c>
      <c r="AC521">
        <f>IF(Y521=1,Q521-F521,"")</f>
        <v/>
      </c>
      <c r="AD521">
        <f>IF(Y521=1,AC521^2,"")</f>
        <v/>
      </c>
      <c r="AE521" s="19">
        <f>IF(Z521=1,(H521-M521)*I521,0)</f>
        <v/>
      </c>
      <c r="AF521">
        <f>IF(G521&lt;EDATE(Assumptions!$C$6,-12)+1,"prior_12m","last_12m")</f>
        <v/>
      </c>
      <c r="AG521" s="21">
        <f>DATE(YEAR(G521),MONTH(G521),1)</f>
        <v/>
      </c>
    </row>
    <row r="522">
      <c r="A522" t="inlineStr">
        <is>
          <t>SPO-00286-1</t>
        </is>
      </c>
      <c r="B522" t="inlineStr">
        <is>
          <t>SPO-00286</t>
        </is>
      </c>
      <c r="C522" t="inlineStr">
        <is>
          <t>SUP-01</t>
        </is>
      </c>
      <c r="D522" t="inlineStr">
        <is>
          <t>ELEC</t>
        </is>
      </c>
      <c r="E522" t="inlineStr">
        <is>
          <t>ELEC-03</t>
        </is>
      </c>
      <c r="F522" s="17" t="n">
        <v>45645</v>
      </c>
      <c r="G522" s="17" t="n">
        <v>45663</v>
      </c>
      <c r="H522" s="18" t="n">
        <v>33</v>
      </c>
      <c r="I522" s="19" t="n">
        <v>94.14</v>
      </c>
      <c r="J522" s="19" t="n">
        <v>96</v>
      </c>
      <c r="K522" s="20" t="n">
        <v>0</v>
      </c>
      <c r="L522" s="20" t="n">
        <v>0</v>
      </c>
      <c r="M522" s="18" t="n">
        <v>33</v>
      </c>
      <c r="N522" s="18" t="n">
        <v>33</v>
      </c>
      <c r="O522" s="18" t="n">
        <v>0</v>
      </c>
      <c r="P522" s="17" t="n">
        <v>45661</v>
      </c>
      <c r="Q522" s="17" t="n">
        <v>45661</v>
      </c>
      <c r="R522" s="17" t="n">
        <v>45661</v>
      </c>
      <c r="S522" s="19">
        <f>H522*I522</f>
        <v/>
      </c>
      <c r="T522" s="19">
        <f>H522*J522</f>
        <v/>
      </c>
      <c r="U522">
        <f>IF(AND(K522=0,G522&lt;=Assumptions!$C$6),1,0)</f>
        <v/>
      </c>
      <c r="V522">
        <f>IF(U522=1,IF(M522&gt;0,IF(P522&lt;=G522+Assumptions!$C$7,1,0),0),0)</f>
        <v/>
      </c>
      <c r="W522">
        <f>IF(AND(U522=1,M522&gt;=H522*(1-Assumptions!$C$8)),1,0)</f>
        <v/>
      </c>
      <c r="X522">
        <f>IF(AND(U522=1,N522&gt;=H522*(1-Assumptions!$C$8)),1,0)</f>
        <v/>
      </c>
      <c r="Y522">
        <f>IF(ISNUMBER(Q522),1,0)</f>
        <v/>
      </c>
      <c r="Z522">
        <f>IF(AND(K522=0,L522=0,Y522=0),1,0)</f>
        <v/>
      </c>
      <c r="AA522">
        <f>IF(AND(Z522=1,G522&lt;Assumptions!$C$6),1,0)</f>
        <v/>
      </c>
      <c r="AB522">
        <f>IF(U522=0,"",IF(Y522=1,MAX(0,Q522-G522),IF(L522=1,MAX(0,R522-G522),MAX(0,Assumptions!$C$6-G522))))</f>
        <v/>
      </c>
      <c r="AC522">
        <f>IF(Y522=1,Q522-F522,"")</f>
        <v/>
      </c>
      <c r="AD522">
        <f>IF(Y522=1,AC522^2,"")</f>
        <v/>
      </c>
      <c r="AE522" s="19">
        <f>IF(Z522=1,(H522-M522)*I522,0)</f>
        <v/>
      </c>
      <c r="AF522">
        <f>IF(G522&lt;EDATE(Assumptions!$C$6,-12)+1,"prior_12m","last_12m")</f>
        <v/>
      </c>
      <c r="AG522" s="21">
        <f>DATE(YEAR(G522),MONTH(G522),1)</f>
        <v/>
      </c>
    </row>
    <row r="523">
      <c r="A523" t="inlineStr">
        <is>
          <t>SPO-00287-1</t>
        </is>
      </c>
      <c r="B523" t="inlineStr">
        <is>
          <t>SPO-00287</t>
        </is>
      </c>
      <c r="C523" t="inlineStr">
        <is>
          <t>SUP-10</t>
        </is>
      </c>
      <c r="D523" t="inlineStr">
        <is>
          <t>PPE</t>
        </is>
      </c>
      <c r="E523" t="inlineStr">
        <is>
          <t>PPE-08</t>
        </is>
      </c>
      <c r="F523" s="17" t="n">
        <v>45645</v>
      </c>
      <c r="G523" s="17" t="n">
        <v>45658</v>
      </c>
      <c r="H523" s="18" t="n">
        <v>30</v>
      </c>
      <c r="I523" s="19" t="n">
        <v>61.47</v>
      </c>
      <c r="J523" s="19" t="n">
        <v>64</v>
      </c>
      <c r="K523" s="20" t="n">
        <v>0</v>
      </c>
      <c r="L523" s="20" t="n">
        <v>0</v>
      </c>
      <c r="M523" s="18" t="n">
        <v>30</v>
      </c>
      <c r="N523" s="18" t="n">
        <v>30</v>
      </c>
      <c r="O523" s="18" t="n">
        <v>0</v>
      </c>
      <c r="P523" s="17" t="n">
        <v>45655</v>
      </c>
      <c r="Q523" s="17" t="n">
        <v>45655</v>
      </c>
      <c r="R523" s="17" t="n">
        <v>45655</v>
      </c>
      <c r="S523" s="19">
        <f>H523*I523</f>
        <v/>
      </c>
      <c r="T523" s="19">
        <f>H523*J523</f>
        <v/>
      </c>
      <c r="U523">
        <f>IF(AND(K523=0,G523&lt;=Assumptions!$C$6),1,0)</f>
        <v/>
      </c>
      <c r="V523">
        <f>IF(U523=1,IF(M523&gt;0,IF(P523&lt;=G523+Assumptions!$C$7,1,0),0),0)</f>
        <v/>
      </c>
      <c r="W523">
        <f>IF(AND(U523=1,M523&gt;=H523*(1-Assumptions!$C$8)),1,0)</f>
        <v/>
      </c>
      <c r="X523">
        <f>IF(AND(U523=1,N523&gt;=H523*(1-Assumptions!$C$8)),1,0)</f>
        <v/>
      </c>
      <c r="Y523">
        <f>IF(ISNUMBER(Q523),1,0)</f>
        <v/>
      </c>
      <c r="Z523">
        <f>IF(AND(K523=0,L523=0,Y523=0),1,0)</f>
        <v/>
      </c>
      <c r="AA523">
        <f>IF(AND(Z523=1,G523&lt;Assumptions!$C$6),1,0)</f>
        <v/>
      </c>
      <c r="AB523">
        <f>IF(U523=0,"",IF(Y523=1,MAX(0,Q523-G523),IF(L523=1,MAX(0,R523-G523),MAX(0,Assumptions!$C$6-G523))))</f>
        <v/>
      </c>
      <c r="AC523">
        <f>IF(Y523=1,Q523-F523,"")</f>
        <v/>
      </c>
      <c r="AD523">
        <f>IF(Y523=1,AC523^2,"")</f>
        <v/>
      </c>
      <c r="AE523" s="19">
        <f>IF(Z523=1,(H523-M523)*I523,0)</f>
        <v/>
      </c>
      <c r="AF523">
        <f>IF(G523&lt;EDATE(Assumptions!$C$6,-12)+1,"prior_12m","last_12m")</f>
        <v/>
      </c>
      <c r="AG523" s="21">
        <f>DATE(YEAR(G523),MONTH(G523),1)</f>
        <v/>
      </c>
    </row>
    <row r="524">
      <c r="A524" t="inlineStr">
        <is>
          <t>SPO-00287-2</t>
        </is>
      </c>
      <c r="B524" t="inlineStr">
        <is>
          <t>SPO-00287</t>
        </is>
      </c>
      <c r="C524" t="inlineStr">
        <is>
          <t>SUP-10</t>
        </is>
      </c>
      <c r="D524" t="inlineStr">
        <is>
          <t>PPE</t>
        </is>
      </c>
      <c r="E524" t="inlineStr">
        <is>
          <t>PPE-05</t>
        </is>
      </c>
      <c r="F524" s="17" t="n">
        <v>45645</v>
      </c>
      <c r="G524" s="17" t="n">
        <v>45658</v>
      </c>
      <c r="H524" s="18" t="n">
        <v>191</v>
      </c>
      <c r="I524" s="19" t="n">
        <v>10.6</v>
      </c>
      <c r="J524" s="19" t="n">
        <v>11</v>
      </c>
      <c r="K524" s="20" t="n">
        <v>0</v>
      </c>
      <c r="L524" s="20" t="n">
        <v>0</v>
      </c>
      <c r="M524" s="18" t="n">
        <v>191</v>
      </c>
      <c r="N524" s="18" t="n">
        <v>191</v>
      </c>
      <c r="O524" s="18" t="n">
        <v>0</v>
      </c>
      <c r="P524" s="17" t="n">
        <v>45655</v>
      </c>
      <c r="Q524" s="17" t="n">
        <v>45655</v>
      </c>
      <c r="R524" s="17" t="n">
        <v>45655</v>
      </c>
      <c r="S524" s="19">
        <f>H524*I524</f>
        <v/>
      </c>
      <c r="T524" s="19">
        <f>H524*J524</f>
        <v/>
      </c>
      <c r="U524">
        <f>IF(AND(K524=0,G524&lt;=Assumptions!$C$6),1,0)</f>
        <v/>
      </c>
      <c r="V524">
        <f>IF(U524=1,IF(M524&gt;0,IF(P524&lt;=G524+Assumptions!$C$7,1,0),0),0)</f>
        <v/>
      </c>
      <c r="W524">
        <f>IF(AND(U524=1,M524&gt;=H524*(1-Assumptions!$C$8)),1,0)</f>
        <v/>
      </c>
      <c r="X524">
        <f>IF(AND(U524=1,N524&gt;=H524*(1-Assumptions!$C$8)),1,0)</f>
        <v/>
      </c>
      <c r="Y524">
        <f>IF(ISNUMBER(Q524),1,0)</f>
        <v/>
      </c>
      <c r="Z524">
        <f>IF(AND(K524=0,L524=0,Y524=0),1,0)</f>
        <v/>
      </c>
      <c r="AA524">
        <f>IF(AND(Z524=1,G524&lt;Assumptions!$C$6),1,0)</f>
        <v/>
      </c>
      <c r="AB524">
        <f>IF(U524=0,"",IF(Y524=1,MAX(0,Q524-G524),IF(L524=1,MAX(0,R524-G524),MAX(0,Assumptions!$C$6-G524))))</f>
        <v/>
      </c>
      <c r="AC524">
        <f>IF(Y524=1,Q524-F524,"")</f>
        <v/>
      </c>
      <c r="AD524">
        <f>IF(Y524=1,AC524^2,"")</f>
        <v/>
      </c>
      <c r="AE524" s="19">
        <f>IF(Z524=1,(H524-M524)*I524,0)</f>
        <v/>
      </c>
      <c r="AF524">
        <f>IF(G524&lt;EDATE(Assumptions!$C$6,-12)+1,"prior_12m","last_12m")</f>
        <v/>
      </c>
      <c r="AG524" s="21">
        <f>DATE(YEAR(G524),MONTH(G524),1)</f>
        <v/>
      </c>
    </row>
    <row r="525">
      <c r="A525" t="inlineStr">
        <is>
          <t>SPO-00288-1</t>
        </is>
      </c>
      <c r="B525" t="inlineStr">
        <is>
          <t>SPO-00288</t>
        </is>
      </c>
      <c r="C525" t="inlineStr">
        <is>
          <t>SUP-01</t>
        </is>
      </c>
      <c r="D525" t="inlineStr">
        <is>
          <t>ELEC</t>
        </is>
      </c>
      <c r="E525" t="inlineStr">
        <is>
          <t>ELEC-08</t>
        </is>
      </c>
      <c r="F525" s="17" t="n">
        <v>45646</v>
      </c>
      <c r="G525" s="17" t="n">
        <v>45664</v>
      </c>
      <c r="H525" s="18" t="n">
        <v>389</v>
      </c>
      <c r="I525" s="19" t="n">
        <v>18.99</v>
      </c>
      <c r="J525" s="19" t="n">
        <v>18</v>
      </c>
      <c r="K525" s="20" t="n">
        <v>0</v>
      </c>
      <c r="L525" s="20" t="n">
        <v>0</v>
      </c>
      <c r="M525" s="18" t="n">
        <v>389</v>
      </c>
      <c r="N525" s="18" t="n">
        <v>389</v>
      </c>
      <c r="O525" s="18" t="n">
        <v>0</v>
      </c>
      <c r="P525" s="17" t="n">
        <v>45660</v>
      </c>
      <c r="Q525" s="17" t="n">
        <v>45660</v>
      </c>
      <c r="R525" s="17" t="n">
        <v>45660</v>
      </c>
      <c r="S525" s="19">
        <f>H525*I525</f>
        <v/>
      </c>
      <c r="T525" s="19">
        <f>H525*J525</f>
        <v/>
      </c>
      <c r="U525">
        <f>IF(AND(K525=0,G525&lt;=Assumptions!$C$6),1,0)</f>
        <v/>
      </c>
      <c r="V525">
        <f>IF(U525=1,IF(M525&gt;0,IF(P525&lt;=G525+Assumptions!$C$7,1,0),0),0)</f>
        <v/>
      </c>
      <c r="W525">
        <f>IF(AND(U525=1,M525&gt;=H525*(1-Assumptions!$C$8)),1,0)</f>
        <v/>
      </c>
      <c r="X525">
        <f>IF(AND(U525=1,N525&gt;=H525*(1-Assumptions!$C$8)),1,0)</f>
        <v/>
      </c>
      <c r="Y525">
        <f>IF(ISNUMBER(Q525),1,0)</f>
        <v/>
      </c>
      <c r="Z525">
        <f>IF(AND(K525=0,L525=0,Y525=0),1,0)</f>
        <v/>
      </c>
      <c r="AA525">
        <f>IF(AND(Z525=1,G525&lt;Assumptions!$C$6),1,0)</f>
        <v/>
      </c>
      <c r="AB525">
        <f>IF(U525=0,"",IF(Y525=1,MAX(0,Q525-G525),IF(L525=1,MAX(0,R525-G525),MAX(0,Assumptions!$C$6-G525))))</f>
        <v/>
      </c>
      <c r="AC525">
        <f>IF(Y525=1,Q525-F525,"")</f>
        <v/>
      </c>
      <c r="AD525">
        <f>IF(Y525=1,AC525^2,"")</f>
        <v/>
      </c>
      <c r="AE525" s="19">
        <f>IF(Z525=1,(H525-M525)*I525,0)</f>
        <v/>
      </c>
      <c r="AF525">
        <f>IF(G525&lt;EDATE(Assumptions!$C$6,-12)+1,"prior_12m","last_12m")</f>
        <v/>
      </c>
      <c r="AG525" s="21">
        <f>DATE(YEAR(G525),MONTH(G525),1)</f>
        <v/>
      </c>
    </row>
    <row r="526">
      <c r="A526" t="inlineStr">
        <is>
          <t>SPO-00289-1</t>
        </is>
      </c>
      <c r="B526" t="inlineStr">
        <is>
          <t>SPO-00289</t>
        </is>
      </c>
      <c r="C526" t="inlineStr">
        <is>
          <t>SUP-12</t>
        </is>
      </c>
      <c r="D526" t="inlineStr">
        <is>
          <t>IT</t>
        </is>
      </c>
      <c r="E526" t="inlineStr">
        <is>
          <t>IT-05</t>
        </is>
      </c>
      <c r="F526" s="17" t="n">
        <v>45646</v>
      </c>
      <c r="G526" s="17" t="n">
        <v>45656</v>
      </c>
      <c r="H526" s="18" t="n">
        <v>2</v>
      </c>
      <c r="I526" s="19" t="n">
        <v>713.65</v>
      </c>
      <c r="J526" s="19" t="n">
        <v>640</v>
      </c>
      <c r="K526" s="20" t="n">
        <v>0</v>
      </c>
      <c r="L526" s="20" t="n">
        <v>0</v>
      </c>
      <c r="M526" s="18" t="n">
        <v>2</v>
      </c>
      <c r="N526" s="18" t="n">
        <v>2</v>
      </c>
      <c r="O526" s="18" t="n">
        <v>0</v>
      </c>
      <c r="P526" s="17" t="n">
        <v>45655</v>
      </c>
      <c r="Q526" s="17" t="n">
        <v>45655</v>
      </c>
      <c r="R526" s="17" t="n">
        <v>45655</v>
      </c>
      <c r="S526" s="19">
        <f>H526*I526</f>
        <v/>
      </c>
      <c r="T526" s="19">
        <f>H526*J526</f>
        <v/>
      </c>
      <c r="U526">
        <f>IF(AND(K526=0,G526&lt;=Assumptions!$C$6),1,0)</f>
        <v/>
      </c>
      <c r="V526">
        <f>IF(U526=1,IF(M526&gt;0,IF(P526&lt;=G526+Assumptions!$C$7,1,0),0),0)</f>
        <v/>
      </c>
      <c r="W526">
        <f>IF(AND(U526=1,M526&gt;=H526*(1-Assumptions!$C$8)),1,0)</f>
        <v/>
      </c>
      <c r="X526">
        <f>IF(AND(U526=1,N526&gt;=H526*(1-Assumptions!$C$8)),1,0)</f>
        <v/>
      </c>
      <c r="Y526">
        <f>IF(ISNUMBER(Q526),1,0)</f>
        <v/>
      </c>
      <c r="Z526">
        <f>IF(AND(K526=0,L526=0,Y526=0),1,0)</f>
        <v/>
      </c>
      <c r="AA526">
        <f>IF(AND(Z526=1,G526&lt;Assumptions!$C$6),1,0)</f>
        <v/>
      </c>
      <c r="AB526">
        <f>IF(U526=0,"",IF(Y526=1,MAX(0,Q526-G526),IF(L526=1,MAX(0,R526-G526),MAX(0,Assumptions!$C$6-G526))))</f>
        <v/>
      </c>
      <c r="AC526">
        <f>IF(Y526=1,Q526-F526,"")</f>
        <v/>
      </c>
      <c r="AD526">
        <f>IF(Y526=1,AC526^2,"")</f>
        <v/>
      </c>
      <c r="AE526" s="19">
        <f>IF(Z526=1,(H526-M526)*I526,0)</f>
        <v/>
      </c>
      <c r="AF526">
        <f>IF(G526&lt;EDATE(Assumptions!$C$6,-12)+1,"prior_12m","last_12m")</f>
        <v/>
      </c>
      <c r="AG526" s="21">
        <f>DATE(YEAR(G526),MONTH(G526),1)</f>
        <v/>
      </c>
    </row>
    <row r="527">
      <c r="A527" t="inlineStr">
        <is>
          <t>SPO-00289-2</t>
        </is>
      </c>
      <c r="B527" t="inlineStr">
        <is>
          <t>SPO-00289</t>
        </is>
      </c>
      <c r="C527" t="inlineStr">
        <is>
          <t>SUP-12</t>
        </is>
      </c>
      <c r="D527" t="inlineStr">
        <is>
          <t>IT</t>
        </is>
      </c>
      <c r="E527" t="inlineStr">
        <is>
          <t>IT-03</t>
        </is>
      </c>
      <c r="F527" s="17" t="n">
        <v>45646</v>
      </c>
      <c r="G527" s="17" t="n">
        <v>45656</v>
      </c>
      <c r="H527" s="18" t="n">
        <v>79</v>
      </c>
      <c r="I527" s="19" t="n">
        <v>43.24</v>
      </c>
      <c r="J527" s="19" t="n">
        <v>38</v>
      </c>
      <c r="K527" s="20" t="n">
        <v>0</v>
      </c>
      <c r="L527" s="20" t="n">
        <v>0</v>
      </c>
      <c r="M527" s="18" t="n">
        <v>79</v>
      </c>
      <c r="N527" s="18" t="n">
        <v>79</v>
      </c>
      <c r="O527" s="18" t="n">
        <v>0</v>
      </c>
      <c r="P527" s="17" t="n">
        <v>45649</v>
      </c>
      <c r="Q527" s="17" t="n">
        <v>45649</v>
      </c>
      <c r="R527" s="17" t="n">
        <v>45649</v>
      </c>
      <c r="S527" s="19">
        <f>H527*I527</f>
        <v/>
      </c>
      <c r="T527" s="19">
        <f>H527*J527</f>
        <v/>
      </c>
      <c r="U527">
        <f>IF(AND(K527=0,G527&lt;=Assumptions!$C$6),1,0)</f>
        <v/>
      </c>
      <c r="V527">
        <f>IF(U527=1,IF(M527&gt;0,IF(P527&lt;=G527+Assumptions!$C$7,1,0),0),0)</f>
        <v/>
      </c>
      <c r="W527">
        <f>IF(AND(U527=1,M527&gt;=H527*(1-Assumptions!$C$8)),1,0)</f>
        <v/>
      </c>
      <c r="X527">
        <f>IF(AND(U527=1,N527&gt;=H527*(1-Assumptions!$C$8)),1,0)</f>
        <v/>
      </c>
      <c r="Y527">
        <f>IF(ISNUMBER(Q527),1,0)</f>
        <v/>
      </c>
      <c r="Z527">
        <f>IF(AND(K527=0,L527=0,Y527=0),1,0)</f>
        <v/>
      </c>
      <c r="AA527">
        <f>IF(AND(Z527=1,G527&lt;Assumptions!$C$6),1,0)</f>
        <v/>
      </c>
      <c r="AB527">
        <f>IF(U527=0,"",IF(Y527=1,MAX(0,Q527-G527),IF(L527=1,MAX(0,R527-G527),MAX(0,Assumptions!$C$6-G527))))</f>
        <v/>
      </c>
      <c r="AC527">
        <f>IF(Y527=1,Q527-F527,"")</f>
        <v/>
      </c>
      <c r="AD527">
        <f>IF(Y527=1,AC527^2,"")</f>
        <v/>
      </c>
      <c r="AE527" s="19">
        <f>IF(Z527=1,(H527-M527)*I527,0)</f>
        <v/>
      </c>
      <c r="AF527">
        <f>IF(G527&lt;EDATE(Assumptions!$C$6,-12)+1,"prior_12m","last_12m")</f>
        <v/>
      </c>
      <c r="AG527" s="21">
        <f>DATE(YEAR(G527),MONTH(G527),1)</f>
        <v/>
      </c>
    </row>
    <row r="528">
      <c r="A528" t="inlineStr">
        <is>
          <t>SPO-00290-1</t>
        </is>
      </c>
      <c r="B528" t="inlineStr">
        <is>
          <t>SPO-00290</t>
        </is>
      </c>
      <c r="C528" t="inlineStr">
        <is>
          <t>SUP-05</t>
        </is>
      </c>
      <c r="D528" t="inlineStr">
        <is>
          <t>FLEET</t>
        </is>
      </c>
      <c r="E528" t="inlineStr">
        <is>
          <t>FLEET-05</t>
        </is>
      </c>
      <c r="F528" s="17" t="n">
        <v>45646</v>
      </c>
      <c r="G528" s="17" t="n">
        <v>45660</v>
      </c>
      <c r="H528" s="18" t="n">
        <v>13</v>
      </c>
      <c r="I528" s="19" t="n">
        <v>162.28</v>
      </c>
      <c r="J528" s="19" t="n">
        <v>168</v>
      </c>
      <c r="K528" s="20" t="n">
        <v>0</v>
      </c>
      <c r="L528" s="20" t="n">
        <v>0</v>
      </c>
      <c r="M528" s="18" t="n">
        <v>13</v>
      </c>
      <c r="N528" s="18" t="n">
        <v>13</v>
      </c>
      <c r="O528" s="18" t="n">
        <v>0</v>
      </c>
      <c r="P528" s="17" t="n">
        <v>45659</v>
      </c>
      <c r="Q528" s="17" t="n">
        <v>45659</v>
      </c>
      <c r="R528" s="17" t="n">
        <v>45659</v>
      </c>
      <c r="S528" s="19">
        <f>H528*I528</f>
        <v/>
      </c>
      <c r="T528" s="19">
        <f>H528*J528</f>
        <v/>
      </c>
      <c r="U528">
        <f>IF(AND(K528=0,G528&lt;=Assumptions!$C$6),1,0)</f>
        <v/>
      </c>
      <c r="V528">
        <f>IF(U528=1,IF(M528&gt;0,IF(P528&lt;=G528+Assumptions!$C$7,1,0),0),0)</f>
        <v/>
      </c>
      <c r="W528">
        <f>IF(AND(U528=1,M528&gt;=H528*(1-Assumptions!$C$8)),1,0)</f>
        <v/>
      </c>
      <c r="X528">
        <f>IF(AND(U528=1,N528&gt;=H528*(1-Assumptions!$C$8)),1,0)</f>
        <v/>
      </c>
      <c r="Y528">
        <f>IF(ISNUMBER(Q528),1,0)</f>
        <v/>
      </c>
      <c r="Z528">
        <f>IF(AND(K528=0,L528=0,Y528=0),1,0)</f>
        <v/>
      </c>
      <c r="AA528">
        <f>IF(AND(Z528=1,G528&lt;Assumptions!$C$6),1,0)</f>
        <v/>
      </c>
      <c r="AB528">
        <f>IF(U528=0,"",IF(Y528=1,MAX(0,Q528-G528),IF(L528=1,MAX(0,R528-G528),MAX(0,Assumptions!$C$6-G528))))</f>
        <v/>
      </c>
      <c r="AC528">
        <f>IF(Y528=1,Q528-F528,"")</f>
        <v/>
      </c>
      <c r="AD528">
        <f>IF(Y528=1,AC528^2,"")</f>
        <v/>
      </c>
      <c r="AE528" s="19">
        <f>IF(Z528=1,(H528-M528)*I528,0)</f>
        <v/>
      </c>
      <c r="AF528">
        <f>IF(G528&lt;EDATE(Assumptions!$C$6,-12)+1,"prior_12m","last_12m")</f>
        <v/>
      </c>
      <c r="AG528" s="21">
        <f>DATE(YEAR(G528),MONTH(G528),1)</f>
        <v/>
      </c>
    </row>
    <row r="529">
      <c r="A529" t="inlineStr">
        <is>
          <t>SPO-00290-2</t>
        </is>
      </c>
      <c r="B529" t="inlineStr">
        <is>
          <t>SPO-00290</t>
        </is>
      </c>
      <c r="C529" t="inlineStr">
        <is>
          <t>SUP-05</t>
        </is>
      </c>
      <c r="D529" t="inlineStr">
        <is>
          <t>FLEET</t>
        </is>
      </c>
      <c r="E529" t="inlineStr">
        <is>
          <t>FLEET-03</t>
        </is>
      </c>
      <c r="F529" s="17" t="n">
        <v>45646</v>
      </c>
      <c r="G529" s="17" t="n">
        <v>45660</v>
      </c>
      <c r="H529" s="18" t="n">
        <v>145</v>
      </c>
      <c r="I529" s="19" t="n">
        <v>21.54</v>
      </c>
      <c r="J529" s="19" t="n">
        <v>21</v>
      </c>
      <c r="K529" s="20" t="n">
        <v>0</v>
      </c>
      <c r="L529" s="20" t="n">
        <v>0</v>
      </c>
      <c r="M529" s="18" t="n">
        <v>145</v>
      </c>
      <c r="N529" s="18" t="n">
        <v>145</v>
      </c>
      <c r="O529" s="18" t="n">
        <v>0</v>
      </c>
      <c r="P529" s="17" t="n">
        <v>45660</v>
      </c>
      <c r="Q529" s="17" t="n">
        <v>45660</v>
      </c>
      <c r="R529" s="17" t="n">
        <v>45660</v>
      </c>
      <c r="S529" s="19">
        <f>H529*I529</f>
        <v/>
      </c>
      <c r="T529" s="19">
        <f>H529*J529</f>
        <v/>
      </c>
      <c r="U529">
        <f>IF(AND(K529=0,G529&lt;=Assumptions!$C$6),1,0)</f>
        <v/>
      </c>
      <c r="V529">
        <f>IF(U529=1,IF(M529&gt;0,IF(P529&lt;=G529+Assumptions!$C$7,1,0),0),0)</f>
        <v/>
      </c>
      <c r="W529">
        <f>IF(AND(U529=1,M529&gt;=H529*(1-Assumptions!$C$8)),1,0)</f>
        <v/>
      </c>
      <c r="X529">
        <f>IF(AND(U529=1,N529&gt;=H529*(1-Assumptions!$C$8)),1,0)</f>
        <v/>
      </c>
      <c r="Y529">
        <f>IF(ISNUMBER(Q529),1,0)</f>
        <v/>
      </c>
      <c r="Z529">
        <f>IF(AND(K529=0,L529=0,Y529=0),1,0)</f>
        <v/>
      </c>
      <c r="AA529">
        <f>IF(AND(Z529=1,G529&lt;Assumptions!$C$6),1,0)</f>
        <v/>
      </c>
      <c r="AB529">
        <f>IF(U529=0,"",IF(Y529=1,MAX(0,Q529-G529),IF(L529=1,MAX(0,R529-G529),MAX(0,Assumptions!$C$6-G529))))</f>
        <v/>
      </c>
      <c r="AC529">
        <f>IF(Y529=1,Q529-F529,"")</f>
        <v/>
      </c>
      <c r="AD529">
        <f>IF(Y529=1,AC529^2,"")</f>
        <v/>
      </c>
      <c r="AE529" s="19">
        <f>IF(Z529=1,(H529-M529)*I529,0)</f>
        <v/>
      </c>
      <c r="AF529">
        <f>IF(G529&lt;EDATE(Assumptions!$C$6,-12)+1,"prior_12m","last_12m")</f>
        <v/>
      </c>
      <c r="AG529" s="21">
        <f>DATE(YEAR(G529),MONTH(G529),1)</f>
        <v/>
      </c>
    </row>
    <row r="530">
      <c r="A530" t="inlineStr">
        <is>
          <t>SPO-00291-1</t>
        </is>
      </c>
      <c r="B530" t="inlineStr">
        <is>
          <t>SPO-00291</t>
        </is>
      </c>
      <c r="C530" t="inlineStr">
        <is>
          <t>SUP-06</t>
        </is>
      </c>
      <c r="D530" t="inlineStr">
        <is>
          <t>MRO</t>
        </is>
      </c>
      <c r="E530" t="inlineStr">
        <is>
          <t>MRO-03</t>
        </is>
      </c>
      <c r="F530" s="17" t="n">
        <v>45646</v>
      </c>
      <c r="G530" s="17" t="n">
        <v>45654</v>
      </c>
      <c r="H530" s="18" t="n">
        <v>193</v>
      </c>
      <c r="I530" s="19" t="n">
        <v>8.779999999999999</v>
      </c>
      <c r="J530" s="19" t="n">
        <v>8.9</v>
      </c>
      <c r="K530" s="20" t="n">
        <v>0</v>
      </c>
      <c r="L530" s="20" t="n">
        <v>0</v>
      </c>
      <c r="M530" s="18" t="n">
        <v>193</v>
      </c>
      <c r="N530" s="18" t="n">
        <v>116</v>
      </c>
      <c r="O530" s="18" t="n">
        <v>0</v>
      </c>
      <c r="P530" s="17" t="n">
        <v>45654</v>
      </c>
      <c r="Q530" s="17" t="n">
        <v>45661</v>
      </c>
      <c r="R530" s="17" t="n">
        <v>45661</v>
      </c>
      <c r="S530" s="19">
        <f>H530*I530</f>
        <v/>
      </c>
      <c r="T530" s="19">
        <f>H530*J530</f>
        <v/>
      </c>
      <c r="U530">
        <f>IF(AND(K530=0,G530&lt;=Assumptions!$C$6),1,0)</f>
        <v/>
      </c>
      <c r="V530">
        <f>IF(U530=1,IF(M530&gt;0,IF(P530&lt;=G530+Assumptions!$C$7,1,0),0),0)</f>
        <v/>
      </c>
      <c r="W530">
        <f>IF(AND(U530=1,M530&gt;=H530*(1-Assumptions!$C$8)),1,0)</f>
        <v/>
      </c>
      <c r="X530">
        <f>IF(AND(U530=1,N530&gt;=H530*(1-Assumptions!$C$8)),1,0)</f>
        <v/>
      </c>
      <c r="Y530">
        <f>IF(ISNUMBER(Q530),1,0)</f>
        <v/>
      </c>
      <c r="Z530">
        <f>IF(AND(K530=0,L530=0,Y530=0),1,0)</f>
        <v/>
      </c>
      <c r="AA530">
        <f>IF(AND(Z530=1,G530&lt;Assumptions!$C$6),1,0)</f>
        <v/>
      </c>
      <c r="AB530">
        <f>IF(U530=0,"",IF(Y530=1,MAX(0,Q530-G530),IF(L530=1,MAX(0,R530-G530),MAX(0,Assumptions!$C$6-G530))))</f>
        <v/>
      </c>
      <c r="AC530">
        <f>IF(Y530=1,Q530-F530,"")</f>
        <v/>
      </c>
      <c r="AD530">
        <f>IF(Y530=1,AC530^2,"")</f>
        <v/>
      </c>
      <c r="AE530" s="19">
        <f>IF(Z530=1,(H530-M530)*I530,0)</f>
        <v/>
      </c>
      <c r="AF530">
        <f>IF(G530&lt;EDATE(Assumptions!$C$6,-12)+1,"prior_12m","last_12m")</f>
        <v/>
      </c>
      <c r="AG530" s="21">
        <f>DATE(YEAR(G530),MONTH(G530),1)</f>
        <v/>
      </c>
    </row>
    <row r="531">
      <c r="A531" t="inlineStr">
        <is>
          <t>SPO-00292-1</t>
        </is>
      </c>
      <c r="B531" t="inlineStr">
        <is>
          <t>SPO-00292</t>
        </is>
      </c>
      <c r="C531" t="inlineStr">
        <is>
          <t>SUP-02</t>
        </is>
      </c>
      <c r="D531" t="inlineStr">
        <is>
          <t>ELEC</t>
        </is>
      </c>
      <c r="E531" t="inlineStr">
        <is>
          <t>ELEC-05</t>
        </is>
      </c>
      <c r="F531" s="17" t="n">
        <v>45646</v>
      </c>
      <c r="G531" s="17" t="n">
        <v>45662</v>
      </c>
      <c r="H531" s="18" t="n">
        <v>109</v>
      </c>
      <c r="I531" s="19" t="n">
        <v>10.96</v>
      </c>
      <c r="J531" s="19" t="n">
        <v>11.5</v>
      </c>
      <c r="K531" s="20" t="n">
        <v>0</v>
      </c>
      <c r="L531" s="20" t="n">
        <v>0</v>
      </c>
      <c r="M531" s="18" t="n">
        <v>109</v>
      </c>
      <c r="N531" s="18" t="n">
        <v>109</v>
      </c>
      <c r="O531" s="18" t="n">
        <v>0</v>
      </c>
      <c r="P531" s="17" t="n">
        <v>45661</v>
      </c>
      <c r="Q531" s="17" t="n">
        <v>45661</v>
      </c>
      <c r="R531" s="17" t="n">
        <v>45661</v>
      </c>
      <c r="S531" s="19">
        <f>H531*I531</f>
        <v/>
      </c>
      <c r="T531" s="19">
        <f>H531*J531</f>
        <v/>
      </c>
      <c r="U531">
        <f>IF(AND(K531=0,G531&lt;=Assumptions!$C$6),1,0)</f>
        <v/>
      </c>
      <c r="V531">
        <f>IF(U531=1,IF(M531&gt;0,IF(P531&lt;=G531+Assumptions!$C$7,1,0),0),0)</f>
        <v/>
      </c>
      <c r="W531">
        <f>IF(AND(U531=1,M531&gt;=H531*(1-Assumptions!$C$8)),1,0)</f>
        <v/>
      </c>
      <c r="X531">
        <f>IF(AND(U531=1,N531&gt;=H531*(1-Assumptions!$C$8)),1,0)</f>
        <v/>
      </c>
      <c r="Y531">
        <f>IF(ISNUMBER(Q531),1,0)</f>
        <v/>
      </c>
      <c r="Z531">
        <f>IF(AND(K531=0,L531=0,Y531=0),1,0)</f>
        <v/>
      </c>
      <c r="AA531">
        <f>IF(AND(Z531=1,G531&lt;Assumptions!$C$6),1,0)</f>
        <v/>
      </c>
      <c r="AB531">
        <f>IF(U531=0,"",IF(Y531=1,MAX(0,Q531-G531),IF(L531=1,MAX(0,R531-G531),MAX(0,Assumptions!$C$6-G531))))</f>
        <v/>
      </c>
      <c r="AC531">
        <f>IF(Y531=1,Q531-F531,"")</f>
        <v/>
      </c>
      <c r="AD531">
        <f>IF(Y531=1,AC531^2,"")</f>
        <v/>
      </c>
      <c r="AE531" s="19">
        <f>IF(Z531=1,(H531-M531)*I531,0)</f>
        <v/>
      </c>
      <c r="AF531">
        <f>IF(G531&lt;EDATE(Assumptions!$C$6,-12)+1,"prior_12m","last_12m")</f>
        <v/>
      </c>
      <c r="AG531" s="21">
        <f>DATE(YEAR(G531),MONTH(G531),1)</f>
        <v/>
      </c>
    </row>
    <row r="532">
      <c r="A532" t="inlineStr">
        <is>
          <t>SPO-00293-1</t>
        </is>
      </c>
      <c r="B532" t="inlineStr">
        <is>
          <t>SPO-00293</t>
        </is>
      </c>
      <c r="C532" t="inlineStr">
        <is>
          <t>SUP-01</t>
        </is>
      </c>
      <c r="D532" t="inlineStr">
        <is>
          <t>ELEC</t>
        </is>
      </c>
      <c r="E532" t="inlineStr">
        <is>
          <t>ELEC-02</t>
        </is>
      </c>
      <c r="F532" s="17" t="n">
        <v>45647</v>
      </c>
      <c r="G532" s="17" t="n">
        <v>45665</v>
      </c>
      <c r="H532" s="18" t="n">
        <v>1430</v>
      </c>
      <c r="I532" s="19" t="n">
        <v>4.38</v>
      </c>
      <c r="J532" s="19" t="n">
        <v>4.2</v>
      </c>
      <c r="K532" s="20" t="n">
        <v>0</v>
      </c>
      <c r="L532" s="20" t="n">
        <v>0</v>
      </c>
      <c r="M532" s="18" t="n">
        <v>1430</v>
      </c>
      <c r="N532" s="18" t="n">
        <v>1430</v>
      </c>
      <c r="O532" s="18" t="n">
        <v>0</v>
      </c>
      <c r="P532" s="17" t="n">
        <v>45661</v>
      </c>
      <c r="Q532" s="17" t="n">
        <v>45661</v>
      </c>
      <c r="R532" s="17" t="n">
        <v>45661</v>
      </c>
      <c r="S532" s="19">
        <f>H532*I532</f>
        <v/>
      </c>
      <c r="T532" s="19">
        <f>H532*J532</f>
        <v/>
      </c>
      <c r="U532">
        <f>IF(AND(K532=0,G532&lt;=Assumptions!$C$6),1,0)</f>
        <v/>
      </c>
      <c r="V532">
        <f>IF(U532=1,IF(M532&gt;0,IF(P532&lt;=G532+Assumptions!$C$7,1,0),0),0)</f>
        <v/>
      </c>
      <c r="W532">
        <f>IF(AND(U532=1,M532&gt;=H532*(1-Assumptions!$C$8)),1,0)</f>
        <v/>
      </c>
      <c r="X532">
        <f>IF(AND(U532=1,N532&gt;=H532*(1-Assumptions!$C$8)),1,0)</f>
        <v/>
      </c>
      <c r="Y532">
        <f>IF(ISNUMBER(Q532),1,0)</f>
        <v/>
      </c>
      <c r="Z532">
        <f>IF(AND(K532=0,L532=0,Y532=0),1,0)</f>
        <v/>
      </c>
      <c r="AA532">
        <f>IF(AND(Z532=1,G532&lt;Assumptions!$C$6),1,0)</f>
        <v/>
      </c>
      <c r="AB532">
        <f>IF(U532=0,"",IF(Y532=1,MAX(0,Q532-G532),IF(L532=1,MAX(0,R532-G532),MAX(0,Assumptions!$C$6-G532))))</f>
        <v/>
      </c>
      <c r="AC532">
        <f>IF(Y532=1,Q532-F532,"")</f>
        <v/>
      </c>
      <c r="AD532">
        <f>IF(Y532=1,AC532^2,"")</f>
        <v/>
      </c>
      <c r="AE532" s="19">
        <f>IF(Z532=1,(H532-M532)*I532,0)</f>
        <v/>
      </c>
      <c r="AF532">
        <f>IF(G532&lt;EDATE(Assumptions!$C$6,-12)+1,"prior_12m","last_12m")</f>
        <v/>
      </c>
      <c r="AG532" s="21">
        <f>DATE(YEAR(G532),MONTH(G532),1)</f>
        <v/>
      </c>
    </row>
    <row r="533">
      <c r="A533" t="inlineStr">
        <is>
          <t>SPO-00293-2</t>
        </is>
      </c>
      <c r="B533" t="inlineStr">
        <is>
          <t>SPO-00293</t>
        </is>
      </c>
      <c r="C533" t="inlineStr">
        <is>
          <t>SUP-01</t>
        </is>
      </c>
      <c r="D533" t="inlineStr">
        <is>
          <t>ELEC</t>
        </is>
      </c>
      <c r="E533" t="inlineStr">
        <is>
          <t>ELEC-04</t>
        </is>
      </c>
      <c r="F533" s="17" t="n">
        <v>45647</v>
      </c>
      <c r="G533" s="17" t="n">
        <v>45665</v>
      </c>
      <c r="H533" s="18" t="n">
        <v>26</v>
      </c>
      <c r="I533" s="19" t="n">
        <v>74.37</v>
      </c>
      <c r="J533" s="19" t="n">
        <v>72</v>
      </c>
      <c r="K533" s="20" t="n">
        <v>0</v>
      </c>
      <c r="L533" s="20" t="n">
        <v>0</v>
      </c>
      <c r="M533" s="18" t="n">
        <v>26</v>
      </c>
      <c r="N533" s="18" t="n">
        <v>26</v>
      </c>
      <c r="O533" s="18" t="n">
        <v>0</v>
      </c>
      <c r="P533" s="17" t="n">
        <v>45665</v>
      </c>
      <c r="Q533" s="17" t="n">
        <v>45665</v>
      </c>
      <c r="R533" s="17" t="n">
        <v>45665</v>
      </c>
      <c r="S533" s="19">
        <f>H533*I533</f>
        <v/>
      </c>
      <c r="T533" s="19">
        <f>H533*J533</f>
        <v/>
      </c>
      <c r="U533">
        <f>IF(AND(K533=0,G533&lt;=Assumptions!$C$6),1,0)</f>
        <v/>
      </c>
      <c r="V533">
        <f>IF(U533=1,IF(M533&gt;0,IF(P533&lt;=G533+Assumptions!$C$7,1,0),0),0)</f>
        <v/>
      </c>
      <c r="W533">
        <f>IF(AND(U533=1,M533&gt;=H533*(1-Assumptions!$C$8)),1,0)</f>
        <v/>
      </c>
      <c r="X533">
        <f>IF(AND(U533=1,N533&gt;=H533*(1-Assumptions!$C$8)),1,0)</f>
        <v/>
      </c>
      <c r="Y533">
        <f>IF(ISNUMBER(Q533),1,0)</f>
        <v/>
      </c>
      <c r="Z533">
        <f>IF(AND(K533=0,L533=0,Y533=0),1,0)</f>
        <v/>
      </c>
      <c r="AA533">
        <f>IF(AND(Z533=1,G533&lt;Assumptions!$C$6),1,0)</f>
        <v/>
      </c>
      <c r="AB533">
        <f>IF(U533=0,"",IF(Y533=1,MAX(0,Q533-G533),IF(L533=1,MAX(0,R533-G533),MAX(0,Assumptions!$C$6-G533))))</f>
        <v/>
      </c>
      <c r="AC533">
        <f>IF(Y533=1,Q533-F533,"")</f>
        <v/>
      </c>
      <c r="AD533">
        <f>IF(Y533=1,AC533^2,"")</f>
        <v/>
      </c>
      <c r="AE533" s="19">
        <f>IF(Z533=1,(H533-M533)*I533,0)</f>
        <v/>
      </c>
      <c r="AF533">
        <f>IF(G533&lt;EDATE(Assumptions!$C$6,-12)+1,"prior_12m","last_12m")</f>
        <v/>
      </c>
      <c r="AG533" s="21">
        <f>DATE(YEAR(G533),MONTH(G533),1)</f>
        <v/>
      </c>
    </row>
    <row r="534">
      <c r="A534" t="inlineStr">
        <is>
          <t>SPO-00293-3</t>
        </is>
      </c>
      <c r="B534" t="inlineStr">
        <is>
          <t>SPO-00293</t>
        </is>
      </c>
      <c r="C534" t="inlineStr">
        <is>
          <t>SUP-01</t>
        </is>
      </c>
      <c r="D534" t="inlineStr">
        <is>
          <t>ELEC</t>
        </is>
      </c>
      <c r="E534" t="inlineStr">
        <is>
          <t>ELEC-05</t>
        </is>
      </c>
      <c r="F534" s="17" t="n">
        <v>45647</v>
      </c>
      <c r="G534" s="17" t="n">
        <v>45665</v>
      </c>
      <c r="H534" s="18" t="n">
        <v>207</v>
      </c>
      <c r="I534" s="19" t="n">
        <v>11.17</v>
      </c>
      <c r="J534" s="19" t="n">
        <v>11.5</v>
      </c>
      <c r="K534" s="20" t="n">
        <v>0</v>
      </c>
      <c r="L534" s="20" t="n">
        <v>0</v>
      </c>
      <c r="M534" s="18" t="n">
        <v>207</v>
      </c>
      <c r="N534" s="18" t="n">
        <v>207</v>
      </c>
      <c r="O534" s="18" t="n">
        <v>0</v>
      </c>
      <c r="P534" s="17" t="n">
        <v>45664</v>
      </c>
      <c r="Q534" s="17" t="n">
        <v>45664</v>
      </c>
      <c r="R534" s="17" t="n">
        <v>45664</v>
      </c>
      <c r="S534" s="19">
        <f>H534*I534</f>
        <v/>
      </c>
      <c r="T534" s="19">
        <f>H534*J534</f>
        <v/>
      </c>
      <c r="U534">
        <f>IF(AND(K534=0,G534&lt;=Assumptions!$C$6),1,0)</f>
        <v/>
      </c>
      <c r="V534">
        <f>IF(U534=1,IF(M534&gt;0,IF(P534&lt;=G534+Assumptions!$C$7,1,0),0),0)</f>
        <v/>
      </c>
      <c r="W534">
        <f>IF(AND(U534=1,M534&gt;=H534*(1-Assumptions!$C$8)),1,0)</f>
        <v/>
      </c>
      <c r="X534">
        <f>IF(AND(U534=1,N534&gt;=H534*(1-Assumptions!$C$8)),1,0)</f>
        <v/>
      </c>
      <c r="Y534">
        <f>IF(ISNUMBER(Q534),1,0)</f>
        <v/>
      </c>
      <c r="Z534">
        <f>IF(AND(K534=0,L534=0,Y534=0),1,0)</f>
        <v/>
      </c>
      <c r="AA534">
        <f>IF(AND(Z534=1,G534&lt;Assumptions!$C$6),1,0)</f>
        <v/>
      </c>
      <c r="AB534">
        <f>IF(U534=0,"",IF(Y534=1,MAX(0,Q534-G534),IF(L534=1,MAX(0,R534-G534),MAX(0,Assumptions!$C$6-G534))))</f>
        <v/>
      </c>
      <c r="AC534">
        <f>IF(Y534=1,Q534-F534,"")</f>
        <v/>
      </c>
      <c r="AD534">
        <f>IF(Y534=1,AC534^2,"")</f>
        <v/>
      </c>
      <c r="AE534" s="19">
        <f>IF(Z534=1,(H534-M534)*I534,0)</f>
        <v/>
      </c>
      <c r="AF534">
        <f>IF(G534&lt;EDATE(Assumptions!$C$6,-12)+1,"prior_12m","last_12m")</f>
        <v/>
      </c>
      <c r="AG534" s="21">
        <f>DATE(YEAR(G534),MONTH(G534),1)</f>
        <v/>
      </c>
    </row>
    <row r="535">
      <c r="A535" t="inlineStr">
        <is>
          <t>SPO-00293-4</t>
        </is>
      </c>
      <c r="B535" t="inlineStr">
        <is>
          <t>SPO-00293</t>
        </is>
      </c>
      <c r="C535" t="inlineStr">
        <is>
          <t>SUP-01</t>
        </is>
      </c>
      <c r="D535" t="inlineStr">
        <is>
          <t>ELEC</t>
        </is>
      </c>
      <c r="E535" t="inlineStr">
        <is>
          <t>ELEC-07</t>
        </is>
      </c>
      <c r="F535" s="17" t="n">
        <v>45647</v>
      </c>
      <c r="G535" s="17" t="n">
        <v>45665</v>
      </c>
      <c r="H535" s="18" t="n">
        <v>76</v>
      </c>
      <c r="I535" s="19" t="n">
        <v>10.21</v>
      </c>
      <c r="J535" s="19" t="n">
        <v>9.800000000000001</v>
      </c>
      <c r="K535" s="20" t="n">
        <v>0</v>
      </c>
      <c r="L535" s="20" t="n">
        <v>0</v>
      </c>
      <c r="M535" s="18" t="n">
        <v>76</v>
      </c>
      <c r="N535" s="18" t="n">
        <v>76</v>
      </c>
      <c r="O535" s="18" t="n">
        <v>0</v>
      </c>
      <c r="P535" s="17" t="n">
        <v>45660</v>
      </c>
      <c r="Q535" s="17" t="n">
        <v>45660</v>
      </c>
      <c r="R535" s="17" t="n">
        <v>45660</v>
      </c>
      <c r="S535" s="19">
        <f>H535*I535</f>
        <v/>
      </c>
      <c r="T535" s="19">
        <f>H535*J535</f>
        <v/>
      </c>
      <c r="U535">
        <f>IF(AND(K535=0,G535&lt;=Assumptions!$C$6),1,0)</f>
        <v/>
      </c>
      <c r="V535">
        <f>IF(U535=1,IF(M535&gt;0,IF(P535&lt;=G535+Assumptions!$C$7,1,0),0),0)</f>
        <v/>
      </c>
      <c r="W535">
        <f>IF(AND(U535=1,M535&gt;=H535*(1-Assumptions!$C$8)),1,0)</f>
        <v/>
      </c>
      <c r="X535">
        <f>IF(AND(U535=1,N535&gt;=H535*(1-Assumptions!$C$8)),1,0)</f>
        <v/>
      </c>
      <c r="Y535">
        <f>IF(ISNUMBER(Q535),1,0)</f>
        <v/>
      </c>
      <c r="Z535">
        <f>IF(AND(K535=0,L535=0,Y535=0),1,0)</f>
        <v/>
      </c>
      <c r="AA535">
        <f>IF(AND(Z535=1,G535&lt;Assumptions!$C$6),1,0)</f>
        <v/>
      </c>
      <c r="AB535">
        <f>IF(U535=0,"",IF(Y535=1,MAX(0,Q535-G535),IF(L535=1,MAX(0,R535-G535),MAX(0,Assumptions!$C$6-G535))))</f>
        <v/>
      </c>
      <c r="AC535">
        <f>IF(Y535=1,Q535-F535,"")</f>
        <v/>
      </c>
      <c r="AD535">
        <f>IF(Y535=1,AC535^2,"")</f>
        <v/>
      </c>
      <c r="AE535" s="19">
        <f>IF(Z535=1,(H535-M535)*I535,0)</f>
        <v/>
      </c>
      <c r="AF535">
        <f>IF(G535&lt;EDATE(Assumptions!$C$6,-12)+1,"prior_12m","last_12m")</f>
        <v/>
      </c>
      <c r="AG535" s="21">
        <f>DATE(YEAR(G535),MONTH(G535),1)</f>
        <v/>
      </c>
    </row>
    <row r="536">
      <c r="A536" t="inlineStr">
        <is>
          <t>SPO-00294-1</t>
        </is>
      </c>
      <c r="B536" t="inlineStr">
        <is>
          <t>SPO-00294</t>
        </is>
      </c>
      <c r="C536" t="inlineStr">
        <is>
          <t>SUP-14</t>
        </is>
      </c>
      <c r="D536" t="inlineStr">
        <is>
          <t>FLEET</t>
        </is>
      </c>
      <c r="E536" t="inlineStr">
        <is>
          <t>FLEET-02</t>
        </is>
      </c>
      <c r="F536" s="17" t="n">
        <v>45647</v>
      </c>
      <c r="G536" s="17" t="n">
        <v>45661</v>
      </c>
      <c r="H536" s="18" t="n">
        <v>115</v>
      </c>
      <c r="I536" s="19" t="n">
        <v>7.36</v>
      </c>
      <c r="J536" s="19" t="n">
        <v>7.5</v>
      </c>
      <c r="K536" s="20" t="n">
        <v>0</v>
      </c>
      <c r="L536" s="20" t="n">
        <v>0</v>
      </c>
      <c r="M536" s="18" t="n">
        <v>115</v>
      </c>
      <c r="N536" s="18" t="n">
        <v>115</v>
      </c>
      <c r="O536" s="18" t="n">
        <v>0</v>
      </c>
      <c r="P536" s="17" t="n">
        <v>45655</v>
      </c>
      <c r="Q536" s="17" t="n">
        <v>45655</v>
      </c>
      <c r="R536" s="17" t="n">
        <v>45655</v>
      </c>
      <c r="S536" s="19">
        <f>H536*I536</f>
        <v/>
      </c>
      <c r="T536" s="19">
        <f>H536*J536</f>
        <v/>
      </c>
      <c r="U536">
        <f>IF(AND(K536=0,G536&lt;=Assumptions!$C$6),1,0)</f>
        <v/>
      </c>
      <c r="V536">
        <f>IF(U536=1,IF(M536&gt;0,IF(P536&lt;=G536+Assumptions!$C$7,1,0),0),0)</f>
        <v/>
      </c>
      <c r="W536">
        <f>IF(AND(U536=1,M536&gt;=H536*(1-Assumptions!$C$8)),1,0)</f>
        <v/>
      </c>
      <c r="X536">
        <f>IF(AND(U536=1,N536&gt;=H536*(1-Assumptions!$C$8)),1,0)</f>
        <v/>
      </c>
      <c r="Y536">
        <f>IF(ISNUMBER(Q536),1,0)</f>
        <v/>
      </c>
      <c r="Z536">
        <f>IF(AND(K536=0,L536=0,Y536=0),1,0)</f>
        <v/>
      </c>
      <c r="AA536">
        <f>IF(AND(Z536=1,G536&lt;Assumptions!$C$6),1,0)</f>
        <v/>
      </c>
      <c r="AB536">
        <f>IF(U536=0,"",IF(Y536=1,MAX(0,Q536-G536),IF(L536=1,MAX(0,R536-G536),MAX(0,Assumptions!$C$6-G536))))</f>
        <v/>
      </c>
      <c r="AC536">
        <f>IF(Y536=1,Q536-F536,"")</f>
        <v/>
      </c>
      <c r="AD536">
        <f>IF(Y536=1,AC536^2,"")</f>
        <v/>
      </c>
      <c r="AE536" s="19">
        <f>IF(Z536=1,(H536-M536)*I536,0)</f>
        <v/>
      </c>
      <c r="AF536">
        <f>IF(G536&lt;EDATE(Assumptions!$C$6,-12)+1,"prior_12m","last_12m")</f>
        <v/>
      </c>
      <c r="AG536" s="21">
        <f>DATE(YEAR(G536),MONTH(G536),1)</f>
        <v/>
      </c>
    </row>
    <row r="537">
      <c r="A537" t="inlineStr">
        <is>
          <t>SPO-00294-2</t>
        </is>
      </c>
      <c r="B537" t="inlineStr">
        <is>
          <t>SPO-00294</t>
        </is>
      </c>
      <c r="C537" t="inlineStr">
        <is>
          <t>SUP-14</t>
        </is>
      </c>
      <c r="D537" t="inlineStr">
        <is>
          <t>FLEET</t>
        </is>
      </c>
      <c r="E537" t="inlineStr">
        <is>
          <t>FLEET-01</t>
        </is>
      </c>
      <c r="F537" s="17" t="n">
        <v>45647</v>
      </c>
      <c r="G537" s="17" t="n">
        <v>45661</v>
      </c>
      <c r="H537" s="18" t="n">
        <v>38</v>
      </c>
      <c r="I537" s="19" t="n">
        <v>63.84</v>
      </c>
      <c r="J537" s="19" t="n">
        <v>64</v>
      </c>
      <c r="K537" s="20" t="n">
        <v>0</v>
      </c>
      <c r="L537" s="20" t="n">
        <v>0</v>
      </c>
      <c r="M537" s="18" t="n">
        <v>38</v>
      </c>
      <c r="N537" s="18" t="n">
        <v>38</v>
      </c>
      <c r="O537" s="18" t="n">
        <v>0</v>
      </c>
      <c r="P537" s="17" t="n">
        <v>45656</v>
      </c>
      <c r="Q537" s="17" t="n">
        <v>45656</v>
      </c>
      <c r="R537" s="17" t="n">
        <v>45656</v>
      </c>
      <c r="S537" s="19">
        <f>H537*I537</f>
        <v/>
      </c>
      <c r="T537" s="19">
        <f>H537*J537</f>
        <v/>
      </c>
      <c r="U537">
        <f>IF(AND(K537=0,G537&lt;=Assumptions!$C$6),1,0)</f>
        <v/>
      </c>
      <c r="V537">
        <f>IF(U537=1,IF(M537&gt;0,IF(P537&lt;=G537+Assumptions!$C$7,1,0),0),0)</f>
        <v/>
      </c>
      <c r="W537">
        <f>IF(AND(U537=1,M537&gt;=H537*(1-Assumptions!$C$8)),1,0)</f>
        <v/>
      </c>
      <c r="X537">
        <f>IF(AND(U537=1,N537&gt;=H537*(1-Assumptions!$C$8)),1,0)</f>
        <v/>
      </c>
      <c r="Y537">
        <f>IF(ISNUMBER(Q537),1,0)</f>
        <v/>
      </c>
      <c r="Z537">
        <f>IF(AND(K537=0,L537=0,Y537=0),1,0)</f>
        <v/>
      </c>
      <c r="AA537">
        <f>IF(AND(Z537=1,G537&lt;Assumptions!$C$6),1,0)</f>
        <v/>
      </c>
      <c r="AB537">
        <f>IF(U537=0,"",IF(Y537=1,MAX(0,Q537-G537),IF(L537=1,MAX(0,R537-G537),MAX(0,Assumptions!$C$6-G537))))</f>
        <v/>
      </c>
      <c r="AC537">
        <f>IF(Y537=1,Q537-F537,"")</f>
        <v/>
      </c>
      <c r="AD537">
        <f>IF(Y537=1,AC537^2,"")</f>
        <v/>
      </c>
      <c r="AE537" s="19">
        <f>IF(Z537=1,(H537-M537)*I537,0)</f>
        <v/>
      </c>
      <c r="AF537">
        <f>IF(G537&lt;EDATE(Assumptions!$C$6,-12)+1,"prior_12m","last_12m")</f>
        <v/>
      </c>
      <c r="AG537" s="21">
        <f>DATE(YEAR(G537),MONTH(G537),1)</f>
        <v/>
      </c>
    </row>
    <row r="538">
      <c r="A538" t="inlineStr">
        <is>
          <t>SPO-00295-1</t>
        </is>
      </c>
      <c r="B538" t="inlineStr">
        <is>
          <t>SPO-00295</t>
        </is>
      </c>
      <c r="C538" t="inlineStr">
        <is>
          <t>SUP-01</t>
        </is>
      </c>
      <c r="D538" t="inlineStr">
        <is>
          <t>ELEC</t>
        </is>
      </c>
      <c r="E538" t="inlineStr">
        <is>
          <t>ELEC-05</t>
        </is>
      </c>
      <c r="F538" s="17" t="n">
        <v>45647</v>
      </c>
      <c r="G538" s="17" t="n">
        <v>45665</v>
      </c>
      <c r="H538" s="18" t="n">
        <v>264</v>
      </c>
      <c r="I538" s="19" t="n">
        <v>11.69</v>
      </c>
      <c r="J538" s="19" t="n">
        <v>11.5</v>
      </c>
      <c r="K538" s="20" t="n">
        <v>0</v>
      </c>
      <c r="L538" s="20" t="n">
        <v>0</v>
      </c>
      <c r="M538" s="18" t="n">
        <v>264</v>
      </c>
      <c r="N538" s="18" t="n">
        <v>264</v>
      </c>
      <c r="O538" s="18" t="n">
        <v>0</v>
      </c>
      <c r="P538" s="17" t="n">
        <v>45665</v>
      </c>
      <c r="Q538" s="17" t="n">
        <v>45665</v>
      </c>
      <c r="R538" s="17" t="n">
        <v>45665</v>
      </c>
      <c r="S538" s="19">
        <f>H538*I538</f>
        <v/>
      </c>
      <c r="T538" s="19">
        <f>H538*J538</f>
        <v/>
      </c>
      <c r="U538">
        <f>IF(AND(K538=0,G538&lt;=Assumptions!$C$6),1,0)</f>
        <v/>
      </c>
      <c r="V538">
        <f>IF(U538=1,IF(M538&gt;0,IF(P538&lt;=G538+Assumptions!$C$7,1,0),0),0)</f>
        <v/>
      </c>
      <c r="W538">
        <f>IF(AND(U538=1,M538&gt;=H538*(1-Assumptions!$C$8)),1,0)</f>
        <v/>
      </c>
      <c r="X538">
        <f>IF(AND(U538=1,N538&gt;=H538*(1-Assumptions!$C$8)),1,0)</f>
        <v/>
      </c>
      <c r="Y538">
        <f>IF(ISNUMBER(Q538),1,0)</f>
        <v/>
      </c>
      <c r="Z538">
        <f>IF(AND(K538=0,L538=0,Y538=0),1,0)</f>
        <v/>
      </c>
      <c r="AA538">
        <f>IF(AND(Z538=1,G538&lt;Assumptions!$C$6),1,0)</f>
        <v/>
      </c>
      <c r="AB538">
        <f>IF(U538=0,"",IF(Y538=1,MAX(0,Q538-G538),IF(L538=1,MAX(0,R538-G538),MAX(0,Assumptions!$C$6-G538))))</f>
        <v/>
      </c>
      <c r="AC538">
        <f>IF(Y538=1,Q538-F538,"")</f>
        <v/>
      </c>
      <c r="AD538">
        <f>IF(Y538=1,AC538^2,"")</f>
        <v/>
      </c>
      <c r="AE538" s="19">
        <f>IF(Z538=1,(H538-M538)*I538,0)</f>
        <v/>
      </c>
      <c r="AF538">
        <f>IF(G538&lt;EDATE(Assumptions!$C$6,-12)+1,"prior_12m","last_12m")</f>
        <v/>
      </c>
      <c r="AG538" s="21">
        <f>DATE(YEAR(G538),MONTH(G538),1)</f>
        <v/>
      </c>
    </row>
    <row r="539">
      <c r="A539" t="inlineStr">
        <is>
          <t>SPO-00295-2</t>
        </is>
      </c>
      <c r="B539" t="inlineStr">
        <is>
          <t>SPO-00295</t>
        </is>
      </c>
      <c r="C539" t="inlineStr">
        <is>
          <t>SUP-01</t>
        </is>
      </c>
      <c r="D539" t="inlineStr">
        <is>
          <t>ELEC</t>
        </is>
      </c>
      <c r="E539" t="inlineStr">
        <is>
          <t>ELEC-07</t>
        </is>
      </c>
      <c r="F539" s="17" t="n">
        <v>45647</v>
      </c>
      <c r="G539" s="17" t="n">
        <v>45665</v>
      </c>
      <c r="H539" s="18" t="n">
        <v>192</v>
      </c>
      <c r="I539" s="19" t="n">
        <v>9.880000000000001</v>
      </c>
      <c r="J539" s="19" t="n">
        <v>9.800000000000001</v>
      </c>
      <c r="K539" s="20" t="n">
        <v>0</v>
      </c>
      <c r="L539" s="20" t="n">
        <v>0</v>
      </c>
      <c r="M539" s="18" t="n">
        <v>192</v>
      </c>
      <c r="N539" s="18" t="n">
        <v>97</v>
      </c>
      <c r="O539" s="18" t="n">
        <v>0</v>
      </c>
      <c r="P539" s="17" t="n">
        <v>45663</v>
      </c>
      <c r="Q539" s="17" t="n">
        <v>45681</v>
      </c>
      <c r="R539" s="17" t="n">
        <v>45681</v>
      </c>
      <c r="S539" s="19">
        <f>H539*I539</f>
        <v/>
      </c>
      <c r="T539" s="19">
        <f>H539*J539</f>
        <v/>
      </c>
      <c r="U539">
        <f>IF(AND(K539=0,G539&lt;=Assumptions!$C$6),1,0)</f>
        <v/>
      </c>
      <c r="V539">
        <f>IF(U539=1,IF(M539&gt;0,IF(P539&lt;=G539+Assumptions!$C$7,1,0),0),0)</f>
        <v/>
      </c>
      <c r="W539">
        <f>IF(AND(U539=1,M539&gt;=H539*(1-Assumptions!$C$8)),1,0)</f>
        <v/>
      </c>
      <c r="X539">
        <f>IF(AND(U539=1,N539&gt;=H539*(1-Assumptions!$C$8)),1,0)</f>
        <v/>
      </c>
      <c r="Y539">
        <f>IF(ISNUMBER(Q539),1,0)</f>
        <v/>
      </c>
      <c r="Z539">
        <f>IF(AND(K539=0,L539=0,Y539=0),1,0)</f>
        <v/>
      </c>
      <c r="AA539">
        <f>IF(AND(Z539=1,G539&lt;Assumptions!$C$6),1,0)</f>
        <v/>
      </c>
      <c r="AB539">
        <f>IF(U539=0,"",IF(Y539=1,MAX(0,Q539-G539),IF(L539=1,MAX(0,R539-G539),MAX(0,Assumptions!$C$6-G539))))</f>
        <v/>
      </c>
      <c r="AC539">
        <f>IF(Y539=1,Q539-F539,"")</f>
        <v/>
      </c>
      <c r="AD539">
        <f>IF(Y539=1,AC539^2,"")</f>
        <v/>
      </c>
      <c r="AE539" s="19">
        <f>IF(Z539=1,(H539-M539)*I539,0)</f>
        <v/>
      </c>
      <c r="AF539">
        <f>IF(G539&lt;EDATE(Assumptions!$C$6,-12)+1,"prior_12m","last_12m")</f>
        <v/>
      </c>
      <c r="AG539" s="21">
        <f>DATE(YEAR(G539),MONTH(G539),1)</f>
        <v/>
      </c>
    </row>
    <row r="540">
      <c r="A540" t="inlineStr">
        <is>
          <t>SPO-00296-1</t>
        </is>
      </c>
      <c r="B540" t="inlineStr">
        <is>
          <t>SPO-00296</t>
        </is>
      </c>
      <c r="C540" t="inlineStr">
        <is>
          <t>SUP-05</t>
        </is>
      </c>
      <c r="D540" t="inlineStr">
        <is>
          <t>FLEET</t>
        </is>
      </c>
      <c r="E540" t="inlineStr">
        <is>
          <t>FLEET-06</t>
        </is>
      </c>
      <c r="F540" s="17" t="n">
        <v>45647</v>
      </c>
      <c r="G540" s="17" t="n">
        <v>45661</v>
      </c>
      <c r="H540" s="18" t="n">
        <v>83</v>
      </c>
      <c r="I540" s="19" t="n">
        <v>33.04</v>
      </c>
      <c r="J540" s="19" t="n">
        <v>33</v>
      </c>
      <c r="K540" s="20" t="n">
        <v>0</v>
      </c>
      <c r="L540" s="20" t="n">
        <v>0</v>
      </c>
      <c r="M540" s="18" t="n">
        <v>83</v>
      </c>
      <c r="N540" s="18" t="n">
        <v>83</v>
      </c>
      <c r="O540" s="18" t="n">
        <v>0</v>
      </c>
      <c r="P540" s="17" t="n">
        <v>45658</v>
      </c>
      <c r="Q540" s="17" t="n">
        <v>45658</v>
      </c>
      <c r="R540" s="17" t="n">
        <v>45658</v>
      </c>
      <c r="S540" s="19">
        <f>H540*I540</f>
        <v/>
      </c>
      <c r="T540" s="19">
        <f>H540*J540</f>
        <v/>
      </c>
      <c r="U540">
        <f>IF(AND(K540=0,G540&lt;=Assumptions!$C$6),1,0)</f>
        <v/>
      </c>
      <c r="V540">
        <f>IF(U540=1,IF(M540&gt;0,IF(P540&lt;=G540+Assumptions!$C$7,1,0),0),0)</f>
        <v/>
      </c>
      <c r="W540">
        <f>IF(AND(U540=1,M540&gt;=H540*(1-Assumptions!$C$8)),1,0)</f>
        <v/>
      </c>
      <c r="X540">
        <f>IF(AND(U540=1,N540&gt;=H540*(1-Assumptions!$C$8)),1,0)</f>
        <v/>
      </c>
      <c r="Y540">
        <f>IF(ISNUMBER(Q540),1,0)</f>
        <v/>
      </c>
      <c r="Z540">
        <f>IF(AND(K540=0,L540=0,Y540=0),1,0)</f>
        <v/>
      </c>
      <c r="AA540">
        <f>IF(AND(Z540=1,G540&lt;Assumptions!$C$6),1,0)</f>
        <v/>
      </c>
      <c r="AB540">
        <f>IF(U540=0,"",IF(Y540=1,MAX(0,Q540-G540),IF(L540=1,MAX(0,R540-G540),MAX(0,Assumptions!$C$6-G540))))</f>
        <v/>
      </c>
      <c r="AC540">
        <f>IF(Y540=1,Q540-F540,"")</f>
        <v/>
      </c>
      <c r="AD540">
        <f>IF(Y540=1,AC540^2,"")</f>
        <v/>
      </c>
      <c r="AE540" s="19">
        <f>IF(Z540=1,(H540-M540)*I540,0)</f>
        <v/>
      </c>
      <c r="AF540">
        <f>IF(G540&lt;EDATE(Assumptions!$C$6,-12)+1,"prior_12m","last_12m")</f>
        <v/>
      </c>
      <c r="AG540" s="21">
        <f>DATE(YEAR(G540),MONTH(G540),1)</f>
        <v/>
      </c>
    </row>
    <row r="541">
      <c r="A541" t="inlineStr">
        <is>
          <t>SPO-00296-2</t>
        </is>
      </c>
      <c r="B541" t="inlineStr">
        <is>
          <t>SPO-00296</t>
        </is>
      </c>
      <c r="C541" t="inlineStr">
        <is>
          <t>SUP-05</t>
        </is>
      </c>
      <c r="D541" t="inlineStr">
        <is>
          <t>FLEET</t>
        </is>
      </c>
      <c r="E541" t="inlineStr">
        <is>
          <t>FLEET-07</t>
        </is>
      </c>
      <c r="F541" s="17" t="n">
        <v>45647</v>
      </c>
      <c r="G541" s="17" t="n">
        <v>45661</v>
      </c>
      <c r="H541" s="18" t="n">
        <v>23</v>
      </c>
      <c r="I541" s="19" t="n">
        <v>121.05</v>
      </c>
      <c r="J541" s="19" t="n">
        <v>118</v>
      </c>
      <c r="K541" s="20" t="n">
        <v>0</v>
      </c>
      <c r="L541" s="20" t="n">
        <v>0</v>
      </c>
      <c r="M541" s="18" t="n">
        <v>23</v>
      </c>
      <c r="N541" s="18" t="n">
        <v>23</v>
      </c>
      <c r="O541" s="18" t="n">
        <v>0</v>
      </c>
      <c r="P541" s="17" t="n">
        <v>45659</v>
      </c>
      <c r="Q541" s="17" t="n">
        <v>45659</v>
      </c>
      <c r="R541" s="17" t="n">
        <v>45659</v>
      </c>
      <c r="S541" s="19">
        <f>H541*I541</f>
        <v/>
      </c>
      <c r="T541" s="19">
        <f>H541*J541</f>
        <v/>
      </c>
      <c r="U541">
        <f>IF(AND(K541=0,G541&lt;=Assumptions!$C$6),1,0)</f>
        <v/>
      </c>
      <c r="V541">
        <f>IF(U541=1,IF(M541&gt;0,IF(P541&lt;=G541+Assumptions!$C$7,1,0),0),0)</f>
        <v/>
      </c>
      <c r="W541">
        <f>IF(AND(U541=1,M541&gt;=H541*(1-Assumptions!$C$8)),1,0)</f>
        <v/>
      </c>
      <c r="X541">
        <f>IF(AND(U541=1,N541&gt;=H541*(1-Assumptions!$C$8)),1,0)</f>
        <v/>
      </c>
      <c r="Y541">
        <f>IF(ISNUMBER(Q541),1,0)</f>
        <v/>
      </c>
      <c r="Z541">
        <f>IF(AND(K541=0,L541=0,Y541=0),1,0)</f>
        <v/>
      </c>
      <c r="AA541">
        <f>IF(AND(Z541=1,G541&lt;Assumptions!$C$6),1,0)</f>
        <v/>
      </c>
      <c r="AB541">
        <f>IF(U541=0,"",IF(Y541=1,MAX(0,Q541-G541),IF(L541=1,MAX(0,R541-G541),MAX(0,Assumptions!$C$6-G541))))</f>
        <v/>
      </c>
      <c r="AC541">
        <f>IF(Y541=1,Q541-F541,"")</f>
        <v/>
      </c>
      <c r="AD541">
        <f>IF(Y541=1,AC541^2,"")</f>
        <v/>
      </c>
      <c r="AE541" s="19">
        <f>IF(Z541=1,(H541-M541)*I541,0)</f>
        <v/>
      </c>
      <c r="AF541">
        <f>IF(G541&lt;EDATE(Assumptions!$C$6,-12)+1,"prior_12m","last_12m")</f>
        <v/>
      </c>
      <c r="AG541" s="21">
        <f>DATE(YEAR(G541),MONTH(G541),1)</f>
        <v/>
      </c>
    </row>
    <row r="542">
      <c r="A542" t="inlineStr">
        <is>
          <t>SPO-00297-1</t>
        </is>
      </c>
      <c r="B542" t="inlineStr">
        <is>
          <t>SPO-00297</t>
        </is>
      </c>
      <c r="C542" t="inlineStr">
        <is>
          <t>SUP-09</t>
        </is>
      </c>
      <c r="D542" t="inlineStr">
        <is>
          <t>CHEM</t>
        </is>
      </c>
      <c r="E542" t="inlineStr">
        <is>
          <t>CHEM-02</t>
        </is>
      </c>
      <c r="F542" s="17" t="n">
        <v>45647</v>
      </c>
      <c r="G542" s="17" t="n">
        <v>45661</v>
      </c>
      <c r="H542" s="18" t="n">
        <v>3</v>
      </c>
      <c r="I542" s="19" t="n">
        <v>426.37</v>
      </c>
      <c r="J542" s="19" t="n">
        <v>410</v>
      </c>
      <c r="K542" s="20" t="n">
        <v>0</v>
      </c>
      <c r="L542" s="20" t="n">
        <v>0</v>
      </c>
      <c r="M542" s="18" t="n">
        <v>3</v>
      </c>
      <c r="N542" s="18" t="n">
        <v>3</v>
      </c>
      <c r="O542" s="18" t="n">
        <v>0</v>
      </c>
      <c r="P542" s="17" t="n">
        <v>45659</v>
      </c>
      <c r="Q542" s="17" t="n">
        <v>45659</v>
      </c>
      <c r="R542" s="17" t="n">
        <v>45659</v>
      </c>
      <c r="S542" s="19">
        <f>H542*I542</f>
        <v/>
      </c>
      <c r="T542" s="19">
        <f>H542*J542</f>
        <v/>
      </c>
      <c r="U542">
        <f>IF(AND(K542=0,G542&lt;=Assumptions!$C$6),1,0)</f>
        <v/>
      </c>
      <c r="V542">
        <f>IF(U542=1,IF(M542&gt;0,IF(P542&lt;=G542+Assumptions!$C$7,1,0),0),0)</f>
        <v/>
      </c>
      <c r="W542">
        <f>IF(AND(U542=1,M542&gt;=H542*(1-Assumptions!$C$8)),1,0)</f>
        <v/>
      </c>
      <c r="X542">
        <f>IF(AND(U542=1,N542&gt;=H542*(1-Assumptions!$C$8)),1,0)</f>
        <v/>
      </c>
      <c r="Y542">
        <f>IF(ISNUMBER(Q542),1,0)</f>
        <v/>
      </c>
      <c r="Z542">
        <f>IF(AND(K542=0,L542=0,Y542=0),1,0)</f>
        <v/>
      </c>
      <c r="AA542">
        <f>IF(AND(Z542=1,G542&lt;Assumptions!$C$6),1,0)</f>
        <v/>
      </c>
      <c r="AB542">
        <f>IF(U542=0,"",IF(Y542=1,MAX(0,Q542-G542),IF(L542=1,MAX(0,R542-G542),MAX(0,Assumptions!$C$6-G542))))</f>
        <v/>
      </c>
      <c r="AC542">
        <f>IF(Y542=1,Q542-F542,"")</f>
        <v/>
      </c>
      <c r="AD542">
        <f>IF(Y542=1,AC542^2,"")</f>
        <v/>
      </c>
      <c r="AE542" s="19">
        <f>IF(Z542=1,(H542-M542)*I542,0)</f>
        <v/>
      </c>
      <c r="AF542">
        <f>IF(G542&lt;EDATE(Assumptions!$C$6,-12)+1,"prior_12m","last_12m")</f>
        <v/>
      </c>
      <c r="AG542" s="21">
        <f>DATE(YEAR(G542),MONTH(G542),1)</f>
        <v/>
      </c>
    </row>
    <row r="543">
      <c r="A543" t="inlineStr">
        <is>
          <t>SPO-00298-1</t>
        </is>
      </c>
      <c r="B543" t="inlineStr">
        <is>
          <t>SPO-00298</t>
        </is>
      </c>
      <c r="C543" t="inlineStr">
        <is>
          <t>SUP-01</t>
        </is>
      </c>
      <c r="D543" t="inlineStr">
        <is>
          <t>ELEC</t>
        </is>
      </c>
      <c r="E543" t="inlineStr">
        <is>
          <t>ELEC-06</t>
        </is>
      </c>
      <c r="F543" s="17" t="n">
        <v>45647</v>
      </c>
      <c r="G543" s="17" t="n">
        <v>45665</v>
      </c>
      <c r="H543" s="18" t="n">
        <v>18</v>
      </c>
      <c r="I543" s="19" t="n">
        <v>153.2</v>
      </c>
      <c r="J543" s="19" t="n">
        <v>145</v>
      </c>
      <c r="K543" s="20" t="n">
        <v>0</v>
      </c>
      <c r="L543" s="20" t="n">
        <v>0</v>
      </c>
      <c r="M543" s="18" t="n">
        <v>18</v>
      </c>
      <c r="N543" s="18" t="n">
        <v>18</v>
      </c>
      <c r="O543" s="18" t="n">
        <v>0</v>
      </c>
      <c r="P543" s="17" t="n">
        <v>45662</v>
      </c>
      <c r="Q543" s="17" t="n">
        <v>45662</v>
      </c>
      <c r="R543" s="17" t="n">
        <v>45662</v>
      </c>
      <c r="S543" s="19">
        <f>H543*I543</f>
        <v/>
      </c>
      <c r="T543" s="19">
        <f>H543*J543</f>
        <v/>
      </c>
      <c r="U543">
        <f>IF(AND(K543=0,G543&lt;=Assumptions!$C$6),1,0)</f>
        <v/>
      </c>
      <c r="V543">
        <f>IF(U543=1,IF(M543&gt;0,IF(P543&lt;=G543+Assumptions!$C$7,1,0),0),0)</f>
        <v/>
      </c>
      <c r="W543">
        <f>IF(AND(U543=1,M543&gt;=H543*(1-Assumptions!$C$8)),1,0)</f>
        <v/>
      </c>
      <c r="X543">
        <f>IF(AND(U543=1,N543&gt;=H543*(1-Assumptions!$C$8)),1,0)</f>
        <v/>
      </c>
      <c r="Y543">
        <f>IF(ISNUMBER(Q543),1,0)</f>
        <v/>
      </c>
      <c r="Z543">
        <f>IF(AND(K543=0,L543=0,Y543=0),1,0)</f>
        <v/>
      </c>
      <c r="AA543">
        <f>IF(AND(Z543=1,G543&lt;Assumptions!$C$6),1,0)</f>
        <v/>
      </c>
      <c r="AB543">
        <f>IF(U543=0,"",IF(Y543=1,MAX(0,Q543-G543),IF(L543=1,MAX(0,R543-G543),MAX(0,Assumptions!$C$6-G543))))</f>
        <v/>
      </c>
      <c r="AC543">
        <f>IF(Y543=1,Q543-F543,"")</f>
        <v/>
      </c>
      <c r="AD543">
        <f>IF(Y543=1,AC543^2,"")</f>
        <v/>
      </c>
      <c r="AE543" s="19">
        <f>IF(Z543=1,(H543-M543)*I543,0)</f>
        <v/>
      </c>
      <c r="AF543">
        <f>IF(G543&lt;EDATE(Assumptions!$C$6,-12)+1,"prior_12m","last_12m")</f>
        <v/>
      </c>
      <c r="AG543" s="21">
        <f>DATE(YEAR(G543),MONTH(G543),1)</f>
        <v/>
      </c>
    </row>
    <row r="544">
      <c r="A544" t="inlineStr">
        <is>
          <t>SPO-00298-2</t>
        </is>
      </c>
      <c r="B544" t="inlineStr">
        <is>
          <t>SPO-00298</t>
        </is>
      </c>
      <c r="C544" t="inlineStr">
        <is>
          <t>SUP-01</t>
        </is>
      </c>
      <c r="D544" t="inlineStr">
        <is>
          <t>ELEC</t>
        </is>
      </c>
      <c r="E544" t="inlineStr">
        <is>
          <t>ELEC-07</t>
        </is>
      </c>
      <c r="F544" s="17" t="n">
        <v>45647</v>
      </c>
      <c r="G544" s="17" t="n">
        <v>45665</v>
      </c>
      <c r="H544" s="18" t="n">
        <v>447</v>
      </c>
      <c r="I544" s="19" t="n">
        <v>10.02</v>
      </c>
      <c r="J544" s="19" t="n">
        <v>9.800000000000001</v>
      </c>
      <c r="K544" s="20" t="n">
        <v>0</v>
      </c>
      <c r="L544" s="20" t="n">
        <v>0</v>
      </c>
      <c r="M544" s="18" t="n">
        <v>447</v>
      </c>
      <c r="N544" s="18" t="n">
        <v>447</v>
      </c>
      <c r="O544" s="18" t="n">
        <v>0</v>
      </c>
      <c r="P544" s="17" t="n">
        <v>45661</v>
      </c>
      <c r="Q544" s="17" t="n">
        <v>45661</v>
      </c>
      <c r="R544" s="17" t="n">
        <v>45661</v>
      </c>
      <c r="S544" s="19">
        <f>H544*I544</f>
        <v/>
      </c>
      <c r="T544" s="19">
        <f>H544*J544</f>
        <v/>
      </c>
      <c r="U544">
        <f>IF(AND(K544=0,G544&lt;=Assumptions!$C$6),1,0)</f>
        <v/>
      </c>
      <c r="V544">
        <f>IF(U544=1,IF(M544&gt;0,IF(P544&lt;=G544+Assumptions!$C$7,1,0),0),0)</f>
        <v/>
      </c>
      <c r="W544">
        <f>IF(AND(U544=1,M544&gt;=H544*(1-Assumptions!$C$8)),1,0)</f>
        <v/>
      </c>
      <c r="X544">
        <f>IF(AND(U544=1,N544&gt;=H544*(1-Assumptions!$C$8)),1,0)</f>
        <v/>
      </c>
      <c r="Y544">
        <f>IF(ISNUMBER(Q544),1,0)</f>
        <v/>
      </c>
      <c r="Z544">
        <f>IF(AND(K544=0,L544=0,Y544=0),1,0)</f>
        <v/>
      </c>
      <c r="AA544">
        <f>IF(AND(Z544=1,G544&lt;Assumptions!$C$6),1,0)</f>
        <v/>
      </c>
      <c r="AB544">
        <f>IF(U544=0,"",IF(Y544=1,MAX(0,Q544-G544),IF(L544=1,MAX(0,R544-G544),MAX(0,Assumptions!$C$6-G544))))</f>
        <v/>
      </c>
      <c r="AC544">
        <f>IF(Y544=1,Q544-F544,"")</f>
        <v/>
      </c>
      <c r="AD544">
        <f>IF(Y544=1,AC544^2,"")</f>
        <v/>
      </c>
      <c r="AE544" s="19">
        <f>IF(Z544=1,(H544-M544)*I544,0)</f>
        <v/>
      </c>
      <c r="AF544">
        <f>IF(G544&lt;EDATE(Assumptions!$C$6,-12)+1,"prior_12m","last_12m")</f>
        <v/>
      </c>
      <c r="AG544" s="21">
        <f>DATE(YEAR(G544),MONTH(G544),1)</f>
        <v/>
      </c>
    </row>
    <row r="545">
      <c r="A545" t="inlineStr">
        <is>
          <t>SPO-00299-1</t>
        </is>
      </c>
      <c r="B545" t="inlineStr">
        <is>
          <t>SPO-00299</t>
        </is>
      </c>
      <c r="C545" t="inlineStr">
        <is>
          <t>SUP-09</t>
        </is>
      </c>
      <c r="D545" t="inlineStr">
        <is>
          <t>CHEM</t>
        </is>
      </c>
      <c r="E545" t="inlineStr">
        <is>
          <t>CHEM-06</t>
        </is>
      </c>
      <c r="F545" s="17" t="n">
        <v>45647</v>
      </c>
      <c r="G545" s="17" t="n">
        <v>45661</v>
      </c>
      <c r="H545" s="18" t="n">
        <v>4</v>
      </c>
      <c r="I545" s="19" t="n">
        <v>407.95</v>
      </c>
      <c r="J545" s="19" t="n">
        <v>380</v>
      </c>
      <c r="K545" s="20" t="n">
        <v>0</v>
      </c>
      <c r="L545" s="20" t="n">
        <v>0</v>
      </c>
      <c r="M545" s="18" t="n">
        <v>4</v>
      </c>
      <c r="N545" s="18" t="n">
        <v>4</v>
      </c>
      <c r="O545" s="18" t="n">
        <v>0</v>
      </c>
      <c r="P545" s="17" t="n">
        <v>45659</v>
      </c>
      <c r="Q545" s="17" t="n">
        <v>45659</v>
      </c>
      <c r="R545" s="17" t="n">
        <v>45659</v>
      </c>
      <c r="S545" s="19">
        <f>H545*I545</f>
        <v/>
      </c>
      <c r="T545" s="19">
        <f>H545*J545</f>
        <v/>
      </c>
      <c r="U545">
        <f>IF(AND(K545=0,G545&lt;=Assumptions!$C$6),1,0)</f>
        <v/>
      </c>
      <c r="V545">
        <f>IF(U545=1,IF(M545&gt;0,IF(P545&lt;=G545+Assumptions!$C$7,1,0),0),0)</f>
        <v/>
      </c>
      <c r="W545">
        <f>IF(AND(U545=1,M545&gt;=H545*(1-Assumptions!$C$8)),1,0)</f>
        <v/>
      </c>
      <c r="X545">
        <f>IF(AND(U545=1,N545&gt;=H545*(1-Assumptions!$C$8)),1,0)</f>
        <v/>
      </c>
      <c r="Y545">
        <f>IF(ISNUMBER(Q545),1,0)</f>
        <v/>
      </c>
      <c r="Z545">
        <f>IF(AND(K545=0,L545=0,Y545=0),1,0)</f>
        <v/>
      </c>
      <c r="AA545">
        <f>IF(AND(Z545=1,G545&lt;Assumptions!$C$6),1,0)</f>
        <v/>
      </c>
      <c r="AB545">
        <f>IF(U545=0,"",IF(Y545=1,MAX(0,Q545-G545),IF(L545=1,MAX(0,R545-G545),MAX(0,Assumptions!$C$6-G545))))</f>
        <v/>
      </c>
      <c r="AC545">
        <f>IF(Y545=1,Q545-F545,"")</f>
        <v/>
      </c>
      <c r="AD545">
        <f>IF(Y545=1,AC545^2,"")</f>
        <v/>
      </c>
      <c r="AE545" s="19">
        <f>IF(Z545=1,(H545-M545)*I545,0)</f>
        <v/>
      </c>
      <c r="AF545">
        <f>IF(G545&lt;EDATE(Assumptions!$C$6,-12)+1,"prior_12m","last_12m")</f>
        <v/>
      </c>
      <c r="AG545" s="21">
        <f>DATE(YEAR(G545),MONTH(G545),1)</f>
        <v/>
      </c>
    </row>
    <row r="546">
      <c r="A546" t="inlineStr">
        <is>
          <t>SPO-00299-2</t>
        </is>
      </c>
      <c r="B546" t="inlineStr">
        <is>
          <t>SPO-00299</t>
        </is>
      </c>
      <c r="C546" t="inlineStr">
        <is>
          <t>SUP-09</t>
        </is>
      </c>
      <c r="D546" t="inlineStr">
        <is>
          <t>CHEM</t>
        </is>
      </c>
      <c r="E546" t="inlineStr">
        <is>
          <t>CHEM-02</t>
        </is>
      </c>
      <c r="F546" s="17" t="n">
        <v>45647</v>
      </c>
      <c r="G546" s="17" t="n">
        <v>45661</v>
      </c>
      <c r="H546" s="18" t="n">
        <v>4</v>
      </c>
      <c r="I546" s="19" t="n">
        <v>426.39</v>
      </c>
      <c r="J546" s="19" t="n">
        <v>410</v>
      </c>
      <c r="K546" s="20" t="n">
        <v>0</v>
      </c>
      <c r="L546" s="20" t="n">
        <v>0</v>
      </c>
      <c r="M546" s="18" t="n">
        <v>4</v>
      </c>
      <c r="N546" s="18" t="n">
        <v>4</v>
      </c>
      <c r="O546" s="18" t="n">
        <v>0</v>
      </c>
      <c r="P546" s="17" t="n">
        <v>45659</v>
      </c>
      <c r="Q546" s="17" t="n">
        <v>45659</v>
      </c>
      <c r="R546" s="17" t="n">
        <v>45659</v>
      </c>
      <c r="S546" s="19">
        <f>H546*I546</f>
        <v/>
      </c>
      <c r="T546" s="19">
        <f>H546*J546</f>
        <v/>
      </c>
      <c r="U546">
        <f>IF(AND(K546=0,G546&lt;=Assumptions!$C$6),1,0)</f>
        <v/>
      </c>
      <c r="V546">
        <f>IF(U546=1,IF(M546&gt;0,IF(P546&lt;=G546+Assumptions!$C$7,1,0),0),0)</f>
        <v/>
      </c>
      <c r="W546">
        <f>IF(AND(U546=1,M546&gt;=H546*(1-Assumptions!$C$8)),1,0)</f>
        <v/>
      </c>
      <c r="X546">
        <f>IF(AND(U546=1,N546&gt;=H546*(1-Assumptions!$C$8)),1,0)</f>
        <v/>
      </c>
      <c r="Y546">
        <f>IF(ISNUMBER(Q546),1,0)</f>
        <v/>
      </c>
      <c r="Z546">
        <f>IF(AND(K546=0,L546=0,Y546=0),1,0)</f>
        <v/>
      </c>
      <c r="AA546">
        <f>IF(AND(Z546=1,G546&lt;Assumptions!$C$6),1,0)</f>
        <v/>
      </c>
      <c r="AB546">
        <f>IF(U546=0,"",IF(Y546=1,MAX(0,Q546-G546),IF(L546=1,MAX(0,R546-G546),MAX(0,Assumptions!$C$6-G546))))</f>
        <v/>
      </c>
      <c r="AC546">
        <f>IF(Y546=1,Q546-F546,"")</f>
        <v/>
      </c>
      <c r="AD546">
        <f>IF(Y546=1,AC546^2,"")</f>
        <v/>
      </c>
      <c r="AE546" s="19">
        <f>IF(Z546=1,(H546-M546)*I546,0)</f>
        <v/>
      </c>
      <c r="AF546">
        <f>IF(G546&lt;EDATE(Assumptions!$C$6,-12)+1,"prior_12m","last_12m")</f>
        <v/>
      </c>
      <c r="AG546" s="21">
        <f>DATE(YEAR(G546),MONTH(G546),1)</f>
        <v/>
      </c>
    </row>
    <row r="547">
      <c r="A547" t="inlineStr">
        <is>
          <t>SPO-00299-3</t>
        </is>
      </c>
      <c r="B547" t="inlineStr">
        <is>
          <t>SPO-00299</t>
        </is>
      </c>
      <c r="C547" t="inlineStr">
        <is>
          <t>SUP-09</t>
        </is>
      </c>
      <c r="D547" t="inlineStr">
        <is>
          <t>CHEM</t>
        </is>
      </c>
      <c r="E547" t="inlineStr">
        <is>
          <t>CHEM-05</t>
        </is>
      </c>
      <c r="F547" s="17" t="n">
        <v>45647</v>
      </c>
      <c r="G547" s="17" t="n">
        <v>45661</v>
      </c>
      <c r="H547" s="18" t="n">
        <v>4</v>
      </c>
      <c r="I547" s="19" t="n">
        <v>947.38</v>
      </c>
      <c r="J547" s="19" t="n">
        <v>930</v>
      </c>
      <c r="K547" s="20" t="n">
        <v>0</v>
      </c>
      <c r="L547" s="20" t="n">
        <v>0</v>
      </c>
      <c r="M547" s="18" t="n">
        <v>4</v>
      </c>
      <c r="N547" s="18" t="n">
        <v>4</v>
      </c>
      <c r="O547" s="18" t="n">
        <v>0</v>
      </c>
      <c r="P547" s="17" t="n">
        <v>45657</v>
      </c>
      <c r="Q547" s="17" t="n">
        <v>45657</v>
      </c>
      <c r="R547" s="17" t="n">
        <v>45657</v>
      </c>
      <c r="S547" s="19">
        <f>H547*I547</f>
        <v/>
      </c>
      <c r="T547" s="19">
        <f>H547*J547</f>
        <v/>
      </c>
      <c r="U547">
        <f>IF(AND(K547=0,G547&lt;=Assumptions!$C$6),1,0)</f>
        <v/>
      </c>
      <c r="V547">
        <f>IF(U547=1,IF(M547&gt;0,IF(P547&lt;=G547+Assumptions!$C$7,1,0),0),0)</f>
        <v/>
      </c>
      <c r="W547">
        <f>IF(AND(U547=1,M547&gt;=H547*(1-Assumptions!$C$8)),1,0)</f>
        <v/>
      </c>
      <c r="X547">
        <f>IF(AND(U547=1,N547&gt;=H547*(1-Assumptions!$C$8)),1,0)</f>
        <v/>
      </c>
      <c r="Y547">
        <f>IF(ISNUMBER(Q547),1,0)</f>
        <v/>
      </c>
      <c r="Z547">
        <f>IF(AND(K547=0,L547=0,Y547=0),1,0)</f>
        <v/>
      </c>
      <c r="AA547">
        <f>IF(AND(Z547=1,G547&lt;Assumptions!$C$6),1,0)</f>
        <v/>
      </c>
      <c r="AB547">
        <f>IF(U547=0,"",IF(Y547=1,MAX(0,Q547-G547),IF(L547=1,MAX(0,R547-G547),MAX(0,Assumptions!$C$6-G547))))</f>
        <v/>
      </c>
      <c r="AC547">
        <f>IF(Y547=1,Q547-F547,"")</f>
        <v/>
      </c>
      <c r="AD547">
        <f>IF(Y547=1,AC547^2,"")</f>
        <v/>
      </c>
      <c r="AE547" s="19">
        <f>IF(Z547=1,(H547-M547)*I547,0)</f>
        <v/>
      </c>
      <c r="AF547">
        <f>IF(G547&lt;EDATE(Assumptions!$C$6,-12)+1,"prior_12m","last_12m")</f>
        <v/>
      </c>
      <c r="AG547" s="21">
        <f>DATE(YEAR(G547),MONTH(G547),1)</f>
        <v/>
      </c>
    </row>
    <row r="548">
      <c r="A548" t="inlineStr">
        <is>
          <t>SPO-00300-1</t>
        </is>
      </c>
      <c r="B548" t="inlineStr">
        <is>
          <t>SPO-00300</t>
        </is>
      </c>
      <c r="C548" t="inlineStr">
        <is>
          <t>SUP-07</t>
        </is>
      </c>
      <c r="D548" t="inlineStr">
        <is>
          <t>MRO</t>
        </is>
      </c>
      <c r="E548" t="inlineStr">
        <is>
          <t>MRO-06</t>
        </is>
      </c>
      <c r="F548" s="17" t="n">
        <v>45647</v>
      </c>
      <c r="G548" s="17" t="n">
        <v>45657</v>
      </c>
      <c r="H548" s="18" t="n">
        <v>289</v>
      </c>
      <c r="I548" s="19" t="n">
        <v>6</v>
      </c>
      <c r="J548" s="19" t="n">
        <v>6.1</v>
      </c>
      <c r="K548" s="20" t="n">
        <v>0</v>
      </c>
      <c r="L548" s="20" t="n">
        <v>0</v>
      </c>
      <c r="M548" s="18" t="n">
        <v>289</v>
      </c>
      <c r="N548" s="18" t="n">
        <v>289</v>
      </c>
      <c r="O548" s="18" t="n">
        <v>0</v>
      </c>
      <c r="P548" s="17" t="n">
        <v>45655</v>
      </c>
      <c r="Q548" s="17" t="n">
        <v>45655</v>
      </c>
      <c r="R548" s="17" t="n">
        <v>45655</v>
      </c>
      <c r="S548" s="19">
        <f>H548*I548</f>
        <v/>
      </c>
      <c r="T548" s="19">
        <f>H548*J548</f>
        <v/>
      </c>
      <c r="U548">
        <f>IF(AND(K548=0,G548&lt;=Assumptions!$C$6),1,0)</f>
        <v/>
      </c>
      <c r="V548">
        <f>IF(U548=1,IF(M548&gt;0,IF(P548&lt;=G548+Assumptions!$C$7,1,0),0),0)</f>
        <v/>
      </c>
      <c r="W548">
        <f>IF(AND(U548=1,M548&gt;=H548*(1-Assumptions!$C$8)),1,0)</f>
        <v/>
      </c>
      <c r="X548">
        <f>IF(AND(U548=1,N548&gt;=H548*(1-Assumptions!$C$8)),1,0)</f>
        <v/>
      </c>
      <c r="Y548">
        <f>IF(ISNUMBER(Q548),1,0)</f>
        <v/>
      </c>
      <c r="Z548">
        <f>IF(AND(K548=0,L548=0,Y548=0),1,0)</f>
        <v/>
      </c>
      <c r="AA548">
        <f>IF(AND(Z548=1,G548&lt;Assumptions!$C$6),1,0)</f>
        <v/>
      </c>
      <c r="AB548">
        <f>IF(U548=0,"",IF(Y548=1,MAX(0,Q548-G548),IF(L548=1,MAX(0,R548-G548),MAX(0,Assumptions!$C$6-G548))))</f>
        <v/>
      </c>
      <c r="AC548">
        <f>IF(Y548=1,Q548-F548,"")</f>
        <v/>
      </c>
      <c r="AD548">
        <f>IF(Y548=1,AC548^2,"")</f>
        <v/>
      </c>
      <c r="AE548" s="19">
        <f>IF(Z548=1,(H548-M548)*I548,0)</f>
        <v/>
      </c>
      <c r="AF548">
        <f>IF(G548&lt;EDATE(Assumptions!$C$6,-12)+1,"prior_12m","last_12m")</f>
        <v/>
      </c>
      <c r="AG548" s="21">
        <f>DATE(YEAR(G548),MONTH(G548),1)</f>
        <v/>
      </c>
    </row>
    <row r="549">
      <c r="A549" t="inlineStr">
        <is>
          <t>SPO-00301-1</t>
        </is>
      </c>
      <c r="B549" t="inlineStr">
        <is>
          <t>SPO-00301</t>
        </is>
      </c>
      <c r="C549" t="inlineStr">
        <is>
          <t>SUP-08</t>
        </is>
      </c>
      <c r="D549" t="inlineStr">
        <is>
          <t>MRO</t>
        </is>
      </c>
      <c r="E549" t="inlineStr">
        <is>
          <t>MRO-03</t>
        </is>
      </c>
      <c r="F549" s="17" t="n">
        <v>45647</v>
      </c>
      <c r="G549" s="17" t="n">
        <v>45658</v>
      </c>
      <c r="H549" s="18" t="n">
        <v>208</v>
      </c>
      <c r="I549" s="19" t="n">
        <v>8.5</v>
      </c>
      <c r="J549" s="19" t="n">
        <v>8.9</v>
      </c>
      <c r="K549" s="20" t="n">
        <v>0</v>
      </c>
      <c r="L549" s="20" t="n">
        <v>0</v>
      </c>
      <c r="M549" s="18" t="n">
        <v>208</v>
      </c>
      <c r="N549" s="18" t="n">
        <v>208</v>
      </c>
      <c r="O549" s="18" t="n">
        <v>0</v>
      </c>
      <c r="P549" s="17" t="n">
        <v>45656</v>
      </c>
      <c r="Q549" s="17" t="n">
        <v>45656</v>
      </c>
      <c r="R549" s="17" t="n">
        <v>45656</v>
      </c>
      <c r="S549" s="19">
        <f>H549*I549</f>
        <v/>
      </c>
      <c r="T549" s="19">
        <f>H549*J549</f>
        <v/>
      </c>
      <c r="U549">
        <f>IF(AND(K549=0,G549&lt;=Assumptions!$C$6),1,0)</f>
        <v/>
      </c>
      <c r="V549">
        <f>IF(U549=1,IF(M549&gt;0,IF(P549&lt;=G549+Assumptions!$C$7,1,0),0),0)</f>
        <v/>
      </c>
      <c r="W549">
        <f>IF(AND(U549=1,M549&gt;=H549*(1-Assumptions!$C$8)),1,0)</f>
        <v/>
      </c>
      <c r="X549">
        <f>IF(AND(U549=1,N549&gt;=H549*(1-Assumptions!$C$8)),1,0)</f>
        <v/>
      </c>
      <c r="Y549">
        <f>IF(ISNUMBER(Q549),1,0)</f>
        <v/>
      </c>
      <c r="Z549">
        <f>IF(AND(K549=0,L549=0,Y549=0),1,0)</f>
        <v/>
      </c>
      <c r="AA549">
        <f>IF(AND(Z549=1,G549&lt;Assumptions!$C$6),1,0)</f>
        <v/>
      </c>
      <c r="AB549">
        <f>IF(U549=0,"",IF(Y549=1,MAX(0,Q549-G549),IF(L549=1,MAX(0,R549-G549),MAX(0,Assumptions!$C$6-G549))))</f>
        <v/>
      </c>
      <c r="AC549">
        <f>IF(Y549=1,Q549-F549,"")</f>
        <v/>
      </c>
      <c r="AD549">
        <f>IF(Y549=1,AC549^2,"")</f>
        <v/>
      </c>
      <c r="AE549" s="19">
        <f>IF(Z549=1,(H549-M549)*I549,0)</f>
        <v/>
      </c>
      <c r="AF549">
        <f>IF(G549&lt;EDATE(Assumptions!$C$6,-12)+1,"prior_12m","last_12m")</f>
        <v/>
      </c>
      <c r="AG549" s="21">
        <f>DATE(YEAR(G549),MONTH(G549),1)</f>
        <v/>
      </c>
    </row>
    <row r="550">
      <c r="A550" t="inlineStr">
        <is>
          <t>SPO-00302-1</t>
        </is>
      </c>
      <c r="B550" t="inlineStr">
        <is>
          <t>SPO-00302</t>
        </is>
      </c>
      <c r="C550" t="inlineStr">
        <is>
          <t>SUP-09</t>
        </is>
      </c>
      <c r="D550" t="inlineStr">
        <is>
          <t>CHEM</t>
        </is>
      </c>
      <c r="E550" t="inlineStr">
        <is>
          <t>CHEM-05</t>
        </is>
      </c>
      <c r="F550" s="17" t="n">
        <v>45648</v>
      </c>
      <c r="G550" s="17" t="n">
        <v>45662</v>
      </c>
      <c r="H550" s="18" t="n">
        <v>1</v>
      </c>
      <c r="I550" s="19" t="n">
        <v>962.05</v>
      </c>
      <c r="J550" s="19" t="n">
        <v>930</v>
      </c>
      <c r="K550" s="20" t="n">
        <v>0</v>
      </c>
      <c r="L550" s="20" t="n">
        <v>0</v>
      </c>
      <c r="M550" s="18" t="n">
        <v>1</v>
      </c>
      <c r="N550" s="18" t="n">
        <v>1</v>
      </c>
      <c r="O550" s="18" t="n">
        <v>0</v>
      </c>
      <c r="P550" s="17" t="n">
        <v>45659</v>
      </c>
      <c r="Q550" s="17" t="n">
        <v>45659</v>
      </c>
      <c r="R550" s="17" t="n">
        <v>45659</v>
      </c>
      <c r="S550" s="19">
        <f>H550*I550</f>
        <v/>
      </c>
      <c r="T550" s="19">
        <f>H550*J550</f>
        <v/>
      </c>
      <c r="U550">
        <f>IF(AND(K550=0,G550&lt;=Assumptions!$C$6),1,0)</f>
        <v/>
      </c>
      <c r="V550">
        <f>IF(U550=1,IF(M550&gt;0,IF(P550&lt;=G550+Assumptions!$C$7,1,0),0),0)</f>
        <v/>
      </c>
      <c r="W550">
        <f>IF(AND(U550=1,M550&gt;=H550*(1-Assumptions!$C$8)),1,0)</f>
        <v/>
      </c>
      <c r="X550">
        <f>IF(AND(U550=1,N550&gt;=H550*(1-Assumptions!$C$8)),1,0)</f>
        <v/>
      </c>
      <c r="Y550">
        <f>IF(ISNUMBER(Q550),1,0)</f>
        <v/>
      </c>
      <c r="Z550">
        <f>IF(AND(K550=0,L550=0,Y550=0),1,0)</f>
        <v/>
      </c>
      <c r="AA550">
        <f>IF(AND(Z550=1,G550&lt;Assumptions!$C$6),1,0)</f>
        <v/>
      </c>
      <c r="AB550">
        <f>IF(U550=0,"",IF(Y550=1,MAX(0,Q550-G550),IF(L550=1,MAX(0,R550-G550),MAX(0,Assumptions!$C$6-G550))))</f>
        <v/>
      </c>
      <c r="AC550">
        <f>IF(Y550=1,Q550-F550,"")</f>
        <v/>
      </c>
      <c r="AD550">
        <f>IF(Y550=1,AC550^2,"")</f>
        <v/>
      </c>
      <c r="AE550" s="19">
        <f>IF(Z550=1,(H550-M550)*I550,0)</f>
        <v/>
      </c>
      <c r="AF550">
        <f>IF(G550&lt;EDATE(Assumptions!$C$6,-12)+1,"prior_12m","last_12m")</f>
        <v/>
      </c>
      <c r="AG550" s="21">
        <f>DATE(YEAR(G550),MONTH(G550),1)</f>
        <v/>
      </c>
    </row>
    <row r="551">
      <c r="A551" t="inlineStr">
        <is>
          <t>SPO-00303-1</t>
        </is>
      </c>
      <c r="B551" t="inlineStr">
        <is>
          <t>SPO-00303</t>
        </is>
      </c>
      <c r="C551" t="inlineStr">
        <is>
          <t>SUP-09</t>
        </is>
      </c>
      <c r="D551" t="inlineStr">
        <is>
          <t>CHEM</t>
        </is>
      </c>
      <c r="E551" t="inlineStr">
        <is>
          <t>CHEM-05</t>
        </is>
      </c>
      <c r="F551" s="17" t="n">
        <v>45648</v>
      </c>
      <c r="G551" s="17" t="n">
        <v>45662</v>
      </c>
      <c r="H551" s="18" t="n">
        <v>2</v>
      </c>
      <c r="I551" s="19" t="n">
        <v>971.48</v>
      </c>
      <c r="J551" s="19" t="n">
        <v>930</v>
      </c>
      <c r="K551" s="20" t="n">
        <v>0</v>
      </c>
      <c r="L551" s="20" t="n">
        <v>0</v>
      </c>
      <c r="M551" s="18" t="n">
        <v>2</v>
      </c>
      <c r="N551" s="18" t="n">
        <v>2</v>
      </c>
      <c r="O551" s="18" t="n">
        <v>0</v>
      </c>
      <c r="P551" s="17" t="n">
        <v>45661</v>
      </c>
      <c r="Q551" s="17" t="n">
        <v>45661</v>
      </c>
      <c r="R551" s="17" t="n">
        <v>45661</v>
      </c>
      <c r="S551" s="19">
        <f>H551*I551</f>
        <v/>
      </c>
      <c r="T551" s="19">
        <f>H551*J551</f>
        <v/>
      </c>
      <c r="U551">
        <f>IF(AND(K551=0,G551&lt;=Assumptions!$C$6),1,0)</f>
        <v/>
      </c>
      <c r="V551">
        <f>IF(U551=1,IF(M551&gt;0,IF(P551&lt;=G551+Assumptions!$C$7,1,0),0),0)</f>
        <v/>
      </c>
      <c r="W551">
        <f>IF(AND(U551=1,M551&gt;=H551*(1-Assumptions!$C$8)),1,0)</f>
        <v/>
      </c>
      <c r="X551">
        <f>IF(AND(U551=1,N551&gt;=H551*(1-Assumptions!$C$8)),1,0)</f>
        <v/>
      </c>
      <c r="Y551">
        <f>IF(ISNUMBER(Q551),1,0)</f>
        <v/>
      </c>
      <c r="Z551">
        <f>IF(AND(K551=0,L551=0,Y551=0),1,0)</f>
        <v/>
      </c>
      <c r="AA551">
        <f>IF(AND(Z551=1,G551&lt;Assumptions!$C$6),1,0)</f>
        <v/>
      </c>
      <c r="AB551">
        <f>IF(U551=0,"",IF(Y551=1,MAX(0,Q551-G551),IF(L551=1,MAX(0,R551-G551),MAX(0,Assumptions!$C$6-G551))))</f>
        <v/>
      </c>
      <c r="AC551">
        <f>IF(Y551=1,Q551-F551,"")</f>
        <v/>
      </c>
      <c r="AD551">
        <f>IF(Y551=1,AC551^2,"")</f>
        <v/>
      </c>
      <c r="AE551" s="19">
        <f>IF(Z551=1,(H551-M551)*I551,0)</f>
        <v/>
      </c>
      <c r="AF551">
        <f>IF(G551&lt;EDATE(Assumptions!$C$6,-12)+1,"prior_12m","last_12m")</f>
        <v/>
      </c>
      <c r="AG551" s="21">
        <f>DATE(YEAR(G551),MONTH(G551),1)</f>
        <v/>
      </c>
    </row>
    <row r="552">
      <c r="A552" t="inlineStr">
        <is>
          <t>SPO-00304-1</t>
        </is>
      </c>
      <c r="B552" t="inlineStr">
        <is>
          <t>SPO-00304</t>
        </is>
      </c>
      <c r="C552" t="inlineStr">
        <is>
          <t>SUP-14</t>
        </is>
      </c>
      <c r="D552" t="inlineStr">
        <is>
          <t>FLEET</t>
        </is>
      </c>
      <c r="E552" t="inlineStr">
        <is>
          <t>FLEET-01</t>
        </is>
      </c>
      <c r="F552" s="17" t="n">
        <v>45648</v>
      </c>
      <c r="G552" s="17" t="n">
        <v>45662</v>
      </c>
      <c r="H552" s="18" t="n">
        <v>21</v>
      </c>
      <c r="I552" s="19" t="n">
        <v>63.64</v>
      </c>
      <c r="J552" s="19" t="n">
        <v>64</v>
      </c>
      <c r="K552" s="20" t="n">
        <v>0</v>
      </c>
      <c r="L552" s="20" t="n">
        <v>0</v>
      </c>
      <c r="M552" s="18" t="n">
        <v>21</v>
      </c>
      <c r="N552" s="18" t="n">
        <v>21</v>
      </c>
      <c r="O552" s="18" t="n">
        <v>0</v>
      </c>
      <c r="P552" s="17" t="n">
        <v>45661</v>
      </c>
      <c r="Q552" s="17" t="n">
        <v>45661</v>
      </c>
      <c r="R552" s="17" t="n">
        <v>45661</v>
      </c>
      <c r="S552" s="19">
        <f>H552*I552</f>
        <v/>
      </c>
      <c r="T552" s="19">
        <f>H552*J552</f>
        <v/>
      </c>
      <c r="U552">
        <f>IF(AND(K552=0,G552&lt;=Assumptions!$C$6),1,0)</f>
        <v/>
      </c>
      <c r="V552">
        <f>IF(U552=1,IF(M552&gt;0,IF(P552&lt;=G552+Assumptions!$C$7,1,0),0),0)</f>
        <v/>
      </c>
      <c r="W552">
        <f>IF(AND(U552=1,M552&gt;=H552*(1-Assumptions!$C$8)),1,0)</f>
        <v/>
      </c>
      <c r="X552">
        <f>IF(AND(U552=1,N552&gt;=H552*(1-Assumptions!$C$8)),1,0)</f>
        <v/>
      </c>
      <c r="Y552">
        <f>IF(ISNUMBER(Q552),1,0)</f>
        <v/>
      </c>
      <c r="Z552">
        <f>IF(AND(K552=0,L552=0,Y552=0),1,0)</f>
        <v/>
      </c>
      <c r="AA552">
        <f>IF(AND(Z552=1,G552&lt;Assumptions!$C$6),1,0)</f>
        <v/>
      </c>
      <c r="AB552">
        <f>IF(U552=0,"",IF(Y552=1,MAX(0,Q552-G552),IF(L552=1,MAX(0,R552-G552),MAX(0,Assumptions!$C$6-G552))))</f>
        <v/>
      </c>
      <c r="AC552">
        <f>IF(Y552=1,Q552-F552,"")</f>
        <v/>
      </c>
      <c r="AD552">
        <f>IF(Y552=1,AC552^2,"")</f>
        <v/>
      </c>
      <c r="AE552" s="19">
        <f>IF(Z552=1,(H552-M552)*I552,0)</f>
        <v/>
      </c>
      <c r="AF552">
        <f>IF(G552&lt;EDATE(Assumptions!$C$6,-12)+1,"prior_12m","last_12m")</f>
        <v/>
      </c>
      <c r="AG552" s="21">
        <f>DATE(YEAR(G552),MONTH(G552),1)</f>
        <v/>
      </c>
    </row>
    <row r="553">
      <c r="A553" t="inlineStr">
        <is>
          <t>SPO-00305-1</t>
        </is>
      </c>
      <c r="B553" t="inlineStr">
        <is>
          <t>SPO-00305</t>
        </is>
      </c>
      <c r="C553" t="inlineStr">
        <is>
          <t>SUP-06</t>
        </is>
      </c>
      <c r="D553" t="inlineStr">
        <is>
          <t>MRO</t>
        </is>
      </c>
      <c r="E553" t="inlineStr">
        <is>
          <t>MRO-07</t>
        </is>
      </c>
      <c r="F553" s="17" t="n">
        <v>45648</v>
      </c>
      <c r="G553" s="17" t="n">
        <v>45656</v>
      </c>
      <c r="H553" s="18" t="n">
        <v>154</v>
      </c>
      <c r="I553" s="19" t="n">
        <v>14.18</v>
      </c>
      <c r="J553" s="19" t="n">
        <v>14</v>
      </c>
      <c r="K553" s="20" t="n">
        <v>0</v>
      </c>
      <c r="L553" s="20" t="n">
        <v>0</v>
      </c>
      <c r="M553" s="18" t="n">
        <v>154</v>
      </c>
      <c r="N553" s="18" t="n">
        <v>154</v>
      </c>
      <c r="O553" s="18" t="n">
        <v>0</v>
      </c>
      <c r="P553" s="17" t="n">
        <v>45655</v>
      </c>
      <c r="Q553" s="17" t="n">
        <v>45655</v>
      </c>
      <c r="R553" s="17" t="n">
        <v>45655</v>
      </c>
      <c r="S553" s="19">
        <f>H553*I553</f>
        <v/>
      </c>
      <c r="T553" s="19">
        <f>H553*J553</f>
        <v/>
      </c>
      <c r="U553">
        <f>IF(AND(K553=0,G553&lt;=Assumptions!$C$6),1,0)</f>
        <v/>
      </c>
      <c r="V553">
        <f>IF(U553=1,IF(M553&gt;0,IF(P553&lt;=G553+Assumptions!$C$7,1,0),0),0)</f>
        <v/>
      </c>
      <c r="W553">
        <f>IF(AND(U553=1,M553&gt;=H553*(1-Assumptions!$C$8)),1,0)</f>
        <v/>
      </c>
      <c r="X553">
        <f>IF(AND(U553=1,N553&gt;=H553*(1-Assumptions!$C$8)),1,0)</f>
        <v/>
      </c>
      <c r="Y553">
        <f>IF(ISNUMBER(Q553),1,0)</f>
        <v/>
      </c>
      <c r="Z553">
        <f>IF(AND(K553=0,L553=0,Y553=0),1,0)</f>
        <v/>
      </c>
      <c r="AA553">
        <f>IF(AND(Z553=1,G553&lt;Assumptions!$C$6),1,0)</f>
        <v/>
      </c>
      <c r="AB553">
        <f>IF(U553=0,"",IF(Y553=1,MAX(0,Q553-G553),IF(L553=1,MAX(0,R553-G553),MAX(0,Assumptions!$C$6-G553))))</f>
        <v/>
      </c>
      <c r="AC553">
        <f>IF(Y553=1,Q553-F553,"")</f>
        <v/>
      </c>
      <c r="AD553">
        <f>IF(Y553=1,AC553^2,"")</f>
        <v/>
      </c>
      <c r="AE553" s="19">
        <f>IF(Z553=1,(H553-M553)*I553,0)</f>
        <v/>
      </c>
      <c r="AF553">
        <f>IF(G553&lt;EDATE(Assumptions!$C$6,-12)+1,"prior_12m","last_12m")</f>
        <v/>
      </c>
      <c r="AG553" s="21">
        <f>DATE(YEAR(G553),MONTH(G553),1)</f>
        <v/>
      </c>
    </row>
    <row r="554">
      <c r="A554" t="inlineStr">
        <is>
          <t>SPO-00306-1</t>
        </is>
      </c>
      <c r="B554" t="inlineStr">
        <is>
          <t>SPO-00306</t>
        </is>
      </c>
      <c r="C554" t="inlineStr">
        <is>
          <t>SUP-12</t>
        </is>
      </c>
      <c r="D554" t="inlineStr">
        <is>
          <t>IT</t>
        </is>
      </c>
      <c r="E554" t="inlineStr">
        <is>
          <t>IT-02</t>
        </is>
      </c>
      <c r="F554" s="17" t="n">
        <v>45648</v>
      </c>
      <c r="G554" s="17" t="n">
        <v>45658</v>
      </c>
      <c r="H554" s="18" t="n">
        <v>17</v>
      </c>
      <c r="I554" s="19" t="n">
        <v>184.79</v>
      </c>
      <c r="J554" s="19" t="n">
        <v>162</v>
      </c>
      <c r="K554" s="20" t="n">
        <v>0</v>
      </c>
      <c r="L554" s="20" t="n">
        <v>0</v>
      </c>
      <c r="M554" s="18" t="n">
        <v>17</v>
      </c>
      <c r="N554" s="18" t="n">
        <v>17</v>
      </c>
      <c r="O554" s="18" t="n">
        <v>0</v>
      </c>
      <c r="P554" s="17" t="n">
        <v>45652</v>
      </c>
      <c r="Q554" s="17" t="n">
        <v>45652</v>
      </c>
      <c r="R554" s="17" t="n">
        <v>45652</v>
      </c>
      <c r="S554" s="19">
        <f>H554*I554</f>
        <v/>
      </c>
      <c r="T554" s="19">
        <f>H554*J554</f>
        <v/>
      </c>
      <c r="U554">
        <f>IF(AND(K554=0,G554&lt;=Assumptions!$C$6),1,0)</f>
        <v/>
      </c>
      <c r="V554">
        <f>IF(U554=1,IF(M554&gt;0,IF(P554&lt;=G554+Assumptions!$C$7,1,0),0),0)</f>
        <v/>
      </c>
      <c r="W554">
        <f>IF(AND(U554=1,M554&gt;=H554*(1-Assumptions!$C$8)),1,0)</f>
        <v/>
      </c>
      <c r="X554">
        <f>IF(AND(U554=1,N554&gt;=H554*(1-Assumptions!$C$8)),1,0)</f>
        <v/>
      </c>
      <c r="Y554">
        <f>IF(ISNUMBER(Q554),1,0)</f>
        <v/>
      </c>
      <c r="Z554">
        <f>IF(AND(K554=0,L554=0,Y554=0),1,0)</f>
        <v/>
      </c>
      <c r="AA554">
        <f>IF(AND(Z554=1,G554&lt;Assumptions!$C$6),1,0)</f>
        <v/>
      </c>
      <c r="AB554">
        <f>IF(U554=0,"",IF(Y554=1,MAX(0,Q554-G554),IF(L554=1,MAX(0,R554-G554),MAX(0,Assumptions!$C$6-G554))))</f>
        <v/>
      </c>
      <c r="AC554">
        <f>IF(Y554=1,Q554-F554,"")</f>
        <v/>
      </c>
      <c r="AD554">
        <f>IF(Y554=1,AC554^2,"")</f>
        <v/>
      </c>
      <c r="AE554" s="19">
        <f>IF(Z554=1,(H554-M554)*I554,0)</f>
        <v/>
      </c>
      <c r="AF554">
        <f>IF(G554&lt;EDATE(Assumptions!$C$6,-12)+1,"prior_12m","last_12m")</f>
        <v/>
      </c>
      <c r="AG554" s="21">
        <f>DATE(YEAR(G554),MONTH(G554),1)</f>
        <v/>
      </c>
    </row>
    <row r="555">
      <c r="A555" t="inlineStr">
        <is>
          <t>SPO-00307-1</t>
        </is>
      </c>
      <c r="B555" t="inlineStr">
        <is>
          <t>SPO-00307</t>
        </is>
      </c>
      <c r="C555" t="inlineStr">
        <is>
          <t>SUP-01</t>
        </is>
      </c>
      <c r="D555" t="inlineStr">
        <is>
          <t>ELEC</t>
        </is>
      </c>
      <c r="E555" t="inlineStr">
        <is>
          <t>ELEC-07</t>
        </is>
      </c>
      <c r="F555" s="17" t="n">
        <v>45649</v>
      </c>
      <c r="G555" s="17" t="n">
        <v>45667</v>
      </c>
      <c r="H555" s="18" t="n">
        <v>221</v>
      </c>
      <c r="I555" s="19" t="n">
        <v>9.92</v>
      </c>
      <c r="J555" s="19" t="n">
        <v>9.800000000000001</v>
      </c>
      <c r="K555" s="20" t="n">
        <v>0</v>
      </c>
      <c r="L555" s="20" t="n">
        <v>0</v>
      </c>
      <c r="M555" s="18" t="n">
        <v>221</v>
      </c>
      <c r="N555" s="18" t="n">
        <v>221</v>
      </c>
      <c r="O555" s="18" t="n">
        <v>0</v>
      </c>
      <c r="P555" s="17" t="n">
        <v>45667</v>
      </c>
      <c r="Q555" s="17" t="n">
        <v>45667</v>
      </c>
      <c r="R555" s="17" t="n">
        <v>45667</v>
      </c>
      <c r="S555" s="19">
        <f>H555*I555</f>
        <v/>
      </c>
      <c r="T555" s="19">
        <f>H555*J555</f>
        <v/>
      </c>
      <c r="U555">
        <f>IF(AND(K555=0,G555&lt;=Assumptions!$C$6),1,0)</f>
        <v/>
      </c>
      <c r="V555">
        <f>IF(U555=1,IF(M555&gt;0,IF(P555&lt;=G555+Assumptions!$C$7,1,0),0),0)</f>
        <v/>
      </c>
      <c r="W555">
        <f>IF(AND(U555=1,M555&gt;=H555*(1-Assumptions!$C$8)),1,0)</f>
        <v/>
      </c>
      <c r="X555">
        <f>IF(AND(U555=1,N555&gt;=H555*(1-Assumptions!$C$8)),1,0)</f>
        <v/>
      </c>
      <c r="Y555">
        <f>IF(ISNUMBER(Q555),1,0)</f>
        <v/>
      </c>
      <c r="Z555">
        <f>IF(AND(K555=0,L555=0,Y555=0),1,0)</f>
        <v/>
      </c>
      <c r="AA555">
        <f>IF(AND(Z555=1,G555&lt;Assumptions!$C$6),1,0)</f>
        <v/>
      </c>
      <c r="AB555">
        <f>IF(U555=0,"",IF(Y555=1,MAX(0,Q555-G555),IF(L555=1,MAX(0,R555-G555),MAX(0,Assumptions!$C$6-G555))))</f>
        <v/>
      </c>
      <c r="AC555">
        <f>IF(Y555=1,Q555-F555,"")</f>
        <v/>
      </c>
      <c r="AD555">
        <f>IF(Y555=1,AC555^2,"")</f>
        <v/>
      </c>
      <c r="AE555" s="19">
        <f>IF(Z555=1,(H555-M555)*I555,0)</f>
        <v/>
      </c>
      <c r="AF555">
        <f>IF(G555&lt;EDATE(Assumptions!$C$6,-12)+1,"prior_12m","last_12m")</f>
        <v/>
      </c>
      <c r="AG555" s="21">
        <f>DATE(YEAR(G555),MONTH(G555),1)</f>
        <v/>
      </c>
    </row>
    <row r="556">
      <c r="A556" t="inlineStr">
        <is>
          <t>SPO-00307-2</t>
        </is>
      </c>
      <c r="B556" t="inlineStr">
        <is>
          <t>SPO-00307</t>
        </is>
      </c>
      <c r="C556" t="inlineStr">
        <is>
          <t>SUP-01</t>
        </is>
      </c>
      <c r="D556" t="inlineStr">
        <is>
          <t>ELEC</t>
        </is>
      </c>
      <c r="E556" t="inlineStr">
        <is>
          <t>ELEC-08</t>
        </is>
      </c>
      <c r="F556" s="17" t="n">
        <v>45649</v>
      </c>
      <c r="G556" s="17" t="n">
        <v>45667</v>
      </c>
      <c r="H556" s="18" t="n">
        <v>274</v>
      </c>
      <c r="I556" s="19" t="n">
        <v>17.37</v>
      </c>
      <c r="J556" s="19" t="n">
        <v>18</v>
      </c>
      <c r="K556" s="20" t="n">
        <v>0</v>
      </c>
      <c r="L556" s="20" t="n">
        <v>0</v>
      </c>
      <c r="M556" s="18" t="n">
        <v>274</v>
      </c>
      <c r="N556" s="18" t="n">
        <v>274</v>
      </c>
      <c r="O556" s="18" t="n">
        <v>0</v>
      </c>
      <c r="P556" s="17" t="n">
        <v>45661</v>
      </c>
      <c r="Q556" s="17" t="n">
        <v>45661</v>
      </c>
      <c r="R556" s="17" t="n">
        <v>45661</v>
      </c>
      <c r="S556" s="19">
        <f>H556*I556</f>
        <v/>
      </c>
      <c r="T556" s="19">
        <f>H556*J556</f>
        <v/>
      </c>
      <c r="U556">
        <f>IF(AND(K556=0,G556&lt;=Assumptions!$C$6),1,0)</f>
        <v/>
      </c>
      <c r="V556">
        <f>IF(U556=1,IF(M556&gt;0,IF(P556&lt;=G556+Assumptions!$C$7,1,0),0),0)</f>
        <v/>
      </c>
      <c r="W556">
        <f>IF(AND(U556=1,M556&gt;=H556*(1-Assumptions!$C$8)),1,0)</f>
        <v/>
      </c>
      <c r="X556">
        <f>IF(AND(U556=1,N556&gt;=H556*(1-Assumptions!$C$8)),1,0)</f>
        <v/>
      </c>
      <c r="Y556">
        <f>IF(ISNUMBER(Q556),1,0)</f>
        <v/>
      </c>
      <c r="Z556">
        <f>IF(AND(K556=0,L556=0,Y556=0),1,0)</f>
        <v/>
      </c>
      <c r="AA556">
        <f>IF(AND(Z556=1,G556&lt;Assumptions!$C$6),1,0)</f>
        <v/>
      </c>
      <c r="AB556">
        <f>IF(U556=0,"",IF(Y556=1,MAX(0,Q556-G556),IF(L556=1,MAX(0,R556-G556),MAX(0,Assumptions!$C$6-G556))))</f>
        <v/>
      </c>
      <c r="AC556">
        <f>IF(Y556=1,Q556-F556,"")</f>
        <v/>
      </c>
      <c r="AD556">
        <f>IF(Y556=1,AC556^2,"")</f>
        <v/>
      </c>
      <c r="AE556" s="19">
        <f>IF(Z556=1,(H556-M556)*I556,0)</f>
        <v/>
      </c>
      <c r="AF556">
        <f>IF(G556&lt;EDATE(Assumptions!$C$6,-12)+1,"prior_12m","last_12m")</f>
        <v/>
      </c>
      <c r="AG556" s="21">
        <f>DATE(YEAR(G556),MONTH(G556),1)</f>
        <v/>
      </c>
    </row>
    <row r="557">
      <c r="A557" t="inlineStr">
        <is>
          <t>SPO-00307-3</t>
        </is>
      </c>
      <c r="B557" t="inlineStr">
        <is>
          <t>SPO-00307</t>
        </is>
      </c>
      <c r="C557" t="inlineStr">
        <is>
          <t>SUP-01</t>
        </is>
      </c>
      <c r="D557" t="inlineStr">
        <is>
          <t>ELEC</t>
        </is>
      </c>
      <c r="E557" t="inlineStr">
        <is>
          <t>ELEC-05</t>
        </is>
      </c>
      <c r="F557" s="17" t="n">
        <v>45649</v>
      </c>
      <c r="G557" s="17" t="n">
        <v>45667</v>
      </c>
      <c r="H557" s="18" t="n">
        <v>180</v>
      </c>
      <c r="I557" s="19" t="n">
        <v>11.49</v>
      </c>
      <c r="J557" s="19" t="n">
        <v>11.5</v>
      </c>
      <c r="K557" s="20" t="n">
        <v>0</v>
      </c>
      <c r="L557" s="20" t="n">
        <v>0</v>
      </c>
      <c r="M557" s="18" t="n">
        <v>180</v>
      </c>
      <c r="N557" s="18" t="n">
        <v>180</v>
      </c>
      <c r="O557" s="18" t="n">
        <v>0</v>
      </c>
      <c r="P557" s="17" t="n">
        <v>45662</v>
      </c>
      <c r="Q557" s="17" t="n">
        <v>45662</v>
      </c>
      <c r="R557" s="17" t="n">
        <v>45662</v>
      </c>
      <c r="S557" s="19">
        <f>H557*I557</f>
        <v/>
      </c>
      <c r="T557" s="19">
        <f>H557*J557</f>
        <v/>
      </c>
      <c r="U557">
        <f>IF(AND(K557=0,G557&lt;=Assumptions!$C$6),1,0)</f>
        <v/>
      </c>
      <c r="V557">
        <f>IF(U557=1,IF(M557&gt;0,IF(P557&lt;=G557+Assumptions!$C$7,1,0),0),0)</f>
        <v/>
      </c>
      <c r="W557">
        <f>IF(AND(U557=1,M557&gt;=H557*(1-Assumptions!$C$8)),1,0)</f>
        <v/>
      </c>
      <c r="X557">
        <f>IF(AND(U557=1,N557&gt;=H557*(1-Assumptions!$C$8)),1,0)</f>
        <v/>
      </c>
      <c r="Y557">
        <f>IF(ISNUMBER(Q557),1,0)</f>
        <v/>
      </c>
      <c r="Z557">
        <f>IF(AND(K557=0,L557=0,Y557=0),1,0)</f>
        <v/>
      </c>
      <c r="AA557">
        <f>IF(AND(Z557=1,G557&lt;Assumptions!$C$6),1,0)</f>
        <v/>
      </c>
      <c r="AB557">
        <f>IF(U557=0,"",IF(Y557=1,MAX(0,Q557-G557),IF(L557=1,MAX(0,R557-G557),MAX(0,Assumptions!$C$6-G557))))</f>
        <v/>
      </c>
      <c r="AC557">
        <f>IF(Y557=1,Q557-F557,"")</f>
        <v/>
      </c>
      <c r="AD557">
        <f>IF(Y557=1,AC557^2,"")</f>
        <v/>
      </c>
      <c r="AE557" s="19">
        <f>IF(Z557=1,(H557-M557)*I557,0)</f>
        <v/>
      </c>
      <c r="AF557">
        <f>IF(G557&lt;EDATE(Assumptions!$C$6,-12)+1,"prior_12m","last_12m")</f>
        <v/>
      </c>
      <c r="AG557" s="21">
        <f>DATE(YEAR(G557),MONTH(G557),1)</f>
        <v/>
      </c>
    </row>
    <row r="558">
      <c r="A558" t="inlineStr">
        <is>
          <t>SPO-00308-1</t>
        </is>
      </c>
      <c r="B558" t="inlineStr">
        <is>
          <t>SPO-00308</t>
        </is>
      </c>
      <c r="C558" t="inlineStr">
        <is>
          <t>SUP-05</t>
        </is>
      </c>
      <c r="D558" t="inlineStr">
        <is>
          <t>FLEET</t>
        </is>
      </c>
      <c r="E558" t="inlineStr">
        <is>
          <t>FLEET-08</t>
        </is>
      </c>
      <c r="F558" s="17" t="n">
        <v>45649</v>
      </c>
      <c r="G558" s="17" t="n">
        <v>45663</v>
      </c>
      <c r="H558" s="18" t="n">
        <v>217</v>
      </c>
      <c r="I558" s="19" t="n">
        <v>6.44</v>
      </c>
      <c r="J558" s="19" t="n">
        <v>6.4</v>
      </c>
      <c r="K558" s="20" t="n">
        <v>0</v>
      </c>
      <c r="L558" s="20" t="n">
        <v>0</v>
      </c>
      <c r="M558" s="18" t="n">
        <v>217</v>
      </c>
      <c r="N558" s="18" t="n">
        <v>217</v>
      </c>
      <c r="O558" s="18" t="n">
        <v>0</v>
      </c>
      <c r="P558" s="17" t="n">
        <v>45660</v>
      </c>
      <c r="Q558" s="17" t="n">
        <v>45660</v>
      </c>
      <c r="R558" s="17" t="n">
        <v>45660</v>
      </c>
      <c r="S558" s="19">
        <f>H558*I558</f>
        <v/>
      </c>
      <c r="T558" s="19">
        <f>H558*J558</f>
        <v/>
      </c>
      <c r="U558">
        <f>IF(AND(K558=0,G558&lt;=Assumptions!$C$6),1,0)</f>
        <v/>
      </c>
      <c r="V558">
        <f>IF(U558=1,IF(M558&gt;0,IF(P558&lt;=G558+Assumptions!$C$7,1,0),0),0)</f>
        <v/>
      </c>
      <c r="W558">
        <f>IF(AND(U558=1,M558&gt;=H558*(1-Assumptions!$C$8)),1,0)</f>
        <v/>
      </c>
      <c r="X558">
        <f>IF(AND(U558=1,N558&gt;=H558*(1-Assumptions!$C$8)),1,0)</f>
        <v/>
      </c>
      <c r="Y558">
        <f>IF(ISNUMBER(Q558),1,0)</f>
        <v/>
      </c>
      <c r="Z558">
        <f>IF(AND(K558=0,L558=0,Y558=0),1,0)</f>
        <v/>
      </c>
      <c r="AA558">
        <f>IF(AND(Z558=1,G558&lt;Assumptions!$C$6),1,0)</f>
        <v/>
      </c>
      <c r="AB558">
        <f>IF(U558=0,"",IF(Y558=1,MAX(0,Q558-G558),IF(L558=1,MAX(0,R558-G558),MAX(0,Assumptions!$C$6-G558))))</f>
        <v/>
      </c>
      <c r="AC558">
        <f>IF(Y558=1,Q558-F558,"")</f>
        <v/>
      </c>
      <c r="AD558">
        <f>IF(Y558=1,AC558^2,"")</f>
        <v/>
      </c>
      <c r="AE558" s="19">
        <f>IF(Z558=1,(H558-M558)*I558,0)</f>
        <v/>
      </c>
      <c r="AF558">
        <f>IF(G558&lt;EDATE(Assumptions!$C$6,-12)+1,"prior_12m","last_12m")</f>
        <v/>
      </c>
      <c r="AG558" s="21">
        <f>DATE(YEAR(G558),MONTH(G558),1)</f>
        <v/>
      </c>
    </row>
    <row r="559">
      <c r="A559" t="inlineStr">
        <is>
          <t>SPO-00308-2</t>
        </is>
      </c>
      <c r="B559" t="inlineStr">
        <is>
          <t>SPO-00308</t>
        </is>
      </c>
      <c r="C559" t="inlineStr">
        <is>
          <t>SUP-05</t>
        </is>
      </c>
      <c r="D559" t="inlineStr">
        <is>
          <t>FLEET</t>
        </is>
      </c>
      <c r="E559" t="inlineStr">
        <is>
          <t>FLEET-02</t>
        </is>
      </c>
      <c r="F559" s="17" t="n">
        <v>45649</v>
      </c>
      <c r="G559" s="17" t="n">
        <v>45663</v>
      </c>
      <c r="H559" s="18" t="n">
        <v>230</v>
      </c>
      <c r="I559" s="19" t="n">
        <v>7.74</v>
      </c>
      <c r="J559" s="19" t="n">
        <v>7.5</v>
      </c>
      <c r="K559" s="20" t="n">
        <v>0</v>
      </c>
      <c r="L559" s="20" t="n">
        <v>0</v>
      </c>
      <c r="M559" s="18" t="n">
        <v>230</v>
      </c>
      <c r="N559" s="18" t="n">
        <v>230</v>
      </c>
      <c r="O559" s="18" t="n">
        <v>0</v>
      </c>
      <c r="P559" s="17" t="n">
        <v>45660</v>
      </c>
      <c r="Q559" s="17" t="n">
        <v>45660</v>
      </c>
      <c r="R559" s="17" t="n">
        <v>45660</v>
      </c>
      <c r="S559" s="19">
        <f>H559*I559</f>
        <v/>
      </c>
      <c r="T559" s="19">
        <f>H559*J559</f>
        <v/>
      </c>
      <c r="U559">
        <f>IF(AND(K559=0,G559&lt;=Assumptions!$C$6),1,0)</f>
        <v/>
      </c>
      <c r="V559">
        <f>IF(U559=1,IF(M559&gt;0,IF(P559&lt;=G559+Assumptions!$C$7,1,0),0),0)</f>
        <v/>
      </c>
      <c r="W559">
        <f>IF(AND(U559=1,M559&gt;=H559*(1-Assumptions!$C$8)),1,0)</f>
        <v/>
      </c>
      <c r="X559">
        <f>IF(AND(U559=1,N559&gt;=H559*(1-Assumptions!$C$8)),1,0)</f>
        <v/>
      </c>
      <c r="Y559">
        <f>IF(ISNUMBER(Q559),1,0)</f>
        <v/>
      </c>
      <c r="Z559">
        <f>IF(AND(K559=0,L559=0,Y559=0),1,0)</f>
        <v/>
      </c>
      <c r="AA559">
        <f>IF(AND(Z559=1,G559&lt;Assumptions!$C$6),1,0)</f>
        <v/>
      </c>
      <c r="AB559">
        <f>IF(U559=0,"",IF(Y559=1,MAX(0,Q559-G559),IF(L559=1,MAX(0,R559-G559),MAX(0,Assumptions!$C$6-G559))))</f>
        <v/>
      </c>
      <c r="AC559">
        <f>IF(Y559=1,Q559-F559,"")</f>
        <v/>
      </c>
      <c r="AD559">
        <f>IF(Y559=1,AC559^2,"")</f>
        <v/>
      </c>
      <c r="AE559" s="19">
        <f>IF(Z559=1,(H559-M559)*I559,0)</f>
        <v/>
      </c>
      <c r="AF559">
        <f>IF(G559&lt;EDATE(Assumptions!$C$6,-12)+1,"prior_12m","last_12m")</f>
        <v/>
      </c>
      <c r="AG559" s="21">
        <f>DATE(YEAR(G559),MONTH(G559),1)</f>
        <v/>
      </c>
    </row>
    <row r="560">
      <c r="A560" t="inlineStr">
        <is>
          <t>SPO-00309-1</t>
        </is>
      </c>
      <c r="B560" t="inlineStr">
        <is>
          <t>SPO-00309</t>
        </is>
      </c>
      <c r="C560" t="inlineStr">
        <is>
          <t>SUP-07</t>
        </is>
      </c>
      <c r="D560" t="inlineStr">
        <is>
          <t>MRO</t>
        </is>
      </c>
      <c r="E560" t="inlineStr">
        <is>
          <t>MRO-02</t>
        </is>
      </c>
      <c r="F560" s="17" t="n">
        <v>45649</v>
      </c>
      <c r="G560" s="17" t="n">
        <v>45659</v>
      </c>
      <c r="H560" s="18" t="n">
        <v>21</v>
      </c>
      <c r="I560" s="19" t="n">
        <v>41.08</v>
      </c>
      <c r="J560" s="19" t="n">
        <v>41</v>
      </c>
      <c r="K560" s="20" t="n">
        <v>0</v>
      </c>
      <c r="L560" s="20" t="n">
        <v>0</v>
      </c>
      <c r="M560" s="18" t="n">
        <v>21</v>
      </c>
      <c r="N560" s="18" t="n">
        <v>21</v>
      </c>
      <c r="O560" s="18" t="n">
        <v>0</v>
      </c>
      <c r="P560" s="17" t="n">
        <v>45652</v>
      </c>
      <c r="Q560" s="17" t="n">
        <v>45652</v>
      </c>
      <c r="R560" s="17" t="n">
        <v>45652</v>
      </c>
      <c r="S560" s="19">
        <f>H560*I560</f>
        <v/>
      </c>
      <c r="T560" s="19">
        <f>H560*J560</f>
        <v/>
      </c>
      <c r="U560">
        <f>IF(AND(K560=0,G560&lt;=Assumptions!$C$6),1,0)</f>
        <v/>
      </c>
      <c r="V560">
        <f>IF(U560=1,IF(M560&gt;0,IF(P560&lt;=G560+Assumptions!$C$7,1,0),0),0)</f>
        <v/>
      </c>
      <c r="W560">
        <f>IF(AND(U560=1,M560&gt;=H560*(1-Assumptions!$C$8)),1,0)</f>
        <v/>
      </c>
      <c r="X560">
        <f>IF(AND(U560=1,N560&gt;=H560*(1-Assumptions!$C$8)),1,0)</f>
        <v/>
      </c>
      <c r="Y560">
        <f>IF(ISNUMBER(Q560),1,0)</f>
        <v/>
      </c>
      <c r="Z560">
        <f>IF(AND(K560=0,L560=0,Y560=0),1,0)</f>
        <v/>
      </c>
      <c r="AA560">
        <f>IF(AND(Z560=1,G560&lt;Assumptions!$C$6),1,0)</f>
        <v/>
      </c>
      <c r="AB560">
        <f>IF(U560=0,"",IF(Y560=1,MAX(0,Q560-G560),IF(L560=1,MAX(0,R560-G560),MAX(0,Assumptions!$C$6-G560))))</f>
        <v/>
      </c>
      <c r="AC560">
        <f>IF(Y560=1,Q560-F560,"")</f>
        <v/>
      </c>
      <c r="AD560">
        <f>IF(Y560=1,AC560^2,"")</f>
        <v/>
      </c>
      <c r="AE560" s="19">
        <f>IF(Z560=1,(H560-M560)*I560,0)</f>
        <v/>
      </c>
      <c r="AF560">
        <f>IF(G560&lt;EDATE(Assumptions!$C$6,-12)+1,"prior_12m","last_12m")</f>
        <v/>
      </c>
      <c r="AG560" s="21">
        <f>DATE(YEAR(G560),MONTH(G560),1)</f>
        <v/>
      </c>
    </row>
    <row r="561">
      <c r="A561" t="inlineStr">
        <is>
          <t>SPO-00310-1</t>
        </is>
      </c>
      <c r="B561" t="inlineStr">
        <is>
          <t>SPO-00310</t>
        </is>
      </c>
      <c r="C561" t="inlineStr">
        <is>
          <t>SUP-02</t>
        </is>
      </c>
      <c r="D561" t="inlineStr">
        <is>
          <t>ELEC</t>
        </is>
      </c>
      <c r="E561" t="inlineStr">
        <is>
          <t>ELEC-02</t>
        </is>
      </c>
      <c r="F561" s="17" t="n">
        <v>45649</v>
      </c>
      <c r="G561" s="17" t="n">
        <v>45665</v>
      </c>
      <c r="H561" s="18" t="n">
        <v>421</v>
      </c>
      <c r="I561" s="19" t="n">
        <v>4.1</v>
      </c>
      <c r="J561" s="19" t="n">
        <v>4.2</v>
      </c>
      <c r="K561" s="20" t="n">
        <v>0</v>
      </c>
      <c r="L561" s="20" t="n">
        <v>0</v>
      </c>
      <c r="M561" s="18" t="n">
        <v>421</v>
      </c>
      <c r="N561" s="18" t="n">
        <v>421</v>
      </c>
      <c r="O561" s="18" t="n">
        <v>0</v>
      </c>
      <c r="P561" s="17" t="n">
        <v>45665</v>
      </c>
      <c r="Q561" s="17" t="n">
        <v>45665</v>
      </c>
      <c r="R561" s="17" t="n">
        <v>45665</v>
      </c>
      <c r="S561" s="19">
        <f>H561*I561</f>
        <v/>
      </c>
      <c r="T561" s="19">
        <f>H561*J561</f>
        <v/>
      </c>
      <c r="U561">
        <f>IF(AND(K561=0,G561&lt;=Assumptions!$C$6),1,0)</f>
        <v/>
      </c>
      <c r="V561">
        <f>IF(U561=1,IF(M561&gt;0,IF(P561&lt;=G561+Assumptions!$C$7,1,0),0),0)</f>
        <v/>
      </c>
      <c r="W561">
        <f>IF(AND(U561=1,M561&gt;=H561*(1-Assumptions!$C$8)),1,0)</f>
        <v/>
      </c>
      <c r="X561">
        <f>IF(AND(U561=1,N561&gt;=H561*(1-Assumptions!$C$8)),1,0)</f>
        <v/>
      </c>
      <c r="Y561">
        <f>IF(ISNUMBER(Q561),1,0)</f>
        <v/>
      </c>
      <c r="Z561">
        <f>IF(AND(K561=0,L561=0,Y561=0),1,0)</f>
        <v/>
      </c>
      <c r="AA561">
        <f>IF(AND(Z561=1,G561&lt;Assumptions!$C$6),1,0)</f>
        <v/>
      </c>
      <c r="AB561">
        <f>IF(U561=0,"",IF(Y561=1,MAX(0,Q561-G561),IF(L561=1,MAX(0,R561-G561),MAX(0,Assumptions!$C$6-G561))))</f>
        <v/>
      </c>
      <c r="AC561">
        <f>IF(Y561=1,Q561-F561,"")</f>
        <v/>
      </c>
      <c r="AD561">
        <f>IF(Y561=1,AC561^2,"")</f>
        <v/>
      </c>
      <c r="AE561" s="19">
        <f>IF(Z561=1,(H561-M561)*I561,0)</f>
        <v/>
      </c>
      <c r="AF561">
        <f>IF(G561&lt;EDATE(Assumptions!$C$6,-12)+1,"prior_12m","last_12m")</f>
        <v/>
      </c>
      <c r="AG561" s="21">
        <f>DATE(YEAR(G561),MONTH(G561),1)</f>
        <v/>
      </c>
    </row>
    <row r="562">
      <c r="A562" t="inlineStr">
        <is>
          <t>SPO-00311-1</t>
        </is>
      </c>
      <c r="B562" t="inlineStr">
        <is>
          <t>SPO-00311</t>
        </is>
      </c>
      <c r="C562" t="inlineStr">
        <is>
          <t>SUP-02</t>
        </is>
      </c>
      <c r="D562" t="inlineStr">
        <is>
          <t>ELEC</t>
        </is>
      </c>
      <c r="E562" t="inlineStr">
        <is>
          <t>ELEC-03</t>
        </is>
      </c>
      <c r="F562" s="17" t="n">
        <v>45649</v>
      </c>
      <c r="G562" s="17" t="n">
        <v>45665</v>
      </c>
      <c r="H562" s="18" t="n">
        <v>15</v>
      </c>
      <c r="I562" s="19" t="n">
        <v>98.23</v>
      </c>
      <c r="J562" s="19" t="n">
        <v>96</v>
      </c>
      <c r="K562" s="20" t="n">
        <v>0</v>
      </c>
      <c r="L562" s="20" t="n">
        <v>0</v>
      </c>
      <c r="M562" s="18" t="n">
        <v>15</v>
      </c>
      <c r="N562" s="18" t="n">
        <v>15</v>
      </c>
      <c r="O562" s="18" t="n">
        <v>0</v>
      </c>
      <c r="P562" s="17" t="n">
        <v>45663</v>
      </c>
      <c r="Q562" s="17" t="n">
        <v>45663</v>
      </c>
      <c r="R562" s="17" t="n">
        <v>45663</v>
      </c>
      <c r="S562" s="19">
        <f>H562*I562</f>
        <v/>
      </c>
      <c r="T562" s="19">
        <f>H562*J562</f>
        <v/>
      </c>
      <c r="U562">
        <f>IF(AND(K562=0,G562&lt;=Assumptions!$C$6),1,0)</f>
        <v/>
      </c>
      <c r="V562">
        <f>IF(U562=1,IF(M562&gt;0,IF(P562&lt;=G562+Assumptions!$C$7,1,0),0),0)</f>
        <v/>
      </c>
      <c r="W562">
        <f>IF(AND(U562=1,M562&gt;=H562*(1-Assumptions!$C$8)),1,0)</f>
        <v/>
      </c>
      <c r="X562">
        <f>IF(AND(U562=1,N562&gt;=H562*(1-Assumptions!$C$8)),1,0)</f>
        <v/>
      </c>
      <c r="Y562">
        <f>IF(ISNUMBER(Q562),1,0)</f>
        <v/>
      </c>
      <c r="Z562">
        <f>IF(AND(K562=0,L562=0,Y562=0),1,0)</f>
        <v/>
      </c>
      <c r="AA562">
        <f>IF(AND(Z562=1,G562&lt;Assumptions!$C$6),1,0)</f>
        <v/>
      </c>
      <c r="AB562">
        <f>IF(U562=0,"",IF(Y562=1,MAX(0,Q562-G562),IF(L562=1,MAX(0,R562-G562),MAX(0,Assumptions!$C$6-G562))))</f>
        <v/>
      </c>
      <c r="AC562">
        <f>IF(Y562=1,Q562-F562,"")</f>
        <v/>
      </c>
      <c r="AD562">
        <f>IF(Y562=1,AC562^2,"")</f>
        <v/>
      </c>
      <c r="AE562" s="19">
        <f>IF(Z562=1,(H562-M562)*I562,0)</f>
        <v/>
      </c>
      <c r="AF562">
        <f>IF(G562&lt;EDATE(Assumptions!$C$6,-12)+1,"prior_12m","last_12m")</f>
        <v/>
      </c>
      <c r="AG562" s="21">
        <f>DATE(YEAR(G562),MONTH(G562),1)</f>
        <v/>
      </c>
    </row>
    <row r="563">
      <c r="A563" t="inlineStr">
        <is>
          <t>SPO-00312-1</t>
        </is>
      </c>
      <c r="B563" t="inlineStr">
        <is>
          <t>SPO-00312</t>
        </is>
      </c>
      <c r="C563" t="inlineStr">
        <is>
          <t>SUP-09</t>
        </is>
      </c>
      <c r="D563" t="inlineStr">
        <is>
          <t>CHEM</t>
        </is>
      </c>
      <c r="E563" t="inlineStr">
        <is>
          <t>CHEM-02</t>
        </is>
      </c>
      <c r="F563" s="17" t="n">
        <v>45650</v>
      </c>
      <c r="G563" s="17" t="n">
        <v>45664</v>
      </c>
      <c r="H563" s="18" t="n">
        <v>4</v>
      </c>
      <c r="I563" s="19" t="n">
        <v>410.24</v>
      </c>
      <c r="J563" s="19" t="n">
        <v>410</v>
      </c>
      <c r="K563" s="20" t="n">
        <v>0</v>
      </c>
      <c r="L563" s="20" t="n">
        <v>0</v>
      </c>
      <c r="M563" s="18" t="n">
        <v>4</v>
      </c>
      <c r="N563" s="18" t="n">
        <v>4</v>
      </c>
      <c r="O563" s="18" t="n">
        <v>0</v>
      </c>
      <c r="P563" s="17" t="n">
        <v>45661</v>
      </c>
      <c r="Q563" s="17" t="n">
        <v>45661</v>
      </c>
      <c r="R563" s="17" t="n">
        <v>45661</v>
      </c>
      <c r="S563" s="19">
        <f>H563*I563</f>
        <v/>
      </c>
      <c r="T563" s="19">
        <f>H563*J563</f>
        <v/>
      </c>
      <c r="U563">
        <f>IF(AND(K563=0,G563&lt;=Assumptions!$C$6),1,0)</f>
        <v/>
      </c>
      <c r="V563">
        <f>IF(U563=1,IF(M563&gt;0,IF(P563&lt;=G563+Assumptions!$C$7,1,0),0),0)</f>
        <v/>
      </c>
      <c r="W563">
        <f>IF(AND(U563=1,M563&gt;=H563*(1-Assumptions!$C$8)),1,0)</f>
        <v/>
      </c>
      <c r="X563">
        <f>IF(AND(U563=1,N563&gt;=H563*(1-Assumptions!$C$8)),1,0)</f>
        <v/>
      </c>
      <c r="Y563">
        <f>IF(ISNUMBER(Q563),1,0)</f>
        <v/>
      </c>
      <c r="Z563">
        <f>IF(AND(K563=0,L563=0,Y563=0),1,0)</f>
        <v/>
      </c>
      <c r="AA563">
        <f>IF(AND(Z563=1,G563&lt;Assumptions!$C$6),1,0)</f>
        <v/>
      </c>
      <c r="AB563">
        <f>IF(U563=0,"",IF(Y563=1,MAX(0,Q563-G563),IF(L563=1,MAX(0,R563-G563),MAX(0,Assumptions!$C$6-G563))))</f>
        <v/>
      </c>
      <c r="AC563">
        <f>IF(Y563=1,Q563-F563,"")</f>
        <v/>
      </c>
      <c r="AD563">
        <f>IF(Y563=1,AC563^2,"")</f>
        <v/>
      </c>
      <c r="AE563" s="19">
        <f>IF(Z563=1,(H563-M563)*I563,0)</f>
        <v/>
      </c>
      <c r="AF563">
        <f>IF(G563&lt;EDATE(Assumptions!$C$6,-12)+1,"prior_12m","last_12m")</f>
        <v/>
      </c>
      <c r="AG563" s="21">
        <f>DATE(YEAR(G563),MONTH(G563),1)</f>
        <v/>
      </c>
    </row>
    <row r="564">
      <c r="A564" t="inlineStr">
        <is>
          <t>SPO-00313-1</t>
        </is>
      </c>
      <c r="B564" t="inlineStr">
        <is>
          <t>SPO-00313</t>
        </is>
      </c>
      <c r="C564" t="inlineStr">
        <is>
          <t>SUP-06</t>
        </is>
      </c>
      <c r="D564" t="inlineStr">
        <is>
          <t>MRO</t>
        </is>
      </c>
      <c r="E564" t="inlineStr">
        <is>
          <t>MRO-08</t>
        </is>
      </c>
      <c r="F564" s="17" t="n">
        <v>45650</v>
      </c>
      <c r="G564" s="17" t="n">
        <v>45658</v>
      </c>
      <c r="H564" s="18" t="n">
        <v>219</v>
      </c>
      <c r="I564" s="19" t="n">
        <v>6.87</v>
      </c>
      <c r="J564" s="19" t="n">
        <v>7.2</v>
      </c>
      <c r="K564" s="20" t="n">
        <v>0</v>
      </c>
      <c r="L564" s="20" t="n">
        <v>0</v>
      </c>
      <c r="M564" s="18" t="n">
        <v>219</v>
      </c>
      <c r="N564" s="18" t="n">
        <v>219</v>
      </c>
      <c r="O564" s="18" t="n">
        <v>0</v>
      </c>
      <c r="P564" s="17" t="n">
        <v>45656</v>
      </c>
      <c r="Q564" s="17" t="n">
        <v>45656</v>
      </c>
      <c r="R564" s="17" t="n">
        <v>45656</v>
      </c>
      <c r="S564" s="19">
        <f>H564*I564</f>
        <v/>
      </c>
      <c r="T564" s="19">
        <f>H564*J564</f>
        <v/>
      </c>
      <c r="U564">
        <f>IF(AND(K564=0,G564&lt;=Assumptions!$C$6),1,0)</f>
        <v/>
      </c>
      <c r="V564">
        <f>IF(U564=1,IF(M564&gt;0,IF(P564&lt;=G564+Assumptions!$C$7,1,0),0),0)</f>
        <v/>
      </c>
      <c r="W564">
        <f>IF(AND(U564=1,M564&gt;=H564*(1-Assumptions!$C$8)),1,0)</f>
        <v/>
      </c>
      <c r="X564">
        <f>IF(AND(U564=1,N564&gt;=H564*(1-Assumptions!$C$8)),1,0)</f>
        <v/>
      </c>
      <c r="Y564">
        <f>IF(ISNUMBER(Q564),1,0)</f>
        <v/>
      </c>
      <c r="Z564">
        <f>IF(AND(K564=0,L564=0,Y564=0),1,0)</f>
        <v/>
      </c>
      <c r="AA564">
        <f>IF(AND(Z564=1,G564&lt;Assumptions!$C$6),1,0)</f>
        <v/>
      </c>
      <c r="AB564">
        <f>IF(U564=0,"",IF(Y564=1,MAX(0,Q564-G564),IF(L564=1,MAX(0,R564-G564),MAX(0,Assumptions!$C$6-G564))))</f>
        <v/>
      </c>
      <c r="AC564">
        <f>IF(Y564=1,Q564-F564,"")</f>
        <v/>
      </c>
      <c r="AD564">
        <f>IF(Y564=1,AC564^2,"")</f>
        <v/>
      </c>
      <c r="AE564" s="19">
        <f>IF(Z564=1,(H564-M564)*I564,0)</f>
        <v/>
      </c>
      <c r="AF564">
        <f>IF(G564&lt;EDATE(Assumptions!$C$6,-12)+1,"prior_12m","last_12m")</f>
        <v/>
      </c>
      <c r="AG564" s="21">
        <f>DATE(YEAR(G564),MONTH(G564),1)</f>
        <v/>
      </c>
    </row>
    <row r="565">
      <c r="A565" t="inlineStr">
        <is>
          <t>SPO-00313-2</t>
        </is>
      </c>
      <c r="B565" t="inlineStr">
        <is>
          <t>SPO-00313</t>
        </is>
      </c>
      <c r="C565" t="inlineStr">
        <is>
          <t>SUP-06</t>
        </is>
      </c>
      <c r="D565" t="inlineStr">
        <is>
          <t>MRO</t>
        </is>
      </c>
      <c r="E565" t="inlineStr">
        <is>
          <t>MRO-04</t>
        </is>
      </c>
      <c r="F565" s="17" t="n">
        <v>45650</v>
      </c>
      <c r="G565" s="17" t="n">
        <v>45658</v>
      </c>
      <c r="H565" s="18" t="n">
        <v>23</v>
      </c>
      <c r="I565" s="19" t="n">
        <v>58.15</v>
      </c>
      <c r="J565" s="19" t="n">
        <v>58</v>
      </c>
      <c r="K565" s="20" t="n">
        <v>0</v>
      </c>
      <c r="L565" s="20" t="n">
        <v>0</v>
      </c>
      <c r="M565" s="18" t="n">
        <v>23</v>
      </c>
      <c r="N565" s="18" t="n">
        <v>23</v>
      </c>
      <c r="O565" s="18" t="n">
        <v>0</v>
      </c>
      <c r="P565" s="17" t="n">
        <v>45656</v>
      </c>
      <c r="Q565" s="17" t="n">
        <v>45656</v>
      </c>
      <c r="R565" s="17" t="n">
        <v>45656</v>
      </c>
      <c r="S565" s="19">
        <f>H565*I565</f>
        <v/>
      </c>
      <c r="T565" s="19">
        <f>H565*J565</f>
        <v/>
      </c>
      <c r="U565">
        <f>IF(AND(K565=0,G565&lt;=Assumptions!$C$6),1,0)</f>
        <v/>
      </c>
      <c r="V565">
        <f>IF(U565=1,IF(M565&gt;0,IF(P565&lt;=G565+Assumptions!$C$7,1,0),0),0)</f>
        <v/>
      </c>
      <c r="W565">
        <f>IF(AND(U565=1,M565&gt;=H565*(1-Assumptions!$C$8)),1,0)</f>
        <v/>
      </c>
      <c r="X565">
        <f>IF(AND(U565=1,N565&gt;=H565*(1-Assumptions!$C$8)),1,0)</f>
        <v/>
      </c>
      <c r="Y565">
        <f>IF(ISNUMBER(Q565),1,0)</f>
        <v/>
      </c>
      <c r="Z565">
        <f>IF(AND(K565=0,L565=0,Y565=0),1,0)</f>
        <v/>
      </c>
      <c r="AA565">
        <f>IF(AND(Z565=1,G565&lt;Assumptions!$C$6),1,0)</f>
        <v/>
      </c>
      <c r="AB565">
        <f>IF(U565=0,"",IF(Y565=1,MAX(0,Q565-G565),IF(L565=1,MAX(0,R565-G565),MAX(0,Assumptions!$C$6-G565))))</f>
        <v/>
      </c>
      <c r="AC565">
        <f>IF(Y565=1,Q565-F565,"")</f>
        <v/>
      </c>
      <c r="AD565">
        <f>IF(Y565=1,AC565^2,"")</f>
        <v/>
      </c>
      <c r="AE565" s="19">
        <f>IF(Z565=1,(H565-M565)*I565,0)</f>
        <v/>
      </c>
      <c r="AF565">
        <f>IF(G565&lt;EDATE(Assumptions!$C$6,-12)+1,"prior_12m","last_12m")</f>
        <v/>
      </c>
      <c r="AG565" s="21">
        <f>DATE(YEAR(G565),MONTH(G565),1)</f>
        <v/>
      </c>
    </row>
    <row r="566">
      <c r="A566" t="inlineStr">
        <is>
          <t>SPO-00314-1</t>
        </is>
      </c>
      <c r="B566" t="inlineStr">
        <is>
          <t>SPO-00314</t>
        </is>
      </c>
      <c r="C566" t="inlineStr">
        <is>
          <t>SUP-09</t>
        </is>
      </c>
      <c r="D566" t="inlineStr">
        <is>
          <t>CHEM</t>
        </is>
      </c>
      <c r="E566" t="inlineStr">
        <is>
          <t>CHEM-01</t>
        </is>
      </c>
      <c r="F566" s="17" t="n">
        <v>45650</v>
      </c>
      <c r="G566" s="17" t="n">
        <v>45664</v>
      </c>
      <c r="H566" s="18" t="n">
        <v>2</v>
      </c>
      <c r="I566" s="19" t="n">
        <v>651.27</v>
      </c>
      <c r="J566" s="19" t="n">
        <v>640</v>
      </c>
      <c r="K566" s="20" t="n">
        <v>0</v>
      </c>
      <c r="L566" s="20" t="n">
        <v>0</v>
      </c>
      <c r="M566" s="18" t="n">
        <v>2</v>
      </c>
      <c r="N566" s="18" t="n">
        <v>2</v>
      </c>
      <c r="O566" s="18" t="n">
        <v>0</v>
      </c>
      <c r="P566" s="17" t="n">
        <v>45664</v>
      </c>
      <c r="Q566" s="17" t="n">
        <v>45664</v>
      </c>
      <c r="R566" s="17" t="n">
        <v>45664</v>
      </c>
      <c r="S566" s="19">
        <f>H566*I566</f>
        <v/>
      </c>
      <c r="T566" s="19">
        <f>H566*J566</f>
        <v/>
      </c>
      <c r="U566">
        <f>IF(AND(K566=0,G566&lt;=Assumptions!$C$6),1,0)</f>
        <v/>
      </c>
      <c r="V566">
        <f>IF(U566=1,IF(M566&gt;0,IF(P566&lt;=G566+Assumptions!$C$7,1,0),0),0)</f>
        <v/>
      </c>
      <c r="W566">
        <f>IF(AND(U566=1,M566&gt;=H566*(1-Assumptions!$C$8)),1,0)</f>
        <v/>
      </c>
      <c r="X566">
        <f>IF(AND(U566=1,N566&gt;=H566*(1-Assumptions!$C$8)),1,0)</f>
        <v/>
      </c>
      <c r="Y566">
        <f>IF(ISNUMBER(Q566),1,0)</f>
        <v/>
      </c>
      <c r="Z566">
        <f>IF(AND(K566=0,L566=0,Y566=0),1,0)</f>
        <v/>
      </c>
      <c r="AA566">
        <f>IF(AND(Z566=1,G566&lt;Assumptions!$C$6),1,0)</f>
        <v/>
      </c>
      <c r="AB566">
        <f>IF(U566=0,"",IF(Y566=1,MAX(0,Q566-G566),IF(L566=1,MAX(0,R566-G566),MAX(0,Assumptions!$C$6-G566))))</f>
        <v/>
      </c>
      <c r="AC566">
        <f>IF(Y566=1,Q566-F566,"")</f>
        <v/>
      </c>
      <c r="AD566">
        <f>IF(Y566=1,AC566^2,"")</f>
        <v/>
      </c>
      <c r="AE566" s="19">
        <f>IF(Z566=1,(H566-M566)*I566,0)</f>
        <v/>
      </c>
      <c r="AF566">
        <f>IF(G566&lt;EDATE(Assumptions!$C$6,-12)+1,"prior_12m","last_12m")</f>
        <v/>
      </c>
      <c r="AG566" s="21">
        <f>DATE(YEAR(G566),MONTH(G566),1)</f>
        <v/>
      </c>
    </row>
    <row r="567">
      <c r="A567" t="inlineStr">
        <is>
          <t>SPO-00315-1</t>
        </is>
      </c>
      <c r="B567" t="inlineStr">
        <is>
          <t>SPO-00315</t>
        </is>
      </c>
      <c r="C567" t="inlineStr">
        <is>
          <t>SUP-12</t>
        </is>
      </c>
      <c r="D567" t="inlineStr">
        <is>
          <t>IT</t>
        </is>
      </c>
      <c r="E567" t="inlineStr">
        <is>
          <t>IT-06</t>
        </is>
      </c>
      <c r="F567" s="17" t="n">
        <v>45650</v>
      </c>
      <c r="G567" s="17" t="n">
        <v>45660</v>
      </c>
      <c r="H567" s="18" t="n">
        <v>18</v>
      </c>
      <c r="I567" s="19" t="n">
        <v>102.76</v>
      </c>
      <c r="J567" s="19" t="n">
        <v>89</v>
      </c>
      <c r="K567" s="20" t="n">
        <v>0</v>
      </c>
      <c r="L567" s="20" t="n">
        <v>0</v>
      </c>
      <c r="M567" s="18" t="n">
        <v>18</v>
      </c>
      <c r="N567" s="18" t="n">
        <v>18</v>
      </c>
      <c r="O567" s="18" t="n">
        <v>0</v>
      </c>
      <c r="P567" s="17" t="n">
        <v>45657</v>
      </c>
      <c r="Q567" s="17" t="n">
        <v>45657</v>
      </c>
      <c r="R567" s="17" t="n">
        <v>45657</v>
      </c>
      <c r="S567" s="19">
        <f>H567*I567</f>
        <v/>
      </c>
      <c r="T567" s="19">
        <f>H567*J567</f>
        <v/>
      </c>
      <c r="U567">
        <f>IF(AND(K567=0,G567&lt;=Assumptions!$C$6),1,0)</f>
        <v/>
      </c>
      <c r="V567">
        <f>IF(U567=1,IF(M567&gt;0,IF(P567&lt;=G567+Assumptions!$C$7,1,0),0),0)</f>
        <v/>
      </c>
      <c r="W567">
        <f>IF(AND(U567=1,M567&gt;=H567*(1-Assumptions!$C$8)),1,0)</f>
        <v/>
      </c>
      <c r="X567">
        <f>IF(AND(U567=1,N567&gt;=H567*(1-Assumptions!$C$8)),1,0)</f>
        <v/>
      </c>
      <c r="Y567">
        <f>IF(ISNUMBER(Q567),1,0)</f>
        <v/>
      </c>
      <c r="Z567">
        <f>IF(AND(K567=0,L567=0,Y567=0),1,0)</f>
        <v/>
      </c>
      <c r="AA567">
        <f>IF(AND(Z567=1,G567&lt;Assumptions!$C$6),1,0)</f>
        <v/>
      </c>
      <c r="AB567">
        <f>IF(U567=0,"",IF(Y567=1,MAX(0,Q567-G567),IF(L567=1,MAX(0,R567-G567),MAX(0,Assumptions!$C$6-G567))))</f>
        <v/>
      </c>
      <c r="AC567">
        <f>IF(Y567=1,Q567-F567,"")</f>
        <v/>
      </c>
      <c r="AD567">
        <f>IF(Y567=1,AC567^2,"")</f>
        <v/>
      </c>
      <c r="AE567" s="19">
        <f>IF(Z567=1,(H567-M567)*I567,0)</f>
        <v/>
      </c>
      <c r="AF567">
        <f>IF(G567&lt;EDATE(Assumptions!$C$6,-12)+1,"prior_12m","last_12m")</f>
        <v/>
      </c>
      <c r="AG567" s="21">
        <f>DATE(YEAR(G567),MONTH(G567),1)</f>
        <v/>
      </c>
    </row>
    <row r="568">
      <c r="A568" t="inlineStr">
        <is>
          <t>SPO-00316-1</t>
        </is>
      </c>
      <c r="B568" t="inlineStr">
        <is>
          <t>SPO-00316</t>
        </is>
      </c>
      <c r="C568" t="inlineStr">
        <is>
          <t>SUP-08</t>
        </is>
      </c>
      <c r="D568" t="inlineStr">
        <is>
          <t>PPE</t>
        </is>
      </c>
      <c r="E568" t="inlineStr">
        <is>
          <t>PPE-07</t>
        </is>
      </c>
      <c r="F568" s="17" t="n">
        <v>45651</v>
      </c>
      <c r="G568" s="17" t="n">
        <v>45662</v>
      </c>
      <c r="H568" s="18" t="n">
        <v>33</v>
      </c>
      <c r="I568" s="19" t="n">
        <v>29.8</v>
      </c>
      <c r="J568" s="19" t="n">
        <v>31</v>
      </c>
      <c r="K568" s="20" t="n">
        <v>0</v>
      </c>
      <c r="L568" s="20" t="n">
        <v>0</v>
      </c>
      <c r="M568" s="18" t="n">
        <v>33</v>
      </c>
      <c r="N568" s="18" t="n">
        <v>33</v>
      </c>
      <c r="O568" s="18" t="n">
        <v>0</v>
      </c>
      <c r="P568" s="17" t="n">
        <v>45658</v>
      </c>
      <c r="Q568" s="17" t="n">
        <v>45658</v>
      </c>
      <c r="R568" s="17" t="n">
        <v>45658</v>
      </c>
      <c r="S568" s="19">
        <f>H568*I568</f>
        <v/>
      </c>
      <c r="T568" s="19">
        <f>H568*J568</f>
        <v/>
      </c>
      <c r="U568">
        <f>IF(AND(K568=0,G568&lt;=Assumptions!$C$6),1,0)</f>
        <v/>
      </c>
      <c r="V568">
        <f>IF(U568=1,IF(M568&gt;0,IF(P568&lt;=G568+Assumptions!$C$7,1,0),0),0)</f>
        <v/>
      </c>
      <c r="W568">
        <f>IF(AND(U568=1,M568&gt;=H568*(1-Assumptions!$C$8)),1,0)</f>
        <v/>
      </c>
      <c r="X568">
        <f>IF(AND(U568=1,N568&gt;=H568*(1-Assumptions!$C$8)),1,0)</f>
        <v/>
      </c>
      <c r="Y568">
        <f>IF(ISNUMBER(Q568),1,0)</f>
        <v/>
      </c>
      <c r="Z568">
        <f>IF(AND(K568=0,L568=0,Y568=0),1,0)</f>
        <v/>
      </c>
      <c r="AA568">
        <f>IF(AND(Z568=1,G568&lt;Assumptions!$C$6),1,0)</f>
        <v/>
      </c>
      <c r="AB568">
        <f>IF(U568=0,"",IF(Y568=1,MAX(0,Q568-G568),IF(L568=1,MAX(0,R568-G568),MAX(0,Assumptions!$C$6-G568))))</f>
        <v/>
      </c>
      <c r="AC568">
        <f>IF(Y568=1,Q568-F568,"")</f>
        <v/>
      </c>
      <c r="AD568">
        <f>IF(Y568=1,AC568^2,"")</f>
        <v/>
      </c>
      <c r="AE568" s="19">
        <f>IF(Z568=1,(H568-M568)*I568,0)</f>
        <v/>
      </c>
      <c r="AF568">
        <f>IF(G568&lt;EDATE(Assumptions!$C$6,-12)+1,"prior_12m","last_12m")</f>
        <v/>
      </c>
      <c r="AG568" s="21">
        <f>DATE(YEAR(G568),MONTH(G568),1)</f>
        <v/>
      </c>
    </row>
    <row r="569">
      <c r="A569" t="inlineStr">
        <is>
          <t>SPO-00316-2</t>
        </is>
      </c>
      <c r="B569" t="inlineStr">
        <is>
          <t>SPO-00316</t>
        </is>
      </c>
      <c r="C569" t="inlineStr">
        <is>
          <t>SUP-08</t>
        </is>
      </c>
      <c r="D569" t="inlineStr">
        <is>
          <t>PPE</t>
        </is>
      </c>
      <c r="E569" t="inlineStr">
        <is>
          <t>PPE-04</t>
        </is>
      </c>
      <c r="F569" s="17" t="n">
        <v>45651</v>
      </c>
      <c r="G569" s="17" t="n">
        <v>45662</v>
      </c>
      <c r="H569" s="18" t="n">
        <v>90</v>
      </c>
      <c r="I569" s="19" t="n">
        <v>25.51</v>
      </c>
      <c r="J569" s="19" t="n">
        <v>26</v>
      </c>
      <c r="K569" s="20" t="n">
        <v>0</v>
      </c>
      <c r="L569" s="20" t="n">
        <v>0</v>
      </c>
      <c r="M569" s="18" t="n">
        <v>90</v>
      </c>
      <c r="N569" s="18" t="n">
        <v>90</v>
      </c>
      <c r="O569" s="18" t="n">
        <v>0</v>
      </c>
      <c r="P569" s="17" t="n">
        <v>45657</v>
      </c>
      <c r="Q569" s="17" t="n">
        <v>45657</v>
      </c>
      <c r="R569" s="17" t="n">
        <v>45657</v>
      </c>
      <c r="S569" s="19">
        <f>H569*I569</f>
        <v/>
      </c>
      <c r="T569" s="19">
        <f>H569*J569</f>
        <v/>
      </c>
      <c r="U569">
        <f>IF(AND(K569=0,G569&lt;=Assumptions!$C$6),1,0)</f>
        <v/>
      </c>
      <c r="V569">
        <f>IF(U569=1,IF(M569&gt;0,IF(P569&lt;=G569+Assumptions!$C$7,1,0),0),0)</f>
        <v/>
      </c>
      <c r="W569">
        <f>IF(AND(U569=1,M569&gt;=H569*(1-Assumptions!$C$8)),1,0)</f>
        <v/>
      </c>
      <c r="X569">
        <f>IF(AND(U569=1,N569&gt;=H569*(1-Assumptions!$C$8)),1,0)</f>
        <v/>
      </c>
      <c r="Y569">
        <f>IF(ISNUMBER(Q569),1,0)</f>
        <v/>
      </c>
      <c r="Z569">
        <f>IF(AND(K569=0,L569=0,Y569=0),1,0)</f>
        <v/>
      </c>
      <c r="AA569">
        <f>IF(AND(Z569=1,G569&lt;Assumptions!$C$6),1,0)</f>
        <v/>
      </c>
      <c r="AB569">
        <f>IF(U569=0,"",IF(Y569=1,MAX(0,Q569-G569),IF(L569=1,MAX(0,R569-G569),MAX(0,Assumptions!$C$6-G569))))</f>
        <v/>
      </c>
      <c r="AC569">
        <f>IF(Y569=1,Q569-F569,"")</f>
        <v/>
      </c>
      <c r="AD569">
        <f>IF(Y569=1,AC569^2,"")</f>
        <v/>
      </c>
      <c r="AE569" s="19">
        <f>IF(Z569=1,(H569-M569)*I569,0)</f>
        <v/>
      </c>
      <c r="AF569">
        <f>IF(G569&lt;EDATE(Assumptions!$C$6,-12)+1,"prior_12m","last_12m")</f>
        <v/>
      </c>
      <c r="AG569" s="21">
        <f>DATE(YEAR(G569),MONTH(G569),1)</f>
        <v/>
      </c>
    </row>
    <row r="570">
      <c r="A570" t="inlineStr">
        <is>
          <t>SPO-00316-3</t>
        </is>
      </c>
      <c r="B570" t="inlineStr">
        <is>
          <t>SPO-00316</t>
        </is>
      </c>
      <c r="C570" t="inlineStr">
        <is>
          <t>SUP-08</t>
        </is>
      </c>
      <c r="D570" t="inlineStr">
        <is>
          <t>PPE</t>
        </is>
      </c>
      <c r="E570" t="inlineStr">
        <is>
          <t>PPE-05</t>
        </is>
      </c>
      <c r="F570" s="17" t="n">
        <v>45651</v>
      </c>
      <c r="G570" s="17" t="n">
        <v>45662</v>
      </c>
      <c r="H570" s="18" t="n">
        <v>195</v>
      </c>
      <c r="I570" s="19" t="n">
        <v>11.53</v>
      </c>
      <c r="J570" s="19" t="n">
        <v>11</v>
      </c>
      <c r="K570" s="20" t="n">
        <v>0</v>
      </c>
      <c r="L570" s="20" t="n">
        <v>0</v>
      </c>
      <c r="M570" s="18" t="n">
        <v>195</v>
      </c>
      <c r="N570" s="18" t="n">
        <v>195</v>
      </c>
      <c r="O570" s="18" t="n">
        <v>0</v>
      </c>
      <c r="P570" s="17" t="n">
        <v>45658</v>
      </c>
      <c r="Q570" s="17" t="n">
        <v>45658</v>
      </c>
      <c r="R570" s="17" t="n">
        <v>45658</v>
      </c>
      <c r="S570" s="19">
        <f>H570*I570</f>
        <v/>
      </c>
      <c r="T570" s="19">
        <f>H570*J570</f>
        <v/>
      </c>
      <c r="U570">
        <f>IF(AND(K570=0,G570&lt;=Assumptions!$C$6),1,0)</f>
        <v/>
      </c>
      <c r="V570">
        <f>IF(U570=1,IF(M570&gt;0,IF(P570&lt;=G570+Assumptions!$C$7,1,0),0),0)</f>
        <v/>
      </c>
      <c r="W570">
        <f>IF(AND(U570=1,M570&gt;=H570*(1-Assumptions!$C$8)),1,0)</f>
        <v/>
      </c>
      <c r="X570">
        <f>IF(AND(U570=1,N570&gt;=H570*(1-Assumptions!$C$8)),1,0)</f>
        <v/>
      </c>
      <c r="Y570">
        <f>IF(ISNUMBER(Q570),1,0)</f>
        <v/>
      </c>
      <c r="Z570">
        <f>IF(AND(K570=0,L570=0,Y570=0),1,0)</f>
        <v/>
      </c>
      <c r="AA570">
        <f>IF(AND(Z570=1,G570&lt;Assumptions!$C$6),1,0)</f>
        <v/>
      </c>
      <c r="AB570">
        <f>IF(U570=0,"",IF(Y570=1,MAX(0,Q570-G570),IF(L570=1,MAX(0,R570-G570),MAX(0,Assumptions!$C$6-G570))))</f>
        <v/>
      </c>
      <c r="AC570">
        <f>IF(Y570=1,Q570-F570,"")</f>
        <v/>
      </c>
      <c r="AD570">
        <f>IF(Y570=1,AC570^2,"")</f>
        <v/>
      </c>
      <c r="AE570" s="19">
        <f>IF(Z570=1,(H570-M570)*I570,0)</f>
        <v/>
      </c>
      <c r="AF570">
        <f>IF(G570&lt;EDATE(Assumptions!$C$6,-12)+1,"prior_12m","last_12m")</f>
        <v/>
      </c>
      <c r="AG570" s="21">
        <f>DATE(YEAR(G570),MONTH(G570),1)</f>
        <v/>
      </c>
    </row>
    <row r="571">
      <c r="A571" t="inlineStr">
        <is>
          <t>SPO-00317-1</t>
        </is>
      </c>
      <c r="B571" t="inlineStr">
        <is>
          <t>SPO-00317</t>
        </is>
      </c>
      <c r="C571" t="inlineStr">
        <is>
          <t>SUP-01</t>
        </is>
      </c>
      <c r="D571" t="inlineStr">
        <is>
          <t>ELEC</t>
        </is>
      </c>
      <c r="E571" t="inlineStr">
        <is>
          <t>ELEC-05</t>
        </is>
      </c>
      <c r="F571" s="17" t="n">
        <v>45651</v>
      </c>
      <c r="G571" s="17" t="n">
        <v>45669</v>
      </c>
      <c r="H571" s="18" t="n">
        <v>427</v>
      </c>
      <c r="I571" s="19" t="n">
        <v>11.64</v>
      </c>
      <c r="J571" s="19" t="n">
        <v>11.5</v>
      </c>
      <c r="K571" s="20" t="n">
        <v>0</v>
      </c>
      <c r="L571" s="20" t="n">
        <v>0</v>
      </c>
      <c r="M571" s="18" t="n">
        <v>427</v>
      </c>
      <c r="N571" s="18" t="n">
        <v>427</v>
      </c>
      <c r="O571" s="18" t="n">
        <v>0</v>
      </c>
      <c r="P571" s="17" t="n">
        <v>45664</v>
      </c>
      <c r="Q571" s="17" t="n">
        <v>45664</v>
      </c>
      <c r="R571" s="17" t="n">
        <v>45664</v>
      </c>
      <c r="S571" s="19">
        <f>H571*I571</f>
        <v/>
      </c>
      <c r="T571" s="19">
        <f>H571*J571</f>
        <v/>
      </c>
      <c r="U571">
        <f>IF(AND(K571=0,G571&lt;=Assumptions!$C$6),1,0)</f>
        <v/>
      </c>
      <c r="V571">
        <f>IF(U571=1,IF(M571&gt;0,IF(P571&lt;=G571+Assumptions!$C$7,1,0),0),0)</f>
        <v/>
      </c>
      <c r="W571">
        <f>IF(AND(U571=1,M571&gt;=H571*(1-Assumptions!$C$8)),1,0)</f>
        <v/>
      </c>
      <c r="X571">
        <f>IF(AND(U571=1,N571&gt;=H571*(1-Assumptions!$C$8)),1,0)</f>
        <v/>
      </c>
      <c r="Y571">
        <f>IF(ISNUMBER(Q571),1,0)</f>
        <v/>
      </c>
      <c r="Z571">
        <f>IF(AND(K571=0,L571=0,Y571=0),1,0)</f>
        <v/>
      </c>
      <c r="AA571">
        <f>IF(AND(Z571=1,G571&lt;Assumptions!$C$6),1,0)</f>
        <v/>
      </c>
      <c r="AB571">
        <f>IF(U571=0,"",IF(Y571=1,MAX(0,Q571-G571),IF(L571=1,MAX(0,R571-G571),MAX(0,Assumptions!$C$6-G571))))</f>
        <v/>
      </c>
      <c r="AC571">
        <f>IF(Y571=1,Q571-F571,"")</f>
        <v/>
      </c>
      <c r="AD571">
        <f>IF(Y571=1,AC571^2,"")</f>
        <v/>
      </c>
      <c r="AE571" s="19">
        <f>IF(Z571=1,(H571-M571)*I571,0)</f>
        <v/>
      </c>
      <c r="AF571">
        <f>IF(G571&lt;EDATE(Assumptions!$C$6,-12)+1,"prior_12m","last_12m")</f>
        <v/>
      </c>
      <c r="AG571" s="21">
        <f>DATE(YEAR(G571),MONTH(G571),1)</f>
        <v/>
      </c>
    </row>
    <row r="572">
      <c r="A572" t="inlineStr">
        <is>
          <t>SPO-00317-2</t>
        </is>
      </c>
      <c r="B572" t="inlineStr">
        <is>
          <t>SPO-00317</t>
        </is>
      </c>
      <c r="C572" t="inlineStr">
        <is>
          <t>SUP-01</t>
        </is>
      </c>
      <c r="D572" t="inlineStr">
        <is>
          <t>ELEC</t>
        </is>
      </c>
      <c r="E572" t="inlineStr">
        <is>
          <t>ELEC-01</t>
        </is>
      </c>
      <c r="F572" s="17" t="n">
        <v>45651</v>
      </c>
      <c r="G572" s="17" t="n">
        <v>45669</v>
      </c>
      <c r="H572" s="18" t="n">
        <v>83</v>
      </c>
      <c r="I572" s="19" t="n">
        <v>38.51</v>
      </c>
      <c r="J572" s="19" t="n">
        <v>38</v>
      </c>
      <c r="K572" s="20" t="n">
        <v>0</v>
      </c>
      <c r="L572" s="20" t="n">
        <v>0</v>
      </c>
      <c r="M572" s="18" t="n">
        <v>83</v>
      </c>
      <c r="N572" s="18" t="n">
        <v>83</v>
      </c>
      <c r="O572" s="18" t="n">
        <v>0</v>
      </c>
      <c r="P572" s="17" t="n">
        <v>45665</v>
      </c>
      <c r="Q572" s="17" t="n">
        <v>45665</v>
      </c>
      <c r="R572" s="17" t="n">
        <v>45665</v>
      </c>
      <c r="S572" s="19">
        <f>H572*I572</f>
        <v/>
      </c>
      <c r="T572" s="19">
        <f>H572*J572</f>
        <v/>
      </c>
      <c r="U572">
        <f>IF(AND(K572=0,G572&lt;=Assumptions!$C$6),1,0)</f>
        <v/>
      </c>
      <c r="V572">
        <f>IF(U572=1,IF(M572&gt;0,IF(P572&lt;=G572+Assumptions!$C$7,1,0),0),0)</f>
        <v/>
      </c>
      <c r="W572">
        <f>IF(AND(U572=1,M572&gt;=H572*(1-Assumptions!$C$8)),1,0)</f>
        <v/>
      </c>
      <c r="X572">
        <f>IF(AND(U572=1,N572&gt;=H572*(1-Assumptions!$C$8)),1,0)</f>
        <v/>
      </c>
      <c r="Y572">
        <f>IF(ISNUMBER(Q572),1,0)</f>
        <v/>
      </c>
      <c r="Z572">
        <f>IF(AND(K572=0,L572=0,Y572=0),1,0)</f>
        <v/>
      </c>
      <c r="AA572">
        <f>IF(AND(Z572=1,G572&lt;Assumptions!$C$6),1,0)</f>
        <v/>
      </c>
      <c r="AB572">
        <f>IF(U572=0,"",IF(Y572=1,MAX(0,Q572-G572),IF(L572=1,MAX(0,R572-G572),MAX(0,Assumptions!$C$6-G572))))</f>
        <v/>
      </c>
      <c r="AC572">
        <f>IF(Y572=1,Q572-F572,"")</f>
        <v/>
      </c>
      <c r="AD572">
        <f>IF(Y572=1,AC572^2,"")</f>
        <v/>
      </c>
      <c r="AE572" s="19">
        <f>IF(Z572=1,(H572-M572)*I572,0)</f>
        <v/>
      </c>
      <c r="AF572">
        <f>IF(G572&lt;EDATE(Assumptions!$C$6,-12)+1,"prior_12m","last_12m")</f>
        <v/>
      </c>
      <c r="AG572" s="21">
        <f>DATE(YEAR(G572),MONTH(G572),1)</f>
        <v/>
      </c>
    </row>
    <row r="573">
      <c r="A573" t="inlineStr">
        <is>
          <t>SPO-00318-1</t>
        </is>
      </c>
      <c r="B573" t="inlineStr">
        <is>
          <t>SPO-00318</t>
        </is>
      </c>
      <c r="C573" t="inlineStr">
        <is>
          <t>SUP-08</t>
        </is>
      </c>
      <c r="D573" t="inlineStr">
        <is>
          <t>PPE</t>
        </is>
      </c>
      <c r="E573" t="inlineStr">
        <is>
          <t>PPE-05</t>
        </is>
      </c>
      <c r="F573" s="17" t="n">
        <v>45651</v>
      </c>
      <c r="G573" s="17" t="n">
        <v>45662</v>
      </c>
      <c r="H573" s="18" t="n">
        <v>273</v>
      </c>
      <c r="I573" s="19" t="n">
        <v>10.97</v>
      </c>
      <c r="J573" s="19" t="n">
        <v>11</v>
      </c>
      <c r="K573" s="20" t="n">
        <v>0</v>
      </c>
      <c r="L573" s="20" t="n">
        <v>0</v>
      </c>
      <c r="M573" s="18" t="n">
        <v>273</v>
      </c>
      <c r="N573" s="18" t="n">
        <v>273</v>
      </c>
      <c r="O573" s="18" t="n">
        <v>51</v>
      </c>
      <c r="P573" s="17" t="n">
        <v>45655</v>
      </c>
      <c r="Q573" s="17" t="n">
        <v>45655</v>
      </c>
      <c r="R573" s="17" t="n">
        <v>45655</v>
      </c>
      <c r="S573" s="19">
        <f>H573*I573</f>
        <v/>
      </c>
      <c r="T573" s="19">
        <f>H573*J573</f>
        <v/>
      </c>
      <c r="U573">
        <f>IF(AND(K573=0,G573&lt;=Assumptions!$C$6),1,0)</f>
        <v/>
      </c>
      <c r="V573">
        <f>IF(U573=1,IF(M573&gt;0,IF(P573&lt;=G573+Assumptions!$C$7,1,0),0),0)</f>
        <v/>
      </c>
      <c r="W573">
        <f>IF(AND(U573=1,M573&gt;=H573*(1-Assumptions!$C$8)),1,0)</f>
        <v/>
      </c>
      <c r="X573">
        <f>IF(AND(U573=1,N573&gt;=H573*(1-Assumptions!$C$8)),1,0)</f>
        <v/>
      </c>
      <c r="Y573">
        <f>IF(ISNUMBER(Q573),1,0)</f>
        <v/>
      </c>
      <c r="Z573">
        <f>IF(AND(K573=0,L573=0,Y573=0),1,0)</f>
        <v/>
      </c>
      <c r="AA573">
        <f>IF(AND(Z573=1,G573&lt;Assumptions!$C$6),1,0)</f>
        <v/>
      </c>
      <c r="AB573">
        <f>IF(U573=0,"",IF(Y573=1,MAX(0,Q573-G573),IF(L573=1,MAX(0,R573-G573),MAX(0,Assumptions!$C$6-G573))))</f>
        <v/>
      </c>
      <c r="AC573">
        <f>IF(Y573=1,Q573-F573,"")</f>
        <v/>
      </c>
      <c r="AD573">
        <f>IF(Y573=1,AC573^2,"")</f>
        <v/>
      </c>
      <c r="AE573" s="19">
        <f>IF(Z573=1,(H573-M573)*I573,0)</f>
        <v/>
      </c>
      <c r="AF573">
        <f>IF(G573&lt;EDATE(Assumptions!$C$6,-12)+1,"prior_12m","last_12m")</f>
        <v/>
      </c>
      <c r="AG573" s="21">
        <f>DATE(YEAR(G573),MONTH(G573),1)</f>
        <v/>
      </c>
    </row>
    <row r="574">
      <c r="A574" t="inlineStr">
        <is>
          <t>SPO-00318-2</t>
        </is>
      </c>
      <c r="B574" t="inlineStr">
        <is>
          <t>SPO-00318</t>
        </is>
      </c>
      <c r="C574" t="inlineStr">
        <is>
          <t>SUP-08</t>
        </is>
      </c>
      <c r="D574" t="inlineStr">
        <is>
          <t>PPE</t>
        </is>
      </c>
      <c r="E574" t="inlineStr">
        <is>
          <t>PPE-08</t>
        </is>
      </c>
      <c r="F574" s="17" t="n">
        <v>45651</v>
      </c>
      <c r="G574" s="17" t="n">
        <v>45662</v>
      </c>
      <c r="H574" s="18" t="n">
        <v>74</v>
      </c>
      <c r="I574" s="19" t="n">
        <v>63.39</v>
      </c>
      <c r="J574" s="19" t="n">
        <v>64</v>
      </c>
      <c r="K574" s="20" t="n">
        <v>0</v>
      </c>
      <c r="L574" s="20" t="n">
        <v>0</v>
      </c>
      <c r="M574" s="18" t="n">
        <v>74</v>
      </c>
      <c r="N574" s="18" t="n">
        <v>74</v>
      </c>
      <c r="O574" s="18" t="n">
        <v>0</v>
      </c>
      <c r="P574" s="17" t="n">
        <v>45660</v>
      </c>
      <c r="Q574" s="17" t="n">
        <v>45660</v>
      </c>
      <c r="R574" s="17" t="n">
        <v>45660</v>
      </c>
      <c r="S574" s="19">
        <f>H574*I574</f>
        <v/>
      </c>
      <c r="T574" s="19">
        <f>H574*J574</f>
        <v/>
      </c>
      <c r="U574">
        <f>IF(AND(K574=0,G574&lt;=Assumptions!$C$6),1,0)</f>
        <v/>
      </c>
      <c r="V574">
        <f>IF(U574=1,IF(M574&gt;0,IF(P574&lt;=G574+Assumptions!$C$7,1,0),0),0)</f>
        <v/>
      </c>
      <c r="W574">
        <f>IF(AND(U574=1,M574&gt;=H574*(1-Assumptions!$C$8)),1,0)</f>
        <v/>
      </c>
      <c r="X574">
        <f>IF(AND(U574=1,N574&gt;=H574*(1-Assumptions!$C$8)),1,0)</f>
        <v/>
      </c>
      <c r="Y574">
        <f>IF(ISNUMBER(Q574),1,0)</f>
        <v/>
      </c>
      <c r="Z574">
        <f>IF(AND(K574=0,L574=0,Y574=0),1,0)</f>
        <v/>
      </c>
      <c r="AA574">
        <f>IF(AND(Z574=1,G574&lt;Assumptions!$C$6),1,0)</f>
        <v/>
      </c>
      <c r="AB574">
        <f>IF(U574=0,"",IF(Y574=1,MAX(0,Q574-G574),IF(L574=1,MAX(0,R574-G574),MAX(0,Assumptions!$C$6-G574))))</f>
        <v/>
      </c>
      <c r="AC574">
        <f>IF(Y574=1,Q574-F574,"")</f>
        <v/>
      </c>
      <c r="AD574">
        <f>IF(Y574=1,AC574^2,"")</f>
        <v/>
      </c>
      <c r="AE574" s="19">
        <f>IF(Z574=1,(H574-M574)*I574,0)</f>
        <v/>
      </c>
      <c r="AF574">
        <f>IF(G574&lt;EDATE(Assumptions!$C$6,-12)+1,"prior_12m","last_12m")</f>
        <v/>
      </c>
      <c r="AG574" s="21">
        <f>DATE(YEAR(G574),MONTH(G574),1)</f>
        <v/>
      </c>
    </row>
    <row r="575">
      <c r="A575" t="inlineStr">
        <is>
          <t>SPO-00319-1</t>
        </is>
      </c>
      <c r="B575" t="inlineStr">
        <is>
          <t>SPO-00319</t>
        </is>
      </c>
      <c r="C575" t="inlineStr">
        <is>
          <t>SUP-13</t>
        </is>
      </c>
      <c r="D575" t="inlineStr">
        <is>
          <t>IT</t>
        </is>
      </c>
      <c r="E575" t="inlineStr">
        <is>
          <t>IT-06</t>
        </is>
      </c>
      <c r="F575" s="17" t="n">
        <v>45651</v>
      </c>
      <c r="G575" s="17" t="n">
        <v>45662</v>
      </c>
      <c r="H575" s="18" t="n">
        <v>17</v>
      </c>
      <c r="I575" s="19" t="n">
        <v>88.09999999999999</v>
      </c>
      <c r="J575" s="19" t="n">
        <v>89</v>
      </c>
      <c r="K575" s="20" t="n">
        <v>0</v>
      </c>
      <c r="L575" s="20" t="n">
        <v>0</v>
      </c>
      <c r="M575" s="18" t="n">
        <v>17</v>
      </c>
      <c r="N575" s="18" t="n">
        <v>17</v>
      </c>
      <c r="O575" s="18" t="n">
        <v>0</v>
      </c>
      <c r="P575" s="17" t="n">
        <v>45660</v>
      </c>
      <c r="Q575" s="17" t="n">
        <v>45660</v>
      </c>
      <c r="R575" s="17" t="n">
        <v>45660</v>
      </c>
      <c r="S575" s="19">
        <f>H575*I575</f>
        <v/>
      </c>
      <c r="T575" s="19">
        <f>H575*J575</f>
        <v/>
      </c>
      <c r="U575">
        <f>IF(AND(K575=0,G575&lt;=Assumptions!$C$6),1,0)</f>
        <v/>
      </c>
      <c r="V575">
        <f>IF(U575=1,IF(M575&gt;0,IF(P575&lt;=G575+Assumptions!$C$7,1,0),0),0)</f>
        <v/>
      </c>
      <c r="W575">
        <f>IF(AND(U575=1,M575&gt;=H575*(1-Assumptions!$C$8)),1,0)</f>
        <v/>
      </c>
      <c r="X575">
        <f>IF(AND(U575=1,N575&gt;=H575*(1-Assumptions!$C$8)),1,0)</f>
        <v/>
      </c>
      <c r="Y575">
        <f>IF(ISNUMBER(Q575),1,0)</f>
        <v/>
      </c>
      <c r="Z575">
        <f>IF(AND(K575=0,L575=0,Y575=0),1,0)</f>
        <v/>
      </c>
      <c r="AA575">
        <f>IF(AND(Z575=1,G575&lt;Assumptions!$C$6),1,0)</f>
        <v/>
      </c>
      <c r="AB575">
        <f>IF(U575=0,"",IF(Y575=1,MAX(0,Q575-G575),IF(L575=1,MAX(0,R575-G575),MAX(0,Assumptions!$C$6-G575))))</f>
        <v/>
      </c>
      <c r="AC575">
        <f>IF(Y575=1,Q575-F575,"")</f>
        <v/>
      </c>
      <c r="AD575">
        <f>IF(Y575=1,AC575^2,"")</f>
        <v/>
      </c>
      <c r="AE575" s="19">
        <f>IF(Z575=1,(H575-M575)*I575,0)</f>
        <v/>
      </c>
      <c r="AF575">
        <f>IF(G575&lt;EDATE(Assumptions!$C$6,-12)+1,"prior_12m","last_12m")</f>
        <v/>
      </c>
      <c r="AG575" s="21">
        <f>DATE(YEAR(G575),MONTH(G575),1)</f>
        <v/>
      </c>
    </row>
    <row r="576">
      <c r="A576" t="inlineStr">
        <is>
          <t>SPO-00319-2</t>
        </is>
      </c>
      <c r="B576" t="inlineStr">
        <is>
          <t>SPO-00319</t>
        </is>
      </c>
      <c r="C576" t="inlineStr">
        <is>
          <t>SUP-13</t>
        </is>
      </c>
      <c r="D576" t="inlineStr">
        <is>
          <t>IT</t>
        </is>
      </c>
      <c r="E576" t="inlineStr">
        <is>
          <t>IT-05</t>
        </is>
      </c>
      <c r="F576" s="17" t="n">
        <v>45651</v>
      </c>
      <c r="G576" s="17" t="n">
        <v>45662</v>
      </c>
      <c r="H576" s="18" t="n">
        <v>4</v>
      </c>
      <c r="I576" s="19" t="n">
        <v>641.47</v>
      </c>
      <c r="J576" s="19" t="n">
        <v>640</v>
      </c>
      <c r="K576" s="20" t="n">
        <v>0</v>
      </c>
      <c r="L576" s="20" t="n">
        <v>0</v>
      </c>
      <c r="M576" s="18" t="n">
        <v>4</v>
      </c>
      <c r="N576" s="18" t="n">
        <v>4</v>
      </c>
      <c r="O576" s="18" t="n">
        <v>0</v>
      </c>
      <c r="P576" s="17" t="n">
        <v>45661</v>
      </c>
      <c r="Q576" s="17" t="n">
        <v>45661</v>
      </c>
      <c r="R576" s="17" t="n">
        <v>45661</v>
      </c>
      <c r="S576" s="19">
        <f>H576*I576</f>
        <v/>
      </c>
      <c r="T576" s="19">
        <f>H576*J576</f>
        <v/>
      </c>
      <c r="U576">
        <f>IF(AND(K576=0,G576&lt;=Assumptions!$C$6),1,0)</f>
        <v/>
      </c>
      <c r="V576">
        <f>IF(U576=1,IF(M576&gt;0,IF(P576&lt;=G576+Assumptions!$C$7,1,0),0),0)</f>
        <v/>
      </c>
      <c r="W576">
        <f>IF(AND(U576=1,M576&gt;=H576*(1-Assumptions!$C$8)),1,0)</f>
        <v/>
      </c>
      <c r="X576">
        <f>IF(AND(U576=1,N576&gt;=H576*(1-Assumptions!$C$8)),1,0)</f>
        <v/>
      </c>
      <c r="Y576">
        <f>IF(ISNUMBER(Q576),1,0)</f>
        <v/>
      </c>
      <c r="Z576">
        <f>IF(AND(K576=0,L576=0,Y576=0),1,0)</f>
        <v/>
      </c>
      <c r="AA576">
        <f>IF(AND(Z576=1,G576&lt;Assumptions!$C$6),1,0)</f>
        <v/>
      </c>
      <c r="AB576">
        <f>IF(U576=0,"",IF(Y576=1,MAX(0,Q576-G576),IF(L576=1,MAX(0,R576-G576),MAX(0,Assumptions!$C$6-G576))))</f>
        <v/>
      </c>
      <c r="AC576">
        <f>IF(Y576=1,Q576-F576,"")</f>
        <v/>
      </c>
      <c r="AD576">
        <f>IF(Y576=1,AC576^2,"")</f>
        <v/>
      </c>
      <c r="AE576" s="19">
        <f>IF(Z576=1,(H576-M576)*I576,0)</f>
        <v/>
      </c>
      <c r="AF576">
        <f>IF(G576&lt;EDATE(Assumptions!$C$6,-12)+1,"prior_12m","last_12m")</f>
        <v/>
      </c>
      <c r="AG576" s="21">
        <f>DATE(YEAR(G576),MONTH(G576),1)</f>
        <v/>
      </c>
    </row>
    <row r="577">
      <c r="A577" t="inlineStr">
        <is>
          <t>SPO-00320-1</t>
        </is>
      </c>
      <c r="B577" t="inlineStr">
        <is>
          <t>SPO-00320</t>
        </is>
      </c>
      <c r="C577" t="inlineStr">
        <is>
          <t>SUP-07</t>
        </is>
      </c>
      <c r="D577" t="inlineStr">
        <is>
          <t>MRO</t>
        </is>
      </c>
      <c r="E577" t="inlineStr">
        <is>
          <t>MRO-06</t>
        </is>
      </c>
      <c r="F577" s="17" t="n">
        <v>45651</v>
      </c>
      <c r="G577" s="17" t="n">
        <v>45661</v>
      </c>
      <c r="H577" s="18" t="n">
        <v>202</v>
      </c>
      <c r="I577" s="19" t="n">
        <v>6.04</v>
      </c>
      <c r="J577" s="19" t="n">
        <v>6.1</v>
      </c>
      <c r="K577" s="20" t="n">
        <v>0</v>
      </c>
      <c r="L577" s="20" t="n">
        <v>0</v>
      </c>
      <c r="M577" s="18" t="n">
        <v>202</v>
      </c>
      <c r="N577" s="18" t="n">
        <v>202</v>
      </c>
      <c r="O577" s="18" t="n">
        <v>0</v>
      </c>
      <c r="P577" s="17" t="n">
        <v>45657</v>
      </c>
      <c r="Q577" s="17" t="n">
        <v>45657</v>
      </c>
      <c r="R577" s="17" t="n">
        <v>45657</v>
      </c>
      <c r="S577" s="19">
        <f>H577*I577</f>
        <v/>
      </c>
      <c r="T577" s="19">
        <f>H577*J577</f>
        <v/>
      </c>
      <c r="U577">
        <f>IF(AND(K577=0,G577&lt;=Assumptions!$C$6),1,0)</f>
        <v/>
      </c>
      <c r="V577">
        <f>IF(U577=1,IF(M577&gt;0,IF(P577&lt;=G577+Assumptions!$C$7,1,0),0),0)</f>
        <v/>
      </c>
      <c r="W577">
        <f>IF(AND(U577=1,M577&gt;=H577*(1-Assumptions!$C$8)),1,0)</f>
        <v/>
      </c>
      <c r="X577">
        <f>IF(AND(U577=1,N577&gt;=H577*(1-Assumptions!$C$8)),1,0)</f>
        <v/>
      </c>
      <c r="Y577">
        <f>IF(ISNUMBER(Q577),1,0)</f>
        <v/>
      </c>
      <c r="Z577">
        <f>IF(AND(K577=0,L577=0,Y577=0),1,0)</f>
        <v/>
      </c>
      <c r="AA577">
        <f>IF(AND(Z577=1,G577&lt;Assumptions!$C$6),1,0)</f>
        <v/>
      </c>
      <c r="AB577">
        <f>IF(U577=0,"",IF(Y577=1,MAX(0,Q577-G577),IF(L577=1,MAX(0,R577-G577),MAX(0,Assumptions!$C$6-G577))))</f>
        <v/>
      </c>
      <c r="AC577">
        <f>IF(Y577=1,Q577-F577,"")</f>
        <v/>
      </c>
      <c r="AD577">
        <f>IF(Y577=1,AC577^2,"")</f>
        <v/>
      </c>
      <c r="AE577" s="19">
        <f>IF(Z577=1,(H577-M577)*I577,0)</f>
        <v/>
      </c>
      <c r="AF577">
        <f>IF(G577&lt;EDATE(Assumptions!$C$6,-12)+1,"prior_12m","last_12m")</f>
        <v/>
      </c>
      <c r="AG577" s="21">
        <f>DATE(YEAR(G577),MONTH(G577),1)</f>
        <v/>
      </c>
    </row>
    <row r="578">
      <c r="A578" t="inlineStr">
        <is>
          <t>SPO-00320-2</t>
        </is>
      </c>
      <c r="B578" t="inlineStr">
        <is>
          <t>SPO-00320</t>
        </is>
      </c>
      <c r="C578" t="inlineStr">
        <is>
          <t>SUP-07</t>
        </is>
      </c>
      <c r="D578" t="inlineStr">
        <is>
          <t>MRO</t>
        </is>
      </c>
      <c r="E578" t="inlineStr">
        <is>
          <t>MRO-02</t>
        </is>
      </c>
      <c r="F578" s="17" t="n">
        <v>45651</v>
      </c>
      <c r="G578" s="17" t="n">
        <v>45661</v>
      </c>
      <c r="H578" s="18" t="n">
        <v>33</v>
      </c>
      <c r="I578" s="19" t="n">
        <v>41.97</v>
      </c>
      <c r="J578" s="19" t="n">
        <v>41</v>
      </c>
      <c r="K578" s="20" t="n">
        <v>0</v>
      </c>
      <c r="L578" s="20" t="n">
        <v>0</v>
      </c>
      <c r="M578" s="18" t="n">
        <v>33</v>
      </c>
      <c r="N578" s="18" t="n">
        <v>33</v>
      </c>
      <c r="O578" s="18" t="n">
        <v>0</v>
      </c>
      <c r="P578" s="17" t="n">
        <v>45660</v>
      </c>
      <c r="Q578" s="17" t="n">
        <v>45660</v>
      </c>
      <c r="R578" s="17" t="n">
        <v>45660</v>
      </c>
      <c r="S578" s="19">
        <f>H578*I578</f>
        <v/>
      </c>
      <c r="T578" s="19">
        <f>H578*J578</f>
        <v/>
      </c>
      <c r="U578">
        <f>IF(AND(K578=0,G578&lt;=Assumptions!$C$6),1,0)</f>
        <v/>
      </c>
      <c r="V578">
        <f>IF(U578=1,IF(M578&gt;0,IF(P578&lt;=G578+Assumptions!$C$7,1,0),0),0)</f>
        <v/>
      </c>
      <c r="W578">
        <f>IF(AND(U578=1,M578&gt;=H578*(1-Assumptions!$C$8)),1,0)</f>
        <v/>
      </c>
      <c r="X578">
        <f>IF(AND(U578=1,N578&gt;=H578*(1-Assumptions!$C$8)),1,0)</f>
        <v/>
      </c>
      <c r="Y578">
        <f>IF(ISNUMBER(Q578),1,0)</f>
        <v/>
      </c>
      <c r="Z578">
        <f>IF(AND(K578=0,L578=0,Y578=0),1,0)</f>
        <v/>
      </c>
      <c r="AA578">
        <f>IF(AND(Z578=1,G578&lt;Assumptions!$C$6),1,0)</f>
        <v/>
      </c>
      <c r="AB578">
        <f>IF(U578=0,"",IF(Y578=1,MAX(0,Q578-G578),IF(L578=1,MAX(0,R578-G578),MAX(0,Assumptions!$C$6-G578))))</f>
        <v/>
      </c>
      <c r="AC578">
        <f>IF(Y578=1,Q578-F578,"")</f>
        <v/>
      </c>
      <c r="AD578">
        <f>IF(Y578=1,AC578^2,"")</f>
        <v/>
      </c>
      <c r="AE578" s="19">
        <f>IF(Z578=1,(H578-M578)*I578,0)</f>
        <v/>
      </c>
      <c r="AF578">
        <f>IF(G578&lt;EDATE(Assumptions!$C$6,-12)+1,"prior_12m","last_12m")</f>
        <v/>
      </c>
      <c r="AG578" s="21">
        <f>DATE(YEAR(G578),MONTH(G578),1)</f>
        <v/>
      </c>
    </row>
    <row r="579">
      <c r="A579" t="inlineStr">
        <is>
          <t>SPO-00320-3</t>
        </is>
      </c>
      <c r="B579" t="inlineStr">
        <is>
          <t>SPO-00320</t>
        </is>
      </c>
      <c r="C579" t="inlineStr">
        <is>
          <t>SUP-07</t>
        </is>
      </c>
      <c r="D579" t="inlineStr">
        <is>
          <t>MRO</t>
        </is>
      </c>
      <c r="E579" t="inlineStr">
        <is>
          <t>MRO-01</t>
        </is>
      </c>
      <c r="F579" s="17" t="n">
        <v>45651</v>
      </c>
      <c r="G579" s="17" t="n">
        <v>45661</v>
      </c>
      <c r="H579" s="18" t="n">
        <v>58</v>
      </c>
      <c r="I579" s="19" t="n">
        <v>51.99</v>
      </c>
      <c r="J579" s="19" t="n">
        <v>52</v>
      </c>
      <c r="K579" s="20" t="n">
        <v>0</v>
      </c>
      <c r="L579" s="20" t="n">
        <v>0</v>
      </c>
      <c r="M579" s="18" t="n">
        <v>58</v>
      </c>
      <c r="N579" s="18" t="n">
        <v>58</v>
      </c>
      <c r="O579" s="18" t="n">
        <v>0</v>
      </c>
      <c r="P579" s="17" t="n">
        <v>45656</v>
      </c>
      <c r="Q579" s="17" t="n">
        <v>45656</v>
      </c>
      <c r="R579" s="17" t="n">
        <v>45656</v>
      </c>
      <c r="S579" s="19">
        <f>H579*I579</f>
        <v/>
      </c>
      <c r="T579" s="19">
        <f>H579*J579</f>
        <v/>
      </c>
      <c r="U579">
        <f>IF(AND(K579=0,G579&lt;=Assumptions!$C$6),1,0)</f>
        <v/>
      </c>
      <c r="V579">
        <f>IF(U579=1,IF(M579&gt;0,IF(P579&lt;=G579+Assumptions!$C$7,1,0),0),0)</f>
        <v/>
      </c>
      <c r="W579">
        <f>IF(AND(U579=1,M579&gt;=H579*(1-Assumptions!$C$8)),1,0)</f>
        <v/>
      </c>
      <c r="X579">
        <f>IF(AND(U579=1,N579&gt;=H579*(1-Assumptions!$C$8)),1,0)</f>
        <v/>
      </c>
      <c r="Y579">
        <f>IF(ISNUMBER(Q579),1,0)</f>
        <v/>
      </c>
      <c r="Z579">
        <f>IF(AND(K579=0,L579=0,Y579=0),1,0)</f>
        <v/>
      </c>
      <c r="AA579">
        <f>IF(AND(Z579=1,G579&lt;Assumptions!$C$6),1,0)</f>
        <v/>
      </c>
      <c r="AB579">
        <f>IF(U579=0,"",IF(Y579=1,MAX(0,Q579-G579),IF(L579=1,MAX(0,R579-G579),MAX(0,Assumptions!$C$6-G579))))</f>
        <v/>
      </c>
      <c r="AC579">
        <f>IF(Y579=1,Q579-F579,"")</f>
        <v/>
      </c>
      <c r="AD579">
        <f>IF(Y579=1,AC579^2,"")</f>
        <v/>
      </c>
      <c r="AE579" s="19">
        <f>IF(Z579=1,(H579-M579)*I579,0)</f>
        <v/>
      </c>
      <c r="AF579">
        <f>IF(G579&lt;EDATE(Assumptions!$C$6,-12)+1,"prior_12m","last_12m")</f>
        <v/>
      </c>
      <c r="AG579" s="21">
        <f>DATE(YEAR(G579),MONTH(G579),1)</f>
        <v/>
      </c>
    </row>
    <row r="580">
      <c r="A580" t="inlineStr">
        <is>
          <t>SPO-00320-4</t>
        </is>
      </c>
      <c r="B580" t="inlineStr">
        <is>
          <t>SPO-00320</t>
        </is>
      </c>
      <c r="C580" t="inlineStr">
        <is>
          <t>SUP-07</t>
        </is>
      </c>
      <c r="D580" t="inlineStr">
        <is>
          <t>MRO</t>
        </is>
      </c>
      <c r="E580" t="inlineStr">
        <is>
          <t>MRO-03</t>
        </is>
      </c>
      <c r="F580" s="17" t="n">
        <v>45651</v>
      </c>
      <c r="G580" s="17" t="n">
        <v>45661</v>
      </c>
      <c r="H580" s="18" t="n">
        <v>158</v>
      </c>
      <c r="I580" s="19" t="n">
        <v>9</v>
      </c>
      <c r="J580" s="19" t="n">
        <v>8.9</v>
      </c>
      <c r="K580" s="20" t="n">
        <v>0</v>
      </c>
      <c r="L580" s="20" t="n">
        <v>0</v>
      </c>
      <c r="M580" s="18" t="n">
        <v>158</v>
      </c>
      <c r="N580" s="18" t="n">
        <v>158</v>
      </c>
      <c r="O580" s="18" t="n">
        <v>0</v>
      </c>
      <c r="P580" s="17" t="n">
        <v>45659</v>
      </c>
      <c r="Q580" s="17" t="n">
        <v>45659</v>
      </c>
      <c r="R580" s="17" t="n">
        <v>45659</v>
      </c>
      <c r="S580" s="19">
        <f>H580*I580</f>
        <v/>
      </c>
      <c r="T580" s="19">
        <f>H580*J580</f>
        <v/>
      </c>
      <c r="U580">
        <f>IF(AND(K580=0,G580&lt;=Assumptions!$C$6),1,0)</f>
        <v/>
      </c>
      <c r="V580">
        <f>IF(U580=1,IF(M580&gt;0,IF(P580&lt;=G580+Assumptions!$C$7,1,0),0),0)</f>
        <v/>
      </c>
      <c r="W580">
        <f>IF(AND(U580=1,M580&gt;=H580*(1-Assumptions!$C$8)),1,0)</f>
        <v/>
      </c>
      <c r="X580">
        <f>IF(AND(U580=1,N580&gt;=H580*(1-Assumptions!$C$8)),1,0)</f>
        <v/>
      </c>
      <c r="Y580">
        <f>IF(ISNUMBER(Q580),1,0)</f>
        <v/>
      </c>
      <c r="Z580">
        <f>IF(AND(K580=0,L580=0,Y580=0),1,0)</f>
        <v/>
      </c>
      <c r="AA580">
        <f>IF(AND(Z580=1,G580&lt;Assumptions!$C$6),1,0)</f>
        <v/>
      </c>
      <c r="AB580">
        <f>IF(U580=0,"",IF(Y580=1,MAX(0,Q580-G580),IF(L580=1,MAX(0,R580-G580),MAX(0,Assumptions!$C$6-G580))))</f>
        <v/>
      </c>
      <c r="AC580">
        <f>IF(Y580=1,Q580-F580,"")</f>
        <v/>
      </c>
      <c r="AD580">
        <f>IF(Y580=1,AC580^2,"")</f>
        <v/>
      </c>
      <c r="AE580" s="19">
        <f>IF(Z580=1,(H580-M580)*I580,0)</f>
        <v/>
      </c>
      <c r="AF580">
        <f>IF(G580&lt;EDATE(Assumptions!$C$6,-12)+1,"prior_12m","last_12m")</f>
        <v/>
      </c>
      <c r="AG580" s="21">
        <f>DATE(YEAR(G580),MONTH(G580),1)</f>
        <v/>
      </c>
    </row>
    <row r="581">
      <c r="A581" t="inlineStr">
        <is>
          <t>SPO-00321-1</t>
        </is>
      </c>
      <c r="B581" t="inlineStr">
        <is>
          <t>SPO-00321</t>
        </is>
      </c>
      <c r="C581" t="inlineStr">
        <is>
          <t>SUP-02</t>
        </is>
      </c>
      <c r="D581" t="inlineStr">
        <is>
          <t>ELEC</t>
        </is>
      </c>
      <c r="E581" t="inlineStr">
        <is>
          <t>ELEC-04</t>
        </is>
      </c>
      <c r="F581" s="17" t="n">
        <v>45652</v>
      </c>
      <c r="G581" s="17" t="n">
        <v>45668</v>
      </c>
      <c r="H581" s="18" t="n">
        <v>14</v>
      </c>
      <c r="I581" s="19" t="n">
        <v>71.39</v>
      </c>
      <c r="J581" s="19" t="n">
        <v>72</v>
      </c>
      <c r="K581" s="20" t="n">
        <v>0</v>
      </c>
      <c r="L581" s="20" t="n">
        <v>0</v>
      </c>
      <c r="M581" s="18" t="n">
        <v>14</v>
      </c>
      <c r="N581" s="18" t="n">
        <v>14</v>
      </c>
      <c r="O581" s="18" t="n">
        <v>0</v>
      </c>
      <c r="P581" s="17" t="n">
        <v>45668</v>
      </c>
      <c r="Q581" s="17" t="n">
        <v>45668</v>
      </c>
      <c r="R581" s="17" t="n">
        <v>45668</v>
      </c>
      <c r="S581" s="19">
        <f>H581*I581</f>
        <v/>
      </c>
      <c r="T581" s="19">
        <f>H581*J581</f>
        <v/>
      </c>
      <c r="U581">
        <f>IF(AND(K581=0,G581&lt;=Assumptions!$C$6),1,0)</f>
        <v/>
      </c>
      <c r="V581">
        <f>IF(U581=1,IF(M581&gt;0,IF(P581&lt;=G581+Assumptions!$C$7,1,0),0),0)</f>
        <v/>
      </c>
      <c r="W581">
        <f>IF(AND(U581=1,M581&gt;=H581*(1-Assumptions!$C$8)),1,0)</f>
        <v/>
      </c>
      <c r="X581">
        <f>IF(AND(U581=1,N581&gt;=H581*(1-Assumptions!$C$8)),1,0)</f>
        <v/>
      </c>
      <c r="Y581">
        <f>IF(ISNUMBER(Q581),1,0)</f>
        <v/>
      </c>
      <c r="Z581">
        <f>IF(AND(K581=0,L581=0,Y581=0),1,0)</f>
        <v/>
      </c>
      <c r="AA581">
        <f>IF(AND(Z581=1,G581&lt;Assumptions!$C$6),1,0)</f>
        <v/>
      </c>
      <c r="AB581">
        <f>IF(U581=0,"",IF(Y581=1,MAX(0,Q581-G581),IF(L581=1,MAX(0,R581-G581),MAX(0,Assumptions!$C$6-G581))))</f>
        <v/>
      </c>
      <c r="AC581">
        <f>IF(Y581=1,Q581-F581,"")</f>
        <v/>
      </c>
      <c r="AD581">
        <f>IF(Y581=1,AC581^2,"")</f>
        <v/>
      </c>
      <c r="AE581" s="19">
        <f>IF(Z581=1,(H581-M581)*I581,0)</f>
        <v/>
      </c>
      <c r="AF581">
        <f>IF(G581&lt;EDATE(Assumptions!$C$6,-12)+1,"prior_12m","last_12m")</f>
        <v/>
      </c>
      <c r="AG581" s="21">
        <f>DATE(YEAR(G581),MONTH(G581),1)</f>
        <v/>
      </c>
    </row>
    <row r="582">
      <c r="A582" t="inlineStr">
        <is>
          <t>SPO-00322-1</t>
        </is>
      </c>
      <c r="B582" t="inlineStr">
        <is>
          <t>SPO-00322</t>
        </is>
      </c>
      <c r="C582" t="inlineStr">
        <is>
          <t>SUP-07</t>
        </is>
      </c>
      <c r="D582" t="inlineStr">
        <is>
          <t>MRO</t>
        </is>
      </c>
      <c r="E582" t="inlineStr">
        <is>
          <t>MRO-04</t>
        </is>
      </c>
      <c r="F582" s="17" t="n">
        <v>45652</v>
      </c>
      <c r="G582" s="17" t="n">
        <v>45662</v>
      </c>
      <c r="H582" s="18" t="n">
        <v>25</v>
      </c>
      <c r="I582" s="19" t="n">
        <v>58.65</v>
      </c>
      <c r="J582" s="19" t="n">
        <v>58</v>
      </c>
      <c r="K582" s="20" t="n">
        <v>0</v>
      </c>
      <c r="L582" s="20" t="n">
        <v>0</v>
      </c>
      <c r="M582" s="18" t="n">
        <v>25</v>
      </c>
      <c r="N582" s="18" t="n">
        <v>25</v>
      </c>
      <c r="O582" s="18" t="n">
        <v>0</v>
      </c>
      <c r="P582" s="17" t="n">
        <v>45656</v>
      </c>
      <c r="Q582" s="17" t="n">
        <v>45656</v>
      </c>
      <c r="R582" s="17" t="n">
        <v>45656</v>
      </c>
      <c r="S582" s="19">
        <f>H582*I582</f>
        <v/>
      </c>
      <c r="T582" s="19">
        <f>H582*J582</f>
        <v/>
      </c>
      <c r="U582">
        <f>IF(AND(K582=0,G582&lt;=Assumptions!$C$6),1,0)</f>
        <v/>
      </c>
      <c r="V582">
        <f>IF(U582=1,IF(M582&gt;0,IF(P582&lt;=G582+Assumptions!$C$7,1,0),0),0)</f>
        <v/>
      </c>
      <c r="W582">
        <f>IF(AND(U582=1,M582&gt;=H582*(1-Assumptions!$C$8)),1,0)</f>
        <v/>
      </c>
      <c r="X582">
        <f>IF(AND(U582=1,N582&gt;=H582*(1-Assumptions!$C$8)),1,0)</f>
        <v/>
      </c>
      <c r="Y582">
        <f>IF(ISNUMBER(Q582),1,0)</f>
        <v/>
      </c>
      <c r="Z582">
        <f>IF(AND(K582=0,L582=0,Y582=0),1,0)</f>
        <v/>
      </c>
      <c r="AA582">
        <f>IF(AND(Z582=1,G582&lt;Assumptions!$C$6),1,0)</f>
        <v/>
      </c>
      <c r="AB582">
        <f>IF(U582=0,"",IF(Y582=1,MAX(0,Q582-G582),IF(L582=1,MAX(0,R582-G582),MAX(0,Assumptions!$C$6-G582))))</f>
        <v/>
      </c>
      <c r="AC582">
        <f>IF(Y582=1,Q582-F582,"")</f>
        <v/>
      </c>
      <c r="AD582">
        <f>IF(Y582=1,AC582^2,"")</f>
        <v/>
      </c>
      <c r="AE582" s="19">
        <f>IF(Z582=1,(H582-M582)*I582,0)</f>
        <v/>
      </c>
      <c r="AF582">
        <f>IF(G582&lt;EDATE(Assumptions!$C$6,-12)+1,"prior_12m","last_12m")</f>
        <v/>
      </c>
      <c r="AG582" s="21">
        <f>DATE(YEAR(G582),MONTH(G582),1)</f>
        <v/>
      </c>
    </row>
    <row r="583">
      <c r="A583" t="inlineStr">
        <is>
          <t>SPO-00322-2</t>
        </is>
      </c>
      <c r="B583" t="inlineStr">
        <is>
          <t>SPO-00322</t>
        </is>
      </c>
      <c r="C583" t="inlineStr">
        <is>
          <t>SUP-07</t>
        </is>
      </c>
      <c r="D583" t="inlineStr">
        <is>
          <t>MRO</t>
        </is>
      </c>
      <c r="E583" t="inlineStr">
        <is>
          <t>MRO-03</t>
        </is>
      </c>
      <c r="F583" s="17" t="n">
        <v>45652</v>
      </c>
      <c r="G583" s="17" t="n">
        <v>45662</v>
      </c>
      <c r="H583" s="18" t="n">
        <v>176</v>
      </c>
      <c r="I583" s="19" t="n">
        <v>9.02</v>
      </c>
      <c r="J583" s="19" t="n">
        <v>8.9</v>
      </c>
      <c r="K583" s="20" t="n">
        <v>0</v>
      </c>
      <c r="L583" s="20" t="n">
        <v>0</v>
      </c>
      <c r="M583" s="18" t="n">
        <v>176</v>
      </c>
      <c r="N583" s="18" t="n">
        <v>176</v>
      </c>
      <c r="O583" s="18" t="n">
        <v>0</v>
      </c>
      <c r="P583" s="17" t="n">
        <v>45662</v>
      </c>
      <c r="Q583" s="17" t="n">
        <v>45662</v>
      </c>
      <c r="R583" s="17" t="n">
        <v>45662</v>
      </c>
      <c r="S583" s="19">
        <f>H583*I583</f>
        <v/>
      </c>
      <c r="T583" s="19">
        <f>H583*J583</f>
        <v/>
      </c>
      <c r="U583">
        <f>IF(AND(K583=0,G583&lt;=Assumptions!$C$6),1,0)</f>
        <v/>
      </c>
      <c r="V583">
        <f>IF(U583=1,IF(M583&gt;0,IF(P583&lt;=G583+Assumptions!$C$7,1,0),0),0)</f>
        <v/>
      </c>
      <c r="W583">
        <f>IF(AND(U583=1,M583&gt;=H583*(1-Assumptions!$C$8)),1,0)</f>
        <v/>
      </c>
      <c r="X583">
        <f>IF(AND(U583=1,N583&gt;=H583*(1-Assumptions!$C$8)),1,0)</f>
        <v/>
      </c>
      <c r="Y583">
        <f>IF(ISNUMBER(Q583),1,0)</f>
        <v/>
      </c>
      <c r="Z583">
        <f>IF(AND(K583=0,L583=0,Y583=0),1,0)</f>
        <v/>
      </c>
      <c r="AA583">
        <f>IF(AND(Z583=1,G583&lt;Assumptions!$C$6),1,0)</f>
        <v/>
      </c>
      <c r="AB583">
        <f>IF(U583=0,"",IF(Y583=1,MAX(0,Q583-G583),IF(L583=1,MAX(0,R583-G583),MAX(0,Assumptions!$C$6-G583))))</f>
        <v/>
      </c>
      <c r="AC583">
        <f>IF(Y583=1,Q583-F583,"")</f>
        <v/>
      </c>
      <c r="AD583">
        <f>IF(Y583=1,AC583^2,"")</f>
        <v/>
      </c>
      <c r="AE583" s="19">
        <f>IF(Z583=1,(H583-M583)*I583,0)</f>
        <v/>
      </c>
      <c r="AF583">
        <f>IF(G583&lt;EDATE(Assumptions!$C$6,-12)+1,"prior_12m","last_12m")</f>
        <v/>
      </c>
      <c r="AG583" s="21">
        <f>DATE(YEAR(G583),MONTH(G583),1)</f>
        <v/>
      </c>
    </row>
    <row r="584">
      <c r="A584" t="inlineStr">
        <is>
          <t>SPO-00322-3</t>
        </is>
      </c>
      <c r="B584" t="inlineStr">
        <is>
          <t>SPO-00322</t>
        </is>
      </c>
      <c r="C584" t="inlineStr">
        <is>
          <t>SUP-07</t>
        </is>
      </c>
      <c r="D584" t="inlineStr">
        <is>
          <t>MRO</t>
        </is>
      </c>
      <c r="E584" t="inlineStr">
        <is>
          <t>MRO-02</t>
        </is>
      </c>
      <c r="F584" s="17" t="n">
        <v>45652</v>
      </c>
      <c r="G584" s="17" t="n">
        <v>45662</v>
      </c>
      <c r="H584" s="18" t="n">
        <v>30</v>
      </c>
      <c r="I584" s="19" t="n">
        <v>40.59</v>
      </c>
      <c r="J584" s="19" t="n">
        <v>41</v>
      </c>
      <c r="K584" s="20" t="n">
        <v>0</v>
      </c>
      <c r="L584" s="20" t="n">
        <v>0</v>
      </c>
      <c r="M584" s="18" t="n">
        <v>30</v>
      </c>
      <c r="N584" s="18" t="n">
        <v>30</v>
      </c>
      <c r="O584" s="18" t="n">
        <v>0</v>
      </c>
      <c r="P584" s="17" t="n">
        <v>45658</v>
      </c>
      <c r="Q584" s="17" t="n">
        <v>45658</v>
      </c>
      <c r="R584" s="17" t="n">
        <v>45658</v>
      </c>
      <c r="S584" s="19">
        <f>H584*I584</f>
        <v/>
      </c>
      <c r="T584" s="19">
        <f>H584*J584</f>
        <v/>
      </c>
      <c r="U584">
        <f>IF(AND(K584=0,G584&lt;=Assumptions!$C$6),1,0)</f>
        <v/>
      </c>
      <c r="V584">
        <f>IF(U584=1,IF(M584&gt;0,IF(P584&lt;=G584+Assumptions!$C$7,1,0),0),0)</f>
        <v/>
      </c>
      <c r="W584">
        <f>IF(AND(U584=1,M584&gt;=H584*(1-Assumptions!$C$8)),1,0)</f>
        <v/>
      </c>
      <c r="X584">
        <f>IF(AND(U584=1,N584&gt;=H584*(1-Assumptions!$C$8)),1,0)</f>
        <v/>
      </c>
      <c r="Y584">
        <f>IF(ISNUMBER(Q584),1,0)</f>
        <v/>
      </c>
      <c r="Z584">
        <f>IF(AND(K584=0,L584=0,Y584=0),1,0)</f>
        <v/>
      </c>
      <c r="AA584">
        <f>IF(AND(Z584=1,G584&lt;Assumptions!$C$6),1,0)</f>
        <v/>
      </c>
      <c r="AB584">
        <f>IF(U584=0,"",IF(Y584=1,MAX(0,Q584-G584),IF(L584=1,MAX(0,R584-G584),MAX(0,Assumptions!$C$6-G584))))</f>
        <v/>
      </c>
      <c r="AC584">
        <f>IF(Y584=1,Q584-F584,"")</f>
        <v/>
      </c>
      <c r="AD584">
        <f>IF(Y584=1,AC584^2,"")</f>
        <v/>
      </c>
      <c r="AE584" s="19">
        <f>IF(Z584=1,(H584-M584)*I584,0)</f>
        <v/>
      </c>
      <c r="AF584">
        <f>IF(G584&lt;EDATE(Assumptions!$C$6,-12)+1,"prior_12m","last_12m")</f>
        <v/>
      </c>
      <c r="AG584" s="21">
        <f>DATE(YEAR(G584),MONTH(G584),1)</f>
        <v/>
      </c>
    </row>
    <row r="585">
      <c r="A585" t="inlineStr">
        <is>
          <t>SPO-00323-1</t>
        </is>
      </c>
      <c r="B585" t="inlineStr">
        <is>
          <t>SPO-00323</t>
        </is>
      </c>
      <c r="C585" t="inlineStr">
        <is>
          <t>SUP-01</t>
        </is>
      </c>
      <c r="D585" t="inlineStr">
        <is>
          <t>ELEC</t>
        </is>
      </c>
      <c r="E585" t="inlineStr">
        <is>
          <t>ELEC-05</t>
        </is>
      </c>
      <c r="F585" s="17" t="n">
        <v>45652</v>
      </c>
      <c r="G585" s="17" t="n">
        <v>45670</v>
      </c>
      <c r="H585" s="18" t="n">
        <v>259</v>
      </c>
      <c r="I585" s="19" t="n">
        <v>11.78</v>
      </c>
      <c r="J585" s="19" t="n">
        <v>11.5</v>
      </c>
      <c r="K585" s="20" t="n">
        <v>0</v>
      </c>
      <c r="L585" s="20" t="n">
        <v>0</v>
      </c>
      <c r="M585" s="18" t="n">
        <v>259</v>
      </c>
      <c r="N585" s="18" t="n">
        <v>259</v>
      </c>
      <c r="O585" s="18" t="n">
        <v>0</v>
      </c>
      <c r="P585" s="17" t="n">
        <v>45666</v>
      </c>
      <c r="Q585" s="17" t="n">
        <v>45666</v>
      </c>
      <c r="R585" s="17" t="n">
        <v>45666</v>
      </c>
      <c r="S585" s="19">
        <f>H585*I585</f>
        <v/>
      </c>
      <c r="T585" s="19">
        <f>H585*J585</f>
        <v/>
      </c>
      <c r="U585">
        <f>IF(AND(K585=0,G585&lt;=Assumptions!$C$6),1,0)</f>
        <v/>
      </c>
      <c r="V585">
        <f>IF(U585=1,IF(M585&gt;0,IF(P585&lt;=G585+Assumptions!$C$7,1,0),0),0)</f>
        <v/>
      </c>
      <c r="W585">
        <f>IF(AND(U585=1,M585&gt;=H585*(1-Assumptions!$C$8)),1,0)</f>
        <v/>
      </c>
      <c r="X585">
        <f>IF(AND(U585=1,N585&gt;=H585*(1-Assumptions!$C$8)),1,0)</f>
        <v/>
      </c>
      <c r="Y585">
        <f>IF(ISNUMBER(Q585),1,0)</f>
        <v/>
      </c>
      <c r="Z585">
        <f>IF(AND(K585=0,L585=0,Y585=0),1,0)</f>
        <v/>
      </c>
      <c r="AA585">
        <f>IF(AND(Z585=1,G585&lt;Assumptions!$C$6),1,0)</f>
        <v/>
      </c>
      <c r="AB585">
        <f>IF(U585=0,"",IF(Y585=1,MAX(0,Q585-G585),IF(L585=1,MAX(0,R585-G585),MAX(0,Assumptions!$C$6-G585))))</f>
        <v/>
      </c>
      <c r="AC585">
        <f>IF(Y585=1,Q585-F585,"")</f>
        <v/>
      </c>
      <c r="AD585">
        <f>IF(Y585=1,AC585^2,"")</f>
        <v/>
      </c>
      <c r="AE585" s="19">
        <f>IF(Z585=1,(H585-M585)*I585,0)</f>
        <v/>
      </c>
      <c r="AF585">
        <f>IF(G585&lt;EDATE(Assumptions!$C$6,-12)+1,"prior_12m","last_12m")</f>
        <v/>
      </c>
      <c r="AG585" s="21">
        <f>DATE(YEAR(G585),MONTH(G585),1)</f>
        <v/>
      </c>
    </row>
    <row r="586">
      <c r="A586" t="inlineStr">
        <is>
          <t>SPO-00324-1</t>
        </is>
      </c>
      <c r="B586" t="inlineStr">
        <is>
          <t>SPO-00324</t>
        </is>
      </c>
      <c r="C586" t="inlineStr">
        <is>
          <t>SUP-01</t>
        </is>
      </c>
      <c r="D586" t="inlineStr">
        <is>
          <t>ELEC</t>
        </is>
      </c>
      <c r="E586" t="inlineStr">
        <is>
          <t>ELEC-02</t>
        </is>
      </c>
      <c r="F586" s="17" t="n">
        <v>45652</v>
      </c>
      <c r="G586" s="17" t="n">
        <v>45670</v>
      </c>
      <c r="H586" s="18" t="n">
        <v>729</v>
      </c>
      <c r="I586" s="19" t="n">
        <v>4.11</v>
      </c>
      <c r="J586" s="19" t="n">
        <v>4.2</v>
      </c>
      <c r="K586" s="20" t="n">
        <v>0</v>
      </c>
      <c r="L586" s="20" t="n">
        <v>0</v>
      </c>
      <c r="M586" s="18" t="n">
        <v>729</v>
      </c>
      <c r="N586" s="18" t="n">
        <v>729</v>
      </c>
      <c r="O586" s="18" t="n">
        <v>0</v>
      </c>
      <c r="P586" s="17" t="n">
        <v>45668</v>
      </c>
      <c r="Q586" s="17" t="n">
        <v>45668</v>
      </c>
      <c r="R586" s="17" t="n">
        <v>45668</v>
      </c>
      <c r="S586" s="19">
        <f>H586*I586</f>
        <v/>
      </c>
      <c r="T586" s="19">
        <f>H586*J586</f>
        <v/>
      </c>
      <c r="U586">
        <f>IF(AND(K586=0,G586&lt;=Assumptions!$C$6),1,0)</f>
        <v/>
      </c>
      <c r="V586">
        <f>IF(U586=1,IF(M586&gt;0,IF(P586&lt;=G586+Assumptions!$C$7,1,0),0),0)</f>
        <v/>
      </c>
      <c r="W586">
        <f>IF(AND(U586=1,M586&gt;=H586*(1-Assumptions!$C$8)),1,0)</f>
        <v/>
      </c>
      <c r="X586">
        <f>IF(AND(U586=1,N586&gt;=H586*(1-Assumptions!$C$8)),1,0)</f>
        <v/>
      </c>
      <c r="Y586">
        <f>IF(ISNUMBER(Q586),1,0)</f>
        <v/>
      </c>
      <c r="Z586">
        <f>IF(AND(K586=0,L586=0,Y586=0),1,0)</f>
        <v/>
      </c>
      <c r="AA586">
        <f>IF(AND(Z586=1,G586&lt;Assumptions!$C$6),1,0)</f>
        <v/>
      </c>
      <c r="AB586">
        <f>IF(U586=0,"",IF(Y586=1,MAX(0,Q586-G586),IF(L586=1,MAX(0,R586-G586),MAX(0,Assumptions!$C$6-G586))))</f>
        <v/>
      </c>
      <c r="AC586">
        <f>IF(Y586=1,Q586-F586,"")</f>
        <v/>
      </c>
      <c r="AD586">
        <f>IF(Y586=1,AC586^2,"")</f>
        <v/>
      </c>
      <c r="AE586" s="19">
        <f>IF(Z586=1,(H586-M586)*I586,0)</f>
        <v/>
      </c>
      <c r="AF586">
        <f>IF(G586&lt;EDATE(Assumptions!$C$6,-12)+1,"prior_12m","last_12m")</f>
        <v/>
      </c>
      <c r="AG586" s="21">
        <f>DATE(YEAR(G586),MONTH(G586),1)</f>
        <v/>
      </c>
    </row>
    <row r="587">
      <c r="A587" t="inlineStr">
        <is>
          <t>SPO-00324-2</t>
        </is>
      </c>
      <c r="B587" t="inlineStr">
        <is>
          <t>SPO-00324</t>
        </is>
      </c>
      <c r="C587" t="inlineStr">
        <is>
          <t>SUP-01</t>
        </is>
      </c>
      <c r="D587" t="inlineStr">
        <is>
          <t>ELEC</t>
        </is>
      </c>
      <c r="E587" t="inlineStr">
        <is>
          <t>ELEC-06</t>
        </is>
      </c>
      <c r="F587" s="17" t="n">
        <v>45652</v>
      </c>
      <c r="G587" s="17" t="n">
        <v>45670</v>
      </c>
      <c r="H587" s="18" t="n">
        <v>19</v>
      </c>
      <c r="I587" s="19" t="n">
        <v>142.1</v>
      </c>
      <c r="J587" s="19" t="n">
        <v>145</v>
      </c>
      <c r="K587" s="20" t="n">
        <v>0</v>
      </c>
      <c r="L587" s="20" t="n">
        <v>0</v>
      </c>
      <c r="M587" s="18" t="n">
        <v>19</v>
      </c>
      <c r="N587" s="18" t="n">
        <v>19</v>
      </c>
      <c r="O587" s="18" t="n">
        <v>0</v>
      </c>
      <c r="P587" s="17" t="n">
        <v>45665</v>
      </c>
      <c r="Q587" s="17" t="n">
        <v>45665</v>
      </c>
      <c r="R587" s="17" t="n">
        <v>45665</v>
      </c>
      <c r="S587" s="19">
        <f>H587*I587</f>
        <v/>
      </c>
      <c r="T587" s="19">
        <f>H587*J587</f>
        <v/>
      </c>
      <c r="U587">
        <f>IF(AND(K587=0,G587&lt;=Assumptions!$C$6),1,0)</f>
        <v/>
      </c>
      <c r="V587">
        <f>IF(U587=1,IF(M587&gt;0,IF(P587&lt;=G587+Assumptions!$C$7,1,0),0),0)</f>
        <v/>
      </c>
      <c r="W587">
        <f>IF(AND(U587=1,M587&gt;=H587*(1-Assumptions!$C$8)),1,0)</f>
        <v/>
      </c>
      <c r="X587">
        <f>IF(AND(U587=1,N587&gt;=H587*(1-Assumptions!$C$8)),1,0)</f>
        <v/>
      </c>
      <c r="Y587">
        <f>IF(ISNUMBER(Q587),1,0)</f>
        <v/>
      </c>
      <c r="Z587">
        <f>IF(AND(K587=0,L587=0,Y587=0),1,0)</f>
        <v/>
      </c>
      <c r="AA587">
        <f>IF(AND(Z587=1,G587&lt;Assumptions!$C$6),1,0)</f>
        <v/>
      </c>
      <c r="AB587">
        <f>IF(U587=0,"",IF(Y587=1,MAX(0,Q587-G587),IF(L587=1,MAX(0,R587-G587),MAX(0,Assumptions!$C$6-G587))))</f>
        <v/>
      </c>
      <c r="AC587">
        <f>IF(Y587=1,Q587-F587,"")</f>
        <v/>
      </c>
      <c r="AD587">
        <f>IF(Y587=1,AC587^2,"")</f>
        <v/>
      </c>
      <c r="AE587" s="19">
        <f>IF(Z587=1,(H587-M587)*I587,0)</f>
        <v/>
      </c>
      <c r="AF587">
        <f>IF(G587&lt;EDATE(Assumptions!$C$6,-12)+1,"prior_12m","last_12m")</f>
        <v/>
      </c>
      <c r="AG587" s="21">
        <f>DATE(YEAR(G587),MONTH(G587),1)</f>
        <v/>
      </c>
    </row>
    <row r="588">
      <c r="A588" t="inlineStr">
        <is>
          <t>SPO-00325-1</t>
        </is>
      </c>
      <c r="B588" t="inlineStr">
        <is>
          <t>SPO-00325</t>
        </is>
      </c>
      <c r="C588" t="inlineStr">
        <is>
          <t>SUP-05</t>
        </is>
      </c>
      <c r="D588" t="inlineStr">
        <is>
          <t>FLEET</t>
        </is>
      </c>
      <c r="E588" t="inlineStr">
        <is>
          <t>FLEET-02</t>
        </is>
      </c>
      <c r="F588" s="17" t="n">
        <v>45653</v>
      </c>
      <c r="G588" s="17" t="n">
        <v>45667</v>
      </c>
      <c r="H588" s="18" t="n">
        <v>129</v>
      </c>
      <c r="I588" s="19" t="n">
        <v>7.86</v>
      </c>
      <c r="J588" s="19" t="n">
        <v>7.5</v>
      </c>
      <c r="K588" s="20" t="n">
        <v>0</v>
      </c>
      <c r="L588" s="20" t="n">
        <v>0</v>
      </c>
      <c r="M588" s="18" t="n">
        <v>129</v>
      </c>
      <c r="N588" s="18" t="n">
        <v>129</v>
      </c>
      <c r="O588" s="18" t="n">
        <v>0</v>
      </c>
      <c r="P588" s="17" t="n">
        <v>45664</v>
      </c>
      <c r="Q588" s="17" t="n">
        <v>45664</v>
      </c>
      <c r="R588" s="17" t="n">
        <v>45664</v>
      </c>
      <c r="S588" s="19">
        <f>H588*I588</f>
        <v/>
      </c>
      <c r="T588" s="19">
        <f>H588*J588</f>
        <v/>
      </c>
      <c r="U588">
        <f>IF(AND(K588=0,G588&lt;=Assumptions!$C$6),1,0)</f>
        <v/>
      </c>
      <c r="V588">
        <f>IF(U588=1,IF(M588&gt;0,IF(P588&lt;=G588+Assumptions!$C$7,1,0),0),0)</f>
        <v/>
      </c>
      <c r="W588">
        <f>IF(AND(U588=1,M588&gt;=H588*(1-Assumptions!$C$8)),1,0)</f>
        <v/>
      </c>
      <c r="X588">
        <f>IF(AND(U588=1,N588&gt;=H588*(1-Assumptions!$C$8)),1,0)</f>
        <v/>
      </c>
      <c r="Y588">
        <f>IF(ISNUMBER(Q588),1,0)</f>
        <v/>
      </c>
      <c r="Z588">
        <f>IF(AND(K588=0,L588=0,Y588=0),1,0)</f>
        <v/>
      </c>
      <c r="AA588">
        <f>IF(AND(Z588=1,G588&lt;Assumptions!$C$6),1,0)</f>
        <v/>
      </c>
      <c r="AB588">
        <f>IF(U588=0,"",IF(Y588=1,MAX(0,Q588-G588),IF(L588=1,MAX(0,R588-G588),MAX(0,Assumptions!$C$6-G588))))</f>
        <v/>
      </c>
      <c r="AC588">
        <f>IF(Y588=1,Q588-F588,"")</f>
        <v/>
      </c>
      <c r="AD588">
        <f>IF(Y588=1,AC588^2,"")</f>
        <v/>
      </c>
      <c r="AE588" s="19">
        <f>IF(Z588=1,(H588-M588)*I588,0)</f>
        <v/>
      </c>
      <c r="AF588">
        <f>IF(G588&lt;EDATE(Assumptions!$C$6,-12)+1,"prior_12m","last_12m")</f>
        <v/>
      </c>
      <c r="AG588" s="21">
        <f>DATE(YEAR(G588),MONTH(G588),1)</f>
        <v/>
      </c>
    </row>
    <row r="589">
      <c r="A589" t="inlineStr">
        <is>
          <t>SPO-00326-1</t>
        </is>
      </c>
      <c r="B589" t="inlineStr">
        <is>
          <t>SPO-00326</t>
        </is>
      </c>
      <c r="C589" t="inlineStr">
        <is>
          <t>SUP-12</t>
        </is>
      </c>
      <c r="D589" t="inlineStr">
        <is>
          <t>IT</t>
        </is>
      </c>
      <c r="E589" t="inlineStr">
        <is>
          <t>IT-01</t>
        </is>
      </c>
      <c r="F589" s="17" t="n">
        <v>45653</v>
      </c>
      <c r="G589" s="17" t="n">
        <v>45663</v>
      </c>
      <c r="H589" s="18" t="n">
        <v>24</v>
      </c>
      <c r="I589" s="19" t="n">
        <v>218.61</v>
      </c>
      <c r="J589" s="19" t="n">
        <v>189</v>
      </c>
      <c r="K589" s="20" t="n">
        <v>0</v>
      </c>
      <c r="L589" s="20" t="n">
        <v>0</v>
      </c>
      <c r="M589" s="18" t="n">
        <v>24</v>
      </c>
      <c r="N589" s="18" t="n">
        <v>24</v>
      </c>
      <c r="O589" s="18" t="n">
        <v>0</v>
      </c>
      <c r="P589" s="17" t="n">
        <v>45657</v>
      </c>
      <c r="Q589" s="17" t="n">
        <v>45657</v>
      </c>
      <c r="R589" s="17" t="n">
        <v>45657</v>
      </c>
      <c r="S589" s="19">
        <f>H589*I589</f>
        <v/>
      </c>
      <c r="T589" s="19">
        <f>H589*J589</f>
        <v/>
      </c>
      <c r="U589">
        <f>IF(AND(K589=0,G589&lt;=Assumptions!$C$6),1,0)</f>
        <v/>
      </c>
      <c r="V589">
        <f>IF(U589=1,IF(M589&gt;0,IF(P589&lt;=G589+Assumptions!$C$7,1,0),0),0)</f>
        <v/>
      </c>
      <c r="W589">
        <f>IF(AND(U589=1,M589&gt;=H589*(1-Assumptions!$C$8)),1,0)</f>
        <v/>
      </c>
      <c r="X589">
        <f>IF(AND(U589=1,N589&gt;=H589*(1-Assumptions!$C$8)),1,0)</f>
        <v/>
      </c>
      <c r="Y589">
        <f>IF(ISNUMBER(Q589),1,0)</f>
        <v/>
      </c>
      <c r="Z589">
        <f>IF(AND(K589=0,L589=0,Y589=0),1,0)</f>
        <v/>
      </c>
      <c r="AA589">
        <f>IF(AND(Z589=1,G589&lt;Assumptions!$C$6),1,0)</f>
        <v/>
      </c>
      <c r="AB589">
        <f>IF(U589=0,"",IF(Y589=1,MAX(0,Q589-G589),IF(L589=1,MAX(0,R589-G589),MAX(0,Assumptions!$C$6-G589))))</f>
        <v/>
      </c>
      <c r="AC589">
        <f>IF(Y589=1,Q589-F589,"")</f>
        <v/>
      </c>
      <c r="AD589">
        <f>IF(Y589=1,AC589^2,"")</f>
        <v/>
      </c>
      <c r="AE589" s="19">
        <f>IF(Z589=1,(H589-M589)*I589,0)</f>
        <v/>
      </c>
      <c r="AF589">
        <f>IF(G589&lt;EDATE(Assumptions!$C$6,-12)+1,"prior_12m","last_12m")</f>
        <v/>
      </c>
      <c r="AG589" s="21">
        <f>DATE(YEAR(G589),MONTH(G589),1)</f>
        <v/>
      </c>
    </row>
    <row r="590">
      <c r="A590" t="inlineStr">
        <is>
          <t>SPO-00326-2</t>
        </is>
      </c>
      <c r="B590" t="inlineStr">
        <is>
          <t>SPO-00326</t>
        </is>
      </c>
      <c r="C590" t="inlineStr">
        <is>
          <t>SUP-12</t>
        </is>
      </c>
      <c r="D590" t="inlineStr">
        <is>
          <t>IT</t>
        </is>
      </c>
      <c r="E590" t="inlineStr">
        <is>
          <t>IT-05</t>
        </is>
      </c>
      <c r="F590" s="17" t="n">
        <v>45653</v>
      </c>
      <c r="G590" s="17" t="n">
        <v>45663</v>
      </c>
      <c r="H590" s="18" t="n">
        <v>2</v>
      </c>
      <c r="I590" s="19" t="n">
        <v>701.37</v>
      </c>
      <c r="J590" s="19" t="n">
        <v>640</v>
      </c>
      <c r="K590" s="20" t="n">
        <v>0</v>
      </c>
      <c r="L590" s="20" t="n">
        <v>0</v>
      </c>
      <c r="M590" s="18" t="n">
        <v>2</v>
      </c>
      <c r="N590" s="18" t="n">
        <v>2</v>
      </c>
      <c r="O590" s="18" t="n">
        <v>0</v>
      </c>
      <c r="P590" s="17" t="n">
        <v>45660</v>
      </c>
      <c r="Q590" s="17" t="n">
        <v>45660</v>
      </c>
      <c r="R590" s="17" t="n">
        <v>45660</v>
      </c>
      <c r="S590" s="19">
        <f>H590*I590</f>
        <v/>
      </c>
      <c r="T590" s="19">
        <f>H590*J590</f>
        <v/>
      </c>
      <c r="U590">
        <f>IF(AND(K590=0,G590&lt;=Assumptions!$C$6),1,0)</f>
        <v/>
      </c>
      <c r="V590">
        <f>IF(U590=1,IF(M590&gt;0,IF(P590&lt;=G590+Assumptions!$C$7,1,0),0),0)</f>
        <v/>
      </c>
      <c r="W590">
        <f>IF(AND(U590=1,M590&gt;=H590*(1-Assumptions!$C$8)),1,0)</f>
        <v/>
      </c>
      <c r="X590">
        <f>IF(AND(U590=1,N590&gt;=H590*(1-Assumptions!$C$8)),1,0)</f>
        <v/>
      </c>
      <c r="Y590">
        <f>IF(ISNUMBER(Q590),1,0)</f>
        <v/>
      </c>
      <c r="Z590">
        <f>IF(AND(K590=0,L590=0,Y590=0),1,0)</f>
        <v/>
      </c>
      <c r="AA590">
        <f>IF(AND(Z590=1,G590&lt;Assumptions!$C$6),1,0)</f>
        <v/>
      </c>
      <c r="AB590">
        <f>IF(U590=0,"",IF(Y590=1,MAX(0,Q590-G590),IF(L590=1,MAX(0,R590-G590),MAX(0,Assumptions!$C$6-G590))))</f>
        <v/>
      </c>
      <c r="AC590">
        <f>IF(Y590=1,Q590-F590,"")</f>
        <v/>
      </c>
      <c r="AD590">
        <f>IF(Y590=1,AC590^2,"")</f>
        <v/>
      </c>
      <c r="AE590" s="19">
        <f>IF(Z590=1,(H590-M590)*I590,0)</f>
        <v/>
      </c>
      <c r="AF590">
        <f>IF(G590&lt;EDATE(Assumptions!$C$6,-12)+1,"prior_12m","last_12m")</f>
        <v/>
      </c>
      <c r="AG590" s="21">
        <f>DATE(YEAR(G590),MONTH(G590),1)</f>
        <v/>
      </c>
    </row>
    <row r="591">
      <c r="A591" t="inlineStr">
        <is>
          <t>SPO-00327-1</t>
        </is>
      </c>
      <c r="B591" t="inlineStr">
        <is>
          <t>SPO-00327</t>
        </is>
      </c>
      <c r="C591" t="inlineStr">
        <is>
          <t>SUP-12</t>
        </is>
      </c>
      <c r="D591" t="inlineStr">
        <is>
          <t>IT</t>
        </is>
      </c>
      <c r="E591" t="inlineStr">
        <is>
          <t>IT-05</t>
        </is>
      </c>
      <c r="F591" s="17" t="n">
        <v>45653</v>
      </c>
      <c r="G591" s="17" t="n">
        <v>45663</v>
      </c>
      <c r="H591" s="18" t="n">
        <v>7</v>
      </c>
      <c r="I591" s="19" t="n">
        <v>758.4299999999999</v>
      </c>
      <c r="J591" s="19" t="n">
        <v>640</v>
      </c>
      <c r="K591" s="20" t="n">
        <v>0</v>
      </c>
      <c r="L591" s="20" t="n">
        <v>0</v>
      </c>
      <c r="M591" s="18" t="n">
        <v>7</v>
      </c>
      <c r="N591" s="18" t="n">
        <v>7</v>
      </c>
      <c r="O591" s="18" t="n">
        <v>0</v>
      </c>
      <c r="P591" s="17" t="n">
        <v>45661</v>
      </c>
      <c r="Q591" s="17" t="n">
        <v>45661</v>
      </c>
      <c r="R591" s="17" t="n">
        <v>45661</v>
      </c>
      <c r="S591" s="19">
        <f>H591*I591</f>
        <v/>
      </c>
      <c r="T591" s="19">
        <f>H591*J591</f>
        <v/>
      </c>
      <c r="U591">
        <f>IF(AND(K591=0,G591&lt;=Assumptions!$C$6),1,0)</f>
        <v/>
      </c>
      <c r="V591">
        <f>IF(U591=1,IF(M591&gt;0,IF(P591&lt;=G591+Assumptions!$C$7,1,0),0),0)</f>
        <v/>
      </c>
      <c r="W591">
        <f>IF(AND(U591=1,M591&gt;=H591*(1-Assumptions!$C$8)),1,0)</f>
        <v/>
      </c>
      <c r="X591">
        <f>IF(AND(U591=1,N591&gt;=H591*(1-Assumptions!$C$8)),1,0)</f>
        <v/>
      </c>
      <c r="Y591">
        <f>IF(ISNUMBER(Q591),1,0)</f>
        <v/>
      </c>
      <c r="Z591">
        <f>IF(AND(K591=0,L591=0,Y591=0),1,0)</f>
        <v/>
      </c>
      <c r="AA591">
        <f>IF(AND(Z591=1,G591&lt;Assumptions!$C$6),1,0)</f>
        <v/>
      </c>
      <c r="AB591">
        <f>IF(U591=0,"",IF(Y591=1,MAX(0,Q591-G591),IF(L591=1,MAX(0,R591-G591),MAX(0,Assumptions!$C$6-G591))))</f>
        <v/>
      </c>
      <c r="AC591">
        <f>IF(Y591=1,Q591-F591,"")</f>
        <v/>
      </c>
      <c r="AD591">
        <f>IF(Y591=1,AC591^2,"")</f>
        <v/>
      </c>
      <c r="AE591" s="19">
        <f>IF(Z591=1,(H591-M591)*I591,0)</f>
        <v/>
      </c>
      <c r="AF591">
        <f>IF(G591&lt;EDATE(Assumptions!$C$6,-12)+1,"prior_12m","last_12m")</f>
        <v/>
      </c>
      <c r="AG591" s="21">
        <f>DATE(YEAR(G591),MONTH(G591),1)</f>
        <v/>
      </c>
    </row>
    <row r="592">
      <c r="A592" t="inlineStr">
        <is>
          <t>SPO-00327-2</t>
        </is>
      </c>
      <c r="B592" t="inlineStr">
        <is>
          <t>SPO-00327</t>
        </is>
      </c>
      <c r="C592" t="inlineStr">
        <is>
          <t>SUP-12</t>
        </is>
      </c>
      <c r="D592" t="inlineStr">
        <is>
          <t>IT</t>
        </is>
      </c>
      <c r="E592" t="inlineStr">
        <is>
          <t>IT-02</t>
        </is>
      </c>
      <c r="F592" s="17" t="n">
        <v>45653</v>
      </c>
      <c r="G592" s="17" t="n">
        <v>45663</v>
      </c>
      <c r="H592" s="18" t="n">
        <v>16</v>
      </c>
      <c r="I592" s="19" t="n">
        <v>174.51</v>
      </c>
      <c r="J592" s="19" t="n">
        <v>162</v>
      </c>
      <c r="K592" s="20" t="n">
        <v>0</v>
      </c>
      <c r="L592" s="20" t="n">
        <v>0</v>
      </c>
      <c r="M592" s="18" t="n">
        <v>16</v>
      </c>
      <c r="N592" s="18" t="n">
        <v>16</v>
      </c>
      <c r="O592" s="18" t="n">
        <v>0</v>
      </c>
      <c r="P592" s="17" t="n">
        <v>45659</v>
      </c>
      <c r="Q592" s="17" t="n">
        <v>45659</v>
      </c>
      <c r="R592" s="17" t="n">
        <v>45659</v>
      </c>
      <c r="S592" s="19">
        <f>H592*I592</f>
        <v/>
      </c>
      <c r="T592" s="19">
        <f>H592*J592</f>
        <v/>
      </c>
      <c r="U592">
        <f>IF(AND(K592=0,G592&lt;=Assumptions!$C$6),1,0)</f>
        <v/>
      </c>
      <c r="V592">
        <f>IF(U592=1,IF(M592&gt;0,IF(P592&lt;=G592+Assumptions!$C$7,1,0),0),0)</f>
        <v/>
      </c>
      <c r="W592">
        <f>IF(AND(U592=1,M592&gt;=H592*(1-Assumptions!$C$8)),1,0)</f>
        <v/>
      </c>
      <c r="X592">
        <f>IF(AND(U592=1,N592&gt;=H592*(1-Assumptions!$C$8)),1,0)</f>
        <v/>
      </c>
      <c r="Y592">
        <f>IF(ISNUMBER(Q592),1,0)</f>
        <v/>
      </c>
      <c r="Z592">
        <f>IF(AND(K592=0,L592=0,Y592=0),1,0)</f>
        <v/>
      </c>
      <c r="AA592">
        <f>IF(AND(Z592=1,G592&lt;Assumptions!$C$6),1,0)</f>
        <v/>
      </c>
      <c r="AB592">
        <f>IF(U592=0,"",IF(Y592=1,MAX(0,Q592-G592),IF(L592=1,MAX(0,R592-G592),MAX(0,Assumptions!$C$6-G592))))</f>
        <v/>
      </c>
      <c r="AC592">
        <f>IF(Y592=1,Q592-F592,"")</f>
        <v/>
      </c>
      <c r="AD592">
        <f>IF(Y592=1,AC592^2,"")</f>
        <v/>
      </c>
      <c r="AE592" s="19">
        <f>IF(Z592=1,(H592-M592)*I592,0)</f>
        <v/>
      </c>
      <c r="AF592">
        <f>IF(G592&lt;EDATE(Assumptions!$C$6,-12)+1,"prior_12m","last_12m")</f>
        <v/>
      </c>
      <c r="AG592" s="21">
        <f>DATE(YEAR(G592),MONTH(G592),1)</f>
        <v/>
      </c>
    </row>
    <row r="593">
      <c r="A593" t="inlineStr">
        <is>
          <t>SPO-00328-1</t>
        </is>
      </c>
      <c r="B593" t="inlineStr">
        <is>
          <t>SPO-00328</t>
        </is>
      </c>
      <c r="C593" t="inlineStr">
        <is>
          <t>SUP-04</t>
        </is>
      </c>
      <c r="D593" t="inlineStr">
        <is>
          <t>FLEET</t>
        </is>
      </c>
      <c r="E593" t="inlineStr">
        <is>
          <t>FLEET-06</t>
        </is>
      </c>
      <c r="F593" s="17" t="n">
        <v>45653</v>
      </c>
      <c r="G593" s="17" t="n">
        <v>45666</v>
      </c>
      <c r="H593" s="18" t="n">
        <v>27</v>
      </c>
      <c r="I593" s="19" t="n">
        <v>33.28</v>
      </c>
      <c r="J593" s="19" t="n">
        <v>33</v>
      </c>
      <c r="K593" s="20" t="n">
        <v>0</v>
      </c>
      <c r="L593" s="20" t="n">
        <v>0</v>
      </c>
      <c r="M593" s="18" t="n">
        <v>27</v>
      </c>
      <c r="N593" s="18" t="n">
        <v>27</v>
      </c>
      <c r="O593" s="18" t="n">
        <v>0</v>
      </c>
      <c r="P593" s="17" t="n">
        <v>45660</v>
      </c>
      <c r="Q593" s="17" t="n">
        <v>45660</v>
      </c>
      <c r="R593" s="17" t="n">
        <v>45660</v>
      </c>
      <c r="S593" s="19">
        <f>H593*I593</f>
        <v/>
      </c>
      <c r="T593" s="19">
        <f>H593*J593</f>
        <v/>
      </c>
      <c r="U593">
        <f>IF(AND(K593=0,G593&lt;=Assumptions!$C$6),1,0)</f>
        <v/>
      </c>
      <c r="V593">
        <f>IF(U593=1,IF(M593&gt;0,IF(P593&lt;=G593+Assumptions!$C$7,1,0),0),0)</f>
        <v/>
      </c>
      <c r="W593">
        <f>IF(AND(U593=1,M593&gt;=H593*(1-Assumptions!$C$8)),1,0)</f>
        <v/>
      </c>
      <c r="X593">
        <f>IF(AND(U593=1,N593&gt;=H593*(1-Assumptions!$C$8)),1,0)</f>
        <v/>
      </c>
      <c r="Y593">
        <f>IF(ISNUMBER(Q593),1,0)</f>
        <v/>
      </c>
      <c r="Z593">
        <f>IF(AND(K593=0,L593=0,Y593=0),1,0)</f>
        <v/>
      </c>
      <c r="AA593">
        <f>IF(AND(Z593=1,G593&lt;Assumptions!$C$6),1,0)</f>
        <v/>
      </c>
      <c r="AB593">
        <f>IF(U593=0,"",IF(Y593=1,MAX(0,Q593-G593),IF(L593=1,MAX(0,R593-G593),MAX(0,Assumptions!$C$6-G593))))</f>
        <v/>
      </c>
      <c r="AC593">
        <f>IF(Y593=1,Q593-F593,"")</f>
        <v/>
      </c>
      <c r="AD593">
        <f>IF(Y593=1,AC593^2,"")</f>
        <v/>
      </c>
      <c r="AE593" s="19">
        <f>IF(Z593=1,(H593-M593)*I593,0)</f>
        <v/>
      </c>
      <c r="AF593">
        <f>IF(G593&lt;EDATE(Assumptions!$C$6,-12)+1,"prior_12m","last_12m")</f>
        <v/>
      </c>
      <c r="AG593" s="21">
        <f>DATE(YEAR(G593),MONTH(G593),1)</f>
        <v/>
      </c>
    </row>
    <row r="594">
      <c r="A594" t="inlineStr">
        <is>
          <t>SPO-00329-1</t>
        </is>
      </c>
      <c r="B594" t="inlineStr">
        <is>
          <t>SPO-00329</t>
        </is>
      </c>
      <c r="C594" t="inlineStr">
        <is>
          <t>SUP-09</t>
        </is>
      </c>
      <c r="D594" t="inlineStr">
        <is>
          <t>CHEM</t>
        </is>
      </c>
      <c r="E594" t="inlineStr">
        <is>
          <t>CHEM-04</t>
        </is>
      </c>
      <c r="F594" s="17" t="n">
        <v>45653</v>
      </c>
      <c r="G594" s="17" t="n">
        <v>45667</v>
      </c>
      <c r="H594" s="18" t="n">
        <v>4</v>
      </c>
      <c r="I594" s="19" t="n">
        <v>849.66</v>
      </c>
      <c r="J594" s="19" t="n">
        <v>820</v>
      </c>
      <c r="K594" s="20" t="n">
        <v>0</v>
      </c>
      <c r="L594" s="20" t="n">
        <v>0</v>
      </c>
      <c r="M594" s="18" t="n">
        <v>4</v>
      </c>
      <c r="N594" s="18" t="n">
        <v>4</v>
      </c>
      <c r="O594" s="18" t="n">
        <v>0</v>
      </c>
      <c r="P594" s="17" t="n">
        <v>45663</v>
      </c>
      <c r="Q594" s="17" t="n">
        <v>45663</v>
      </c>
      <c r="R594" s="17" t="n">
        <v>45663</v>
      </c>
      <c r="S594" s="19">
        <f>H594*I594</f>
        <v/>
      </c>
      <c r="T594" s="19">
        <f>H594*J594</f>
        <v/>
      </c>
      <c r="U594">
        <f>IF(AND(K594=0,G594&lt;=Assumptions!$C$6),1,0)</f>
        <v/>
      </c>
      <c r="V594">
        <f>IF(U594=1,IF(M594&gt;0,IF(P594&lt;=G594+Assumptions!$C$7,1,0),0),0)</f>
        <v/>
      </c>
      <c r="W594">
        <f>IF(AND(U594=1,M594&gt;=H594*(1-Assumptions!$C$8)),1,0)</f>
        <v/>
      </c>
      <c r="X594">
        <f>IF(AND(U594=1,N594&gt;=H594*(1-Assumptions!$C$8)),1,0)</f>
        <v/>
      </c>
      <c r="Y594">
        <f>IF(ISNUMBER(Q594),1,0)</f>
        <v/>
      </c>
      <c r="Z594">
        <f>IF(AND(K594=0,L594=0,Y594=0),1,0)</f>
        <v/>
      </c>
      <c r="AA594">
        <f>IF(AND(Z594=1,G594&lt;Assumptions!$C$6),1,0)</f>
        <v/>
      </c>
      <c r="AB594">
        <f>IF(U594=0,"",IF(Y594=1,MAX(0,Q594-G594),IF(L594=1,MAX(0,R594-G594),MAX(0,Assumptions!$C$6-G594))))</f>
        <v/>
      </c>
      <c r="AC594">
        <f>IF(Y594=1,Q594-F594,"")</f>
        <v/>
      </c>
      <c r="AD594">
        <f>IF(Y594=1,AC594^2,"")</f>
        <v/>
      </c>
      <c r="AE594" s="19">
        <f>IF(Z594=1,(H594-M594)*I594,0)</f>
        <v/>
      </c>
      <c r="AF594">
        <f>IF(G594&lt;EDATE(Assumptions!$C$6,-12)+1,"prior_12m","last_12m")</f>
        <v/>
      </c>
      <c r="AG594" s="21">
        <f>DATE(YEAR(G594),MONTH(G594),1)</f>
        <v/>
      </c>
    </row>
    <row r="595">
      <c r="A595" t="inlineStr">
        <is>
          <t>SPO-00329-2</t>
        </is>
      </c>
      <c r="B595" t="inlineStr">
        <is>
          <t>SPO-00329</t>
        </is>
      </c>
      <c r="C595" t="inlineStr">
        <is>
          <t>SUP-09</t>
        </is>
      </c>
      <c r="D595" t="inlineStr">
        <is>
          <t>CHEM</t>
        </is>
      </c>
      <c r="E595" t="inlineStr">
        <is>
          <t>CHEM-03</t>
        </is>
      </c>
      <c r="F595" s="17" t="n">
        <v>45653</v>
      </c>
      <c r="G595" s="17" t="n">
        <v>45667</v>
      </c>
      <c r="H595" s="18" t="n">
        <v>4</v>
      </c>
      <c r="I595" s="19" t="n">
        <v>293.24</v>
      </c>
      <c r="J595" s="19" t="n">
        <v>265</v>
      </c>
      <c r="K595" s="20" t="n">
        <v>0</v>
      </c>
      <c r="L595" s="20" t="n">
        <v>0</v>
      </c>
      <c r="M595" s="18" t="n">
        <v>4</v>
      </c>
      <c r="N595" s="18" t="n">
        <v>4</v>
      </c>
      <c r="O595" s="18" t="n">
        <v>0</v>
      </c>
      <c r="P595" s="17" t="n">
        <v>45665</v>
      </c>
      <c r="Q595" s="17" t="n">
        <v>45665</v>
      </c>
      <c r="R595" s="17" t="n">
        <v>45665</v>
      </c>
      <c r="S595" s="19">
        <f>H595*I595</f>
        <v/>
      </c>
      <c r="T595" s="19">
        <f>H595*J595</f>
        <v/>
      </c>
      <c r="U595">
        <f>IF(AND(K595=0,G595&lt;=Assumptions!$C$6),1,0)</f>
        <v/>
      </c>
      <c r="V595">
        <f>IF(U595=1,IF(M595&gt;0,IF(P595&lt;=G595+Assumptions!$C$7,1,0),0),0)</f>
        <v/>
      </c>
      <c r="W595">
        <f>IF(AND(U595=1,M595&gt;=H595*(1-Assumptions!$C$8)),1,0)</f>
        <v/>
      </c>
      <c r="X595">
        <f>IF(AND(U595=1,N595&gt;=H595*(1-Assumptions!$C$8)),1,0)</f>
        <v/>
      </c>
      <c r="Y595">
        <f>IF(ISNUMBER(Q595),1,0)</f>
        <v/>
      </c>
      <c r="Z595">
        <f>IF(AND(K595=0,L595=0,Y595=0),1,0)</f>
        <v/>
      </c>
      <c r="AA595">
        <f>IF(AND(Z595=1,G595&lt;Assumptions!$C$6),1,0)</f>
        <v/>
      </c>
      <c r="AB595">
        <f>IF(U595=0,"",IF(Y595=1,MAX(0,Q595-G595),IF(L595=1,MAX(0,R595-G595),MAX(0,Assumptions!$C$6-G595))))</f>
        <v/>
      </c>
      <c r="AC595">
        <f>IF(Y595=1,Q595-F595,"")</f>
        <v/>
      </c>
      <c r="AD595">
        <f>IF(Y595=1,AC595^2,"")</f>
        <v/>
      </c>
      <c r="AE595" s="19">
        <f>IF(Z595=1,(H595-M595)*I595,0)</f>
        <v/>
      </c>
      <c r="AF595">
        <f>IF(G595&lt;EDATE(Assumptions!$C$6,-12)+1,"prior_12m","last_12m")</f>
        <v/>
      </c>
      <c r="AG595" s="21">
        <f>DATE(YEAR(G595),MONTH(G595),1)</f>
        <v/>
      </c>
    </row>
    <row r="596">
      <c r="A596" t="inlineStr">
        <is>
          <t>SPO-00330-1</t>
        </is>
      </c>
      <c r="B596" t="inlineStr">
        <is>
          <t>SPO-00330</t>
        </is>
      </c>
      <c r="C596" t="inlineStr">
        <is>
          <t>SUP-01</t>
        </is>
      </c>
      <c r="D596" t="inlineStr">
        <is>
          <t>ELEC</t>
        </is>
      </c>
      <c r="E596" t="inlineStr">
        <is>
          <t>ELEC-06</t>
        </is>
      </c>
      <c r="F596" s="17" t="n">
        <v>45654</v>
      </c>
      <c r="G596" s="17" t="n">
        <v>45672</v>
      </c>
      <c r="H596" s="18" t="n">
        <v>14</v>
      </c>
      <c r="I596" s="19" t="n">
        <v>141.28</v>
      </c>
      <c r="J596" s="19" t="n">
        <v>145</v>
      </c>
      <c r="K596" s="20" t="n">
        <v>0</v>
      </c>
      <c r="L596" s="20" t="n">
        <v>0</v>
      </c>
      <c r="M596" s="18" t="n">
        <v>14</v>
      </c>
      <c r="N596" s="18" t="n">
        <v>14</v>
      </c>
      <c r="O596" s="18" t="n">
        <v>0</v>
      </c>
      <c r="P596" s="17" t="n">
        <v>45669</v>
      </c>
      <c r="Q596" s="17" t="n">
        <v>45669</v>
      </c>
      <c r="R596" s="17" t="n">
        <v>45669</v>
      </c>
      <c r="S596" s="19">
        <f>H596*I596</f>
        <v/>
      </c>
      <c r="T596" s="19">
        <f>H596*J596</f>
        <v/>
      </c>
      <c r="U596">
        <f>IF(AND(K596=0,G596&lt;=Assumptions!$C$6),1,0)</f>
        <v/>
      </c>
      <c r="V596">
        <f>IF(U596=1,IF(M596&gt;0,IF(P596&lt;=G596+Assumptions!$C$7,1,0),0),0)</f>
        <v/>
      </c>
      <c r="W596">
        <f>IF(AND(U596=1,M596&gt;=H596*(1-Assumptions!$C$8)),1,0)</f>
        <v/>
      </c>
      <c r="X596">
        <f>IF(AND(U596=1,N596&gt;=H596*(1-Assumptions!$C$8)),1,0)</f>
        <v/>
      </c>
      <c r="Y596">
        <f>IF(ISNUMBER(Q596),1,0)</f>
        <v/>
      </c>
      <c r="Z596">
        <f>IF(AND(K596=0,L596=0,Y596=0),1,0)</f>
        <v/>
      </c>
      <c r="AA596">
        <f>IF(AND(Z596=1,G596&lt;Assumptions!$C$6),1,0)</f>
        <v/>
      </c>
      <c r="AB596">
        <f>IF(U596=0,"",IF(Y596=1,MAX(0,Q596-G596),IF(L596=1,MAX(0,R596-G596),MAX(0,Assumptions!$C$6-G596))))</f>
        <v/>
      </c>
      <c r="AC596">
        <f>IF(Y596=1,Q596-F596,"")</f>
        <v/>
      </c>
      <c r="AD596">
        <f>IF(Y596=1,AC596^2,"")</f>
        <v/>
      </c>
      <c r="AE596" s="19">
        <f>IF(Z596=1,(H596-M596)*I596,0)</f>
        <v/>
      </c>
      <c r="AF596">
        <f>IF(G596&lt;EDATE(Assumptions!$C$6,-12)+1,"prior_12m","last_12m")</f>
        <v/>
      </c>
      <c r="AG596" s="21">
        <f>DATE(YEAR(G596),MONTH(G596),1)</f>
        <v/>
      </c>
    </row>
    <row r="597">
      <c r="A597" t="inlineStr">
        <is>
          <t>SPO-00331-1</t>
        </is>
      </c>
      <c r="B597" t="inlineStr">
        <is>
          <t>SPO-00331</t>
        </is>
      </c>
      <c r="C597" t="inlineStr">
        <is>
          <t>SUP-04</t>
        </is>
      </c>
      <c r="D597" t="inlineStr">
        <is>
          <t>FLEET</t>
        </is>
      </c>
      <c r="E597" t="inlineStr">
        <is>
          <t>FLEET-05</t>
        </is>
      </c>
      <c r="F597" s="17" t="n">
        <v>45654</v>
      </c>
      <c r="G597" s="17" t="n">
        <v>45667</v>
      </c>
      <c r="H597" s="18" t="n">
        <v>9</v>
      </c>
      <c r="I597" s="19" t="n">
        <v>169.09</v>
      </c>
      <c r="J597" s="19" t="n">
        <v>168</v>
      </c>
      <c r="K597" s="20" t="n">
        <v>0</v>
      </c>
      <c r="L597" s="20" t="n">
        <v>0</v>
      </c>
      <c r="M597" s="18" t="n">
        <v>9</v>
      </c>
      <c r="N597" s="18" t="n">
        <v>0</v>
      </c>
      <c r="O597" s="18" t="n">
        <v>0</v>
      </c>
      <c r="P597" s="17" t="n">
        <v>45676</v>
      </c>
      <c r="Q597" s="17" t="n">
        <v>45676</v>
      </c>
      <c r="R597" s="17" t="n">
        <v>45676</v>
      </c>
      <c r="S597" s="19">
        <f>H597*I597</f>
        <v/>
      </c>
      <c r="T597" s="19">
        <f>H597*J597</f>
        <v/>
      </c>
      <c r="U597">
        <f>IF(AND(K597=0,G597&lt;=Assumptions!$C$6),1,0)</f>
        <v/>
      </c>
      <c r="V597">
        <f>IF(U597=1,IF(M597&gt;0,IF(P597&lt;=G597+Assumptions!$C$7,1,0),0),0)</f>
        <v/>
      </c>
      <c r="W597">
        <f>IF(AND(U597=1,M597&gt;=H597*(1-Assumptions!$C$8)),1,0)</f>
        <v/>
      </c>
      <c r="X597">
        <f>IF(AND(U597=1,N597&gt;=H597*(1-Assumptions!$C$8)),1,0)</f>
        <v/>
      </c>
      <c r="Y597">
        <f>IF(ISNUMBER(Q597),1,0)</f>
        <v/>
      </c>
      <c r="Z597">
        <f>IF(AND(K597=0,L597=0,Y597=0),1,0)</f>
        <v/>
      </c>
      <c r="AA597">
        <f>IF(AND(Z597=1,G597&lt;Assumptions!$C$6),1,0)</f>
        <v/>
      </c>
      <c r="AB597">
        <f>IF(U597=0,"",IF(Y597=1,MAX(0,Q597-G597),IF(L597=1,MAX(0,R597-G597),MAX(0,Assumptions!$C$6-G597))))</f>
        <v/>
      </c>
      <c r="AC597">
        <f>IF(Y597=1,Q597-F597,"")</f>
        <v/>
      </c>
      <c r="AD597">
        <f>IF(Y597=1,AC597^2,"")</f>
        <v/>
      </c>
      <c r="AE597" s="19">
        <f>IF(Z597=1,(H597-M597)*I597,0)</f>
        <v/>
      </c>
      <c r="AF597">
        <f>IF(G597&lt;EDATE(Assumptions!$C$6,-12)+1,"prior_12m","last_12m")</f>
        <v/>
      </c>
      <c r="AG597" s="21">
        <f>DATE(YEAR(G597),MONTH(G597),1)</f>
        <v/>
      </c>
    </row>
    <row r="598">
      <c r="A598" t="inlineStr">
        <is>
          <t>SPO-00332-1</t>
        </is>
      </c>
      <c r="B598" t="inlineStr">
        <is>
          <t>SPO-00332</t>
        </is>
      </c>
      <c r="C598" t="inlineStr">
        <is>
          <t>SUP-02</t>
        </is>
      </c>
      <c r="D598" t="inlineStr">
        <is>
          <t>ELEC</t>
        </is>
      </c>
      <c r="E598" t="inlineStr">
        <is>
          <t>ELEC-06</t>
        </is>
      </c>
      <c r="F598" s="17" t="n">
        <v>45654</v>
      </c>
      <c r="G598" s="17" t="n">
        <v>45670</v>
      </c>
      <c r="H598" s="18" t="n">
        <v>5</v>
      </c>
      <c r="I598" s="19" t="n">
        <v>136.83</v>
      </c>
      <c r="J598" s="19" t="n">
        <v>145</v>
      </c>
      <c r="K598" s="20" t="n">
        <v>0</v>
      </c>
      <c r="L598" s="20" t="n">
        <v>0</v>
      </c>
      <c r="M598" s="18" t="n">
        <v>5</v>
      </c>
      <c r="N598" s="18" t="n">
        <v>5</v>
      </c>
      <c r="O598" s="18" t="n">
        <v>0</v>
      </c>
      <c r="P598" s="17" t="n">
        <v>45667</v>
      </c>
      <c r="Q598" s="17" t="n">
        <v>45667</v>
      </c>
      <c r="R598" s="17" t="n">
        <v>45667</v>
      </c>
      <c r="S598" s="19">
        <f>H598*I598</f>
        <v/>
      </c>
      <c r="T598" s="19">
        <f>H598*J598</f>
        <v/>
      </c>
      <c r="U598">
        <f>IF(AND(K598=0,G598&lt;=Assumptions!$C$6),1,0)</f>
        <v/>
      </c>
      <c r="V598">
        <f>IF(U598=1,IF(M598&gt;0,IF(P598&lt;=G598+Assumptions!$C$7,1,0),0),0)</f>
        <v/>
      </c>
      <c r="W598">
        <f>IF(AND(U598=1,M598&gt;=H598*(1-Assumptions!$C$8)),1,0)</f>
        <v/>
      </c>
      <c r="X598">
        <f>IF(AND(U598=1,N598&gt;=H598*(1-Assumptions!$C$8)),1,0)</f>
        <v/>
      </c>
      <c r="Y598">
        <f>IF(ISNUMBER(Q598),1,0)</f>
        <v/>
      </c>
      <c r="Z598">
        <f>IF(AND(K598=0,L598=0,Y598=0),1,0)</f>
        <v/>
      </c>
      <c r="AA598">
        <f>IF(AND(Z598=1,G598&lt;Assumptions!$C$6),1,0)</f>
        <v/>
      </c>
      <c r="AB598">
        <f>IF(U598=0,"",IF(Y598=1,MAX(0,Q598-G598),IF(L598=1,MAX(0,R598-G598),MAX(0,Assumptions!$C$6-G598))))</f>
        <v/>
      </c>
      <c r="AC598">
        <f>IF(Y598=1,Q598-F598,"")</f>
        <v/>
      </c>
      <c r="AD598">
        <f>IF(Y598=1,AC598^2,"")</f>
        <v/>
      </c>
      <c r="AE598" s="19">
        <f>IF(Z598=1,(H598-M598)*I598,0)</f>
        <v/>
      </c>
      <c r="AF598">
        <f>IF(G598&lt;EDATE(Assumptions!$C$6,-12)+1,"prior_12m","last_12m")</f>
        <v/>
      </c>
      <c r="AG598" s="21">
        <f>DATE(YEAR(G598),MONTH(G598),1)</f>
        <v/>
      </c>
    </row>
    <row r="599">
      <c r="A599" t="inlineStr">
        <is>
          <t>SPO-00332-2</t>
        </is>
      </c>
      <c r="B599" t="inlineStr">
        <is>
          <t>SPO-00332</t>
        </is>
      </c>
      <c r="C599" t="inlineStr">
        <is>
          <t>SUP-02</t>
        </is>
      </c>
      <c r="D599" t="inlineStr">
        <is>
          <t>ELEC</t>
        </is>
      </c>
      <c r="E599" t="inlineStr">
        <is>
          <t>ELEC-04</t>
        </is>
      </c>
      <c r="F599" s="17" t="n">
        <v>45654</v>
      </c>
      <c r="G599" s="17" t="n">
        <v>45670</v>
      </c>
      <c r="H599" s="18" t="n">
        <v>10</v>
      </c>
      <c r="I599" s="19" t="n">
        <v>68.31</v>
      </c>
      <c r="J599" s="19" t="n">
        <v>72</v>
      </c>
      <c r="K599" s="20" t="n">
        <v>0</v>
      </c>
      <c r="L599" s="20" t="n">
        <v>0</v>
      </c>
      <c r="M599" s="18" t="n">
        <v>10</v>
      </c>
      <c r="N599" s="18" t="n">
        <v>10</v>
      </c>
      <c r="O599" s="18" t="n">
        <v>0</v>
      </c>
      <c r="P599" s="17" t="n">
        <v>45669</v>
      </c>
      <c r="Q599" s="17" t="n">
        <v>45669</v>
      </c>
      <c r="R599" s="17" t="n">
        <v>45669</v>
      </c>
      <c r="S599" s="19">
        <f>H599*I599</f>
        <v/>
      </c>
      <c r="T599" s="19">
        <f>H599*J599</f>
        <v/>
      </c>
      <c r="U599">
        <f>IF(AND(K599=0,G599&lt;=Assumptions!$C$6),1,0)</f>
        <v/>
      </c>
      <c r="V599">
        <f>IF(U599=1,IF(M599&gt;0,IF(P599&lt;=G599+Assumptions!$C$7,1,0),0),0)</f>
        <v/>
      </c>
      <c r="W599">
        <f>IF(AND(U599=1,M599&gt;=H599*(1-Assumptions!$C$8)),1,0)</f>
        <v/>
      </c>
      <c r="X599">
        <f>IF(AND(U599=1,N599&gt;=H599*(1-Assumptions!$C$8)),1,0)</f>
        <v/>
      </c>
      <c r="Y599">
        <f>IF(ISNUMBER(Q599),1,0)</f>
        <v/>
      </c>
      <c r="Z599">
        <f>IF(AND(K599=0,L599=0,Y599=0),1,0)</f>
        <v/>
      </c>
      <c r="AA599">
        <f>IF(AND(Z599=1,G599&lt;Assumptions!$C$6),1,0)</f>
        <v/>
      </c>
      <c r="AB599">
        <f>IF(U599=0,"",IF(Y599=1,MAX(0,Q599-G599),IF(L599=1,MAX(0,R599-G599),MAX(0,Assumptions!$C$6-G599))))</f>
        <v/>
      </c>
      <c r="AC599">
        <f>IF(Y599=1,Q599-F599,"")</f>
        <v/>
      </c>
      <c r="AD599">
        <f>IF(Y599=1,AC599^2,"")</f>
        <v/>
      </c>
      <c r="AE599" s="19">
        <f>IF(Z599=1,(H599-M599)*I599,0)</f>
        <v/>
      </c>
      <c r="AF599">
        <f>IF(G599&lt;EDATE(Assumptions!$C$6,-12)+1,"prior_12m","last_12m")</f>
        <v/>
      </c>
      <c r="AG599" s="21">
        <f>DATE(YEAR(G599),MONTH(G599),1)</f>
        <v/>
      </c>
    </row>
    <row r="600">
      <c r="A600" t="inlineStr">
        <is>
          <t>SPO-00332-3</t>
        </is>
      </c>
      <c r="B600" t="inlineStr">
        <is>
          <t>SPO-00332</t>
        </is>
      </c>
      <c r="C600" t="inlineStr">
        <is>
          <t>SUP-02</t>
        </is>
      </c>
      <c r="D600" t="inlineStr">
        <is>
          <t>ELEC</t>
        </is>
      </c>
      <c r="E600" t="inlineStr">
        <is>
          <t>ELEC-03</t>
        </is>
      </c>
      <c r="F600" s="17" t="n">
        <v>45654</v>
      </c>
      <c r="G600" s="17" t="n">
        <v>45670</v>
      </c>
      <c r="H600" s="18" t="n">
        <v>46</v>
      </c>
      <c r="I600" s="19" t="n">
        <v>97.63</v>
      </c>
      <c r="J600" s="19" t="n">
        <v>96</v>
      </c>
      <c r="K600" s="20" t="n">
        <v>0</v>
      </c>
      <c r="L600" s="20" t="n">
        <v>0</v>
      </c>
      <c r="M600" s="18" t="n">
        <v>46</v>
      </c>
      <c r="N600" s="18" t="n">
        <v>46</v>
      </c>
      <c r="O600" s="18" t="n">
        <v>0</v>
      </c>
      <c r="P600" s="17" t="n">
        <v>45668</v>
      </c>
      <c r="Q600" s="17" t="n">
        <v>45668</v>
      </c>
      <c r="R600" s="17" t="n">
        <v>45668</v>
      </c>
      <c r="S600" s="19">
        <f>H600*I600</f>
        <v/>
      </c>
      <c r="T600" s="19">
        <f>H600*J600</f>
        <v/>
      </c>
      <c r="U600">
        <f>IF(AND(K600=0,G600&lt;=Assumptions!$C$6),1,0)</f>
        <v/>
      </c>
      <c r="V600">
        <f>IF(U600=1,IF(M600&gt;0,IF(P600&lt;=G600+Assumptions!$C$7,1,0),0),0)</f>
        <v/>
      </c>
      <c r="W600">
        <f>IF(AND(U600=1,M600&gt;=H600*(1-Assumptions!$C$8)),1,0)</f>
        <v/>
      </c>
      <c r="X600">
        <f>IF(AND(U600=1,N600&gt;=H600*(1-Assumptions!$C$8)),1,0)</f>
        <v/>
      </c>
      <c r="Y600">
        <f>IF(ISNUMBER(Q600),1,0)</f>
        <v/>
      </c>
      <c r="Z600">
        <f>IF(AND(K600=0,L600=0,Y600=0),1,0)</f>
        <v/>
      </c>
      <c r="AA600">
        <f>IF(AND(Z600=1,G600&lt;Assumptions!$C$6),1,0)</f>
        <v/>
      </c>
      <c r="AB600">
        <f>IF(U600=0,"",IF(Y600=1,MAX(0,Q600-G600),IF(L600=1,MAX(0,R600-G600),MAX(0,Assumptions!$C$6-G600))))</f>
        <v/>
      </c>
      <c r="AC600">
        <f>IF(Y600=1,Q600-F600,"")</f>
        <v/>
      </c>
      <c r="AD600">
        <f>IF(Y600=1,AC600^2,"")</f>
        <v/>
      </c>
      <c r="AE600" s="19">
        <f>IF(Z600=1,(H600-M600)*I600,0)</f>
        <v/>
      </c>
      <c r="AF600">
        <f>IF(G600&lt;EDATE(Assumptions!$C$6,-12)+1,"prior_12m","last_12m")</f>
        <v/>
      </c>
      <c r="AG600" s="21">
        <f>DATE(YEAR(G600),MONTH(G600),1)</f>
        <v/>
      </c>
    </row>
    <row r="601">
      <c r="A601" t="inlineStr">
        <is>
          <t>SPO-00333-1</t>
        </is>
      </c>
      <c r="B601" t="inlineStr">
        <is>
          <t>SPO-00333</t>
        </is>
      </c>
      <c r="C601" t="inlineStr">
        <is>
          <t>SUP-07</t>
        </is>
      </c>
      <c r="D601" t="inlineStr">
        <is>
          <t>MRO</t>
        </is>
      </c>
      <c r="E601" t="inlineStr">
        <is>
          <t>MRO-01</t>
        </is>
      </c>
      <c r="F601" s="17" t="n">
        <v>45654</v>
      </c>
      <c r="G601" s="17" t="n">
        <v>45664</v>
      </c>
      <c r="H601" s="18" t="n">
        <v>21</v>
      </c>
      <c r="I601" s="19" t="n">
        <v>52.09</v>
      </c>
      <c r="J601" s="19" t="n">
        <v>52</v>
      </c>
      <c r="K601" s="20" t="n">
        <v>0</v>
      </c>
      <c r="L601" s="20" t="n">
        <v>1</v>
      </c>
      <c r="M601" s="18" t="n">
        <v>10</v>
      </c>
      <c r="N601" s="18" t="n">
        <v>10</v>
      </c>
      <c r="O601" s="18" t="n">
        <v>0</v>
      </c>
      <c r="P601" s="17" t="n">
        <v>45661</v>
      </c>
      <c r="Q601" s="17" t="n"/>
      <c r="R601" s="17" t="n">
        <v>45661</v>
      </c>
      <c r="S601" s="19">
        <f>H601*I601</f>
        <v/>
      </c>
      <c r="T601" s="19">
        <f>H601*J601</f>
        <v/>
      </c>
      <c r="U601">
        <f>IF(AND(K601=0,G601&lt;=Assumptions!$C$6),1,0)</f>
        <v/>
      </c>
      <c r="V601">
        <f>IF(U601=1,IF(M601&gt;0,IF(P601&lt;=G601+Assumptions!$C$7,1,0),0),0)</f>
        <v/>
      </c>
      <c r="W601">
        <f>IF(AND(U601=1,M601&gt;=H601*(1-Assumptions!$C$8)),1,0)</f>
        <v/>
      </c>
      <c r="X601">
        <f>IF(AND(U601=1,N601&gt;=H601*(1-Assumptions!$C$8)),1,0)</f>
        <v/>
      </c>
      <c r="Y601">
        <f>IF(ISNUMBER(Q601),1,0)</f>
        <v/>
      </c>
      <c r="Z601">
        <f>IF(AND(K601=0,L601=0,Y601=0),1,0)</f>
        <v/>
      </c>
      <c r="AA601">
        <f>IF(AND(Z601=1,G601&lt;Assumptions!$C$6),1,0)</f>
        <v/>
      </c>
      <c r="AB601">
        <f>IF(U601=0,"",IF(Y601=1,MAX(0,Q601-G601),IF(L601=1,MAX(0,R601-G601),MAX(0,Assumptions!$C$6-G601))))</f>
        <v/>
      </c>
      <c r="AC601">
        <f>IF(Y601=1,Q601-F601,"")</f>
        <v/>
      </c>
      <c r="AD601">
        <f>IF(Y601=1,AC601^2,"")</f>
        <v/>
      </c>
      <c r="AE601" s="19">
        <f>IF(Z601=1,(H601-M601)*I601,0)</f>
        <v/>
      </c>
      <c r="AF601">
        <f>IF(G601&lt;EDATE(Assumptions!$C$6,-12)+1,"prior_12m","last_12m")</f>
        <v/>
      </c>
      <c r="AG601" s="21">
        <f>DATE(YEAR(G601),MONTH(G601),1)</f>
        <v/>
      </c>
    </row>
    <row r="602">
      <c r="A602" t="inlineStr">
        <is>
          <t>SPO-00334-1</t>
        </is>
      </c>
      <c r="B602" t="inlineStr">
        <is>
          <t>SPO-00334</t>
        </is>
      </c>
      <c r="C602" t="inlineStr">
        <is>
          <t>SUP-12</t>
        </is>
      </c>
      <c r="D602" t="inlineStr">
        <is>
          <t>IT</t>
        </is>
      </c>
      <c r="E602" t="inlineStr">
        <is>
          <t>IT-05</t>
        </is>
      </c>
      <c r="F602" s="17" t="n">
        <v>45655</v>
      </c>
      <c r="G602" s="17" t="n">
        <v>45665</v>
      </c>
      <c r="H602" s="18" t="n">
        <v>2</v>
      </c>
      <c r="I602" s="19" t="n">
        <v>728.72</v>
      </c>
      <c r="J602" s="19" t="n">
        <v>640</v>
      </c>
      <c r="K602" s="20" t="n">
        <v>0</v>
      </c>
      <c r="L602" s="20" t="n">
        <v>0</v>
      </c>
      <c r="M602" s="18" t="n">
        <v>2</v>
      </c>
      <c r="N602" s="18" t="n">
        <v>2</v>
      </c>
      <c r="O602" s="18" t="n">
        <v>0</v>
      </c>
      <c r="P602" s="17" t="n">
        <v>45661</v>
      </c>
      <c r="Q602" s="17" t="n">
        <v>45661</v>
      </c>
      <c r="R602" s="17" t="n">
        <v>45661</v>
      </c>
      <c r="S602" s="19">
        <f>H602*I602</f>
        <v/>
      </c>
      <c r="T602" s="19">
        <f>H602*J602</f>
        <v/>
      </c>
      <c r="U602">
        <f>IF(AND(K602=0,G602&lt;=Assumptions!$C$6),1,0)</f>
        <v/>
      </c>
      <c r="V602">
        <f>IF(U602=1,IF(M602&gt;0,IF(P602&lt;=G602+Assumptions!$C$7,1,0),0),0)</f>
        <v/>
      </c>
      <c r="W602">
        <f>IF(AND(U602=1,M602&gt;=H602*(1-Assumptions!$C$8)),1,0)</f>
        <v/>
      </c>
      <c r="X602">
        <f>IF(AND(U602=1,N602&gt;=H602*(1-Assumptions!$C$8)),1,0)</f>
        <v/>
      </c>
      <c r="Y602">
        <f>IF(ISNUMBER(Q602),1,0)</f>
        <v/>
      </c>
      <c r="Z602">
        <f>IF(AND(K602=0,L602=0,Y602=0),1,0)</f>
        <v/>
      </c>
      <c r="AA602">
        <f>IF(AND(Z602=1,G602&lt;Assumptions!$C$6),1,0)</f>
        <v/>
      </c>
      <c r="AB602">
        <f>IF(U602=0,"",IF(Y602=1,MAX(0,Q602-G602),IF(L602=1,MAX(0,R602-G602),MAX(0,Assumptions!$C$6-G602))))</f>
        <v/>
      </c>
      <c r="AC602">
        <f>IF(Y602=1,Q602-F602,"")</f>
        <v/>
      </c>
      <c r="AD602">
        <f>IF(Y602=1,AC602^2,"")</f>
        <v/>
      </c>
      <c r="AE602" s="19">
        <f>IF(Z602=1,(H602-M602)*I602,0)</f>
        <v/>
      </c>
      <c r="AF602">
        <f>IF(G602&lt;EDATE(Assumptions!$C$6,-12)+1,"prior_12m","last_12m")</f>
        <v/>
      </c>
      <c r="AG602" s="21">
        <f>DATE(YEAR(G602),MONTH(G602),1)</f>
        <v/>
      </c>
    </row>
    <row r="603">
      <c r="A603" t="inlineStr">
        <is>
          <t>SPO-00334-2</t>
        </is>
      </c>
      <c r="B603" t="inlineStr">
        <is>
          <t>SPO-00334</t>
        </is>
      </c>
      <c r="C603" t="inlineStr">
        <is>
          <t>SUP-12</t>
        </is>
      </c>
      <c r="D603" t="inlineStr">
        <is>
          <t>IT</t>
        </is>
      </c>
      <c r="E603" t="inlineStr">
        <is>
          <t>IT-04</t>
        </is>
      </c>
      <c r="F603" s="17" t="n">
        <v>45655</v>
      </c>
      <c r="G603" s="17" t="n">
        <v>45665</v>
      </c>
      <c r="H603" s="18" t="n">
        <v>176</v>
      </c>
      <c r="I603" s="19" t="n">
        <v>13.39</v>
      </c>
      <c r="J603" s="19" t="n">
        <v>12</v>
      </c>
      <c r="K603" s="20" t="n">
        <v>0</v>
      </c>
      <c r="L603" s="20" t="n">
        <v>0</v>
      </c>
      <c r="M603" s="18" t="n">
        <v>176</v>
      </c>
      <c r="N603" s="18" t="n">
        <v>176</v>
      </c>
      <c r="O603" s="18" t="n">
        <v>0</v>
      </c>
      <c r="P603" s="17" t="n">
        <v>45662</v>
      </c>
      <c r="Q603" s="17" t="n">
        <v>45662</v>
      </c>
      <c r="R603" s="17" t="n">
        <v>45662</v>
      </c>
      <c r="S603" s="19">
        <f>H603*I603</f>
        <v/>
      </c>
      <c r="T603" s="19">
        <f>H603*J603</f>
        <v/>
      </c>
      <c r="U603">
        <f>IF(AND(K603=0,G603&lt;=Assumptions!$C$6),1,0)</f>
        <v/>
      </c>
      <c r="V603">
        <f>IF(U603=1,IF(M603&gt;0,IF(P603&lt;=G603+Assumptions!$C$7,1,0),0),0)</f>
        <v/>
      </c>
      <c r="W603">
        <f>IF(AND(U603=1,M603&gt;=H603*(1-Assumptions!$C$8)),1,0)</f>
        <v/>
      </c>
      <c r="X603">
        <f>IF(AND(U603=1,N603&gt;=H603*(1-Assumptions!$C$8)),1,0)</f>
        <v/>
      </c>
      <c r="Y603">
        <f>IF(ISNUMBER(Q603),1,0)</f>
        <v/>
      </c>
      <c r="Z603">
        <f>IF(AND(K603=0,L603=0,Y603=0),1,0)</f>
        <v/>
      </c>
      <c r="AA603">
        <f>IF(AND(Z603=1,G603&lt;Assumptions!$C$6),1,0)</f>
        <v/>
      </c>
      <c r="AB603">
        <f>IF(U603=0,"",IF(Y603=1,MAX(0,Q603-G603),IF(L603=1,MAX(0,R603-G603),MAX(0,Assumptions!$C$6-G603))))</f>
        <v/>
      </c>
      <c r="AC603">
        <f>IF(Y603=1,Q603-F603,"")</f>
        <v/>
      </c>
      <c r="AD603">
        <f>IF(Y603=1,AC603^2,"")</f>
        <v/>
      </c>
      <c r="AE603" s="19">
        <f>IF(Z603=1,(H603-M603)*I603,0)</f>
        <v/>
      </c>
      <c r="AF603">
        <f>IF(G603&lt;EDATE(Assumptions!$C$6,-12)+1,"prior_12m","last_12m")</f>
        <v/>
      </c>
      <c r="AG603" s="21">
        <f>DATE(YEAR(G603),MONTH(G603),1)</f>
        <v/>
      </c>
    </row>
    <row r="604">
      <c r="A604" t="inlineStr">
        <is>
          <t>SPO-00334-3</t>
        </is>
      </c>
      <c r="B604" t="inlineStr">
        <is>
          <t>SPO-00334</t>
        </is>
      </c>
      <c r="C604" t="inlineStr">
        <is>
          <t>SUP-12</t>
        </is>
      </c>
      <c r="D604" t="inlineStr">
        <is>
          <t>IT</t>
        </is>
      </c>
      <c r="E604" t="inlineStr">
        <is>
          <t>IT-01</t>
        </is>
      </c>
      <c r="F604" s="17" t="n">
        <v>45655</v>
      </c>
      <c r="G604" s="17" t="n">
        <v>45665</v>
      </c>
      <c r="H604" s="18" t="n">
        <v>5</v>
      </c>
      <c r="I604" s="19" t="n">
        <v>205.78</v>
      </c>
      <c r="J604" s="19" t="n">
        <v>189</v>
      </c>
      <c r="K604" s="20" t="n">
        <v>0</v>
      </c>
      <c r="L604" s="20" t="n">
        <v>0</v>
      </c>
      <c r="M604" s="18" t="n">
        <v>5</v>
      </c>
      <c r="N604" s="18" t="n">
        <v>5</v>
      </c>
      <c r="O604" s="18" t="n">
        <v>0</v>
      </c>
      <c r="P604" s="17" t="n">
        <v>45662</v>
      </c>
      <c r="Q604" s="17" t="n">
        <v>45662</v>
      </c>
      <c r="R604" s="17" t="n">
        <v>45662</v>
      </c>
      <c r="S604" s="19">
        <f>H604*I604</f>
        <v/>
      </c>
      <c r="T604" s="19">
        <f>H604*J604</f>
        <v/>
      </c>
      <c r="U604">
        <f>IF(AND(K604=0,G604&lt;=Assumptions!$C$6),1,0)</f>
        <v/>
      </c>
      <c r="V604">
        <f>IF(U604=1,IF(M604&gt;0,IF(P604&lt;=G604+Assumptions!$C$7,1,0),0),0)</f>
        <v/>
      </c>
      <c r="W604">
        <f>IF(AND(U604=1,M604&gt;=H604*(1-Assumptions!$C$8)),1,0)</f>
        <v/>
      </c>
      <c r="X604">
        <f>IF(AND(U604=1,N604&gt;=H604*(1-Assumptions!$C$8)),1,0)</f>
        <v/>
      </c>
      <c r="Y604">
        <f>IF(ISNUMBER(Q604),1,0)</f>
        <v/>
      </c>
      <c r="Z604">
        <f>IF(AND(K604=0,L604=0,Y604=0),1,0)</f>
        <v/>
      </c>
      <c r="AA604">
        <f>IF(AND(Z604=1,G604&lt;Assumptions!$C$6),1,0)</f>
        <v/>
      </c>
      <c r="AB604">
        <f>IF(U604=0,"",IF(Y604=1,MAX(0,Q604-G604),IF(L604=1,MAX(0,R604-G604),MAX(0,Assumptions!$C$6-G604))))</f>
        <v/>
      </c>
      <c r="AC604">
        <f>IF(Y604=1,Q604-F604,"")</f>
        <v/>
      </c>
      <c r="AD604">
        <f>IF(Y604=1,AC604^2,"")</f>
        <v/>
      </c>
      <c r="AE604" s="19">
        <f>IF(Z604=1,(H604-M604)*I604,0)</f>
        <v/>
      </c>
      <c r="AF604">
        <f>IF(G604&lt;EDATE(Assumptions!$C$6,-12)+1,"prior_12m","last_12m")</f>
        <v/>
      </c>
      <c r="AG604" s="21">
        <f>DATE(YEAR(G604),MONTH(G604),1)</f>
        <v/>
      </c>
    </row>
    <row r="605">
      <c r="A605" t="inlineStr">
        <is>
          <t>SPO-00335-1</t>
        </is>
      </c>
      <c r="B605" t="inlineStr">
        <is>
          <t>SPO-00335</t>
        </is>
      </c>
      <c r="C605" t="inlineStr">
        <is>
          <t>SUP-05</t>
        </is>
      </c>
      <c r="D605" t="inlineStr">
        <is>
          <t>FLEET</t>
        </is>
      </c>
      <c r="E605" t="inlineStr">
        <is>
          <t>FLEET-04</t>
        </is>
      </c>
      <c r="F605" s="17" t="n">
        <v>45655</v>
      </c>
      <c r="G605" s="17" t="n">
        <v>45669</v>
      </c>
      <c r="H605" s="18" t="n">
        <v>115</v>
      </c>
      <c r="I605" s="19" t="n">
        <v>9.23</v>
      </c>
      <c r="J605" s="19" t="n">
        <v>9</v>
      </c>
      <c r="K605" s="20" t="n">
        <v>0</v>
      </c>
      <c r="L605" s="20" t="n">
        <v>0</v>
      </c>
      <c r="M605" s="18" t="n">
        <v>115</v>
      </c>
      <c r="N605" s="18" t="n">
        <v>115</v>
      </c>
      <c r="O605" s="18" t="n">
        <v>0</v>
      </c>
      <c r="P605" s="17" t="n">
        <v>45663</v>
      </c>
      <c r="Q605" s="17" t="n">
        <v>45663</v>
      </c>
      <c r="R605" s="17" t="n">
        <v>45663</v>
      </c>
      <c r="S605" s="19">
        <f>H605*I605</f>
        <v/>
      </c>
      <c r="T605" s="19">
        <f>H605*J605</f>
        <v/>
      </c>
      <c r="U605">
        <f>IF(AND(K605=0,G605&lt;=Assumptions!$C$6),1,0)</f>
        <v/>
      </c>
      <c r="V605">
        <f>IF(U605=1,IF(M605&gt;0,IF(P605&lt;=G605+Assumptions!$C$7,1,0),0),0)</f>
        <v/>
      </c>
      <c r="W605">
        <f>IF(AND(U605=1,M605&gt;=H605*(1-Assumptions!$C$8)),1,0)</f>
        <v/>
      </c>
      <c r="X605">
        <f>IF(AND(U605=1,N605&gt;=H605*(1-Assumptions!$C$8)),1,0)</f>
        <v/>
      </c>
      <c r="Y605">
        <f>IF(ISNUMBER(Q605),1,0)</f>
        <v/>
      </c>
      <c r="Z605">
        <f>IF(AND(K605=0,L605=0,Y605=0),1,0)</f>
        <v/>
      </c>
      <c r="AA605">
        <f>IF(AND(Z605=1,G605&lt;Assumptions!$C$6),1,0)</f>
        <v/>
      </c>
      <c r="AB605">
        <f>IF(U605=0,"",IF(Y605=1,MAX(0,Q605-G605),IF(L605=1,MAX(0,R605-G605),MAX(0,Assumptions!$C$6-G605))))</f>
        <v/>
      </c>
      <c r="AC605">
        <f>IF(Y605=1,Q605-F605,"")</f>
        <v/>
      </c>
      <c r="AD605">
        <f>IF(Y605=1,AC605^2,"")</f>
        <v/>
      </c>
      <c r="AE605" s="19">
        <f>IF(Z605=1,(H605-M605)*I605,0)</f>
        <v/>
      </c>
      <c r="AF605">
        <f>IF(G605&lt;EDATE(Assumptions!$C$6,-12)+1,"prior_12m","last_12m")</f>
        <v/>
      </c>
      <c r="AG605" s="21">
        <f>DATE(YEAR(G605),MONTH(G605),1)</f>
        <v/>
      </c>
    </row>
    <row r="606">
      <c r="A606" t="inlineStr">
        <is>
          <t>SPO-00336-1</t>
        </is>
      </c>
      <c r="B606" t="inlineStr">
        <is>
          <t>SPO-00336</t>
        </is>
      </c>
      <c r="C606" t="inlineStr">
        <is>
          <t>SUP-09</t>
        </is>
      </c>
      <c r="D606" t="inlineStr">
        <is>
          <t>CHEM</t>
        </is>
      </c>
      <c r="E606" t="inlineStr">
        <is>
          <t>CHEM-04</t>
        </is>
      </c>
      <c r="F606" s="17" t="n">
        <v>45655</v>
      </c>
      <c r="G606" s="17" t="n">
        <v>45669</v>
      </c>
      <c r="H606" s="18" t="n">
        <v>2</v>
      </c>
      <c r="I606" s="19" t="n">
        <v>850.51</v>
      </c>
      <c r="J606" s="19" t="n">
        <v>820</v>
      </c>
      <c r="K606" s="20" t="n">
        <v>0</v>
      </c>
      <c r="L606" s="20" t="n">
        <v>0</v>
      </c>
      <c r="M606" s="18" t="n">
        <v>2</v>
      </c>
      <c r="N606" s="18" t="n">
        <v>2</v>
      </c>
      <c r="O606" s="18" t="n">
        <v>0</v>
      </c>
      <c r="P606" s="17" t="n">
        <v>45666</v>
      </c>
      <c r="Q606" s="17" t="n">
        <v>45666</v>
      </c>
      <c r="R606" s="17" t="n">
        <v>45666</v>
      </c>
      <c r="S606" s="19">
        <f>H606*I606</f>
        <v/>
      </c>
      <c r="T606" s="19">
        <f>H606*J606</f>
        <v/>
      </c>
      <c r="U606">
        <f>IF(AND(K606=0,G606&lt;=Assumptions!$C$6),1,0)</f>
        <v/>
      </c>
      <c r="V606">
        <f>IF(U606=1,IF(M606&gt;0,IF(P606&lt;=G606+Assumptions!$C$7,1,0),0),0)</f>
        <v/>
      </c>
      <c r="W606">
        <f>IF(AND(U606=1,M606&gt;=H606*(1-Assumptions!$C$8)),1,0)</f>
        <v/>
      </c>
      <c r="X606">
        <f>IF(AND(U606=1,N606&gt;=H606*(1-Assumptions!$C$8)),1,0)</f>
        <v/>
      </c>
      <c r="Y606">
        <f>IF(ISNUMBER(Q606),1,0)</f>
        <v/>
      </c>
      <c r="Z606">
        <f>IF(AND(K606=0,L606=0,Y606=0),1,0)</f>
        <v/>
      </c>
      <c r="AA606">
        <f>IF(AND(Z606=1,G606&lt;Assumptions!$C$6),1,0)</f>
        <v/>
      </c>
      <c r="AB606">
        <f>IF(U606=0,"",IF(Y606=1,MAX(0,Q606-G606),IF(L606=1,MAX(0,R606-G606),MAX(0,Assumptions!$C$6-G606))))</f>
        <v/>
      </c>
      <c r="AC606">
        <f>IF(Y606=1,Q606-F606,"")</f>
        <v/>
      </c>
      <c r="AD606">
        <f>IF(Y606=1,AC606^2,"")</f>
        <v/>
      </c>
      <c r="AE606" s="19">
        <f>IF(Z606=1,(H606-M606)*I606,0)</f>
        <v/>
      </c>
      <c r="AF606">
        <f>IF(G606&lt;EDATE(Assumptions!$C$6,-12)+1,"prior_12m","last_12m")</f>
        <v/>
      </c>
      <c r="AG606" s="21">
        <f>DATE(YEAR(G606),MONTH(G606),1)</f>
        <v/>
      </c>
    </row>
    <row r="607">
      <c r="A607" t="inlineStr">
        <is>
          <t>SPO-00336-2</t>
        </is>
      </c>
      <c r="B607" t="inlineStr">
        <is>
          <t>SPO-00336</t>
        </is>
      </c>
      <c r="C607" t="inlineStr">
        <is>
          <t>SUP-09</t>
        </is>
      </c>
      <c r="D607" t="inlineStr">
        <is>
          <t>CHEM</t>
        </is>
      </c>
      <c r="E607" t="inlineStr">
        <is>
          <t>CHEM-01</t>
        </is>
      </c>
      <c r="F607" s="17" t="n">
        <v>45655</v>
      </c>
      <c r="G607" s="17" t="n">
        <v>45669</v>
      </c>
      <c r="H607" s="18" t="n">
        <v>4</v>
      </c>
      <c r="I607" s="19" t="n">
        <v>682.1799999999999</v>
      </c>
      <c r="J607" s="19" t="n">
        <v>640</v>
      </c>
      <c r="K607" s="20" t="n">
        <v>0</v>
      </c>
      <c r="L607" s="20" t="n">
        <v>0</v>
      </c>
      <c r="M607" s="18" t="n">
        <v>4</v>
      </c>
      <c r="N607" s="18" t="n">
        <v>4</v>
      </c>
      <c r="O607" s="18" t="n">
        <v>0</v>
      </c>
      <c r="P607" s="17" t="n">
        <v>45668</v>
      </c>
      <c r="Q607" s="17" t="n">
        <v>45668</v>
      </c>
      <c r="R607" s="17" t="n">
        <v>45668</v>
      </c>
      <c r="S607" s="19">
        <f>H607*I607</f>
        <v/>
      </c>
      <c r="T607" s="19">
        <f>H607*J607</f>
        <v/>
      </c>
      <c r="U607">
        <f>IF(AND(K607=0,G607&lt;=Assumptions!$C$6),1,0)</f>
        <v/>
      </c>
      <c r="V607">
        <f>IF(U607=1,IF(M607&gt;0,IF(P607&lt;=G607+Assumptions!$C$7,1,0),0),0)</f>
        <v/>
      </c>
      <c r="W607">
        <f>IF(AND(U607=1,M607&gt;=H607*(1-Assumptions!$C$8)),1,0)</f>
        <v/>
      </c>
      <c r="X607">
        <f>IF(AND(U607=1,N607&gt;=H607*(1-Assumptions!$C$8)),1,0)</f>
        <v/>
      </c>
      <c r="Y607">
        <f>IF(ISNUMBER(Q607),1,0)</f>
        <v/>
      </c>
      <c r="Z607">
        <f>IF(AND(K607=0,L607=0,Y607=0),1,0)</f>
        <v/>
      </c>
      <c r="AA607">
        <f>IF(AND(Z607=1,G607&lt;Assumptions!$C$6),1,0)</f>
        <v/>
      </c>
      <c r="AB607">
        <f>IF(U607=0,"",IF(Y607=1,MAX(0,Q607-G607),IF(L607=1,MAX(0,R607-G607),MAX(0,Assumptions!$C$6-G607))))</f>
        <v/>
      </c>
      <c r="AC607">
        <f>IF(Y607=1,Q607-F607,"")</f>
        <v/>
      </c>
      <c r="AD607">
        <f>IF(Y607=1,AC607^2,"")</f>
        <v/>
      </c>
      <c r="AE607" s="19">
        <f>IF(Z607=1,(H607-M607)*I607,0)</f>
        <v/>
      </c>
      <c r="AF607">
        <f>IF(G607&lt;EDATE(Assumptions!$C$6,-12)+1,"prior_12m","last_12m")</f>
        <v/>
      </c>
      <c r="AG607" s="21">
        <f>DATE(YEAR(G607),MONTH(G607),1)</f>
        <v/>
      </c>
    </row>
    <row r="608">
      <c r="A608" t="inlineStr">
        <is>
          <t>SPO-00336-3</t>
        </is>
      </c>
      <c r="B608" t="inlineStr">
        <is>
          <t>SPO-00336</t>
        </is>
      </c>
      <c r="C608" t="inlineStr">
        <is>
          <t>SUP-09</t>
        </is>
      </c>
      <c r="D608" t="inlineStr">
        <is>
          <t>CHEM</t>
        </is>
      </c>
      <c r="E608" t="inlineStr">
        <is>
          <t>CHEM-03</t>
        </is>
      </c>
      <c r="F608" s="17" t="n">
        <v>45655</v>
      </c>
      <c r="G608" s="17" t="n">
        <v>45669</v>
      </c>
      <c r="H608" s="18" t="n">
        <v>9</v>
      </c>
      <c r="I608" s="19" t="n">
        <v>271.58</v>
      </c>
      <c r="J608" s="19" t="n">
        <v>265</v>
      </c>
      <c r="K608" s="20" t="n">
        <v>0</v>
      </c>
      <c r="L608" s="20" t="n">
        <v>0</v>
      </c>
      <c r="M608" s="18" t="n">
        <v>9</v>
      </c>
      <c r="N608" s="18" t="n">
        <v>9</v>
      </c>
      <c r="O608" s="18" t="n">
        <v>0</v>
      </c>
      <c r="P608" s="17" t="n">
        <v>45668</v>
      </c>
      <c r="Q608" s="17" t="n">
        <v>45668</v>
      </c>
      <c r="R608" s="17" t="n">
        <v>45668</v>
      </c>
      <c r="S608" s="19">
        <f>H608*I608</f>
        <v/>
      </c>
      <c r="T608" s="19">
        <f>H608*J608</f>
        <v/>
      </c>
      <c r="U608">
        <f>IF(AND(K608=0,G608&lt;=Assumptions!$C$6),1,0)</f>
        <v/>
      </c>
      <c r="V608">
        <f>IF(U608=1,IF(M608&gt;0,IF(P608&lt;=G608+Assumptions!$C$7,1,0),0),0)</f>
        <v/>
      </c>
      <c r="W608">
        <f>IF(AND(U608=1,M608&gt;=H608*(1-Assumptions!$C$8)),1,0)</f>
        <v/>
      </c>
      <c r="X608">
        <f>IF(AND(U608=1,N608&gt;=H608*(1-Assumptions!$C$8)),1,0)</f>
        <v/>
      </c>
      <c r="Y608">
        <f>IF(ISNUMBER(Q608),1,0)</f>
        <v/>
      </c>
      <c r="Z608">
        <f>IF(AND(K608=0,L608=0,Y608=0),1,0)</f>
        <v/>
      </c>
      <c r="AA608">
        <f>IF(AND(Z608=1,G608&lt;Assumptions!$C$6),1,0)</f>
        <v/>
      </c>
      <c r="AB608">
        <f>IF(U608=0,"",IF(Y608=1,MAX(0,Q608-G608),IF(L608=1,MAX(0,R608-G608),MAX(0,Assumptions!$C$6-G608))))</f>
        <v/>
      </c>
      <c r="AC608">
        <f>IF(Y608=1,Q608-F608,"")</f>
        <v/>
      </c>
      <c r="AD608">
        <f>IF(Y608=1,AC608^2,"")</f>
        <v/>
      </c>
      <c r="AE608" s="19">
        <f>IF(Z608=1,(H608-M608)*I608,0)</f>
        <v/>
      </c>
      <c r="AF608">
        <f>IF(G608&lt;EDATE(Assumptions!$C$6,-12)+1,"prior_12m","last_12m")</f>
        <v/>
      </c>
      <c r="AG608" s="21">
        <f>DATE(YEAR(G608),MONTH(G608),1)</f>
        <v/>
      </c>
    </row>
    <row r="609">
      <c r="A609" t="inlineStr">
        <is>
          <t>SPO-00337-1</t>
        </is>
      </c>
      <c r="B609" t="inlineStr">
        <is>
          <t>SPO-00337</t>
        </is>
      </c>
      <c r="C609" t="inlineStr">
        <is>
          <t>SUP-06</t>
        </is>
      </c>
      <c r="D609" t="inlineStr">
        <is>
          <t>MRO</t>
        </is>
      </c>
      <c r="E609" t="inlineStr">
        <is>
          <t>MRO-02</t>
        </is>
      </c>
      <c r="F609" s="17" t="n">
        <v>45655</v>
      </c>
      <c r="G609" s="17" t="n">
        <v>45663</v>
      </c>
      <c r="H609" s="18" t="n">
        <v>72</v>
      </c>
      <c r="I609" s="19" t="n">
        <v>41.42</v>
      </c>
      <c r="J609" s="19" t="n">
        <v>41</v>
      </c>
      <c r="K609" s="20" t="n">
        <v>0</v>
      </c>
      <c r="L609" s="20" t="n">
        <v>0</v>
      </c>
      <c r="M609" s="18" t="n">
        <v>72</v>
      </c>
      <c r="N609" s="18" t="n">
        <v>72</v>
      </c>
      <c r="O609" s="18" t="n">
        <v>0</v>
      </c>
      <c r="P609" s="17" t="n">
        <v>45662</v>
      </c>
      <c r="Q609" s="17" t="n">
        <v>45662</v>
      </c>
      <c r="R609" s="17" t="n">
        <v>45662</v>
      </c>
      <c r="S609" s="19">
        <f>H609*I609</f>
        <v/>
      </c>
      <c r="T609" s="19">
        <f>H609*J609</f>
        <v/>
      </c>
      <c r="U609">
        <f>IF(AND(K609=0,G609&lt;=Assumptions!$C$6),1,0)</f>
        <v/>
      </c>
      <c r="V609">
        <f>IF(U609=1,IF(M609&gt;0,IF(P609&lt;=G609+Assumptions!$C$7,1,0),0),0)</f>
        <v/>
      </c>
      <c r="W609">
        <f>IF(AND(U609=1,M609&gt;=H609*(1-Assumptions!$C$8)),1,0)</f>
        <v/>
      </c>
      <c r="X609">
        <f>IF(AND(U609=1,N609&gt;=H609*(1-Assumptions!$C$8)),1,0)</f>
        <v/>
      </c>
      <c r="Y609">
        <f>IF(ISNUMBER(Q609),1,0)</f>
        <v/>
      </c>
      <c r="Z609">
        <f>IF(AND(K609=0,L609=0,Y609=0),1,0)</f>
        <v/>
      </c>
      <c r="AA609">
        <f>IF(AND(Z609=1,G609&lt;Assumptions!$C$6),1,0)</f>
        <v/>
      </c>
      <c r="AB609">
        <f>IF(U609=0,"",IF(Y609=1,MAX(0,Q609-G609),IF(L609=1,MAX(0,R609-G609),MAX(0,Assumptions!$C$6-G609))))</f>
        <v/>
      </c>
      <c r="AC609">
        <f>IF(Y609=1,Q609-F609,"")</f>
        <v/>
      </c>
      <c r="AD609">
        <f>IF(Y609=1,AC609^2,"")</f>
        <v/>
      </c>
      <c r="AE609" s="19">
        <f>IF(Z609=1,(H609-M609)*I609,0)</f>
        <v/>
      </c>
      <c r="AF609">
        <f>IF(G609&lt;EDATE(Assumptions!$C$6,-12)+1,"prior_12m","last_12m")</f>
        <v/>
      </c>
      <c r="AG609" s="21">
        <f>DATE(YEAR(G609),MONTH(G609),1)</f>
        <v/>
      </c>
    </row>
    <row r="610">
      <c r="A610" t="inlineStr">
        <is>
          <t>SPO-00338-1</t>
        </is>
      </c>
      <c r="B610" t="inlineStr">
        <is>
          <t>SPO-00338</t>
        </is>
      </c>
      <c r="C610" t="inlineStr">
        <is>
          <t>SUP-07</t>
        </is>
      </c>
      <c r="D610" t="inlineStr">
        <is>
          <t>MRO</t>
        </is>
      </c>
      <c r="E610" t="inlineStr">
        <is>
          <t>MRO-06</t>
        </is>
      </c>
      <c r="F610" s="17" t="n">
        <v>45655</v>
      </c>
      <c r="G610" s="17" t="n">
        <v>45665</v>
      </c>
      <c r="H610" s="18" t="n">
        <v>435</v>
      </c>
      <c r="I610" s="19" t="n">
        <v>6.19</v>
      </c>
      <c r="J610" s="19" t="n">
        <v>6.1</v>
      </c>
      <c r="K610" s="20" t="n">
        <v>0</v>
      </c>
      <c r="L610" s="20" t="n">
        <v>0</v>
      </c>
      <c r="M610" s="18" t="n">
        <v>435</v>
      </c>
      <c r="N610" s="18" t="n">
        <v>435</v>
      </c>
      <c r="O610" s="18" t="n">
        <v>0</v>
      </c>
      <c r="P610" s="17" t="n">
        <v>45664</v>
      </c>
      <c r="Q610" s="17" t="n">
        <v>45664</v>
      </c>
      <c r="R610" s="17" t="n">
        <v>45664</v>
      </c>
      <c r="S610" s="19">
        <f>H610*I610</f>
        <v/>
      </c>
      <c r="T610" s="19">
        <f>H610*J610</f>
        <v/>
      </c>
      <c r="U610">
        <f>IF(AND(K610=0,G610&lt;=Assumptions!$C$6),1,0)</f>
        <v/>
      </c>
      <c r="V610">
        <f>IF(U610=1,IF(M610&gt;0,IF(P610&lt;=G610+Assumptions!$C$7,1,0),0),0)</f>
        <v/>
      </c>
      <c r="W610">
        <f>IF(AND(U610=1,M610&gt;=H610*(1-Assumptions!$C$8)),1,0)</f>
        <v/>
      </c>
      <c r="X610">
        <f>IF(AND(U610=1,N610&gt;=H610*(1-Assumptions!$C$8)),1,0)</f>
        <v/>
      </c>
      <c r="Y610">
        <f>IF(ISNUMBER(Q610),1,0)</f>
        <v/>
      </c>
      <c r="Z610">
        <f>IF(AND(K610=0,L610=0,Y610=0),1,0)</f>
        <v/>
      </c>
      <c r="AA610">
        <f>IF(AND(Z610=1,G610&lt;Assumptions!$C$6),1,0)</f>
        <v/>
      </c>
      <c r="AB610">
        <f>IF(U610=0,"",IF(Y610=1,MAX(0,Q610-G610),IF(L610=1,MAX(0,R610-G610),MAX(0,Assumptions!$C$6-G610))))</f>
        <v/>
      </c>
      <c r="AC610">
        <f>IF(Y610=1,Q610-F610,"")</f>
        <v/>
      </c>
      <c r="AD610">
        <f>IF(Y610=1,AC610^2,"")</f>
        <v/>
      </c>
      <c r="AE610" s="19">
        <f>IF(Z610=1,(H610-M610)*I610,0)</f>
        <v/>
      </c>
      <c r="AF610">
        <f>IF(G610&lt;EDATE(Assumptions!$C$6,-12)+1,"prior_12m","last_12m")</f>
        <v/>
      </c>
      <c r="AG610" s="21">
        <f>DATE(YEAR(G610),MONTH(G610),1)</f>
        <v/>
      </c>
    </row>
    <row r="611">
      <c r="A611" t="inlineStr">
        <is>
          <t>SPO-00338-2</t>
        </is>
      </c>
      <c r="B611" t="inlineStr">
        <is>
          <t>SPO-00338</t>
        </is>
      </c>
      <c r="C611" t="inlineStr">
        <is>
          <t>SUP-07</t>
        </is>
      </c>
      <c r="D611" t="inlineStr">
        <is>
          <t>MRO</t>
        </is>
      </c>
      <c r="E611" t="inlineStr">
        <is>
          <t>MRO-04</t>
        </is>
      </c>
      <c r="F611" s="17" t="n">
        <v>45655</v>
      </c>
      <c r="G611" s="17" t="n">
        <v>45665</v>
      </c>
      <c r="H611" s="18" t="n">
        <v>14</v>
      </c>
      <c r="I611" s="19" t="n">
        <v>54.91</v>
      </c>
      <c r="J611" s="19" t="n">
        <v>58</v>
      </c>
      <c r="K611" s="20" t="n">
        <v>0</v>
      </c>
      <c r="L611" s="20" t="n">
        <v>0</v>
      </c>
      <c r="M611" s="18" t="n">
        <v>14</v>
      </c>
      <c r="N611" s="18" t="n">
        <v>0</v>
      </c>
      <c r="O611" s="18" t="n">
        <v>0</v>
      </c>
      <c r="P611" s="17" t="n">
        <v>45666</v>
      </c>
      <c r="Q611" s="17" t="n">
        <v>45666</v>
      </c>
      <c r="R611" s="17" t="n">
        <v>45666</v>
      </c>
      <c r="S611" s="19">
        <f>H611*I611</f>
        <v/>
      </c>
      <c r="T611" s="19">
        <f>H611*J611</f>
        <v/>
      </c>
      <c r="U611">
        <f>IF(AND(K611=0,G611&lt;=Assumptions!$C$6),1,0)</f>
        <v/>
      </c>
      <c r="V611">
        <f>IF(U611=1,IF(M611&gt;0,IF(P611&lt;=G611+Assumptions!$C$7,1,0),0),0)</f>
        <v/>
      </c>
      <c r="W611">
        <f>IF(AND(U611=1,M611&gt;=H611*(1-Assumptions!$C$8)),1,0)</f>
        <v/>
      </c>
      <c r="X611">
        <f>IF(AND(U611=1,N611&gt;=H611*(1-Assumptions!$C$8)),1,0)</f>
        <v/>
      </c>
      <c r="Y611">
        <f>IF(ISNUMBER(Q611),1,0)</f>
        <v/>
      </c>
      <c r="Z611">
        <f>IF(AND(K611=0,L611=0,Y611=0),1,0)</f>
        <v/>
      </c>
      <c r="AA611">
        <f>IF(AND(Z611=1,G611&lt;Assumptions!$C$6),1,0)</f>
        <v/>
      </c>
      <c r="AB611">
        <f>IF(U611=0,"",IF(Y611=1,MAX(0,Q611-G611),IF(L611=1,MAX(0,R611-G611),MAX(0,Assumptions!$C$6-G611))))</f>
        <v/>
      </c>
      <c r="AC611">
        <f>IF(Y611=1,Q611-F611,"")</f>
        <v/>
      </c>
      <c r="AD611">
        <f>IF(Y611=1,AC611^2,"")</f>
        <v/>
      </c>
      <c r="AE611" s="19">
        <f>IF(Z611=1,(H611-M611)*I611,0)</f>
        <v/>
      </c>
      <c r="AF611">
        <f>IF(G611&lt;EDATE(Assumptions!$C$6,-12)+1,"prior_12m","last_12m")</f>
        <v/>
      </c>
      <c r="AG611" s="21">
        <f>DATE(YEAR(G611),MONTH(G611),1)</f>
        <v/>
      </c>
    </row>
    <row r="612">
      <c r="A612" t="inlineStr">
        <is>
          <t>SPO-00339-1</t>
        </is>
      </c>
      <c r="B612" t="inlineStr">
        <is>
          <t>SPO-00339</t>
        </is>
      </c>
      <c r="C612" t="inlineStr">
        <is>
          <t>SUP-06</t>
        </is>
      </c>
      <c r="D612" t="inlineStr">
        <is>
          <t>MRO</t>
        </is>
      </c>
      <c r="E612" t="inlineStr">
        <is>
          <t>MRO-08</t>
        </is>
      </c>
      <c r="F612" s="17" t="n">
        <v>45656</v>
      </c>
      <c r="G612" s="17" t="n">
        <v>45664</v>
      </c>
      <c r="H612" s="18" t="n">
        <v>102</v>
      </c>
      <c r="I612" s="19" t="n">
        <v>7.41</v>
      </c>
      <c r="J612" s="19" t="n">
        <v>7.2</v>
      </c>
      <c r="K612" s="20" t="n">
        <v>0</v>
      </c>
      <c r="L612" s="20" t="n">
        <v>0</v>
      </c>
      <c r="M612" s="18" t="n">
        <v>102</v>
      </c>
      <c r="N612" s="18" t="n">
        <v>102</v>
      </c>
      <c r="O612" s="18" t="n">
        <v>0</v>
      </c>
      <c r="P612" s="17" t="n">
        <v>45663</v>
      </c>
      <c r="Q612" s="17" t="n">
        <v>45663</v>
      </c>
      <c r="R612" s="17" t="n">
        <v>45663</v>
      </c>
      <c r="S612" s="19">
        <f>H612*I612</f>
        <v/>
      </c>
      <c r="T612" s="19">
        <f>H612*J612</f>
        <v/>
      </c>
      <c r="U612">
        <f>IF(AND(K612=0,G612&lt;=Assumptions!$C$6),1,0)</f>
        <v/>
      </c>
      <c r="V612">
        <f>IF(U612=1,IF(M612&gt;0,IF(P612&lt;=G612+Assumptions!$C$7,1,0),0),0)</f>
        <v/>
      </c>
      <c r="W612">
        <f>IF(AND(U612=1,M612&gt;=H612*(1-Assumptions!$C$8)),1,0)</f>
        <v/>
      </c>
      <c r="X612">
        <f>IF(AND(U612=1,N612&gt;=H612*(1-Assumptions!$C$8)),1,0)</f>
        <v/>
      </c>
      <c r="Y612">
        <f>IF(ISNUMBER(Q612),1,0)</f>
        <v/>
      </c>
      <c r="Z612">
        <f>IF(AND(K612=0,L612=0,Y612=0),1,0)</f>
        <v/>
      </c>
      <c r="AA612">
        <f>IF(AND(Z612=1,G612&lt;Assumptions!$C$6),1,0)</f>
        <v/>
      </c>
      <c r="AB612">
        <f>IF(U612=0,"",IF(Y612=1,MAX(0,Q612-G612),IF(L612=1,MAX(0,R612-G612),MAX(0,Assumptions!$C$6-G612))))</f>
        <v/>
      </c>
      <c r="AC612">
        <f>IF(Y612=1,Q612-F612,"")</f>
        <v/>
      </c>
      <c r="AD612">
        <f>IF(Y612=1,AC612^2,"")</f>
        <v/>
      </c>
      <c r="AE612" s="19">
        <f>IF(Z612=1,(H612-M612)*I612,0)</f>
        <v/>
      </c>
      <c r="AF612">
        <f>IF(G612&lt;EDATE(Assumptions!$C$6,-12)+1,"prior_12m","last_12m")</f>
        <v/>
      </c>
      <c r="AG612" s="21">
        <f>DATE(YEAR(G612),MONTH(G612),1)</f>
        <v/>
      </c>
    </row>
    <row r="613">
      <c r="A613" t="inlineStr">
        <is>
          <t>SPO-00339-2</t>
        </is>
      </c>
      <c r="B613" t="inlineStr">
        <is>
          <t>SPO-00339</t>
        </is>
      </c>
      <c r="C613" t="inlineStr">
        <is>
          <t>SUP-06</t>
        </is>
      </c>
      <c r="D613" t="inlineStr">
        <is>
          <t>MRO</t>
        </is>
      </c>
      <c r="E613" t="inlineStr">
        <is>
          <t>MRO-01</t>
        </is>
      </c>
      <c r="F613" s="17" t="n">
        <v>45656</v>
      </c>
      <c r="G613" s="17" t="n">
        <v>45664</v>
      </c>
      <c r="H613" s="18" t="n">
        <v>42</v>
      </c>
      <c r="I613" s="19" t="n">
        <v>50.4</v>
      </c>
      <c r="J613" s="19" t="n">
        <v>52</v>
      </c>
      <c r="K613" s="20" t="n">
        <v>0</v>
      </c>
      <c r="L613" s="20" t="n">
        <v>0</v>
      </c>
      <c r="M613" s="18" t="n">
        <v>42</v>
      </c>
      <c r="N613" s="18" t="n">
        <v>42</v>
      </c>
      <c r="O613" s="18" t="n">
        <v>0</v>
      </c>
      <c r="P613" s="17" t="n">
        <v>45662</v>
      </c>
      <c r="Q613" s="17" t="n">
        <v>45662</v>
      </c>
      <c r="R613" s="17" t="n">
        <v>45662</v>
      </c>
      <c r="S613" s="19">
        <f>H613*I613</f>
        <v/>
      </c>
      <c r="T613" s="19">
        <f>H613*J613</f>
        <v/>
      </c>
      <c r="U613">
        <f>IF(AND(K613=0,G613&lt;=Assumptions!$C$6),1,0)</f>
        <v/>
      </c>
      <c r="V613">
        <f>IF(U613=1,IF(M613&gt;0,IF(P613&lt;=G613+Assumptions!$C$7,1,0),0),0)</f>
        <v/>
      </c>
      <c r="W613">
        <f>IF(AND(U613=1,M613&gt;=H613*(1-Assumptions!$C$8)),1,0)</f>
        <v/>
      </c>
      <c r="X613">
        <f>IF(AND(U613=1,N613&gt;=H613*(1-Assumptions!$C$8)),1,0)</f>
        <v/>
      </c>
      <c r="Y613">
        <f>IF(ISNUMBER(Q613),1,0)</f>
        <v/>
      </c>
      <c r="Z613">
        <f>IF(AND(K613=0,L613=0,Y613=0),1,0)</f>
        <v/>
      </c>
      <c r="AA613">
        <f>IF(AND(Z613=1,G613&lt;Assumptions!$C$6),1,0)</f>
        <v/>
      </c>
      <c r="AB613">
        <f>IF(U613=0,"",IF(Y613=1,MAX(0,Q613-G613),IF(L613=1,MAX(0,R613-G613),MAX(0,Assumptions!$C$6-G613))))</f>
        <v/>
      </c>
      <c r="AC613">
        <f>IF(Y613=1,Q613-F613,"")</f>
        <v/>
      </c>
      <c r="AD613">
        <f>IF(Y613=1,AC613^2,"")</f>
        <v/>
      </c>
      <c r="AE613" s="19">
        <f>IF(Z613=1,(H613-M613)*I613,0)</f>
        <v/>
      </c>
      <c r="AF613">
        <f>IF(G613&lt;EDATE(Assumptions!$C$6,-12)+1,"prior_12m","last_12m")</f>
        <v/>
      </c>
      <c r="AG613" s="21">
        <f>DATE(YEAR(G613),MONTH(G613),1)</f>
        <v/>
      </c>
    </row>
    <row r="614">
      <c r="A614" t="inlineStr">
        <is>
          <t>SPO-00340-1</t>
        </is>
      </c>
      <c r="B614" t="inlineStr">
        <is>
          <t>SPO-00340</t>
        </is>
      </c>
      <c r="C614" t="inlineStr">
        <is>
          <t>SUP-11</t>
        </is>
      </c>
      <c r="D614" t="inlineStr">
        <is>
          <t>PPE</t>
        </is>
      </c>
      <c r="E614" t="inlineStr">
        <is>
          <t>PPE-02</t>
        </is>
      </c>
      <c r="F614" s="17" t="n">
        <v>45656</v>
      </c>
      <c r="G614" s="17" t="n">
        <v>45668</v>
      </c>
      <c r="H614" s="18" t="n">
        <v>42</v>
      </c>
      <c r="I614" s="19" t="n">
        <v>12.69</v>
      </c>
      <c r="J614" s="19" t="n">
        <v>12.5</v>
      </c>
      <c r="K614" s="20" t="n">
        <v>0</v>
      </c>
      <c r="L614" s="20" t="n">
        <v>0</v>
      </c>
      <c r="M614" s="18" t="n">
        <v>42</v>
      </c>
      <c r="N614" s="18" t="n">
        <v>42</v>
      </c>
      <c r="O614" s="18" t="n">
        <v>0</v>
      </c>
      <c r="P614" s="17" t="n">
        <v>45666</v>
      </c>
      <c r="Q614" s="17" t="n">
        <v>45666</v>
      </c>
      <c r="R614" s="17" t="n">
        <v>45666</v>
      </c>
      <c r="S614" s="19">
        <f>H614*I614</f>
        <v/>
      </c>
      <c r="T614" s="19">
        <f>H614*J614</f>
        <v/>
      </c>
      <c r="U614">
        <f>IF(AND(K614=0,G614&lt;=Assumptions!$C$6),1,0)</f>
        <v/>
      </c>
      <c r="V614">
        <f>IF(U614=1,IF(M614&gt;0,IF(P614&lt;=G614+Assumptions!$C$7,1,0),0),0)</f>
        <v/>
      </c>
      <c r="W614">
        <f>IF(AND(U614=1,M614&gt;=H614*(1-Assumptions!$C$8)),1,0)</f>
        <v/>
      </c>
      <c r="X614">
        <f>IF(AND(U614=1,N614&gt;=H614*(1-Assumptions!$C$8)),1,0)</f>
        <v/>
      </c>
      <c r="Y614">
        <f>IF(ISNUMBER(Q614),1,0)</f>
        <v/>
      </c>
      <c r="Z614">
        <f>IF(AND(K614=0,L614=0,Y614=0),1,0)</f>
        <v/>
      </c>
      <c r="AA614">
        <f>IF(AND(Z614=1,G614&lt;Assumptions!$C$6),1,0)</f>
        <v/>
      </c>
      <c r="AB614">
        <f>IF(U614=0,"",IF(Y614=1,MAX(0,Q614-G614),IF(L614=1,MAX(0,R614-G614),MAX(0,Assumptions!$C$6-G614))))</f>
        <v/>
      </c>
      <c r="AC614">
        <f>IF(Y614=1,Q614-F614,"")</f>
        <v/>
      </c>
      <c r="AD614">
        <f>IF(Y614=1,AC614^2,"")</f>
        <v/>
      </c>
      <c r="AE614" s="19">
        <f>IF(Z614=1,(H614-M614)*I614,0)</f>
        <v/>
      </c>
      <c r="AF614">
        <f>IF(G614&lt;EDATE(Assumptions!$C$6,-12)+1,"prior_12m","last_12m")</f>
        <v/>
      </c>
      <c r="AG614" s="21">
        <f>DATE(YEAR(G614),MONTH(G614),1)</f>
        <v/>
      </c>
    </row>
    <row r="615">
      <c r="A615" t="inlineStr">
        <is>
          <t>SPO-00341-1</t>
        </is>
      </c>
      <c r="B615" t="inlineStr">
        <is>
          <t>SPO-00341</t>
        </is>
      </c>
      <c r="C615" t="inlineStr">
        <is>
          <t>SUP-12</t>
        </is>
      </c>
      <c r="D615" t="inlineStr">
        <is>
          <t>IT</t>
        </is>
      </c>
      <c r="E615" t="inlineStr">
        <is>
          <t>IT-04</t>
        </is>
      </c>
      <c r="F615" s="17" t="n">
        <v>45657</v>
      </c>
      <c r="G615" s="17" t="n">
        <v>45667</v>
      </c>
      <c r="H615" s="18" t="n">
        <v>148</v>
      </c>
      <c r="I615" s="19" t="n">
        <v>13.79</v>
      </c>
      <c r="J615" s="19" t="n">
        <v>12</v>
      </c>
      <c r="K615" s="20" t="n">
        <v>1</v>
      </c>
      <c r="L615" s="20" t="n">
        <v>0</v>
      </c>
      <c r="M615" s="18" t="n">
        <v>0</v>
      </c>
      <c r="N615" s="18" t="n">
        <v>0</v>
      </c>
      <c r="O615" s="18" t="n">
        <v>0</v>
      </c>
      <c r="P615" s="17" t="n"/>
      <c r="Q615" s="17" t="n"/>
      <c r="R615" s="17" t="n"/>
      <c r="S615" s="19">
        <f>H615*I615</f>
        <v/>
      </c>
      <c r="T615" s="19">
        <f>H615*J615</f>
        <v/>
      </c>
      <c r="U615">
        <f>IF(AND(K615=0,G615&lt;=Assumptions!$C$6),1,0)</f>
        <v/>
      </c>
      <c r="V615">
        <f>IF(U615=1,IF(M615&gt;0,IF(P615&lt;=G615+Assumptions!$C$7,1,0),0),0)</f>
        <v/>
      </c>
      <c r="W615">
        <f>IF(AND(U615=1,M615&gt;=H615*(1-Assumptions!$C$8)),1,0)</f>
        <v/>
      </c>
      <c r="X615">
        <f>IF(AND(U615=1,N615&gt;=H615*(1-Assumptions!$C$8)),1,0)</f>
        <v/>
      </c>
      <c r="Y615">
        <f>IF(ISNUMBER(Q615),1,0)</f>
        <v/>
      </c>
      <c r="Z615">
        <f>IF(AND(K615=0,L615=0,Y615=0),1,0)</f>
        <v/>
      </c>
      <c r="AA615">
        <f>IF(AND(Z615=1,G615&lt;Assumptions!$C$6),1,0)</f>
        <v/>
      </c>
      <c r="AB615">
        <f>IF(U615=0,"",IF(Y615=1,MAX(0,Q615-G615),IF(L615=1,MAX(0,R615-G615),MAX(0,Assumptions!$C$6-G615))))</f>
        <v/>
      </c>
      <c r="AC615">
        <f>IF(Y615=1,Q615-F615,"")</f>
        <v/>
      </c>
      <c r="AD615">
        <f>IF(Y615=1,AC615^2,"")</f>
        <v/>
      </c>
      <c r="AE615" s="19">
        <f>IF(Z615=1,(H615-M615)*I615,0)</f>
        <v/>
      </c>
      <c r="AF615">
        <f>IF(G615&lt;EDATE(Assumptions!$C$6,-12)+1,"prior_12m","last_12m")</f>
        <v/>
      </c>
      <c r="AG615" s="21">
        <f>DATE(YEAR(G615),MONTH(G615),1)</f>
        <v/>
      </c>
    </row>
    <row r="616">
      <c r="A616" t="inlineStr">
        <is>
          <t>SPO-00341-2</t>
        </is>
      </c>
      <c r="B616" t="inlineStr">
        <is>
          <t>SPO-00341</t>
        </is>
      </c>
      <c r="C616" t="inlineStr">
        <is>
          <t>SUP-12</t>
        </is>
      </c>
      <c r="D616" t="inlineStr">
        <is>
          <t>IT</t>
        </is>
      </c>
      <c r="E616" t="inlineStr">
        <is>
          <t>IT-08</t>
        </is>
      </c>
      <c r="F616" s="17" t="n">
        <v>45657</v>
      </c>
      <c r="G616" s="17" t="n">
        <v>45667</v>
      </c>
      <c r="H616" s="18" t="n">
        <v>7</v>
      </c>
      <c r="I616" s="19" t="n">
        <v>264.93</v>
      </c>
      <c r="J616" s="19" t="n">
        <v>245</v>
      </c>
      <c r="K616" s="20" t="n">
        <v>0</v>
      </c>
      <c r="L616" s="20" t="n">
        <v>0</v>
      </c>
      <c r="M616" s="18" t="n">
        <v>7</v>
      </c>
      <c r="N616" s="18" t="n">
        <v>7</v>
      </c>
      <c r="O616" s="18" t="n">
        <v>0</v>
      </c>
      <c r="P616" s="17" t="n">
        <v>45664</v>
      </c>
      <c r="Q616" s="17" t="n">
        <v>45664</v>
      </c>
      <c r="R616" s="17" t="n">
        <v>45664</v>
      </c>
      <c r="S616" s="19">
        <f>H616*I616</f>
        <v/>
      </c>
      <c r="T616" s="19">
        <f>H616*J616</f>
        <v/>
      </c>
      <c r="U616">
        <f>IF(AND(K616=0,G616&lt;=Assumptions!$C$6),1,0)</f>
        <v/>
      </c>
      <c r="V616">
        <f>IF(U616=1,IF(M616&gt;0,IF(P616&lt;=G616+Assumptions!$C$7,1,0),0),0)</f>
        <v/>
      </c>
      <c r="W616">
        <f>IF(AND(U616=1,M616&gt;=H616*(1-Assumptions!$C$8)),1,0)</f>
        <v/>
      </c>
      <c r="X616">
        <f>IF(AND(U616=1,N616&gt;=H616*(1-Assumptions!$C$8)),1,0)</f>
        <v/>
      </c>
      <c r="Y616">
        <f>IF(ISNUMBER(Q616),1,0)</f>
        <v/>
      </c>
      <c r="Z616">
        <f>IF(AND(K616=0,L616=0,Y616=0),1,0)</f>
        <v/>
      </c>
      <c r="AA616">
        <f>IF(AND(Z616=1,G616&lt;Assumptions!$C$6),1,0)</f>
        <v/>
      </c>
      <c r="AB616">
        <f>IF(U616=0,"",IF(Y616=1,MAX(0,Q616-G616),IF(L616=1,MAX(0,R616-G616),MAX(0,Assumptions!$C$6-G616))))</f>
        <v/>
      </c>
      <c r="AC616">
        <f>IF(Y616=1,Q616-F616,"")</f>
        <v/>
      </c>
      <c r="AD616">
        <f>IF(Y616=1,AC616^2,"")</f>
        <v/>
      </c>
      <c r="AE616" s="19">
        <f>IF(Z616=1,(H616-M616)*I616,0)</f>
        <v/>
      </c>
      <c r="AF616">
        <f>IF(G616&lt;EDATE(Assumptions!$C$6,-12)+1,"prior_12m","last_12m")</f>
        <v/>
      </c>
      <c r="AG616" s="21">
        <f>DATE(YEAR(G616),MONTH(G616),1)</f>
        <v/>
      </c>
    </row>
    <row r="617">
      <c r="A617" t="inlineStr">
        <is>
          <t>SPO-00341-3</t>
        </is>
      </c>
      <c r="B617" t="inlineStr">
        <is>
          <t>SPO-00341</t>
        </is>
      </c>
      <c r="C617" t="inlineStr">
        <is>
          <t>SUP-12</t>
        </is>
      </c>
      <c r="D617" t="inlineStr">
        <is>
          <t>IT</t>
        </is>
      </c>
      <c r="E617" t="inlineStr">
        <is>
          <t>IT-05</t>
        </is>
      </c>
      <c r="F617" s="17" t="n">
        <v>45657</v>
      </c>
      <c r="G617" s="17" t="n">
        <v>45667</v>
      </c>
      <c r="H617" s="18" t="n">
        <v>1</v>
      </c>
      <c r="I617" s="19" t="n">
        <v>716.54</v>
      </c>
      <c r="J617" s="19" t="n">
        <v>640</v>
      </c>
      <c r="K617" s="20" t="n">
        <v>0</v>
      </c>
      <c r="L617" s="20" t="n">
        <v>0</v>
      </c>
      <c r="M617" s="18" t="n">
        <v>1</v>
      </c>
      <c r="N617" s="18" t="n">
        <v>1</v>
      </c>
      <c r="O617" s="18" t="n">
        <v>0</v>
      </c>
      <c r="P617" s="17" t="n">
        <v>45662</v>
      </c>
      <c r="Q617" s="17" t="n">
        <v>45662</v>
      </c>
      <c r="R617" s="17" t="n">
        <v>45662</v>
      </c>
      <c r="S617" s="19">
        <f>H617*I617</f>
        <v/>
      </c>
      <c r="T617" s="19">
        <f>H617*J617</f>
        <v/>
      </c>
      <c r="U617">
        <f>IF(AND(K617=0,G617&lt;=Assumptions!$C$6),1,0)</f>
        <v/>
      </c>
      <c r="V617">
        <f>IF(U617=1,IF(M617&gt;0,IF(P617&lt;=G617+Assumptions!$C$7,1,0),0),0)</f>
        <v/>
      </c>
      <c r="W617">
        <f>IF(AND(U617=1,M617&gt;=H617*(1-Assumptions!$C$8)),1,0)</f>
        <v/>
      </c>
      <c r="X617">
        <f>IF(AND(U617=1,N617&gt;=H617*(1-Assumptions!$C$8)),1,0)</f>
        <v/>
      </c>
      <c r="Y617">
        <f>IF(ISNUMBER(Q617),1,0)</f>
        <v/>
      </c>
      <c r="Z617">
        <f>IF(AND(K617=0,L617=0,Y617=0),1,0)</f>
        <v/>
      </c>
      <c r="AA617">
        <f>IF(AND(Z617=1,G617&lt;Assumptions!$C$6),1,0)</f>
        <v/>
      </c>
      <c r="AB617">
        <f>IF(U617=0,"",IF(Y617=1,MAX(0,Q617-G617),IF(L617=1,MAX(0,R617-G617),MAX(0,Assumptions!$C$6-G617))))</f>
        <v/>
      </c>
      <c r="AC617">
        <f>IF(Y617=1,Q617-F617,"")</f>
        <v/>
      </c>
      <c r="AD617">
        <f>IF(Y617=1,AC617^2,"")</f>
        <v/>
      </c>
      <c r="AE617" s="19">
        <f>IF(Z617=1,(H617-M617)*I617,0)</f>
        <v/>
      </c>
      <c r="AF617">
        <f>IF(G617&lt;EDATE(Assumptions!$C$6,-12)+1,"prior_12m","last_12m")</f>
        <v/>
      </c>
      <c r="AG617" s="21">
        <f>DATE(YEAR(G617),MONTH(G617),1)</f>
        <v/>
      </c>
    </row>
    <row r="618">
      <c r="A618" t="inlineStr">
        <is>
          <t>SPO-00342-1</t>
        </is>
      </c>
      <c r="B618" t="inlineStr">
        <is>
          <t>SPO-00342</t>
        </is>
      </c>
      <c r="C618" t="inlineStr">
        <is>
          <t>SUP-11</t>
        </is>
      </c>
      <c r="D618" t="inlineStr">
        <is>
          <t>PPE</t>
        </is>
      </c>
      <c r="E618" t="inlineStr">
        <is>
          <t>PPE-07</t>
        </is>
      </c>
      <c r="F618" s="17" t="n">
        <v>45657</v>
      </c>
      <c r="G618" s="17" t="n">
        <v>45669</v>
      </c>
      <c r="H618" s="18" t="n">
        <v>65</v>
      </c>
      <c r="I618" s="19" t="n">
        <v>32.98</v>
      </c>
      <c r="J618" s="19" t="n">
        <v>31</v>
      </c>
      <c r="K618" s="20" t="n">
        <v>0</v>
      </c>
      <c r="L618" s="20" t="n">
        <v>0</v>
      </c>
      <c r="M618" s="18" t="n">
        <v>65</v>
      </c>
      <c r="N618" s="18" t="n">
        <v>65</v>
      </c>
      <c r="O618" s="18" t="n">
        <v>0</v>
      </c>
      <c r="P618" s="17" t="n">
        <v>45666</v>
      </c>
      <c r="Q618" s="17" t="n">
        <v>45666</v>
      </c>
      <c r="R618" s="17" t="n">
        <v>45666</v>
      </c>
      <c r="S618" s="19">
        <f>H618*I618</f>
        <v/>
      </c>
      <c r="T618" s="19">
        <f>H618*J618</f>
        <v/>
      </c>
      <c r="U618">
        <f>IF(AND(K618=0,G618&lt;=Assumptions!$C$6),1,0)</f>
        <v/>
      </c>
      <c r="V618">
        <f>IF(U618=1,IF(M618&gt;0,IF(P618&lt;=G618+Assumptions!$C$7,1,0),0),0)</f>
        <v/>
      </c>
      <c r="W618">
        <f>IF(AND(U618=1,M618&gt;=H618*(1-Assumptions!$C$8)),1,0)</f>
        <v/>
      </c>
      <c r="X618">
        <f>IF(AND(U618=1,N618&gt;=H618*(1-Assumptions!$C$8)),1,0)</f>
        <v/>
      </c>
      <c r="Y618">
        <f>IF(ISNUMBER(Q618),1,0)</f>
        <v/>
      </c>
      <c r="Z618">
        <f>IF(AND(K618=0,L618=0,Y618=0),1,0)</f>
        <v/>
      </c>
      <c r="AA618">
        <f>IF(AND(Z618=1,G618&lt;Assumptions!$C$6),1,0)</f>
        <v/>
      </c>
      <c r="AB618">
        <f>IF(U618=0,"",IF(Y618=1,MAX(0,Q618-G618),IF(L618=1,MAX(0,R618-G618),MAX(0,Assumptions!$C$6-G618))))</f>
        <v/>
      </c>
      <c r="AC618">
        <f>IF(Y618=1,Q618-F618,"")</f>
        <v/>
      </c>
      <c r="AD618">
        <f>IF(Y618=1,AC618^2,"")</f>
        <v/>
      </c>
      <c r="AE618" s="19">
        <f>IF(Z618=1,(H618-M618)*I618,0)</f>
        <v/>
      </c>
      <c r="AF618">
        <f>IF(G618&lt;EDATE(Assumptions!$C$6,-12)+1,"prior_12m","last_12m")</f>
        <v/>
      </c>
      <c r="AG618" s="21">
        <f>DATE(YEAR(G618),MONTH(G618),1)</f>
        <v/>
      </c>
    </row>
    <row r="619">
      <c r="A619" t="inlineStr">
        <is>
          <t>SPO-00343-1</t>
        </is>
      </c>
      <c r="B619" t="inlineStr">
        <is>
          <t>SPO-00343</t>
        </is>
      </c>
      <c r="C619" t="inlineStr">
        <is>
          <t>SUP-06</t>
        </is>
      </c>
      <c r="D619" t="inlineStr">
        <is>
          <t>MRO</t>
        </is>
      </c>
      <c r="E619" t="inlineStr">
        <is>
          <t>MRO-04</t>
        </is>
      </c>
      <c r="F619" s="17" t="n">
        <v>45658</v>
      </c>
      <c r="G619" s="17" t="n">
        <v>45666</v>
      </c>
      <c r="H619" s="18" t="n">
        <v>19</v>
      </c>
      <c r="I619" s="19" t="n">
        <v>56.62</v>
      </c>
      <c r="J619" s="19" t="n">
        <v>58</v>
      </c>
      <c r="K619" s="20" t="n">
        <v>0</v>
      </c>
      <c r="L619" s="20" t="n">
        <v>0</v>
      </c>
      <c r="M619" s="18" t="n">
        <v>19</v>
      </c>
      <c r="N619" s="18" t="n">
        <v>19</v>
      </c>
      <c r="O619" s="18" t="n">
        <v>0</v>
      </c>
      <c r="P619" s="17" t="n">
        <v>45665</v>
      </c>
      <c r="Q619" s="17" t="n">
        <v>45665</v>
      </c>
      <c r="R619" s="17" t="n">
        <v>45665</v>
      </c>
      <c r="S619" s="19">
        <f>H619*I619</f>
        <v/>
      </c>
      <c r="T619" s="19">
        <f>H619*J619</f>
        <v/>
      </c>
      <c r="U619">
        <f>IF(AND(K619=0,G619&lt;=Assumptions!$C$6),1,0)</f>
        <v/>
      </c>
      <c r="V619">
        <f>IF(U619=1,IF(M619&gt;0,IF(P619&lt;=G619+Assumptions!$C$7,1,0),0),0)</f>
        <v/>
      </c>
      <c r="W619">
        <f>IF(AND(U619=1,M619&gt;=H619*(1-Assumptions!$C$8)),1,0)</f>
        <v/>
      </c>
      <c r="X619">
        <f>IF(AND(U619=1,N619&gt;=H619*(1-Assumptions!$C$8)),1,0)</f>
        <v/>
      </c>
      <c r="Y619">
        <f>IF(ISNUMBER(Q619),1,0)</f>
        <v/>
      </c>
      <c r="Z619">
        <f>IF(AND(K619=0,L619=0,Y619=0),1,0)</f>
        <v/>
      </c>
      <c r="AA619">
        <f>IF(AND(Z619=1,G619&lt;Assumptions!$C$6),1,0)</f>
        <v/>
      </c>
      <c r="AB619">
        <f>IF(U619=0,"",IF(Y619=1,MAX(0,Q619-G619),IF(L619=1,MAX(0,R619-G619),MAX(0,Assumptions!$C$6-G619))))</f>
        <v/>
      </c>
      <c r="AC619">
        <f>IF(Y619=1,Q619-F619,"")</f>
        <v/>
      </c>
      <c r="AD619">
        <f>IF(Y619=1,AC619^2,"")</f>
        <v/>
      </c>
      <c r="AE619" s="19">
        <f>IF(Z619=1,(H619-M619)*I619,0)</f>
        <v/>
      </c>
      <c r="AF619">
        <f>IF(G619&lt;EDATE(Assumptions!$C$6,-12)+1,"prior_12m","last_12m")</f>
        <v/>
      </c>
      <c r="AG619" s="21">
        <f>DATE(YEAR(G619),MONTH(G619),1)</f>
        <v/>
      </c>
    </row>
    <row r="620">
      <c r="A620" t="inlineStr">
        <is>
          <t>SPO-00343-2</t>
        </is>
      </c>
      <c r="B620" t="inlineStr">
        <is>
          <t>SPO-00343</t>
        </is>
      </c>
      <c r="C620" t="inlineStr">
        <is>
          <t>SUP-06</t>
        </is>
      </c>
      <c r="D620" t="inlineStr">
        <is>
          <t>MRO</t>
        </is>
      </c>
      <c r="E620" t="inlineStr">
        <is>
          <t>MRO-01</t>
        </is>
      </c>
      <c r="F620" s="17" t="n">
        <v>45658</v>
      </c>
      <c r="G620" s="17" t="n">
        <v>45666</v>
      </c>
      <c r="H620" s="18" t="n">
        <v>27</v>
      </c>
      <c r="I620" s="19" t="n">
        <v>50.66</v>
      </c>
      <c r="J620" s="19" t="n">
        <v>52</v>
      </c>
      <c r="K620" s="20" t="n">
        <v>0</v>
      </c>
      <c r="L620" s="20" t="n">
        <v>0</v>
      </c>
      <c r="M620" s="18" t="n">
        <v>27</v>
      </c>
      <c r="N620" s="18" t="n">
        <v>27</v>
      </c>
      <c r="O620" s="18" t="n">
        <v>0</v>
      </c>
      <c r="P620" s="17" t="n">
        <v>45664</v>
      </c>
      <c r="Q620" s="17" t="n">
        <v>45664</v>
      </c>
      <c r="R620" s="17" t="n">
        <v>45664</v>
      </c>
      <c r="S620" s="19">
        <f>H620*I620</f>
        <v/>
      </c>
      <c r="T620" s="19">
        <f>H620*J620</f>
        <v/>
      </c>
      <c r="U620">
        <f>IF(AND(K620=0,G620&lt;=Assumptions!$C$6),1,0)</f>
        <v/>
      </c>
      <c r="V620">
        <f>IF(U620=1,IF(M620&gt;0,IF(P620&lt;=G620+Assumptions!$C$7,1,0),0),0)</f>
        <v/>
      </c>
      <c r="W620">
        <f>IF(AND(U620=1,M620&gt;=H620*(1-Assumptions!$C$8)),1,0)</f>
        <v/>
      </c>
      <c r="X620">
        <f>IF(AND(U620=1,N620&gt;=H620*(1-Assumptions!$C$8)),1,0)</f>
        <v/>
      </c>
      <c r="Y620">
        <f>IF(ISNUMBER(Q620),1,0)</f>
        <v/>
      </c>
      <c r="Z620">
        <f>IF(AND(K620=0,L620=0,Y620=0),1,0)</f>
        <v/>
      </c>
      <c r="AA620">
        <f>IF(AND(Z620=1,G620&lt;Assumptions!$C$6),1,0)</f>
        <v/>
      </c>
      <c r="AB620">
        <f>IF(U620=0,"",IF(Y620=1,MAX(0,Q620-G620),IF(L620=1,MAX(0,R620-G620),MAX(0,Assumptions!$C$6-G620))))</f>
        <v/>
      </c>
      <c r="AC620">
        <f>IF(Y620=1,Q620-F620,"")</f>
        <v/>
      </c>
      <c r="AD620">
        <f>IF(Y620=1,AC620^2,"")</f>
        <v/>
      </c>
      <c r="AE620" s="19">
        <f>IF(Z620=1,(H620-M620)*I620,0)</f>
        <v/>
      </c>
      <c r="AF620">
        <f>IF(G620&lt;EDATE(Assumptions!$C$6,-12)+1,"prior_12m","last_12m")</f>
        <v/>
      </c>
      <c r="AG620" s="21">
        <f>DATE(YEAR(G620),MONTH(G620),1)</f>
        <v/>
      </c>
    </row>
    <row r="621">
      <c r="A621" t="inlineStr">
        <is>
          <t>SPO-00344-1</t>
        </is>
      </c>
      <c r="B621" t="inlineStr">
        <is>
          <t>SPO-00344</t>
        </is>
      </c>
      <c r="C621" t="inlineStr">
        <is>
          <t>SUP-13</t>
        </is>
      </c>
      <c r="D621" t="inlineStr">
        <is>
          <t>IT</t>
        </is>
      </c>
      <c r="E621" t="inlineStr">
        <is>
          <t>IT-07</t>
        </is>
      </c>
      <c r="F621" s="17" t="n">
        <v>45658</v>
      </c>
      <c r="G621" s="17" t="n">
        <v>45669</v>
      </c>
      <c r="H621" s="18" t="n">
        <v>17</v>
      </c>
      <c r="I621" s="19" t="n">
        <v>75.58</v>
      </c>
      <c r="J621" s="19" t="n">
        <v>74</v>
      </c>
      <c r="K621" s="20" t="n">
        <v>0</v>
      </c>
      <c r="L621" s="20" t="n">
        <v>0</v>
      </c>
      <c r="M621" s="18" t="n">
        <v>17</v>
      </c>
      <c r="N621" s="18" t="n">
        <v>17</v>
      </c>
      <c r="O621" s="18" t="n">
        <v>0</v>
      </c>
      <c r="P621" s="17" t="n">
        <v>45666</v>
      </c>
      <c r="Q621" s="17" t="n">
        <v>45666</v>
      </c>
      <c r="R621" s="17" t="n">
        <v>45666</v>
      </c>
      <c r="S621" s="19">
        <f>H621*I621</f>
        <v/>
      </c>
      <c r="T621" s="19">
        <f>H621*J621</f>
        <v/>
      </c>
      <c r="U621">
        <f>IF(AND(K621=0,G621&lt;=Assumptions!$C$6),1,0)</f>
        <v/>
      </c>
      <c r="V621">
        <f>IF(U621=1,IF(M621&gt;0,IF(P621&lt;=G621+Assumptions!$C$7,1,0),0),0)</f>
        <v/>
      </c>
      <c r="W621">
        <f>IF(AND(U621=1,M621&gt;=H621*(1-Assumptions!$C$8)),1,0)</f>
        <v/>
      </c>
      <c r="X621">
        <f>IF(AND(U621=1,N621&gt;=H621*(1-Assumptions!$C$8)),1,0)</f>
        <v/>
      </c>
      <c r="Y621">
        <f>IF(ISNUMBER(Q621),1,0)</f>
        <v/>
      </c>
      <c r="Z621">
        <f>IF(AND(K621=0,L621=0,Y621=0),1,0)</f>
        <v/>
      </c>
      <c r="AA621">
        <f>IF(AND(Z621=1,G621&lt;Assumptions!$C$6),1,0)</f>
        <v/>
      </c>
      <c r="AB621">
        <f>IF(U621=0,"",IF(Y621=1,MAX(0,Q621-G621),IF(L621=1,MAX(0,R621-G621),MAX(0,Assumptions!$C$6-G621))))</f>
        <v/>
      </c>
      <c r="AC621">
        <f>IF(Y621=1,Q621-F621,"")</f>
        <v/>
      </c>
      <c r="AD621">
        <f>IF(Y621=1,AC621^2,"")</f>
        <v/>
      </c>
      <c r="AE621" s="19">
        <f>IF(Z621=1,(H621-M621)*I621,0)</f>
        <v/>
      </c>
      <c r="AF621">
        <f>IF(G621&lt;EDATE(Assumptions!$C$6,-12)+1,"prior_12m","last_12m")</f>
        <v/>
      </c>
      <c r="AG621" s="21">
        <f>DATE(YEAR(G621),MONTH(G621),1)</f>
        <v/>
      </c>
    </row>
    <row r="622">
      <c r="A622" t="inlineStr">
        <is>
          <t>SPO-00344-2</t>
        </is>
      </c>
      <c r="B622" t="inlineStr">
        <is>
          <t>SPO-00344</t>
        </is>
      </c>
      <c r="C622" t="inlineStr">
        <is>
          <t>SUP-13</t>
        </is>
      </c>
      <c r="D622" t="inlineStr">
        <is>
          <t>IT</t>
        </is>
      </c>
      <c r="E622" t="inlineStr">
        <is>
          <t>IT-05</t>
        </is>
      </c>
      <c r="F622" s="17" t="n">
        <v>45658</v>
      </c>
      <c r="G622" s="17" t="n">
        <v>45669</v>
      </c>
      <c r="H622" s="18" t="n">
        <v>4</v>
      </c>
      <c r="I622" s="19" t="n">
        <v>653.98</v>
      </c>
      <c r="J622" s="19" t="n">
        <v>640</v>
      </c>
      <c r="K622" s="20" t="n">
        <v>0</v>
      </c>
      <c r="L622" s="20" t="n">
        <v>0</v>
      </c>
      <c r="M622" s="18" t="n">
        <v>4</v>
      </c>
      <c r="N622" s="18" t="n">
        <v>4</v>
      </c>
      <c r="O622" s="18" t="n">
        <v>0</v>
      </c>
      <c r="P622" s="17" t="n">
        <v>45665</v>
      </c>
      <c r="Q622" s="17" t="n">
        <v>45665</v>
      </c>
      <c r="R622" s="17" t="n">
        <v>45665</v>
      </c>
      <c r="S622" s="19">
        <f>H622*I622</f>
        <v/>
      </c>
      <c r="T622" s="19">
        <f>H622*J622</f>
        <v/>
      </c>
      <c r="U622">
        <f>IF(AND(K622=0,G622&lt;=Assumptions!$C$6),1,0)</f>
        <v/>
      </c>
      <c r="V622">
        <f>IF(U622=1,IF(M622&gt;0,IF(P622&lt;=G622+Assumptions!$C$7,1,0),0),0)</f>
        <v/>
      </c>
      <c r="W622">
        <f>IF(AND(U622=1,M622&gt;=H622*(1-Assumptions!$C$8)),1,0)</f>
        <v/>
      </c>
      <c r="X622">
        <f>IF(AND(U622=1,N622&gt;=H622*(1-Assumptions!$C$8)),1,0)</f>
        <v/>
      </c>
      <c r="Y622">
        <f>IF(ISNUMBER(Q622),1,0)</f>
        <v/>
      </c>
      <c r="Z622">
        <f>IF(AND(K622=0,L622=0,Y622=0),1,0)</f>
        <v/>
      </c>
      <c r="AA622">
        <f>IF(AND(Z622=1,G622&lt;Assumptions!$C$6),1,0)</f>
        <v/>
      </c>
      <c r="AB622">
        <f>IF(U622=0,"",IF(Y622=1,MAX(0,Q622-G622),IF(L622=1,MAX(0,R622-G622),MAX(0,Assumptions!$C$6-G622))))</f>
        <v/>
      </c>
      <c r="AC622">
        <f>IF(Y622=1,Q622-F622,"")</f>
        <v/>
      </c>
      <c r="AD622">
        <f>IF(Y622=1,AC622^2,"")</f>
        <v/>
      </c>
      <c r="AE622" s="19">
        <f>IF(Z622=1,(H622-M622)*I622,0)</f>
        <v/>
      </c>
      <c r="AF622">
        <f>IF(G622&lt;EDATE(Assumptions!$C$6,-12)+1,"prior_12m","last_12m")</f>
        <v/>
      </c>
      <c r="AG622" s="21">
        <f>DATE(YEAR(G622),MONTH(G622),1)</f>
        <v/>
      </c>
    </row>
    <row r="623">
      <c r="A623" t="inlineStr">
        <is>
          <t>SPO-00344-3</t>
        </is>
      </c>
      <c r="B623" t="inlineStr">
        <is>
          <t>SPO-00344</t>
        </is>
      </c>
      <c r="C623" t="inlineStr">
        <is>
          <t>SUP-13</t>
        </is>
      </c>
      <c r="D623" t="inlineStr">
        <is>
          <t>IT</t>
        </is>
      </c>
      <c r="E623" t="inlineStr">
        <is>
          <t>IT-01</t>
        </is>
      </c>
      <c r="F623" s="17" t="n">
        <v>45658</v>
      </c>
      <c r="G623" s="17" t="n">
        <v>45669</v>
      </c>
      <c r="H623" s="18" t="n">
        <v>6</v>
      </c>
      <c r="I623" s="19" t="n">
        <v>189.39</v>
      </c>
      <c r="J623" s="19" t="n">
        <v>189</v>
      </c>
      <c r="K623" s="20" t="n">
        <v>0</v>
      </c>
      <c r="L623" s="20" t="n">
        <v>0</v>
      </c>
      <c r="M623" s="18" t="n">
        <v>6</v>
      </c>
      <c r="N623" s="18" t="n">
        <v>6</v>
      </c>
      <c r="O623" s="18" t="n">
        <v>0</v>
      </c>
      <c r="P623" s="17" t="n">
        <v>45668</v>
      </c>
      <c r="Q623" s="17" t="n">
        <v>45668</v>
      </c>
      <c r="R623" s="17" t="n">
        <v>45668</v>
      </c>
      <c r="S623" s="19">
        <f>H623*I623</f>
        <v/>
      </c>
      <c r="T623" s="19">
        <f>H623*J623</f>
        <v/>
      </c>
      <c r="U623">
        <f>IF(AND(K623=0,G623&lt;=Assumptions!$C$6),1,0)</f>
        <v/>
      </c>
      <c r="V623">
        <f>IF(U623=1,IF(M623&gt;0,IF(P623&lt;=G623+Assumptions!$C$7,1,0),0),0)</f>
        <v/>
      </c>
      <c r="W623">
        <f>IF(AND(U623=1,M623&gt;=H623*(1-Assumptions!$C$8)),1,0)</f>
        <v/>
      </c>
      <c r="X623">
        <f>IF(AND(U623=1,N623&gt;=H623*(1-Assumptions!$C$8)),1,0)</f>
        <v/>
      </c>
      <c r="Y623">
        <f>IF(ISNUMBER(Q623),1,0)</f>
        <v/>
      </c>
      <c r="Z623">
        <f>IF(AND(K623=0,L623=0,Y623=0),1,0)</f>
        <v/>
      </c>
      <c r="AA623">
        <f>IF(AND(Z623=1,G623&lt;Assumptions!$C$6),1,0)</f>
        <v/>
      </c>
      <c r="AB623">
        <f>IF(U623=0,"",IF(Y623=1,MAX(0,Q623-G623),IF(L623=1,MAX(0,R623-G623),MAX(0,Assumptions!$C$6-G623))))</f>
        <v/>
      </c>
      <c r="AC623">
        <f>IF(Y623=1,Q623-F623,"")</f>
        <v/>
      </c>
      <c r="AD623">
        <f>IF(Y623=1,AC623^2,"")</f>
        <v/>
      </c>
      <c r="AE623" s="19">
        <f>IF(Z623=1,(H623-M623)*I623,0)</f>
        <v/>
      </c>
      <c r="AF623">
        <f>IF(G623&lt;EDATE(Assumptions!$C$6,-12)+1,"prior_12m","last_12m")</f>
        <v/>
      </c>
      <c r="AG623" s="21">
        <f>DATE(YEAR(G623),MONTH(G623),1)</f>
        <v/>
      </c>
    </row>
    <row r="624">
      <c r="A624" t="inlineStr">
        <is>
          <t>SPO-00345-1</t>
        </is>
      </c>
      <c r="B624" t="inlineStr">
        <is>
          <t>SPO-00345</t>
        </is>
      </c>
      <c r="C624" t="inlineStr">
        <is>
          <t>SUP-06</t>
        </is>
      </c>
      <c r="D624" t="inlineStr">
        <is>
          <t>MRO</t>
        </is>
      </c>
      <c r="E624" t="inlineStr">
        <is>
          <t>MRO-01</t>
        </is>
      </c>
      <c r="F624" s="17" t="n">
        <v>45659</v>
      </c>
      <c r="G624" s="17" t="n">
        <v>45667</v>
      </c>
      <c r="H624" s="18" t="n">
        <v>12</v>
      </c>
      <c r="I624" s="19" t="n">
        <v>53.4</v>
      </c>
      <c r="J624" s="19" t="n">
        <v>52</v>
      </c>
      <c r="K624" s="20" t="n">
        <v>0</v>
      </c>
      <c r="L624" s="20" t="n">
        <v>0</v>
      </c>
      <c r="M624" s="18" t="n">
        <v>12</v>
      </c>
      <c r="N624" s="18" t="n">
        <v>7</v>
      </c>
      <c r="O624" s="18" t="n">
        <v>0</v>
      </c>
      <c r="P624" s="17" t="n">
        <v>45664</v>
      </c>
      <c r="Q624" s="17" t="n">
        <v>45669</v>
      </c>
      <c r="R624" s="17" t="n">
        <v>45669</v>
      </c>
      <c r="S624" s="19">
        <f>H624*I624</f>
        <v/>
      </c>
      <c r="T624" s="19">
        <f>H624*J624</f>
        <v/>
      </c>
      <c r="U624">
        <f>IF(AND(K624=0,G624&lt;=Assumptions!$C$6),1,0)</f>
        <v/>
      </c>
      <c r="V624">
        <f>IF(U624=1,IF(M624&gt;0,IF(P624&lt;=G624+Assumptions!$C$7,1,0),0),0)</f>
        <v/>
      </c>
      <c r="W624">
        <f>IF(AND(U624=1,M624&gt;=H624*(1-Assumptions!$C$8)),1,0)</f>
        <v/>
      </c>
      <c r="X624">
        <f>IF(AND(U624=1,N624&gt;=H624*(1-Assumptions!$C$8)),1,0)</f>
        <v/>
      </c>
      <c r="Y624">
        <f>IF(ISNUMBER(Q624),1,0)</f>
        <v/>
      </c>
      <c r="Z624">
        <f>IF(AND(K624=0,L624=0,Y624=0),1,0)</f>
        <v/>
      </c>
      <c r="AA624">
        <f>IF(AND(Z624=1,G624&lt;Assumptions!$C$6),1,0)</f>
        <v/>
      </c>
      <c r="AB624">
        <f>IF(U624=0,"",IF(Y624=1,MAX(0,Q624-G624),IF(L624=1,MAX(0,R624-G624),MAX(0,Assumptions!$C$6-G624))))</f>
        <v/>
      </c>
      <c r="AC624">
        <f>IF(Y624=1,Q624-F624,"")</f>
        <v/>
      </c>
      <c r="AD624">
        <f>IF(Y624=1,AC624^2,"")</f>
        <v/>
      </c>
      <c r="AE624" s="19">
        <f>IF(Z624=1,(H624-M624)*I624,0)</f>
        <v/>
      </c>
      <c r="AF624">
        <f>IF(G624&lt;EDATE(Assumptions!$C$6,-12)+1,"prior_12m","last_12m")</f>
        <v/>
      </c>
      <c r="AG624" s="21">
        <f>DATE(YEAR(G624),MONTH(G624),1)</f>
        <v/>
      </c>
    </row>
    <row r="625">
      <c r="A625" t="inlineStr">
        <is>
          <t>SPO-00346-1</t>
        </is>
      </c>
      <c r="B625" t="inlineStr">
        <is>
          <t>SPO-00346</t>
        </is>
      </c>
      <c r="C625" t="inlineStr">
        <is>
          <t>SUP-01</t>
        </is>
      </c>
      <c r="D625" t="inlineStr">
        <is>
          <t>ELEC</t>
        </is>
      </c>
      <c r="E625" t="inlineStr">
        <is>
          <t>ELEC-03</t>
        </is>
      </c>
      <c r="F625" s="17" t="n">
        <v>45659</v>
      </c>
      <c r="G625" s="17" t="n">
        <v>45677</v>
      </c>
      <c r="H625" s="18" t="n">
        <v>34</v>
      </c>
      <c r="I625" s="19" t="n">
        <v>104.88</v>
      </c>
      <c r="J625" s="19" t="n">
        <v>96</v>
      </c>
      <c r="K625" s="20" t="n">
        <v>0</v>
      </c>
      <c r="L625" s="20" t="n">
        <v>0</v>
      </c>
      <c r="M625" s="18" t="n">
        <v>34</v>
      </c>
      <c r="N625" s="18" t="n">
        <v>34</v>
      </c>
      <c r="O625" s="18" t="n">
        <v>0</v>
      </c>
      <c r="P625" s="17" t="n">
        <v>45674</v>
      </c>
      <c r="Q625" s="17" t="n">
        <v>45674</v>
      </c>
      <c r="R625" s="17" t="n">
        <v>45674</v>
      </c>
      <c r="S625" s="19">
        <f>H625*I625</f>
        <v/>
      </c>
      <c r="T625" s="19">
        <f>H625*J625</f>
        <v/>
      </c>
      <c r="U625">
        <f>IF(AND(K625=0,G625&lt;=Assumptions!$C$6),1,0)</f>
        <v/>
      </c>
      <c r="V625">
        <f>IF(U625=1,IF(M625&gt;0,IF(P625&lt;=G625+Assumptions!$C$7,1,0),0),0)</f>
        <v/>
      </c>
      <c r="W625">
        <f>IF(AND(U625=1,M625&gt;=H625*(1-Assumptions!$C$8)),1,0)</f>
        <v/>
      </c>
      <c r="X625">
        <f>IF(AND(U625=1,N625&gt;=H625*(1-Assumptions!$C$8)),1,0)</f>
        <v/>
      </c>
      <c r="Y625">
        <f>IF(ISNUMBER(Q625),1,0)</f>
        <v/>
      </c>
      <c r="Z625">
        <f>IF(AND(K625=0,L625=0,Y625=0),1,0)</f>
        <v/>
      </c>
      <c r="AA625">
        <f>IF(AND(Z625=1,G625&lt;Assumptions!$C$6),1,0)</f>
        <v/>
      </c>
      <c r="AB625">
        <f>IF(U625=0,"",IF(Y625=1,MAX(0,Q625-G625),IF(L625=1,MAX(0,R625-G625),MAX(0,Assumptions!$C$6-G625))))</f>
        <v/>
      </c>
      <c r="AC625">
        <f>IF(Y625=1,Q625-F625,"")</f>
        <v/>
      </c>
      <c r="AD625">
        <f>IF(Y625=1,AC625^2,"")</f>
        <v/>
      </c>
      <c r="AE625" s="19">
        <f>IF(Z625=1,(H625-M625)*I625,0)</f>
        <v/>
      </c>
      <c r="AF625">
        <f>IF(G625&lt;EDATE(Assumptions!$C$6,-12)+1,"prior_12m","last_12m")</f>
        <v/>
      </c>
      <c r="AG625" s="21">
        <f>DATE(YEAR(G625),MONTH(G625),1)</f>
        <v/>
      </c>
    </row>
    <row r="626">
      <c r="A626" t="inlineStr">
        <is>
          <t>SPO-00346-2</t>
        </is>
      </c>
      <c r="B626" t="inlineStr">
        <is>
          <t>SPO-00346</t>
        </is>
      </c>
      <c r="C626" t="inlineStr">
        <is>
          <t>SUP-01</t>
        </is>
      </c>
      <c r="D626" t="inlineStr">
        <is>
          <t>ELEC</t>
        </is>
      </c>
      <c r="E626" t="inlineStr">
        <is>
          <t>ELEC-02</t>
        </is>
      </c>
      <c r="F626" s="17" t="n">
        <v>45659</v>
      </c>
      <c r="G626" s="17" t="n">
        <v>45677</v>
      </c>
      <c r="H626" s="18" t="n">
        <v>1583</v>
      </c>
      <c r="I626" s="19" t="n">
        <v>4.31</v>
      </c>
      <c r="J626" s="19" t="n">
        <v>4.2</v>
      </c>
      <c r="K626" s="20" t="n">
        <v>0</v>
      </c>
      <c r="L626" s="20" t="n">
        <v>0</v>
      </c>
      <c r="M626" s="18" t="n">
        <v>1583</v>
      </c>
      <c r="N626" s="18" t="n">
        <v>0</v>
      </c>
      <c r="O626" s="18" t="n">
        <v>0</v>
      </c>
      <c r="P626" s="17" t="n">
        <v>45680</v>
      </c>
      <c r="Q626" s="17" t="n">
        <v>45680</v>
      </c>
      <c r="R626" s="17" t="n">
        <v>45680</v>
      </c>
      <c r="S626" s="19">
        <f>H626*I626</f>
        <v/>
      </c>
      <c r="T626" s="19">
        <f>H626*J626</f>
        <v/>
      </c>
      <c r="U626">
        <f>IF(AND(K626=0,G626&lt;=Assumptions!$C$6),1,0)</f>
        <v/>
      </c>
      <c r="V626">
        <f>IF(U626=1,IF(M626&gt;0,IF(P626&lt;=G626+Assumptions!$C$7,1,0),0),0)</f>
        <v/>
      </c>
      <c r="W626">
        <f>IF(AND(U626=1,M626&gt;=H626*(1-Assumptions!$C$8)),1,0)</f>
        <v/>
      </c>
      <c r="X626">
        <f>IF(AND(U626=1,N626&gt;=H626*(1-Assumptions!$C$8)),1,0)</f>
        <v/>
      </c>
      <c r="Y626">
        <f>IF(ISNUMBER(Q626),1,0)</f>
        <v/>
      </c>
      <c r="Z626">
        <f>IF(AND(K626=0,L626=0,Y626=0),1,0)</f>
        <v/>
      </c>
      <c r="AA626">
        <f>IF(AND(Z626=1,G626&lt;Assumptions!$C$6),1,0)</f>
        <v/>
      </c>
      <c r="AB626">
        <f>IF(U626=0,"",IF(Y626=1,MAX(0,Q626-G626),IF(L626=1,MAX(0,R626-G626),MAX(0,Assumptions!$C$6-G626))))</f>
        <v/>
      </c>
      <c r="AC626">
        <f>IF(Y626=1,Q626-F626,"")</f>
        <v/>
      </c>
      <c r="AD626">
        <f>IF(Y626=1,AC626^2,"")</f>
        <v/>
      </c>
      <c r="AE626" s="19">
        <f>IF(Z626=1,(H626-M626)*I626,0)</f>
        <v/>
      </c>
      <c r="AF626">
        <f>IF(G626&lt;EDATE(Assumptions!$C$6,-12)+1,"prior_12m","last_12m")</f>
        <v/>
      </c>
      <c r="AG626" s="21">
        <f>DATE(YEAR(G626),MONTH(G626),1)</f>
        <v/>
      </c>
    </row>
    <row r="627">
      <c r="A627" t="inlineStr">
        <is>
          <t>SPO-00346-3</t>
        </is>
      </c>
      <c r="B627" t="inlineStr">
        <is>
          <t>SPO-00346</t>
        </is>
      </c>
      <c r="C627" t="inlineStr">
        <is>
          <t>SUP-01</t>
        </is>
      </c>
      <c r="D627" t="inlineStr">
        <is>
          <t>ELEC</t>
        </is>
      </c>
      <c r="E627" t="inlineStr">
        <is>
          <t>ELEC-04</t>
        </is>
      </c>
      <c r="F627" s="17" t="n">
        <v>45659</v>
      </c>
      <c r="G627" s="17" t="n">
        <v>45677</v>
      </c>
      <c r="H627" s="18" t="n">
        <v>28</v>
      </c>
      <c r="I627" s="19" t="n">
        <v>74.68000000000001</v>
      </c>
      <c r="J627" s="19" t="n">
        <v>72</v>
      </c>
      <c r="K627" s="20" t="n">
        <v>0</v>
      </c>
      <c r="L627" s="20" t="n">
        <v>0</v>
      </c>
      <c r="M627" s="18" t="n">
        <v>28</v>
      </c>
      <c r="N627" s="18" t="n">
        <v>0</v>
      </c>
      <c r="O627" s="18" t="n">
        <v>0</v>
      </c>
      <c r="P627" s="17" t="n">
        <v>45678</v>
      </c>
      <c r="Q627" s="17" t="n">
        <v>45694</v>
      </c>
      <c r="R627" s="17" t="n">
        <v>45694</v>
      </c>
      <c r="S627" s="19">
        <f>H627*I627</f>
        <v/>
      </c>
      <c r="T627" s="19">
        <f>H627*J627</f>
        <v/>
      </c>
      <c r="U627">
        <f>IF(AND(K627=0,G627&lt;=Assumptions!$C$6),1,0)</f>
        <v/>
      </c>
      <c r="V627">
        <f>IF(U627=1,IF(M627&gt;0,IF(P627&lt;=G627+Assumptions!$C$7,1,0),0),0)</f>
        <v/>
      </c>
      <c r="W627">
        <f>IF(AND(U627=1,M627&gt;=H627*(1-Assumptions!$C$8)),1,0)</f>
        <v/>
      </c>
      <c r="X627">
        <f>IF(AND(U627=1,N627&gt;=H627*(1-Assumptions!$C$8)),1,0)</f>
        <v/>
      </c>
      <c r="Y627">
        <f>IF(ISNUMBER(Q627),1,0)</f>
        <v/>
      </c>
      <c r="Z627">
        <f>IF(AND(K627=0,L627=0,Y627=0),1,0)</f>
        <v/>
      </c>
      <c r="AA627">
        <f>IF(AND(Z627=1,G627&lt;Assumptions!$C$6),1,0)</f>
        <v/>
      </c>
      <c r="AB627">
        <f>IF(U627=0,"",IF(Y627=1,MAX(0,Q627-G627),IF(L627=1,MAX(0,R627-G627),MAX(0,Assumptions!$C$6-G627))))</f>
        <v/>
      </c>
      <c r="AC627">
        <f>IF(Y627=1,Q627-F627,"")</f>
        <v/>
      </c>
      <c r="AD627">
        <f>IF(Y627=1,AC627^2,"")</f>
        <v/>
      </c>
      <c r="AE627" s="19">
        <f>IF(Z627=1,(H627-M627)*I627,0)</f>
        <v/>
      </c>
      <c r="AF627">
        <f>IF(G627&lt;EDATE(Assumptions!$C$6,-12)+1,"prior_12m","last_12m")</f>
        <v/>
      </c>
      <c r="AG627" s="21">
        <f>DATE(YEAR(G627),MONTH(G627),1)</f>
        <v/>
      </c>
    </row>
    <row r="628">
      <c r="A628" t="inlineStr">
        <is>
          <t>SPO-00347-1</t>
        </is>
      </c>
      <c r="B628" t="inlineStr">
        <is>
          <t>SPO-00347</t>
        </is>
      </c>
      <c r="C628" t="inlineStr">
        <is>
          <t>SUP-02</t>
        </is>
      </c>
      <c r="D628" t="inlineStr">
        <is>
          <t>ELEC</t>
        </is>
      </c>
      <c r="E628" t="inlineStr">
        <is>
          <t>ELEC-06</t>
        </is>
      </c>
      <c r="F628" s="17" t="n">
        <v>45659</v>
      </c>
      <c r="G628" s="17" t="n">
        <v>45675</v>
      </c>
      <c r="H628" s="18" t="n">
        <v>13</v>
      </c>
      <c r="I628" s="19" t="n">
        <v>150.04</v>
      </c>
      <c r="J628" s="19" t="n">
        <v>145</v>
      </c>
      <c r="K628" s="20" t="n">
        <v>0</v>
      </c>
      <c r="L628" s="20" t="n">
        <v>0</v>
      </c>
      <c r="M628" s="18" t="n">
        <v>13</v>
      </c>
      <c r="N628" s="18" t="n">
        <v>13</v>
      </c>
      <c r="O628" s="18" t="n">
        <v>0</v>
      </c>
      <c r="P628" s="17" t="n">
        <v>45674</v>
      </c>
      <c r="Q628" s="17" t="n">
        <v>45674</v>
      </c>
      <c r="R628" s="17" t="n">
        <v>45674</v>
      </c>
      <c r="S628" s="19">
        <f>H628*I628</f>
        <v/>
      </c>
      <c r="T628" s="19">
        <f>H628*J628</f>
        <v/>
      </c>
      <c r="U628">
        <f>IF(AND(K628=0,G628&lt;=Assumptions!$C$6),1,0)</f>
        <v/>
      </c>
      <c r="V628">
        <f>IF(U628=1,IF(M628&gt;0,IF(P628&lt;=G628+Assumptions!$C$7,1,0),0),0)</f>
        <v/>
      </c>
      <c r="W628">
        <f>IF(AND(U628=1,M628&gt;=H628*(1-Assumptions!$C$8)),1,0)</f>
        <v/>
      </c>
      <c r="X628">
        <f>IF(AND(U628=1,N628&gt;=H628*(1-Assumptions!$C$8)),1,0)</f>
        <v/>
      </c>
      <c r="Y628">
        <f>IF(ISNUMBER(Q628),1,0)</f>
        <v/>
      </c>
      <c r="Z628">
        <f>IF(AND(K628=0,L628=0,Y628=0),1,0)</f>
        <v/>
      </c>
      <c r="AA628">
        <f>IF(AND(Z628=1,G628&lt;Assumptions!$C$6),1,0)</f>
        <v/>
      </c>
      <c r="AB628">
        <f>IF(U628=0,"",IF(Y628=1,MAX(0,Q628-G628),IF(L628=1,MAX(0,R628-G628),MAX(0,Assumptions!$C$6-G628))))</f>
        <v/>
      </c>
      <c r="AC628">
        <f>IF(Y628=1,Q628-F628,"")</f>
        <v/>
      </c>
      <c r="AD628">
        <f>IF(Y628=1,AC628^2,"")</f>
        <v/>
      </c>
      <c r="AE628" s="19">
        <f>IF(Z628=1,(H628-M628)*I628,0)</f>
        <v/>
      </c>
      <c r="AF628">
        <f>IF(G628&lt;EDATE(Assumptions!$C$6,-12)+1,"prior_12m","last_12m")</f>
        <v/>
      </c>
      <c r="AG628" s="21">
        <f>DATE(YEAR(G628),MONTH(G628),1)</f>
        <v/>
      </c>
    </row>
    <row r="629">
      <c r="A629" t="inlineStr">
        <is>
          <t>SPO-00347-2</t>
        </is>
      </c>
      <c r="B629" t="inlineStr">
        <is>
          <t>SPO-00347</t>
        </is>
      </c>
      <c r="C629" t="inlineStr">
        <is>
          <t>SUP-02</t>
        </is>
      </c>
      <c r="D629" t="inlineStr">
        <is>
          <t>ELEC</t>
        </is>
      </c>
      <c r="E629" t="inlineStr">
        <is>
          <t>ELEC-05</t>
        </is>
      </c>
      <c r="F629" s="17" t="n">
        <v>45659</v>
      </c>
      <c r="G629" s="17" t="n">
        <v>45675</v>
      </c>
      <c r="H629" s="18" t="n">
        <v>79</v>
      </c>
      <c r="I629" s="19" t="n">
        <v>11.43</v>
      </c>
      <c r="J629" s="19" t="n">
        <v>11.5</v>
      </c>
      <c r="K629" s="20" t="n">
        <v>0</v>
      </c>
      <c r="L629" s="20" t="n">
        <v>0</v>
      </c>
      <c r="M629" s="18" t="n">
        <v>79</v>
      </c>
      <c r="N629" s="18" t="n">
        <v>79</v>
      </c>
      <c r="O629" s="18" t="n">
        <v>0</v>
      </c>
      <c r="P629" s="17" t="n">
        <v>45669</v>
      </c>
      <c r="Q629" s="17" t="n">
        <v>45669</v>
      </c>
      <c r="R629" s="17" t="n">
        <v>45669</v>
      </c>
      <c r="S629" s="19">
        <f>H629*I629</f>
        <v/>
      </c>
      <c r="T629" s="19">
        <f>H629*J629</f>
        <v/>
      </c>
      <c r="U629">
        <f>IF(AND(K629=0,G629&lt;=Assumptions!$C$6),1,0)</f>
        <v/>
      </c>
      <c r="V629">
        <f>IF(U629=1,IF(M629&gt;0,IF(P629&lt;=G629+Assumptions!$C$7,1,0),0),0)</f>
        <v/>
      </c>
      <c r="W629">
        <f>IF(AND(U629=1,M629&gt;=H629*(1-Assumptions!$C$8)),1,0)</f>
        <v/>
      </c>
      <c r="X629">
        <f>IF(AND(U629=1,N629&gt;=H629*(1-Assumptions!$C$8)),1,0)</f>
        <v/>
      </c>
      <c r="Y629">
        <f>IF(ISNUMBER(Q629),1,0)</f>
        <v/>
      </c>
      <c r="Z629">
        <f>IF(AND(K629=0,L629=0,Y629=0),1,0)</f>
        <v/>
      </c>
      <c r="AA629">
        <f>IF(AND(Z629=1,G629&lt;Assumptions!$C$6),1,0)</f>
        <v/>
      </c>
      <c r="AB629">
        <f>IF(U629=0,"",IF(Y629=1,MAX(0,Q629-G629),IF(L629=1,MAX(0,R629-G629),MAX(0,Assumptions!$C$6-G629))))</f>
        <v/>
      </c>
      <c r="AC629">
        <f>IF(Y629=1,Q629-F629,"")</f>
        <v/>
      </c>
      <c r="AD629">
        <f>IF(Y629=1,AC629^2,"")</f>
        <v/>
      </c>
      <c r="AE629" s="19">
        <f>IF(Z629=1,(H629-M629)*I629,0)</f>
        <v/>
      </c>
      <c r="AF629">
        <f>IF(G629&lt;EDATE(Assumptions!$C$6,-12)+1,"prior_12m","last_12m")</f>
        <v/>
      </c>
      <c r="AG629" s="21">
        <f>DATE(YEAR(G629),MONTH(G629),1)</f>
        <v/>
      </c>
    </row>
    <row r="630">
      <c r="A630" t="inlineStr">
        <is>
          <t>SPO-00347-3</t>
        </is>
      </c>
      <c r="B630" t="inlineStr">
        <is>
          <t>SPO-00347</t>
        </is>
      </c>
      <c r="C630" t="inlineStr">
        <is>
          <t>SUP-02</t>
        </is>
      </c>
      <c r="D630" t="inlineStr">
        <is>
          <t>ELEC</t>
        </is>
      </c>
      <c r="E630" t="inlineStr">
        <is>
          <t>ELEC-08</t>
        </is>
      </c>
      <c r="F630" s="17" t="n">
        <v>45659</v>
      </c>
      <c r="G630" s="17" t="n">
        <v>45675</v>
      </c>
      <c r="H630" s="18" t="n">
        <v>56</v>
      </c>
      <c r="I630" s="19" t="n">
        <v>17.87</v>
      </c>
      <c r="J630" s="19" t="n">
        <v>18</v>
      </c>
      <c r="K630" s="20" t="n">
        <v>0</v>
      </c>
      <c r="L630" s="20" t="n">
        <v>0</v>
      </c>
      <c r="M630" s="18" t="n">
        <v>56</v>
      </c>
      <c r="N630" s="18" t="n">
        <v>56</v>
      </c>
      <c r="O630" s="18" t="n">
        <v>0</v>
      </c>
      <c r="P630" s="17" t="n">
        <v>45675</v>
      </c>
      <c r="Q630" s="17" t="n">
        <v>45675</v>
      </c>
      <c r="R630" s="17" t="n">
        <v>45675</v>
      </c>
      <c r="S630" s="19">
        <f>H630*I630</f>
        <v/>
      </c>
      <c r="T630" s="19">
        <f>H630*J630</f>
        <v/>
      </c>
      <c r="U630">
        <f>IF(AND(K630=0,G630&lt;=Assumptions!$C$6),1,0)</f>
        <v/>
      </c>
      <c r="V630">
        <f>IF(U630=1,IF(M630&gt;0,IF(P630&lt;=G630+Assumptions!$C$7,1,0),0),0)</f>
        <v/>
      </c>
      <c r="W630">
        <f>IF(AND(U630=1,M630&gt;=H630*(1-Assumptions!$C$8)),1,0)</f>
        <v/>
      </c>
      <c r="X630">
        <f>IF(AND(U630=1,N630&gt;=H630*(1-Assumptions!$C$8)),1,0)</f>
        <v/>
      </c>
      <c r="Y630">
        <f>IF(ISNUMBER(Q630),1,0)</f>
        <v/>
      </c>
      <c r="Z630">
        <f>IF(AND(K630=0,L630=0,Y630=0),1,0)</f>
        <v/>
      </c>
      <c r="AA630">
        <f>IF(AND(Z630=1,G630&lt;Assumptions!$C$6),1,0)</f>
        <v/>
      </c>
      <c r="AB630">
        <f>IF(U630=0,"",IF(Y630=1,MAX(0,Q630-G630),IF(L630=1,MAX(0,R630-G630),MAX(0,Assumptions!$C$6-G630))))</f>
        <v/>
      </c>
      <c r="AC630">
        <f>IF(Y630=1,Q630-F630,"")</f>
        <v/>
      </c>
      <c r="AD630">
        <f>IF(Y630=1,AC630^2,"")</f>
        <v/>
      </c>
      <c r="AE630" s="19">
        <f>IF(Z630=1,(H630-M630)*I630,0)</f>
        <v/>
      </c>
      <c r="AF630">
        <f>IF(G630&lt;EDATE(Assumptions!$C$6,-12)+1,"prior_12m","last_12m")</f>
        <v/>
      </c>
      <c r="AG630" s="21">
        <f>DATE(YEAR(G630),MONTH(G630),1)</f>
        <v/>
      </c>
    </row>
    <row r="631">
      <c r="A631" t="inlineStr">
        <is>
          <t>SPO-00348-1</t>
        </is>
      </c>
      <c r="B631" t="inlineStr">
        <is>
          <t>SPO-00348</t>
        </is>
      </c>
      <c r="C631" t="inlineStr">
        <is>
          <t>SUP-12</t>
        </is>
      </c>
      <c r="D631" t="inlineStr">
        <is>
          <t>IT</t>
        </is>
      </c>
      <c r="E631" t="inlineStr">
        <is>
          <t>IT-06</t>
        </is>
      </c>
      <c r="F631" s="17" t="n">
        <v>45659</v>
      </c>
      <c r="G631" s="17" t="n">
        <v>45669</v>
      </c>
      <c r="H631" s="18" t="n">
        <v>33</v>
      </c>
      <c r="I631" s="19" t="n">
        <v>100.92</v>
      </c>
      <c r="J631" s="19" t="n">
        <v>89</v>
      </c>
      <c r="K631" s="20" t="n">
        <v>0</v>
      </c>
      <c r="L631" s="20" t="n">
        <v>0</v>
      </c>
      <c r="M631" s="18" t="n">
        <v>33</v>
      </c>
      <c r="N631" s="18" t="n">
        <v>33</v>
      </c>
      <c r="O631" s="18" t="n">
        <v>0</v>
      </c>
      <c r="P631" s="17" t="n">
        <v>45668</v>
      </c>
      <c r="Q631" s="17" t="n">
        <v>45668</v>
      </c>
      <c r="R631" s="17" t="n">
        <v>45668</v>
      </c>
      <c r="S631" s="19">
        <f>H631*I631</f>
        <v/>
      </c>
      <c r="T631" s="19">
        <f>H631*J631</f>
        <v/>
      </c>
      <c r="U631">
        <f>IF(AND(K631=0,G631&lt;=Assumptions!$C$6),1,0)</f>
        <v/>
      </c>
      <c r="V631">
        <f>IF(U631=1,IF(M631&gt;0,IF(P631&lt;=G631+Assumptions!$C$7,1,0),0),0)</f>
        <v/>
      </c>
      <c r="W631">
        <f>IF(AND(U631=1,M631&gt;=H631*(1-Assumptions!$C$8)),1,0)</f>
        <v/>
      </c>
      <c r="X631">
        <f>IF(AND(U631=1,N631&gt;=H631*(1-Assumptions!$C$8)),1,0)</f>
        <v/>
      </c>
      <c r="Y631">
        <f>IF(ISNUMBER(Q631),1,0)</f>
        <v/>
      </c>
      <c r="Z631">
        <f>IF(AND(K631=0,L631=0,Y631=0),1,0)</f>
        <v/>
      </c>
      <c r="AA631">
        <f>IF(AND(Z631=1,G631&lt;Assumptions!$C$6),1,0)</f>
        <v/>
      </c>
      <c r="AB631">
        <f>IF(U631=0,"",IF(Y631=1,MAX(0,Q631-G631),IF(L631=1,MAX(0,R631-G631),MAX(0,Assumptions!$C$6-G631))))</f>
        <v/>
      </c>
      <c r="AC631">
        <f>IF(Y631=1,Q631-F631,"")</f>
        <v/>
      </c>
      <c r="AD631">
        <f>IF(Y631=1,AC631^2,"")</f>
        <v/>
      </c>
      <c r="AE631" s="19">
        <f>IF(Z631=1,(H631-M631)*I631,0)</f>
        <v/>
      </c>
      <c r="AF631">
        <f>IF(G631&lt;EDATE(Assumptions!$C$6,-12)+1,"prior_12m","last_12m")</f>
        <v/>
      </c>
      <c r="AG631" s="21">
        <f>DATE(YEAR(G631),MONTH(G631),1)</f>
        <v/>
      </c>
    </row>
    <row r="632">
      <c r="A632" t="inlineStr">
        <is>
          <t>SPO-00348-2</t>
        </is>
      </c>
      <c r="B632" t="inlineStr">
        <is>
          <t>SPO-00348</t>
        </is>
      </c>
      <c r="C632" t="inlineStr">
        <is>
          <t>SUP-12</t>
        </is>
      </c>
      <c r="D632" t="inlineStr">
        <is>
          <t>IT</t>
        </is>
      </c>
      <c r="E632" t="inlineStr">
        <is>
          <t>IT-01</t>
        </is>
      </c>
      <c r="F632" s="17" t="n">
        <v>45659</v>
      </c>
      <c r="G632" s="17" t="n">
        <v>45669</v>
      </c>
      <c r="H632" s="18" t="n">
        <v>5</v>
      </c>
      <c r="I632" s="19" t="n">
        <v>217.62</v>
      </c>
      <c r="J632" s="19" t="n">
        <v>189</v>
      </c>
      <c r="K632" s="20" t="n">
        <v>0</v>
      </c>
      <c r="L632" s="20" t="n">
        <v>0</v>
      </c>
      <c r="M632" s="18" t="n">
        <v>5</v>
      </c>
      <c r="N632" s="18" t="n">
        <v>5</v>
      </c>
      <c r="O632" s="18" t="n">
        <v>0</v>
      </c>
      <c r="P632" s="17" t="n">
        <v>45664</v>
      </c>
      <c r="Q632" s="17" t="n">
        <v>45664</v>
      </c>
      <c r="R632" s="17" t="n">
        <v>45664</v>
      </c>
      <c r="S632" s="19">
        <f>H632*I632</f>
        <v/>
      </c>
      <c r="T632" s="19">
        <f>H632*J632</f>
        <v/>
      </c>
      <c r="U632">
        <f>IF(AND(K632=0,G632&lt;=Assumptions!$C$6),1,0)</f>
        <v/>
      </c>
      <c r="V632">
        <f>IF(U632=1,IF(M632&gt;0,IF(P632&lt;=G632+Assumptions!$C$7,1,0),0),0)</f>
        <v/>
      </c>
      <c r="W632">
        <f>IF(AND(U632=1,M632&gt;=H632*(1-Assumptions!$C$8)),1,0)</f>
        <v/>
      </c>
      <c r="X632">
        <f>IF(AND(U632=1,N632&gt;=H632*(1-Assumptions!$C$8)),1,0)</f>
        <v/>
      </c>
      <c r="Y632">
        <f>IF(ISNUMBER(Q632),1,0)</f>
        <v/>
      </c>
      <c r="Z632">
        <f>IF(AND(K632=0,L632=0,Y632=0),1,0)</f>
        <v/>
      </c>
      <c r="AA632">
        <f>IF(AND(Z632=1,G632&lt;Assumptions!$C$6),1,0)</f>
        <v/>
      </c>
      <c r="AB632">
        <f>IF(U632=0,"",IF(Y632=1,MAX(0,Q632-G632),IF(L632=1,MAX(0,R632-G632),MAX(0,Assumptions!$C$6-G632))))</f>
        <v/>
      </c>
      <c r="AC632">
        <f>IF(Y632=1,Q632-F632,"")</f>
        <v/>
      </c>
      <c r="AD632">
        <f>IF(Y632=1,AC632^2,"")</f>
        <v/>
      </c>
      <c r="AE632" s="19">
        <f>IF(Z632=1,(H632-M632)*I632,0)</f>
        <v/>
      </c>
      <c r="AF632">
        <f>IF(G632&lt;EDATE(Assumptions!$C$6,-12)+1,"prior_12m","last_12m")</f>
        <v/>
      </c>
      <c r="AG632" s="21">
        <f>DATE(YEAR(G632),MONTH(G632),1)</f>
        <v/>
      </c>
    </row>
    <row r="633">
      <c r="A633" t="inlineStr">
        <is>
          <t>SPO-00349-1</t>
        </is>
      </c>
      <c r="B633" t="inlineStr">
        <is>
          <t>SPO-00349</t>
        </is>
      </c>
      <c r="C633" t="inlineStr">
        <is>
          <t>SUP-01</t>
        </is>
      </c>
      <c r="D633" t="inlineStr">
        <is>
          <t>ELEC</t>
        </is>
      </c>
      <c r="E633" t="inlineStr">
        <is>
          <t>ELEC-06</t>
        </is>
      </c>
      <c r="F633" s="17" t="n">
        <v>45659</v>
      </c>
      <c r="G633" s="17" t="n">
        <v>45677</v>
      </c>
      <c r="H633" s="18" t="n">
        <v>16</v>
      </c>
      <c r="I633" s="19" t="n">
        <v>149.59</v>
      </c>
      <c r="J633" s="19" t="n">
        <v>145</v>
      </c>
      <c r="K633" s="20" t="n">
        <v>0</v>
      </c>
      <c r="L633" s="20" t="n">
        <v>0</v>
      </c>
      <c r="M633" s="18" t="n">
        <v>16</v>
      </c>
      <c r="N633" s="18" t="n">
        <v>16</v>
      </c>
      <c r="O633" s="18" t="n">
        <v>1</v>
      </c>
      <c r="P633" s="17" t="n">
        <v>45675</v>
      </c>
      <c r="Q633" s="17" t="n">
        <v>45675</v>
      </c>
      <c r="R633" s="17" t="n">
        <v>45675</v>
      </c>
      <c r="S633" s="19">
        <f>H633*I633</f>
        <v/>
      </c>
      <c r="T633" s="19">
        <f>H633*J633</f>
        <v/>
      </c>
      <c r="U633">
        <f>IF(AND(K633=0,G633&lt;=Assumptions!$C$6),1,0)</f>
        <v/>
      </c>
      <c r="V633">
        <f>IF(U633=1,IF(M633&gt;0,IF(P633&lt;=G633+Assumptions!$C$7,1,0),0),0)</f>
        <v/>
      </c>
      <c r="W633">
        <f>IF(AND(U633=1,M633&gt;=H633*(1-Assumptions!$C$8)),1,0)</f>
        <v/>
      </c>
      <c r="X633">
        <f>IF(AND(U633=1,N633&gt;=H633*(1-Assumptions!$C$8)),1,0)</f>
        <v/>
      </c>
      <c r="Y633">
        <f>IF(ISNUMBER(Q633),1,0)</f>
        <v/>
      </c>
      <c r="Z633">
        <f>IF(AND(K633=0,L633=0,Y633=0),1,0)</f>
        <v/>
      </c>
      <c r="AA633">
        <f>IF(AND(Z633=1,G633&lt;Assumptions!$C$6),1,0)</f>
        <v/>
      </c>
      <c r="AB633">
        <f>IF(U633=0,"",IF(Y633=1,MAX(0,Q633-G633),IF(L633=1,MAX(0,R633-G633),MAX(0,Assumptions!$C$6-G633))))</f>
        <v/>
      </c>
      <c r="AC633">
        <f>IF(Y633=1,Q633-F633,"")</f>
        <v/>
      </c>
      <c r="AD633">
        <f>IF(Y633=1,AC633^2,"")</f>
        <v/>
      </c>
      <c r="AE633" s="19">
        <f>IF(Z633=1,(H633-M633)*I633,0)</f>
        <v/>
      </c>
      <c r="AF633">
        <f>IF(G633&lt;EDATE(Assumptions!$C$6,-12)+1,"prior_12m","last_12m")</f>
        <v/>
      </c>
      <c r="AG633" s="21">
        <f>DATE(YEAR(G633),MONTH(G633),1)</f>
        <v/>
      </c>
    </row>
    <row r="634">
      <c r="A634" t="inlineStr">
        <is>
          <t>SPO-00349-2</t>
        </is>
      </c>
      <c r="B634" t="inlineStr">
        <is>
          <t>SPO-00349</t>
        </is>
      </c>
      <c r="C634" t="inlineStr">
        <is>
          <t>SUP-01</t>
        </is>
      </c>
      <c r="D634" t="inlineStr">
        <is>
          <t>ELEC</t>
        </is>
      </c>
      <c r="E634" t="inlineStr">
        <is>
          <t>ELEC-04</t>
        </is>
      </c>
      <c r="F634" s="17" t="n">
        <v>45659</v>
      </c>
      <c r="G634" s="17" t="n">
        <v>45677</v>
      </c>
      <c r="H634" s="18" t="n">
        <v>10</v>
      </c>
      <c r="I634" s="19" t="n">
        <v>69.83</v>
      </c>
      <c r="J634" s="19" t="n">
        <v>72</v>
      </c>
      <c r="K634" s="20" t="n">
        <v>0</v>
      </c>
      <c r="L634" s="20" t="n">
        <v>0</v>
      </c>
      <c r="M634" s="18" t="n">
        <v>10</v>
      </c>
      <c r="N634" s="18" t="n">
        <v>10</v>
      </c>
      <c r="O634" s="18" t="n">
        <v>0</v>
      </c>
      <c r="P634" s="17" t="n">
        <v>45670</v>
      </c>
      <c r="Q634" s="17" t="n">
        <v>45670</v>
      </c>
      <c r="R634" s="17" t="n">
        <v>45670</v>
      </c>
      <c r="S634" s="19">
        <f>H634*I634</f>
        <v/>
      </c>
      <c r="T634" s="19">
        <f>H634*J634</f>
        <v/>
      </c>
      <c r="U634">
        <f>IF(AND(K634=0,G634&lt;=Assumptions!$C$6),1,0)</f>
        <v/>
      </c>
      <c r="V634">
        <f>IF(U634=1,IF(M634&gt;0,IF(P634&lt;=G634+Assumptions!$C$7,1,0),0),0)</f>
        <v/>
      </c>
      <c r="W634">
        <f>IF(AND(U634=1,M634&gt;=H634*(1-Assumptions!$C$8)),1,0)</f>
        <v/>
      </c>
      <c r="X634">
        <f>IF(AND(U634=1,N634&gt;=H634*(1-Assumptions!$C$8)),1,0)</f>
        <v/>
      </c>
      <c r="Y634">
        <f>IF(ISNUMBER(Q634),1,0)</f>
        <v/>
      </c>
      <c r="Z634">
        <f>IF(AND(K634=0,L634=0,Y634=0),1,0)</f>
        <v/>
      </c>
      <c r="AA634">
        <f>IF(AND(Z634=1,G634&lt;Assumptions!$C$6),1,0)</f>
        <v/>
      </c>
      <c r="AB634">
        <f>IF(U634=0,"",IF(Y634=1,MAX(0,Q634-G634),IF(L634=1,MAX(0,R634-G634),MAX(0,Assumptions!$C$6-G634))))</f>
        <v/>
      </c>
      <c r="AC634">
        <f>IF(Y634=1,Q634-F634,"")</f>
        <v/>
      </c>
      <c r="AD634">
        <f>IF(Y634=1,AC634^2,"")</f>
        <v/>
      </c>
      <c r="AE634" s="19">
        <f>IF(Z634=1,(H634-M634)*I634,0)</f>
        <v/>
      </c>
      <c r="AF634">
        <f>IF(G634&lt;EDATE(Assumptions!$C$6,-12)+1,"prior_12m","last_12m")</f>
        <v/>
      </c>
      <c r="AG634" s="21">
        <f>DATE(YEAR(G634),MONTH(G634),1)</f>
        <v/>
      </c>
    </row>
    <row r="635">
      <c r="A635" t="inlineStr">
        <is>
          <t>SPO-00349-3</t>
        </is>
      </c>
      <c r="B635" t="inlineStr">
        <is>
          <t>SPO-00349</t>
        </is>
      </c>
      <c r="C635" t="inlineStr">
        <is>
          <t>SUP-01</t>
        </is>
      </c>
      <c r="D635" t="inlineStr">
        <is>
          <t>ELEC</t>
        </is>
      </c>
      <c r="E635" t="inlineStr">
        <is>
          <t>ELEC-03</t>
        </is>
      </c>
      <c r="F635" s="17" t="n">
        <v>45659</v>
      </c>
      <c r="G635" s="17" t="n">
        <v>45677</v>
      </c>
      <c r="H635" s="18" t="n">
        <v>20</v>
      </c>
      <c r="I635" s="19" t="n">
        <v>94.95</v>
      </c>
      <c r="J635" s="19" t="n">
        <v>96</v>
      </c>
      <c r="K635" s="20" t="n">
        <v>0</v>
      </c>
      <c r="L635" s="20" t="n">
        <v>0</v>
      </c>
      <c r="M635" s="18" t="n">
        <v>20</v>
      </c>
      <c r="N635" s="18" t="n">
        <v>20</v>
      </c>
      <c r="O635" s="18" t="n">
        <v>0</v>
      </c>
      <c r="P635" s="17" t="n">
        <v>45676</v>
      </c>
      <c r="Q635" s="17" t="n">
        <v>45676</v>
      </c>
      <c r="R635" s="17" t="n">
        <v>45676</v>
      </c>
      <c r="S635" s="19">
        <f>H635*I635</f>
        <v/>
      </c>
      <c r="T635" s="19">
        <f>H635*J635</f>
        <v/>
      </c>
      <c r="U635">
        <f>IF(AND(K635=0,G635&lt;=Assumptions!$C$6),1,0)</f>
        <v/>
      </c>
      <c r="V635">
        <f>IF(U635=1,IF(M635&gt;0,IF(P635&lt;=G635+Assumptions!$C$7,1,0),0),0)</f>
        <v/>
      </c>
      <c r="W635">
        <f>IF(AND(U635=1,M635&gt;=H635*(1-Assumptions!$C$8)),1,0)</f>
        <v/>
      </c>
      <c r="X635">
        <f>IF(AND(U635=1,N635&gt;=H635*(1-Assumptions!$C$8)),1,0)</f>
        <v/>
      </c>
      <c r="Y635">
        <f>IF(ISNUMBER(Q635),1,0)</f>
        <v/>
      </c>
      <c r="Z635">
        <f>IF(AND(K635=0,L635=0,Y635=0),1,0)</f>
        <v/>
      </c>
      <c r="AA635">
        <f>IF(AND(Z635=1,G635&lt;Assumptions!$C$6),1,0)</f>
        <v/>
      </c>
      <c r="AB635">
        <f>IF(U635=0,"",IF(Y635=1,MAX(0,Q635-G635),IF(L635=1,MAX(0,R635-G635),MAX(0,Assumptions!$C$6-G635))))</f>
        <v/>
      </c>
      <c r="AC635">
        <f>IF(Y635=1,Q635-F635,"")</f>
        <v/>
      </c>
      <c r="AD635">
        <f>IF(Y635=1,AC635^2,"")</f>
        <v/>
      </c>
      <c r="AE635" s="19">
        <f>IF(Z635=1,(H635-M635)*I635,0)</f>
        <v/>
      </c>
      <c r="AF635">
        <f>IF(G635&lt;EDATE(Assumptions!$C$6,-12)+1,"prior_12m","last_12m")</f>
        <v/>
      </c>
      <c r="AG635" s="21">
        <f>DATE(YEAR(G635),MONTH(G635),1)</f>
        <v/>
      </c>
    </row>
    <row r="636">
      <c r="A636" t="inlineStr">
        <is>
          <t>SPO-00349-4</t>
        </is>
      </c>
      <c r="B636" t="inlineStr">
        <is>
          <t>SPO-00349</t>
        </is>
      </c>
      <c r="C636" t="inlineStr">
        <is>
          <t>SUP-01</t>
        </is>
      </c>
      <c r="D636" t="inlineStr">
        <is>
          <t>ELEC</t>
        </is>
      </c>
      <c r="E636" t="inlineStr">
        <is>
          <t>ELEC-01</t>
        </is>
      </c>
      <c r="F636" s="17" t="n">
        <v>45659</v>
      </c>
      <c r="G636" s="17" t="n">
        <v>45677</v>
      </c>
      <c r="H636" s="18" t="n">
        <v>49</v>
      </c>
      <c r="I636" s="19" t="n">
        <v>36.43</v>
      </c>
      <c r="J636" s="19" t="n">
        <v>38</v>
      </c>
      <c r="K636" s="20" t="n">
        <v>0</v>
      </c>
      <c r="L636" s="20" t="n">
        <v>0</v>
      </c>
      <c r="M636" s="18" t="n">
        <v>49</v>
      </c>
      <c r="N636" s="18" t="n">
        <v>49</v>
      </c>
      <c r="O636" s="18" t="n">
        <v>0</v>
      </c>
      <c r="P636" s="17" t="n">
        <v>45674</v>
      </c>
      <c r="Q636" s="17" t="n">
        <v>45674</v>
      </c>
      <c r="R636" s="17" t="n">
        <v>45674</v>
      </c>
      <c r="S636" s="19">
        <f>H636*I636</f>
        <v/>
      </c>
      <c r="T636" s="19">
        <f>H636*J636</f>
        <v/>
      </c>
      <c r="U636">
        <f>IF(AND(K636=0,G636&lt;=Assumptions!$C$6),1,0)</f>
        <v/>
      </c>
      <c r="V636">
        <f>IF(U636=1,IF(M636&gt;0,IF(P636&lt;=G636+Assumptions!$C$7,1,0),0),0)</f>
        <v/>
      </c>
      <c r="W636">
        <f>IF(AND(U636=1,M636&gt;=H636*(1-Assumptions!$C$8)),1,0)</f>
        <v/>
      </c>
      <c r="X636">
        <f>IF(AND(U636=1,N636&gt;=H636*(1-Assumptions!$C$8)),1,0)</f>
        <v/>
      </c>
      <c r="Y636">
        <f>IF(ISNUMBER(Q636),1,0)</f>
        <v/>
      </c>
      <c r="Z636">
        <f>IF(AND(K636=0,L636=0,Y636=0),1,0)</f>
        <v/>
      </c>
      <c r="AA636">
        <f>IF(AND(Z636=1,G636&lt;Assumptions!$C$6),1,0)</f>
        <v/>
      </c>
      <c r="AB636">
        <f>IF(U636=0,"",IF(Y636=1,MAX(0,Q636-G636),IF(L636=1,MAX(0,R636-G636),MAX(0,Assumptions!$C$6-G636))))</f>
        <v/>
      </c>
      <c r="AC636">
        <f>IF(Y636=1,Q636-F636,"")</f>
        <v/>
      </c>
      <c r="AD636">
        <f>IF(Y636=1,AC636^2,"")</f>
        <v/>
      </c>
      <c r="AE636" s="19">
        <f>IF(Z636=1,(H636-M636)*I636,0)</f>
        <v/>
      </c>
      <c r="AF636">
        <f>IF(G636&lt;EDATE(Assumptions!$C$6,-12)+1,"prior_12m","last_12m")</f>
        <v/>
      </c>
      <c r="AG636" s="21">
        <f>DATE(YEAR(G636),MONTH(G636),1)</f>
        <v/>
      </c>
    </row>
    <row r="637">
      <c r="A637" t="inlineStr">
        <is>
          <t>SPO-00350-1</t>
        </is>
      </c>
      <c r="B637" t="inlineStr">
        <is>
          <t>SPO-00350</t>
        </is>
      </c>
      <c r="C637" t="inlineStr">
        <is>
          <t>SUP-04</t>
        </is>
      </c>
      <c r="D637" t="inlineStr">
        <is>
          <t>FLEET</t>
        </is>
      </c>
      <c r="E637" t="inlineStr">
        <is>
          <t>FLEET-02</t>
        </is>
      </c>
      <c r="F637" s="17" t="n">
        <v>45660</v>
      </c>
      <c r="G637" s="17" t="n">
        <v>45673</v>
      </c>
      <c r="H637" s="18" t="n">
        <v>104</v>
      </c>
      <c r="I637" s="19" t="n">
        <v>7.54</v>
      </c>
      <c r="J637" s="19" t="n">
        <v>7.5</v>
      </c>
      <c r="K637" s="20" t="n">
        <v>0</v>
      </c>
      <c r="L637" s="20" t="n">
        <v>0</v>
      </c>
      <c r="M637" s="18" t="n">
        <v>104</v>
      </c>
      <c r="N637" s="18" t="n">
        <v>104</v>
      </c>
      <c r="O637" s="18" t="n">
        <v>0</v>
      </c>
      <c r="P637" s="17" t="n">
        <v>45661</v>
      </c>
      <c r="Q637" s="17" t="n">
        <v>45661</v>
      </c>
      <c r="R637" s="17" t="n">
        <v>45661</v>
      </c>
      <c r="S637" s="19">
        <f>H637*I637</f>
        <v/>
      </c>
      <c r="T637" s="19">
        <f>H637*J637</f>
        <v/>
      </c>
      <c r="U637">
        <f>IF(AND(K637=0,G637&lt;=Assumptions!$C$6),1,0)</f>
        <v/>
      </c>
      <c r="V637">
        <f>IF(U637=1,IF(M637&gt;0,IF(P637&lt;=G637+Assumptions!$C$7,1,0),0),0)</f>
        <v/>
      </c>
      <c r="W637">
        <f>IF(AND(U637=1,M637&gt;=H637*(1-Assumptions!$C$8)),1,0)</f>
        <v/>
      </c>
      <c r="X637">
        <f>IF(AND(U637=1,N637&gt;=H637*(1-Assumptions!$C$8)),1,0)</f>
        <v/>
      </c>
      <c r="Y637">
        <f>IF(ISNUMBER(Q637),1,0)</f>
        <v/>
      </c>
      <c r="Z637">
        <f>IF(AND(K637=0,L637=0,Y637=0),1,0)</f>
        <v/>
      </c>
      <c r="AA637">
        <f>IF(AND(Z637=1,G637&lt;Assumptions!$C$6),1,0)</f>
        <v/>
      </c>
      <c r="AB637">
        <f>IF(U637=0,"",IF(Y637=1,MAX(0,Q637-G637),IF(L637=1,MAX(0,R637-G637),MAX(0,Assumptions!$C$6-G637))))</f>
        <v/>
      </c>
      <c r="AC637">
        <f>IF(Y637=1,Q637-F637,"")</f>
        <v/>
      </c>
      <c r="AD637">
        <f>IF(Y637=1,AC637^2,"")</f>
        <v/>
      </c>
      <c r="AE637" s="19">
        <f>IF(Z637=1,(H637-M637)*I637,0)</f>
        <v/>
      </c>
      <c r="AF637">
        <f>IF(G637&lt;EDATE(Assumptions!$C$6,-12)+1,"prior_12m","last_12m")</f>
        <v/>
      </c>
      <c r="AG637" s="21">
        <f>DATE(YEAR(G637),MONTH(G637),1)</f>
        <v/>
      </c>
    </row>
    <row r="638">
      <c r="A638" t="inlineStr">
        <is>
          <t>SPO-00351-1</t>
        </is>
      </c>
      <c r="B638" t="inlineStr">
        <is>
          <t>SPO-00351</t>
        </is>
      </c>
      <c r="C638" t="inlineStr">
        <is>
          <t>SUP-01</t>
        </is>
      </c>
      <c r="D638" t="inlineStr">
        <is>
          <t>ELEC</t>
        </is>
      </c>
      <c r="E638" t="inlineStr">
        <is>
          <t>ELEC-04</t>
        </is>
      </c>
      <c r="F638" s="17" t="n">
        <v>45660</v>
      </c>
      <c r="G638" s="17" t="n">
        <v>45678</v>
      </c>
      <c r="H638" s="18" t="n">
        <v>42</v>
      </c>
      <c r="I638" s="19" t="n">
        <v>69.56999999999999</v>
      </c>
      <c r="J638" s="19" t="n">
        <v>72</v>
      </c>
      <c r="K638" s="20" t="n">
        <v>0</v>
      </c>
      <c r="L638" s="20" t="n">
        <v>0</v>
      </c>
      <c r="M638" s="18" t="n">
        <v>42</v>
      </c>
      <c r="N638" s="18" t="n">
        <v>42</v>
      </c>
      <c r="O638" s="18" t="n">
        <v>0</v>
      </c>
      <c r="P638" s="17" t="n">
        <v>45672</v>
      </c>
      <c r="Q638" s="17" t="n">
        <v>45672</v>
      </c>
      <c r="R638" s="17" t="n">
        <v>45672</v>
      </c>
      <c r="S638" s="19">
        <f>H638*I638</f>
        <v/>
      </c>
      <c r="T638" s="19">
        <f>H638*J638</f>
        <v/>
      </c>
      <c r="U638">
        <f>IF(AND(K638=0,G638&lt;=Assumptions!$C$6),1,0)</f>
        <v/>
      </c>
      <c r="V638">
        <f>IF(U638=1,IF(M638&gt;0,IF(P638&lt;=G638+Assumptions!$C$7,1,0),0),0)</f>
        <v/>
      </c>
      <c r="W638">
        <f>IF(AND(U638=1,M638&gt;=H638*(1-Assumptions!$C$8)),1,0)</f>
        <v/>
      </c>
      <c r="X638">
        <f>IF(AND(U638=1,N638&gt;=H638*(1-Assumptions!$C$8)),1,0)</f>
        <v/>
      </c>
      <c r="Y638">
        <f>IF(ISNUMBER(Q638),1,0)</f>
        <v/>
      </c>
      <c r="Z638">
        <f>IF(AND(K638=0,L638=0,Y638=0),1,0)</f>
        <v/>
      </c>
      <c r="AA638">
        <f>IF(AND(Z638=1,G638&lt;Assumptions!$C$6),1,0)</f>
        <v/>
      </c>
      <c r="AB638">
        <f>IF(U638=0,"",IF(Y638=1,MAX(0,Q638-G638),IF(L638=1,MAX(0,R638-G638),MAX(0,Assumptions!$C$6-G638))))</f>
        <v/>
      </c>
      <c r="AC638">
        <f>IF(Y638=1,Q638-F638,"")</f>
        <v/>
      </c>
      <c r="AD638">
        <f>IF(Y638=1,AC638^2,"")</f>
        <v/>
      </c>
      <c r="AE638" s="19">
        <f>IF(Z638=1,(H638-M638)*I638,0)</f>
        <v/>
      </c>
      <c r="AF638">
        <f>IF(G638&lt;EDATE(Assumptions!$C$6,-12)+1,"prior_12m","last_12m")</f>
        <v/>
      </c>
      <c r="AG638" s="21">
        <f>DATE(YEAR(G638),MONTH(G638),1)</f>
        <v/>
      </c>
    </row>
    <row r="639">
      <c r="A639" t="inlineStr">
        <is>
          <t>SPO-00352-1</t>
        </is>
      </c>
      <c r="B639" t="inlineStr">
        <is>
          <t>SPO-00352</t>
        </is>
      </c>
      <c r="C639" t="inlineStr">
        <is>
          <t>SUP-02</t>
        </is>
      </c>
      <c r="D639" t="inlineStr">
        <is>
          <t>ELEC</t>
        </is>
      </c>
      <c r="E639" t="inlineStr">
        <is>
          <t>ELEC-02</t>
        </is>
      </c>
      <c r="F639" s="17" t="n">
        <v>45660</v>
      </c>
      <c r="G639" s="17" t="n">
        <v>45676</v>
      </c>
      <c r="H639" s="18" t="n">
        <v>475</v>
      </c>
      <c r="I639" s="19" t="n">
        <v>4.44</v>
      </c>
      <c r="J639" s="19" t="n">
        <v>4.2</v>
      </c>
      <c r="K639" s="20" t="n">
        <v>0</v>
      </c>
      <c r="L639" s="20" t="n">
        <v>0</v>
      </c>
      <c r="M639" s="18" t="n">
        <v>475</v>
      </c>
      <c r="N639" s="18" t="n">
        <v>475</v>
      </c>
      <c r="O639" s="18" t="n">
        <v>0</v>
      </c>
      <c r="P639" s="17" t="n">
        <v>45672</v>
      </c>
      <c r="Q639" s="17" t="n">
        <v>45672</v>
      </c>
      <c r="R639" s="17" t="n">
        <v>45672</v>
      </c>
      <c r="S639" s="19">
        <f>H639*I639</f>
        <v/>
      </c>
      <c r="T639" s="19">
        <f>H639*J639</f>
        <v/>
      </c>
      <c r="U639">
        <f>IF(AND(K639=0,G639&lt;=Assumptions!$C$6),1,0)</f>
        <v/>
      </c>
      <c r="V639">
        <f>IF(U639=1,IF(M639&gt;0,IF(P639&lt;=G639+Assumptions!$C$7,1,0),0),0)</f>
        <v/>
      </c>
      <c r="W639">
        <f>IF(AND(U639=1,M639&gt;=H639*(1-Assumptions!$C$8)),1,0)</f>
        <v/>
      </c>
      <c r="X639">
        <f>IF(AND(U639=1,N639&gt;=H639*(1-Assumptions!$C$8)),1,0)</f>
        <v/>
      </c>
      <c r="Y639">
        <f>IF(ISNUMBER(Q639),1,0)</f>
        <v/>
      </c>
      <c r="Z639">
        <f>IF(AND(K639=0,L639=0,Y639=0),1,0)</f>
        <v/>
      </c>
      <c r="AA639">
        <f>IF(AND(Z639=1,G639&lt;Assumptions!$C$6),1,0)</f>
        <v/>
      </c>
      <c r="AB639">
        <f>IF(U639=0,"",IF(Y639=1,MAX(0,Q639-G639),IF(L639=1,MAX(0,R639-G639),MAX(0,Assumptions!$C$6-G639))))</f>
        <v/>
      </c>
      <c r="AC639">
        <f>IF(Y639=1,Q639-F639,"")</f>
        <v/>
      </c>
      <c r="AD639">
        <f>IF(Y639=1,AC639^2,"")</f>
        <v/>
      </c>
      <c r="AE639" s="19">
        <f>IF(Z639=1,(H639-M639)*I639,0)</f>
        <v/>
      </c>
      <c r="AF639">
        <f>IF(G639&lt;EDATE(Assumptions!$C$6,-12)+1,"prior_12m","last_12m")</f>
        <v/>
      </c>
      <c r="AG639" s="21">
        <f>DATE(YEAR(G639),MONTH(G639),1)</f>
        <v/>
      </c>
    </row>
    <row r="640">
      <c r="A640" t="inlineStr">
        <is>
          <t>SPO-00353-1</t>
        </is>
      </c>
      <c r="B640" t="inlineStr">
        <is>
          <t>SPO-00353</t>
        </is>
      </c>
      <c r="C640" t="inlineStr">
        <is>
          <t>SUP-06</t>
        </is>
      </c>
      <c r="D640" t="inlineStr">
        <is>
          <t>MRO</t>
        </is>
      </c>
      <c r="E640" t="inlineStr">
        <is>
          <t>MRO-01</t>
        </is>
      </c>
      <c r="F640" s="17" t="n">
        <v>45660</v>
      </c>
      <c r="G640" s="17" t="n">
        <v>45668</v>
      </c>
      <c r="H640" s="18" t="n">
        <v>34</v>
      </c>
      <c r="I640" s="19" t="n">
        <v>53</v>
      </c>
      <c r="J640" s="19" t="n">
        <v>52</v>
      </c>
      <c r="K640" s="20" t="n">
        <v>0</v>
      </c>
      <c r="L640" s="20" t="n">
        <v>0</v>
      </c>
      <c r="M640" s="18" t="n">
        <v>34</v>
      </c>
      <c r="N640" s="18" t="n">
        <v>34</v>
      </c>
      <c r="O640" s="18" t="n">
        <v>0</v>
      </c>
      <c r="P640" s="17" t="n">
        <v>45666</v>
      </c>
      <c r="Q640" s="17" t="n">
        <v>45666</v>
      </c>
      <c r="R640" s="17" t="n">
        <v>45666</v>
      </c>
      <c r="S640" s="19">
        <f>H640*I640</f>
        <v/>
      </c>
      <c r="T640" s="19">
        <f>H640*J640</f>
        <v/>
      </c>
      <c r="U640">
        <f>IF(AND(K640=0,G640&lt;=Assumptions!$C$6),1,0)</f>
        <v/>
      </c>
      <c r="V640">
        <f>IF(U640=1,IF(M640&gt;0,IF(P640&lt;=G640+Assumptions!$C$7,1,0),0),0)</f>
        <v/>
      </c>
      <c r="W640">
        <f>IF(AND(U640=1,M640&gt;=H640*(1-Assumptions!$C$8)),1,0)</f>
        <v/>
      </c>
      <c r="X640">
        <f>IF(AND(U640=1,N640&gt;=H640*(1-Assumptions!$C$8)),1,0)</f>
        <v/>
      </c>
      <c r="Y640">
        <f>IF(ISNUMBER(Q640),1,0)</f>
        <v/>
      </c>
      <c r="Z640">
        <f>IF(AND(K640=0,L640=0,Y640=0),1,0)</f>
        <v/>
      </c>
      <c r="AA640">
        <f>IF(AND(Z640=1,G640&lt;Assumptions!$C$6),1,0)</f>
        <v/>
      </c>
      <c r="AB640">
        <f>IF(U640=0,"",IF(Y640=1,MAX(0,Q640-G640),IF(L640=1,MAX(0,R640-G640),MAX(0,Assumptions!$C$6-G640))))</f>
        <v/>
      </c>
      <c r="AC640">
        <f>IF(Y640=1,Q640-F640,"")</f>
        <v/>
      </c>
      <c r="AD640">
        <f>IF(Y640=1,AC640^2,"")</f>
        <v/>
      </c>
      <c r="AE640" s="19">
        <f>IF(Z640=1,(H640-M640)*I640,0)</f>
        <v/>
      </c>
      <c r="AF640">
        <f>IF(G640&lt;EDATE(Assumptions!$C$6,-12)+1,"prior_12m","last_12m")</f>
        <v/>
      </c>
      <c r="AG640" s="21">
        <f>DATE(YEAR(G640),MONTH(G640),1)</f>
        <v/>
      </c>
    </row>
    <row r="641">
      <c r="A641" t="inlineStr">
        <is>
          <t>SPO-00353-2</t>
        </is>
      </c>
      <c r="B641" t="inlineStr">
        <is>
          <t>SPO-00353</t>
        </is>
      </c>
      <c r="C641" t="inlineStr">
        <is>
          <t>SUP-06</t>
        </is>
      </c>
      <c r="D641" t="inlineStr">
        <is>
          <t>MRO</t>
        </is>
      </c>
      <c r="E641" t="inlineStr">
        <is>
          <t>MRO-08</t>
        </is>
      </c>
      <c r="F641" s="17" t="n">
        <v>45660</v>
      </c>
      <c r="G641" s="17" t="n">
        <v>45668</v>
      </c>
      <c r="H641" s="18" t="n">
        <v>293</v>
      </c>
      <c r="I641" s="19" t="n">
        <v>7.53</v>
      </c>
      <c r="J641" s="19" t="n">
        <v>7.2</v>
      </c>
      <c r="K641" s="20" t="n">
        <v>0</v>
      </c>
      <c r="L641" s="20" t="n">
        <v>0</v>
      </c>
      <c r="M641" s="18" t="n">
        <v>293</v>
      </c>
      <c r="N641" s="18" t="n">
        <v>293</v>
      </c>
      <c r="O641" s="18" t="n">
        <v>0</v>
      </c>
      <c r="P641" s="17" t="n">
        <v>45667</v>
      </c>
      <c r="Q641" s="17" t="n">
        <v>45667</v>
      </c>
      <c r="R641" s="17" t="n">
        <v>45667</v>
      </c>
      <c r="S641" s="19">
        <f>H641*I641</f>
        <v/>
      </c>
      <c r="T641" s="19">
        <f>H641*J641</f>
        <v/>
      </c>
      <c r="U641">
        <f>IF(AND(K641=0,G641&lt;=Assumptions!$C$6),1,0)</f>
        <v/>
      </c>
      <c r="V641">
        <f>IF(U641=1,IF(M641&gt;0,IF(P641&lt;=G641+Assumptions!$C$7,1,0),0),0)</f>
        <v/>
      </c>
      <c r="W641">
        <f>IF(AND(U641=1,M641&gt;=H641*(1-Assumptions!$C$8)),1,0)</f>
        <v/>
      </c>
      <c r="X641">
        <f>IF(AND(U641=1,N641&gt;=H641*(1-Assumptions!$C$8)),1,0)</f>
        <v/>
      </c>
      <c r="Y641">
        <f>IF(ISNUMBER(Q641),1,0)</f>
        <v/>
      </c>
      <c r="Z641">
        <f>IF(AND(K641=0,L641=0,Y641=0),1,0)</f>
        <v/>
      </c>
      <c r="AA641">
        <f>IF(AND(Z641=1,G641&lt;Assumptions!$C$6),1,0)</f>
        <v/>
      </c>
      <c r="AB641">
        <f>IF(U641=0,"",IF(Y641=1,MAX(0,Q641-G641),IF(L641=1,MAX(0,R641-G641),MAX(0,Assumptions!$C$6-G641))))</f>
        <v/>
      </c>
      <c r="AC641">
        <f>IF(Y641=1,Q641-F641,"")</f>
        <v/>
      </c>
      <c r="AD641">
        <f>IF(Y641=1,AC641^2,"")</f>
        <v/>
      </c>
      <c r="AE641" s="19">
        <f>IF(Z641=1,(H641-M641)*I641,0)</f>
        <v/>
      </c>
      <c r="AF641">
        <f>IF(G641&lt;EDATE(Assumptions!$C$6,-12)+1,"prior_12m","last_12m")</f>
        <v/>
      </c>
      <c r="AG641" s="21">
        <f>DATE(YEAR(G641),MONTH(G641),1)</f>
        <v/>
      </c>
    </row>
    <row r="642">
      <c r="A642" t="inlineStr">
        <is>
          <t>SPO-00354-1</t>
        </is>
      </c>
      <c r="B642" t="inlineStr">
        <is>
          <t>SPO-00354</t>
        </is>
      </c>
      <c r="C642" t="inlineStr">
        <is>
          <t>SUP-10</t>
        </is>
      </c>
      <c r="D642" t="inlineStr">
        <is>
          <t>PPE</t>
        </is>
      </c>
      <c r="E642" t="inlineStr">
        <is>
          <t>PPE-06</t>
        </is>
      </c>
      <c r="F642" s="17" t="n">
        <v>45660</v>
      </c>
      <c r="G642" s="17" t="n">
        <v>45673</v>
      </c>
      <c r="H642" s="18" t="n">
        <v>28</v>
      </c>
      <c r="I642" s="19" t="n">
        <v>112.3</v>
      </c>
      <c r="J642" s="19" t="n">
        <v>115</v>
      </c>
      <c r="K642" s="20" t="n">
        <v>0</v>
      </c>
      <c r="L642" s="20" t="n">
        <v>0</v>
      </c>
      <c r="M642" s="18" t="n">
        <v>28</v>
      </c>
      <c r="N642" s="18" t="n">
        <v>28</v>
      </c>
      <c r="O642" s="18" t="n">
        <v>0</v>
      </c>
      <c r="P642" s="17" t="n">
        <v>45666</v>
      </c>
      <c r="Q642" s="17" t="n">
        <v>45666</v>
      </c>
      <c r="R642" s="17" t="n">
        <v>45666</v>
      </c>
      <c r="S642" s="19">
        <f>H642*I642</f>
        <v/>
      </c>
      <c r="T642" s="19">
        <f>H642*J642</f>
        <v/>
      </c>
      <c r="U642">
        <f>IF(AND(K642=0,G642&lt;=Assumptions!$C$6),1,0)</f>
        <v/>
      </c>
      <c r="V642">
        <f>IF(U642=1,IF(M642&gt;0,IF(P642&lt;=G642+Assumptions!$C$7,1,0),0),0)</f>
        <v/>
      </c>
      <c r="W642">
        <f>IF(AND(U642=1,M642&gt;=H642*(1-Assumptions!$C$8)),1,0)</f>
        <v/>
      </c>
      <c r="X642">
        <f>IF(AND(U642=1,N642&gt;=H642*(1-Assumptions!$C$8)),1,0)</f>
        <v/>
      </c>
      <c r="Y642">
        <f>IF(ISNUMBER(Q642),1,0)</f>
        <v/>
      </c>
      <c r="Z642">
        <f>IF(AND(K642=0,L642=0,Y642=0),1,0)</f>
        <v/>
      </c>
      <c r="AA642">
        <f>IF(AND(Z642=1,G642&lt;Assumptions!$C$6),1,0)</f>
        <v/>
      </c>
      <c r="AB642">
        <f>IF(U642=0,"",IF(Y642=1,MAX(0,Q642-G642),IF(L642=1,MAX(0,R642-G642),MAX(0,Assumptions!$C$6-G642))))</f>
        <v/>
      </c>
      <c r="AC642">
        <f>IF(Y642=1,Q642-F642,"")</f>
        <v/>
      </c>
      <c r="AD642">
        <f>IF(Y642=1,AC642^2,"")</f>
        <v/>
      </c>
      <c r="AE642" s="19">
        <f>IF(Z642=1,(H642-M642)*I642,0)</f>
        <v/>
      </c>
      <c r="AF642">
        <f>IF(G642&lt;EDATE(Assumptions!$C$6,-12)+1,"prior_12m","last_12m")</f>
        <v/>
      </c>
      <c r="AG642" s="21">
        <f>DATE(YEAR(G642),MONTH(G642),1)</f>
        <v/>
      </c>
    </row>
    <row r="643">
      <c r="A643" t="inlineStr">
        <is>
          <t>SPO-00354-2</t>
        </is>
      </c>
      <c r="B643" t="inlineStr">
        <is>
          <t>SPO-00354</t>
        </is>
      </c>
      <c r="C643" t="inlineStr">
        <is>
          <t>SUP-10</t>
        </is>
      </c>
      <c r="D643" t="inlineStr">
        <is>
          <t>PPE</t>
        </is>
      </c>
      <c r="E643" t="inlineStr">
        <is>
          <t>PPE-07</t>
        </is>
      </c>
      <c r="F643" s="17" t="n">
        <v>45660</v>
      </c>
      <c r="G643" s="17" t="n">
        <v>45673</v>
      </c>
      <c r="H643" s="18" t="n">
        <v>29</v>
      </c>
      <c r="I643" s="19" t="n">
        <v>30.8</v>
      </c>
      <c r="J643" s="19" t="n">
        <v>31</v>
      </c>
      <c r="K643" s="20" t="n">
        <v>0</v>
      </c>
      <c r="L643" s="20" t="n">
        <v>0</v>
      </c>
      <c r="M643" s="18" t="n">
        <v>29</v>
      </c>
      <c r="N643" s="18" t="n">
        <v>29</v>
      </c>
      <c r="O643" s="18" t="n">
        <v>0</v>
      </c>
      <c r="P643" s="17" t="n">
        <v>45670</v>
      </c>
      <c r="Q643" s="17" t="n">
        <v>45670</v>
      </c>
      <c r="R643" s="17" t="n">
        <v>45670</v>
      </c>
      <c r="S643" s="19">
        <f>H643*I643</f>
        <v/>
      </c>
      <c r="T643" s="19">
        <f>H643*J643</f>
        <v/>
      </c>
      <c r="U643">
        <f>IF(AND(K643=0,G643&lt;=Assumptions!$C$6),1,0)</f>
        <v/>
      </c>
      <c r="V643">
        <f>IF(U643=1,IF(M643&gt;0,IF(P643&lt;=G643+Assumptions!$C$7,1,0),0),0)</f>
        <v/>
      </c>
      <c r="W643">
        <f>IF(AND(U643=1,M643&gt;=H643*(1-Assumptions!$C$8)),1,0)</f>
        <v/>
      </c>
      <c r="X643">
        <f>IF(AND(U643=1,N643&gt;=H643*(1-Assumptions!$C$8)),1,0)</f>
        <v/>
      </c>
      <c r="Y643">
        <f>IF(ISNUMBER(Q643),1,0)</f>
        <v/>
      </c>
      <c r="Z643">
        <f>IF(AND(K643=0,L643=0,Y643=0),1,0)</f>
        <v/>
      </c>
      <c r="AA643">
        <f>IF(AND(Z643=1,G643&lt;Assumptions!$C$6),1,0)</f>
        <v/>
      </c>
      <c r="AB643">
        <f>IF(U643=0,"",IF(Y643=1,MAX(0,Q643-G643),IF(L643=1,MAX(0,R643-G643),MAX(0,Assumptions!$C$6-G643))))</f>
        <v/>
      </c>
      <c r="AC643">
        <f>IF(Y643=1,Q643-F643,"")</f>
        <v/>
      </c>
      <c r="AD643">
        <f>IF(Y643=1,AC643^2,"")</f>
        <v/>
      </c>
      <c r="AE643" s="19">
        <f>IF(Z643=1,(H643-M643)*I643,0)</f>
        <v/>
      </c>
      <c r="AF643">
        <f>IF(G643&lt;EDATE(Assumptions!$C$6,-12)+1,"prior_12m","last_12m")</f>
        <v/>
      </c>
      <c r="AG643" s="21">
        <f>DATE(YEAR(G643),MONTH(G643),1)</f>
        <v/>
      </c>
    </row>
    <row r="644">
      <c r="A644" t="inlineStr">
        <is>
          <t>SPO-00355-1</t>
        </is>
      </c>
      <c r="B644" t="inlineStr">
        <is>
          <t>SPO-00355</t>
        </is>
      </c>
      <c r="C644" t="inlineStr">
        <is>
          <t>SUP-06</t>
        </is>
      </c>
      <c r="D644" t="inlineStr">
        <is>
          <t>MRO</t>
        </is>
      </c>
      <c r="E644" t="inlineStr">
        <is>
          <t>MRO-07</t>
        </is>
      </c>
      <c r="F644" s="17" t="n">
        <v>45660</v>
      </c>
      <c r="G644" s="17" t="n">
        <v>45668</v>
      </c>
      <c r="H644" s="18" t="n">
        <v>215</v>
      </c>
      <c r="I644" s="19" t="n">
        <v>13.88</v>
      </c>
      <c r="J644" s="19" t="n">
        <v>14</v>
      </c>
      <c r="K644" s="20" t="n">
        <v>0</v>
      </c>
      <c r="L644" s="20" t="n">
        <v>0</v>
      </c>
      <c r="M644" s="18" t="n">
        <v>215</v>
      </c>
      <c r="N644" s="18" t="n">
        <v>215</v>
      </c>
      <c r="O644" s="18" t="n">
        <v>0</v>
      </c>
      <c r="P644" s="17" t="n">
        <v>45664</v>
      </c>
      <c r="Q644" s="17" t="n">
        <v>45664</v>
      </c>
      <c r="R644" s="17" t="n">
        <v>45664</v>
      </c>
      <c r="S644" s="19">
        <f>H644*I644</f>
        <v/>
      </c>
      <c r="T644" s="19">
        <f>H644*J644</f>
        <v/>
      </c>
      <c r="U644">
        <f>IF(AND(K644=0,G644&lt;=Assumptions!$C$6),1,0)</f>
        <v/>
      </c>
      <c r="V644">
        <f>IF(U644=1,IF(M644&gt;0,IF(P644&lt;=G644+Assumptions!$C$7,1,0),0),0)</f>
        <v/>
      </c>
      <c r="W644">
        <f>IF(AND(U644=1,M644&gt;=H644*(1-Assumptions!$C$8)),1,0)</f>
        <v/>
      </c>
      <c r="X644">
        <f>IF(AND(U644=1,N644&gt;=H644*(1-Assumptions!$C$8)),1,0)</f>
        <v/>
      </c>
      <c r="Y644">
        <f>IF(ISNUMBER(Q644),1,0)</f>
        <v/>
      </c>
      <c r="Z644">
        <f>IF(AND(K644=0,L644=0,Y644=0),1,0)</f>
        <v/>
      </c>
      <c r="AA644">
        <f>IF(AND(Z644=1,G644&lt;Assumptions!$C$6),1,0)</f>
        <v/>
      </c>
      <c r="AB644">
        <f>IF(U644=0,"",IF(Y644=1,MAX(0,Q644-G644),IF(L644=1,MAX(0,R644-G644),MAX(0,Assumptions!$C$6-G644))))</f>
        <v/>
      </c>
      <c r="AC644">
        <f>IF(Y644=1,Q644-F644,"")</f>
        <v/>
      </c>
      <c r="AD644">
        <f>IF(Y644=1,AC644^2,"")</f>
        <v/>
      </c>
      <c r="AE644" s="19">
        <f>IF(Z644=1,(H644-M644)*I644,0)</f>
        <v/>
      </c>
      <c r="AF644">
        <f>IF(G644&lt;EDATE(Assumptions!$C$6,-12)+1,"prior_12m","last_12m")</f>
        <v/>
      </c>
      <c r="AG644" s="21">
        <f>DATE(YEAR(G644),MONTH(G644),1)</f>
        <v/>
      </c>
    </row>
    <row r="645">
      <c r="A645" t="inlineStr">
        <is>
          <t>SPO-00356-1</t>
        </is>
      </c>
      <c r="B645" t="inlineStr">
        <is>
          <t>SPO-00356</t>
        </is>
      </c>
      <c r="C645" t="inlineStr">
        <is>
          <t>SUP-01</t>
        </is>
      </c>
      <c r="D645" t="inlineStr">
        <is>
          <t>ELEC</t>
        </is>
      </c>
      <c r="E645" t="inlineStr">
        <is>
          <t>ELEC-02</t>
        </is>
      </c>
      <c r="F645" s="17" t="n">
        <v>45660</v>
      </c>
      <c r="G645" s="17" t="n">
        <v>45678</v>
      </c>
      <c r="H645" s="18" t="n">
        <v>1094</v>
      </c>
      <c r="I645" s="19" t="n">
        <v>4.14</v>
      </c>
      <c r="J645" s="19" t="n">
        <v>4.2</v>
      </c>
      <c r="K645" s="20" t="n">
        <v>0</v>
      </c>
      <c r="L645" s="20" t="n">
        <v>0</v>
      </c>
      <c r="M645" s="18" t="n">
        <v>1094</v>
      </c>
      <c r="N645" s="18" t="n">
        <v>1094</v>
      </c>
      <c r="O645" s="18" t="n">
        <v>0</v>
      </c>
      <c r="P645" s="17" t="n">
        <v>45669</v>
      </c>
      <c r="Q645" s="17" t="n">
        <v>45669</v>
      </c>
      <c r="R645" s="17" t="n">
        <v>45669</v>
      </c>
      <c r="S645" s="19">
        <f>H645*I645</f>
        <v/>
      </c>
      <c r="T645" s="19">
        <f>H645*J645</f>
        <v/>
      </c>
      <c r="U645">
        <f>IF(AND(K645=0,G645&lt;=Assumptions!$C$6),1,0)</f>
        <v/>
      </c>
      <c r="V645">
        <f>IF(U645=1,IF(M645&gt;0,IF(P645&lt;=G645+Assumptions!$C$7,1,0),0),0)</f>
        <v/>
      </c>
      <c r="W645">
        <f>IF(AND(U645=1,M645&gt;=H645*(1-Assumptions!$C$8)),1,0)</f>
        <v/>
      </c>
      <c r="X645">
        <f>IF(AND(U645=1,N645&gt;=H645*(1-Assumptions!$C$8)),1,0)</f>
        <v/>
      </c>
      <c r="Y645">
        <f>IF(ISNUMBER(Q645),1,0)</f>
        <v/>
      </c>
      <c r="Z645">
        <f>IF(AND(K645=0,L645=0,Y645=0),1,0)</f>
        <v/>
      </c>
      <c r="AA645">
        <f>IF(AND(Z645=1,G645&lt;Assumptions!$C$6),1,0)</f>
        <v/>
      </c>
      <c r="AB645">
        <f>IF(U645=0,"",IF(Y645=1,MAX(0,Q645-G645),IF(L645=1,MAX(0,R645-G645),MAX(0,Assumptions!$C$6-G645))))</f>
        <v/>
      </c>
      <c r="AC645">
        <f>IF(Y645=1,Q645-F645,"")</f>
        <v/>
      </c>
      <c r="AD645">
        <f>IF(Y645=1,AC645^2,"")</f>
        <v/>
      </c>
      <c r="AE645" s="19">
        <f>IF(Z645=1,(H645-M645)*I645,0)</f>
        <v/>
      </c>
      <c r="AF645">
        <f>IF(G645&lt;EDATE(Assumptions!$C$6,-12)+1,"prior_12m","last_12m")</f>
        <v/>
      </c>
      <c r="AG645" s="21">
        <f>DATE(YEAR(G645),MONTH(G645),1)</f>
        <v/>
      </c>
    </row>
    <row r="646">
      <c r="A646" t="inlineStr">
        <is>
          <t>SPO-00356-2</t>
        </is>
      </c>
      <c r="B646" t="inlineStr">
        <is>
          <t>SPO-00356</t>
        </is>
      </c>
      <c r="C646" t="inlineStr">
        <is>
          <t>SUP-01</t>
        </is>
      </c>
      <c r="D646" t="inlineStr">
        <is>
          <t>ELEC</t>
        </is>
      </c>
      <c r="E646" t="inlineStr">
        <is>
          <t>ELEC-04</t>
        </is>
      </c>
      <c r="F646" s="17" t="n">
        <v>45660</v>
      </c>
      <c r="G646" s="17" t="n">
        <v>45678</v>
      </c>
      <c r="H646" s="18" t="n">
        <v>59</v>
      </c>
      <c r="I646" s="19" t="n">
        <v>71.92</v>
      </c>
      <c r="J646" s="19" t="n">
        <v>72</v>
      </c>
      <c r="K646" s="20" t="n">
        <v>0</v>
      </c>
      <c r="L646" s="20" t="n">
        <v>0</v>
      </c>
      <c r="M646" s="18" t="n">
        <v>59</v>
      </c>
      <c r="N646" s="18" t="n">
        <v>59</v>
      </c>
      <c r="O646" s="18" t="n">
        <v>0</v>
      </c>
      <c r="P646" s="17" t="n">
        <v>45676</v>
      </c>
      <c r="Q646" s="17" t="n">
        <v>45676</v>
      </c>
      <c r="R646" s="17" t="n">
        <v>45676</v>
      </c>
      <c r="S646" s="19">
        <f>H646*I646</f>
        <v/>
      </c>
      <c r="T646" s="19">
        <f>H646*J646</f>
        <v/>
      </c>
      <c r="U646">
        <f>IF(AND(K646=0,G646&lt;=Assumptions!$C$6),1,0)</f>
        <v/>
      </c>
      <c r="V646">
        <f>IF(U646=1,IF(M646&gt;0,IF(P646&lt;=G646+Assumptions!$C$7,1,0),0),0)</f>
        <v/>
      </c>
      <c r="W646">
        <f>IF(AND(U646=1,M646&gt;=H646*(1-Assumptions!$C$8)),1,0)</f>
        <v/>
      </c>
      <c r="X646">
        <f>IF(AND(U646=1,N646&gt;=H646*(1-Assumptions!$C$8)),1,0)</f>
        <v/>
      </c>
      <c r="Y646">
        <f>IF(ISNUMBER(Q646),1,0)</f>
        <v/>
      </c>
      <c r="Z646">
        <f>IF(AND(K646=0,L646=0,Y646=0),1,0)</f>
        <v/>
      </c>
      <c r="AA646">
        <f>IF(AND(Z646=1,G646&lt;Assumptions!$C$6),1,0)</f>
        <v/>
      </c>
      <c r="AB646">
        <f>IF(U646=0,"",IF(Y646=1,MAX(0,Q646-G646),IF(L646=1,MAX(0,R646-G646),MAX(0,Assumptions!$C$6-G646))))</f>
        <v/>
      </c>
      <c r="AC646">
        <f>IF(Y646=1,Q646-F646,"")</f>
        <v/>
      </c>
      <c r="AD646">
        <f>IF(Y646=1,AC646^2,"")</f>
        <v/>
      </c>
      <c r="AE646" s="19">
        <f>IF(Z646=1,(H646-M646)*I646,0)</f>
        <v/>
      </c>
      <c r="AF646">
        <f>IF(G646&lt;EDATE(Assumptions!$C$6,-12)+1,"prior_12m","last_12m")</f>
        <v/>
      </c>
      <c r="AG646" s="21">
        <f>DATE(YEAR(G646),MONTH(G646),1)</f>
        <v/>
      </c>
    </row>
    <row r="647">
      <c r="A647" t="inlineStr">
        <is>
          <t>SPO-00356-3</t>
        </is>
      </c>
      <c r="B647" t="inlineStr">
        <is>
          <t>SPO-00356</t>
        </is>
      </c>
      <c r="C647" t="inlineStr">
        <is>
          <t>SUP-01</t>
        </is>
      </c>
      <c r="D647" t="inlineStr">
        <is>
          <t>ELEC</t>
        </is>
      </c>
      <c r="E647" t="inlineStr">
        <is>
          <t>ELEC-07</t>
        </is>
      </c>
      <c r="F647" s="17" t="n">
        <v>45660</v>
      </c>
      <c r="G647" s="17" t="n">
        <v>45678</v>
      </c>
      <c r="H647" s="18" t="n">
        <v>160</v>
      </c>
      <c r="I647" s="19" t="n">
        <v>9.67</v>
      </c>
      <c r="J647" s="19" t="n">
        <v>9.800000000000001</v>
      </c>
      <c r="K647" s="20" t="n">
        <v>0</v>
      </c>
      <c r="L647" s="20" t="n">
        <v>0</v>
      </c>
      <c r="M647" s="18" t="n">
        <v>160</v>
      </c>
      <c r="N647" s="18" t="n">
        <v>160</v>
      </c>
      <c r="O647" s="18" t="n">
        <v>0</v>
      </c>
      <c r="P647" s="17" t="n">
        <v>45674</v>
      </c>
      <c r="Q647" s="17" t="n">
        <v>45674</v>
      </c>
      <c r="R647" s="17" t="n">
        <v>45674</v>
      </c>
      <c r="S647" s="19">
        <f>H647*I647</f>
        <v/>
      </c>
      <c r="T647" s="19">
        <f>H647*J647</f>
        <v/>
      </c>
      <c r="U647">
        <f>IF(AND(K647=0,G647&lt;=Assumptions!$C$6),1,0)</f>
        <v/>
      </c>
      <c r="V647">
        <f>IF(U647=1,IF(M647&gt;0,IF(P647&lt;=G647+Assumptions!$C$7,1,0),0),0)</f>
        <v/>
      </c>
      <c r="W647">
        <f>IF(AND(U647=1,M647&gt;=H647*(1-Assumptions!$C$8)),1,0)</f>
        <v/>
      </c>
      <c r="X647">
        <f>IF(AND(U647=1,N647&gt;=H647*(1-Assumptions!$C$8)),1,0)</f>
        <v/>
      </c>
      <c r="Y647">
        <f>IF(ISNUMBER(Q647),1,0)</f>
        <v/>
      </c>
      <c r="Z647">
        <f>IF(AND(K647=0,L647=0,Y647=0),1,0)</f>
        <v/>
      </c>
      <c r="AA647">
        <f>IF(AND(Z647=1,G647&lt;Assumptions!$C$6),1,0)</f>
        <v/>
      </c>
      <c r="AB647">
        <f>IF(U647=0,"",IF(Y647=1,MAX(0,Q647-G647),IF(L647=1,MAX(0,R647-G647),MAX(0,Assumptions!$C$6-G647))))</f>
        <v/>
      </c>
      <c r="AC647">
        <f>IF(Y647=1,Q647-F647,"")</f>
        <v/>
      </c>
      <c r="AD647">
        <f>IF(Y647=1,AC647^2,"")</f>
        <v/>
      </c>
      <c r="AE647" s="19">
        <f>IF(Z647=1,(H647-M647)*I647,0)</f>
        <v/>
      </c>
      <c r="AF647">
        <f>IF(G647&lt;EDATE(Assumptions!$C$6,-12)+1,"prior_12m","last_12m")</f>
        <v/>
      </c>
      <c r="AG647" s="21">
        <f>DATE(YEAR(G647),MONTH(G647),1)</f>
        <v/>
      </c>
    </row>
    <row r="648">
      <c r="A648" t="inlineStr">
        <is>
          <t>SPO-00357-1</t>
        </is>
      </c>
      <c r="B648" t="inlineStr">
        <is>
          <t>SPO-00357</t>
        </is>
      </c>
      <c r="C648" t="inlineStr">
        <is>
          <t>SUP-09</t>
        </is>
      </c>
      <c r="D648" t="inlineStr">
        <is>
          <t>CHEM</t>
        </is>
      </c>
      <c r="E648" t="inlineStr">
        <is>
          <t>CHEM-01</t>
        </is>
      </c>
      <c r="F648" s="17" t="n">
        <v>45661</v>
      </c>
      <c r="G648" s="17" t="n">
        <v>45675</v>
      </c>
      <c r="H648" s="18" t="n">
        <v>4</v>
      </c>
      <c r="I648" s="19" t="n">
        <v>650.64</v>
      </c>
      <c r="J648" s="19" t="n">
        <v>640</v>
      </c>
      <c r="K648" s="20" t="n">
        <v>0</v>
      </c>
      <c r="L648" s="20" t="n">
        <v>0</v>
      </c>
      <c r="M648" s="18" t="n">
        <v>4</v>
      </c>
      <c r="N648" s="18" t="n">
        <v>4</v>
      </c>
      <c r="O648" s="18" t="n">
        <v>0</v>
      </c>
      <c r="P648" s="17" t="n">
        <v>45673</v>
      </c>
      <c r="Q648" s="17" t="n">
        <v>45673</v>
      </c>
      <c r="R648" s="17" t="n">
        <v>45673</v>
      </c>
      <c r="S648" s="19">
        <f>H648*I648</f>
        <v/>
      </c>
      <c r="T648" s="19">
        <f>H648*J648</f>
        <v/>
      </c>
      <c r="U648">
        <f>IF(AND(K648=0,G648&lt;=Assumptions!$C$6),1,0)</f>
        <v/>
      </c>
      <c r="V648">
        <f>IF(U648=1,IF(M648&gt;0,IF(P648&lt;=G648+Assumptions!$C$7,1,0),0),0)</f>
        <v/>
      </c>
      <c r="W648">
        <f>IF(AND(U648=1,M648&gt;=H648*(1-Assumptions!$C$8)),1,0)</f>
        <v/>
      </c>
      <c r="X648">
        <f>IF(AND(U648=1,N648&gt;=H648*(1-Assumptions!$C$8)),1,0)</f>
        <v/>
      </c>
      <c r="Y648">
        <f>IF(ISNUMBER(Q648),1,0)</f>
        <v/>
      </c>
      <c r="Z648">
        <f>IF(AND(K648=0,L648=0,Y648=0),1,0)</f>
        <v/>
      </c>
      <c r="AA648">
        <f>IF(AND(Z648=1,G648&lt;Assumptions!$C$6),1,0)</f>
        <v/>
      </c>
      <c r="AB648">
        <f>IF(U648=0,"",IF(Y648=1,MAX(0,Q648-G648),IF(L648=1,MAX(0,R648-G648),MAX(0,Assumptions!$C$6-G648))))</f>
        <v/>
      </c>
      <c r="AC648">
        <f>IF(Y648=1,Q648-F648,"")</f>
        <v/>
      </c>
      <c r="AD648">
        <f>IF(Y648=1,AC648^2,"")</f>
        <v/>
      </c>
      <c r="AE648" s="19">
        <f>IF(Z648=1,(H648-M648)*I648,0)</f>
        <v/>
      </c>
      <c r="AF648">
        <f>IF(G648&lt;EDATE(Assumptions!$C$6,-12)+1,"prior_12m","last_12m")</f>
        <v/>
      </c>
      <c r="AG648" s="21">
        <f>DATE(YEAR(G648),MONTH(G648),1)</f>
        <v/>
      </c>
    </row>
    <row r="649">
      <c r="A649" t="inlineStr">
        <is>
          <t>SPO-00358-1</t>
        </is>
      </c>
      <c r="B649" t="inlineStr">
        <is>
          <t>SPO-00358</t>
        </is>
      </c>
      <c r="C649" t="inlineStr">
        <is>
          <t>SUP-05</t>
        </is>
      </c>
      <c r="D649" t="inlineStr">
        <is>
          <t>FLEET</t>
        </is>
      </c>
      <c r="E649" t="inlineStr">
        <is>
          <t>FLEET-03</t>
        </is>
      </c>
      <c r="F649" s="17" t="n">
        <v>45661</v>
      </c>
      <c r="G649" s="17" t="n">
        <v>45675</v>
      </c>
      <c r="H649" s="18" t="n">
        <v>143</v>
      </c>
      <c r="I649" s="19" t="n">
        <v>20.7</v>
      </c>
      <c r="J649" s="19" t="n">
        <v>21</v>
      </c>
      <c r="K649" s="20" t="n">
        <v>0</v>
      </c>
      <c r="L649" s="20" t="n">
        <v>0</v>
      </c>
      <c r="M649" s="18" t="n">
        <v>143</v>
      </c>
      <c r="N649" s="18" t="n">
        <v>143</v>
      </c>
      <c r="O649" s="18" t="n">
        <v>0</v>
      </c>
      <c r="P649" s="17" t="n">
        <v>45674</v>
      </c>
      <c r="Q649" s="17" t="n">
        <v>45674</v>
      </c>
      <c r="R649" s="17" t="n">
        <v>45674</v>
      </c>
      <c r="S649" s="19">
        <f>H649*I649</f>
        <v/>
      </c>
      <c r="T649" s="19">
        <f>H649*J649</f>
        <v/>
      </c>
      <c r="U649">
        <f>IF(AND(K649=0,G649&lt;=Assumptions!$C$6),1,0)</f>
        <v/>
      </c>
      <c r="V649">
        <f>IF(U649=1,IF(M649&gt;0,IF(P649&lt;=G649+Assumptions!$C$7,1,0),0),0)</f>
        <v/>
      </c>
      <c r="W649">
        <f>IF(AND(U649=1,M649&gt;=H649*(1-Assumptions!$C$8)),1,0)</f>
        <v/>
      </c>
      <c r="X649">
        <f>IF(AND(U649=1,N649&gt;=H649*(1-Assumptions!$C$8)),1,0)</f>
        <v/>
      </c>
      <c r="Y649">
        <f>IF(ISNUMBER(Q649),1,0)</f>
        <v/>
      </c>
      <c r="Z649">
        <f>IF(AND(K649=0,L649=0,Y649=0),1,0)</f>
        <v/>
      </c>
      <c r="AA649">
        <f>IF(AND(Z649=1,G649&lt;Assumptions!$C$6),1,0)</f>
        <v/>
      </c>
      <c r="AB649">
        <f>IF(U649=0,"",IF(Y649=1,MAX(0,Q649-G649),IF(L649=1,MAX(0,R649-G649),MAX(0,Assumptions!$C$6-G649))))</f>
        <v/>
      </c>
      <c r="AC649">
        <f>IF(Y649=1,Q649-F649,"")</f>
        <v/>
      </c>
      <c r="AD649">
        <f>IF(Y649=1,AC649^2,"")</f>
        <v/>
      </c>
      <c r="AE649" s="19">
        <f>IF(Z649=1,(H649-M649)*I649,0)</f>
        <v/>
      </c>
      <c r="AF649">
        <f>IF(G649&lt;EDATE(Assumptions!$C$6,-12)+1,"prior_12m","last_12m")</f>
        <v/>
      </c>
      <c r="AG649" s="21">
        <f>DATE(YEAR(G649),MONTH(G649),1)</f>
        <v/>
      </c>
    </row>
    <row r="650">
      <c r="A650" t="inlineStr">
        <is>
          <t>SPO-00359-1</t>
        </is>
      </c>
      <c r="B650" t="inlineStr">
        <is>
          <t>SPO-00359</t>
        </is>
      </c>
      <c r="C650" t="inlineStr">
        <is>
          <t>SUP-09</t>
        </is>
      </c>
      <c r="D650" t="inlineStr">
        <is>
          <t>CHEM</t>
        </is>
      </c>
      <c r="E650" t="inlineStr">
        <is>
          <t>CHEM-05</t>
        </is>
      </c>
      <c r="F650" s="17" t="n">
        <v>45661</v>
      </c>
      <c r="G650" s="17" t="n">
        <v>45675</v>
      </c>
      <c r="H650" s="18" t="n">
        <v>1</v>
      </c>
      <c r="I650" s="19" t="n">
        <v>959.67</v>
      </c>
      <c r="J650" s="19" t="n">
        <v>930</v>
      </c>
      <c r="K650" s="20" t="n">
        <v>0</v>
      </c>
      <c r="L650" s="20" t="n">
        <v>0</v>
      </c>
      <c r="M650" s="18" t="n">
        <v>1</v>
      </c>
      <c r="N650" s="18" t="n">
        <v>1</v>
      </c>
      <c r="O650" s="18" t="n">
        <v>0</v>
      </c>
      <c r="P650" s="17" t="n">
        <v>45673</v>
      </c>
      <c r="Q650" s="17" t="n">
        <v>45673</v>
      </c>
      <c r="R650" s="17" t="n">
        <v>45673</v>
      </c>
      <c r="S650" s="19">
        <f>H650*I650</f>
        <v/>
      </c>
      <c r="T650" s="19">
        <f>H650*J650</f>
        <v/>
      </c>
      <c r="U650">
        <f>IF(AND(K650=0,G650&lt;=Assumptions!$C$6),1,0)</f>
        <v/>
      </c>
      <c r="V650">
        <f>IF(U650=1,IF(M650&gt;0,IF(P650&lt;=G650+Assumptions!$C$7,1,0),0),0)</f>
        <v/>
      </c>
      <c r="W650">
        <f>IF(AND(U650=1,M650&gt;=H650*(1-Assumptions!$C$8)),1,0)</f>
        <v/>
      </c>
      <c r="X650">
        <f>IF(AND(U650=1,N650&gt;=H650*(1-Assumptions!$C$8)),1,0)</f>
        <v/>
      </c>
      <c r="Y650">
        <f>IF(ISNUMBER(Q650),1,0)</f>
        <v/>
      </c>
      <c r="Z650">
        <f>IF(AND(K650=0,L650=0,Y650=0),1,0)</f>
        <v/>
      </c>
      <c r="AA650">
        <f>IF(AND(Z650=1,G650&lt;Assumptions!$C$6),1,0)</f>
        <v/>
      </c>
      <c r="AB650">
        <f>IF(U650=0,"",IF(Y650=1,MAX(0,Q650-G650),IF(L650=1,MAX(0,R650-G650),MAX(0,Assumptions!$C$6-G650))))</f>
        <v/>
      </c>
      <c r="AC650">
        <f>IF(Y650=1,Q650-F650,"")</f>
        <v/>
      </c>
      <c r="AD650">
        <f>IF(Y650=1,AC650^2,"")</f>
        <v/>
      </c>
      <c r="AE650" s="19">
        <f>IF(Z650=1,(H650-M650)*I650,0)</f>
        <v/>
      </c>
      <c r="AF650">
        <f>IF(G650&lt;EDATE(Assumptions!$C$6,-12)+1,"prior_12m","last_12m")</f>
        <v/>
      </c>
      <c r="AG650" s="21">
        <f>DATE(YEAR(G650),MONTH(G650),1)</f>
        <v/>
      </c>
    </row>
    <row r="651">
      <c r="A651" t="inlineStr">
        <is>
          <t>SPO-00359-2</t>
        </is>
      </c>
      <c r="B651" t="inlineStr">
        <is>
          <t>SPO-00359</t>
        </is>
      </c>
      <c r="C651" t="inlineStr">
        <is>
          <t>SUP-09</t>
        </is>
      </c>
      <c r="D651" t="inlineStr">
        <is>
          <t>CHEM</t>
        </is>
      </c>
      <c r="E651" t="inlineStr">
        <is>
          <t>CHEM-04</t>
        </is>
      </c>
      <c r="F651" s="17" t="n">
        <v>45661</v>
      </c>
      <c r="G651" s="17" t="n">
        <v>45675</v>
      </c>
      <c r="H651" s="18" t="n">
        <v>1</v>
      </c>
      <c r="I651" s="19" t="n">
        <v>839.55</v>
      </c>
      <c r="J651" s="19" t="n">
        <v>820</v>
      </c>
      <c r="K651" s="20" t="n">
        <v>0</v>
      </c>
      <c r="L651" s="20" t="n">
        <v>0</v>
      </c>
      <c r="M651" s="18" t="n">
        <v>1</v>
      </c>
      <c r="N651" s="18" t="n">
        <v>1</v>
      </c>
      <c r="O651" s="18" t="n">
        <v>0</v>
      </c>
      <c r="P651" s="17" t="n">
        <v>45673</v>
      </c>
      <c r="Q651" s="17" t="n">
        <v>45673</v>
      </c>
      <c r="R651" s="17" t="n">
        <v>45673</v>
      </c>
      <c r="S651" s="19">
        <f>H651*I651</f>
        <v/>
      </c>
      <c r="T651" s="19">
        <f>H651*J651</f>
        <v/>
      </c>
      <c r="U651">
        <f>IF(AND(K651=0,G651&lt;=Assumptions!$C$6),1,0)</f>
        <v/>
      </c>
      <c r="V651">
        <f>IF(U651=1,IF(M651&gt;0,IF(P651&lt;=G651+Assumptions!$C$7,1,0),0),0)</f>
        <v/>
      </c>
      <c r="W651">
        <f>IF(AND(U651=1,M651&gt;=H651*(1-Assumptions!$C$8)),1,0)</f>
        <v/>
      </c>
      <c r="X651">
        <f>IF(AND(U651=1,N651&gt;=H651*(1-Assumptions!$C$8)),1,0)</f>
        <v/>
      </c>
      <c r="Y651">
        <f>IF(ISNUMBER(Q651),1,0)</f>
        <v/>
      </c>
      <c r="Z651">
        <f>IF(AND(K651=0,L651=0,Y651=0),1,0)</f>
        <v/>
      </c>
      <c r="AA651">
        <f>IF(AND(Z651=1,G651&lt;Assumptions!$C$6),1,0)</f>
        <v/>
      </c>
      <c r="AB651">
        <f>IF(U651=0,"",IF(Y651=1,MAX(0,Q651-G651),IF(L651=1,MAX(0,R651-G651),MAX(0,Assumptions!$C$6-G651))))</f>
        <v/>
      </c>
      <c r="AC651">
        <f>IF(Y651=1,Q651-F651,"")</f>
        <v/>
      </c>
      <c r="AD651">
        <f>IF(Y651=1,AC651^2,"")</f>
        <v/>
      </c>
      <c r="AE651" s="19">
        <f>IF(Z651=1,(H651-M651)*I651,0)</f>
        <v/>
      </c>
      <c r="AF651">
        <f>IF(G651&lt;EDATE(Assumptions!$C$6,-12)+1,"prior_12m","last_12m")</f>
        <v/>
      </c>
      <c r="AG651" s="21">
        <f>DATE(YEAR(G651),MONTH(G651),1)</f>
        <v/>
      </c>
    </row>
    <row r="652">
      <c r="A652" t="inlineStr">
        <is>
          <t>SPO-00359-3</t>
        </is>
      </c>
      <c r="B652" t="inlineStr">
        <is>
          <t>SPO-00359</t>
        </is>
      </c>
      <c r="C652" t="inlineStr">
        <is>
          <t>SUP-09</t>
        </is>
      </c>
      <c r="D652" t="inlineStr">
        <is>
          <t>CHEM</t>
        </is>
      </c>
      <c r="E652" t="inlineStr">
        <is>
          <t>CHEM-02</t>
        </is>
      </c>
      <c r="F652" s="17" t="n">
        <v>45661</v>
      </c>
      <c r="G652" s="17" t="n">
        <v>45675</v>
      </c>
      <c r="H652" s="18" t="n">
        <v>2</v>
      </c>
      <c r="I652" s="19" t="n">
        <v>418.43</v>
      </c>
      <c r="J652" s="19" t="n">
        <v>410</v>
      </c>
      <c r="K652" s="20" t="n">
        <v>0</v>
      </c>
      <c r="L652" s="20" t="n">
        <v>0</v>
      </c>
      <c r="M652" s="18" t="n">
        <v>2</v>
      </c>
      <c r="N652" s="18" t="n">
        <v>2</v>
      </c>
      <c r="O652" s="18" t="n">
        <v>0</v>
      </c>
      <c r="P652" s="17" t="n">
        <v>45672</v>
      </c>
      <c r="Q652" s="17" t="n">
        <v>45672</v>
      </c>
      <c r="R652" s="17" t="n">
        <v>45672</v>
      </c>
      <c r="S652" s="19">
        <f>H652*I652</f>
        <v/>
      </c>
      <c r="T652" s="19">
        <f>H652*J652</f>
        <v/>
      </c>
      <c r="U652">
        <f>IF(AND(K652=0,G652&lt;=Assumptions!$C$6),1,0)</f>
        <v/>
      </c>
      <c r="V652">
        <f>IF(U652=1,IF(M652&gt;0,IF(P652&lt;=G652+Assumptions!$C$7,1,0),0),0)</f>
        <v/>
      </c>
      <c r="W652">
        <f>IF(AND(U652=1,M652&gt;=H652*(1-Assumptions!$C$8)),1,0)</f>
        <v/>
      </c>
      <c r="X652">
        <f>IF(AND(U652=1,N652&gt;=H652*(1-Assumptions!$C$8)),1,0)</f>
        <v/>
      </c>
      <c r="Y652">
        <f>IF(ISNUMBER(Q652),1,0)</f>
        <v/>
      </c>
      <c r="Z652">
        <f>IF(AND(K652=0,L652=0,Y652=0),1,0)</f>
        <v/>
      </c>
      <c r="AA652">
        <f>IF(AND(Z652=1,G652&lt;Assumptions!$C$6),1,0)</f>
        <v/>
      </c>
      <c r="AB652">
        <f>IF(U652=0,"",IF(Y652=1,MAX(0,Q652-G652),IF(L652=1,MAX(0,R652-G652),MAX(0,Assumptions!$C$6-G652))))</f>
        <v/>
      </c>
      <c r="AC652">
        <f>IF(Y652=1,Q652-F652,"")</f>
        <v/>
      </c>
      <c r="AD652">
        <f>IF(Y652=1,AC652^2,"")</f>
        <v/>
      </c>
      <c r="AE652" s="19">
        <f>IF(Z652=1,(H652-M652)*I652,0)</f>
        <v/>
      </c>
      <c r="AF652">
        <f>IF(G652&lt;EDATE(Assumptions!$C$6,-12)+1,"prior_12m","last_12m")</f>
        <v/>
      </c>
      <c r="AG652" s="21">
        <f>DATE(YEAR(G652),MONTH(G652),1)</f>
        <v/>
      </c>
    </row>
    <row r="653">
      <c r="A653" t="inlineStr">
        <is>
          <t>SPO-00359-4</t>
        </is>
      </c>
      <c r="B653" t="inlineStr">
        <is>
          <t>SPO-00359</t>
        </is>
      </c>
      <c r="C653" t="inlineStr">
        <is>
          <t>SUP-09</t>
        </is>
      </c>
      <c r="D653" t="inlineStr">
        <is>
          <t>CHEM</t>
        </is>
      </c>
      <c r="E653" t="inlineStr">
        <is>
          <t>CHEM-06</t>
        </is>
      </c>
      <c r="F653" s="17" t="n">
        <v>45661</v>
      </c>
      <c r="G653" s="17" t="n">
        <v>45675</v>
      </c>
      <c r="H653" s="18" t="n">
        <v>3</v>
      </c>
      <c r="I653" s="19" t="n">
        <v>386.75</v>
      </c>
      <c r="J653" s="19" t="n">
        <v>380</v>
      </c>
      <c r="K653" s="20" t="n">
        <v>0</v>
      </c>
      <c r="L653" s="20" t="n">
        <v>0</v>
      </c>
      <c r="M653" s="18" t="n">
        <v>3</v>
      </c>
      <c r="N653" s="18" t="n">
        <v>3</v>
      </c>
      <c r="O653" s="18" t="n">
        <v>0</v>
      </c>
      <c r="P653" s="17" t="n">
        <v>45673</v>
      </c>
      <c r="Q653" s="17" t="n">
        <v>45673</v>
      </c>
      <c r="R653" s="17" t="n">
        <v>45673</v>
      </c>
      <c r="S653" s="19">
        <f>H653*I653</f>
        <v/>
      </c>
      <c r="T653" s="19">
        <f>H653*J653</f>
        <v/>
      </c>
      <c r="U653">
        <f>IF(AND(K653=0,G653&lt;=Assumptions!$C$6),1,0)</f>
        <v/>
      </c>
      <c r="V653">
        <f>IF(U653=1,IF(M653&gt;0,IF(P653&lt;=G653+Assumptions!$C$7,1,0),0),0)</f>
        <v/>
      </c>
      <c r="W653">
        <f>IF(AND(U653=1,M653&gt;=H653*(1-Assumptions!$C$8)),1,0)</f>
        <v/>
      </c>
      <c r="X653">
        <f>IF(AND(U653=1,N653&gt;=H653*(1-Assumptions!$C$8)),1,0)</f>
        <v/>
      </c>
      <c r="Y653">
        <f>IF(ISNUMBER(Q653),1,0)</f>
        <v/>
      </c>
      <c r="Z653">
        <f>IF(AND(K653=0,L653=0,Y653=0),1,0)</f>
        <v/>
      </c>
      <c r="AA653">
        <f>IF(AND(Z653=1,G653&lt;Assumptions!$C$6),1,0)</f>
        <v/>
      </c>
      <c r="AB653">
        <f>IF(U653=0,"",IF(Y653=1,MAX(0,Q653-G653),IF(L653=1,MAX(0,R653-G653),MAX(0,Assumptions!$C$6-G653))))</f>
        <v/>
      </c>
      <c r="AC653">
        <f>IF(Y653=1,Q653-F653,"")</f>
        <v/>
      </c>
      <c r="AD653">
        <f>IF(Y653=1,AC653^2,"")</f>
        <v/>
      </c>
      <c r="AE653" s="19">
        <f>IF(Z653=1,(H653-M653)*I653,0)</f>
        <v/>
      </c>
      <c r="AF653">
        <f>IF(G653&lt;EDATE(Assumptions!$C$6,-12)+1,"prior_12m","last_12m")</f>
        <v/>
      </c>
      <c r="AG653" s="21">
        <f>DATE(YEAR(G653),MONTH(G653),1)</f>
        <v/>
      </c>
    </row>
    <row r="654">
      <c r="A654" t="inlineStr">
        <is>
          <t>SPO-00360-1</t>
        </is>
      </c>
      <c r="B654" t="inlineStr">
        <is>
          <t>SPO-00360</t>
        </is>
      </c>
      <c r="C654" t="inlineStr">
        <is>
          <t>SUP-04</t>
        </is>
      </c>
      <c r="D654" t="inlineStr">
        <is>
          <t>FLEET</t>
        </is>
      </c>
      <c r="E654" t="inlineStr">
        <is>
          <t>FLEET-06</t>
        </is>
      </c>
      <c r="F654" s="17" t="n">
        <v>45661</v>
      </c>
      <c r="G654" s="17" t="n">
        <v>45674</v>
      </c>
      <c r="H654" s="18" t="n">
        <v>48</v>
      </c>
      <c r="I654" s="19" t="n">
        <v>32.47</v>
      </c>
      <c r="J654" s="19" t="n">
        <v>33</v>
      </c>
      <c r="K654" s="20" t="n">
        <v>0</v>
      </c>
      <c r="L654" s="20" t="n">
        <v>0</v>
      </c>
      <c r="M654" s="18" t="n">
        <v>48</v>
      </c>
      <c r="N654" s="18" t="n">
        <v>48</v>
      </c>
      <c r="O654" s="18" t="n">
        <v>0</v>
      </c>
      <c r="P654" s="17" t="n">
        <v>45667</v>
      </c>
      <c r="Q654" s="17" t="n">
        <v>45667</v>
      </c>
      <c r="R654" s="17" t="n">
        <v>45667</v>
      </c>
      <c r="S654" s="19">
        <f>H654*I654</f>
        <v/>
      </c>
      <c r="T654" s="19">
        <f>H654*J654</f>
        <v/>
      </c>
      <c r="U654">
        <f>IF(AND(K654=0,G654&lt;=Assumptions!$C$6),1,0)</f>
        <v/>
      </c>
      <c r="V654">
        <f>IF(U654=1,IF(M654&gt;0,IF(P654&lt;=G654+Assumptions!$C$7,1,0),0),0)</f>
        <v/>
      </c>
      <c r="W654">
        <f>IF(AND(U654=1,M654&gt;=H654*(1-Assumptions!$C$8)),1,0)</f>
        <v/>
      </c>
      <c r="X654">
        <f>IF(AND(U654=1,N654&gt;=H654*(1-Assumptions!$C$8)),1,0)</f>
        <v/>
      </c>
      <c r="Y654">
        <f>IF(ISNUMBER(Q654),1,0)</f>
        <v/>
      </c>
      <c r="Z654">
        <f>IF(AND(K654=0,L654=0,Y654=0),1,0)</f>
        <v/>
      </c>
      <c r="AA654">
        <f>IF(AND(Z654=1,G654&lt;Assumptions!$C$6),1,0)</f>
        <v/>
      </c>
      <c r="AB654">
        <f>IF(U654=0,"",IF(Y654=1,MAX(0,Q654-G654),IF(L654=1,MAX(0,R654-G654),MAX(0,Assumptions!$C$6-G654))))</f>
        <v/>
      </c>
      <c r="AC654">
        <f>IF(Y654=1,Q654-F654,"")</f>
        <v/>
      </c>
      <c r="AD654">
        <f>IF(Y654=1,AC654^2,"")</f>
        <v/>
      </c>
      <c r="AE654" s="19">
        <f>IF(Z654=1,(H654-M654)*I654,0)</f>
        <v/>
      </c>
      <c r="AF654">
        <f>IF(G654&lt;EDATE(Assumptions!$C$6,-12)+1,"prior_12m","last_12m")</f>
        <v/>
      </c>
      <c r="AG654" s="21">
        <f>DATE(YEAR(G654),MONTH(G654),1)</f>
        <v/>
      </c>
    </row>
    <row r="655">
      <c r="A655" t="inlineStr">
        <is>
          <t>SPO-00360-2</t>
        </is>
      </c>
      <c r="B655" t="inlineStr">
        <is>
          <t>SPO-00360</t>
        </is>
      </c>
      <c r="C655" t="inlineStr">
        <is>
          <t>SUP-04</t>
        </is>
      </c>
      <c r="D655" t="inlineStr">
        <is>
          <t>FLEET</t>
        </is>
      </c>
      <c r="E655" t="inlineStr">
        <is>
          <t>FLEET-08</t>
        </is>
      </c>
      <c r="F655" s="17" t="n">
        <v>45661</v>
      </c>
      <c r="G655" s="17" t="n">
        <v>45674</v>
      </c>
      <c r="H655" s="18" t="n">
        <v>165</v>
      </c>
      <c r="I655" s="19" t="n">
        <v>6.54</v>
      </c>
      <c r="J655" s="19" t="n">
        <v>6.4</v>
      </c>
      <c r="K655" s="20" t="n">
        <v>0</v>
      </c>
      <c r="L655" s="20" t="n">
        <v>0</v>
      </c>
      <c r="M655" s="18" t="n">
        <v>165</v>
      </c>
      <c r="N655" s="18" t="n">
        <v>165</v>
      </c>
      <c r="O655" s="18" t="n">
        <v>0</v>
      </c>
      <c r="P655" s="17" t="n">
        <v>45670</v>
      </c>
      <c r="Q655" s="17" t="n">
        <v>45670</v>
      </c>
      <c r="R655" s="17" t="n">
        <v>45670</v>
      </c>
      <c r="S655" s="19">
        <f>H655*I655</f>
        <v/>
      </c>
      <c r="T655" s="19">
        <f>H655*J655</f>
        <v/>
      </c>
      <c r="U655">
        <f>IF(AND(K655=0,G655&lt;=Assumptions!$C$6),1,0)</f>
        <v/>
      </c>
      <c r="V655">
        <f>IF(U655=1,IF(M655&gt;0,IF(P655&lt;=G655+Assumptions!$C$7,1,0),0),0)</f>
        <v/>
      </c>
      <c r="W655">
        <f>IF(AND(U655=1,M655&gt;=H655*(1-Assumptions!$C$8)),1,0)</f>
        <v/>
      </c>
      <c r="X655">
        <f>IF(AND(U655=1,N655&gt;=H655*(1-Assumptions!$C$8)),1,0)</f>
        <v/>
      </c>
      <c r="Y655">
        <f>IF(ISNUMBER(Q655),1,0)</f>
        <v/>
      </c>
      <c r="Z655">
        <f>IF(AND(K655=0,L655=0,Y655=0),1,0)</f>
        <v/>
      </c>
      <c r="AA655">
        <f>IF(AND(Z655=1,G655&lt;Assumptions!$C$6),1,0)</f>
        <v/>
      </c>
      <c r="AB655">
        <f>IF(U655=0,"",IF(Y655=1,MAX(0,Q655-G655),IF(L655=1,MAX(0,R655-G655),MAX(0,Assumptions!$C$6-G655))))</f>
        <v/>
      </c>
      <c r="AC655">
        <f>IF(Y655=1,Q655-F655,"")</f>
        <v/>
      </c>
      <c r="AD655">
        <f>IF(Y655=1,AC655^2,"")</f>
        <v/>
      </c>
      <c r="AE655" s="19">
        <f>IF(Z655=1,(H655-M655)*I655,0)</f>
        <v/>
      </c>
      <c r="AF655">
        <f>IF(G655&lt;EDATE(Assumptions!$C$6,-12)+1,"prior_12m","last_12m")</f>
        <v/>
      </c>
      <c r="AG655" s="21">
        <f>DATE(YEAR(G655),MONTH(G655),1)</f>
        <v/>
      </c>
    </row>
    <row r="656">
      <c r="A656" t="inlineStr">
        <is>
          <t>SPO-00361-1</t>
        </is>
      </c>
      <c r="B656" t="inlineStr">
        <is>
          <t>SPO-00361</t>
        </is>
      </c>
      <c r="C656" t="inlineStr">
        <is>
          <t>SUP-02</t>
        </is>
      </c>
      <c r="D656" t="inlineStr">
        <is>
          <t>ELEC</t>
        </is>
      </c>
      <c r="E656" t="inlineStr">
        <is>
          <t>ELEC-04</t>
        </is>
      </c>
      <c r="F656" s="17" t="n">
        <v>45662</v>
      </c>
      <c r="G656" s="17" t="n">
        <v>45678</v>
      </c>
      <c r="H656" s="18" t="n">
        <v>25</v>
      </c>
      <c r="I656" s="19" t="n">
        <v>69.34999999999999</v>
      </c>
      <c r="J656" s="19" t="n">
        <v>72</v>
      </c>
      <c r="K656" s="20" t="n">
        <v>0</v>
      </c>
      <c r="L656" s="20" t="n">
        <v>0</v>
      </c>
      <c r="M656" s="18" t="n">
        <v>25</v>
      </c>
      <c r="N656" s="18" t="n">
        <v>25</v>
      </c>
      <c r="O656" s="18" t="n">
        <v>0</v>
      </c>
      <c r="P656" s="17" t="n">
        <v>45674</v>
      </c>
      <c r="Q656" s="17" t="n">
        <v>45674</v>
      </c>
      <c r="R656" s="17" t="n">
        <v>45674</v>
      </c>
      <c r="S656" s="19">
        <f>H656*I656</f>
        <v/>
      </c>
      <c r="T656" s="19">
        <f>H656*J656</f>
        <v/>
      </c>
      <c r="U656">
        <f>IF(AND(K656=0,G656&lt;=Assumptions!$C$6),1,0)</f>
        <v/>
      </c>
      <c r="V656">
        <f>IF(U656=1,IF(M656&gt;0,IF(P656&lt;=G656+Assumptions!$C$7,1,0),0),0)</f>
        <v/>
      </c>
      <c r="W656">
        <f>IF(AND(U656=1,M656&gt;=H656*(1-Assumptions!$C$8)),1,0)</f>
        <v/>
      </c>
      <c r="X656">
        <f>IF(AND(U656=1,N656&gt;=H656*(1-Assumptions!$C$8)),1,0)</f>
        <v/>
      </c>
      <c r="Y656">
        <f>IF(ISNUMBER(Q656),1,0)</f>
        <v/>
      </c>
      <c r="Z656">
        <f>IF(AND(K656=0,L656=0,Y656=0),1,0)</f>
        <v/>
      </c>
      <c r="AA656">
        <f>IF(AND(Z656=1,G656&lt;Assumptions!$C$6),1,0)</f>
        <v/>
      </c>
      <c r="AB656">
        <f>IF(U656=0,"",IF(Y656=1,MAX(0,Q656-G656),IF(L656=1,MAX(0,R656-G656),MAX(0,Assumptions!$C$6-G656))))</f>
        <v/>
      </c>
      <c r="AC656">
        <f>IF(Y656=1,Q656-F656,"")</f>
        <v/>
      </c>
      <c r="AD656">
        <f>IF(Y656=1,AC656^2,"")</f>
        <v/>
      </c>
      <c r="AE656" s="19">
        <f>IF(Z656=1,(H656-M656)*I656,0)</f>
        <v/>
      </c>
      <c r="AF656">
        <f>IF(G656&lt;EDATE(Assumptions!$C$6,-12)+1,"prior_12m","last_12m")</f>
        <v/>
      </c>
      <c r="AG656" s="21">
        <f>DATE(YEAR(G656),MONTH(G656),1)</f>
        <v/>
      </c>
    </row>
    <row r="657">
      <c r="A657" t="inlineStr">
        <is>
          <t>SPO-00362-1</t>
        </is>
      </c>
      <c r="B657" t="inlineStr">
        <is>
          <t>SPO-00362</t>
        </is>
      </c>
      <c r="C657" t="inlineStr">
        <is>
          <t>SUP-02</t>
        </is>
      </c>
      <c r="D657" t="inlineStr">
        <is>
          <t>ELEC</t>
        </is>
      </c>
      <c r="E657" t="inlineStr">
        <is>
          <t>ELEC-07</t>
        </is>
      </c>
      <c r="F657" s="17" t="n">
        <v>45662</v>
      </c>
      <c r="G657" s="17" t="n">
        <v>45678</v>
      </c>
      <c r="H657" s="18" t="n">
        <v>99</v>
      </c>
      <c r="I657" s="19" t="n">
        <v>9.449999999999999</v>
      </c>
      <c r="J657" s="19" t="n">
        <v>9.800000000000001</v>
      </c>
      <c r="K657" s="20" t="n">
        <v>0</v>
      </c>
      <c r="L657" s="20" t="n">
        <v>0</v>
      </c>
      <c r="M657" s="18" t="n">
        <v>99</v>
      </c>
      <c r="N657" s="18" t="n">
        <v>99</v>
      </c>
      <c r="O657" s="18" t="n">
        <v>0</v>
      </c>
      <c r="P657" s="17" t="n">
        <v>45674</v>
      </c>
      <c r="Q657" s="17" t="n">
        <v>45674</v>
      </c>
      <c r="R657" s="17" t="n">
        <v>45674</v>
      </c>
      <c r="S657" s="19">
        <f>H657*I657</f>
        <v/>
      </c>
      <c r="T657" s="19">
        <f>H657*J657</f>
        <v/>
      </c>
      <c r="U657">
        <f>IF(AND(K657=0,G657&lt;=Assumptions!$C$6),1,0)</f>
        <v/>
      </c>
      <c r="V657">
        <f>IF(U657=1,IF(M657&gt;0,IF(P657&lt;=G657+Assumptions!$C$7,1,0),0),0)</f>
        <v/>
      </c>
      <c r="W657">
        <f>IF(AND(U657=1,M657&gt;=H657*(1-Assumptions!$C$8)),1,0)</f>
        <v/>
      </c>
      <c r="X657">
        <f>IF(AND(U657=1,N657&gt;=H657*(1-Assumptions!$C$8)),1,0)</f>
        <v/>
      </c>
      <c r="Y657">
        <f>IF(ISNUMBER(Q657),1,0)</f>
        <v/>
      </c>
      <c r="Z657">
        <f>IF(AND(K657=0,L657=0,Y657=0),1,0)</f>
        <v/>
      </c>
      <c r="AA657">
        <f>IF(AND(Z657=1,G657&lt;Assumptions!$C$6),1,0)</f>
        <v/>
      </c>
      <c r="AB657">
        <f>IF(U657=0,"",IF(Y657=1,MAX(0,Q657-G657),IF(L657=1,MAX(0,R657-G657),MAX(0,Assumptions!$C$6-G657))))</f>
        <v/>
      </c>
      <c r="AC657">
        <f>IF(Y657=1,Q657-F657,"")</f>
        <v/>
      </c>
      <c r="AD657">
        <f>IF(Y657=1,AC657^2,"")</f>
        <v/>
      </c>
      <c r="AE657" s="19">
        <f>IF(Z657=1,(H657-M657)*I657,0)</f>
        <v/>
      </c>
      <c r="AF657">
        <f>IF(G657&lt;EDATE(Assumptions!$C$6,-12)+1,"prior_12m","last_12m")</f>
        <v/>
      </c>
      <c r="AG657" s="21">
        <f>DATE(YEAR(G657),MONTH(G657),1)</f>
        <v/>
      </c>
    </row>
    <row r="658">
      <c r="A658" t="inlineStr">
        <is>
          <t>SPO-00362-2</t>
        </is>
      </c>
      <c r="B658" t="inlineStr">
        <is>
          <t>SPO-00362</t>
        </is>
      </c>
      <c r="C658" t="inlineStr">
        <is>
          <t>SUP-02</t>
        </is>
      </c>
      <c r="D658" t="inlineStr">
        <is>
          <t>ELEC</t>
        </is>
      </c>
      <c r="E658" t="inlineStr">
        <is>
          <t>ELEC-05</t>
        </is>
      </c>
      <c r="F658" s="17" t="n">
        <v>45662</v>
      </c>
      <c r="G658" s="17" t="n">
        <v>45678</v>
      </c>
      <c r="H658" s="18" t="n">
        <v>117</v>
      </c>
      <c r="I658" s="19" t="n">
        <v>12.16</v>
      </c>
      <c r="J658" s="19" t="n">
        <v>11.5</v>
      </c>
      <c r="K658" s="20" t="n">
        <v>0</v>
      </c>
      <c r="L658" s="20" t="n">
        <v>0</v>
      </c>
      <c r="M658" s="18" t="n">
        <v>117</v>
      </c>
      <c r="N658" s="18" t="n">
        <v>117</v>
      </c>
      <c r="O658" s="18" t="n">
        <v>0</v>
      </c>
      <c r="P658" s="17" t="n">
        <v>45675</v>
      </c>
      <c r="Q658" s="17" t="n">
        <v>45675</v>
      </c>
      <c r="R658" s="17" t="n">
        <v>45675</v>
      </c>
      <c r="S658" s="19">
        <f>H658*I658</f>
        <v/>
      </c>
      <c r="T658" s="19">
        <f>H658*J658</f>
        <v/>
      </c>
      <c r="U658">
        <f>IF(AND(K658=0,G658&lt;=Assumptions!$C$6),1,0)</f>
        <v/>
      </c>
      <c r="V658">
        <f>IF(U658=1,IF(M658&gt;0,IF(P658&lt;=G658+Assumptions!$C$7,1,0),0),0)</f>
        <v/>
      </c>
      <c r="W658">
        <f>IF(AND(U658=1,M658&gt;=H658*(1-Assumptions!$C$8)),1,0)</f>
        <v/>
      </c>
      <c r="X658">
        <f>IF(AND(U658=1,N658&gt;=H658*(1-Assumptions!$C$8)),1,0)</f>
        <v/>
      </c>
      <c r="Y658">
        <f>IF(ISNUMBER(Q658),1,0)</f>
        <v/>
      </c>
      <c r="Z658">
        <f>IF(AND(K658=0,L658=0,Y658=0),1,0)</f>
        <v/>
      </c>
      <c r="AA658">
        <f>IF(AND(Z658=1,G658&lt;Assumptions!$C$6),1,0)</f>
        <v/>
      </c>
      <c r="AB658">
        <f>IF(U658=0,"",IF(Y658=1,MAX(0,Q658-G658),IF(L658=1,MAX(0,R658-G658),MAX(0,Assumptions!$C$6-G658))))</f>
        <v/>
      </c>
      <c r="AC658">
        <f>IF(Y658=1,Q658-F658,"")</f>
        <v/>
      </c>
      <c r="AD658">
        <f>IF(Y658=1,AC658^2,"")</f>
        <v/>
      </c>
      <c r="AE658" s="19">
        <f>IF(Z658=1,(H658-M658)*I658,0)</f>
        <v/>
      </c>
      <c r="AF658">
        <f>IF(G658&lt;EDATE(Assumptions!$C$6,-12)+1,"prior_12m","last_12m")</f>
        <v/>
      </c>
      <c r="AG658" s="21">
        <f>DATE(YEAR(G658),MONTH(G658),1)</f>
        <v/>
      </c>
    </row>
    <row r="659">
      <c r="A659" t="inlineStr">
        <is>
          <t>SPO-00363-1</t>
        </is>
      </c>
      <c r="B659" t="inlineStr">
        <is>
          <t>SPO-00363</t>
        </is>
      </c>
      <c r="C659" t="inlineStr">
        <is>
          <t>SUP-14</t>
        </is>
      </c>
      <c r="D659" t="inlineStr">
        <is>
          <t>FLEET</t>
        </is>
      </c>
      <c r="E659" t="inlineStr">
        <is>
          <t>FLEET-07</t>
        </is>
      </c>
      <c r="F659" s="17" t="n">
        <v>45662</v>
      </c>
      <c r="G659" s="17" t="n">
        <v>45676</v>
      </c>
      <c r="H659" s="18" t="n">
        <v>15</v>
      </c>
      <c r="I659" s="19" t="n">
        <v>121.41</v>
      </c>
      <c r="J659" s="19" t="n">
        <v>118</v>
      </c>
      <c r="K659" s="20" t="n">
        <v>0</v>
      </c>
      <c r="L659" s="20" t="n">
        <v>0</v>
      </c>
      <c r="M659" s="18" t="n">
        <v>15</v>
      </c>
      <c r="N659" s="18" t="n">
        <v>15</v>
      </c>
      <c r="O659" s="18" t="n">
        <v>0</v>
      </c>
      <c r="P659" s="17" t="n">
        <v>45670</v>
      </c>
      <c r="Q659" s="17" t="n">
        <v>45670</v>
      </c>
      <c r="R659" s="17" t="n">
        <v>45670</v>
      </c>
      <c r="S659" s="19">
        <f>H659*I659</f>
        <v/>
      </c>
      <c r="T659" s="19">
        <f>H659*J659</f>
        <v/>
      </c>
      <c r="U659">
        <f>IF(AND(K659=0,G659&lt;=Assumptions!$C$6),1,0)</f>
        <v/>
      </c>
      <c r="V659">
        <f>IF(U659=1,IF(M659&gt;0,IF(P659&lt;=G659+Assumptions!$C$7,1,0),0),0)</f>
        <v/>
      </c>
      <c r="W659">
        <f>IF(AND(U659=1,M659&gt;=H659*(1-Assumptions!$C$8)),1,0)</f>
        <v/>
      </c>
      <c r="X659">
        <f>IF(AND(U659=1,N659&gt;=H659*(1-Assumptions!$C$8)),1,0)</f>
        <v/>
      </c>
      <c r="Y659">
        <f>IF(ISNUMBER(Q659),1,0)</f>
        <v/>
      </c>
      <c r="Z659">
        <f>IF(AND(K659=0,L659=0,Y659=0),1,0)</f>
        <v/>
      </c>
      <c r="AA659">
        <f>IF(AND(Z659=1,G659&lt;Assumptions!$C$6),1,0)</f>
        <v/>
      </c>
      <c r="AB659">
        <f>IF(U659=0,"",IF(Y659=1,MAX(0,Q659-G659),IF(L659=1,MAX(0,R659-G659),MAX(0,Assumptions!$C$6-G659))))</f>
        <v/>
      </c>
      <c r="AC659">
        <f>IF(Y659=1,Q659-F659,"")</f>
        <v/>
      </c>
      <c r="AD659">
        <f>IF(Y659=1,AC659^2,"")</f>
        <v/>
      </c>
      <c r="AE659" s="19">
        <f>IF(Z659=1,(H659-M659)*I659,0)</f>
        <v/>
      </c>
      <c r="AF659">
        <f>IF(G659&lt;EDATE(Assumptions!$C$6,-12)+1,"prior_12m","last_12m")</f>
        <v/>
      </c>
      <c r="AG659" s="21">
        <f>DATE(YEAR(G659),MONTH(G659),1)</f>
        <v/>
      </c>
    </row>
    <row r="660">
      <c r="A660" t="inlineStr">
        <is>
          <t>SPO-00363-2</t>
        </is>
      </c>
      <c r="B660" t="inlineStr">
        <is>
          <t>SPO-00363</t>
        </is>
      </c>
      <c r="C660" t="inlineStr">
        <is>
          <t>SUP-14</t>
        </is>
      </c>
      <c r="D660" t="inlineStr">
        <is>
          <t>FLEET</t>
        </is>
      </c>
      <c r="E660" t="inlineStr">
        <is>
          <t>FLEET-06</t>
        </is>
      </c>
      <c r="F660" s="17" t="n">
        <v>45662</v>
      </c>
      <c r="G660" s="17" t="n">
        <v>45676</v>
      </c>
      <c r="H660" s="18" t="n">
        <v>58</v>
      </c>
      <c r="I660" s="19" t="n">
        <v>33.03</v>
      </c>
      <c r="J660" s="19" t="n">
        <v>33</v>
      </c>
      <c r="K660" s="20" t="n">
        <v>0</v>
      </c>
      <c r="L660" s="20" t="n">
        <v>0</v>
      </c>
      <c r="M660" s="18" t="n">
        <v>58</v>
      </c>
      <c r="N660" s="18" t="n">
        <v>58</v>
      </c>
      <c r="O660" s="18" t="n">
        <v>0</v>
      </c>
      <c r="P660" s="17" t="n">
        <v>45674</v>
      </c>
      <c r="Q660" s="17" t="n">
        <v>45674</v>
      </c>
      <c r="R660" s="17" t="n">
        <v>45674</v>
      </c>
      <c r="S660" s="19">
        <f>H660*I660</f>
        <v/>
      </c>
      <c r="T660" s="19">
        <f>H660*J660</f>
        <v/>
      </c>
      <c r="U660">
        <f>IF(AND(K660=0,G660&lt;=Assumptions!$C$6),1,0)</f>
        <v/>
      </c>
      <c r="V660">
        <f>IF(U660=1,IF(M660&gt;0,IF(P660&lt;=G660+Assumptions!$C$7,1,0),0),0)</f>
        <v/>
      </c>
      <c r="W660">
        <f>IF(AND(U660=1,M660&gt;=H660*(1-Assumptions!$C$8)),1,0)</f>
        <v/>
      </c>
      <c r="X660">
        <f>IF(AND(U660=1,N660&gt;=H660*(1-Assumptions!$C$8)),1,0)</f>
        <v/>
      </c>
      <c r="Y660">
        <f>IF(ISNUMBER(Q660),1,0)</f>
        <v/>
      </c>
      <c r="Z660">
        <f>IF(AND(K660=0,L660=0,Y660=0),1,0)</f>
        <v/>
      </c>
      <c r="AA660">
        <f>IF(AND(Z660=1,G660&lt;Assumptions!$C$6),1,0)</f>
        <v/>
      </c>
      <c r="AB660">
        <f>IF(U660=0,"",IF(Y660=1,MAX(0,Q660-G660),IF(L660=1,MAX(0,R660-G660),MAX(0,Assumptions!$C$6-G660))))</f>
        <v/>
      </c>
      <c r="AC660">
        <f>IF(Y660=1,Q660-F660,"")</f>
        <v/>
      </c>
      <c r="AD660">
        <f>IF(Y660=1,AC660^2,"")</f>
        <v/>
      </c>
      <c r="AE660" s="19">
        <f>IF(Z660=1,(H660-M660)*I660,0)</f>
        <v/>
      </c>
      <c r="AF660">
        <f>IF(G660&lt;EDATE(Assumptions!$C$6,-12)+1,"prior_12m","last_12m")</f>
        <v/>
      </c>
      <c r="AG660" s="21">
        <f>DATE(YEAR(G660),MONTH(G660),1)</f>
        <v/>
      </c>
    </row>
    <row r="661">
      <c r="A661" t="inlineStr">
        <is>
          <t>SPO-00363-3</t>
        </is>
      </c>
      <c r="B661" t="inlineStr">
        <is>
          <t>SPO-00363</t>
        </is>
      </c>
      <c r="C661" t="inlineStr">
        <is>
          <t>SUP-14</t>
        </is>
      </c>
      <c r="D661" t="inlineStr">
        <is>
          <t>FLEET</t>
        </is>
      </c>
      <c r="E661" t="inlineStr">
        <is>
          <t>FLEET-08</t>
        </is>
      </c>
      <c r="F661" s="17" t="n">
        <v>45662</v>
      </c>
      <c r="G661" s="17" t="n">
        <v>45676</v>
      </c>
      <c r="H661" s="18" t="n">
        <v>189</v>
      </c>
      <c r="I661" s="19" t="n">
        <v>6.47</v>
      </c>
      <c r="J661" s="19" t="n">
        <v>6.4</v>
      </c>
      <c r="K661" s="20" t="n">
        <v>0</v>
      </c>
      <c r="L661" s="20" t="n">
        <v>0</v>
      </c>
      <c r="M661" s="18" t="n">
        <v>189</v>
      </c>
      <c r="N661" s="18" t="n">
        <v>189</v>
      </c>
      <c r="O661" s="18" t="n">
        <v>0</v>
      </c>
      <c r="P661" s="17" t="n">
        <v>45670</v>
      </c>
      <c r="Q661" s="17" t="n">
        <v>45670</v>
      </c>
      <c r="R661" s="17" t="n">
        <v>45670</v>
      </c>
      <c r="S661" s="19">
        <f>H661*I661</f>
        <v/>
      </c>
      <c r="T661" s="19">
        <f>H661*J661</f>
        <v/>
      </c>
      <c r="U661">
        <f>IF(AND(K661=0,G661&lt;=Assumptions!$C$6),1,0)</f>
        <v/>
      </c>
      <c r="V661">
        <f>IF(U661=1,IF(M661&gt;0,IF(P661&lt;=G661+Assumptions!$C$7,1,0),0),0)</f>
        <v/>
      </c>
      <c r="W661">
        <f>IF(AND(U661=1,M661&gt;=H661*(1-Assumptions!$C$8)),1,0)</f>
        <v/>
      </c>
      <c r="X661">
        <f>IF(AND(U661=1,N661&gt;=H661*(1-Assumptions!$C$8)),1,0)</f>
        <v/>
      </c>
      <c r="Y661">
        <f>IF(ISNUMBER(Q661),1,0)</f>
        <v/>
      </c>
      <c r="Z661">
        <f>IF(AND(K661=0,L661=0,Y661=0),1,0)</f>
        <v/>
      </c>
      <c r="AA661">
        <f>IF(AND(Z661=1,G661&lt;Assumptions!$C$6),1,0)</f>
        <v/>
      </c>
      <c r="AB661">
        <f>IF(U661=0,"",IF(Y661=1,MAX(0,Q661-G661),IF(L661=1,MAX(0,R661-G661),MAX(0,Assumptions!$C$6-G661))))</f>
        <v/>
      </c>
      <c r="AC661">
        <f>IF(Y661=1,Q661-F661,"")</f>
        <v/>
      </c>
      <c r="AD661">
        <f>IF(Y661=1,AC661^2,"")</f>
        <v/>
      </c>
      <c r="AE661" s="19">
        <f>IF(Z661=1,(H661-M661)*I661,0)</f>
        <v/>
      </c>
      <c r="AF661">
        <f>IF(G661&lt;EDATE(Assumptions!$C$6,-12)+1,"prior_12m","last_12m")</f>
        <v/>
      </c>
      <c r="AG661" s="21">
        <f>DATE(YEAR(G661),MONTH(G661),1)</f>
        <v/>
      </c>
    </row>
    <row r="662">
      <c r="A662" t="inlineStr">
        <is>
          <t>SPO-00364-1</t>
        </is>
      </c>
      <c r="B662" t="inlineStr">
        <is>
          <t>SPO-00364</t>
        </is>
      </c>
      <c r="C662" t="inlineStr">
        <is>
          <t>SUP-08</t>
        </is>
      </c>
      <c r="D662" t="inlineStr">
        <is>
          <t>PPE</t>
        </is>
      </c>
      <c r="E662" t="inlineStr">
        <is>
          <t>PPE-07</t>
        </is>
      </c>
      <c r="F662" s="17" t="n">
        <v>45662</v>
      </c>
      <c r="G662" s="17" t="n">
        <v>45673</v>
      </c>
      <c r="H662" s="18" t="n">
        <v>97</v>
      </c>
      <c r="I662" s="19" t="n">
        <v>30.03</v>
      </c>
      <c r="J662" s="19" t="n">
        <v>31</v>
      </c>
      <c r="K662" s="20" t="n">
        <v>0</v>
      </c>
      <c r="L662" s="20" t="n">
        <v>0</v>
      </c>
      <c r="M662" s="18" t="n">
        <v>97</v>
      </c>
      <c r="N662" s="18" t="n">
        <v>97</v>
      </c>
      <c r="O662" s="18" t="n">
        <v>0</v>
      </c>
      <c r="P662" s="17" t="n">
        <v>45671</v>
      </c>
      <c r="Q662" s="17" t="n">
        <v>45671</v>
      </c>
      <c r="R662" s="17" t="n">
        <v>45671</v>
      </c>
      <c r="S662" s="19">
        <f>H662*I662</f>
        <v/>
      </c>
      <c r="T662" s="19">
        <f>H662*J662</f>
        <v/>
      </c>
      <c r="U662">
        <f>IF(AND(K662=0,G662&lt;=Assumptions!$C$6),1,0)</f>
        <v/>
      </c>
      <c r="V662">
        <f>IF(U662=1,IF(M662&gt;0,IF(P662&lt;=G662+Assumptions!$C$7,1,0),0),0)</f>
        <v/>
      </c>
      <c r="W662">
        <f>IF(AND(U662=1,M662&gt;=H662*(1-Assumptions!$C$8)),1,0)</f>
        <v/>
      </c>
      <c r="X662">
        <f>IF(AND(U662=1,N662&gt;=H662*(1-Assumptions!$C$8)),1,0)</f>
        <v/>
      </c>
      <c r="Y662">
        <f>IF(ISNUMBER(Q662),1,0)</f>
        <v/>
      </c>
      <c r="Z662">
        <f>IF(AND(K662=0,L662=0,Y662=0),1,0)</f>
        <v/>
      </c>
      <c r="AA662">
        <f>IF(AND(Z662=1,G662&lt;Assumptions!$C$6),1,0)</f>
        <v/>
      </c>
      <c r="AB662">
        <f>IF(U662=0,"",IF(Y662=1,MAX(0,Q662-G662),IF(L662=1,MAX(0,R662-G662),MAX(0,Assumptions!$C$6-G662))))</f>
        <v/>
      </c>
      <c r="AC662">
        <f>IF(Y662=1,Q662-F662,"")</f>
        <v/>
      </c>
      <c r="AD662">
        <f>IF(Y662=1,AC662^2,"")</f>
        <v/>
      </c>
      <c r="AE662" s="19">
        <f>IF(Z662=1,(H662-M662)*I662,0)</f>
        <v/>
      </c>
      <c r="AF662">
        <f>IF(G662&lt;EDATE(Assumptions!$C$6,-12)+1,"prior_12m","last_12m")</f>
        <v/>
      </c>
      <c r="AG662" s="21">
        <f>DATE(YEAR(G662),MONTH(G662),1)</f>
        <v/>
      </c>
    </row>
    <row r="663">
      <c r="A663" t="inlineStr">
        <is>
          <t>SPO-00364-2</t>
        </is>
      </c>
      <c r="B663" t="inlineStr">
        <is>
          <t>SPO-00364</t>
        </is>
      </c>
      <c r="C663" t="inlineStr">
        <is>
          <t>SUP-08</t>
        </is>
      </c>
      <c r="D663" t="inlineStr">
        <is>
          <t>PPE</t>
        </is>
      </c>
      <c r="E663" t="inlineStr">
        <is>
          <t>PPE-03</t>
        </is>
      </c>
      <c r="F663" s="17" t="n">
        <v>45662</v>
      </c>
      <c r="G663" s="17" t="n">
        <v>45673</v>
      </c>
      <c r="H663" s="18" t="n">
        <v>61</v>
      </c>
      <c r="I663" s="19" t="n">
        <v>20.48</v>
      </c>
      <c r="J663" s="19" t="n">
        <v>21</v>
      </c>
      <c r="K663" s="20" t="n">
        <v>0</v>
      </c>
      <c r="L663" s="20" t="n">
        <v>0</v>
      </c>
      <c r="M663" s="18" t="n">
        <v>61</v>
      </c>
      <c r="N663" s="18" t="n">
        <v>61</v>
      </c>
      <c r="O663" s="18" t="n">
        <v>0</v>
      </c>
      <c r="P663" s="17" t="n">
        <v>45668</v>
      </c>
      <c r="Q663" s="17" t="n">
        <v>45668</v>
      </c>
      <c r="R663" s="17" t="n">
        <v>45668</v>
      </c>
      <c r="S663" s="19">
        <f>H663*I663</f>
        <v/>
      </c>
      <c r="T663" s="19">
        <f>H663*J663</f>
        <v/>
      </c>
      <c r="U663">
        <f>IF(AND(K663=0,G663&lt;=Assumptions!$C$6),1,0)</f>
        <v/>
      </c>
      <c r="V663">
        <f>IF(U663=1,IF(M663&gt;0,IF(P663&lt;=G663+Assumptions!$C$7,1,0),0),0)</f>
        <v/>
      </c>
      <c r="W663">
        <f>IF(AND(U663=1,M663&gt;=H663*(1-Assumptions!$C$8)),1,0)</f>
        <v/>
      </c>
      <c r="X663">
        <f>IF(AND(U663=1,N663&gt;=H663*(1-Assumptions!$C$8)),1,0)</f>
        <v/>
      </c>
      <c r="Y663">
        <f>IF(ISNUMBER(Q663),1,0)</f>
        <v/>
      </c>
      <c r="Z663">
        <f>IF(AND(K663=0,L663=0,Y663=0),1,0)</f>
        <v/>
      </c>
      <c r="AA663">
        <f>IF(AND(Z663=1,G663&lt;Assumptions!$C$6),1,0)</f>
        <v/>
      </c>
      <c r="AB663">
        <f>IF(U663=0,"",IF(Y663=1,MAX(0,Q663-G663),IF(L663=1,MAX(0,R663-G663),MAX(0,Assumptions!$C$6-G663))))</f>
        <v/>
      </c>
      <c r="AC663">
        <f>IF(Y663=1,Q663-F663,"")</f>
        <v/>
      </c>
      <c r="AD663">
        <f>IF(Y663=1,AC663^2,"")</f>
        <v/>
      </c>
      <c r="AE663" s="19">
        <f>IF(Z663=1,(H663-M663)*I663,0)</f>
        <v/>
      </c>
      <c r="AF663">
        <f>IF(G663&lt;EDATE(Assumptions!$C$6,-12)+1,"prior_12m","last_12m")</f>
        <v/>
      </c>
      <c r="AG663" s="21">
        <f>DATE(YEAR(G663),MONTH(G663),1)</f>
        <v/>
      </c>
    </row>
    <row r="664">
      <c r="A664" t="inlineStr">
        <is>
          <t>SPO-00365-1</t>
        </is>
      </c>
      <c r="B664" t="inlineStr">
        <is>
          <t>SPO-00365</t>
        </is>
      </c>
      <c r="C664" t="inlineStr">
        <is>
          <t>SUP-02</t>
        </is>
      </c>
      <c r="D664" t="inlineStr">
        <is>
          <t>ELEC</t>
        </is>
      </c>
      <c r="E664" t="inlineStr">
        <is>
          <t>ELEC-05</t>
        </is>
      </c>
      <c r="F664" s="17" t="n">
        <v>45663</v>
      </c>
      <c r="G664" s="17" t="n">
        <v>45679</v>
      </c>
      <c r="H664" s="18" t="n">
        <v>129</v>
      </c>
      <c r="I664" s="19" t="n">
        <v>10.86</v>
      </c>
      <c r="J664" s="19" t="n">
        <v>11.5</v>
      </c>
      <c r="K664" s="20" t="n">
        <v>0</v>
      </c>
      <c r="L664" s="20" t="n">
        <v>0</v>
      </c>
      <c r="M664" s="18" t="n">
        <v>129</v>
      </c>
      <c r="N664" s="18" t="n">
        <v>129</v>
      </c>
      <c r="O664" s="18" t="n">
        <v>0</v>
      </c>
      <c r="P664" s="17" t="n">
        <v>45679</v>
      </c>
      <c r="Q664" s="17" t="n">
        <v>45679</v>
      </c>
      <c r="R664" s="17" t="n">
        <v>45679</v>
      </c>
      <c r="S664" s="19">
        <f>H664*I664</f>
        <v/>
      </c>
      <c r="T664" s="19">
        <f>H664*J664</f>
        <v/>
      </c>
      <c r="U664">
        <f>IF(AND(K664=0,G664&lt;=Assumptions!$C$6),1,0)</f>
        <v/>
      </c>
      <c r="V664">
        <f>IF(U664=1,IF(M664&gt;0,IF(P664&lt;=G664+Assumptions!$C$7,1,0),0),0)</f>
        <v/>
      </c>
      <c r="W664">
        <f>IF(AND(U664=1,M664&gt;=H664*(1-Assumptions!$C$8)),1,0)</f>
        <v/>
      </c>
      <c r="X664">
        <f>IF(AND(U664=1,N664&gt;=H664*(1-Assumptions!$C$8)),1,0)</f>
        <v/>
      </c>
      <c r="Y664">
        <f>IF(ISNUMBER(Q664),1,0)</f>
        <v/>
      </c>
      <c r="Z664">
        <f>IF(AND(K664=0,L664=0,Y664=0),1,0)</f>
        <v/>
      </c>
      <c r="AA664">
        <f>IF(AND(Z664=1,G664&lt;Assumptions!$C$6),1,0)</f>
        <v/>
      </c>
      <c r="AB664">
        <f>IF(U664=0,"",IF(Y664=1,MAX(0,Q664-G664),IF(L664=1,MAX(0,R664-G664),MAX(0,Assumptions!$C$6-G664))))</f>
        <v/>
      </c>
      <c r="AC664">
        <f>IF(Y664=1,Q664-F664,"")</f>
        <v/>
      </c>
      <c r="AD664">
        <f>IF(Y664=1,AC664^2,"")</f>
        <v/>
      </c>
      <c r="AE664" s="19">
        <f>IF(Z664=1,(H664-M664)*I664,0)</f>
        <v/>
      </c>
      <c r="AF664">
        <f>IF(G664&lt;EDATE(Assumptions!$C$6,-12)+1,"prior_12m","last_12m")</f>
        <v/>
      </c>
      <c r="AG664" s="21">
        <f>DATE(YEAR(G664),MONTH(G664),1)</f>
        <v/>
      </c>
    </row>
    <row r="665">
      <c r="A665" t="inlineStr">
        <is>
          <t>SPO-00366-1</t>
        </is>
      </c>
      <c r="B665" t="inlineStr">
        <is>
          <t>SPO-00366</t>
        </is>
      </c>
      <c r="C665" t="inlineStr">
        <is>
          <t>SUP-06</t>
        </is>
      </c>
      <c r="D665" t="inlineStr">
        <is>
          <t>MRO</t>
        </is>
      </c>
      <c r="E665" t="inlineStr">
        <is>
          <t>MRO-07</t>
        </is>
      </c>
      <c r="F665" s="17" t="n">
        <v>45663</v>
      </c>
      <c r="G665" s="17" t="n">
        <v>45671</v>
      </c>
      <c r="H665" s="18" t="n">
        <v>150</v>
      </c>
      <c r="I665" s="19" t="n">
        <v>13.48</v>
      </c>
      <c r="J665" s="19" t="n">
        <v>14</v>
      </c>
      <c r="K665" s="20" t="n">
        <v>0</v>
      </c>
      <c r="L665" s="20" t="n">
        <v>0</v>
      </c>
      <c r="M665" s="18" t="n">
        <v>150</v>
      </c>
      <c r="N665" s="18" t="n">
        <v>150</v>
      </c>
      <c r="O665" s="18" t="n">
        <v>0</v>
      </c>
      <c r="P665" s="17" t="n">
        <v>45670</v>
      </c>
      <c r="Q665" s="17" t="n">
        <v>45670</v>
      </c>
      <c r="R665" s="17" t="n">
        <v>45670</v>
      </c>
      <c r="S665" s="19">
        <f>H665*I665</f>
        <v/>
      </c>
      <c r="T665" s="19">
        <f>H665*J665</f>
        <v/>
      </c>
      <c r="U665">
        <f>IF(AND(K665=0,G665&lt;=Assumptions!$C$6),1,0)</f>
        <v/>
      </c>
      <c r="V665">
        <f>IF(U665=1,IF(M665&gt;0,IF(P665&lt;=G665+Assumptions!$C$7,1,0),0),0)</f>
        <v/>
      </c>
      <c r="W665">
        <f>IF(AND(U665=1,M665&gt;=H665*(1-Assumptions!$C$8)),1,0)</f>
        <v/>
      </c>
      <c r="X665">
        <f>IF(AND(U665=1,N665&gt;=H665*(1-Assumptions!$C$8)),1,0)</f>
        <v/>
      </c>
      <c r="Y665">
        <f>IF(ISNUMBER(Q665),1,0)</f>
        <v/>
      </c>
      <c r="Z665">
        <f>IF(AND(K665=0,L665=0,Y665=0),1,0)</f>
        <v/>
      </c>
      <c r="AA665">
        <f>IF(AND(Z665=1,G665&lt;Assumptions!$C$6),1,0)</f>
        <v/>
      </c>
      <c r="AB665">
        <f>IF(U665=0,"",IF(Y665=1,MAX(0,Q665-G665),IF(L665=1,MAX(0,R665-G665),MAX(0,Assumptions!$C$6-G665))))</f>
        <v/>
      </c>
      <c r="AC665">
        <f>IF(Y665=1,Q665-F665,"")</f>
        <v/>
      </c>
      <c r="AD665">
        <f>IF(Y665=1,AC665^2,"")</f>
        <v/>
      </c>
      <c r="AE665" s="19">
        <f>IF(Z665=1,(H665-M665)*I665,0)</f>
        <v/>
      </c>
      <c r="AF665">
        <f>IF(G665&lt;EDATE(Assumptions!$C$6,-12)+1,"prior_12m","last_12m")</f>
        <v/>
      </c>
      <c r="AG665" s="21">
        <f>DATE(YEAR(G665),MONTH(G665),1)</f>
        <v/>
      </c>
    </row>
    <row r="666">
      <c r="A666" t="inlineStr">
        <is>
          <t>SPO-00367-1</t>
        </is>
      </c>
      <c r="B666" t="inlineStr">
        <is>
          <t>SPO-00367</t>
        </is>
      </c>
      <c r="C666" t="inlineStr">
        <is>
          <t>SUP-01</t>
        </is>
      </c>
      <c r="D666" t="inlineStr">
        <is>
          <t>ELEC</t>
        </is>
      </c>
      <c r="E666" t="inlineStr">
        <is>
          <t>ELEC-03</t>
        </is>
      </c>
      <c r="F666" s="17" t="n">
        <v>45664</v>
      </c>
      <c r="G666" s="17" t="n">
        <v>45682</v>
      </c>
      <c r="H666" s="18" t="n">
        <v>28</v>
      </c>
      <c r="I666" s="19" t="n">
        <v>93.63</v>
      </c>
      <c r="J666" s="19" t="n">
        <v>96</v>
      </c>
      <c r="K666" s="20" t="n">
        <v>0</v>
      </c>
      <c r="L666" s="20" t="n">
        <v>0</v>
      </c>
      <c r="M666" s="18" t="n">
        <v>28</v>
      </c>
      <c r="N666" s="18" t="n">
        <v>28</v>
      </c>
      <c r="O666" s="18" t="n">
        <v>0</v>
      </c>
      <c r="P666" s="17" t="n">
        <v>45680</v>
      </c>
      <c r="Q666" s="17" t="n">
        <v>45680</v>
      </c>
      <c r="R666" s="17" t="n">
        <v>45680</v>
      </c>
      <c r="S666" s="19">
        <f>H666*I666</f>
        <v/>
      </c>
      <c r="T666" s="19">
        <f>H666*J666</f>
        <v/>
      </c>
      <c r="U666">
        <f>IF(AND(K666=0,G666&lt;=Assumptions!$C$6),1,0)</f>
        <v/>
      </c>
      <c r="V666">
        <f>IF(U666=1,IF(M666&gt;0,IF(P666&lt;=G666+Assumptions!$C$7,1,0),0),0)</f>
        <v/>
      </c>
      <c r="W666">
        <f>IF(AND(U666=1,M666&gt;=H666*(1-Assumptions!$C$8)),1,0)</f>
        <v/>
      </c>
      <c r="X666">
        <f>IF(AND(U666=1,N666&gt;=H666*(1-Assumptions!$C$8)),1,0)</f>
        <v/>
      </c>
      <c r="Y666">
        <f>IF(ISNUMBER(Q666),1,0)</f>
        <v/>
      </c>
      <c r="Z666">
        <f>IF(AND(K666=0,L666=0,Y666=0),1,0)</f>
        <v/>
      </c>
      <c r="AA666">
        <f>IF(AND(Z666=1,G666&lt;Assumptions!$C$6),1,0)</f>
        <v/>
      </c>
      <c r="AB666">
        <f>IF(U666=0,"",IF(Y666=1,MAX(0,Q666-G666),IF(L666=1,MAX(0,R666-G666),MAX(0,Assumptions!$C$6-G666))))</f>
        <v/>
      </c>
      <c r="AC666">
        <f>IF(Y666=1,Q666-F666,"")</f>
        <v/>
      </c>
      <c r="AD666">
        <f>IF(Y666=1,AC666^2,"")</f>
        <v/>
      </c>
      <c r="AE666" s="19">
        <f>IF(Z666=1,(H666-M666)*I666,0)</f>
        <v/>
      </c>
      <c r="AF666">
        <f>IF(G666&lt;EDATE(Assumptions!$C$6,-12)+1,"prior_12m","last_12m")</f>
        <v/>
      </c>
      <c r="AG666" s="21">
        <f>DATE(YEAR(G666),MONTH(G666),1)</f>
        <v/>
      </c>
    </row>
    <row r="667">
      <c r="A667" t="inlineStr">
        <is>
          <t>SPO-00368-1</t>
        </is>
      </c>
      <c r="B667" t="inlineStr">
        <is>
          <t>SPO-00368</t>
        </is>
      </c>
      <c r="C667" t="inlineStr">
        <is>
          <t>SUP-07</t>
        </is>
      </c>
      <c r="D667" t="inlineStr">
        <is>
          <t>MRO</t>
        </is>
      </c>
      <c r="E667" t="inlineStr">
        <is>
          <t>MRO-01</t>
        </is>
      </c>
      <c r="F667" s="17" t="n">
        <v>45664</v>
      </c>
      <c r="G667" s="17" t="n">
        <v>45674</v>
      </c>
      <c r="H667" s="18" t="n">
        <v>38</v>
      </c>
      <c r="I667" s="19" t="n">
        <v>49.34</v>
      </c>
      <c r="J667" s="19" t="n">
        <v>52</v>
      </c>
      <c r="K667" s="20" t="n">
        <v>0</v>
      </c>
      <c r="L667" s="20" t="n">
        <v>0</v>
      </c>
      <c r="M667" s="18" t="n">
        <v>38</v>
      </c>
      <c r="N667" s="18" t="n">
        <v>38</v>
      </c>
      <c r="O667" s="18" t="n">
        <v>0</v>
      </c>
      <c r="P667" s="17" t="n">
        <v>45667</v>
      </c>
      <c r="Q667" s="17" t="n">
        <v>45667</v>
      </c>
      <c r="R667" s="17" t="n">
        <v>45667</v>
      </c>
      <c r="S667" s="19">
        <f>H667*I667</f>
        <v/>
      </c>
      <c r="T667" s="19">
        <f>H667*J667</f>
        <v/>
      </c>
      <c r="U667">
        <f>IF(AND(K667=0,G667&lt;=Assumptions!$C$6),1,0)</f>
        <v/>
      </c>
      <c r="V667">
        <f>IF(U667=1,IF(M667&gt;0,IF(P667&lt;=G667+Assumptions!$C$7,1,0),0),0)</f>
        <v/>
      </c>
      <c r="W667">
        <f>IF(AND(U667=1,M667&gt;=H667*(1-Assumptions!$C$8)),1,0)</f>
        <v/>
      </c>
      <c r="X667">
        <f>IF(AND(U667=1,N667&gt;=H667*(1-Assumptions!$C$8)),1,0)</f>
        <v/>
      </c>
      <c r="Y667">
        <f>IF(ISNUMBER(Q667),1,0)</f>
        <v/>
      </c>
      <c r="Z667">
        <f>IF(AND(K667=0,L667=0,Y667=0),1,0)</f>
        <v/>
      </c>
      <c r="AA667">
        <f>IF(AND(Z667=1,G667&lt;Assumptions!$C$6),1,0)</f>
        <v/>
      </c>
      <c r="AB667">
        <f>IF(U667=0,"",IF(Y667=1,MAX(0,Q667-G667),IF(L667=1,MAX(0,R667-G667),MAX(0,Assumptions!$C$6-G667))))</f>
        <v/>
      </c>
      <c r="AC667">
        <f>IF(Y667=1,Q667-F667,"")</f>
        <v/>
      </c>
      <c r="AD667">
        <f>IF(Y667=1,AC667^2,"")</f>
        <v/>
      </c>
      <c r="AE667" s="19">
        <f>IF(Z667=1,(H667-M667)*I667,0)</f>
        <v/>
      </c>
      <c r="AF667">
        <f>IF(G667&lt;EDATE(Assumptions!$C$6,-12)+1,"prior_12m","last_12m")</f>
        <v/>
      </c>
      <c r="AG667" s="21">
        <f>DATE(YEAR(G667),MONTH(G667),1)</f>
        <v/>
      </c>
    </row>
    <row r="668">
      <c r="A668" t="inlineStr">
        <is>
          <t>SPO-00368-2</t>
        </is>
      </c>
      <c r="B668" t="inlineStr">
        <is>
          <t>SPO-00368</t>
        </is>
      </c>
      <c r="C668" t="inlineStr">
        <is>
          <t>SUP-07</t>
        </is>
      </c>
      <c r="D668" t="inlineStr">
        <is>
          <t>MRO</t>
        </is>
      </c>
      <c r="E668" t="inlineStr">
        <is>
          <t>MRO-02</t>
        </is>
      </c>
      <c r="F668" s="17" t="n">
        <v>45664</v>
      </c>
      <c r="G668" s="17" t="n">
        <v>45674</v>
      </c>
      <c r="H668" s="18" t="n">
        <v>54</v>
      </c>
      <c r="I668" s="19" t="n">
        <v>41.06</v>
      </c>
      <c r="J668" s="19" t="n">
        <v>41</v>
      </c>
      <c r="K668" s="20" t="n">
        <v>0</v>
      </c>
      <c r="L668" s="20" t="n">
        <v>0</v>
      </c>
      <c r="M668" s="18" t="n">
        <v>54</v>
      </c>
      <c r="N668" s="18" t="n">
        <v>54</v>
      </c>
      <c r="O668" s="18" t="n">
        <v>0</v>
      </c>
      <c r="P668" s="17" t="n">
        <v>45670</v>
      </c>
      <c r="Q668" s="17" t="n">
        <v>45670</v>
      </c>
      <c r="R668" s="17" t="n">
        <v>45670</v>
      </c>
      <c r="S668" s="19">
        <f>H668*I668</f>
        <v/>
      </c>
      <c r="T668" s="19">
        <f>H668*J668</f>
        <v/>
      </c>
      <c r="U668">
        <f>IF(AND(K668=0,G668&lt;=Assumptions!$C$6),1,0)</f>
        <v/>
      </c>
      <c r="V668">
        <f>IF(U668=1,IF(M668&gt;0,IF(P668&lt;=G668+Assumptions!$C$7,1,0),0),0)</f>
        <v/>
      </c>
      <c r="W668">
        <f>IF(AND(U668=1,M668&gt;=H668*(1-Assumptions!$C$8)),1,0)</f>
        <v/>
      </c>
      <c r="X668">
        <f>IF(AND(U668=1,N668&gt;=H668*(1-Assumptions!$C$8)),1,0)</f>
        <v/>
      </c>
      <c r="Y668">
        <f>IF(ISNUMBER(Q668),1,0)</f>
        <v/>
      </c>
      <c r="Z668">
        <f>IF(AND(K668=0,L668=0,Y668=0),1,0)</f>
        <v/>
      </c>
      <c r="AA668">
        <f>IF(AND(Z668=1,G668&lt;Assumptions!$C$6),1,0)</f>
        <v/>
      </c>
      <c r="AB668">
        <f>IF(U668=0,"",IF(Y668=1,MAX(0,Q668-G668),IF(L668=1,MAX(0,R668-G668),MAX(0,Assumptions!$C$6-G668))))</f>
        <v/>
      </c>
      <c r="AC668">
        <f>IF(Y668=1,Q668-F668,"")</f>
        <v/>
      </c>
      <c r="AD668">
        <f>IF(Y668=1,AC668^2,"")</f>
        <v/>
      </c>
      <c r="AE668" s="19">
        <f>IF(Z668=1,(H668-M668)*I668,0)</f>
        <v/>
      </c>
      <c r="AF668">
        <f>IF(G668&lt;EDATE(Assumptions!$C$6,-12)+1,"prior_12m","last_12m")</f>
        <v/>
      </c>
      <c r="AG668" s="21">
        <f>DATE(YEAR(G668),MONTH(G668),1)</f>
        <v/>
      </c>
    </row>
    <row r="669">
      <c r="A669" t="inlineStr">
        <is>
          <t>SPO-00369-1</t>
        </is>
      </c>
      <c r="B669" t="inlineStr">
        <is>
          <t>SPO-00369</t>
        </is>
      </c>
      <c r="C669" t="inlineStr">
        <is>
          <t>SUP-01</t>
        </is>
      </c>
      <c r="D669" t="inlineStr">
        <is>
          <t>ELEC</t>
        </is>
      </c>
      <c r="E669" t="inlineStr">
        <is>
          <t>ELEC-06</t>
        </is>
      </c>
      <c r="F669" s="17" t="n">
        <v>45664</v>
      </c>
      <c r="G669" s="17" t="n">
        <v>45682</v>
      </c>
      <c r="H669" s="18" t="n">
        <v>17</v>
      </c>
      <c r="I669" s="19" t="n">
        <v>145.35</v>
      </c>
      <c r="J669" s="19" t="n">
        <v>145</v>
      </c>
      <c r="K669" s="20" t="n">
        <v>0</v>
      </c>
      <c r="L669" s="20" t="n">
        <v>0</v>
      </c>
      <c r="M669" s="18" t="n">
        <v>17</v>
      </c>
      <c r="N669" s="18" t="n">
        <v>17</v>
      </c>
      <c r="O669" s="18" t="n">
        <v>0</v>
      </c>
      <c r="P669" s="17" t="n">
        <v>45679</v>
      </c>
      <c r="Q669" s="17" t="n">
        <v>45679</v>
      </c>
      <c r="R669" s="17" t="n">
        <v>45679</v>
      </c>
      <c r="S669" s="19">
        <f>H669*I669</f>
        <v/>
      </c>
      <c r="T669" s="19">
        <f>H669*J669</f>
        <v/>
      </c>
      <c r="U669">
        <f>IF(AND(K669=0,G669&lt;=Assumptions!$C$6),1,0)</f>
        <v/>
      </c>
      <c r="V669">
        <f>IF(U669=1,IF(M669&gt;0,IF(P669&lt;=G669+Assumptions!$C$7,1,0),0),0)</f>
        <v/>
      </c>
      <c r="W669">
        <f>IF(AND(U669=1,M669&gt;=H669*(1-Assumptions!$C$8)),1,0)</f>
        <v/>
      </c>
      <c r="X669">
        <f>IF(AND(U669=1,N669&gt;=H669*(1-Assumptions!$C$8)),1,0)</f>
        <v/>
      </c>
      <c r="Y669">
        <f>IF(ISNUMBER(Q669),1,0)</f>
        <v/>
      </c>
      <c r="Z669">
        <f>IF(AND(K669=0,L669=0,Y669=0),1,0)</f>
        <v/>
      </c>
      <c r="AA669">
        <f>IF(AND(Z669=1,G669&lt;Assumptions!$C$6),1,0)</f>
        <v/>
      </c>
      <c r="AB669">
        <f>IF(U669=0,"",IF(Y669=1,MAX(0,Q669-G669),IF(L669=1,MAX(0,R669-G669),MAX(0,Assumptions!$C$6-G669))))</f>
        <v/>
      </c>
      <c r="AC669">
        <f>IF(Y669=1,Q669-F669,"")</f>
        <v/>
      </c>
      <c r="AD669">
        <f>IF(Y669=1,AC669^2,"")</f>
        <v/>
      </c>
      <c r="AE669" s="19">
        <f>IF(Z669=1,(H669-M669)*I669,0)</f>
        <v/>
      </c>
      <c r="AF669">
        <f>IF(G669&lt;EDATE(Assumptions!$C$6,-12)+1,"prior_12m","last_12m")</f>
        <v/>
      </c>
      <c r="AG669" s="21">
        <f>DATE(YEAR(G669),MONTH(G669),1)</f>
        <v/>
      </c>
    </row>
    <row r="670">
      <c r="A670" t="inlineStr">
        <is>
          <t>SPO-00370-1</t>
        </is>
      </c>
      <c r="B670" t="inlineStr">
        <is>
          <t>SPO-00370</t>
        </is>
      </c>
      <c r="C670" t="inlineStr">
        <is>
          <t>SUP-10</t>
        </is>
      </c>
      <c r="D670" t="inlineStr">
        <is>
          <t>PPE</t>
        </is>
      </c>
      <c r="E670" t="inlineStr">
        <is>
          <t>PPE-03</t>
        </is>
      </c>
      <c r="F670" s="17" t="n">
        <v>45664</v>
      </c>
      <c r="G670" s="17" t="n">
        <v>45677</v>
      </c>
      <c r="H670" s="18" t="n">
        <v>42</v>
      </c>
      <c r="I670" s="19" t="n">
        <v>19.24</v>
      </c>
      <c r="J670" s="19" t="n">
        <v>21</v>
      </c>
      <c r="K670" s="20" t="n">
        <v>0</v>
      </c>
      <c r="L670" s="20" t="n">
        <v>0</v>
      </c>
      <c r="M670" s="18" t="n">
        <v>42</v>
      </c>
      <c r="N670" s="18" t="n">
        <v>42</v>
      </c>
      <c r="O670" s="18" t="n">
        <v>0</v>
      </c>
      <c r="P670" s="17" t="n">
        <v>45677</v>
      </c>
      <c r="Q670" s="17" t="n">
        <v>45677</v>
      </c>
      <c r="R670" s="17" t="n">
        <v>45677</v>
      </c>
      <c r="S670" s="19">
        <f>H670*I670</f>
        <v/>
      </c>
      <c r="T670" s="19">
        <f>H670*J670</f>
        <v/>
      </c>
      <c r="U670">
        <f>IF(AND(K670=0,G670&lt;=Assumptions!$C$6),1,0)</f>
        <v/>
      </c>
      <c r="V670">
        <f>IF(U670=1,IF(M670&gt;0,IF(P670&lt;=G670+Assumptions!$C$7,1,0),0),0)</f>
        <v/>
      </c>
      <c r="W670">
        <f>IF(AND(U670=1,M670&gt;=H670*(1-Assumptions!$C$8)),1,0)</f>
        <v/>
      </c>
      <c r="X670">
        <f>IF(AND(U670=1,N670&gt;=H670*(1-Assumptions!$C$8)),1,0)</f>
        <v/>
      </c>
      <c r="Y670">
        <f>IF(ISNUMBER(Q670),1,0)</f>
        <v/>
      </c>
      <c r="Z670">
        <f>IF(AND(K670=0,L670=0,Y670=0),1,0)</f>
        <v/>
      </c>
      <c r="AA670">
        <f>IF(AND(Z670=1,G670&lt;Assumptions!$C$6),1,0)</f>
        <v/>
      </c>
      <c r="AB670">
        <f>IF(U670=0,"",IF(Y670=1,MAX(0,Q670-G670),IF(L670=1,MAX(0,R670-G670),MAX(0,Assumptions!$C$6-G670))))</f>
        <v/>
      </c>
      <c r="AC670">
        <f>IF(Y670=1,Q670-F670,"")</f>
        <v/>
      </c>
      <c r="AD670">
        <f>IF(Y670=1,AC670^2,"")</f>
        <v/>
      </c>
      <c r="AE670" s="19">
        <f>IF(Z670=1,(H670-M670)*I670,0)</f>
        <v/>
      </c>
      <c r="AF670">
        <f>IF(G670&lt;EDATE(Assumptions!$C$6,-12)+1,"prior_12m","last_12m")</f>
        <v/>
      </c>
      <c r="AG670" s="21">
        <f>DATE(YEAR(G670),MONTH(G670),1)</f>
        <v/>
      </c>
    </row>
    <row r="671">
      <c r="A671" t="inlineStr">
        <is>
          <t>SPO-00370-2</t>
        </is>
      </c>
      <c r="B671" t="inlineStr">
        <is>
          <t>SPO-00370</t>
        </is>
      </c>
      <c r="C671" t="inlineStr">
        <is>
          <t>SUP-10</t>
        </is>
      </c>
      <c r="D671" t="inlineStr">
        <is>
          <t>PPE</t>
        </is>
      </c>
      <c r="E671" t="inlineStr">
        <is>
          <t>PPE-08</t>
        </is>
      </c>
      <c r="F671" s="17" t="n">
        <v>45664</v>
      </c>
      <c r="G671" s="17" t="n">
        <v>45677</v>
      </c>
      <c r="H671" s="18" t="n">
        <v>44</v>
      </c>
      <c r="I671" s="19" t="n">
        <v>63.45</v>
      </c>
      <c r="J671" s="19" t="n">
        <v>64</v>
      </c>
      <c r="K671" s="20" t="n">
        <v>0</v>
      </c>
      <c r="L671" s="20" t="n">
        <v>0</v>
      </c>
      <c r="M671" s="18" t="n">
        <v>44</v>
      </c>
      <c r="N671" s="18" t="n">
        <v>0</v>
      </c>
      <c r="O671" s="18" t="n">
        <v>0</v>
      </c>
      <c r="P671" s="17" t="n">
        <v>45678</v>
      </c>
      <c r="Q671" s="17" t="n">
        <v>45678</v>
      </c>
      <c r="R671" s="17" t="n">
        <v>45678</v>
      </c>
      <c r="S671" s="19">
        <f>H671*I671</f>
        <v/>
      </c>
      <c r="T671" s="19">
        <f>H671*J671</f>
        <v/>
      </c>
      <c r="U671">
        <f>IF(AND(K671=0,G671&lt;=Assumptions!$C$6),1,0)</f>
        <v/>
      </c>
      <c r="V671">
        <f>IF(U671=1,IF(M671&gt;0,IF(P671&lt;=G671+Assumptions!$C$7,1,0),0),0)</f>
        <v/>
      </c>
      <c r="W671">
        <f>IF(AND(U671=1,M671&gt;=H671*(1-Assumptions!$C$8)),1,0)</f>
        <v/>
      </c>
      <c r="X671">
        <f>IF(AND(U671=1,N671&gt;=H671*(1-Assumptions!$C$8)),1,0)</f>
        <v/>
      </c>
      <c r="Y671">
        <f>IF(ISNUMBER(Q671),1,0)</f>
        <v/>
      </c>
      <c r="Z671">
        <f>IF(AND(K671=0,L671=0,Y671=0),1,0)</f>
        <v/>
      </c>
      <c r="AA671">
        <f>IF(AND(Z671=1,G671&lt;Assumptions!$C$6),1,0)</f>
        <v/>
      </c>
      <c r="AB671">
        <f>IF(U671=0,"",IF(Y671=1,MAX(0,Q671-G671),IF(L671=1,MAX(0,R671-G671),MAX(0,Assumptions!$C$6-G671))))</f>
        <v/>
      </c>
      <c r="AC671">
        <f>IF(Y671=1,Q671-F671,"")</f>
        <v/>
      </c>
      <c r="AD671">
        <f>IF(Y671=1,AC671^2,"")</f>
        <v/>
      </c>
      <c r="AE671" s="19">
        <f>IF(Z671=1,(H671-M671)*I671,0)</f>
        <v/>
      </c>
      <c r="AF671">
        <f>IF(G671&lt;EDATE(Assumptions!$C$6,-12)+1,"prior_12m","last_12m")</f>
        <v/>
      </c>
      <c r="AG671" s="21">
        <f>DATE(YEAR(G671),MONTH(G671),1)</f>
        <v/>
      </c>
    </row>
    <row r="672">
      <c r="A672" t="inlineStr">
        <is>
          <t>SPO-00370-3</t>
        </is>
      </c>
      <c r="B672" t="inlineStr">
        <is>
          <t>SPO-00370</t>
        </is>
      </c>
      <c r="C672" t="inlineStr">
        <is>
          <t>SUP-10</t>
        </is>
      </c>
      <c r="D672" t="inlineStr">
        <is>
          <t>PPE</t>
        </is>
      </c>
      <c r="E672" t="inlineStr">
        <is>
          <t>PPE-04</t>
        </is>
      </c>
      <c r="F672" s="17" t="n">
        <v>45664</v>
      </c>
      <c r="G672" s="17" t="n">
        <v>45677</v>
      </c>
      <c r="H672" s="18" t="n">
        <v>101</v>
      </c>
      <c r="I672" s="19" t="n">
        <v>24.9</v>
      </c>
      <c r="J672" s="19" t="n">
        <v>26</v>
      </c>
      <c r="K672" s="20" t="n">
        <v>0</v>
      </c>
      <c r="L672" s="20" t="n">
        <v>0</v>
      </c>
      <c r="M672" s="18" t="n">
        <v>101</v>
      </c>
      <c r="N672" s="18" t="n">
        <v>70</v>
      </c>
      <c r="O672" s="18" t="n">
        <v>0</v>
      </c>
      <c r="P672" s="17" t="n">
        <v>45675</v>
      </c>
      <c r="Q672" s="17" t="n">
        <v>45680</v>
      </c>
      <c r="R672" s="17" t="n">
        <v>45680</v>
      </c>
      <c r="S672" s="19">
        <f>H672*I672</f>
        <v/>
      </c>
      <c r="T672" s="19">
        <f>H672*J672</f>
        <v/>
      </c>
      <c r="U672">
        <f>IF(AND(K672=0,G672&lt;=Assumptions!$C$6),1,0)</f>
        <v/>
      </c>
      <c r="V672">
        <f>IF(U672=1,IF(M672&gt;0,IF(P672&lt;=G672+Assumptions!$C$7,1,0),0),0)</f>
        <v/>
      </c>
      <c r="W672">
        <f>IF(AND(U672=1,M672&gt;=H672*(1-Assumptions!$C$8)),1,0)</f>
        <v/>
      </c>
      <c r="X672">
        <f>IF(AND(U672=1,N672&gt;=H672*(1-Assumptions!$C$8)),1,0)</f>
        <v/>
      </c>
      <c r="Y672">
        <f>IF(ISNUMBER(Q672),1,0)</f>
        <v/>
      </c>
      <c r="Z672">
        <f>IF(AND(K672=0,L672=0,Y672=0),1,0)</f>
        <v/>
      </c>
      <c r="AA672">
        <f>IF(AND(Z672=1,G672&lt;Assumptions!$C$6),1,0)</f>
        <v/>
      </c>
      <c r="AB672">
        <f>IF(U672=0,"",IF(Y672=1,MAX(0,Q672-G672),IF(L672=1,MAX(0,R672-G672),MAX(0,Assumptions!$C$6-G672))))</f>
        <v/>
      </c>
      <c r="AC672">
        <f>IF(Y672=1,Q672-F672,"")</f>
        <v/>
      </c>
      <c r="AD672">
        <f>IF(Y672=1,AC672^2,"")</f>
        <v/>
      </c>
      <c r="AE672" s="19">
        <f>IF(Z672=1,(H672-M672)*I672,0)</f>
        <v/>
      </c>
      <c r="AF672">
        <f>IF(G672&lt;EDATE(Assumptions!$C$6,-12)+1,"prior_12m","last_12m")</f>
        <v/>
      </c>
      <c r="AG672" s="21">
        <f>DATE(YEAR(G672),MONTH(G672),1)</f>
        <v/>
      </c>
    </row>
    <row r="673">
      <c r="A673" t="inlineStr">
        <is>
          <t>SPO-00371-1</t>
        </is>
      </c>
      <c r="B673" t="inlineStr">
        <is>
          <t>SPO-00371</t>
        </is>
      </c>
      <c r="C673" t="inlineStr">
        <is>
          <t>SUP-04</t>
        </is>
      </c>
      <c r="D673" t="inlineStr">
        <is>
          <t>FLEET</t>
        </is>
      </c>
      <c r="E673" t="inlineStr">
        <is>
          <t>FLEET-03</t>
        </is>
      </c>
      <c r="F673" s="17" t="n">
        <v>45664</v>
      </c>
      <c r="G673" s="17" t="n">
        <v>45677</v>
      </c>
      <c r="H673" s="18" t="n">
        <v>34</v>
      </c>
      <c r="I673" s="19" t="n">
        <v>21.19</v>
      </c>
      <c r="J673" s="19" t="n">
        <v>21</v>
      </c>
      <c r="K673" s="20" t="n">
        <v>0</v>
      </c>
      <c r="L673" s="20" t="n">
        <v>0</v>
      </c>
      <c r="M673" s="18" t="n">
        <v>34</v>
      </c>
      <c r="N673" s="18" t="n">
        <v>0</v>
      </c>
      <c r="O673" s="18" t="n">
        <v>0</v>
      </c>
      <c r="P673" s="17" t="n">
        <v>45784</v>
      </c>
      <c r="Q673" s="17" t="n">
        <v>45784</v>
      </c>
      <c r="R673" s="17" t="n">
        <v>45784</v>
      </c>
      <c r="S673" s="19">
        <f>H673*I673</f>
        <v/>
      </c>
      <c r="T673" s="19">
        <f>H673*J673</f>
        <v/>
      </c>
      <c r="U673">
        <f>IF(AND(K673=0,G673&lt;=Assumptions!$C$6),1,0)</f>
        <v/>
      </c>
      <c r="V673">
        <f>IF(U673=1,IF(M673&gt;0,IF(P673&lt;=G673+Assumptions!$C$7,1,0),0),0)</f>
        <v/>
      </c>
      <c r="W673">
        <f>IF(AND(U673=1,M673&gt;=H673*(1-Assumptions!$C$8)),1,0)</f>
        <v/>
      </c>
      <c r="X673">
        <f>IF(AND(U673=1,N673&gt;=H673*(1-Assumptions!$C$8)),1,0)</f>
        <v/>
      </c>
      <c r="Y673">
        <f>IF(ISNUMBER(Q673),1,0)</f>
        <v/>
      </c>
      <c r="Z673">
        <f>IF(AND(K673=0,L673=0,Y673=0),1,0)</f>
        <v/>
      </c>
      <c r="AA673">
        <f>IF(AND(Z673=1,G673&lt;Assumptions!$C$6),1,0)</f>
        <v/>
      </c>
      <c r="AB673">
        <f>IF(U673=0,"",IF(Y673=1,MAX(0,Q673-G673),IF(L673=1,MAX(0,R673-G673),MAX(0,Assumptions!$C$6-G673))))</f>
        <v/>
      </c>
      <c r="AC673">
        <f>IF(Y673=1,Q673-F673,"")</f>
        <v/>
      </c>
      <c r="AD673">
        <f>IF(Y673=1,AC673^2,"")</f>
        <v/>
      </c>
      <c r="AE673" s="19">
        <f>IF(Z673=1,(H673-M673)*I673,0)</f>
        <v/>
      </c>
      <c r="AF673">
        <f>IF(G673&lt;EDATE(Assumptions!$C$6,-12)+1,"prior_12m","last_12m")</f>
        <v/>
      </c>
      <c r="AG673" s="21">
        <f>DATE(YEAR(G673),MONTH(G673),1)</f>
        <v/>
      </c>
    </row>
    <row r="674">
      <c r="A674" t="inlineStr">
        <is>
          <t>SPO-00371-2</t>
        </is>
      </c>
      <c r="B674" t="inlineStr">
        <is>
          <t>SPO-00371</t>
        </is>
      </c>
      <c r="C674" t="inlineStr">
        <is>
          <t>SUP-04</t>
        </is>
      </c>
      <c r="D674" t="inlineStr">
        <is>
          <t>FLEET</t>
        </is>
      </c>
      <c r="E674" t="inlineStr">
        <is>
          <t>FLEET-05</t>
        </is>
      </c>
      <c r="F674" s="17" t="n">
        <v>45664</v>
      </c>
      <c r="G674" s="17" t="n">
        <v>45677</v>
      </c>
      <c r="H674" s="18" t="n">
        <v>12</v>
      </c>
      <c r="I674" s="19" t="n">
        <v>165.96</v>
      </c>
      <c r="J674" s="19" t="n">
        <v>168</v>
      </c>
      <c r="K674" s="20" t="n">
        <v>0</v>
      </c>
      <c r="L674" s="20" t="n">
        <v>0</v>
      </c>
      <c r="M674" s="18" t="n">
        <v>12</v>
      </c>
      <c r="N674" s="18" t="n">
        <v>12</v>
      </c>
      <c r="O674" s="18" t="n">
        <v>0</v>
      </c>
      <c r="P674" s="17" t="n">
        <v>45672</v>
      </c>
      <c r="Q674" s="17" t="n">
        <v>45672</v>
      </c>
      <c r="R674" s="17" t="n">
        <v>45672</v>
      </c>
      <c r="S674" s="19">
        <f>H674*I674</f>
        <v/>
      </c>
      <c r="T674" s="19">
        <f>H674*J674</f>
        <v/>
      </c>
      <c r="U674">
        <f>IF(AND(K674=0,G674&lt;=Assumptions!$C$6),1,0)</f>
        <v/>
      </c>
      <c r="V674">
        <f>IF(U674=1,IF(M674&gt;0,IF(P674&lt;=G674+Assumptions!$C$7,1,0),0),0)</f>
        <v/>
      </c>
      <c r="W674">
        <f>IF(AND(U674=1,M674&gt;=H674*(1-Assumptions!$C$8)),1,0)</f>
        <v/>
      </c>
      <c r="X674">
        <f>IF(AND(U674=1,N674&gt;=H674*(1-Assumptions!$C$8)),1,0)</f>
        <v/>
      </c>
      <c r="Y674">
        <f>IF(ISNUMBER(Q674),1,0)</f>
        <v/>
      </c>
      <c r="Z674">
        <f>IF(AND(K674=0,L674=0,Y674=0),1,0)</f>
        <v/>
      </c>
      <c r="AA674">
        <f>IF(AND(Z674=1,G674&lt;Assumptions!$C$6),1,0)</f>
        <v/>
      </c>
      <c r="AB674">
        <f>IF(U674=0,"",IF(Y674=1,MAX(0,Q674-G674),IF(L674=1,MAX(0,R674-G674),MAX(0,Assumptions!$C$6-G674))))</f>
        <v/>
      </c>
      <c r="AC674">
        <f>IF(Y674=1,Q674-F674,"")</f>
        <v/>
      </c>
      <c r="AD674">
        <f>IF(Y674=1,AC674^2,"")</f>
        <v/>
      </c>
      <c r="AE674" s="19">
        <f>IF(Z674=1,(H674-M674)*I674,0)</f>
        <v/>
      </c>
      <c r="AF674">
        <f>IF(G674&lt;EDATE(Assumptions!$C$6,-12)+1,"prior_12m","last_12m")</f>
        <v/>
      </c>
      <c r="AG674" s="21">
        <f>DATE(YEAR(G674),MONTH(G674),1)</f>
        <v/>
      </c>
    </row>
    <row r="675">
      <c r="A675" t="inlineStr">
        <is>
          <t>SPO-00372-1</t>
        </is>
      </c>
      <c r="B675" t="inlineStr">
        <is>
          <t>SPO-00372</t>
        </is>
      </c>
      <c r="C675" t="inlineStr">
        <is>
          <t>SUP-09</t>
        </is>
      </c>
      <c r="D675" t="inlineStr">
        <is>
          <t>CHEM</t>
        </is>
      </c>
      <c r="E675" t="inlineStr">
        <is>
          <t>CHEM-05</t>
        </is>
      </c>
      <c r="F675" s="17" t="n">
        <v>45664</v>
      </c>
      <c r="G675" s="17" t="n">
        <v>45678</v>
      </c>
      <c r="H675" s="18" t="n">
        <v>1</v>
      </c>
      <c r="I675" s="19" t="n">
        <v>975.23</v>
      </c>
      <c r="J675" s="19" t="n">
        <v>930</v>
      </c>
      <c r="K675" s="20" t="n">
        <v>0</v>
      </c>
      <c r="L675" s="20" t="n">
        <v>0</v>
      </c>
      <c r="M675" s="18" t="n">
        <v>1</v>
      </c>
      <c r="N675" s="18" t="n">
        <v>1</v>
      </c>
      <c r="O675" s="18" t="n">
        <v>0</v>
      </c>
      <c r="P675" s="17" t="n">
        <v>45674</v>
      </c>
      <c r="Q675" s="17" t="n">
        <v>45674</v>
      </c>
      <c r="R675" s="17" t="n">
        <v>45674</v>
      </c>
      <c r="S675" s="19">
        <f>H675*I675</f>
        <v/>
      </c>
      <c r="T675" s="19">
        <f>H675*J675</f>
        <v/>
      </c>
      <c r="U675">
        <f>IF(AND(K675=0,G675&lt;=Assumptions!$C$6),1,0)</f>
        <v/>
      </c>
      <c r="V675">
        <f>IF(U675=1,IF(M675&gt;0,IF(P675&lt;=G675+Assumptions!$C$7,1,0),0),0)</f>
        <v/>
      </c>
      <c r="W675">
        <f>IF(AND(U675=1,M675&gt;=H675*(1-Assumptions!$C$8)),1,0)</f>
        <v/>
      </c>
      <c r="X675">
        <f>IF(AND(U675=1,N675&gt;=H675*(1-Assumptions!$C$8)),1,0)</f>
        <v/>
      </c>
      <c r="Y675">
        <f>IF(ISNUMBER(Q675),1,0)</f>
        <v/>
      </c>
      <c r="Z675">
        <f>IF(AND(K675=0,L675=0,Y675=0),1,0)</f>
        <v/>
      </c>
      <c r="AA675">
        <f>IF(AND(Z675=1,G675&lt;Assumptions!$C$6),1,0)</f>
        <v/>
      </c>
      <c r="AB675">
        <f>IF(U675=0,"",IF(Y675=1,MAX(0,Q675-G675),IF(L675=1,MAX(0,R675-G675),MAX(0,Assumptions!$C$6-G675))))</f>
        <v/>
      </c>
      <c r="AC675">
        <f>IF(Y675=1,Q675-F675,"")</f>
        <v/>
      </c>
      <c r="AD675">
        <f>IF(Y675=1,AC675^2,"")</f>
        <v/>
      </c>
      <c r="AE675" s="19">
        <f>IF(Z675=1,(H675-M675)*I675,0)</f>
        <v/>
      </c>
      <c r="AF675">
        <f>IF(G675&lt;EDATE(Assumptions!$C$6,-12)+1,"prior_12m","last_12m")</f>
        <v/>
      </c>
      <c r="AG675" s="21">
        <f>DATE(YEAR(G675),MONTH(G675),1)</f>
        <v/>
      </c>
    </row>
    <row r="676">
      <c r="A676" t="inlineStr">
        <is>
          <t>SPO-00372-2</t>
        </is>
      </c>
      <c r="B676" t="inlineStr">
        <is>
          <t>SPO-00372</t>
        </is>
      </c>
      <c r="C676" t="inlineStr">
        <is>
          <t>SUP-09</t>
        </is>
      </c>
      <c r="D676" t="inlineStr">
        <is>
          <t>CHEM</t>
        </is>
      </c>
      <c r="E676" t="inlineStr">
        <is>
          <t>CHEM-04</t>
        </is>
      </c>
      <c r="F676" s="17" t="n">
        <v>45664</v>
      </c>
      <c r="G676" s="17" t="n">
        <v>45678</v>
      </c>
      <c r="H676" s="18" t="n">
        <v>1</v>
      </c>
      <c r="I676" s="19" t="n">
        <v>791.05</v>
      </c>
      <c r="J676" s="19" t="n">
        <v>820</v>
      </c>
      <c r="K676" s="20" t="n">
        <v>0</v>
      </c>
      <c r="L676" s="20" t="n">
        <v>0</v>
      </c>
      <c r="M676" s="18" t="n">
        <v>1</v>
      </c>
      <c r="N676" s="18" t="n">
        <v>1</v>
      </c>
      <c r="O676" s="18" t="n">
        <v>0</v>
      </c>
      <c r="P676" s="17" t="n">
        <v>45674</v>
      </c>
      <c r="Q676" s="17" t="n">
        <v>45674</v>
      </c>
      <c r="R676" s="17" t="n">
        <v>45674</v>
      </c>
      <c r="S676" s="19">
        <f>H676*I676</f>
        <v/>
      </c>
      <c r="T676" s="19">
        <f>H676*J676</f>
        <v/>
      </c>
      <c r="U676">
        <f>IF(AND(K676=0,G676&lt;=Assumptions!$C$6),1,0)</f>
        <v/>
      </c>
      <c r="V676">
        <f>IF(U676=1,IF(M676&gt;0,IF(P676&lt;=G676+Assumptions!$C$7,1,0),0),0)</f>
        <v/>
      </c>
      <c r="W676">
        <f>IF(AND(U676=1,M676&gt;=H676*(1-Assumptions!$C$8)),1,0)</f>
        <v/>
      </c>
      <c r="X676">
        <f>IF(AND(U676=1,N676&gt;=H676*(1-Assumptions!$C$8)),1,0)</f>
        <v/>
      </c>
      <c r="Y676">
        <f>IF(ISNUMBER(Q676),1,0)</f>
        <v/>
      </c>
      <c r="Z676">
        <f>IF(AND(K676=0,L676=0,Y676=0),1,0)</f>
        <v/>
      </c>
      <c r="AA676">
        <f>IF(AND(Z676=1,G676&lt;Assumptions!$C$6),1,0)</f>
        <v/>
      </c>
      <c r="AB676">
        <f>IF(U676=0,"",IF(Y676=1,MAX(0,Q676-G676),IF(L676=1,MAX(0,R676-G676),MAX(0,Assumptions!$C$6-G676))))</f>
        <v/>
      </c>
      <c r="AC676">
        <f>IF(Y676=1,Q676-F676,"")</f>
        <v/>
      </c>
      <c r="AD676">
        <f>IF(Y676=1,AC676^2,"")</f>
        <v/>
      </c>
      <c r="AE676" s="19">
        <f>IF(Z676=1,(H676-M676)*I676,0)</f>
        <v/>
      </c>
      <c r="AF676">
        <f>IF(G676&lt;EDATE(Assumptions!$C$6,-12)+1,"prior_12m","last_12m")</f>
        <v/>
      </c>
      <c r="AG676" s="21">
        <f>DATE(YEAR(G676),MONTH(G676),1)</f>
        <v/>
      </c>
    </row>
    <row r="677">
      <c r="A677" t="inlineStr">
        <is>
          <t>SPO-00373-1</t>
        </is>
      </c>
      <c r="B677" t="inlineStr">
        <is>
          <t>SPO-00373</t>
        </is>
      </c>
      <c r="C677" t="inlineStr">
        <is>
          <t>SUP-06</t>
        </is>
      </c>
      <c r="D677" t="inlineStr">
        <is>
          <t>MRO</t>
        </is>
      </c>
      <c r="E677" t="inlineStr">
        <is>
          <t>MRO-01</t>
        </is>
      </c>
      <c r="F677" s="17" t="n">
        <v>45664</v>
      </c>
      <c r="G677" s="17" t="n">
        <v>45672</v>
      </c>
      <c r="H677" s="18" t="n">
        <v>28</v>
      </c>
      <c r="I677" s="19" t="n">
        <v>51.02</v>
      </c>
      <c r="J677" s="19" t="n">
        <v>52</v>
      </c>
      <c r="K677" s="20" t="n">
        <v>1</v>
      </c>
      <c r="L677" s="20" t="n">
        <v>0</v>
      </c>
      <c r="M677" s="18" t="n">
        <v>0</v>
      </c>
      <c r="N677" s="18" t="n">
        <v>0</v>
      </c>
      <c r="O677" s="18" t="n">
        <v>0</v>
      </c>
      <c r="P677" s="17" t="n"/>
      <c r="Q677" s="17" t="n"/>
      <c r="R677" s="17" t="n"/>
      <c r="S677" s="19">
        <f>H677*I677</f>
        <v/>
      </c>
      <c r="T677" s="19">
        <f>H677*J677</f>
        <v/>
      </c>
      <c r="U677">
        <f>IF(AND(K677=0,G677&lt;=Assumptions!$C$6),1,0)</f>
        <v/>
      </c>
      <c r="V677">
        <f>IF(U677=1,IF(M677&gt;0,IF(P677&lt;=G677+Assumptions!$C$7,1,0),0),0)</f>
        <v/>
      </c>
      <c r="W677">
        <f>IF(AND(U677=1,M677&gt;=H677*(1-Assumptions!$C$8)),1,0)</f>
        <v/>
      </c>
      <c r="X677">
        <f>IF(AND(U677=1,N677&gt;=H677*(1-Assumptions!$C$8)),1,0)</f>
        <v/>
      </c>
      <c r="Y677">
        <f>IF(ISNUMBER(Q677),1,0)</f>
        <v/>
      </c>
      <c r="Z677">
        <f>IF(AND(K677=0,L677=0,Y677=0),1,0)</f>
        <v/>
      </c>
      <c r="AA677">
        <f>IF(AND(Z677=1,G677&lt;Assumptions!$C$6),1,0)</f>
        <v/>
      </c>
      <c r="AB677">
        <f>IF(U677=0,"",IF(Y677=1,MAX(0,Q677-G677),IF(L677=1,MAX(0,R677-G677),MAX(0,Assumptions!$C$6-G677))))</f>
        <v/>
      </c>
      <c r="AC677">
        <f>IF(Y677=1,Q677-F677,"")</f>
        <v/>
      </c>
      <c r="AD677">
        <f>IF(Y677=1,AC677^2,"")</f>
        <v/>
      </c>
      <c r="AE677" s="19">
        <f>IF(Z677=1,(H677-M677)*I677,0)</f>
        <v/>
      </c>
      <c r="AF677">
        <f>IF(G677&lt;EDATE(Assumptions!$C$6,-12)+1,"prior_12m","last_12m")</f>
        <v/>
      </c>
      <c r="AG677" s="21">
        <f>DATE(YEAR(G677),MONTH(G677),1)</f>
        <v/>
      </c>
    </row>
    <row r="678">
      <c r="A678" t="inlineStr">
        <is>
          <t>SPO-00374-1</t>
        </is>
      </c>
      <c r="B678" t="inlineStr">
        <is>
          <t>SPO-00374</t>
        </is>
      </c>
      <c r="C678" t="inlineStr">
        <is>
          <t>SUP-10</t>
        </is>
      </c>
      <c r="D678" t="inlineStr">
        <is>
          <t>PPE</t>
        </is>
      </c>
      <c r="E678" t="inlineStr">
        <is>
          <t>PPE-06</t>
        </is>
      </c>
      <c r="F678" s="17" t="n">
        <v>45664</v>
      </c>
      <c r="G678" s="17" t="n">
        <v>45677</v>
      </c>
      <c r="H678" s="18" t="n">
        <v>4</v>
      </c>
      <c r="I678" s="19" t="n">
        <v>106.08</v>
      </c>
      <c r="J678" s="19" t="n">
        <v>115</v>
      </c>
      <c r="K678" s="20" t="n">
        <v>0</v>
      </c>
      <c r="L678" s="20" t="n">
        <v>0</v>
      </c>
      <c r="M678" s="18" t="n">
        <v>4</v>
      </c>
      <c r="N678" s="18" t="n">
        <v>4</v>
      </c>
      <c r="O678" s="18" t="n">
        <v>0</v>
      </c>
      <c r="P678" s="17" t="n">
        <v>45675</v>
      </c>
      <c r="Q678" s="17" t="n">
        <v>45675</v>
      </c>
      <c r="R678" s="17" t="n">
        <v>45675</v>
      </c>
      <c r="S678" s="19">
        <f>H678*I678</f>
        <v/>
      </c>
      <c r="T678" s="19">
        <f>H678*J678</f>
        <v/>
      </c>
      <c r="U678">
        <f>IF(AND(K678=0,G678&lt;=Assumptions!$C$6),1,0)</f>
        <v/>
      </c>
      <c r="V678">
        <f>IF(U678=1,IF(M678&gt;0,IF(P678&lt;=G678+Assumptions!$C$7,1,0),0),0)</f>
        <v/>
      </c>
      <c r="W678">
        <f>IF(AND(U678=1,M678&gt;=H678*(1-Assumptions!$C$8)),1,0)</f>
        <v/>
      </c>
      <c r="X678">
        <f>IF(AND(U678=1,N678&gt;=H678*(1-Assumptions!$C$8)),1,0)</f>
        <v/>
      </c>
      <c r="Y678">
        <f>IF(ISNUMBER(Q678),1,0)</f>
        <v/>
      </c>
      <c r="Z678">
        <f>IF(AND(K678=0,L678=0,Y678=0),1,0)</f>
        <v/>
      </c>
      <c r="AA678">
        <f>IF(AND(Z678=1,G678&lt;Assumptions!$C$6),1,0)</f>
        <v/>
      </c>
      <c r="AB678">
        <f>IF(U678=0,"",IF(Y678=1,MAX(0,Q678-G678),IF(L678=1,MAX(0,R678-G678),MAX(0,Assumptions!$C$6-G678))))</f>
        <v/>
      </c>
      <c r="AC678">
        <f>IF(Y678=1,Q678-F678,"")</f>
        <v/>
      </c>
      <c r="AD678">
        <f>IF(Y678=1,AC678^2,"")</f>
        <v/>
      </c>
      <c r="AE678" s="19">
        <f>IF(Z678=1,(H678-M678)*I678,0)</f>
        <v/>
      </c>
      <c r="AF678">
        <f>IF(G678&lt;EDATE(Assumptions!$C$6,-12)+1,"prior_12m","last_12m")</f>
        <v/>
      </c>
      <c r="AG678" s="21">
        <f>DATE(YEAR(G678),MONTH(G678),1)</f>
        <v/>
      </c>
    </row>
    <row r="679">
      <c r="A679" t="inlineStr">
        <is>
          <t>SPO-00374-2</t>
        </is>
      </c>
      <c r="B679" t="inlineStr">
        <is>
          <t>SPO-00374</t>
        </is>
      </c>
      <c r="C679" t="inlineStr">
        <is>
          <t>SUP-10</t>
        </is>
      </c>
      <c r="D679" t="inlineStr">
        <is>
          <t>PPE</t>
        </is>
      </c>
      <c r="E679" t="inlineStr">
        <is>
          <t>PPE-08</t>
        </is>
      </c>
      <c r="F679" s="17" t="n">
        <v>45664</v>
      </c>
      <c r="G679" s="17" t="n">
        <v>45677</v>
      </c>
      <c r="H679" s="18" t="n">
        <v>13</v>
      </c>
      <c r="I679" s="19" t="n">
        <v>62.97</v>
      </c>
      <c r="J679" s="19" t="n">
        <v>64</v>
      </c>
      <c r="K679" s="20" t="n">
        <v>0</v>
      </c>
      <c r="L679" s="20" t="n">
        <v>0</v>
      </c>
      <c r="M679" s="18" t="n">
        <v>13</v>
      </c>
      <c r="N679" s="18" t="n">
        <v>13</v>
      </c>
      <c r="O679" s="18" t="n">
        <v>1</v>
      </c>
      <c r="P679" s="17" t="n">
        <v>45675</v>
      </c>
      <c r="Q679" s="17" t="n">
        <v>45675</v>
      </c>
      <c r="R679" s="17" t="n">
        <v>45675</v>
      </c>
      <c r="S679" s="19">
        <f>H679*I679</f>
        <v/>
      </c>
      <c r="T679" s="19">
        <f>H679*J679</f>
        <v/>
      </c>
      <c r="U679">
        <f>IF(AND(K679=0,G679&lt;=Assumptions!$C$6),1,0)</f>
        <v/>
      </c>
      <c r="V679">
        <f>IF(U679=1,IF(M679&gt;0,IF(P679&lt;=G679+Assumptions!$C$7,1,0),0),0)</f>
        <v/>
      </c>
      <c r="W679">
        <f>IF(AND(U679=1,M679&gt;=H679*(1-Assumptions!$C$8)),1,0)</f>
        <v/>
      </c>
      <c r="X679">
        <f>IF(AND(U679=1,N679&gt;=H679*(1-Assumptions!$C$8)),1,0)</f>
        <v/>
      </c>
      <c r="Y679">
        <f>IF(ISNUMBER(Q679),1,0)</f>
        <v/>
      </c>
      <c r="Z679">
        <f>IF(AND(K679=0,L679=0,Y679=0),1,0)</f>
        <v/>
      </c>
      <c r="AA679">
        <f>IF(AND(Z679=1,G679&lt;Assumptions!$C$6),1,0)</f>
        <v/>
      </c>
      <c r="AB679">
        <f>IF(U679=0,"",IF(Y679=1,MAX(0,Q679-G679),IF(L679=1,MAX(0,R679-G679),MAX(0,Assumptions!$C$6-G679))))</f>
        <v/>
      </c>
      <c r="AC679">
        <f>IF(Y679=1,Q679-F679,"")</f>
        <v/>
      </c>
      <c r="AD679">
        <f>IF(Y679=1,AC679^2,"")</f>
        <v/>
      </c>
      <c r="AE679" s="19">
        <f>IF(Z679=1,(H679-M679)*I679,0)</f>
        <v/>
      </c>
      <c r="AF679">
        <f>IF(G679&lt;EDATE(Assumptions!$C$6,-12)+1,"prior_12m","last_12m")</f>
        <v/>
      </c>
      <c r="AG679" s="21">
        <f>DATE(YEAR(G679),MONTH(G679),1)</f>
        <v/>
      </c>
    </row>
    <row r="680">
      <c r="A680" t="inlineStr">
        <is>
          <t>SPO-00375-1</t>
        </is>
      </c>
      <c r="B680" t="inlineStr">
        <is>
          <t>SPO-00375</t>
        </is>
      </c>
      <c r="C680" t="inlineStr">
        <is>
          <t>SUP-02</t>
        </is>
      </c>
      <c r="D680" t="inlineStr">
        <is>
          <t>ELEC</t>
        </is>
      </c>
      <c r="E680" t="inlineStr">
        <is>
          <t>ELEC-06</t>
        </is>
      </c>
      <c r="F680" s="17" t="n">
        <v>45664</v>
      </c>
      <c r="G680" s="17" t="n">
        <v>45680</v>
      </c>
      <c r="H680" s="18" t="n">
        <v>13</v>
      </c>
      <c r="I680" s="19" t="n">
        <v>141.72</v>
      </c>
      <c r="J680" s="19" t="n">
        <v>145</v>
      </c>
      <c r="K680" s="20" t="n">
        <v>0</v>
      </c>
      <c r="L680" s="20" t="n">
        <v>0</v>
      </c>
      <c r="M680" s="18" t="n">
        <v>13</v>
      </c>
      <c r="N680" s="18" t="n">
        <v>13</v>
      </c>
      <c r="O680" s="18" t="n">
        <v>0</v>
      </c>
      <c r="P680" s="17" t="n">
        <v>45674</v>
      </c>
      <c r="Q680" s="17" t="n">
        <v>45674</v>
      </c>
      <c r="R680" s="17" t="n">
        <v>45674</v>
      </c>
      <c r="S680" s="19">
        <f>H680*I680</f>
        <v/>
      </c>
      <c r="T680" s="19">
        <f>H680*J680</f>
        <v/>
      </c>
      <c r="U680">
        <f>IF(AND(K680=0,G680&lt;=Assumptions!$C$6),1,0)</f>
        <v/>
      </c>
      <c r="V680">
        <f>IF(U680=1,IF(M680&gt;0,IF(P680&lt;=G680+Assumptions!$C$7,1,0),0),0)</f>
        <v/>
      </c>
      <c r="W680">
        <f>IF(AND(U680=1,M680&gt;=H680*(1-Assumptions!$C$8)),1,0)</f>
        <v/>
      </c>
      <c r="X680">
        <f>IF(AND(U680=1,N680&gt;=H680*(1-Assumptions!$C$8)),1,0)</f>
        <v/>
      </c>
      <c r="Y680">
        <f>IF(ISNUMBER(Q680),1,0)</f>
        <v/>
      </c>
      <c r="Z680">
        <f>IF(AND(K680=0,L680=0,Y680=0),1,0)</f>
        <v/>
      </c>
      <c r="AA680">
        <f>IF(AND(Z680=1,G680&lt;Assumptions!$C$6),1,0)</f>
        <v/>
      </c>
      <c r="AB680">
        <f>IF(U680=0,"",IF(Y680=1,MAX(0,Q680-G680),IF(L680=1,MAX(0,R680-G680),MAX(0,Assumptions!$C$6-G680))))</f>
        <v/>
      </c>
      <c r="AC680">
        <f>IF(Y680=1,Q680-F680,"")</f>
        <v/>
      </c>
      <c r="AD680">
        <f>IF(Y680=1,AC680^2,"")</f>
        <v/>
      </c>
      <c r="AE680" s="19">
        <f>IF(Z680=1,(H680-M680)*I680,0)</f>
        <v/>
      </c>
      <c r="AF680">
        <f>IF(G680&lt;EDATE(Assumptions!$C$6,-12)+1,"prior_12m","last_12m")</f>
        <v/>
      </c>
      <c r="AG680" s="21">
        <f>DATE(YEAR(G680),MONTH(G680),1)</f>
        <v/>
      </c>
    </row>
    <row r="681">
      <c r="A681" t="inlineStr">
        <is>
          <t>SPO-00375-2</t>
        </is>
      </c>
      <c r="B681" t="inlineStr">
        <is>
          <t>SPO-00375</t>
        </is>
      </c>
      <c r="C681" t="inlineStr">
        <is>
          <t>SUP-02</t>
        </is>
      </c>
      <c r="D681" t="inlineStr">
        <is>
          <t>ELEC</t>
        </is>
      </c>
      <c r="E681" t="inlineStr">
        <is>
          <t>ELEC-01</t>
        </is>
      </c>
      <c r="F681" s="17" t="n">
        <v>45664</v>
      </c>
      <c r="G681" s="17" t="n">
        <v>45680</v>
      </c>
      <c r="H681" s="18" t="n">
        <v>66</v>
      </c>
      <c r="I681" s="19" t="n">
        <v>35.9</v>
      </c>
      <c r="J681" s="19" t="n">
        <v>38</v>
      </c>
      <c r="K681" s="20" t="n">
        <v>0</v>
      </c>
      <c r="L681" s="20" t="n">
        <v>0</v>
      </c>
      <c r="M681" s="18" t="n">
        <v>66</v>
      </c>
      <c r="N681" s="18" t="n">
        <v>66</v>
      </c>
      <c r="O681" s="18" t="n">
        <v>0</v>
      </c>
      <c r="P681" s="17" t="n">
        <v>45679</v>
      </c>
      <c r="Q681" s="17" t="n">
        <v>45679</v>
      </c>
      <c r="R681" s="17" t="n">
        <v>45679</v>
      </c>
      <c r="S681" s="19">
        <f>H681*I681</f>
        <v/>
      </c>
      <c r="T681" s="19">
        <f>H681*J681</f>
        <v/>
      </c>
      <c r="U681">
        <f>IF(AND(K681=0,G681&lt;=Assumptions!$C$6),1,0)</f>
        <v/>
      </c>
      <c r="V681">
        <f>IF(U681=1,IF(M681&gt;0,IF(P681&lt;=G681+Assumptions!$C$7,1,0),0),0)</f>
        <v/>
      </c>
      <c r="W681">
        <f>IF(AND(U681=1,M681&gt;=H681*(1-Assumptions!$C$8)),1,0)</f>
        <v/>
      </c>
      <c r="X681">
        <f>IF(AND(U681=1,N681&gt;=H681*(1-Assumptions!$C$8)),1,0)</f>
        <v/>
      </c>
      <c r="Y681">
        <f>IF(ISNUMBER(Q681),1,0)</f>
        <v/>
      </c>
      <c r="Z681">
        <f>IF(AND(K681=0,L681=0,Y681=0),1,0)</f>
        <v/>
      </c>
      <c r="AA681">
        <f>IF(AND(Z681=1,G681&lt;Assumptions!$C$6),1,0)</f>
        <v/>
      </c>
      <c r="AB681">
        <f>IF(U681=0,"",IF(Y681=1,MAX(0,Q681-G681),IF(L681=1,MAX(0,R681-G681),MAX(0,Assumptions!$C$6-G681))))</f>
        <v/>
      </c>
      <c r="AC681">
        <f>IF(Y681=1,Q681-F681,"")</f>
        <v/>
      </c>
      <c r="AD681">
        <f>IF(Y681=1,AC681^2,"")</f>
        <v/>
      </c>
      <c r="AE681" s="19">
        <f>IF(Z681=1,(H681-M681)*I681,0)</f>
        <v/>
      </c>
      <c r="AF681">
        <f>IF(G681&lt;EDATE(Assumptions!$C$6,-12)+1,"prior_12m","last_12m")</f>
        <v/>
      </c>
      <c r="AG681" s="21">
        <f>DATE(YEAR(G681),MONTH(G681),1)</f>
        <v/>
      </c>
    </row>
    <row r="682">
      <c r="A682" t="inlineStr">
        <is>
          <t>SPO-00375-3</t>
        </is>
      </c>
      <c r="B682" t="inlineStr">
        <is>
          <t>SPO-00375</t>
        </is>
      </c>
      <c r="C682" t="inlineStr">
        <is>
          <t>SUP-02</t>
        </is>
      </c>
      <c r="D682" t="inlineStr">
        <is>
          <t>ELEC</t>
        </is>
      </c>
      <c r="E682" t="inlineStr">
        <is>
          <t>ELEC-05</t>
        </is>
      </c>
      <c r="F682" s="17" t="n">
        <v>45664</v>
      </c>
      <c r="G682" s="17" t="n">
        <v>45680</v>
      </c>
      <c r="H682" s="18" t="n">
        <v>180</v>
      </c>
      <c r="I682" s="19" t="n">
        <v>11.68</v>
      </c>
      <c r="J682" s="19" t="n">
        <v>11.5</v>
      </c>
      <c r="K682" s="20" t="n">
        <v>0</v>
      </c>
      <c r="L682" s="20" t="n">
        <v>0</v>
      </c>
      <c r="M682" s="18" t="n">
        <v>180</v>
      </c>
      <c r="N682" s="18" t="n">
        <v>180</v>
      </c>
      <c r="O682" s="18" t="n">
        <v>0</v>
      </c>
      <c r="P682" s="17" t="n">
        <v>45678</v>
      </c>
      <c r="Q682" s="17" t="n">
        <v>45678</v>
      </c>
      <c r="R682" s="17" t="n">
        <v>45678</v>
      </c>
      <c r="S682" s="19">
        <f>H682*I682</f>
        <v/>
      </c>
      <c r="T682" s="19">
        <f>H682*J682</f>
        <v/>
      </c>
      <c r="U682">
        <f>IF(AND(K682=0,G682&lt;=Assumptions!$C$6),1,0)</f>
        <v/>
      </c>
      <c r="V682">
        <f>IF(U682=1,IF(M682&gt;0,IF(P682&lt;=G682+Assumptions!$C$7,1,0),0),0)</f>
        <v/>
      </c>
      <c r="W682">
        <f>IF(AND(U682=1,M682&gt;=H682*(1-Assumptions!$C$8)),1,0)</f>
        <v/>
      </c>
      <c r="X682">
        <f>IF(AND(U682=1,N682&gt;=H682*(1-Assumptions!$C$8)),1,0)</f>
        <v/>
      </c>
      <c r="Y682">
        <f>IF(ISNUMBER(Q682),1,0)</f>
        <v/>
      </c>
      <c r="Z682">
        <f>IF(AND(K682=0,L682=0,Y682=0),1,0)</f>
        <v/>
      </c>
      <c r="AA682">
        <f>IF(AND(Z682=1,G682&lt;Assumptions!$C$6),1,0)</f>
        <v/>
      </c>
      <c r="AB682">
        <f>IF(U682=0,"",IF(Y682=1,MAX(0,Q682-G682),IF(L682=1,MAX(0,R682-G682),MAX(0,Assumptions!$C$6-G682))))</f>
        <v/>
      </c>
      <c r="AC682">
        <f>IF(Y682=1,Q682-F682,"")</f>
        <v/>
      </c>
      <c r="AD682">
        <f>IF(Y682=1,AC682^2,"")</f>
        <v/>
      </c>
      <c r="AE682" s="19">
        <f>IF(Z682=1,(H682-M682)*I682,0)</f>
        <v/>
      </c>
      <c r="AF682">
        <f>IF(G682&lt;EDATE(Assumptions!$C$6,-12)+1,"prior_12m","last_12m")</f>
        <v/>
      </c>
      <c r="AG682" s="21">
        <f>DATE(YEAR(G682),MONTH(G682),1)</f>
        <v/>
      </c>
    </row>
    <row r="683">
      <c r="A683" t="inlineStr">
        <is>
          <t>SPO-00376-1</t>
        </is>
      </c>
      <c r="B683" t="inlineStr">
        <is>
          <t>SPO-00376</t>
        </is>
      </c>
      <c r="C683" t="inlineStr">
        <is>
          <t>SUP-05</t>
        </is>
      </c>
      <c r="D683" t="inlineStr">
        <is>
          <t>FLEET</t>
        </is>
      </c>
      <c r="E683" t="inlineStr">
        <is>
          <t>FLEET-03</t>
        </is>
      </c>
      <c r="F683" s="17" t="n">
        <v>45665</v>
      </c>
      <c r="G683" s="17" t="n">
        <v>45679</v>
      </c>
      <c r="H683" s="18" t="n">
        <v>92</v>
      </c>
      <c r="I683" s="19" t="n">
        <v>21.44</v>
      </c>
      <c r="J683" s="19" t="n">
        <v>21</v>
      </c>
      <c r="K683" s="20" t="n">
        <v>0</v>
      </c>
      <c r="L683" s="20" t="n">
        <v>0</v>
      </c>
      <c r="M683" s="18" t="n">
        <v>92</v>
      </c>
      <c r="N683" s="18" t="n">
        <v>92</v>
      </c>
      <c r="O683" s="18" t="n">
        <v>0</v>
      </c>
      <c r="P683" s="17" t="n">
        <v>45677</v>
      </c>
      <c r="Q683" s="17" t="n">
        <v>45677</v>
      </c>
      <c r="R683" s="17" t="n">
        <v>45677</v>
      </c>
      <c r="S683" s="19">
        <f>H683*I683</f>
        <v/>
      </c>
      <c r="T683" s="19">
        <f>H683*J683</f>
        <v/>
      </c>
      <c r="U683">
        <f>IF(AND(K683=0,G683&lt;=Assumptions!$C$6),1,0)</f>
        <v/>
      </c>
      <c r="V683">
        <f>IF(U683=1,IF(M683&gt;0,IF(P683&lt;=G683+Assumptions!$C$7,1,0),0),0)</f>
        <v/>
      </c>
      <c r="W683">
        <f>IF(AND(U683=1,M683&gt;=H683*(1-Assumptions!$C$8)),1,0)</f>
        <v/>
      </c>
      <c r="X683">
        <f>IF(AND(U683=1,N683&gt;=H683*(1-Assumptions!$C$8)),1,0)</f>
        <v/>
      </c>
      <c r="Y683">
        <f>IF(ISNUMBER(Q683),1,0)</f>
        <v/>
      </c>
      <c r="Z683">
        <f>IF(AND(K683=0,L683=0,Y683=0),1,0)</f>
        <v/>
      </c>
      <c r="AA683">
        <f>IF(AND(Z683=1,G683&lt;Assumptions!$C$6),1,0)</f>
        <v/>
      </c>
      <c r="AB683">
        <f>IF(U683=0,"",IF(Y683=1,MAX(0,Q683-G683),IF(L683=1,MAX(0,R683-G683),MAX(0,Assumptions!$C$6-G683))))</f>
        <v/>
      </c>
      <c r="AC683">
        <f>IF(Y683=1,Q683-F683,"")</f>
        <v/>
      </c>
      <c r="AD683">
        <f>IF(Y683=1,AC683^2,"")</f>
        <v/>
      </c>
      <c r="AE683" s="19">
        <f>IF(Z683=1,(H683-M683)*I683,0)</f>
        <v/>
      </c>
      <c r="AF683">
        <f>IF(G683&lt;EDATE(Assumptions!$C$6,-12)+1,"prior_12m","last_12m")</f>
        <v/>
      </c>
      <c r="AG683" s="21">
        <f>DATE(YEAR(G683),MONTH(G683),1)</f>
        <v/>
      </c>
    </row>
    <row r="684">
      <c r="A684" t="inlineStr">
        <is>
          <t>SPO-00377-1</t>
        </is>
      </c>
      <c r="B684" t="inlineStr">
        <is>
          <t>SPO-00377</t>
        </is>
      </c>
      <c r="C684" t="inlineStr">
        <is>
          <t>SUP-01</t>
        </is>
      </c>
      <c r="D684" t="inlineStr">
        <is>
          <t>ELEC</t>
        </is>
      </c>
      <c r="E684" t="inlineStr">
        <is>
          <t>ELEC-02</t>
        </is>
      </c>
      <c r="F684" s="17" t="n">
        <v>45665</v>
      </c>
      <c r="G684" s="17" t="n">
        <v>45683</v>
      </c>
      <c r="H684" s="18" t="n">
        <v>781</v>
      </c>
      <c r="I684" s="19" t="n">
        <v>4.15</v>
      </c>
      <c r="J684" s="19" t="n">
        <v>4.2</v>
      </c>
      <c r="K684" s="20" t="n">
        <v>0</v>
      </c>
      <c r="L684" s="20" t="n">
        <v>0</v>
      </c>
      <c r="M684" s="18" t="n">
        <v>781</v>
      </c>
      <c r="N684" s="18" t="n">
        <v>781</v>
      </c>
      <c r="O684" s="18" t="n">
        <v>0</v>
      </c>
      <c r="P684" s="17" t="n">
        <v>45683</v>
      </c>
      <c r="Q684" s="17" t="n">
        <v>45683</v>
      </c>
      <c r="R684" s="17" t="n">
        <v>45683</v>
      </c>
      <c r="S684" s="19">
        <f>H684*I684</f>
        <v/>
      </c>
      <c r="T684" s="19">
        <f>H684*J684</f>
        <v/>
      </c>
      <c r="U684">
        <f>IF(AND(K684=0,G684&lt;=Assumptions!$C$6),1,0)</f>
        <v/>
      </c>
      <c r="V684">
        <f>IF(U684=1,IF(M684&gt;0,IF(P684&lt;=G684+Assumptions!$C$7,1,0),0),0)</f>
        <v/>
      </c>
      <c r="W684">
        <f>IF(AND(U684=1,M684&gt;=H684*(1-Assumptions!$C$8)),1,0)</f>
        <v/>
      </c>
      <c r="X684">
        <f>IF(AND(U684=1,N684&gt;=H684*(1-Assumptions!$C$8)),1,0)</f>
        <v/>
      </c>
      <c r="Y684">
        <f>IF(ISNUMBER(Q684),1,0)</f>
        <v/>
      </c>
      <c r="Z684">
        <f>IF(AND(K684=0,L684=0,Y684=0),1,0)</f>
        <v/>
      </c>
      <c r="AA684">
        <f>IF(AND(Z684=1,G684&lt;Assumptions!$C$6),1,0)</f>
        <v/>
      </c>
      <c r="AB684">
        <f>IF(U684=0,"",IF(Y684=1,MAX(0,Q684-G684),IF(L684=1,MAX(0,R684-G684),MAX(0,Assumptions!$C$6-G684))))</f>
        <v/>
      </c>
      <c r="AC684">
        <f>IF(Y684=1,Q684-F684,"")</f>
        <v/>
      </c>
      <c r="AD684">
        <f>IF(Y684=1,AC684^2,"")</f>
        <v/>
      </c>
      <c r="AE684" s="19">
        <f>IF(Z684=1,(H684-M684)*I684,0)</f>
        <v/>
      </c>
      <c r="AF684">
        <f>IF(G684&lt;EDATE(Assumptions!$C$6,-12)+1,"prior_12m","last_12m")</f>
        <v/>
      </c>
      <c r="AG684" s="21">
        <f>DATE(YEAR(G684),MONTH(G684),1)</f>
        <v/>
      </c>
    </row>
    <row r="685">
      <c r="A685" t="inlineStr">
        <is>
          <t>SPO-00377-2</t>
        </is>
      </c>
      <c r="B685" t="inlineStr">
        <is>
          <t>SPO-00377</t>
        </is>
      </c>
      <c r="C685" t="inlineStr">
        <is>
          <t>SUP-01</t>
        </is>
      </c>
      <c r="D685" t="inlineStr">
        <is>
          <t>ELEC</t>
        </is>
      </c>
      <c r="E685" t="inlineStr">
        <is>
          <t>ELEC-01</t>
        </is>
      </c>
      <c r="F685" s="17" t="n">
        <v>45665</v>
      </c>
      <c r="G685" s="17" t="n">
        <v>45683</v>
      </c>
      <c r="H685" s="18" t="n">
        <v>64</v>
      </c>
      <c r="I685" s="19" t="n">
        <v>40.12</v>
      </c>
      <c r="J685" s="19" t="n">
        <v>38</v>
      </c>
      <c r="K685" s="20" t="n">
        <v>0</v>
      </c>
      <c r="L685" s="20" t="n">
        <v>0</v>
      </c>
      <c r="M685" s="18" t="n">
        <v>64</v>
      </c>
      <c r="N685" s="18" t="n">
        <v>64</v>
      </c>
      <c r="O685" s="18" t="n">
        <v>0</v>
      </c>
      <c r="P685" s="17" t="n">
        <v>45681</v>
      </c>
      <c r="Q685" s="17" t="n">
        <v>45681</v>
      </c>
      <c r="R685" s="17" t="n">
        <v>45681</v>
      </c>
      <c r="S685" s="19">
        <f>H685*I685</f>
        <v/>
      </c>
      <c r="T685" s="19">
        <f>H685*J685</f>
        <v/>
      </c>
      <c r="U685">
        <f>IF(AND(K685=0,G685&lt;=Assumptions!$C$6),1,0)</f>
        <v/>
      </c>
      <c r="V685">
        <f>IF(U685=1,IF(M685&gt;0,IF(P685&lt;=G685+Assumptions!$C$7,1,0),0),0)</f>
        <v/>
      </c>
      <c r="W685">
        <f>IF(AND(U685=1,M685&gt;=H685*(1-Assumptions!$C$8)),1,0)</f>
        <v/>
      </c>
      <c r="X685">
        <f>IF(AND(U685=1,N685&gt;=H685*(1-Assumptions!$C$8)),1,0)</f>
        <v/>
      </c>
      <c r="Y685">
        <f>IF(ISNUMBER(Q685),1,0)</f>
        <v/>
      </c>
      <c r="Z685">
        <f>IF(AND(K685=0,L685=0,Y685=0),1,0)</f>
        <v/>
      </c>
      <c r="AA685">
        <f>IF(AND(Z685=1,G685&lt;Assumptions!$C$6),1,0)</f>
        <v/>
      </c>
      <c r="AB685">
        <f>IF(U685=0,"",IF(Y685=1,MAX(0,Q685-G685),IF(L685=1,MAX(0,R685-G685),MAX(0,Assumptions!$C$6-G685))))</f>
        <v/>
      </c>
      <c r="AC685">
        <f>IF(Y685=1,Q685-F685,"")</f>
        <v/>
      </c>
      <c r="AD685">
        <f>IF(Y685=1,AC685^2,"")</f>
        <v/>
      </c>
      <c r="AE685" s="19">
        <f>IF(Z685=1,(H685-M685)*I685,0)</f>
        <v/>
      </c>
      <c r="AF685">
        <f>IF(G685&lt;EDATE(Assumptions!$C$6,-12)+1,"prior_12m","last_12m")</f>
        <v/>
      </c>
      <c r="AG685" s="21">
        <f>DATE(YEAR(G685),MONTH(G685),1)</f>
        <v/>
      </c>
    </row>
    <row r="686">
      <c r="A686" t="inlineStr">
        <is>
          <t>SPO-00378-1</t>
        </is>
      </c>
      <c r="B686" t="inlineStr">
        <is>
          <t>SPO-00378</t>
        </is>
      </c>
      <c r="C686" t="inlineStr">
        <is>
          <t>SUP-03</t>
        </is>
      </c>
      <c r="D686" t="inlineStr">
        <is>
          <t>ELEC</t>
        </is>
      </c>
      <c r="E686" t="inlineStr">
        <is>
          <t>ELEC-01</t>
        </is>
      </c>
      <c r="F686" s="17" t="n">
        <v>45666</v>
      </c>
      <c r="G686" s="17" t="n">
        <v>45683</v>
      </c>
      <c r="H686" s="18" t="n">
        <v>23</v>
      </c>
      <c r="I686" s="19" t="n">
        <v>36.59</v>
      </c>
      <c r="J686" s="19" t="n">
        <v>38</v>
      </c>
      <c r="K686" s="20" t="n">
        <v>0</v>
      </c>
      <c r="L686" s="20" t="n">
        <v>0</v>
      </c>
      <c r="M686" s="18" t="n">
        <v>23</v>
      </c>
      <c r="N686" s="18" t="n">
        <v>23</v>
      </c>
      <c r="O686" s="18" t="n">
        <v>0</v>
      </c>
      <c r="P686" s="17" t="n">
        <v>45676</v>
      </c>
      <c r="Q686" s="17" t="n">
        <v>45676</v>
      </c>
      <c r="R686" s="17" t="n">
        <v>45676</v>
      </c>
      <c r="S686" s="19">
        <f>H686*I686</f>
        <v/>
      </c>
      <c r="T686" s="19">
        <f>H686*J686</f>
        <v/>
      </c>
      <c r="U686">
        <f>IF(AND(K686=0,G686&lt;=Assumptions!$C$6),1,0)</f>
        <v/>
      </c>
      <c r="V686">
        <f>IF(U686=1,IF(M686&gt;0,IF(P686&lt;=G686+Assumptions!$C$7,1,0),0),0)</f>
        <v/>
      </c>
      <c r="W686">
        <f>IF(AND(U686=1,M686&gt;=H686*(1-Assumptions!$C$8)),1,0)</f>
        <v/>
      </c>
      <c r="X686">
        <f>IF(AND(U686=1,N686&gt;=H686*(1-Assumptions!$C$8)),1,0)</f>
        <v/>
      </c>
      <c r="Y686">
        <f>IF(ISNUMBER(Q686),1,0)</f>
        <v/>
      </c>
      <c r="Z686">
        <f>IF(AND(K686=0,L686=0,Y686=0),1,0)</f>
        <v/>
      </c>
      <c r="AA686">
        <f>IF(AND(Z686=1,G686&lt;Assumptions!$C$6),1,0)</f>
        <v/>
      </c>
      <c r="AB686">
        <f>IF(U686=0,"",IF(Y686=1,MAX(0,Q686-G686),IF(L686=1,MAX(0,R686-G686),MAX(0,Assumptions!$C$6-G686))))</f>
        <v/>
      </c>
      <c r="AC686">
        <f>IF(Y686=1,Q686-F686,"")</f>
        <v/>
      </c>
      <c r="AD686">
        <f>IF(Y686=1,AC686^2,"")</f>
        <v/>
      </c>
      <c r="AE686" s="19">
        <f>IF(Z686=1,(H686-M686)*I686,0)</f>
        <v/>
      </c>
      <c r="AF686">
        <f>IF(G686&lt;EDATE(Assumptions!$C$6,-12)+1,"prior_12m","last_12m")</f>
        <v/>
      </c>
      <c r="AG686" s="21">
        <f>DATE(YEAR(G686),MONTH(G686),1)</f>
        <v/>
      </c>
    </row>
    <row r="687">
      <c r="A687" t="inlineStr">
        <is>
          <t>SPO-00378-2</t>
        </is>
      </c>
      <c r="B687" t="inlineStr">
        <is>
          <t>SPO-00378</t>
        </is>
      </c>
      <c r="C687" t="inlineStr">
        <is>
          <t>SUP-03</t>
        </is>
      </c>
      <c r="D687" t="inlineStr">
        <is>
          <t>ELEC</t>
        </is>
      </c>
      <c r="E687" t="inlineStr">
        <is>
          <t>ELEC-08</t>
        </is>
      </c>
      <c r="F687" s="17" t="n">
        <v>45666</v>
      </c>
      <c r="G687" s="17" t="n">
        <v>45683</v>
      </c>
      <c r="H687" s="18" t="n">
        <v>132</v>
      </c>
      <c r="I687" s="19" t="n">
        <v>17.98</v>
      </c>
      <c r="J687" s="19" t="n">
        <v>18</v>
      </c>
      <c r="K687" s="20" t="n">
        <v>0</v>
      </c>
      <c r="L687" s="20" t="n">
        <v>0</v>
      </c>
      <c r="M687" s="18" t="n">
        <v>132</v>
      </c>
      <c r="N687" s="18" t="n">
        <v>132</v>
      </c>
      <c r="O687" s="18" t="n">
        <v>0</v>
      </c>
      <c r="P687" s="17" t="n">
        <v>45681</v>
      </c>
      <c r="Q687" s="17" t="n">
        <v>45681</v>
      </c>
      <c r="R687" s="17" t="n">
        <v>45681</v>
      </c>
      <c r="S687" s="19">
        <f>H687*I687</f>
        <v/>
      </c>
      <c r="T687" s="19">
        <f>H687*J687</f>
        <v/>
      </c>
      <c r="U687">
        <f>IF(AND(K687=0,G687&lt;=Assumptions!$C$6),1,0)</f>
        <v/>
      </c>
      <c r="V687">
        <f>IF(U687=1,IF(M687&gt;0,IF(P687&lt;=G687+Assumptions!$C$7,1,0),0),0)</f>
        <v/>
      </c>
      <c r="W687">
        <f>IF(AND(U687=1,M687&gt;=H687*(1-Assumptions!$C$8)),1,0)</f>
        <v/>
      </c>
      <c r="X687">
        <f>IF(AND(U687=1,N687&gt;=H687*(1-Assumptions!$C$8)),1,0)</f>
        <v/>
      </c>
      <c r="Y687">
        <f>IF(ISNUMBER(Q687),1,0)</f>
        <v/>
      </c>
      <c r="Z687">
        <f>IF(AND(K687=0,L687=0,Y687=0),1,0)</f>
        <v/>
      </c>
      <c r="AA687">
        <f>IF(AND(Z687=1,G687&lt;Assumptions!$C$6),1,0)</f>
        <v/>
      </c>
      <c r="AB687">
        <f>IF(U687=0,"",IF(Y687=1,MAX(0,Q687-G687),IF(L687=1,MAX(0,R687-G687),MAX(0,Assumptions!$C$6-G687))))</f>
        <v/>
      </c>
      <c r="AC687">
        <f>IF(Y687=1,Q687-F687,"")</f>
        <v/>
      </c>
      <c r="AD687">
        <f>IF(Y687=1,AC687^2,"")</f>
        <v/>
      </c>
      <c r="AE687" s="19">
        <f>IF(Z687=1,(H687-M687)*I687,0)</f>
        <v/>
      </c>
      <c r="AF687">
        <f>IF(G687&lt;EDATE(Assumptions!$C$6,-12)+1,"prior_12m","last_12m")</f>
        <v/>
      </c>
      <c r="AG687" s="21">
        <f>DATE(YEAR(G687),MONTH(G687),1)</f>
        <v/>
      </c>
    </row>
    <row r="688">
      <c r="A688" t="inlineStr">
        <is>
          <t>SPO-00379-1</t>
        </is>
      </c>
      <c r="B688" t="inlineStr">
        <is>
          <t>SPO-00379</t>
        </is>
      </c>
      <c r="C688" t="inlineStr">
        <is>
          <t>SUP-01</t>
        </is>
      </c>
      <c r="D688" t="inlineStr">
        <is>
          <t>ELEC</t>
        </is>
      </c>
      <c r="E688" t="inlineStr">
        <is>
          <t>ELEC-07</t>
        </is>
      </c>
      <c r="F688" s="17" t="n">
        <v>45666</v>
      </c>
      <c r="G688" s="17" t="n">
        <v>45684</v>
      </c>
      <c r="H688" s="18" t="n">
        <v>192</v>
      </c>
      <c r="I688" s="19" t="n">
        <v>10.35</v>
      </c>
      <c r="J688" s="19" t="n">
        <v>9.800000000000001</v>
      </c>
      <c r="K688" s="20" t="n">
        <v>0</v>
      </c>
      <c r="L688" s="20" t="n">
        <v>0</v>
      </c>
      <c r="M688" s="18" t="n">
        <v>192</v>
      </c>
      <c r="N688" s="18" t="n">
        <v>192</v>
      </c>
      <c r="O688" s="18" t="n">
        <v>0</v>
      </c>
      <c r="P688" s="17" t="n">
        <v>45680</v>
      </c>
      <c r="Q688" s="17" t="n">
        <v>45680</v>
      </c>
      <c r="R688" s="17" t="n">
        <v>45680</v>
      </c>
      <c r="S688" s="19">
        <f>H688*I688</f>
        <v/>
      </c>
      <c r="T688" s="19">
        <f>H688*J688</f>
        <v/>
      </c>
      <c r="U688">
        <f>IF(AND(K688=0,G688&lt;=Assumptions!$C$6),1,0)</f>
        <v/>
      </c>
      <c r="V688">
        <f>IF(U688=1,IF(M688&gt;0,IF(P688&lt;=G688+Assumptions!$C$7,1,0),0),0)</f>
        <v/>
      </c>
      <c r="W688">
        <f>IF(AND(U688=1,M688&gt;=H688*(1-Assumptions!$C$8)),1,0)</f>
        <v/>
      </c>
      <c r="X688">
        <f>IF(AND(U688=1,N688&gt;=H688*(1-Assumptions!$C$8)),1,0)</f>
        <v/>
      </c>
      <c r="Y688">
        <f>IF(ISNUMBER(Q688),1,0)</f>
        <v/>
      </c>
      <c r="Z688">
        <f>IF(AND(K688=0,L688=0,Y688=0),1,0)</f>
        <v/>
      </c>
      <c r="AA688">
        <f>IF(AND(Z688=1,G688&lt;Assumptions!$C$6),1,0)</f>
        <v/>
      </c>
      <c r="AB688">
        <f>IF(U688=0,"",IF(Y688=1,MAX(0,Q688-G688),IF(L688=1,MAX(0,R688-G688),MAX(0,Assumptions!$C$6-G688))))</f>
        <v/>
      </c>
      <c r="AC688">
        <f>IF(Y688=1,Q688-F688,"")</f>
        <v/>
      </c>
      <c r="AD688">
        <f>IF(Y688=1,AC688^2,"")</f>
        <v/>
      </c>
      <c r="AE688" s="19">
        <f>IF(Z688=1,(H688-M688)*I688,0)</f>
        <v/>
      </c>
      <c r="AF688">
        <f>IF(G688&lt;EDATE(Assumptions!$C$6,-12)+1,"prior_12m","last_12m")</f>
        <v/>
      </c>
      <c r="AG688" s="21">
        <f>DATE(YEAR(G688),MONTH(G688),1)</f>
        <v/>
      </c>
    </row>
    <row r="689">
      <c r="A689" t="inlineStr">
        <is>
          <t>SPO-00380-1</t>
        </is>
      </c>
      <c r="B689" t="inlineStr">
        <is>
          <t>SPO-00380</t>
        </is>
      </c>
      <c r="C689" t="inlineStr">
        <is>
          <t>SUP-07</t>
        </is>
      </c>
      <c r="D689" t="inlineStr">
        <is>
          <t>MRO</t>
        </is>
      </c>
      <c r="E689" t="inlineStr">
        <is>
          <t>MRO-08</t>
        </is>
      </c>
      <c r="F689" s="17" t="n">
        <v>45667</v>
      </c>
      <c r="G689" s="17" t="n">
        <v>45677</v>
      </c>
      <c r="H689" s="18" t="n">
        <v>55</v>
      </c>
      <c r="I689" s="19" t="n">
        <v>7.32</v>
      </c>
      <c r="J689" s="19" t="n">
        <v>7.2</v>
      </c>
      <c r="K689" s="20" t="n">
        <v>0</v>
      </c>
      <c r="L689" s="20" t="n">
        <v>0</v>
      </c>
      <c r="M689" s="18" t="n">
        <v>55</v>
      </c>
      <c r="N689" s="18" t="n">
        <v>55</v>
      </c>
      <c r="O689" s="18" t="n">
        <v>0</v>
      </c>
      <c r="P689" s="17" t="n">
        <v>45671</v>
      </c>
      <c r="Q689" s="17" t="n">
        <v>45671</v>
      </c>
      <c r="R689" s="17" t="n">
        <v>45671</v>
      </c>
      <c r="S689" s="19">
        <f>H689*I689</f>
        <v/>
      </c>
      <c r="T689" s="19">
        <f>H689*J689</f>
        <v/>
      </c>
      <c r="U689">
        <f>IF(AND(K689=0,G689&lt;=Assumptions!$C$6),1,0)</f>
        <v/>
      </c>
      <c r="V689">
        <f>IF(U689=1,IF(M689&gt;0,IF(P689&lt;=G689+Assumptions!$C$7,1,0),0),0)</f>
        <v/>
      </c>
      <c r="W689">
        <f>IF(AND(U689=1,M689&gt;=H689*(1-Assumptions!$C$8)),1,0)</f>
        <v/>
      </c>
      <c r="X689">
        <f>IF(AND(U689=1,N689&gt;=H689*(1-Assumptions!$C$8)),1,0)</f>
        <v/>
      </c>
      <c r="Y689">
        <f>IF(ISNUMBER(Q689),1,0)</f>
        <v/>
      </c>
      <c r="Z689">
        <f>IF(AND(K689=0,L689=0,Y689=0),1,0)</f>
        <v/>
      </c>
      <c r="AA689">
        <f>IF(AND(Z689=1,G689&lt;Assumptions!$C$6),1,0)</f>
        <v/>
      </c>
      <c r="AB689">
        <f>IF(U689=0,"",IF(Y689=1,MAX(0,Q689-G689),IF(L689=1,MAX(0,R689-G689),MAX(0,Assumptions!$C$6-G689))))</f>
        <v/>
      </c>
      <c r="AC689">
        <f>IF(Y689=1,Q689-F689,"")</f>
        <v/>
      </c>
      <c r="AD689">
        <f>IF(Y689=1,AC689^2,"")</f>
        <v/>
      </c>
      <c r="AE689" s="19">
        <f>IF(Z689=1,(H689-M689)*I689,0)</f>
        <v/>
      </c>
      <c r="AF689">
        <f>IF(G689&lt;EDATE(Assumptions!$C$6,-12)+1,"prior_12m","last_12m")</f>
        <v/>
      </c>
      <c r="AG689" s="21">
        <f>DATE(YEAR(G689),MONTH(G689),1)</f>
        <v/>
      </c>
    </row>
    <row r="690">
      <c r="A690" t="inlineStr">
        <is>
          <t>SPO-00381-1</t>
        </is>
      </c>
      <c r="B690" t="inlineStr">
        <is>
          <t>SPO-00381</t>
        </is>
      </c>
      <c r="C690" t="inlineStr">
        <is>
          <t>SUP-11</t>
        </is>
      </c>
      <c r="D690" t="inlineStr">
        <is>
          <t>PPE</t>
        </is>
      </c>
      <c r="E690" t="inlineStr">
        <is>
          <t>PPE-03</t>
        </is>
      </c>
      <c r="F690" s="17" t="n">
        <v>45667</v>
      </c>
      <c r="G690" s="17" t="n">
        <v>45679</v>
      </c>
      <c r="H690" s="18" t="n">
        <v>30</v>
      </c>
      <c r="I690" s="19" t="n">
        <v>21.75</v>
      </c>
      <c r="J690" s="19" t="n">
        <v>21</v>
      </c>
      <c r="K690" s="20" t="n">
        <v>0</v>
      </c>
      <c r="L690" s="20" t="n">
        <v>0</v>
      </c>
      <c r="M690" s="18" t="n">
        <v>30</v>
      </c>
      <c r="N690" s="18" t="n">
        <v>30</v>
      </c>
      <c r="O690" s="18" t="n">
        <v>0</v>
      </c>
      <c r="P690" s="17" t="n">
        <v>45676</v>
      </c>
      <c r="Q690" s="17" t="n">
        <v>45676</v>
      </c>
      <c r="R690" s="17" t="n">
        <v>45676</v>
      </c>
      <c r="S690" s="19">
        <f>H690*I690</f>
        <v/>
      </c>
      <c r="T690" s="19">
        <f>H690*J690</f>
        <v/>
      </c>
      <c r="U690">
        <f>IF(AND(K690=0,G690&lt;=Assumptions!$C$6),1,0)</f>
        <v/>
      </c>
      <c r="V690">
        <f>IF(U690=1,IF(M690&gt;0,IF(P690&lt;=G690+Assumptions!$C$7,1,0),0),0)</f>
        <v/>
      </c>
      <c r="W690">
        <f>IF(AND(U690=1,M690&gt;=H690*(1-Assumptions!$C$8)),1,0)</f>
        <v/>
      </c>
      <c r="X690">
        <f>IF(AND(U690=1,N690&gt;=H690*(1-Assumptions!$C$8)),1,0)</f>
        <v/>
      </c>
      <c r="Y690">
        <f>IF(ISNUMBER(Q690),1,0)</f>
        <v/>
      </c>
      <c r="Z690">
        <f>IF(AND(K690=0,L690=0,Y690=0),1,0)</f>
        <v/>
      </c>
      <c r="AA690">
        <f>IF(AND(Z690=1,G690&lt;Assumptions!$C$6),1,0)</f>
        <v/>
      </c>
      <c r="AB690">
        <f>IF(U690=0,"",IF(Y690=1,MAX(0,Q690-G690),IF(L690=1,MAX(0,R690-G690),MAX(0,Assumptions!$C$6-G690))))</f>
        <v/>
      </c>
      <c r="AC690">
        <f>IF(Y690=1,Q690-F690,"")</f>
        <v/>
      </c>
      <c r="AD690">
        <f>IF(Y690=1,AC690^2,"")</f>
        <v/>
      </c>
      <c r="AE690" s="19">
        <f>IF(Z690=1,(H690-M690)*I690,0)</f>
        <v/>
      </c>
      <c r="AF690">
        <f>IF(G690&lt;EDATE(Assumptions!$C$6,-12)+1,"prior_12m","last_12m")</f>
        <v/>
      </c>
      <c r="AG690" s="21">
        <f>DATE(YEAR(G690),MONTH(G690),1)</f>
        <v/>
      </c>
    </row>
    <row r="691">
      <c r="A691" t="inlineStr">
        <is>
          <t>SPO-00382-1</t>
        </is>
      </c>
      <c r="B691" t="inlineStr">
        <is>
          <t>SPO-00382</t>
        </is>
      </c>
      <c r="C691" t="inlineStr">
        <is>
          <t>SUP-05</t>
        </is>
      </c>
      <c r="D691" t="inlineStr">
        <is>
          <t>FLEET</t>
        </is>
      </c>
      <c r="E691" t="inlineStr">
        <is>
          <t>FLEET-01</t>
        </is>
      </c>
      <c r="F691" s="17" t="n">
        <v>45667</v>
      </c>
      <c r="G691" s="17" t="n">
        <v>45681</v>
      </c>
      <c r="H691" s="18" t="n">
        <v>24</v>
      </c>
      <c r="I691" s="19" t="n">
        <v>65.31</v>
      </c>
      <c r="J691" s="19" t="n">
        <v>64</v>
      </c>
      <c r="K691" s="20" t="n">
        <v>0</v>
      </c>
      <c r="L691" s="20" t="n">
        <v>0</v>
      </c>
      <c r="M691" s="18" t="n">
        <v>24</v>
      </c>
      <c r="N691" s="18" t="n">
        <v>24</v>
      </c>
      <c r="O691" s="18" t="n">
        <v>0</v>
      </c>
      <c r="P691" s="17" t="n">
        <v>45678</v>
      </c>
      <c r="Q691" s="17" t="n">
        <v>45678</v>
      </c>
      <c r="R691" s="17" t="n">
        <v>45678</v>
      </c>
      <c r="S691" s="19">
        <f>H691*I691</f>
        <v/>
      </c>
      <c r="T691" s="19">
        <f>H691*J691</f>
        <v/>
      </c>
      <c r="U691">
        <f>IF(AND(K691=0,G691&lt;=Assumptions!$C$6),1,0)</f>
        <v/>
      </c>
      <c r="V691">
        <f>IF(U691=1,IF(M691&gt;0,IF(P691&lt;=G691+Assumptions!$C$7,1,0),0),0)</f>
        <v/>
      </c>
      <c r="W691">
        <f>IF(AND(U691=1,M691&gt;=H691*(1-Assumptions!$C$8)),1,0)</f>
        <v/>
      </c>
      <c r="X691">
        <f>IF(AND(U691=1,N691&gt;=H691*(1-Assumptions!$C$8)),1,0)</f>
        <v/>
      </c>
      <c r="Y691">
        <f>IF(ISNUMBER(Q691),1,0)</f>
        <v/>
      </c>
      <c r="Z691">
        <f>IF(AND(K691=0,L691=0,Y691=0),1,0)</f>
        <v/>
      </c>
      <c r="AA691">
        <f>IF(AND(Z691=1,G691&lt;Assumptions!$C$6),1,0)</f>
        <v/>
      </c>
      <c r="AB691">
        <f>IF(U691=0,"",IF(Y691=1,MAX(0,Q691-G691),IF(L691=1,MAX(0,R691-G691),MAX(0,Assumptions!$C$6-G691))))</f>
        <v/>
      </c>
      <c r="AC691">
        <f>IF(Y691=1,Q691-F691,"")</f>
        <v/>
      </c>
      <c r="AD691">
        <f>IF(Y691=1,AC691^2,"")</f>
        <v/>
      </c>
      <c r="AE691" s="19">
        <f>IF(Z691=1,(H691-M691)*I691,0)</f>
        <v/>
      </c>
      <c r="AF691">
        <f>IF(G691&lt;EDATE(Assumptions!$C$6,-12)+1,"prior_12m","last_12m")</f>
        <v/>
      </c>
      <c r="AG691" s="21">
        <f>DATE(YEAR(G691),MONTH(G691),1)</f>
        <v/>
      </c>
    </row>
    <row r="692">
      <c r="A692" t="inlineStr">
        <is>
          <t>SPO-00382-2</t>
        </is>
      </c>
      <c r="B692" t="inlineStr">
        <is>
          <t>SPO-00382</t>
        </is>
      </c>
      <c r="C692" t="inlineStr">
        <is>
          <t>SUP-05</t>
        </is>
      </c>
      <c r="D692" t="inlineStr">
        <is>
          <t>FLEET</t>
        </is>
      </c>
      <c r="E692" t="inlineStr">
        <is>
          <t>FLEET-02</t>
        </is>
      </c>
      <c r="F692" s="17" t="n">
        <v>45667</v>
      </c>
      <c r="G692" s="17" t="n">
        <v>45681</v>
      </c>
      <c r="H692" s="18" t="n">
        <v>104</v>
      </c>
      <c r="I692" s="19" t="n">
        <v>7.77</v>
      </c>
      <c r="J692" s="19" t="n">
        <v>7.5</v>
      </c>
      <c r="K692" s="20" t="n">
        <v>0</v>
      </c>
      <c r="L692" s="20" t="n">
        <v>0</v>
      </c>
      <c r="M692" s="18" t="n">
        <v>104</v>
      </c>
      <c r="N692" s="18" t="n">
        <v>0</v>
      </c>
      <c r="O692" s="18" t="n">
        <v>0</v>
      </c>
      <c r="P692" s="17" t="n">
        <v>45684</v>
      </c>
      <c r="Q692" s="17" t="n">
        <v>45684</v>
      </c>
      <c r="R692" s="17" t="n">
        <v>45684</v>
      </c>
      <c r="S692" s="19">
        <f>H692*I692</f>
        <v/>
      </c>
      <c r="T692" s="19">
        <f>H692*J692</f>
        <v/>
      </c>
      <c r="U692">
        <f>IF(AND(K692=0,G692&lt;=Assumptions!$C$6),1,0)</f>
        <v/>
      </c>
      <c r="V692">
        <f>IF(U692=1,IF(M692&gt;0,IF(P692&lt;=G692+Assumptions!$C$7,1,0),0),0)</f>
        <v/>
      </c>
      <c r="W692">
        <f>IF(AND(U692=1,M692&gt;=H692*(1-Assumptions!$C$8)),1,0)</f>
        <v/>
      </c>
      <c r="X692">
        <f>IF(AND(U692=1,N692&gt;=H692*(1-Assumptions!$C$8)),1,0)</f>
        <v/>
      </c>
      <c r="Y692">
        <f>IF(ISNUMBER(Q692),1,0)</f>
        <v/>
      </c>
      <c r="Z692">
        <f>IF(AND(K692=0,L692=0,Y692=0),1,0)</f>
        <v/>
      </c>
      <c r="AA692">
        <f>IF(AND(Z692=1,G692&lt;Assumptions!$C$6),1,0)</f>
        <v/>
      </c>
      <c r="AB692">
        <f>IF(U692=0,"",IF(Y692=1,MAX(0,Q692-G692),IF(L692=1,MAX(0,R692-G692),MAX(0,Assumptions!$C$6-G692))))</f>
        <v/>
      </c>
      <c r="AC692">
        <f>IF(Y692=1,Q692-F692,"")</f>
        <v/>
      </c>
      <c r="AD692">
        <f>IF(Y692=1,AC692^2,"")</f>
        <v/>
      </c>
      <c r="AE692" s="19">
        <f>IF(Z692=1,(H692-M692)*I692,0)</f>
        <v/>
      </c>
      <c r="AF692">
        <f>IF(G692&lt;EDATE(Assumptions!$C$6,-12)+1,"prior_12m","last_12m")</f>
        <v/>
      </c>
      <c r="AG692" s="21">
        <f>DATE(YEAR(G692),MONTH(G692),1)</f>
        <v/>
      </c>
    </row>
    <row r="693">
      <c r="A693" t="inlineStr">
        <is>
          <t>SPO-00382-3</t>
        </is>
      </c>
      <c r="B693" t="inlineStr">
        <is>
          <t>SPO-00382</t>
        </is>
      </c>
      <c r="C693" t="inlineStr">
        <is>
          <t>SUP-05</t>
        </is>
      </c>
      <c r="D693" t="inlineStr">
        <is>
          <t>FLEET</t>
        </is>
      </c>
      <c r="E693" t="inlineStr">
        <is>
          <t>FLEET-03</t>
        </is>
      </c>
      <c r="F693" s="17" t="n">
        <v>45667</v>
      </c>
      <c r="G693" s="17" t="n">
        <v>45681</v>
      </c>
      <c r="H693" s="18" t="n">
        <v>106</v>
      </c>
      <c r="I693" s="19" t="n">
        <v>21.18</v>
      </c>
      <c r="J693" s="19" t="n">
        <v>21</v>
      </c>
      <c r="K693" s="20" t="n">
        <v>0</v>
      </c>
      <c r="L693" s="20" t="n">
        <v>0</v>
      </c>
      <c r="M693" s="18" t="n">
        <v>106</v>
      </c>
      <c r="N693" s="18" t="n">
        <v>106</v>
      </c>
      <c r="O693" s="18" t="n">
        <v>0</v>
      </c>
      <c r="P693" s="17" t="n">
        <v>45678</v>
      </c>
      <c r="Q693" s="17" t="n">
        <v>45678</v>
      </c>
      <c r="R693" s="17" t="n">
        <v>45678</v>
      </c>
      <c r="S693" s="19">
        <f>H693*I693</f>
        <v/>
      </c>
      <c r="T693" s="19">
        <f>H693*J693</f>
        <v/>
      </c>
      <c r="U693">
        <f>IF(AND(K693=0,G693&lt;=Assumptions!$C$6),1,0)</f>
        <v/>
      </c>
      <c r="V693">
        <f>IF(U693=1,IF(M693&gt;0,IF(P693&lt;=G693+Assumptions!$C$7,1,0),0),0)</f>
        <v/>
      </c>
      <c r="W693">
        <f>IF(AND(U693=1,M693&gt;=H693*(1-Assumptions!$C$8)),1,0)</f>
        <v/>
      </c>
      <c r="X693">
        <f>IF(AND(U693=1,N693&gt;=H693*(1-Assumptions!$C$8)),1,0)</f>
        <v/>
      </c>
      <c r="Y693">
        <f>IF(ISNUMBER(Q693),1,0)</f>
        <v/>
      </c>
      <c r="Z693">
        <f>IF(AND(K693=0,L693=0,Y693=0),1,0)</f>
        <v/>
      </c>
      <c r="AA693">
        <f>IF(AND(Z693=1,G693&lt;Assumptions!$C$6),1,0)</f>
        <v/>
      </c>
      <c r="AB693">
        <f>IF(U693=0,"",IF(Y693=1,MAX(0,Q693-G693),IF(L693=1,MAX(0,R693-G693),MAX(0,Assumptions!$C$6-G693))))</f>
        <v/>
      </c>
      <c r="AC693">
        <f>IF(Y693=1,Q693-F693,"")</f>
        <v/>
      </c>
      <c r="AD693">
        <f>IF(Y693=1,AC693^2,"")</f>
        <v/>
      </c>
      <c r="AE693" s="19">
        <f>IF(Z693=1,(H693-M693)*I693,0)</f>
        <v/>
      </c>
      <c r="AF693">
        <f>IF(G693&lt;EDATE(Assumptions!$C$6,-12)+1,"prior_12m","last_12m")</f>
        <v/>
      </c>
      <c r="AG693" s="21">
        <f>DATE(YEAR(G693),MONTH(G693),1)</f>
        <v/>
      </c>
    </row>
    <row r="694">
      <c r="A694" t="inlineStr">
        <is>
          <t>SPO-00383-1</t>
        </is>
      </c>
      <c r="B694" t="inlineStr">
        <is>
          <t>SPO-00383</t>
        </is>
      </c>
      <c r="C694" t="inlineStr">
        <is>
          <t>SUP-03</t>
        </is>
      </c>
      <c r="D694" t="inlineStr">
        <is>
          <t>ELEC</t>
        </is>
      </c>
      <c r="E694" t="inlineStr">
        <is>
          <t>ELEC-04</t>
        </is>
      </c>
      <c r="F694" s="17" t="n">
        <v>45667</v>
      </c>
      <c r="G694" s="17" t="n">
        <v>45684</v>
      </c>
      <c r="H694" s="18" t="n">
        <v>31</v>
      </c>
      <c r="I694" s="19" t="n">
        <v>68</v>
      </c>
      <c r="J694" s="19" t="n">
        <v>72</v>
      </c>
      <c r="K694" s="20" t="n">
        <v>0</v>
      </c>
      <c r="L694" s="20" t="n">
        <v>0</v>
      </c>
      <c r="M694" s="18" t="n">
        <v>31</v>
      </c>
      <c r="N694" s="18" t="n">
        <v>31</v>
      </c>
      <c r="O694" s="18" t="n">
        <v>0</v>
      </c>
      <c r="P694" s="17" t="n">
        <v>45684</v>
      </c>
      <c r="Q694" s="17" t="n">
        <v>45684</v>
      </c>
      <c r="R694" s="17" t="n">
        <v>45684</v>
      </c>
      <c r="S694" s="19">
        <f>H694*I694</f>
        <v/>
      </c>
      <c r="T694" s="19">
        <f>H694*J694</f>
        <v/>
      </c>
      <c r="U694">
        <f>IF(AND(K694=0,G694&lt;=Assumptions!$C$6),1,0)</f>
        <v/>
      </c>
      <c r="V694">
        <f>IF(U694=1,IF(M694&gt;0,IF(P694&lt;=G694+Assumptions!$C$7,1,0),0),0)</f>
        <v/>
      </c>
      <c r="W694">
        <f>IF(AND(U694=1,M694&gt;=H694*(1-Assumptions!$C$8)),1,0)</f>
        <v/>
      </c>
      <c r="X694">
        <f>IF(AND(U694=1,N694&gt;=H694*(1-Assumptions!$C$8)),1,0)</f>
        <v/>
      </c>
      <c r="Y694">
        <f>IF(ISNUMBER(Q694),1,0)</f>
        <v/>
      </c>
      <c r="Z694">
        <f>IF(AND(K694=0,L694=0,Y694=0),1,0)</f>
        <v/>
      </c>
      <c r="AA694">
        <f>IF(AND(Z694=1,G694&lt;Assumptions!$C$6),1,0)</f>
        <v/>
      </c>
      <c r="AB694">
        <f>IF(U694=0,"",IF(Y694=1,MAX(0,Q694-G694),IF(L694=1,MAX(0,R694-G694),MAX(0,Assumptions!$C$6-G694))))</f>
        <v/>
      </c>
      <c r="AC694">
        <f>IF(Y694=1,Q694-F694,"")</f>
        <v/>
      </c>
      <c r="AD694">
        <f>IF(Y694=1,AC694^2,"")</f>
        <v/>
      </c>
      <c r="AE694" s="19">
        <f>IF(Z694=1,(H694-M694)*I694,0)</f>
        <v/>
      </c>
      <c r="AF694">
        <f>IF(G694&lt;EDATE(Assumptions!$C$6,-12)+1,"prior_12m","last_12m")</f>
        <v/>
      </c>
      <c r="AG694" s="21">
        <f>DATE(YEAR(G694),MONTH(G694),1)</f>
        <v/>
      </c>
    </row>
    <row r="695">
      <c r="A695" t="inlineStr">
        <is>
          <t>SPO-00384-1</t>
        </is>
      </c>
      <c r="B695" t="inlineStr">
        <is>
          <t>SPO-00384</t>
        </is>
      </c>
      <c r="C695" t="inlineStr">
        <is>
          <t>SUP-12</t>
        </is>
      </c>
      <c r="D695" t="inlineStr">
        <is>
          <t>IT</t>
        </is>
      </c>
      <c r="E695" t="inlineStr">
        <is>
          <t>IT-04</t>
        </is>
      </c>
      <c r="F695" s="17" t="n">
        <v>45667</v>
      </c>
      <c r="G695" s="17" t="n">
        <v>45677</v>
      </c>
      <c r="H695" s="18" t="n">
        <v>88</v>
      </c>
      <c r="I695" s="19" t="n">
        <v>13.89</v>
      </c>
      <c r="J695" s="19" t="n">
        <v>12</v>
      </c>
      <c r="K695" s="20" t="n">
        <v>0</v>
      </c>
      <c r="L695" s="20" t="n">
        <v>0</v>
      </c>
      <c r="M695" s="18" t="n">
        <v>88</v>
      </c>
      <c r="N695" s="18" t="n">
        <v>0</v>
      </c>
      <c r="O695" s="18" t="n">
        <v>0</v>
      </c>
      <c r="P695" s="17" t="n">
        <v>45680</v>
      </c>
      <c r="Q695" s="17" t="n">
        <v>45680</v>
      </c>
      <c r="R695" s="17" t="n">
        <v>45680</v>
      </c>
      <c r="S695" s="19">
        <f>H695*I695</f>
        <v/>
      </c>
      <c r="T695" s="19">
        <f>H695*J695</f>
        <v/>
      </c>
      <c r="U695">
        <f>IF(AND(K695=0,G695&lt;=Assumptions!$C$6),1,0)</f>
        <v/>
      </c>
      <c r="V695">
        <f>IF(U695=1,IF(M695&gt;0,IF(P695&lt;=G695+Assumptions!$C$7,1,0),0),0)</f>
        <v/>
      </c>
      <c r="W695">
        <f>IF(AND(U695=1,M695&gt;=H695*(1-Assumptions!$C$8)),1,0)</f>
        <v/>
      </c>
      <c r="X695">
        <f>IF(AND(U695=1,N695&gt;=H695*(1-Assumptions!$C$8)),1,0)</f>
        <v/>
      </c>
      <c r="Y695">
        <f>IF(ISNUMBER(Q695),1,0)</f>
        <v/>
      </c>
      <c r="Z695">
        <f>IF(AND(K695=0,L695=0,Y695=0),1,0)</f>
        <v/>
      </c>
      <c r="AA695">
        <f>IF(AND(Z695=1,G695&lt;Assumptions!$C$6),1,0)</f>
        <v/>
      </c>
      <c r="AB695">
        <f>IF(U695=0,"",IF(Y695=1,MAX(0,Q695-G695),IF(L695=1,MAX(0,R695-G695),MAX(0,Assumptions!$C$6-G695))))</f>
        <v/>
      </c>
      <c r="AC695">
        <f>IF(Y695=1,Q695-F695,"")</f>
        <v/>
      </c>
      <c r="AD695">
        <f>IF(Y695=1,AC695^2,"")</f>
        <v/>
      </c>
      <c r="AE695" s="19">
        <f>IF(Z695=1,(H695-M695)*I695,0)</f>
        <v/>
      </c>
      <c r="AF695">
        <f>IF(G695&lt;EDATE(Assumptions!$C$6,-12)+1,"prior_12m","last_12m")</f>
        <v/>
      </c>
      <c r="AG695" s="21">
        <f>DATE(YEAR(G695),MONTH(G695),1)</f>
        <v/>
      </c>
    </row>
    <row r="696">
      <c r="A696" t="inlineStr">
        <is>
          <t>SPO-00384-2</t>
        </is>
      </c>
      <c r="B696" t="inlineStr">
        <is>
          <t>SPO-00384</t>
        </is>
      </c>
      <c r="C696" t="inlineStr">
        <is>
          <t>SUP-12</t>
        </is>
      </c>
      <c r="D696" t="inlineStr">
        <is>
          <t>IT</t>
        </is>
      </c>
      <c r="E696" t="inlineStr">
        <is>
          <t>IT-08</t>
        </is>
      </c>
      <c r="F696" s="17" t="n">
        <v>45667</v>
      </c>
      <c r="G696" s="17" t="n">
        <v>45677</v>
      </c>
      <c r="H696" s="18" t="n">
        <v>2</v>
      </c>
      <c r="I696" s="19" t="n">
        <v>267.88</v>
      </c>
      <c r="J696" s="19" t="n">
        <v>245</v>
      </c>
      <c r="K696" s="20" t="n">
        <v>0</v>
      </c>
      <c r="L696" s="20" t="n">
        <v>0</v>
      </c>
      <c r="M696" s="18" t="n">
        <v>2</v>
      </c>
      <c r="N696" s="18" t="n">
        <v>2</v>
      </c>
      <c r="O696" s="18" t="n">
        <v>0</v>
      </c>
      <c r="P696" s="17" t="n">
        <v>45676</v>
      </c>
      <c r="Q696" s="17" t="n">
        <v>45676</v>
      </c>
      <c r="R696" s="17" t="n">
        <v>45676</v>
      </c>
      <c r="S696" s="19">
        <f>H696*I696</f>
        <v/>
      </c>
      <c r="T696" s="19">
        <f>H696*J696</f>
        <v/>
      </c>
      <c r="U696">
        <f>IF(AND(K696=0,G696&lt;=Assumptions!$C$6),1,0)</f>
        <v/>
      </c>
      <c r="V696">
        <f>IF(U696=1,IF(M696&gt;0,IF(P696&lt;=G696+Assumptions!$C$7,1,0),0),0)</f>
        <v/>
      </c>
      <c r="W696">
        <f>IF(AND(U696=1,M696&gt;=H696*(1-Assumptions!$C$8)),1,0)</f>
        <v/>
      </c>
      <c r="X696">
        <f>IF(AND(U696=1,N696&gt;=H696*(1-Assumptions!$C$8)),1,0)</f>
        <v/>
      </c>
      <c r="Y696">
        <f>IF(ISNUMBER(Q696),1,0)</f>
        <v/>
      </c>
      <c r="Z696">
        <f>IF(AND(K696=0,L696=0,Y696=0),1,0)</f>
        <v/>
      </c>
      <c r="AA696">
        <f>IF(AND(Z696=1,G696&lt;Assumptions!$C$6),1,0)</f>
        <v/>
      </c>
      <c r="AB696">
        <f>IF(U696=0,"",IF(Y696=1,MAX(0,Q696-G696),IF(L696=1,MAX(0,R696-G696),MAX(0,Assumptions!$C$6-G696))))</f>
        <v/>
      </c>
      <c r="AC696">
        <f>IF(Y696=1,Q696-F696,"")</f>
        <v/>
      </c>
      <c r="AD696">
        <f>IF(Y696=1,AC696^2,"")</f>
        <v/>
      </c>
      <c r="AE696" s="19">
        <f>IF(Z696=1,(H696-M696)*I696,0)</f>
        <v/>
      </c>
      <c r="AF696">
        <f>IF(G696&lt;EDATE(Assumptions!$C$6,-12)+1,"prior_12m","last_12m")</f>
        <v/>
      </c>
      <c r="AG696" s="21">
        <f>DATE(YEAR(G696),MONTH(G696),1)</f>
        <v/>
      </c>
    </row>
    <row r="697">
      <c r="A697" t="inlineStr">
        <is>
          <t>SPO-00384-3</t>
        </is>
      </c>
      <c r="B697" t="inlineStr">
        <is>
          <t>SPO-00384</t>
        </is>
      </c>
      <c r="C697" t="inlineStr">
        <is>
          <t>SUP-12</t>
        </is>
      </c>
      <c r="D697" t="inlineStr">
        <is>
          <t>IT</t>
        </is>
      </c>
      <c r="E697" t="inlineStr">
        <is>
          <t>IT-01</t>
        </is>
      </c>
      <c r="F697" s="17" t="n">
        <v>45667</v>
      </c>
      <c r="G697" s="17" t="n">
        <v>45677</v>
      </c>
      <c r="H697" s="18" t="n">
        <v>8</v>
      </c>
      <c r="I697" s="19" t="n">
        <v>220.95</v>
      </c>
      <c r="J697" s="19" t="n">
        <v>189</v>
      </c>
      <c r="K697" s="20" t="n">
        <v>0</v>
      </c>
      <c r="L697" s="20" t="n">
        <v>0</v>
      </c>
      <c r="M697" s="18" t="n">
        <v>8</v>
      </c>
      <c r="N697" s="18" t="n">
        <v>8</v>
      </c>
      <c r="O697" s="18" t="n">
        <v>0</v>
      </c>
      <c r="P697" s="17" t="n">
        <v>45671</v>
      </c>
      <c r="Q697" s="17" t="n">
        <v>45671</v>
      </c>
      <c r="R697" s="17" t="n">
        <v>45671</v>
      </c>
      <c r="S697" s="19">
        <f>H697*I697</f>
        <v/>
      </c>
      <c r="T697" s="19">
        <f>H697*J697</f>
        <v/>
      </c>
      <c r="U697">
        <f>IF(AND(K697=0,G697&lt;=Assumptions!$C$6),1,0)</f>
        <v/>
      </c>
      <c r="V697">
        <f>IF(U697=1,IF(M697&gt;0,IF(P697&lt;=G697+Assumptions!$C$7,1,0),0),0)</f>
        <v/>
      </c>
      <c r="W697">
        <f>IF(AND(U697=1,M697&gt;=H697*(1-Assumptions!$C$8)),1,0)</f>
        <v/>
      </c>
      <c r="X697">
        <f>IF(AND(U697=1,N697&gt;=H697*(1-Assumptions!$C$8)),1,0)</f>
        <v/>
      </c>
      <c r="Y697">
        <f>IF(ISNUMBER(Q697),1,0)</f>
        <v/>
      </c>
      <c r="Z697">
        <f>IF(AND(K697=0,L697=0,Y697=0),1,0)</f>
        <v/>
      </c>
      <c r="AA697">
        <f>IF(AND(Z697=1,G697&lt;Assumptions!$C$6),1,0)</f>
        <v/>
      </c>
      <c r="AB697">
        <f>IF(U697=0,"",IF(Y697=1,MAX(0,Q697-G697),IF(L697=1,MAX(0,R697-G697),MAX(0,Assumptions!$C$6-G697))))</f>
        <v/>
      </c>
      <c r="AC697">
        <f>IF(Y697=1,Q697-F697,"")</f>
        <v/>
      </c>
      <c r="AD697">
        <f>IF(Y697=1,AC697^2,"")</f>
        <v/>
      </c>
      <c r="AE697" s="19">
        <f>IF(Z697=1,(H697-M697)*I697,0)</f>
        <v/>
      </c>
      <c r="AF697">
        <f>IF(G697&lt;EDATE(Assumptions!$C$6,-12)+1,"prior_12m","last_12m")</f>
        <v/>
      </c>
      <c r="AG697" s="21">
        <f>DATE(YEAR(G697),MONTH(G697),1)</f>
        <v/>
      </c>
    </row>
    <row r="698">
      <c r="A698" t="inlineStr">
        <is>
          <t>SPO-00384-4</t>
        </is>
      </c>
      <c r="B698" t="inlineStr">
        <is>
          <t>SPO-00384</t>
        </is>
      </c>
      <c r="C698" t="inlineStr">
        <is>
          <t>SUP-12</t>
        </is>
      </c>
      <c r="D698" t="inlineStr">
        <is>
          <t>IT</t>
        </is>
      </c>
      <c r="E698" t="inlineStr">
        <is>
          <t>IT-06</t>
        </is>
      </c>
      <c r="F698" s="17" t="n">
        <v>45667</v>
      </c>
      <c r="G698" s="17" t="n">
        <v>45677</v>
      </c>
      <c r="H698" s="18" t="n">
        <v>14</v>
      </c>
      <c r="I698" s="19" t="n">
        <v>96.77</v>
      </c>
      <c r="J698" s="19" t="n">
        <v>89</v>
      </c>
      <c r="K698" s="20" t="n">
        <v>0</v>
      </c>
      <c r="L698" s="20" t="n">
        <v>0</v>
      </c>
      <c r="M698" s="18" t="n">
        <v>14</v>
      </c>
      <c r="N698" s="18" t="n">
        <v>14</v>
      </c>
      <c r="O698" s="18" t="n">
        <v>0</v>
      </c>
      <c r="P698" s="17" t="n">
        <v>45677</v>
      </c>
      <c r="Q698" s="17" t="n">
        <v>45677</v>
      </c>
      <c r="R698" s="17" t="n">
        <v>45677</v>
      </c>
      <c r="S698" s="19">
        <f>H698*I698</f>
        <v/>
      </c>
      <c r="T698" s="19">
        <f>H698*J698</f>
        <v/>
      </c>
      <c r="U698">
        <f>IF(AND(K698=0,G698&lt;=Assumptions!$C$6),1,0)</f>
        <v/>
      </c>
      <c r="V698">
        <f>IF(U698=1,IF(M698&gt;0,IF(P698&lt;=G698+Assumptions!$C$7,1,0),0),0)</f>
        <v/>
      </c>
      <c r="W698">
        <f>IF(AND(U698=1,M698&gt;=H698*(1-Assumptions!$C$8)),1,0)</f>
        <v/>
      </c>
      <c r="X698">
        <f>IF(AND(U698=1,N698&gt;=H698*(1-Assumptions!$C$8)),1,0)</f>
        <v/>
      </c>
      <c r="Y698">
        <f>IF(ISNUMBER(Q698),1,0)</f>
        <v/>
      </c>
      <c r="Z698">
        <f>IF(AND(K698=0,L698=0,Y698=0),1,0)</f>
        <v/>
      </c>
      <c r="AA698">
        <f>IF(AND(Z698=1,G698&lt;Assumptions!$C$6),1,0)</f>
        <v/>
      </c>
      <c r="AB698">
        <f>IF(U698=0,"",IF(Y698=1,MAX(0,Q698-G698),IF(L698=1,MAX(0,R698-G698),MAX(0,Assumptions!$C$6-G698))))</f>
        <v/>
      </c>
      <c r="AC698">
        <f>IF(Y698=1,Q698-F698,"")</f>
        <v/>
      </c>
      <c r="AD698">
        <f>IF(Y698=1,AC698^2,"")</f>
        <v/>
      </c>
      <c r="AE698" s="19">
        <f>IF(Z698=1,(H698-M698)*I698,0)</f>
        <v/>
      </c>
      <c r="AF698">
        <f>IF(G698&lt;EDATE(Assumptions!$C$6,-12)+1,"prior_12m","last_12m")</f>
        <v/>
      </c>
      <c r="AG698" s="21">
        <f>DATE(YEAR(G698),MONTH(G698),1)</f>
        <v/>
      </c>
    </row>
    <row r="699">
      <c r="A699" t="inlineStr">
        <is>
          <t>SPO-00385-1</t>
        </is>
      </c>
      <c r="B699" t="inlineStr">
        <is>
          <t>SPO-00385</t>
        </is>
      </c>
      <c r="C699" t="inlineStr">
        <is>
          <t>SUP-01</t>
        </is>
      </c>
      <c r="D699" t="inlineStr">
        <is>
          <t>ELEC</t>
        </is>
      </c>
      <c r="E699" t="inlineStr">
        <is>
          <t>ELEC-07</t>
        </is>
      </c>
      <c r="F699" s="17" t="n">
        <v>45667</v>
      </c>
      <c r="G699" s="17" t="n">
        <v>45685</v>
      </c>
      <c r="H699" s="18" t="n">
        <v>91</v>
      </c>
      <c r="I699" s="19" t="n">
        <v>9.66</v>
      </c>
      <c r="J699" s="19" t="n">
        <v>9.800000000000001</v>
      </c>
      <c r="K699" s="20" t="n">
        <v>0</v>
      </c>
      <c r="L699" s="20" t="n">
        <v>0</v>
      </c>
      <c r="M699" s="18" t="n">
        <v>91</v>
      </c>
      <c r="N699" s="18" t="n">
        <v>91</v>
      </c>
      <c r="O699" s="18" t="n">
        <v>0</v>
      </c>
      <c r="P699" s="17" t="n">
        <v>45678</v>
      </c>
      <c r="Q699" s="17" t="n">
        <v>45678</v>
      </c>
      <c r="R699" s="17" t="n">
        <v>45678</v>
      </c>
      <c r="S699" s="19">
        <f>H699*I699</f>
        <v/>
      </c>
      <c r="T699" s="19">
        <f>H699*J699</f>
        <v/>
      </c>
      <c r="U699">
        <f>IF(AND(K699=0,G699&lt;=Assumptions!$C$6),1,0)</f>
        <v/>
      </c>
      <c r="V699">
        <f>IF(U699=1,IF(M699&gt;0,IF(P699&lt;=G699+Assumptions!$C$7,1,0),0),0)</f>
        <v/>
      </c>
      <c r="W699">
        <f>IF(AND(U699=1,M699&gt;=H699*(1-Assumptions!$C$8)),1,0)</f>
        <v/>
      </c>
      <c r="X699">
        <f>IF(AND(U699=1,N699&gt;=H699*(1-Assumptions!$C$8)),1,0)</f>
        <v/>
      </c>
      <c r="Y699">
        <f>IF(ISNUMBER(Q699),1,0)</f>
        <v/>
      </c>
      <c r="Z699">
        <f>IF(AND(K699=0,L699=0,Y699=0),1,0)</f>
        <v/>
      </c>
      <c r="AA699">
        <f>IF(AND(Z699=1,G699&lt;Assumptions!$C$6),1,0)</f>
        <v/>
      </c>
      <c r="AB699">
        <f>IF(U699=0,"",IF(Y699=1,MAX(0,Q699-G699),IF(L699=1,MAX(0,R699-G699),MAX(0,Assumptions!$C$6-G699))))</f>
        <v/>
      </c>
      <c r="AC699">
        <f>IF(Y699=1,Q699-F699,"")</f>
        <v/>
      </c>
      <c r="AD699">
        <f>IF(Y699=1,AC699^2,"")</f>
        <v/>
      </c>
      <c r="AE699" s="19">
        <f>IF(Z699=1,(H699-M699)*I699,0)</f>
        <v/>
      </c>
      <c r="AF699">
        <f>IF(G699&lt;EDATE(Assumptions!$C$6,-12)+1,"prior_12m","last_12m")</f>
        <v/>
      </c>
      <c r="AG699" s="21">
        <f>DATE(YEAR(G699),MONTH(G699),1)</f>
        <v/>
      </c>
    </row>
    <row r="700">
      <c r="A700" t="inlineStr">
        <is>
          <t>SPO-00385-2</t>
        </is>
      </c>
      <c r="B700" t="inlineStr">
        <is>
          <t>SPO-00385</t>
        </is>
      </c>
      <c r="C700" t="inlineStr">
        <is>
          <t>SUP-01</t>
        </is>
      </c>
      <c r="D700" t="inlineStr">
        <is>
          <t>ELEC</t>
        </is>
      </c>
      <c r="E700" t="inlineStr">
        <is>
          <t>ELEC-08</t>
        </is>
      </c>
      <c r="F700" s="17" t="n">
        <v>45667</v>
      </c>
      <c r="G700" s="17" t="n">
        <v>45685</v>
      </c>
      <c r="H700" s="18" t="n">
        <v>88</v>
      </c>
      <c r="I700" s="19" t="n">
        <v>18.41</v>
      </c>
      <c r="J700" s="19" t="n">
        <v>18</v>
      </c>
      <c r="K700" s="20" t="n">
        <v>0</v>
      </c>
      <c r="L700" s="20" t="n">
        <v>0</v>
      </c>
      <c r="M700" s="18" t="n">
        <v>88</v>
      </c>
      <c r="N700" s="18" t="n">
        <v>88</v>
      </c>
      <c r="O700" s="18" t="n">
        <v>0</v>
      </c>
      <c r="P700" s="17" t="n">
        <v>45680</v>
      </c>
      <c r="Q700" s="17" t="n">
        <v>45680</v>
      </c>
      <c r="R700" s="17" t="n">
        <v>45680</v>
      </c>
      <c r="S700" s="19">
        <f>H700*I700</f>
        <v/>
      </c>
      <c r="T700" s="19">
        <f>H700*J700</f>
        <v/>
      </c>
      <c r="U700">
        <f>IF(AND(K700=0,G700&lt;=Assumptions!$C$6),1,0)</f>
        <v/>
      </c>
      <c r="V700">
        <f>IF(U700=1,IF(M700&gt;0,IF(P700&lt;=G700+Assumptions!$C$7,1,0),0),0)</f>
        <v/>
      </c>
      <c r="W700">
        <f>IF(AND(U700=1,M700&gt;=H700*(1-Assumptions!$C$8)),1,0)</f>
        <v/>
      </c>
      <c r="X700">
        <f>IF(AND(U700=1,N700&gt;=H700*(1-Assumptions!$C$8)),1,0)</f>
        <v/>
      </c>
      <c r="Y700">
        <f>IF(ISNUMBER(Q700),1,0)</f>
        <v/>
      </c>
      <c r="Z700">
        <f>IF(AND(K700=0,L700=0,Y700=0),1,0)</f>
        <v/>
      </c>
      <c r="AA700">
        <f>IF(AND(Z700=1,G700&lt;Assumptions!$C$6),1,0)</f>
        <v/>
      </c>
      <c r="AB700">
        <f>IF(U700=0,"",IF(Y700=1,MAX(0,Q700-G700),IF(L700=1,MAX(0,R700-G700),MAX(0,Assumptions!$C$6-G700))))</f>
        <v/>
      </c>
      <c r="AC700">
        <f>IF(Y700=1,Q700-F700,"")</f>
        <v/>
      </c>
      <c r="AD700">
        <f>IF(Y700=1,AC700^2,"")</f>
        <v/>
      </c>
      <c r="AE700" s="19">
        <f>IF(Z700=1,(H700-M700)*I700,0)</f>
        <v/>
      </c>
      <c r="AF700">
        <f>IF(G700&lt;EDATE(Assumptions!$C$6,-12)+1,"prior_12m","last_12m")</f>
        <v/>
      </c>
      <c r="AG700" s="21">
        <f>DATE(YEAR(G700),MONTH(G700),1)</f>
        <v/>
      </c>
    </row>
    <row r="701">
      <c r="A701" t="inlineStr">
        <is>
          <t>SPO-00386-1</t>
        </is>
      </c>
      <c r="B701" t="inlineStr">
        <is>
          <t>SPO-00386</t>
        </is>
      </c>
      <c r="C701" t="inlineStr">
        <is>
          <t>SUP-07</t>
        </is>
      </c>
      <c r="D701" t="inlineStr">
        <is>
          <t>MRO</t>
        </is>
      </c>
      <c r="E701" t="inlineStr">
        <is>
          <t>MRO-07</t>
        </is>
      </c>
      <c r="F701" s="17" t="n">
        <v>45667</v>
      </c>
      <c r="G701" s="17" t="n">
        <v>45677</v>
      </c>
      <c r="H701" s="18" t="n">
        <v>94</v>
      </c>
      <c r="I701" s="19" t="n">
        <v>13.97</v>
      </c>
      <c r="J701" s="19" t="n">
        <v>14</v>
      </c>
      <c r="K701" s="20" t="n">
        <v>0</v>
      </c>
      <c r="L701" s="20" t="n">
        <v>1</v>
      </c>
      <c r="M701" s="18" t="n">
        <v>61</v>
      </c>
      <c r="N701" s="18" t="n">
        <v>61</v>
      </c>
      <c r="O701" s="18" t="n">
        <v>0</v>
      </c>
      <c r="P701" s="17" t="n">
        <v>45672</v>
      </c>
      <c r="Q701" s="17" t="n"/>
      <c r="R701" s="17" t="n">
        <v>45672</v>
      </c>
      <c r="S701" s="19">
        <f>H701*I701</f>
        <v/>
      </c>
      <c r="T701" s="19">
        <f>H701*J701</f>
        <v/>
      </c>
      <c r="U701">
        <f>IF(AND(K701=0,G701&lt;=Assumptions!$C$6),1,0)</f>
        <v/>
      </c>
      <c r="V701">
        <f>IF(U701=1,IF(M701&gt;0,IF(P701&lt;=G701+Assumptions!$C$7,1,0),0),0)</f>
        <v/>
      </c>
      <c r="W701">
        <f>IF(AND(U701=1,M701&gt;=H701*(1-Assumptions!$C$8)),1,0)</f>
        <v/>
      </c>
      <c r="X701">
        <f>IF(AND(U701=1,N701&gt;=H701*(1-Assumptions!$C$8)),1,0)</f>
        <v/>
      </c>
      <c r="Y701">
        <f>IF(ISNUMBER(Q701),1,0)</f>
        <v/>
      </c>
      <c r="Z701">
        <f>IF(AND(K701=0,L701=0,Y701=0),1,0)</f>
        <v/>
      </c>
      <c r="AA701">
        <f>IF(AND(Z701=1,G701&lt;Assumptions!$C$6),1,0)</f>
        <v/>
      </c>
      <c r="AB701">
        <f>IF(U701=0,"",IF(Y701=1,MAX(0,Q701-G701),IF(L701=1,MAX(0,R701-G701),MAX(0,Assumptions!$C$6-G701))))</f>
        <v/>
      </c>
      <c r="AC701">
        <f>IF(Y701=1,Q701-F701,"")</f>
        <v/>
      </c>
      <c r="AD701">
        <f>IF(Y701=1,AC701^2,"")</f>
        <v/>
      </c>
      <c r="AE701" s="19">
        <f>IF(Z701=1,(H701-M701)*I701,0)</f>
        <v/>
      </c>
      <c r="AF701">
        <f>IF(G701&lt;EDATE(Assumptions!$C$6,-12)+1,"prior_12m","last_12m")</f>
        <v/>
      </c>
      <c r="AG701" s="21">
        <f>DATE(YEAR(G701),MONTH(G701),1)</f>
        <v/>
      </c>
    </row>
    <row r="702">
      <c r="A702" t="inlineStr">
        <is>
          <t>SPO-00387-1</t>
        </is>
      </c>
      <c r="B702" t="inlineStr">
        <is>
          <t>SPO-00387</t>
        </is>
      </c>
      <c r="C702" t="inlineStr">
        <is>
          <t>SUP-07</t>
        </is>
      </c>
      <c r="D702" t="inlineStr">
        <is>
          <t>MRO</t>
        </is>
      </c>
      <c r="E702" t="inlineStr">
        <is>
          <t>MRO-01</t>
        </is>
      </c>
      <c r="F702" s="17" t="n">
        <v>45667</v>
      </c>
      <c r="G702" s="17" t="n">
        <v>45677</v>
      </c>
      <c r="H702" s="18" t="n">
        <v>25</v>
      </c>
      <c r="I702" s="19" t="n">
        <v>52.98</v>
      </c>
      <c r="J702" s="19" t="n">
        <v>52</v>
      </c>
      <c r="K702" s="20" t="n">
        <v>0</v>
      </c>
      <c r="L702" s="20" t="n">
        <v>0</v>
      </c>
      <c r="M702" s="18" t="n">
        <v>25</v>
      </c>
      <c r="N702" s="18" t="n">
        <v>25</v>
      </c>
      <c r="O702" s="18" t="n">
        <v>0</v>
      </c>
      <c r="P702" s="17" t="n">
        <v>45677</v>
      </c>
      <c r="Q702" s="17" t="n">
        <v>45677</v>
      </c>
      <c r="R702" s="17" t="n">
        <v>45677</v>
      </c>
      <c r="S702" s="19">
        <f>H702*I702</f>
        <v/>
      </c>
      <c r="T702" s="19">
        <f>H702*J702</f>
        <v/>
      </c>
      <c r="U702">
        <f>IF(AND(K702=0,G702&lt;=Assumptions!$C$6),1,0)</f>
        <v/>
      </c>
      <c r="V702">
        <f>IF(U702=1,IF(M702&gt;0,IF(P702&lt;=G702+Assumptions!$C$7,1,0),0),0)</f>
        <v/>
      </c>
      <c r="W702">
        <f>IF(AND(U702=1,M702&gt;=H702*(1-Assumptions!$C$8)),1,0)</f>
        <v/>
      </c>
      <c r="X702">
        <f>IF(AND(U702=1,N702&gt;=H702*(1-Assumptions!$C$8)),1,0)</f>
        <v/>
      </c>
      <c r="Y702">
        <f>IF(ISNUMBER(Q702),1,0)</f>
        <v/>
      </c>
      <c r="Z702">
        <f>IF(AND(K702=0,L702=0,Y702=0),1,0)</f>
        <v/>
      </c>
      <c r="AA702">
        <f>IF(AND(Z702=1,G702&lt;Assumptions!$C$6),1,0)</f>
        <v/>
      </c>
      <c r="AB702">
        <f>IF(U702=0,"",IF(Y702=1,MAX(0,Q702-G702),IF(L702=1,MAX(0,R702-G702),MAX(0,Assumptions!$C$6-G702))))</f>
        <v/>
      </c>
      <c r="AC702">
        <f>IF(Y702=1,Q702-F702,"")</f>
        <v/>
      </c>
      <c r="AD702">
        <f>IF(Y702=1,AC702^2,"")</f>
        <v/>
      </c>
      <c r="AE702" s="19">
        <f>IF(Z702=1,(H702-M702)*I702,0)</f>
        <v/>
      </c>
      <c r="AF702">
        <f>IF(G702&lt;EDATE(Assumptions!$C$6,-12)+1,"prior_12m","last_12m")</f>
        <v/>
      </c>
      <c r="AG702" s="21">
        <f>DATE(YEAR(G702),MONTH(G702),1)</f>
        <v/>
      </c>
    </row>
    <row r="703">
      <c r="A703" t="inlineStr">
        <is>
          <t>SPO-00388-1</t>
        </is>
      </c>
      <c r="B703" t="inlineStr">
        <is>
          <t>SPO-00388</t>
        </is>
      </c>
      <c r="C703" t="inlineStr">
        <is>
          <t>SUP-07</t>
        </is>
      </c>
      <c r="D703" t="inlineStr">
        <is>
          <t>MRO</t>
        </is>
      </c>
      <c r="E703" t="inlineStr">
        <is>
          <t>MRO-08</t>
        </is>
      </c>
      <c r="F703" s="17" t="n">
        <v>45667</v>
      </c>
      <c r="G703" s="17" t="n">
        <v>45677</v>
      </c>
      <c r="H703" s="18" t="n">
        <v>274</v>
      </c>
      <c r="I703" s="19" t="n">
        <v>7.1</v>
      </c>
      <c r="J703" s="19" t="n">
        <v>7.2</v>
      </c>
      <c r="K703" s="20" t="n">
        <v>0</v>
      </c>
      <c r="L703" s="20" t="n">
        <v>0</v>
      </c>
      <c r="M703" s="18" t="n">
        <v>274</v>
      </c>
      <c r="N703" s="18" t="n">
        <v>274</v>
      </c>
      <c r="O703" s="18" t="n">
        <v>0</v>
      </c>
      <c r="P703" s="17" t="n">
        <v>45673</v>
      </c>
      <c r="Q703" s="17" t="n">
        <v>45673</v>
      </c>
      <c r="R703" s="17" t="n">
        <v>45673</v>
      </c>
      <c r="S703" s="19">
        <f>H703*I703</f>
        <v/>
      </c>
      <c r="T703" s="19">
        <f>H703*J703</f>
        <v/>
      </c>
      <c r="U703">
        <f>IF(AND(K703=0,G703&lt;=Assumptions!$C$6),1,0)</f>
        <v/>
      </c>
      <c r="V703">
        <f>IF(U703=1,IF(M703&gt;0,IF(P703&lt;=G703+Assumptions!$C$7,1,0),0),0)</f>
        <v/>
      </c>
      <c r="W703">
        <f>IF(AND(U703=1,M703&gt;=H703*(1-Assumptions!$C$8)),1,0)</f>
        <v/>
      </c>
      <c r="X703">
        <f>IF(AND(U703=1,N703&gt;=H703*(1-Assumptions!$C$8)),1,0)</f>
        <v/>
      </c>
      <c r="Y703">
        <f>IF(ISNUMBER(Q703),1,0)</f>
        <v/>
      </c>
      <c r="Z703">
        <f>IF(AND(K703=0,L703=0,Y703=0),1,0)</f>
        <v/>
      </c>
      <c r="AA703">
        <f>IF(AND(Z703=1,G703&lt;Assumptions!$C$6),1,0)</f>
        <v/>
      </c>
      <c r="AB703">
        <f>IF(U703=0,"",IF(Y703=1,MAX(0,Q703-G703),IF(L703=1,MAX(0,R703-G703),MAX(0,Assumptions!$C$6-G703))))</f>
        <v/>
      </c>
      <c r="AC703">
        <f>IF(Y703=1,Q703-F703,"")</f>
        <v/>
      </c>
      <c r="AD703">
        <f>IF(Y703=1,AC703^2,"")</f>
        <v/>
      </c>
      <c r="AE703" s="19">
        <f>IF(Z703=1,(H703-M703)*I703,0)</f>
        <v/>
      </c>
      <c r="AF703">
        <f>IF(G703&lt;EDATE(Assumptions!$C$6,-12)+1,"prior_12m","last_12m")</f>
        <v/>
      </c>
      <c r="AG703" s="21">
        <f>DATE(YEAR(G703),MONTH(G703),1)</f>
        <v/>
      </c>
    </row>
    <row r="704">
      <c r="A704" t="inlineStr">
        <is>
          <t>SPO-00388-2</t>
        </is>
      </c>
      <c r="B704" t="inlineStr">
        <is>
          <t>SPO-00388</t>
        </is>
      </c>
      <c r="C704" t="inlineStr">
        <is>
          <t>SUP-07</t>
        </is>
      </c>
      <c r="D704" t="inlineStr">
        <is>
          <t>MRO</t>
        </is>
      </c>
      <c r="E704" t="inlineStr">
        <is>
          <t>MRO-05</t>
        </is>
      </c>
      <c r="F704" s="17" t="n">
        <v>45667</v>
      </c>
      <c r="G704" s="17" t="n">
        <v>45677</v>
      </c>
      <c r="H704" s="18" t="n">
        <v>61</v>
      </c>
      <c r="I704" s="19" t="n">
        <v>37.2</v>
      </c>
      <c r="J704" s="19" t="n">
        <v>36</v>
      </c>
      <c r="K704" s="20" t="n">
        <v>0</v>
      </c>
      <c r="L704" s="20" t="n">
        <v>0</v>
      </c>
      <c r="M704" s="18" t="n">
        <v>61</v>
      </c>
      <c r="N704" s="18" t="n">
        <v>61</v>
      </c>
      <c r="O704" s="18" t="n">
        <v>0</v>
      </c>
      <c r="P704" s="17" t="n">
        <v>45672</v>
      </c>
      <c r="Q704" s="17" t="n">
        <v>45672</v>
      </c>
      <c r="R704" s="17" t="n">
        <v>45672</v>
      </c>
      <c r="S704" s="19">
        <f>H704*I704</f>
        <v/>
      </c>
      <c r="T704" s="19">
        <f>H704*J704</f>
        <v/>
      </c>
      <c r="U704">
        <f>IF(AND(K704=0,G704&lt;=Assumptions!$C$6),1,0)</f>
        <v/>
      </c>
      <c r="V704">
        <f>IF(U704=1,IF(M704&gt;0,IF(P704&lt;=G704+Assumptions!$C$7,1,0),0),0)</f>
        <v/>
      </c>
      <c r="W704">
        <f>IF(AND(U704=1,M704&gt;=H704*(1-Assumptions!$C$8)),1,0)</f>
        <v/>
      </c>
      <c r="X704">
        <f>IF(AND(U704=1,N704&gt;=H704*(1-Assumptions!$C$8)),1,0)</f>
        <v/>
      </c>
      <c r="Y704">
        <f>IF(ISNUMBER(Q704),1,0)</f>
        <v/>
      </c>
      <c r="Z704">
        <f>IF(AND(K704=0,L704=0,Y704=0),1,0)</f>
        <v/>
      </c>
      <c r="AA704">
        <f>IF(AND(Z704=1,G704&lt;Assumptions!$C$6),1,0)</f>
        <v/>
      </c>
      <c r="AB704">
        <f>IF(U704=0,"",IF(Y704=1,MAX(0,Q704-G704),IF(L704=1,MAX(0,R704-G704),MAX(0,Assumptions!$C$6-G704))))</f>
        <v/>
      </c>
      <c r="AC704">
        <f>IF(Y704=1,Q704-F704,"")</f>
        <v/>
      </c>
      <c r="AD704">
        <f>IF(Y704=1,AC704^2,"")</f>
        <v/>
      </c>
      <c r="AE704" s="19">
        <f>IF(Z704=1,(H704-M704)*I704,0)</f>
        <v/>
      </c>
      <c r="AF704">
        <f>IF(G704&lt;EDATE(Assumptions!$C$6,-12)+1,"prior_12m","last_12m")</f>
        <v/>
      </c>
      <c r="AG704" s="21">
        <f>DATE(YEAR(G704),MONTH(G704),1)</f>
        <v/>
      </c>
    </row>
    <row r="705">
      <c r="A705" t="inlineStr">
        <is>
          <t>SPO-00388-3</t>
        </is>
      </c>
      <c r="B705" t="inlineStr">
        <is>
          <t>SPO-00388</t>
        </is>
      </c>
      <c r="C705" t="inlineStr">
        <is>
          <t>SUP-07</t>
        </is>
      </c>
      <c r="D705" t="inlineStr">
        <is>
          <t>MRO</t>
        </is>
      </c>
      <c r="E705" t="inlineStr">
        <is>
          <t>MRO-03</t>
        </is>
      </c>
      <c r="F705" s="17" t="n">
        <v>45667</v>
      </c>
      <c r="G705" s="17" t="n">
        <v>45677</v>
      </c>
      <c r="H705" s="18" t="n">
        <v>320</v>
      </c>
      <c r="I705" s="19" t="n">
        <v>8.699999999999999</v>
      </c>
      <c r="J705" s="19" t="n">
        <v>8.9</v>
      </c>
      <c r="K705" s="20" t="n">
        <v>0</v>
      </c>
      <c r="L705" s="20" t="n">
        <v>0</v>
      </c>
      <c r="M705" s="18" t="n">
        <v>320</v>
      </c>
      <c r="N705" s="18" t="n">
        <v>189</v>
      </c>
      <c r="O705" s="18" t="n">
        <v>0</v>
      </c>
      <c r="P705" s="17" t="n">
        <v>45674</v>
      </c>
      <c r="Q705" s="17" t="n">
        <v>45691</v>
      </c>
      <c r="R705" s="17" t="n">
        <v>45691</v>
      </c>
      <c r="S705" s="19">
        <f>H705*I705</f>
        <v/>
      </c>
      <c r="T705" s="19">
        <f>H705*J705</f>
        <v/>
      </c>
      <c r="U705">
        <f>IF(AND(K705=0,G705&lt;=Assumptions!$C$6),1,0)</f>
        <v/>
      </c>
      <c r="V705">
        <f>IF(U705=1,IF(M705&gt;0,IF(P705&lt;=G705+Assumptions!$C$7,1,0),0),0)</f>
        <v/>
      </c>
      <c r="W705">
        <f>IF(AND(U705=1,M705&gt;=H705*(1-Assumptions!$C$8)),1,0)</f>
        <v/>
      </c>
      <c r="X705">
        <f>IF(AND(U705=1,N705&gt;=H705*(1-Assumptions!$C$8)),1,0)</f>
        <v/>
      </c>
      <c r="Y705">
        <f>IF(ISNUMBER(Q705),1,0)</f>
        <v/>
      </c>
      <c r="Z705">
        <f>IF(AND(K705=0,L705=0,Y705=0),1,0)</f>
        <v/>
      </c>
      <c r="AA705">
        <f>IF(AND(Z705=1,G705&lt;Assumptions!$C$6),1,0)</f>
        <v/>
      </c>
      <c r="AB705">
        <f>IF(U705=0,"",IF(Y705=1,MAX(0,Q705-G705),IF(L705=1,MAX(0,R705-G705),MAX(0,Assumptions!$C$6-G705))))</f>
        <v/>
      </c>
      <c r="AC705">
        <f>IF(Y705=1,Q705-F705,"")</f>
        <v/>
      </c>
      <c r="AD705">
        <f>IF(Y705=1,AC705^2,"")</f>
        <v/>
      </c>
      <c r="AE705" s="19">
        <f>IF(Z705=1,(H705-M705)*I705,0)</f>
        <v/>
      </c>
      <c r="AF705">
        <f>IF(G705&lt;EDATE(Assumptions!$C$6,-12)+1,"prior_12m","last_12m")</f>
        <v/>
      </c>
      <c r="AG705" s="21">
        <f>DATE(YEAR(G705),MONTH(G705),1)</f>
        <v/>
      </c>
    </row>
    <row r="706">
      <c r="A706" t="inlineStr">
        <is>
          <t>SPO-00389-1</t>
        </is>
      </c>
      <c r="B706" t="inlineStr">
        <is>
          <t>SPO-00389</t>
        </is>
      </c>
      <c r="C706" t="inlineStr">
        <is>
          <t>SUP-01</t>
        </is>
      </c>
      <c r="D706" t="inlineStr">
        <is>
          <t>ELEC</t>
        </is>
      </c>
      <c r="E706" t="inlineStr">
        <is>
          <t>ELEC-02</t>
        </is>
      </c>
      <c r="F706" s="17" t="n">
        <v>45667</v>
      </c>
      <c r="G706" s="17" t="n">
        <v>45685</v>
      </c>
      <c r="H706" s="18" t="n">
        <v>1144</v>
      </c>
      <c r="I706" s="19" t="n">
        <v>4.25</v>
      </c>
      <c r="J706" s="19" t="n">
        <v>4.2</v>
      </c>
      <c r="K706" s="20" t="n">
        <v>0</v>
      </c>
      <c r="L706" s="20" t="n">
        <v>0</v>
      </c>
      <c r="M706" s="18" t="n">
        <v>1144</v>
      </c>
      <c r="N706" s="18" t="n">
        <v>1144</v>
      </c>
      <c r="O706" s="18" t="n">
        <v>0</v>
      </c>
      <c r="P706" s="17" t="n">
        <v>45681</v>
      </c>
      <c r="Q706" s="17" t="n">
        <v>45681</v>
      </c>
      <c r="R706" s="17" t="n">
        <v>45681</v>
      </c>
      <c r="S706" s="19">
        <f>H706*I706</f>
        <v/>
      </c>
      <c r="T706" s="19">
        <f>H706*J706</f>
        <v/>
      </c>
      <c r="U706">
        <f>IF(AND(K706=0,G706&lt;=Assumptions!$C$6),1,0)</f>
        <v/>
      </c>
      <c r="V706">
        <f>IF(U706=1,IF(M706&gt;0,IF(P706&lt;=G706+Assumptions!$C$7,1,0),0),0)</f>
        <v/>
      </c>
      <c r="W706">
        <f>IF(AND(U706=1,M706&gt;=H706*(1-Assumptions!$C$8)),1,0)</f>
        <v/>
      </c>
      <c r="X706">
        <f>IF(AND(U706=1,N706&gt;=H706*(1-Assumptions!$C$8)),1,0)</f>
        <v/>
      </c>
      <c r="Y706">
        <f>IF(ISNUMBER(Q706),1,0)</f>
        <v/>
      </c>
      <c r="Z706">
        <f>IF(AND(K706=0,L706=0,Y706=0),1,0)</f>
        <v/>
      </c>
      <c r="AA706">
        <f>IF(AND(Z706=1,G706&lt;Assumptions!$C$6),1,0)</f>
        <v/>
      </c>
      <c r="AB706">
        <f>IF(U706=0,"",IF(Y706=1,MAX(0,Q706-G706),IF(L706=1,MAX(0,R706-G706),MAX(0,Assumptions!$C$6-G706))))</f>
        <v/>
      </c>
      <c r="AC706">
        <f>IF(Y706=1,Q706-F706,"")</f>
        <v/>
      </c>
      <c r="AD706">
        <f>IF(Y706=1,AC706^2,"")</f>
        <v/>
      </c>
      <c r="AE706" s="19">
        <f>IF(Z706=1,(H706-M706)*I706,0)</f>
        <v/>
      </c>
      <c r="AF706">
        <f>IF(G706&lt;EDATE(Assumptions!$C$6,-12)+1,"prior_12m","last_12m")</f>
        <v/>
      </c>
      <c r="AG706" s="21">
        <f>DATE(YEAR(G706),MONTH(G706),1)</f>
        <v/>
      </c>
    </row>
    <row r="707">
      <c r="A707" t="inlineStr">
        <is>
          <t>SPO-00390-1</t>
        </is>
      </c>
      <c r="B707" t="inlineStr">
        <is>
          <t>SPO-00390</t>
        </is>
      </c>
      <c r="C707" t="inlineStr">
        <is>
          <t>SUP-08</t>
        </is>
      </c>
      <c r="D707" t="inlineStr">
        <is>
          <t>PPE</t>
        </is>
      </c>
      <c r="E707" t="inlineStr">
        <is>
          <t>PPE-04</t>
        </is>
      </c>
      <c r="F707" s="17" t="n">
        <v>45668</v>
      </c>
      <c r="G707" s="17" t="n">
        <v>45679</v>
      </c>
      <c r="H707" s="18" t="n">
        <v>43</v>
      </c>
      <c r="I707" s="19" t="n">
        <v>26.72</v>
      </c>
      <c r="J707" s="19" t="n">
        <v>26</v>
      </c>
      <c r="K707" s="20" t="n">
        <v>0</v>
      </c>
      <c r="L707" s="20" t="n">
        <v>0</v>
      </c>
      <c r="M707" s="18" t="n">
        <v>43</v>
      </c>
      <c r="N707" s="18" t="n">
        <v>43</v>
      </c>
      <c r="O707" s="18" t="n">
        <v>0</v>
      </c>
      <c r="P707" s="17" t="n">
        <v>45676</v>
      </c>
      <c r="Q707" s="17" t="n">
        <v>45676</v>
      </c>
      <c r="R707" s="17" t="n">
        <v>45676</v>
      </c>
      <c r="S707" s="19">
        <f>H707*I707</f>
        <v/>
      </c>
      <c r="T707" s="19">
        <f>H707*J707</f>
        <v/>
      </c>
      <c r="U707">
        <f>IF(AND(K707=0,G707&lt;=Assumptions!$C$6),1,0)</f>
        <v/>
      </c>
      <c r="V707">
        <f>IF(U707=1,IF(M707&gt;0,IF(P707&lt;=G707+Assumptions!$C$7,1,0),0),0)</f>
        <v/>
      </c>
      <c r="W707">
        <f>IF(AND(U707=1,M707&gt;=H707*(1-Assumptions!$C$8)),1,0)</f>
        <v/>
      </c>
      <c r="X707">
        <f>IF(AND(U707=1,N707&gt;=H707*(1-Assumptions!$C$8)),1,0)</f>
        <v/>
      </c>
      <c r="Y707">
        <f>IF(ISNUMBER(Q707),1,0)</f>
        <v/>
      </c>
      <c r="Z707">
        <f>IF(AND(K707=0,L707=0,Y707=0),1,0)</f>
        <v/>
      </c>
      <c r="AA707">
        <f>IF(AND(Z707=1,G707&lt;Assumptions!$C$6),1,0)</f>
        <v/>
      </c>
      <c r="AB707">
        <f>IF(U707=0,"",IF(Y707=1,MAX(0,Q707-G707),IF(L707=1,MAX(0,R707-G707),MAX(0,Assumptions!$C$6-G707))))</f>
        <v/>
      </c>
      <c r="AC707">
        <f>IF(Y707=1,Q707-F707,"")</f>
        <v/>
      </c>
      <c r="AD707">
        <f>IF(Y707=1,AC707^2,"")</f>
        <v/>
      </c>
      <c r="AE707" s="19">
        <f>IF(Z707=1,(H707-M707)*I707,0)</f>
        <v/>
      </c>
      <c r="AF707">
        <f>IF(G707&lt;EDATE(Assumptions!$C$6,-12)+1,"prior_12m","last_12m")</f>
        <v/>
      </c>
      <c r="AG707" s="21">
        <f>DATE(YEAR(G707),MONTH(G707),1)</f>
        <v/>
      </c>
    </row>
    <row r="708">
      <c r="A708" t="inlineStr">
        <is>
          <t>SPO-00391-1</t>
        </is>
      </c>
      <c r="B708" t="inlineStr">
        <is>
          <t>SPO-00391</t>
        </is>
      </c>
      <c r="C708" t="inlineStr">
        <is>
          <t>SUP-02</t>
        </is>
      </c>
      <c r="D708" t="inlineStr">
        <is>
          <t>ELEC</t>
        </is>
      </c>
      <c r="E708" t="inlineStr">
        <is>
          <t>ELEC-08</t>
        </is>
      </c>
      <c r="F708" s="17" t="n">
        <v>45668</v>
      </c>
      <c r="G708" s="17" t="n">
        <v>45684</v>
      </c>
      <c r="H708" s="18" t="n">
        <v>183</v>
      </c>
      <c r="I708" s="19" t="n">
        <v>18.34</v>
      </c>
      <c r="J708" s="19" t="n">
        <v>18</v>
      </c>
      <c r="K708" s="20" t="n">
        <v>0</v>
      </c>
      <c r="L708" s="20" t="n">
        <v>0</v>
      </c>
      <c r="M708" s="18" t="n">
        <v>183</v>
      </c>
      <c r="N708" s="18" t="n">
        <v>183</v>
      </c>
      <c r="O708" s="18" t="n">
        <v>0</v>
      </c>
      <c r="P708" s="17" t="n">
        <v>45677</v>
      </c>
      <c r="Q708" s="17" t="n">
        <v>45677</v>
      </c>
      <c r="R708" s="17" t="n">
        <v>45677</v>
      </c>
      <c r="S708" s="19">
        <f>H708*I708</f>
        <v/>
      </c>
      <c r="T708" s="19">
        <f>H708*J708</f>
        <v/>
      </c>
      <c r="U708">
        <f>IF(AND(K708=0,G708&lt;=Assumptions!$C$6),1,0)</f>
        <v/>
      </c>
      <c r="V708">
        <f>IF(U708=1,IF(M708&gt;0,IF(P708&lt;=G708+Assumptions!$C$7,1,0),0),0)</f>
        <v/>
      </c>
      <c r="W708">
        <f>IF(AND(U708=1,M708&gt;=H708*(1-Assumptions!$C$8)),1,0)</f>
        <v/>
      </c>
      <c r="X708">
        <f>IF(AND(U708=1,N708&gt;=H708*(1-Assumptions!$C$8)),1,0)</f>
        <v/>
      </c>
      <c r="Y708">
        <f>IF(ISNUMBER(Q708),1,0)</f>
        <v/>
      </c>
      <c r="Z708">
        <f>IF(AND(K708=0,L708=0,Y708=0),1,0)</f>
        <v/>
      </c>
      <c r="AA708">
        <f>IF(AND(Z708=1,G708&lt;Assumptions!$C$6),1,0)</f>
        <v/>
      </c>
      <c r="AB708">
        <f>IF(U708=0,"",IF(Y708=1,MAX(0,Q708-G708),IF(L708=1,MAX(0,R708-G708),MAX(0,Assumptions!$C$6-G708))))</f>
        <v/>
      </c>
      <c r="AC708">
        <f>IF(Y708=1,Q708-F708,"")</f>
        <v/>
      </c>
      <c r="AD708">
        <f>IF(Y708=1,AC708^2,"")</f>
        <v/>
      </c>
      <c r="AE708" s="19">
        <f>IF(Z708=1,(H708-M708)*I708,0)</f>
        <v/>
      </c>
      <c r="AF708">
        <f>IF(G708&lt;EDATE(Assumptions!$C$6,-12)+1,"prior_12m","last_12m")</f>
        <v/>
      </c>
      <c r="AG708" s="21">
        <f>DATE(YEAR(G708),MONTH(G708),1)</f>
        <v/>
      </c>
    </row>
    <row r="709">
      <c r="A709" t="inlineStr">
        <is>
          <t>SPO-00391-2</t>
        </is>
      </c>
      <c r="B709" t="inlineStr">
        <is>
          <t>SPO-00391</t>
        </is>
      </c>
      <c r="C709" t="inlineStr">
        <is>
          <t>SUP-02</t>
        </is>
      </c>
      <c r="D709" t="inlineStr">
        <is>
          <t>ELEC</t>
        </is>
      </c>
      <c r="E709" t="inlineStr">
        <is>
          <t>ELEC-07</t>
        </is>
      </c>
      <c r="F709" s="17" t="n">
        <v>45668</v>
      </c>
      <c r="G709" s="17" t="n">
        <v>45684</v>
      </c>
      <c r="H709" s="18" t="n">
        <v>214</v>
      </c>
      <c r="I709" s="19" t="n">
        <v>9.73</v>
      </c>
      <c r="J709" s="19" t="n">
        <v>9.800000000000001</v>
      </c>
      <c r="K709" s="20" t="n">
        <v>0</v>
      </c>
      <c r="L709" s="20" t="n">
        <v>0</v>
      </c>
      <c r="M709" s="18" t="n">
        <v>214</v>
      </c>
      <c r="N709" s="18" t="n">
        <v>214</v>
      </c>
      <c r="O709" s="18" t="n">
        <v>0</v>
      </c>
      <c r="P709" s="17" t="n">
        <v>45682</v>
      </c>
      <c r="Q709" s="17" t="n">
        <v>45682</v>
      </c>
      <c r="R709" s="17" t="n">
        <v>45682</v>
      </c>
      <c r="S709" s="19">
        <f>H709*I709</f>
        <v/>
      </c>
      <c r="T709" s="19">
        <f>H709*J709</f>
        <v/>
      </c>
      <c r="U709">
        <f>IF(AND(K709=0,G709&lt;=Assumptions!$C$6),1,0)</f>
        <v/>
      </c>
      <c r="V709">
        <f>IF(U709=1,IF(M709&gt;0,IF(P709&lt;=G709+Assumptions!$C$7,1,0),0),0)</f>
        <v/>
      </c>
      <c r="W709">
        <f>IF(AND(U709=1,M709&gt;=H709*(1-Assumptions!$C$8)),1,0)</f>
        <v/>
      </c>
      <c r="X709">
        <f>IF(AND(U709=1,N709&gt;=H709*(1-Assumptions!$C$8)),1,0)</f>
        <v/>
      </c>
      <c r="Y709">
        <f>IF(ISNUMBER(Q709),1,0)</f>
        <v/>
      </c>
      <c r="Z709">
        <f>IF(AND(K709=0,L709=0,Y709=0),1,0)</f>
        <v/>
      </c>
      <c r="AA709">
        <f>IF(AND(Z709=1,G709&lt;Assumptions!$C$6),1,0)</f>
        <v/>
      </c>
      <c r="AB709">
        <f>IF(U709=0,"",IF(Y709=1,MAX(0,Q709-G709),IF(L709=1,MAX(0,R709-G709),MAX(0,Assumptions!$C$6-G709))))</f>
        <v/>
      </c>
      <c r="AC709">
        <f>IF(Y709=1,Q709-F709,"")</f>
        <v/>
      </c>
      <c r="AD709">
        <f>IF(Y709=1,AC709^2,"")</f>
        <v/>
      </c>
      <c r="AE709" s="19">
        <f>IF(Z709=1,(H709-M709)*I709,0)</f>
        <v/>
      </c>
      <c r="AF709">
        <f>IF(G709&lt;EDATE(Assumptions!$C$6,-12)+1,"prior_12m","last_12m")</f>
        <v/>
      </c>
      <c r="AG709" s="21">
        <f>DATE(YEAR(G709),MONTH(G709),1)</f>
        <v/>
      </c>
    </row>
    <row r="710">
      <c r="A710" t="inlineStr">
        <is>
          <t>SPO-00392-1</t>
        </is>
      </c>
      <c r="B710" t="inlineStr">
        <is>
          <t>SPO-00392</t>
        </is>
      </c>
      <c r="C710" t="inlineStr">
        <is>
          <t>SUP-05</t>
        </is>
      </c>
      <c r="D710" t="inlineStr">
        <is>
          <t>FLEET</t>
        </is>
      </c>
      <c r="E710" t="inlineStr">
        <is>
          <t>FLEET-02</t>
        </is>
      </c>
      <c r="F710" s="17" t="n">
        <v>45668</v>
      </c>
      <c r="G710" s="17" t="n">
        <v>45682</v>
      </c>
      <c r="H710" s="18" t="n">
        <v>188</v>
      </c>
      <c r="I710" s="19" t="n">
        <v>7.77</v>
      </c>
      <c r="J710" s="19" t="n">
        <v>7.5</v>
      </c>
      <c r="K710" s="20" t="n">
        <v>0</v>
      </c>
      <c r="L710" s="20" t="n">
        <v>0</v>
      </c>
      <c r="M710" s="18" t="n">
        <v>188</v>
      </c>
      <c r="N710" s="18" t="n">
        <v>188</v>
      </c>
      <c r="O710" s="18" t="n">
        <v>0</v>
      </c>
      <c r="P710" s="17" t="n">
        <v>45679</v>
      </c>
      <c r="Q710" s="17" t="n">
        <v>45679</v>
      </c>
      <c r="R710" s="17" t="n">
        <v>45679</v>
      </c>
      <c r="S710" s="19">
        <f>H710*I710</f>
        <v/>
      </c>
      <c r="T710" s="19">
        <f>H710*J710</f>
        <v/>
      </c>
      <c r="U710">
        <f>IF(AND(K710=0,G710&lt;=Assumptions!$C$6),1,0)</f>
        <v/>
      </c>
      <c r="V710">
        <f>IF(U710=1,IF(M710&gt;0,IF(P710&lt;=G710+Assumptions!$C$7,1,0),0),0)</f>
        <v/>
      </c>
      <c r="W710">
        <f>IF(AND(U710=1,M710&gt;=H710*(1-Assumptions!$C$8)),1,0)</f>
        <v/>
      </c>
      <c r="X710">
        <f>IF(AND(U710=1,N710&gt;=H710*(1-Assumptions!$C$8)),1,0)</f>
        <v/>
      </c>
      <c r="Y710">
        <f>IF(ISNUMBER(Q710),1,0)</f>
        <v/>
      </c>
      <c r="Z710">
        <f>IF(AND(K710=0,L710=0,Y710=0),1,0)</f>
        <v/>
      </c>
      <c r="AA710">
        <f>IF(AND(Z710=1,G710&lt;Assumptions!$C$6),1,0)</f>
        <v/>
      </c>
      <c r="AB710">
        <f>IF(U710=0,"",IF(Y710=1,MAX(0,Q710-G710),IF(L710=1,MAX(0,R710-G710),MAX(0,Assumptions!$C$6-G710))))</f>
        <v/>
      </c>
      <c r="AC710">
        <f>IF(Y710=1,Q710-F710,"")</f>
        <v/>
      </c>
      <c r="AD710">
        <f>IF(Y710=1,AC710^2,"")</f>
        <v/>
      </c>
      <c r="AE710" s="19">
        <f>IF(Z710=1,(H710-M710)*I710,0)</f>
        <v/>
      </c>
      <c r="AF710">
        <f>IF(G710&lt;EDATE(Assumptions!$C$6,-12)+1,"prior_12m","last_12m")</f>
        <v/>
      </c>
      <c r="AG710" s="21">
        <f>DATE(YEAR(G710),MONTH(G710),1)</f>
        <v/>
      </c>
    </row>
    <row r="711">
      <c r="A711" t="inlineStr">
        <is>
          <t>SPO-00393-1</t>
        </is>
      </c>
      <c r="B711" t="inlineStr">
        <is>
          <t>SPO-00393</t>
        </is>
      </c>
      <c r="C711" t="inlineStr">
        <is>
          <t>SUP-09</t>
        </is>
      </c>
      <c r="D711" t="inlineStr">
        <is>
          <t>CHEM</t>
        </is>
      </c>
      <c r="E711" t="inlineStr">
        <is>
          <t>CHEM-05</t>
        </is>
      </c>
      <c r="F711" s="17" t="n">
        <v>45668</v>
      </c>
      <c r="G711" s="17" t="n">
        <v>45682</v>
      </c>
      <c r="H711" s="18" t="n">
        <v>1</v>
      </c>
      <c r="I711" s="19" t="n">
        <v>997.77</v>
      </c>
      <c r="J711" s="19" t="n">
        <v>930</v>
      </c>
      <c r="K711" s="20" t="n">
        <v>0</v>
      </c>
      <c r="L711" s="20" t="n">
        <v>0</v>
      </c>
      <c r="M711" s="18" t="n">
        <v>1</v>
      </c>
      <c r="N711" s="18" t="n">
        <v>1</v>
      </c>
      <c r="O711" s="18" t="n">
        <v>0</v>
      </c>
      <c r="P711" s="17" t="n">
        <v>45681</v>
      </c>
      <c r="Q711" s="17" t="n">
        <v>45681</v>
      </c>
      <c r="R711" s="17" t="n">
        <v>45681</v>
      </c>
      <c r="S711" s="19">
        <f>H711*I711</f>
        <v/>
      </c>
      <c r="T711" s="19">
        <f>H711*J711</f>
        <v/>
      </c>
      <c r="U711">
        <f>IF(AND(K711=0,G711&lt;=Assumptions!$C$6),1,0)</f>
        <v/>
      </c>
      <c r="V711">
        <f>IF(U711=1,IF(M711&gt;0,IF(P711&lt;=G711+Assumptions!$C$7,1,0),0),0)</f>
        <v/>
      </c>
      <c r="W711">
        <f>IF(AND(U711=1,M711&gt;=H711*(1-Assumptions!$C$8)),1,0)</f>
        <v/>
      </c>
      <c r="X711">
        <f>IF(AND(U711=1,N711&gt;=H711*(1-Assumptions!$C$8)),1,0)</f>
        <v/>
      </c>
      <c r="Y711">
        <f>IF(ISNUMBER(Q711),1,0)</f>
        <v/>
      </c>
      <c r="Z711">
        <f>IF(AND(K711=0,L711=0,Y711=0),1,0)</f>
        <v/>
      </c>
      <c r="AA711">
        <f>IF(AND(Z711=1,G711&lt;Assumptions!$C$6),1,0)</f>
        <v/>
      </c>
      <c r="AB711">
        <f>IF(U711=0,"",IF(Y711=1,MAX(0,Q711-G711),IF(L711=1,MAX(0,R711-G711),MAX(0,Assumptions!$C$6-G711))))</f>
        <v/>
      </c>
      <c r="AC711">
        <f>IF(Y711=1,Q711-F711,"")</f>
        <v/>
      </c>
      <c r="AD711">
        <f>IF(Y711=1,AC711^2,"")</f>
        <v/>
      </c>
      <c r="AE711" s="19">
        <f>IF(Z711=1,(H711-M711)*I711,0)</f>
        <v/>
      </c>
      <c r="AF711">
        <f>IF(G711&lt;EDATE(Assumptions!$C$6,-12)+1,"prior_12m","last_12m")</f>
        <v/>
      </c>
      <c r="AG711" s="21">
        <f>DATE(YEAR(G711),MONTH(G711),1)</f>
        <v/>
      </c>
    </row>
    <row r="712">
      <c r="A712" t="inlineStr">
        <is>
          <t>SPO-00393-2</t>
        </is>
      </c>
      <c r="B712" t="inlineStr">
        <is>
          <t>SPO-00393</t>
        </is>
      </c>
      <c r="C712" t="inlineStr">
        <is>
          <t>SUP-09</t>
        </is>
      </c>
      <c r="D712" t="inlineStr">
        <is>
          <t>CHEM</t>
        </is>
      </c>
      <c r="E712" t="inlineStr">
        <is>
          <t>CHEM-03</t>
        </is>
      </c>
      <c r="F712" s="17" t="n">
        <v>45668</v>
      </c>
      <c r="G712" s="17" t="n">
        <v>45682</v>
      </c>
      <c r="H712" s="18" t="n">
        <v>5</v>
      </c>
      <c r="I712" s="19" t="n">
        <v>268.07</v>
      </c>
      <c r="J712" s="19" t="n">
        <v>265</v>
      </c>
      <c r="K712" s="20" t="n">
        <v>0</v>
      </c>
      <c r="L712" s="20" t="n">
        <v>0</v>
      </c>
      <c r="M712" s="18" t="n">
        <v>5</v>
      </c>
      <c r="N712" s="18" t="n">
        <v>5</v>
      </c>
      <c r="O712" s="18" t="n">
        <v>0</v>
      </c>
      <c r="P712" s="17" t="n">
        <v>45676</v>
      </c>
      <c r="Q712" s="17" t="n">
        <v>45682</v>
      </c>
      <c r="R712" s="17" t="n">
        <v>45682</v>
      </c>
      <c r="S712" s="19">
        <f>H712*I712</f>
        <v/>
      </c>
      <c r="T712" s="19">
        <f>H712*J712</f>
        <v/>
      </c>
      <c r="U712">
        <f>IF(AND(K712=0,G712&lt;=Assumptions!$C$6),1,0)</f>
        <v/>
      </c>
      <c r="V712">
        <f>IF(U712=1,IF(M712&gt;0,IF(P712&lt;=G712+Assumptions!$C$7,1,0),0),0)</f>
        <v/>
      </c>
      <c r="W712">
        <f>IF(AND(U712=1,M712&gt;=H712*(1-Assumptions!$C$8)),1,0)</f>
        <v/>
      </c>
      <c r="X712">
        <f>IF(AND(U712=1,N712&gt;=H712*(1-Assumptions!$C$8)),1,0)</f>
        <v/>
      </c>
      <c r="Y712">
        <f>IF(ISNUMBER(Q712),1,0)</f>
        <v/>
      </c>
      <c r="Z712">
        <f>IF(AND(K712=0,L712=0,Y712=0),1,0)</f>
        <v/>
      </c>
      <c r="AA712">
        <f>IF(AND(Z712=1,G712&lt;Assumptions!$C$6),1,0)</f>
        <v/>
      </c>
      <c r="AB712">
        <f>IF(U712=0,"",IF(Y712=1,MAX(0,Q712-G712),IF(L712=1,MAX(0,R712-G712),MAX(0,Assumptions!$C$6-G712))))</f>
        <v/>
      </c>
      <c r="AC712">
        <f>IF(Y712=1,Q712-F712,"")</f>
        <v/>
      </c>
      <c r="AD712">
        <f>IF(Y712=1,AC712^2,"")</f>
        <v/>
      </c>
      <c r="AE712" s="19">
        <f>IF(Z712=1,(H712-M712)*I712,0)</f>
        <v/>
      </c>
      <c r="AF712">
        <f>IF(G712&lt;EDATE(Assumptions!$C$6,-12)+1,"prior_12m","last_12m")</f>
        <v/>
      </c>
      <c r="AG712" s="21">
        <f>DATE(YEAR(G712),MONTH(G712),1)</f>
        <v/>
      </c>
    </row>
    <row r="713">
      <c r="A713" t="inlineStr">
        <is>
          <t>SPO-00394-1</t>
        </is>
      </c>
      <c r="B713" t="inlineStr">
        <is>
          <t>SPO-00394</t>
        </is>
      </c>
      <c r="C713" t="inlineStr">
        <is>
          <t>SUP-08</t>
        </is>
      </c>
      <c r="D713" t="inlineStr">
        <is>
          <t>PPE</t>
        </is>
      </c>
      <c r="E713" t="inlineStr">
        <is>
          <t>PPE-03</t>
        </is>
      </c>
      <c r="F713" s="17" t="n">
        <v>45669</v>
      </c>
      <c r="G713" s="17" t="n">
        <v>45680</v>
      </c>
      <c r="H713" s="18" t="n">
        <v>30</v>
      </c>
      <c r="I713" s="19" t="n">
        <v>21.83</v>
      </c>
      <c r="J713" s="19" t="n">
        <v>21</v>
      </c>
      <c r="K713" s="20" t="n">
        <v>0</v>
      </c>
      <c r="L713" s="20" t="n">
        <v>0</v>
      </c>
      <c r="M713" s="18" t="n">
        <v>30</v>
      </c>
      <c r="N713" s="18" t="n">
        <v>30</v>
      </c>
      <c r="O713" s="18" t="n">
        <v>0</v>
      </c>
      <c r="P713" s="17" t="n">
        <v>45676</v>
      </c>
      <c r="Q713" s="17" t="n">
        <v>45676</v>
      </c>
      <c r="R713" s="17" t="n">
        <v>45676</v>
      </c>
      <c r="S713" s="19">
        <f>H713*I713</f>
        <v/>
      </c>
      <c r="T713" s="19">
        <f>H713*J713</f>
        <v/>
      </c>
      <c r="U713">
        <f>IF(AND(K713=0,G713&lt;=Assumptions!$C$6),1,0)</f>
        <v/>
      </c>
      <c r="V713">
        <f>IF(U713=1,IF(M713&gt;0,IF(P713&lt;=G713+Assumptions!$C$7,1,0),0),0)</f>
        <v/>
      </c>
      <c r="W713">
        <f>IF(AND(U713=1,M713&gt;=H713*(1-Assumptions!$C$8)),1,0)</f>
        <v/>
      </c>
      <c r="X713">
        <f>IF(AND(U713=1,N713&gt;=H713*(1-Assumptions!$C$8)),1,0)</f>
        <v/>
      </c>
      <c r="Y713">
        <f>IF(ISNUMBER(Q713),1,0)</f>
        <v/>
      </c>
      <c r="Z713">
        <f>IF(AND(K713=0,L713=0,Y713=0),1,0)</f>
        <v/>
      </c>
      <c r="AA713">
        <f>IF(AND(Z713=1,G713&lt;Assumptions!$C$6),1,0)</f>
        <v/>
      </c>
      <c r="AB713">
        <f>IF(U713=0,"",IF(Y713=1,MAX(0,Q713-G713),IF(L713=1,MAX(0,R713-G713),MAX(0,Assumptions!$C$6-G713))))</f>
        <v/>
      </c>
      <c r="AC713">
        <f>IF(Y713=1,Q713-F713,"")</f>
        <v/>
      </c>
      <c r="AD713">
        <f>IF(Y713=1,AC713^2,"")</f>
        <v/>
      </c>
      <c r="AE713" s="19">
        <f>IF(Z713=1,(H713-M713)*I713,0)</f>
        <v/>
      </c>
      <c r="AF713">
        <f>IF(G713&lt;EDATE(Assumptions!$C$6,-12)+1,"prior_12m","last_12m")</f>
        <v/>
      </c>
      <c r="AG713" s="21">
        <f>DATE(YEAR(G713),MONTH(G713),1)</f>
        <v/>
      </c>
    </row>
    <row r="714">
      <c r="A714" t="inlineStr">
        <is>
          <t>SPO-00395-1</t>
        </is>
      </c>
      <c r="B714" t="inlineStr">
        <is>
          <t>SPO-00395</t>
        </is>
      </c>
      <c r="C714" t="inlineStr">
        <is>
          <t>SUP-06</t>
        </is>
      </c>
      <c r="D714" t="inlineStr">
        <is>
          <t>MRO</t>
        </is>
      </c>
      <c r="E714" t="inlineStr">
        <is>
          <t>MRO-02</t>
        </is>
      </c>
      <c r="F714" s="17" t="n">
        <v>45669</v>
      </c>
      <c r="G714" s="17" t="n">
        <v>45677</v>
      </c>
      <c r="H714" s="18" t="n">
        <v>24</v>
      </c>
      <c r="I714" s="19" t="n">
        <v>39.28</v>
      </c>
      <c r="J714" s="19" t="n">
        <v>41</v>
      </c>
      <c r="K714" s="20" t="n">
        <v>0</v>
      </c>
      <c r="L714" s="20" t="n">
        <v>0</v>
      </c>
      <c r="M714" s="18" t="n">
        <v>24</v>
      </c>
      <c r="N714" s="18" t="n">
        <v>24</v>
      </c>
      <c r="O714" s="18" t="n">
        <v>0</v>
      </c>
      <c r="P714" s="17" t="n">
        <v>45675</v>
      </c>
      <c r="Q714" s="17" t="n">
        <v>45675</v>
      </c>
      <c r="R714" s="17" t="n">
        <v>45675</v>
      </c>
      <c r="S714" s="19">
        <f>H714*I714</f>
        <v/>
      </c>
      <c r="T714" s="19">
        <f>H714*J714</f>
        <v/>
      </c>
      <c r="U714">
        <f>IF(AND(K714=0,G714&lt;=Assumptions!$C$6),1,0)</f>
        <v/>
      </c>
      <c r="V714">
        <f>IF(U714=1,IF(M714&gt;0,IF(P714&lt;=G714+Assumptions!$C$7,1,0),0),0)</f>
        <v/>
      </c>
      <c r="W714">
        <f>IF(AND(U714=1,M714&gt;=H714*(1-Assumptions!$C$8)),1,0)</f>
        <v/>
      </c>
      <c r="X714">
        <f>IF(AND(U714=1,N714&gt;=H714*(1-Assumptions!$C$8)),1,0)</f>
        <v/>
      </c>
      <c r="Y714">
        <f>IF(ISNUMBER(Q714),1,0)</f>
        <v/>
      </c>
      <c r="Z714">
        <f>IF(AND(K714=0,L714=0,Y714=0),1,0)</f>
        <v/>
      </c>
      <c r="AA714">
        <f>IF(AND(Z714=1,G714&lt;Assumptions!$C$6),1,0)</f>
        <v/>
      </c>
      <c r="AB714">
        <f>IF(U714=0,"",IF(Y714=1,MAX(0,Q714-G714),IF(L714=1,MAX(0,R714-G714),MAX(0,Assumptions!$C$6-G714))))</f>
        <v/>
      </c>
      <c r="AC714">
        <f>IF(Y714=1,Q714-F714,"")</f>
        <v/>
      </c>
      <c r="AD714">
        <f>IF(Y714=1,AC714^2,"")</f>
        <v/>
      </c>
      <c r="AE714" s="19">
        <f>IF(Z714=1,(H714-M714)*I714,0)</f>
        <v/>
      </c>
      <c r="AF714">
        <f>IF(G714&lt;EDATE(Assumptions!$C$6,-12)+1,"prior_12m","last_12m")</f>
        <v/>
      </c>
      <c r="AG714" s="21">
        <f>DATE(YEAR(G714),MONTH(G714),1)</f>
        <v/>
      </c>
    </row>
    <row r="715">
      <c r="A715" t="inlineStr">
        <is>
          <t>SPO-00396-1</t>
        </is>
      </c>
      <c r="B715" t="inlineStr">
        <is>
          <t>SPO-00396</t>
        </is>
      </c>
      <c r="C715" t="inlineStr">
        <is>
          <t>SUP-08</t>
        </is>
      </c>
      <c r="D715" t="inlineStr">
        <is>
          <t>MRO</t>
        </is>
      </c>
      <c r="E715" t="inlineStr">
        <is>
          <t>MRO-05</t>
        </is>
      </c>
      <c r="F715" s="17" t="n">
        <v>45669</v>
      </c>
      <c r="G715" s="17" t="n">
        <v>45680</v>
      </c>
      <c r="H715" s="18" t="n">
        <v>25</v>
      </c>
      <c r="I715" s="19" t="n">
        <v>36.34</v>
      </c>
      <c r="J715" s="19" t="n">
        <v>36</v>
      </c>
      <c r="K715" s="20" t="n">
        <v>0</v>
      </c>
      <c r="L715" s="20" t="n">
        <v>0</v>
      </c>
      <c r="M715" s="18" t="n">
        <v>25</v>
      </c>
      <c r="N715" s="18" t="n">
        <v>25</v>
      </c>
      <c r="O715" s="18" t="n">
        <v>0</v>
      </c>
      <c r="P715" s="17" t="n">
        <v>45679</v>
      </c>
      <c r="Q715" s="17" t="n">
        <v>45679</v>
      </c>
      <c r="R715" s="17" t="n">
        <v>45679</v>
      </c>
      <c r="S715" s="19">
        <f>H715*I715</f>
        <v/>
      </c>
      <c r="T715" s="19">
        <f>H715*J715</f>
        <v/>
      </c>
      <c r="U715">
        <f>IF(AND(K715=0,G715&lt;=Assumptions!$C$6),1,0)</f>
        <v/>
      </c>
      <c r="V715">
        <f>IF(U715=1,IF(M715&gt;0,IF(P715&lt;=G715+Assumptions!$C$7,1,0),0),0)</f>
        <v/>
      </c>
      <c r="W715">
        <f>IF(AND(U715=1,M715&gt;=H715*(1-Assumptions!$C$8)),1,0)</f>
        <v/>
      </c>
      <c r="X715">
        <f>IF(AND(U715=1,N715&gt;=H715*(1-Assumptions!$C$8)),1,0)</f>
        <v/>
      </c>
      <c r="Y715">
        <f>IF(ISNUMBER(Q715),1,0)</f>
        <v/>
      </c>
      <c r="Z715">
        <f>IF(AND(K715=0,L715=0,Y715=0),1,0)</f>
        <v/>
      </c>
      <c r="AA715">
        <f>IF(AND(Z715=1,G715&lt;Assumptions!$C$6),1,0)</f>
        <v/>
      </c>
      <c r="AB715">
        <f>IF(U715=0,"",IF(Y715=1,MAX(0,Q715-G715),IF(L715=1,MAX(0,R715-G715),MAX(0,Assumptions!$C$6-G715))))</f>
        <v/>
      </c>
      <c r="AC715">
        <f>IF(Y715=1,Q715-F715,"")</f>
        <v/>
      </c>
      <c r="AD715">
        <f>IF(Y715=1,AC715^2,"")</f>
        <v/>
      </c>
      <c r="AE715" s="19">
        <f>IF(Z715=1,(H715-M715)*I715,0)</f>
        <v/>
      </c>
      <c r="AF715">
        <f>IF(G715&lt;EDATE(Assumptions!$C$6,-12)+1,"prior_12m","last_12m")</f>
        <v/>
      </c>
      <c r="AG715" s="21">
        <f>DATE(YEAR(G715),MONTH(G715),1)</f>
        <v/>
      </c>
    </row>
    <row r="716">
      <c r="A716" t="inlineStr">
        <is>
          <t>SPO-00396-2</t>
        </is>
      </c>
      <c r="B716" t="inlineStr">
        <is>
          <t>SPO-00396</t>
        </is>
      </c>
      <c r="C716" t="inlineStr">
        <is>
          <t>SUP-08</t>
        </is>
      </c>
      <c r="D716" t="inlineStr">
        <is>
          <t>MRO</t>
        </is>
      </c>
      <c r="E716" t="inlineStr">
        <is>
          <t>MRO-02</t>
        </is>
      </c>
      <c r="F716" s="17" t="n">
        <v>45669</v>
      </c>
      <c r="G716" s="17" t="n">
        <v>45680</v>
      </c>
      <c r="H716" s="18" t="n">
        <v>62</v>
      </c>
      <c r="I716" s="19" t="n">
        <v>41.27</v>
      </c>
      <c r="J716" s="19" t="n">
        <v>41</v>
      </c>
      <c r="K716" s="20" t="n">
        <v>0</v>
      </c>
      <c r="L716" s="20" t="n">
        <v>0</v>
      </c>
      <c r="M716" s="18" t="n">
        <v>62</v>
      </c>
      <c r="N716" s="18" t="n">
        <v>62</v>
      </c>
      <c r="O716" s="18" t="n">
        <v>0</v>
      </c>
      <c r="P716" s="17" t="n">
        <v>45679</v>
      </c>
      <c r="Q716" s="17" t="n">
        <v>45679</v>
      </c>
      <c r="R716" s="17" t="n">
        <v>45679</v>
      </c>
      <c r="S716" s="19">
        <f>H716*I716</f>
        <v/>
      </c>
      <c r="T716" s="19">
        <f>H716*J716</f>
        <v/>
      </c>
      <c r="U716">
        <f>IF(AND(K716=0,G716&lt;=Assumptions!$C$6),1,0)</f>
        <v/>
      </c>
      <c r="V716">
        <f>IF(U716=1,IF(M716&gt;0,IF(P716&lt;=G716+Assumptions!$C$7,1,0),0),0)</f>
        <v/>
      </c>
      <c r="W716">
        <f>IF(AND(U716=1,M716&gt;=H716*(1-Assumptions!$C$8)),1,0)</f>
        <v/>
      </c>
      <c r="X716">
        <f>IF(AND(U716=1,N716&gt;=H716*(1-Assumptions!$C$8)),1,0)</f>
        <v/>
      </c>
      <c r="Y716">
        <f>IF(ISNUMBER(Q716),1,0)</f>
        <v/>
      </c>
      <c r="Z716">
        <f>IF(AND(K716=0,L716=0,Y716=0),1,0)</f>
        <v/>
      </c>
      <c r="AA716">
        <f>IF(AND(Z716=1,G716&lt;Assumptions!$C$6),1,0)</f>
        <v/>
      </c>
      <c r="AB716">
        <f>IF(U716=0,"",IF(Y716=1,MAX(0,Q716-G716),IF(L716=1,MAX(0,R716-G716),MAX(0,Assumptions!$C$6-G716))))</f>
        <v/>
      </c>
      <c r="AC716">
        <f>IF(Y716=1,Q716-F716,"")</f>
        <v/>
      </c>
      <c r="AD716">
        <f>IF(Y716=1,AC716^2,"")</f>
        <v/>
      </c>
      <c r="AE716" s="19">
        <f>IF(Z716=1,(H716-M716)*I716,0)</f>
        <v/>
      </c>
      <c r="AF716">
        <f>IF(G716&lt;EDATE(Assumptions!$C$6,-12)+1,"prior_12m","last_12m")</f>
        <v/>
      </c>
      <c r="AG716" s="21">
        <f>DATE(YEAR(G716),MONTH(G716),1)</f>
        <v/>
      </c>
    </row>
    <row r="717">
      <c r="A717" t="inlineStr">
        <is>
          <t>SPO-00397-1</t>
        </is>
      </c>
      <c r="B717" t="inlineStr">
        <is>
          <t>SPO-00397</t>
        </is>
      </c>
      <c r="C717" t="inlineStr">
        <is>
          <t>SUP-02</t>
        </is>
      </c>
      <c r="D717" t="inlineStr">
        <is>
          <t>ELEC</t>
        </is>
      </c>
      <c r="E717" t="inlineStr">
        <is>
          <t>ELEC-03</t>
        </is>
      </c>
      <c r="F717" s="17" t="n">
        <v>45670</v>
      </c>
      <c r="G717" s="17" t="n">
        <v>45686</v>
      </c>
      <c r="H717" s="18" t="n">
        <v>18</v>
      </c>
      <c r="I717" s="19" t="n">
        <v>94.45999999999999</v>
      </c>
      <c r="J717" s="19" t="n">
        <v>96</v>
      </c>
      <c r="K717" s="20" t="n">
        <v>0</v>
      </c>
      <c r="L717" s="20" t="n">
        <v>0</v>
      </c>
      <c r="M717" s="18" t="n">
        <v>18</v>
      </c>
      <c r="N717" s="18" t="n">
        <v>18</v>
      </c>
      <c r="O717" s="18" t="n">
        <v>0</v>
      </c>
      <c r="P717" s="17" t="n">
        <v>45683</v>
      </c>
      <c r="Q717" s="17" t="n">
        <v>45683</v>
      </c>
      <c r="R717" s="17" t="n">
        <v>45683</v>
      </c>
      <c r="S717" s="19">
        <f>H717*I717</f>
        <v/>
      </c>
      <c r="T717" s="19">
        <f>H717*J717</f>
        <v/>
      </c>
      <c r="U717">
        <f>IF(AND(K717=0,G717&lt;=Assumptions!$C$6),1,0)</f>
        <v/>
      </c>
      <c r="V717">
        <f>IF(U717=1,IF(M717&gt;0,IF(P717&lt;=G717+Assumptions!$C$7,1,0),0),0)</f>
        <v/>
      </c>
      <c r="W717">
        <f>IF(AND(U717=1,M717&gt;=H717*(1-Assumptions!$C$8)),1,0)</f>
        <v/>
      </c>
      <c r="X717">
        <f>IF(AND(U717=1,N717&gt;=H717*(1-Assumptions!$C$8)),1,0)</f>
        <v/>
      </c>
      <c r="Y717">
        <f>IF(ISNUMBER(Q717),1,0)</f>
        <v/>
      </c>
      <c r="Z717">
        <f>IF(AND(K717=0,L717=0,Y717=0),1,0)</f>
        <v/>
      </c>
      <c r="AA717">
        <f>IF(AND(Z717=1,G717&lt;Assumptions!$C$6),1,0)</f>
        <v/>
      </c>
      <c r="AB717">
        <f>IF(U717=0,"",IF(Y717=1,MAX(0,Q717-G717),IF(L717=1,MAX(0,R717-G717),MAX(0,Assumptions!$C$6-G717))))</f>
        <v/>
      </c>
      <c r="AC717">
        <f>IF(Y717=1,Q717-F717,"")</f>
        <v/>
      </c>
      <c r="AD717">
        <f>IF(Y717=1,AC717^2,"")</f>
        <v/>
      </c>
      <c r="AE717" s="19">
        <f>IF(Z717=1,(H717-M717)*I717,0)</f>
        <v/>
      </c>
      <c r="AF717">
        <f>IF(G717&lt;EDATE(Assumptions!$C$6,-12)+1,"prior_12m","last_12m")</f>
        <v/>
      </c>
      <c r="AG717" s="21">
        <f>DATE(YEAR(G717),MONTH(G717),1)</f>
        <v/>
      </c>
    </row>
    <row r="718">
      <c r="A718" t="inlineStr">
        <is>
          <t>SPO-00397-2</t>
        </is>
      </c>
      <c r="B718" t="inlineStr">
        <is>
          <t>SPO-00397</t>
        </is>
      </c>
      <c r="C718" t="inlineStr">
        <is>
          <t>SUP-02</t>
        </is>
      </c>
      <c r="D718" t="inlineStr">
        <is>
          <t>ELEC</t>
        </is>
      </c>
      <c r="E718" t="inlineStr">
        <is>
          <t>ELEC-06</t>
        </is>
      </c>
      <c r="F718" s="17" t="n">
        <v>45670</v>
      </c>
      <c r="G718" s="17" t="n">
        <v>45686</v>
      </c>
      <c r="H718" s="18" t="n">
        <v>28</v>
      </c>
      <c r="I718" s="19" t="n">
        <v>144.78</v>
      </c>
      <c r="J718" s="19" t="n">
        <v>145</v>
      </c>
      <c r="K718" s="20" t="n">
        <v>0</v>
      </c>
      <c r="L718" s="20" t="n">
        <v>0</v>
      </c>
      <c r="M718" s="18" t="n">
        <v>28</v>
      </c>
      <c r="N718" s="18" t="n">
        <v>28</v>
      </c>
      <c r="O718" s="18" t="n">
        <v>0</v>
      </c>
      <c r="P718" s="17" t="n">
        <v>45683</v>
      </c>
      <c r="Q718" s="17" t="n">
        <v>45683</v>
      </c>
      <c r="R718" s="17" t="n">
        <v>45683</v>
      </c>
      <c r="S718" s="19">
        <f>H718*I718</f>
        <v/>
      </c>
      <c r="T718" s="19">
        <f>H718*J718</f>
        <v/>
      </c>
      <c r="U718">
        <f>IF(AND(K718=0,G718&lt;=Assumptions!$C$6),1,0)</f>
        <v/>
      </c>
      <c r="V718">
        <f>IF(U718=1,IF(M718&gt;0,IF(P718&lt;=G718+Assumptions!$C$7,1,0),0),0)</f>
        <v/>
      </c>
      <c r="W718">
        <f>IF(AND(U718=1,M718&gt;=H718*(1-Assumptions!$C$8)),1,0)</f>
        <v/>
      </c>
      <c r="X718">
        <f>IF(AND(U718=1,N718&gt;=H718*(1-Assumptions!$C$8)),1,0)</f>
        <v/>
      </c>
      <c r="Y718">
        <f>IF(ISNUMBER(Q718),1,0)</f>
        <v/>
      </c>
      <c r="Z718">
        <f>IF(AND(K718=0,L718=0,Y718=0),1,0)</f>
        <v/>
      </c>
      <c r="AA718">
        <f>IF(AND(Z718=1,G718&lt;Assumptions!$C$6),1,0)</f>
        <v/>
      </c>
      <c r="AB718">
        <f>IF(U718=0,"",IF(Y718=1,MAX(0,Q718-G718),IF(L718=1,MAX(0,R718-G718),MAX(0,Assumptions!$C$6-G718))))</f>
        <v/>
      </c>
      <c r="AC718">
        <f>IF(Y718=1,Q718-F718,"")</f>
        <v/>
      </c>
      <c r="AD718">
        <f>IF(Y718=1,AC718^2,"")</f>
        <v/>
      </c>
      <c r="AE718" s="19">
        <f>IF(Z718=1,(H718-M718)*I718,0)</f>
        <v/>
      </c>
      <c r="AF718">
        <f>IF(G718&lt;EDATE(Assumptions!$C$6,-12)+1,"prior_12m","last_12m")</f>
        <v/>
      </c>
      <c r="AG718" s="21">
        <f>DATE(YEAR(G718),MONTH(G718),1)</f>
        <v/>
      </c>
    </row>
    <row r="719">
      <c r="A719" t="inlineStr">
        <is>
          <t>SPO-00398-1</t>
        </is>
      </c>
      <c r="B719" t="inlineStr">
        <is>
          <t>SPO-00398</t>
        </is>
      </c>
      <c r="C719" t="inlineStr">
        <is>
          <t>SUP-05</t>
        </is>
      </c>
      <c r="D719" t="inlineStr">
        <is>
          <t>FLEET</t>
        </is>
      </c>
      <c r="E719" t="inlineStr">
        <is>
          <t>FLEET-08</t>
        </is>
      </c>
      <c r="F719" s="17" t="n">
        <v>45670</v>
      </c>
      <c r="G719" s="17" t="n">
        <v>45684</v>
      </c>
      <c r="H719" s="18" t="n">
        <v>316</v>
      </c>
      <c r="I719" s="19" t="n">
        <v>6.37</v>
      </c>
      <c r="J719" s="19" t="n">
        <v>6.4</v>
      </c>
      <c r="K719" s="20" t="n">
        <v>0</v>
      </c>
      <c r="L719" s="20" t="n">
        <v>0</v>
      </c>
      <c r="M719" s="18" t="n">
        <v>316</v>
      </c>
      <c r="N719" s="18" t="n">
        <v>316</v>
      </c>
      <c r="O719" s="18" t="n">
        <v>0</v>
      </c>
      <c r="P719" s="17" t="n">
        <v>45683</v>
      </c>
      <c r="Q719" s="17" t="n">
        <v>45683</v>
      </c>
      <c r="R719" s="17" t="n">
        <v>45683</v>
      </c>
      <c r="S719" s="19">
        <f>H719*I719</f>
        <v/>
      </c>
      <c r="T719" s="19">
        <f>H719*J719</f>
        <v/>
      </c>
      <c r="U719">
        <f>IF(AND(K719=0,G719&lt;=Assumptions!$C$6),1,0)</f>
        <v/>
      </c>
      <c r="V719">
        <f>IF(U719=1,IF(M719&gt;0,IF(P719&lt;=G719+Assumptions!$C$7,1,0),0),0)</f>
        <v/>
      </c>
      <c r="W719">
        <f>IF(AND(U719=1,M719&gt;=H719*(1-Assumptions!$C$8)),1,0)</f>
        <v/>
      </c>
      <c r="X719">
        <f>IF(AND(U719=1,N719&gt;=H719*(1-Assumptions!$C$8)),1,0)</f>
        <v/>
      </c>
      <c r="Y719">
        <f>IF(ISNUMBER(Q719),1,0)</f>
        <v/>
      </c>
      <c r="Z719">
        <f>IF(AND(K719=0,L719=0,Y719=0),1,0)</f>
        <v/>
      </c>
      <c r="AA719">
        <f>IF(AND(Z719=1,G719&lt;Assumptions!$C$6),1,0)</f>
        <v/>
      </c>
      <c r="AB719">
        <f>IF(U719=0,"",IF(Y719=1,MAX(0,Q719-G719),IF(L719=1,MAX(0,R719-G719),MAX(0,Assumptions!$C$6-G719))))</f>
        <v/>
      </c>
      <c r="AC719">
        <f>IF(Y719=1,Q719-F719,"")</f>
        <v/>
      </c>
      <c r="AD719">
        <f>IF(Y719=1,AC719^2,"")</f>
        <v/>
      </c>
      <c r="AE719" s="19">
        <f>IF(Z719=1,(H719-M719)*I719,0)</f>
        <v/>
      </c>
      <c r="AF719">
        <f>IF(G719&lt;EDATE(Assumptions!$C$6,-12)+1,"prior_12m","last_12m")</f>
        <v/>
      </c>
      <c r="AG719" s="21">
        <f>DATE(YEAR(G719),MONTH(G719),1)</f>
        <v/>
      </c>
    </row>
    <row r="720">
      <c r="A720" t="inlineStr">
        <is>
          <t>SPO-00398-2</t>
        </is>
      </c>
      <c r="B720" t="inlineStr">
        <is>
          <t>SPO-00398</t>
        </is>
      </c>
      <c r="C720" t="inlineStr">
        <is>
          <t>SUP-05</t>
        </is>
      </c>
      <c r="D720" t="inlineStr">
        <is>
          <t>FLEET</t>
        </is>
      </c>
      <c r="E720" t="inlineStr">
        <is>
          <t>FLEET-01</t>
        </is>
      </c>
      <c r="F720" s="17" t="n">
        <v>45670</v>
      </c>
      <c r="G720" s="17" t="n">
        <v>45684</v>
      </c>
      <c r="H720" s="18" t="n">
        <v>19</v>
      </c>
      <c r="I720" s="19" t="n">
        <v>66.72</v>
      </c>
      <c r="J720" s="19" t="n">
        <v>64</v>
      </c>
      <c r="K720" s="20" t="n">
        <v>0</v>
      </c>
      <c r="L720" s="20" t="n">
        <v>0</v>
      </c>
      <c r="M720" s="18" t="n">
        <v>19</v>
      </c>
      <c r="N720" s="18" t="n">
        <v>19</v>
      </c>
      <c r="O720" s="18" t="n">
        <v>0</v>
      </c>
      <c r="P720" s="17" t="n">
        <v>45683</v>
      </c>
      <c r="Q720" s="17" t="n">
        <v>45683</v>
      </c>
      <c r="R720" s="17" t="n">
        <v>45683</v>
      </c>
      <c r="S720" s="19">
        <f>H720*I720</f>
        <v/>
      </c>
      <c r="T720" s="19">
        <f>H720*J720</f>
        <v/>
      </c>
      <c r="U720">
        <f>IF(AND(K720=0,G720&lt;=Assumptions!$C$6),1,0)</f>
        <v/>
      </c>
      <c r="V720">
        <f>IF(U720=1,IF(M720&gt;0,IF(P720&lt;=G720+Assumptions!$C$7,1,0),0),0)</f>
        <v/>
      </c>
      <c r="W720">
        <f>IF(AND(U720=1,M720&gt;=H720*(1-Assumptions!$C$8)),1,0)</f>
        <v/>
      </c>
      <c r="X720">
        <f>IF(AND(U720=1,N720&gt;=H720*(1-Assumptions!$C$8)),1,0)</f>
        <v/>
      </c>
      <c r="Y720">
        <f>IF(ISNUMBER(Q720),1,0)</f>
        <v/>
      </c>
      <c r="Z720">
        <f>IF(AND(K720=0,L720=0,Y720=0),1,0)</f>
        <v/>
      </c>
      <c r="AA720">
        <f>IF(AND(Z720=1,G720&lt;Assumptions!$C$6),1,0)</f>
        <v/>
      </c>
      <c r="AB720">
        <f>IF(U720=0,"",IF(Y720=1,MAX(0,Q720-G720),IF(L720=1,MAX(0,R720-G720),MAX(0,Assumptions!$C$6-G720))))</f>
        <v/>
      </c>
      <c r="AC720">
        <f>IF(Y720=1,Q720-F720,"")</f>
        <v/>
      </c>
      <c r="AD720">
        <f>IF(Y720=1,AC720^2,"")</f>
        <v/>
      </c>
      <c r="AE720" s="19">
        <f>IF(Z720=1,(H720-M720)*I720,0)</f>
        <v/>
      </c>
      <c r="AF720">
        <f>IF(G720&lt;EDATE(Assumptions!$C$6,-12)+1,"prior_12m","last_12m")</f>
        <v/>
      </c>
      <c r="AG720" s="21">
        <f>DATE(YEAR(G720),MONTH(G720),1)</f>
        <v/>
      </c>
    </row>
    <row r="721">
      <c r="A721" t="inlineStr">
        <is>
          <t>SPO-00398-3</t>
        </is>
      </c>
      <c r="B721" t="inlineStr">
        <is>
          <t>SPO-00398</t>
        </is>
      </c>
      <c r="C721" t="inlineStr">
        <is>
          <t>SUP-05</t>
        </is>
      </c>
      <c r="D721" t="inlineStr">
        <is>
          <t>FLEET</t>
        </is>
      </c>
      <c r="E721" t="inlineStr">
        <is>
          <t>FLEET-05</t>
        </is>
      </c>
      <c r="F721" s="17" t="n">
        <v>45670</v>
      </c>
      <c r="G721" s="17" t="n">
        <v>45684</v>
      </c>
      <c r="H721" s="18" t="n">
        <v>22</v>
      </c>
      <c r="I721" s="19" t="n">
        <v>171.52</v>
      </c>
      <c r="J721" s="19" t="n">
        <v>168</v>
      </c>
      <c r="K721" s="20" t="n">
        <v>0</v>
      </c>
      <c r="L721" s="20" t="n">
        <v>0</v>
      </c>
      <c r="M721" s="18" t="n">
        <v>22</v>
      </c>
      <c r="N721" s="18" t="n">
        <v>22</v>
      </c>
      <c r="O721" s="18" t="n">
        <v>0</v>
      </c>
      <c r="P721" s="17" t="n">
        <v>45677</v>
      </c>
      <c r="Q721" s="17" t="n">
        <v>45677</v>
      </c>
      <c r="R721" s="17" t="n">
        <v>45677</v>
      </c>
      <c r="S721" s="19">
        <f>H721*I721</f>
        <v/>
      </c>
      <c r="T721" s="19">
        <f>H721*J721</f>
        <v/>
      </c>
      <c r="U721">
        <f>IF(AND(K721=0,G721&lt;=Assumptions!$C$6),1,0)</f>
        <v/>
      </c>
      <c r="V721">
        <f>IF(U721=1,IF(M721&gt;0,IF(P721&lt;=G721+Assumptions!$C$7,1,0),0),0)</f>
        <v/>
      </c>
      <c r="W721">
        <f>IF(AND(U721=1,M721&gt;=H721*(1-Assumptions!$C$8)),1,0)</f>
        <v/>
      </c>
      <c r="X721">
        <f>IF(AND(U721=1,N721&gt;=H721*(1-Assumptions!$C$8)),1,0)</f>
        <v/>
      </c>
      <c r="Y721">
        <f>IF(ISNUMBER(Q721),1,0)</f>
        <v/>
      </c>
      <c r="Z721">
        <f>IF(AND(K721=0,L721=0,Y721=0),1,0)</f>
        <v/>
      </c>
      <c r="AA721">
        <f>IF(AND(Z721=1,G721&lt;Assumptions!$C$6),1,0)</f>
        <v/>
      </c>
      <c r="AB721">
        <f>IF(U721=0,"",IF(Y721=1,MAX(0,Q721-G721),IF(L721=1,MAX(0,R721-G721),MAX(0,Assumptions!$C$6-G721))))</f>
        <v/>
      </c>
      <c r="AC721">
        <f>IF(Y721=1,Q721-F721,"")</f>
        <v/>
      </c>
      <c r="AD721">
        <f>IF(Y721=1,AC721^2,"")</f>
        <v/>
      </c>
      <c r="AE721" s="19">
        <f>IF(Z721=1,(H721-M721)*I721,0)</f>
        <v/>
      </c>
      <c r="AF721">
        <f>IF(G721&lt;EDATE(Assumptions!$C$6,-12)+1,"prior_12m","last_12m")</f>
        <v/>
      </c>
      <c r="AG721" s="21">
        <f>DATE(YEAR(G721),MONTH(G721),1)</f>
        <v/>
      </c>
    </row>
    <row r="722">
      <c r="A722" t="inlineStr">
        <is>
          <t>SPO-00399-1</t>
        </is>
      </c>
      <c r="B722" t="inlineStr">
        <is>
          <t>SPO-00399</t>
        </is>
      </c>
      <c r="C722" t="inlineStr">
        <is>
          <t>SUP-01</t>
        </is>
      </c>
      <c r="D722" t="inlineStr">
        <is>
          <t>ELEC</t>
        </is>
      </c>
      <c r="E722" t="inlineStr">
        <is>
          <t>ELEC-06</t>
        </is>
      </c>
      <c r="F722" s="17" t="n">
        <v>45670</v>
      </c>
      <c r="G722" s="17" t="n">
        <v>45688</v>
      </c>
      <c r="H722" s="18" t="n">
        <v>20</v>
      </c>
      <c r="I722" s="19" t="n">
        <v>140.84</v>
      </c>
      <c r="J722" s="19" t="n">
        <v>145</v>
      </c>
      <c r="K722" s="20" t="n">
        <v>0</v>
      </c>
      <c r="L722" s="20" t="n">
        <v>0</v>
      </c>
      <c r="M722" s="18" t="n">
        <v>20</v>
      </c>
      <c r="N722" s="18" t="n">
        <v>20</v>
      </c>
      <c r="O722" s="18" t="n">
        <v>0</v>
      </c>
      <c r="P722" s="17" t="n">
        <v>45687</v>
      </c>
      <c r="Q722" s="17" t="n">
        <v>45687</v>
      </c>
      <c r="R722" s="17" t="n">
        <v>45687</v>
      </c>
      <c r="S722" s="19">
        <f>H722*I722</f>
        <v/>
      </c>
      <c r="T722" s="19">
        <f>H722*J722</f>
        <v/>
      </c>
      <c r="U722">
        <f>IF(AND(K722=0,G722&lt;=Assumptions!$C$6),1,0)</f>
        <v/>
      </c>
      <c r="V722">
        <f>IF(U722=1,IF(M722&gt;0,IF(P722&lt;=G722+Assumptions!$C$7,1,0),0),0)</f>
        <v/>
      </c>
      <c r="W722">
        <f>IF(AND(U722=1,M722&gt;=H722*(1-Assumptions!$C$8)),1,0)</f>
        <v/>
      </c>
      <c r="X722">
        <f>IF(AND(U722=1,N722&gt;=H722*(1-Assumptions!$C$8)),1,0)</f>
        <v/>
      </c>
      <c r="Y722">
        <f>IF(ISNUMBER(Q722),1,0)</f>
        <v/>
      </c>
      <c r="Z722">
        <f>IF(AND(K722=0,L722=0,Y722=0),1,0)</f>
        <v/>
      </c>
      <c r="AA722">
        <f>IF(AND(Z722=1,G722&lt;Assumptions!$C$6),1,0)</f>
        <v/>
      </c>
      <c r="AB722">
        <f>IF(U722=0,"",IF(Y722=1,MAX(0,Q722-G722),IF(L722=1,MAX(0,R722-G722),MAX(0,Assumptions!$C$6-G722))))</f>
        <v/>
      </c>
      <c r="AC722">
        <f>IF(Y722=1,Q722-F722,"")</f>
        <v/>
      </c>
      <c r="AD722">
        <f>IF(Y722=1,AC722^2,"")</f>
        <v/>
      </c>
      <c r="AE722" s="19">
        <f>IF(Z722=1,(H722-M722)*I722,0)</f>
        <v/>
      </c>
      <c r="AF722">
        <f>IF(G722&lt;EDATE(Assumptions!$C$6,-12)+1,"prior_12m","last_12m")</f>
        <v/>
      </c>
      <c r="AG722" s="21">
        <f>DATE(YEAR(G722),MONTH(G722),1)</f>
        <v/>
      </c>
    </row>
    <row r="723">
      <c r="A723" t="inlineStr">
        <is>
          <t>SPO-00400-1</t>
        </is>
      </c>
      <c r="B723" t="inlineStr">
        <is>
          <t>SPO-00400</t>
        </is>
      </c>
      <c r="C723" t="inlineStr">
        <is>
          <t>SUP-05</t>
        </is>
      </c>
      <c r="D723" t="inlineStr">
        <is>
          <t>FLEET</t>
        </is>
      </c>
      <c r="E723" t="inlineStr">
        <is>
          <t>FLEET-07</t>
        </is>
      </c>
      <c r="F723" s="17" t="n">
        <v>45671</v>
      </c>
      <c r="G723" s="17" t="n">
        <v>45685</v>
      </c>
      <c r="H723" s="18" t="n">
        <v>19</v>
      </c>
      <c r="I723" s="19" t="n">
        <v>117.14</v>
      </c>
      <c r="J723" s="19" t="n">
        <v>118</v>
      </c>
      <c r="K723" s="20" t="n">
        <v>0</v>
      </c>
      <c r="L723" s="20" t="n">
        <v>0</v>
      </c>
      <c r="M723" s="18" t="n">
        <v>19</v>
      </c>
      <c r="N723" s="18" t="n">
        <v>0</v>
      </c>
      <c r="O723" s="18" t="n">
        <v>0</v>
      </c>
      <c r="P723" s="17" t="n">
        <v>45686</v>
      </c>
      <c r="Q723" s="17" t="n">
        <v>45686</v>
      </c>
      <c r="R723" s="17" t="n">
        <v>45686</v>
      </c>
      <c r="S723" s="19">
        <f>H723*I723</f>
        <v/>
      </c>
      <c r="T723" s="19">
        <f>H723*J723</f>
        <v/>
      </c>
      <c r="U723">
        <f>IF(AND(K723=0,G723&lt;=Assumptions!$C$6),1,0)</f>
        <v/>
      </c>
      <c r="V723">
        <f>IF(U723=1,IF(M723&gt;0,IF(P723&lt;=G723+Assumptions!$C$7,1,0),0),0)</f>
        <v/>
      </c>
      <c r="W723">
        <f>IF(AND(U723=1,M723&gt;=H723*(1-Assumptions!$C$8)),1,0)</f>
        <v/>
      </c>
      <c r="X723">
        <f>IF(AND(U723=1,N723&gt;=H723*(1-Assumptions!$C$8)),1,0)</f>
        <v/>
      </c>
      <c r="Y723">
        <f>IF(ISNUMBER(Q723),1,0)</f>
        <v/>
      </c>
      <c r="Z723">
        <f>IF(AND(K723=0,L723=0,Y723=0),1,0)</f>
        <v/>
      </c>
      <c r="AA723">
        <f>IF(AND(Z723=1,G723&lt;Assumptions!$C$6),1,0)</f>
        <v/>
      </c>
      <c r="AB723">
        <f>IF(U723=0,"",IF(Y723=1,MAX(0,Q723-G723),IF(L723=1,MAX(0,R723-G723),MAX(0,Assumptions!$C$6-G723))))</f>
        <v/>
      </c>
      <c r="AC723">
        <f>IF(Y723=1,Q723-F723,"")</f>
        <v/>
      </c>
      <c r="AD723">
        <f>IF(Y723=1,AC723^2,"")</f>
        <v/>
      </c>
      <c r="AE723" s="19">
        <f>IF(Z723=1,(H723-M723)*I723,0)</f>
        <v/>
      </c>
      <c r="AF723">
        <f>IF(G723&lt;EDATE(Assumptions!$C$6,-12)+1,"prior_12m","last_12m")</f>
        <v/>
      </c>
      <c r="AG723" s="21">
        <f>DATE(YEAR(G723),MONTH(G723),1)</f>
        <v/>
      </c>
    </row>
    <row r="724">
      <c r="A724" t="inlineStr">
        <is>
          <t>SPO-00401-1</t>
        </is>
      </c>
      <c r="B724" t="inlineStr">
        <is>
          <t>SPO-00401</t>
        </is>
      </c>
      <c r="C724" t="inlineStr">
        <is>
          <t>SUP-01</t>
        </is>
      </c>
      <c r="D724" t="inlineStr">
        <is>
          <t>ELEC</t>
        </is>
      </c>
      <c r="E724" t="inlineStr">
        <is>
          <t>ELEC-03</t>
        </is>
      </c>
      <c r="F724" s="17" t="n">
        <v>45671</v>
      </c>
      <c r="G724" s="17" t="n">
        <v>45689</v>
      </c>
      <c r="H724" s="18" t="n">
        <v>18</v>
      </c>
      <c r="I724" s="19" t="n">
        <v>99.73</v>
      </c>
      <c r="J724" s="19" t="n">
        <v>96</v>
      </c>
      <c r="K724" s="20" t="n">
        <v>0</v>
      </c>
      <c r="L724" s="20" t="n">
        <v>0</v>
      </c>
      <c r="M724" s="18" t="n">
        <v>18</v>
      </c>
      <c r="N724" s="18" t="n">
        <v>18</v>
      </c>
      <c r="O724" s="18" t="n">
        <v>0</v>
      </c>
      <c r="P724" s="17" t="n">
        <v>45685</v>
      </c>
      <c r="Q724" s="17" t="n">
        <v>45685</v>
      </c>
      <c r="R724" s="17" t="n">
        <v>45685</v>
      </c>
      <c r="S724" s="19">
        <f>H724*I724</f>
        <v/>
      </c>
      <c r="T724" s="19">
        <f>H724*J724</f>
        <v/>
      </c>
      <c r="U724">
        <f>IF(AND(K724=0,G724&lt;=Assumptions!$C$6),1,0)</f>
        <v/>
      </c>
      <c r="V724">
        <f>IF(U724=1,IF(M724&gt;0,IF(P724&lt;=G724+Assumptions!$C$7,1,0),0),0)</f>
        <v/>
      </c>
      <c r="W724">
        <f>IF(AND(U724=1,M724&gt;=H724*(1-Assumptions!$C$8)),1,0)</f>
        <v/>
      </c>
      <c r="X724">
        <f>IF(AND(U724=1,N724&gt;=H724*(1-Assumptions!$C$8)),1,0)</f>
        <v/>
      </c>
      <c r="Y724">
        <f>IF(ISNUMBER(Q724),1,0)</f>
        <v/>
      </c>
      <c r="Z724">
        <f>IF(AND(K724=0,L724=0,Y724=0),1,0)</f>
        <v/>
      </c>
      <c r="AA724">
        <f>IF(AND(Z724=1,G724&lt;Assumptions!$C$6),1,0)</f>
        <v/>
      </c>
      <c r="AB724">
        <f>IF(U724=0,"",IF(Y724=1,MAX(0,Q724-G724),IF(L724=1,MAX(0,R724-G724),MAX(0,Assumptions!$C$6-G724))))</f>
        <v/>
      </c>
      <c r="AC724">
        <f>IF(Y724=1,Q724-F724,"")</f>
        <v/>
      </c>
      <c r="AD724">
        <f>IF(Y724=1,AC724^2,"")</f>
        <v/>
      </c>
      <c r="AE724" s="19">
        <f>IF(Z724=1,(H724-M724)*I724,0)</f>
        <v/>
      </c>
      <c r="AF724">
        <f>IF(G724&lt;EDATE(Assumptions!$C$6,-12)+1,"prior_12m","last_12m")</f>
        <v/>
      </c>
      <c r="AG724" s="21">
        <f>DATE(YEAR(G724),MONTH(G724),1)</f>
        <v/>
      </c>
    </row>
    <row r="725">
      <c r="A725" t="inlineStr">
        <is>
          <t>SPO-00402-1</t>
        </is>
      </c>
      <c r="B725" t="inlineStr">
        <is>
          <t>SPO-00402</t>
        </is>
      </c>
      <c r="C725" t="inlineStr">
        <is>
          <t>SUP-04</t>
        </is>
      </c>
      <c r="D725" t="inlineStr">
        <is>
          <t>FLEET</t>
        </is>
      </c>
      <c r="E725" t="inlineStr">
        <is>
          <t>FLEET-05</t>
        </is>
      </c>
      <c r="F725" s="17" t="n">
        <v>45672</v>
      </c>
      <c r="G725" s="17" t="n">
        <v>45685</v>
      </c>
      <c r="H725" s="18" t="n">
        <v>13</v>
      </c>
      <c r="I725" s="19" t="n">
        <v>175.86</v>
      </c>
      <c r="J725" s="19" t="n">
        <v>168</v>
      </c>
      <c r="K725" s="20" t="n">
        <v>0</v>
      </c>
      <c r="L725" s="20" t="n">
        <v>0</v>
      </c>
      <c r="M725" s="18" t="n">
        <v>13</v>
      </c>
      <c r="N725" s="18" t="n">
        <v>13</v>
      </c>
      <c r="O725" s="18" t="n">
        <v>0</v>
      </c>
      <c r="P725" s="17" t="n">
        <v>45673</v>
      </c>
      <c r="Q725" s="17" t="n">
        <v>45673</v>
      </c>
      <c r="R725" s="17" t="n">
        <v>45673</v>
      </c>
      <c r="S725" s="19">
        <f>H725*I725</f>
        <v/>
      </c>
      <c r="T725" s="19">
        <f>H725*J725</f>
        <v/>
      </c>
      <c r="U725">
        <f>IF(AND(K725=0,G725&lt;=Assumptions!$C$6),1,0)</f>
        <v/>
      </c>
      <c r="V725">
        <f>IF(U725=1,IF(M725&gt;0,IF(P725&lt;=G725+Assumptions!$C$7,1,0),0),0)</f>
        <v/>
      </c>
      <c r="W725">
        <f>IF(AND(U725=1,M725&gt;=H725*(1-Assumptions!$C$8)),1,0)</f>
        <v/>
      </c>
      <c r="X725">
        <f>IF(AND(U725=1,N725&gt;=H725*(1-Assumptions!$C$8)),1,0)</f>
        <v/>
      </c>
      <c r="Y725">
        <f>IF(ISNUMBER(Q725),1,0)</f>
        <v/>
      </c>
      <c r="Z725">
        <f>IF(AND(K725=0,L725=0,Y725=0),1,0)</f>
        <v/>
      </c>
      <c r="AA725">
        <f>IF(AND(Z725=1,G725&lt;Assumptions!$C$6),1,0)</f>
        <v/>
      </c>
      <c r="AB725">
        <f>IF(U725=0,"",IF(Y725=1,MAX(0,Q725-G725),IF(L725=1,MAX(0,R725-G725),MAX(0,Assumptions!$C$6-G725))))</f>
        <v/>
      </c>
      <c r="AC725">
        <f>IF(Y725=1,Q725-F725,"")</f>
        <v/>
      </c>
      <c r="AD725">
        <f>IF(Y725=1,AC725^2,"")</f>
        <v/>
      </c>
      <c r="AE725" s="19">
        <f>IF(Z725=1,(H725-M725)*I725,0)</f>
        <v/>
      </c>
      <c r="AF725">
        <f>IF(G725&lt;EDATE(Assumptions!$C$6,-12)+1,"prior_12m","last_12m")</f>
        <v/>
      </c>
      <c r="AG725" s="21">
        <f>DATE(YEAR(G725),MONTH(G725),1)</f>
        <v/>
      </c>
    </row>
    <row r="726">
      <c r="A726" t="inlineStr">
        <is>
          <t>SPO-00402-2</t>
        </is>
      </c>
      <c r="B726" t="inlineStr">
        <is>
          <t>SPO-00402</t>
        </is>
      </c>
      <c r="C726" t="inlineStr">
        <is>
          <t>SUP-04</t>
        </is>
      </c>
      <c r="D726" t="inlineStr">
        <is>
          <t>FLEET</t>
        </is>
      </c>
      <c r="E726" t="inlineStr">
        <is>
          <t>FLEET-04</t>
        </is>
      </c>
      <c r="F726" s="17" t="n">
        <v>45672</v>
      </c>
      <c r="G726" s="17" t="n">
        <v>45685</v>
      </c>
      <c r="H726" s="18" t="n">
        <v>108</v>
      </c>
      <c r="I726" s="19" t="n">
        <v>8.869999999999999</v>
      </c>
      <c r="J726" s="19" t="n">
        <v>9</v>
      </c>
      <c r="K726" s="20" t="n">
        <v>0</v>
      </c>
      <c r="L726" s="20" t="n">
        <v>0</v>
      </c>
      <c r="M726" s="18" t="n">
        <v>108</v>
      </c>
      <c r="N726" s="18" t="n">
        <v>108</v>
      </c>
      <c r="O726" s="18" t="n">
        <v>0</v>
      </c>
      <c r="P726" s="17" t="n">
        <v>45675</v>
      </c>
      <c r="Q726" s="17" t="n">
        <v>45675</v>
      </c>
      <c r="R726" s="17" t="n">
        <v>45675</v>
      </c>
      <c r="S726" s="19">
        <f>H726*I726</f>
        <v/>
      </c>
      <c r="T726" s="19">
        <f>H726*J726</f>
        <v/>
      </c>
      <c r="U726">
        <f>IF(AND(K726=0,G726&lt;=Assumptions!$C$6),1,0)</f>
        <v/>
      </c>
      <c r="V726">
        <f>IF(U726=1,IF(M726&gt;0,IF(P726&lt;=G726+Assumptions!$C$7,1,0),0),0)</f>
        <v/>
      </c>
      <c r="W726">
        <f>IF(AND(U726=1,M726&gt;=H726*(1-Assumptions!$C$8)),1,0)</f>
        <v/>
      </c>
      <c r="X726">
        <f>IF(AND(U726=1,N726&gt;=H726*(1-Assumptions!$C$8)),1,0)</f>
        <v/>
      </c>
      <c r="Y726">
        <f>IF(ISNUMBER(Q726),1,0)</f>
        <v/>
      </c>
      <c r="Z726">
        <f>IF(AND(K726=0,L726=0,Y726=0),1,0)</f>
        <v/>
      </c>
      <c r="AA726">
        <f>IF(AND(Z726=1,G726&lt;Assumptions!$C$6),1,0)</f>
        <v/>
      </c>
      <c r="AB726">
        <f>IF(U726=0,"",IF(Y726=1,MAX(0,Q726-G726),IF(L726=1,MAX(0,R726-G726),MAX(0,Assumptions!$C$6-G726))))</f>
        <v/>
      </c>
      <c r="AC726">
        <f>IF(Y726=1,Q726-F726,"")</f>
        <v/>
      </c>
      <c r="AD726">
        <f>IF(Y726=1,AC726^2,"")</f>
        <v/>
      </c>
      <c r="AE726" s="19">
        <f>IF(Z726=1,(H726-M726)*I726,0)</f>
        <v/>
      </c>
      <c r="AF726">
        <f>IF(G726&lt;EDATE(Assumptions!$C$6,-12)+1,"prior_12m","last_12m")</f>
        <v/>
      </c>
      <c r="AG726" s="21">
        <f>DATE(YEAR(G726),MONTH(G726),1)</f>
        <v/>
      </c>
    </row>
    <row r="727">
      <c r="A727" t="inlineStr">
        <is>
          <t>SPO-00403-1</t>
        </is>
      </c>
      <c r="B727" t="inlineStr">
        <is>
          <t>SPO-00403</t>
        </is>
      </c>
      <c r="C727" t="inlineStr">
        <is>
          <t>SUP-11</t>
        </is>
      </c>
      <c r="D727" t="inlineStr">
        <is>
          <t>PPE</t>
        </is>
      </c>
      <c r="E727" t="inlineStr">
        <is>
          <t>PPE-04</t>
        </is>
      </c>
      <c r="F727" s="17" t="n">
        <v>45673</v>
      </c>
      <c r="G727" s="17" t="n">
        <v>45685</v>
      </c>
      <c r="H727" s="18" t="n">
        <v>55</v>
      </c>
      <c r="I727" s="19" t="n">
        <v>25.48</v>
      </c>
      <c r="J727" s="19" t="n">
        <v>26</v>
      </c>
      <c r="K727" s="20" t="n">
        <v>0</v>
      </c>
      <c r="L727" s="20" t="n">
        <v>0</v>
      </c>
      <c r="M727" s="18" t="n">
        <v>55</v>
      </c>
      <c r="N727" s="18" t="n">
        <v>55</v>
      </c>
      <c r="O727" s="18" t="n">
        <v>0</v>
      </c>
      <c r="P727" s="17" t="n">
        <v>45684</v>
      </c>
      <c r="Q727" s="17" t="n">
        <v>45684</v>
      </c>
      <c r="R727" s="17" t="n">
        <v>45684</v>
      </c>
      <c r="S727" s="19">
        <f>H727*I727</f>
        <v/>
      </c>
      <c r="T727" s="19">
        <f>H727*J727</f>
        <v/>
      </c>
      <c r="U727">
        <f>IF(AND(K727=0,G727&lt;=Assumptions!$C$6),1,0)</f>
        <v/>
      </c>
      <c r="V727">
        <f>IF(U727=1,IF(M727&gt;0,IF(P727&lt;=G727+Assumptions!$C$7,1,0),0),0)</f>
        <v/>
      </c>
      <c r="W727">
        <f>IF(AND(U727=1,M727&gt;=H727*(1-Assumptions!$C$8)),1,0)</f>
        <v/>
      </c>
      <c r="X727">
        <f>IF(AND(U727=1,N727&gt;=H727*(1-Assumptions!$C$8)),1,0)</f>
        <v/>
      </c>
      <c r="Y727">
        <f>IF(ISNUMBER(Q727),1,0)</f>
        <v/>
      </c>
      <c r="Z727">
        <f>IF(AND(K727=0,L727=0,Y727=0),1,0)</f>
        <v/>
      </c>
      <c r="AA727">
        <f>IF(AND(Z727=1,G727&lt;Assumptions!$C$6),1,0)</f>
        <v/>
      </c>
      <c r="AB727">
        <f>IF(U727=0,"",IF(Y727=1,MAX(0,Q727-G727),IF(L727=1,MAX(0,R727-G727),MAX(0,Assumptions!$C$6-G727))))</f>
        <v/>
      </c>
      <c r="AC727">
        <f>IF(Y727=1,Q727-F727,"")</f>
        <v/>
      </c>
      <c r="AD727">
        <f>IF(Y727=1,AC727^2,"")</f>
        <v/>
      </c>
      <c r="AE727" s="19">
        <f>IF(Z727=1,(H727-M727)*I727,0)</f>
        <v/>
      </c>
      <c r="AF727">
        <f>IF(G727&lt;EDATE(Assumptions!$C$6,-12)+1,"prior_12m","last_12m")</f>
        <v/>
      </c>
      <c r="AG727" s="21">
        <f>DATE(YEAR(G727),MONTH(G727),1)</f>
        <v/>
      </c>
    </row>
    <row r="728">
      <c r="A728" t="inlineStr">
        <is>
          <t>SPO-00403-2</t>
        </is>
      </c>
      <c r="B728" t="inlineStr">
        <is>
          <t>SPO-00403</t>
        </is>
      </c>
      <c r="C728" t="inlineStr">
        <is>
          <t>SUP-11</t>
        </is>
      </c>
      <c r="D728" t="inlineStr">
        <is>
          <t>PPE</t>
        </is>
      </c>
      <c r="E728" t="inlineStr">
        <is>
          <t>PPE-05</t>
        </is>
      </c>
      <c r="F728" s="17" t="n">
        <v>45673</v>
      </c>
      <c r="G728" s="17" t="n">
        <v>45685</v>
      </c>
      <c r="H728" s="18" t="n">
        <v>212</v>
      </c>
      <c r="I728" s="19" t="n">
        <v>10.62</v>
      </c>
      <c r="J728" s="19" t="n">
        <v>11</v>
      </c>
      <c r="K728" s="20" t="n">
        <v>0</v>
      </c>
      <c r="L728" s="20" t="n">
        <v>0</v>
      </c>
      <c r="M728" s="18" t="n">
        <v>212</v>
      </c>
      <c r="N728" s="18" t="n">
        <v>212</v>
      </c>
      <c r="O728" s="18" t="n">
        <v>0</v>
      </c>
      <c r="P728" s="17" t="n">
        <v>45682</v>
      </c>
      <c r="Q728" s="17" t="n">
        <v>45682</v>
      </c>
      <c r="R728" s="17" t="n">
        <v>45682</v>
      </c>
      <c r="S728" s="19">
        <f>H728*I728</f>
        <v/>
      </c>
      <c r="T728" s="19">
        <f>H728*J728</f>
        <v/>
      </c>
      <c r="U728">
        <f>IF(AND(K728=0,G728&lt;=Assumptions!$C$6),1,0)</f>
        <v/>
      </c>
      <c r="V728">
        <f>IF(U728=1,IF(M728&gt;0,IF(P728&lt;=G728+Assumptions!$C$7,1,0),0),0)</f>
        <v/>
      </c>
      <c r="W728">
        <f>IF(AND(U728=1,M728&gt;=H728*(1-Assumptions!$C$8)),1,0)</f>
        <v/>
      </c>
      <c r="X728">
        <f>IF(AND(U728=1,N728&gt;=H728*(1-Assumptions!$C$8)),1,0)</f>
        <v/>
      </c>
      <c r="Y728">
        <f>IF(ISNUMBER(Q728),1,0)</f>
        <v/>
      </c>
      <c r="Z728">
        <f>IF(AND(K728=0,L728=0,Y728=0),1,0)</f>
        <v/>
      </c>
      <c r="AA728">
        <f>IF(AND(Z728=1,G728&lt;Assumptions!$C$6),1,0)</f>
        <v/>
      </c>
      <c r="AB728">
        <f>IF(U728=0,"",IF(Y728=1,MAX(0,Q728-G728),IF(L728=1,MAX(0,R728-G728),MAX(0,Assumptions!$C$6-G728))))</f>
        <v/>
      </c>
      <c r="AC728">
        <f>IF(Y728=1,Q728-F728,"")</f>
        <v/>
      </c>
      <c r="AD728">
        <f>IF(Y728=1,AC728^2,"")</f>
        <v/>
      </c>
      <c r="AE728" s="19">
        <f>IF(Z728=1,(H728-M728)*I728,0)</f>
        <v/>
      </c>
      <c r="AF728">
        <f>IF(G728&lt;EDATE(Assumptions!$C$6,-12)+1,"prior_12m","last_12m")</f>
        <v/>
      </c>
      <c r="AG728" s="21">
        <f>DATE(YEAR(G728),MONTH(G728),1)</f>
        <v/>
      </c>
    </row>
    <row r="729">
      <c r="A729" t="inlineStr">
        <is>
          <t>SPO-00404-1</t>
        </is>
      </c>
      <c r="B729" t="inlineStr">
        <is>
          <t>SPO-00404</t>
        </is>
      </c>
      <c r="C729" t="inlineStr">
        <is>
          <t>SUP-01</t>
        </is>
      </c>
      <c r="D729" t="inlineStr">
        <is>
          <t>ELEC</t>
        </is>
      </c>
      <c r="E729" t="inlineStr">
        <is>
          <t>ELEC-08</t>
        </is>
      </c>
      <c r="F729" s="17" t="n">
        <v>45673</v>
      </c>
      <c r="G729" s="17" t="n">
        <v>45691</v>
      </c>
      <c r="H729" s="18" t="n">
        <v>167</v>
      </c>
      <c r="I729" s="19" t="n">
        <v>17.56</v>
      </c>
      <c r="J729" s="19" t="n">
        <v>18</v>
      </c>
      <c r="K729" s="20" t="n">
        <v>0</v>
      </c>
      <c r="L729" s="20" t="n">
        <v>0</v>
      </c>
      <c r="M729" s="18" t="n">
        <v>167</v>
      </c>
      <c r="N729" s="18" t="n">
        <v>167</v>
      </c>
      <c r="O729" s="18" t="n">
        <v>0</v>
      </c>
      <c r="P729" s="17" t="n">
        <v>45689</v>
      </c>
      <c r="Q729" s="17" t="n">
        <v>45689</v>
      </c>
      <c r="R729" s="17" t="n">
        <v>45689</v>
      </c>
      <c r="S729" s="19">
        <f>H729*I729</f>
        <v/>
      </c>
      <c r="T729" s="19">
        <f>H729*J729</f>
        <v/>
      </c>
      <c r="U729">
        <f>IF(AND(K729=0,G729&lt;=Assumptions!$C$6),1,0)</f>
        <v/>
      </c>
      <c r="V729">
        <f>IF(U729=1,IF(M729&gt;0,IF(P729&lt;=G729+Assumptions!$C$7,1,0),0),0)</f>
        <v/>
      </c>
      <c r="W729">
        <f>IF(AND(U729=1,M729&gt;=H729*(1-Assumptions!$C$8)),1,0)</f>
        <v/>
      </c>
      <c r="X729">
        <f>IF(AND(U729=1,N729&gt;=H729*(1-Assumptions!$C$8)),1,0)</f>
        <v/>
      </c>
      <c r="Y729">
        <f>IF(ISNUMBER(Q729),1,0)</f>
        <v/>
      </c>
      <c r="Z729">
        <f>IF(AND(K729=0,L729=0,Y729=0),1,0)</f>
        <v/>
      </c>
      <c r="AA729">
        <f>IF(AND(Z729=1,G729&lt;Assumptions!$C$6),1,0)</f>
        <v/>
      </c>
      <c r="AB729">
        <f>IF(U729=0,"",IF(Y729=1,MAX(0,Q729-G729),IF(L729=1,MAX(0,R729-G729),MAX(0,Assumptions!$C$6-G729))))</f>
        <v/>
      </c>
      <c r="AC729">
        <f>IF(Y729=1,Q729-F729,"")</f>
        <v/>
      </c>
      <c r="AD729">
        <f>IF(Y729=1,AC729^2,"")</f>
        <v/>
      </c>
      <c r="AE729" s="19">
        <f>IF(Z729=1,(H729-M729)*I729,0)</f>
        <v/>
      </c>
      <c r="AF729">
        <f>IF(G729&lt;EDATE(Assumptions!$C$6,-12)+1,"prior_12m","last_12m")</f>
        <v/>
      </c>
      <c r="AG729" s="21">
        <f>DATE(YEAR(G729),MONTH(G729),1)</f>
        <v/>
      </c>
    </row>
    <row r="730">
      <c r="A730" t="inlineStr">
        <is>
          <t>SPO-00404-2</t>
        </is>
      </c>
      <c r="B730" t="inlineStr">
        <is>
          <t>SPO-00404</t>
        </is>
      </c>
      <c r="C730" t="inlineStr">
        <is>
          <t>SUP-01</t>
        </is>
      </c>
      <c r="D730" t="inlineStr">
        <is>
          <t>ELEC</t>
        </is>
      </c>
      <c r="E730" t="inlineStr">
        <is>
          <t>ELEC-04</t>
        </is>
      </c>
      <c r="F730" s="17" t="n">
        <v>45673</v>
      </c>
      <c r="G730" s="17" t="n">
        <v>45691</v>
      </c>
      <c r="H730" s="18" t="n">
        <v>29</v>
      </c>
      <c r="I730" s="19" t="n">
        <v>73.69</v>
      </c>
      <c r="J730" s="19" t="n">
        <v>72</v>
      </c>
      <c r="K730" s="20" t="n">
        <v>0</v>
      </c>
      <c r="L730" s="20" t="n">
        <v>0</v>
      </c>
      <c r="M730" s="18" t="n">
        <v>29</v>
      </c>
      <c r="N730" s="18" t="n">
        <v>29</v>
      </c>
      <c r="O730" s="18" t="n">
        <v>0</v>
      </c>
      <c r="P730" s="17" t="n">
        <v>45687</v>
      </c>
      <c r="Q730" s="17" t="n">
        <v>45687</v>
      </c>
      <c r="R730" s="17" t="n">
        <v>45687</v>
      </c>
      <c r="S730" s="19">
        <f>H730*I730</f>
        <v/>
      </c>
      <c r="T730" s="19">
        <f>H730*J730</f>
        <v/>
      </c>
      <c r="U730">
        <f>IF(AND(K730=0,G730&lt;=Assumptions!$C$6),1,0)</f>
        <v/>
      </c>
      <c r="V730">
        <f>IF(U730=1,IF(M730&gt;0,IF(P730&lt;=G730+Assumptions!$C$7,1,0),0),0)</f>
        <v/>
      </c>
      <c r="W730">
        <f>IF(AND(U730=1,M730&gt;=H730*(1-Assumptions!$C$8)),1,0)</f>
        <v/>
      </c>
      <c r="X730">
        <f>IF(AND(U730=1,N730&gt;=H730*(1-Assumptions!$C$8)),1,0)</f>
        <v/>
      </c>
      <c r="Y730">
        <f>IF(ISNUMBER(Q730),1,0)</f>
        <v/>
      </c>
      <c r="Z730">
        <f>IF(AND(K730=0,L730=0,Y730=0),1,0)</f>
        <v/>
      </c>
      <c r="AA730">
        <f>IF(AND(Z730=1,G730&lt;Assumptions!$C$6),1,0)</f>
        <v/>
      </c>
      <c r="AB730">
        <f>IF(U730=0,"",IF(Y730=1,MAX(0,Q730-G730),IF(L730=1,MAX(0,R730-G730),MAX(0,Assumptions!$C$6-G730))))</f>
        <v/>
      </c>
      <c r="AC730">
        <f>IF(Y730=1,Q730-F730,"")</f>
        <v/>
      </c>
      <c r="AD730">
        <f>IF(Y730=1,AC730^2,"")</f>
        <v/>
      </c>
      <c r="AE730" s="19">
        <f>IF(Z730=1,(H730-M730)*I730,0)</f>
        <v/>
      </c>
      <c r="AF730">
        <f>IF(G730&lt;EDATE(Assumptions!$C$6,-12)+1,"prior_12m","last_12m")</f>
        <v/>
      </c>
      <c r="AG730" s="21">
        <f>DATE(YEAR(G730),MONTH(G730),1)</f>
        <v/>
      </c>
    </row>
    <row r="731">
      <c r="A731" t="inlineStr">
        <is>
          <t>SPO-00405-1</t>
        </is>
      </c>
      <c r="B731" t="inlineStr">
        <is>
          <t>SPO-00405</t>
        </is>
      </c>
      <c r="C731" t="inlineStr">
        <is>
          <t>SUP-05</t>
        </is>
      </c>
      <c r="D731" t="inlineStr">
        <is>
          <t>FLEET</t>
        </is>
      </c>
      <c r="E731" t="inlineStr">
        <is>
          <t>FLEET-05</t>
        </is>
      </c>
      <c r="F731" s="17" t="n">
        <v>45673</v>
      </c>
      <c r="G731" s="17" t="n">
        <v>45687</v>
      </c>
      <c r="H731" s="18" t="n">
        <v>4</v>
      </c>
      <c r="I731" s="19" t="n">
        <v>175.49</v>
      </c>
      <c r="J731" s="19" t="n">
        <v>168</v>
      </c>
      <c r="K731" s="20" t="n">
        <v>0</v>
      </c>
      <c r="L731" s="20" t="n">
        <v>0</v>
      </c>
      <c r="M731" s="18" t="n">
        <v>4</v>
      </c>
      <c r="N731" s="18" t="n">
        <v>4</v>
      </c>
      <c r="O731" s="18" t="n">
        <v>0</v>
      </c>
      <c r="P731" s="17" t="n">
        <v>45687</v>
      </c>
      <c r="Q731" s="17" t="n">
        <v>45687</v>
      </c>
      <c r="R731" s="17" t="n">
        <v>45687</v>
      </c>
      <c r="S731" s="19">
        <f>H731*I731</f>
        <v/>
      </c>
      <c r="T731" s="19">
        <f>H731*J731</f>
        <v/>
      </c>
      <c r="U731">
        <f>IF(AND(K731=0,G731&lt;=Assumptions!$C$6),1,0)</f>
        <v/>
      </c>
      <c r="V731">
        <f>IF(U731=1,IF(M731&gt;0,IF(P731&lt;=G731+Assumptions!$C$7,1,0),0),0)</f>
        <v/>
      </c>
      <c r="W731">
        <f>IF(AND(U731=1,M731&gt;=H731*(1-Assumptions!$C$8)),1,0)</f>
        <v/>
      </c>
      <c r="X731">
        <f>IF(AND(U731=1,N731&gt;=H731*(1-Assumptions!$C$8)),1,0)</f>
        <v/>
      </c>
      <c r="Y731">
        <f>IF(ISNUMBER(Q731),1,0)</f>
        <v/>
      </c>
      <c r="Z731">
        <f>IF(AND(K731=0,L731=0,Y731=0),1,0)</f>
        <v/>
      </c>
      <c r="AA731">
        <f>IF(AND(Z731=1,G731&lt;Assumptions!$C$6),1,0)</f>
        <v/>
      </c>
      <c r="AB731">
        <f>IF(U731=0,"",IF(Y731=1,MAX(0,Q731-G731),IF(L731=1,MAX(0,R731-G731),MAX(0,Assumptions!$C$6-G731))))</f>
        <v/>
      </c>
      <c r="AC731">
        <f>IF(Y731=1,Q731-F731,"")</f>
        <v/>
      </c>
      <c r="AD731">
        <f>IF(Y731=1,AC731^2,"")</f>
        <v/>
      </c>
      <c r="AE731" s="19">
        <f>IF(Z731=1,(H731-M731)*I731,0)</f>
        <v/>
      </c>
      <c r="AF731">
        <f>IF(G731&lt;EDATE(Assumptions!$C$6,-12)+1,"prior_12m","last_12m")</f>
        <v/>
      </c>
      <c r="AG731" s="21">
        <f>DATE(YEAR(G731),MONTH(G731),1)</f>
        <v/>
      </c>
    </row>
    <row r="732">
      <c r="A732" t="inlineStr">
        <is>
          <t>SPO-00406-1</t>
        </is>
      </c>
      <c r="B732" t="inlineStr">
        <is>
          <t>SPO-00406</t>
        </is>
      </c>
      <c r="C732" t="inlineStr">
        <is>
          <t>SUP-12</t>
        </is>
      </c>
      <c r="D732" t="inlineStr">
        <is>
          <t>IT</t>
        </is>
      </c>
      <c r="E732" t="inlineStr">
        <is>
          <t>IT-07</t>
        </is>
      </c>
      <c r="F732" s="17" t="n">
        <v>45673</v>
      </c>
      <c r="G732" s="17" t="n">
        <v>45683</v>
      </c>
      <c r="H732" s="18" t="n">
        <v>16</v>
      </c>
      <c r="I732" s="19" t="n">
        <v>85.88</v>
      </c>
      <c r="J732" s="19" t="n">
        <v>74</v>
      </c>
      <c r="K732" s="20" t="n">
        <v>0</v>
      </c>
      <c r="L732" s="20" t="n">
        <v>0</v>
      </c>
      <c r="M732" s="18" t="n">
        <v>16</v>
      </c>
      <c r="N732" s="18" t="n">
        <v>16</v>
      </c>
      <c r="O732" s="18" t="n">
        <v>0</v>
      </c>
      <c r="P732" s="17" t="n">
        <v>45679</v>
      </c>
      <c r="Q732" s="17" t="n">
        <v>45679</v>
      </c>
      <c r="R732" s="17" t="n">
        <v>45679</v>
      </c>
      <c r="S732" s="19">
        <f>H732*I732</f>
        <v/>
      </c>
      <c r="T732" s="19">
        <f>H732*J732</f>
        <v/>
      </c>
      <c r="U732">
        <f>IF(AND(K732=0,G732&lt;=Assumptions!$C$6),1,0)</f>
        <v/>
      </c>
      <c r="V732">
        <f>IF(U732=1,IF(M732&gt;0,IF(P732&lt;=G732+Assumptions!$C$7,1,0),0),0)</f>
        <v/>
      </c>
      <c r="W732">
        <f>IF(AND(U732=1,M732&gt;=H732*(1-Assumptions!$C$8)),1,0)</f>
        <v/>
      </c>
      <c r="X732">
        <f>IF(AND(U732=1,N732&gt;=H732*(1-Assumptions!$C$8)),1,0)</f>
        <v/>
      </c>
      <c r="Y732">
        <f>IF(ISNUMBER(Q732),1,0)</f>
        <v/>
      </c>
      <c r="Z732">
        <f>IF(AND(K732=0,L732=0,Y732=0),1,0)</f>
        <v/>
      </c>
      <c r="AA732">
        <f>IF(AND(Z732=1,G732&lt;Assumptions!$C$6),1,0)</f>
        <v/>
      </c>
      <c r="AB732">
        <f>IF(U732=0,"",IF(Y732=1,MAX(0,Q732-G732),IF(L732=1,MAX(0,R732-G732),MAX(0,Assumptions!$C$6-G732))))</f>
        <v/>
      </c>
      <c r="AC732">
        <f>IF(Y732=1,Q732-F732,"")</f>
        <v/>
      </c>
      <c r="AD732">
        <f>IF(Y732=1,AC732^2,"")</f>
        <v/>
      </c>
      <c r="AE732" s="19">
        <f>IF(Z732=1,(H732-M732)*I732,0)</f>
        <v/>
      </c>
      <c r="AF732">
        <f>IF(G732&lt;EDATE(Assumptions!$C$6,-12)+1,"prior_12m","last_12m")</f>
        <v/>
      </c>
      <c r="AG732" s="21">
        <f>DATE(YEAR(G732),MONTH(G732),1)</f>
        <v/>
      </c>
    </row>
    <row r="733">
      <c r="A733" t="inlineStr">
        <is>
          <t>SPO-00407-1</t>
        </is>
      </c>
      <c r="B733" t="inlineStr">
        <is>
          <t>SPO-00407</t>
        </is>
      </c>
      <c r="C733" t="inlineStr">
        <is>
          <t>SUP-05</t>
        </is>
      </c>
      <c r="D733" t="inlineStr">
        <is>
          <t>FLEET</t>
        </is>
      </c>
      <c r="E733" t="inlineStr">
        <is>
          <t>FLEET-06</t>
        </is>
      </c>
      <c r="F733" s="17" t="n">
        <v>45674</v>
      </c>
      <c r="G733" s="17" t="n">
        <v>45688</v>
      </c>
      <c r="H733" s="18" t="n">
        <v>83</v>
      </c>
      <c r="I733" s="19" t="n">
        <v>33.47</v>
      </c>
      <c r="J733" s="19" t="n">
        <v>33</v>
      </c>
      <c r="K733" s="20" t="n">
        <v>1</v>
      </c>
      <c r="L733" s="20" t="n">
        <v>0</v>
      </c>
      <c r="M733" s="18" t="n">
        <v>0</v>
      </c>
      <c r="N733" s="18" t="n">
        <v>0</v>
      </c>
      <c r="O733" s="18" t="n">
        <v>0</v>
      </c>
      <c r="P733" s="17" t="n"/>
      <c r="Q733" s="17" t="n"/>
      <c r="R733" s="17" t="n"/>
      <c r="S733" s="19">
        <f>H733*I733</f>
        <v/>
      </c>
      <c r="T733" s="19">
        <f>H733*J733</f>
        <v/>
      </c>
      <c r="U733">
        <f>IF(AND(K733=0,G733&lt;=Assumptions!$C$6),1,0)</f>
        <v/>
      </c>
      <c r="V733">
        <f>IF(U733=1,IF(M733&gt;0,IF(P733&lt;=G733+Assumptions!$C$7,1,0),0),0)</f>
        <v/>
      </c>
      <c r="W733">
        <f>IF(AND(U733=1,M733&gt;=H733*(1-Assumptions!$C$8)),1,0)</f>
        <v/>
      </c>
      <c r="X733">
        <f>IF(AND(U733=1,N733&gt;=H733*(1-Assumptions!$C$8)),1,0)</f>
        <v/>
      </c>
      <c r="Y733">
        <f>IF(ISNUMBER(Q733),1,0)</f>
        <v/>
      </c>
      <c r="Z733">
        <f>IF(AND(K733=0,L733=0,Y733=0),1,0)</f>
        <v/>
      </c>
      <c r="AA733">
        <f>IF(AND(Z733=1,G733&lt;Assumptions!$C$6),1,0)</f>
        <v/>
      </c>
      <c r="AB733">
        <f>IF(U733=0,"",IF(Y733=1,MAX(0,Q733-G733),IF(L733=1,MAX(0,R733-G733),MAX(0,Assumptions!$C$6-G733))))</f>
        <v/>
      </c>
      <c r="AC733">
        <f>IF(Y733=1,Q733-F733,"")</f>
        <v/>
      </c>
      <c r="AD733">
        <f>IF(Y733=1,AC733^2,"")</f>
        <v/>
      </c>
      <c r="AE733" s="19">
        <f>IF(Z733=1,(H733-M733)*I733,0)</f>
        <v/>
      </c>
      <c r="AF733">
        <f>IF(G733&lt;EDATE(Assumptions!$C$6,-12)+1,"prior_12m","last_12m")</f>
        <v/>
      </c>
      <c r="AG733" s="21">
        <f>DATE(YEAR(G733),MONTH(G733),1)</f>
        <v/>
      </c>
    </row>
    <row r="734">
      <c r="A734" t="inlineStr">
        <is>
          <t>SPO-00408-1</t>
        </is>
      </c>
      <c r="B734" t="inlineStr">
        <is>
          <t>SPO-00408</t>
        </is>
      </c>
      <c r="C734" t="inlineStr">
        <is>
          <t>SUP-05</t>
        </is>
      </c>
      <c r="D734" t="inlineStr">
        <is>
          <t>FLEET</t>
        </is>
      </c>
      <c r="E734" t="inlineStr">
        <is>
          <t>FLEET-06</t>
        </is>
      </c>
      <c r="F734" s="17" t="n">
        <v>45674</v>
      </c>
      <c r="G734" s="17" t="n">
        <v>45688</v>
      </c>
      <c r="H734" s="18" t="n">
        <v>83</v>
      </c>
      <c r="I734" s="19" t="n">
        <v>33.48</v>
      </c>
      <c r="J734" s="19" t="n">
        <v>33</v>
      </c>
      <c r="K734" s="20" t="n">
        <v>0</v>
      </c>
      <c r="L734" s="20" t="n">
        <v>0</v>
      </c>
      <c r="M734" s="18" t="n">
        <v>83</v>
      </c>
      <c r="N734" s="18" t="n">
        <v>83</v>
      </c>
      <c r="O734" s="18" t="n">
        <v>0</v>
      </c>
      <c r="P734" s="17" t="n">
        <v>45687</v>
      </c>
      <c r="Q734" s="17" t="n">
        <v>45687</v>
      </c>
      <c r="R734" s="17" t="n">
        <v>45687</v>
      </c>
      <c r="S734" s="19">
        <f>H734*I734</f>
        <v/>
      </c>
      <c r="T734" s="19">
        <f>H734*J734</f>
        <v/>
      </c>
      <c r="U734">
        <f>IF(AND(K734=0,G734&lt;=Assumptions!$C$6),1,0)</f>
        <v/>
      </c>
      <c r="V734">
        <f>IF(U734=1,IF(M734&gt;0,IF(P734&lt;=G734+Assumptions!$C$7,1,0),0),0)</f>
        <v/>
      </c>
      <c r="W734">
        <f>IF(AND(U734=1,M734&gt;=H734*(1-Assumptions!$C$8)),1,0)</f>
        <v/>
      </c>
      <c r="X734">
        <f>IF(AND(U734=1,N734&gt;=H734*(1-Assumptions!$C$8)),1,0)</f>
        <v/>
      </c>
      <c r="Y734">
        <f>IF(ISNUMBER(Q734),1,0)</f>
        <v/>
      </c>
      <c r="Z734">
        <f>IF(AND(K734=0,L734=0,Y734=0),1,0)</f>
        <v/>
      </c>
      <c r="AA734">
        <f>IF(AND(Z734=1,G734&lt;Assumptions!$C$6),1,0)</f>
        <v/>
      </c>
      <c r="AB734">
        <f>IF(U734=0,"",IF(Y734=1,MAX(0,Q734-G734),IF(L734=1,MAX(0,R734-G734),MAX(0,Assumptions!$C$6-G734))))</f>
        <v/>
      </c>
      <c r="AC734">
        <f>IF(Y734=1,Q734-F734,"")</f>
        <v/>
      </c>
      <c r="AD734">
        <f>IF(Y734=1,AC734^2,"")</f>
        <v/>
      </c>
      <c r="AE734" s="19">
        <f>IF(Z734=1,(H734-M734)*I734,0)</f>
        <v/>
      </c>
      <c r="AF734">
        <f>IF(G734&lt;EDATE(Assumptions!$C$6,-12)+1,"prior_12m","last_12m")</f>
        <v/>
      </c>
      <c r="AG734" s="21">
        <f>DATE(YEAR(G734),MONTH(G734),1)</f>
        <v/>
      </c>
    </row>
    <row r="735">
      <c r="A735" t="inlineStr">
        <is>
          <t>SPO-00408-2</t>
        </is>
      </c>
      <c r="B735" t="inlineStr">
        <is>
          <t>SPO-00408</t>
        </is>
      </c>
      <c r="C735" t="inlineStr">
        <is>
          <t>SUP-05</t>
        </is>
      </c>
      <c r="D735" t="inlineStr">
        <is>
          <t>FLEET</t>
        </is>
      </c>
      <c r="E735" t="inlineStr">
        <is>
          <t>FLEET-07</t>
        </is>
      </c>
      <c r="F735" s="17" t="n">
        <v>45674</v>
      </c>
      <c r="G735" s="17" t="n">
        <v>45688</v>
      </c>
      <c r="H735" s="18" t="n">
        <v>10</v>
      </c>
      <c r="I735" s="19" t="n">
        <v>121.78</v>
      </c>
      <c r="J735" s="19" t="n">
        <v>118</v>
      </c>
      <c r="K735" s="20" t="n">
        <v>0</v>
      </c>
      <c r="L735" s="20" t="n">
        <v>0</v>
      </c>
      <c r="M735" s="18" t="n">
        <v>10</v>
      </c>
      <c r="N735" s="18" t="n">
        <v>5</v>
      </c>
      <c r="O735" s="18" t="n">
        <v>0</v>
      </c>
      <c r="P735" s="17" t="n">
        <v>45684</v>
      </c>
      <c r="Q735" s="17" t="n">
        <v>45698</v>
      </c>
      <c r="R735" s="17" t="n">
        <v>45698</v>
      </c>
      <c r="S735" s="19">
        <f>H735*I735</f>
        <v/>
      </c>
      <c r="T735" s="19">
        <f>H735*J735</f>
        <v/>
      </c>
      <c r="U735">
        <f>IF(AND(K735=0,G735&lt;=Assumptions!$C$6),1,0)</f>
        <v/>
      </c>
      <c r="V735">
        <f>IF(U735=1,IF(M735&gt;0,IF(P735&lt;=G735+Assumptions!$C$7,1,0),0),0)</f>
        <v/>
      </c>
      <c r="W735">
        <f>IF(AND(U735=1,M735&gt;=H735*(1-Assumptions!$C$8)),1,0)</f>
        <v/>
      </c>
      <c r="X735">
        <f>IF(AND(U735=1,N735&gt;=H735*(1-Assumptions!$C$8)),1,0)</f>
        <v/>
      </c>
      <c r="Y735">
        <f>IF(ISNUMBER(Q735),1,0)</f>
        <v/>
      </c>
      <c r="Z735">
        <f>IF(AND(K735=0,L735=0,Y735=0),1,0)</f>
        <v/>
      </c>
      <c r="AA735">
        <f>IF(AND(Z735=1,G735&lt;Assumptions!$C$6),1,0)</f>
        <v/>
      </c>
      <c r="AB735">
        <f>IF(U735=0,"",IF(Y735=1,MAX(0,Q735-G735),IF(L735=1,MAX(0,R735-G735),MAX(0,Assumptions!$C$6-G735))))</f>
        <v/>
      </c>
      <c r="AC735">
        <f>IF(Y735=1,Q735-F735,"")</f>
        <v/>
      </c>
      <c r="AD735">
        <f>IF(Y735=1,AC735^2,"")</f>
        <v/>
      </c>
      <c r="AE735" s="19">
        <f>IF(Z735=1,(H735-M735)*I735,0)</f>
        <v/>
      </c>
      <c r="AF735">
        <f>IF(G735&lt;EDATE(Assumptions!$C$6,-12)+1,"prior_12m","last_12m")</f>
        <v/>
      </c>
      <c r="AG735" s="21">
        <f>DATE(YEAR(G735),MONTH(G735),1)</f>
        <v/>
      </c>
    </row>
    <row r="736">
      <c r="A736" t="inlineStr">
        <is>
          <t>SPO-00408-3</t>
        </is>
      </c>
      <c r="B736" t="inlineStr">
        <is>
          <t>SPO-00408</t>
        </is>
      </c>
      <c r="C736" t="inlineStr">
        <is>
          <t>SUP-05</t>
        </is>
      </c>
      <c r="D736" t="inlineStr">
        <is>
          <t>FLEET</t>
        </is>
      </c>
      <c r="E736" t="inlineStr">
        <is>
          <t>FLEET-04</t>
        </is>
      </c>
      <c r="F736" s="17" t="n">
        <v>45674</v>
      </c>
      <c r="G736" s="17" t="n">
        <v>45688</v>
      </c>
      <c r="H736" s="18" t="n">
        <v>144</v>
      </c>
      <c r="I736" s="19" t="n">
        <v>9.699999999999999</v>
      </c>
      <c r="J736" s="19" t="n">
        <v>9</v>
      </c>
      <c r="K736" s="20" t="n">
        <v>0</v>
      </c>
      <c r="L736" s="20" t="n">
        <v>0</v>
      </c>
      <c r="M736" s="18" t="n">
        <v>144</v>
      </c>
      <c r="N736" s="18" t="n">
        <v>144</v>
      </c>
      <c r="O736" s="18" t="n">
        <v>0</v>
      </c>
      <c r="P736" s="17" t="n">
        <v>45683</v>
      </c>
      <c r="Q736" s="17" t="n">
        <v>45683</v>
      </c>
      <c r="R736" s="17" t="n">
        <v>45683</v>
      </c>
      <c r="S736" s="19">
        <f>H736*I736</f>
        <v/>
      </c>
      <c r="T736" s="19">
        <f>H736*J736</f>
        <v/>
      </c>
      <c r="U736">
        <f>IF(AND(K736=0,G736&lt;=Assumptions!$C$6),1,0)</f>
        <v/>
      </c>
      <c r="V736">
        <f>IF(U736=1,IF(M736&gt;0,IF(P736&lt;=G736+Assumptions!$C$7,1,0),0),0)</f>
        <v/>
      </c>
      <c r="W736">
        <f>IF(AND(U736=1,M736&gt;=H736*(1-Assumptions!$C$8)),1,0)</f>
        <v/>
      </c>
      <c r="X736">
        <f>IF(AND(U736=1,N736&gt;=H736*(1-Assumptions!$C$8)),1,0)</f>
        <v/>
      </c>
      <c r="Y736">
        <f>IF(ISNUMBER(Q736),1,0)</f>
        <v/>
      </c>
      <c r="Z736">
        <f>IF(AND(K736=0,L736=0,Y736=0),1,0)</f>
        <v/>
      </c>
      <c r="AA736">
        <f>IF(AND(Z736=1,G736&lt;Assumptions!$C$6),1,0)</f>
        <v/>
      </c>
      <c r="AB736">
        <f>IF(U736=0,"",IF(Y736=1,MAX(0,Q736-G736),IF(L736=1,MAX(0,R736-G736),MAX(0,Assumptions!$C$6-G736))))</f>
        <v/>
      </c>
      <c r="AC736">
        <f>IF(Y736=1,Q736-F736,"")</f>
        <v/>
      </c>
      <c r="AD736">
        <f>IF(Y736=1,AC736^2,"")</f>
        <v/>
      </c>
      <c r="AE736" s="19">
        <f>IF(Z736=1,(H736-M736)*I736,0)</f>
        <v/>
      </c>
      <c r="AF736">
        <f>IF(G736&lt;EDATE(Assumptions!$C$6,-12)+1,"prior_12m","last_12m")</f>
        <v/>
      </c>
      <c r="AG736" s="21">
        <f>DATE(YEAR(G736),MONTH(G736),1)</f>
        <v/>
      </c>
    </row>
    <row r="737">
      <c r="A737" t="inlineStr">
        <is>
          <t>SPO-00409-1</t>
        </is>
      </c>
      <c r="B737" t="inlineStr">
        <is>
          <t>SPO-00409</t>
        </is>
      </c>
      <c r="C737" t="inlineStr">
        <is>
          <t>SUP-05</t>
        </is>
      </c>
      <c r="D737" t="inlineStr">
        <is>
          <t>FLEET</t>
        </is>
      </c>
      <c r="E737" t="inlineStr">
        <is>
          <t>FLEET-03</t>
        </is>
      </c>
      <c r="F737" s="17" t="n">
        <v>45676</v>
      </c>
      <c r="G737" s="17" t="n">
        <v>45690</v>
      </c>
      <c r="H737" s="18" t="n">
        <v>115</v>
      </c>
      <c r="I737" s="19" t="n">
        <v>22.57</v>
      </c>
      <c r="J737" s="19" t="n">
        <v>21</v>
      </c>
      <c r="K737" s="20" t="n">
        <v>0</v>
      </c>
      <c r="L737" s="20" t="n">
        <v>0</v>
      </c>
      <c r="M737" s="18" t="n">
        <v>115</v>
      </c>
      <c r="N737" s="18" t="n">
        <v>115</v>
      </c>
      <c r="O737" s="18" t="n">
        <v>0</v>
      </c>
      <c r="P737" s="17" t="n">
        <v>45687</v>
      </c>
      <c r="Q737" s="17" t="n">
        <v>45687</v>
      </c>
      <c r="R737" s="17" t="n">
        <v>45687</v>
      </c>
      <c r="S737" s="19">
        <f>H737*I737</f>
        <v/>
      </c>
      <c r="T737" s="19">
        <f>H737*J737</f>
        <v/>
      </c>
      <c r="U737">
        <f>IF(AND(K737=0,G737&lt;=Assumptions!$C$6),1,0)</f>
        <v/>
      </c>
      <c r="V737">
        <f>IF(U737=1,IF(M737&gt;0,IF(P737&lt;=G737+Assumptions!$C$7,1,0),0),0)</f>
        <v/>
      </c>
      <c r="W737">
        <f>IF(AND(U737=1,M737&gt;=H737*(1-Assumptions!$C$8)),1,0)</f>
        <v/>
      </c>
      <c r="X737">
        <f>IF(AND(U737=1,N737&gt;=H737*(1-Assumptions!$C$8)),1,0)</f>
        <v/>
      </c>
      <c r="Y737">
        <f>IF(ISNUMBER(Q737),1,0)</f>
        <v/>
      </c>
      <c r="Z737">
        <f>IF(AND(K737=0,L737=0,Y737=0),1,0)</f>
        <v/>
      </c>
      <c r="AA737">
        <f>IF(AND(Z737=1,G737&lt;Assumptions!$C$6),1,0)</f>
        <v/>
      </c>
      <c r="AB737">
        <f>IF(U737=0,"",IF(Y737=1,MAX(0,Q737-G737),IF(L737=1,MAX(0,R737-G737),MAX(0,Assumptions!$C$6-G737))))</f>
        <v/>
      </c>
      <c r="AC737">
        <f>IF(Y737=1,Q737-F737,"")</f>
        <v/>
      </c>
      <c r="AD737">
        <f>IF(Y737=1,AC737^2,"")</f>
        <v/>
      </c>
      <c r="AE737" s="19">
        <f>IF(Z737=1,(H737-M737)*I737,0)</f>
        <v/>
      </c>
      <c r="AF737">
        <f>IF(G737&lt;EDATE(Assumptions!$C$6,-12)+1,"prior_12m","last_12m")</f>
        <v/>
      </c>
      <c r="AG737" s="21">
        <f>DATE(YEAR(G737),MONTH(G737),1)</f>
        <v/>
      </c>
    </row>
    <row r="738">
      <c r="A738" t="inlineStr">
        <is>
          <t>SPO-00409-2</t>
        </is>
      </c>
      <c r="B738" t="inlineStr">
        <is>
          <t>SPO-00409</t>
        </is>
      </c>
      <c r="C738" t="inlineStr">
        <is>
          <t>SUP-05</t>
        </is>
      </c>
      <c r="D738" t="inlineStr">
        <is>
          <t>FLEET</t>
        </is>
      </c>
      <c r="E738" t="inlineStr">
        <is>
          <t>FLEET-02</t>
        </is>
      </c>
      <c r="F738" s="17" t="n">
        <v>45676</v>
      </c>
      <c r="G738" s="17" t="n">
        <v>45690</v>
      </c>
      <c r="H738" s="18" t="n">
        <v>326</v>
      </c>
      <c r="I738" s="19" t="n">
        <v>7.57</v>
      </c>
      <c r="J738" s="19" t="n">
        <v>7.5</v>
      </c>
      <c r="K738" s="20" t="n">
        <v>0</v>
      </c>
      <c r="L738" s="20" t="n">
        <v>0</v>
      </c>
      <c r="M738" s="18" t="n">
        <v>326</v>
      </c>
      <c r="N738" s="18" t="n">
        <v>326</v>
      </c>
      <c r="O738" s="18" t="n">
        <v>0</v>
      </c>
      <c r="P738" s="17" t="n">
        <v>45688</v>
      </c>
      <c r="Q738" s="17" t="n">
        <v>45688</v>
      </c>
      <c r="R738" s="17" t="n">
        <v>45688</v>
      </c>
      <c r="S738" s="19">
        <f>H738*I738</f>
        <v/>
      </c>
      <c r="T738" s="19">
        <f>H738*J738</f>
        <v/>
      </c>
      <c r="U738">
        <f>IF(AND(K738=0,G738&lt;=Assumptions!$C$6),1,0)</f>
        <v/>
      </c>
      <c r="V738">
        <f>IF(U738=1,IF(M738&gt;0,IF(P738&lt;=G738+Assumptions!$C$7,1,0),0),0)</f>
        <v/>
      </c>
      <c r="W738">
        <f>IF(AND(U738=1,M738&gt;=H738*(1-Assumptions!$C$8)),1,0)</f>
        <v/>
      </c>
      <c r="X738">
        <f>IF(AND(U738=1,N738&gt;=H738*(1-Assumptions!$C$8)),1,0)</f>
        <v/>
      </c>
      <c r="Y738">
        <f>IF(ISNUMBER(Q738),1,0)</f>
        <v/>
      </c>
      <c r="Z738">
        <f>IF(AND(K738=0,L738=0,Y738=0),1,0)</f>
        <v/>
      </c>
      <c r="AA738">
        <f>IF(AND(Z738=1,G738&lt;Assumptions!$C$6),1,0)</f>
        <v/>
      </c>
      <c r="AB738">
        <f>IF(U738=0,"",IF(Y738=1,MAX(0,Q738-G738),IF(L738=1,MAX(0,R738-G738),MAX(0,Assumptions!$C$6-G738))))</f>
        <v/>
      </c>
      <c r="AC738">
        <f>IF(Y738=1,Q738-F738,"")</f>
        <v/>
      </c>
      <c r="AD738">
        <f>IF(Y738=1,AC738^2,"")</f>
        <v/>
      </c>
      <c r="AE738" s="19">
        <f>IF(Z738=1,(H738-M738)*I738,0)</f>
        <v/>
      </c>
      <c r="AF738">
        <f>IF(G738&lt;EDATE(Assumptions!$C$6,-12)+1,"prior_12m","last_12m")</f>
        <v/>
      </c>
      <c r="AG738" s="21">
        <f>DATE(YEAR(G738),MONTH(G738),1)</f>
        <v/>
      </c>
    </row>
    <row r="739">
      <c r="A739" t="inlineStr">
        <is>
          <t>SPO-00410-1</t>
        </is>
      </c>
      <c r="B739" t="inlineStr">
        <is>
          <t>SPO-00410</t>
        </is>
      </c>
      <c r="C739" t="inlineStr">
        <is>
          <t>SUP-09</t>
        </is>
      </c>
      <c r="D739" t="inlineStr">
        <is>
          <t>CHEM</t>
        </is>
      </c>
      <c r="E739" t="inlineStr">
        <is>
          <t>CHEM-01</t>
        </is>
      </c>
      <c r="F739" s="17" t="n">
        <v>45676</v>
      </c>
      <c r="G739" s="17" t="n">
        <v>45690</v>
      </c>
      <c r="H739" s="18" t="n">
        <v>2</v>
      </c>
      <c r="I739" s="19" t="n">
        <v>674.09</v>
      </c>
      <c r="J739" s="19" t="n">
        <v>640</v>
      </c>
      <c r="K739" s="20" t="n">
        <v>1</v>
      </c>
      <c r="L739" s="20" t="n">
        <v>0</v>
      </c>
      <c r="M739" s="18" t="n">
        <v>0</v>
      </c>
      <c r="N739" s="18" t="n">
        <v>0</v>
      </c>
      <c r="O739" s="18" t="n">
        <v>0</v>
      </c>
      <c r="P739" s="17" t="n"/>
      <c r="Q739" s="17" t="n"/>
      <c r="R739" s="17" t="n"/>
      <c r="S739" s="19">
        <f>H739*I739</f>
        <v/>
      </c>
      <c r="T739" s="19">
        <f>H739*J739</f>
        <v/>
      </c>
      <c r="U739">
        <f>IF(AND(K739=0,G739&lt;=Assumptions!$C$6),1,0)</f>
        <v/>
      </c>
      <c r="V739">
        <f>IF(U739=1,IF(M739&gt;0,IF(P739&lt;=G739+Assumptions!$C$7,1,0),0),0)</f>
        <v/>
      </c>
      <c r="W739">
        <f>IF(AND(U739=1,M739&gt;=H739*(1-Assumptions!$C$8)),1,0)</f>
        <v/>
      </c>
      <c r="X739">
        <f>IF(AND(U739=1,N739&gt;=H739*(1-Assumptions!$C$8)),1,0)</f>
        <v/>
      </c>
      <c r="Y739">
        <f>IF(ISNUMBER(Q739),1,0)</f>
        <v/>
      </c>
      <c r="Z739">
        <f>IF(AND(K739=0,L739=0,Y739=0),1,0)</f>
        <v/>
      </c>
      <c r="AA739">
        <f>IF(AND(Z739=1,G739&lt;Assumptions!$C$6),1,0)</f>
        <v/>
      </c>
      <c r="AB739">
        <f>IF(U739=0,"",IF(Y739=1,MAX(0,Q739-G739),IF(L739=1,MAX(0,R739-G739),MAX(0,Assumptions!$C$6-G739))))</f>
        <v/>
      </c>
      <c r="AC739">
        <f>IF(Y739=1,Q739-F739,"")</f>
        <v/>
      </c>
      <c r="AD739">
        <f>IF(Y739=1,AC739^2,"")</f>
        <v/>
      </c>
      <c r="AE739" s="19">
        <f>IF(Z739=1,(H739-M739)*I739,0)</f>
        <v/>
      </c>
      <c r="AF739">
        <f>IF(G739&lt;EDATE(Assumptions!$C$6,-12)+1,"prior_12m","last_12m")</f>
        <v/>
      </c>
      <c r="AG739" s="21">
        <f>DATE(YEAR(G739),MONTH(G739),1)</f>
        <v/>
      </c>
    </row>
    <row r="740">
      <c r="A740" t="inlineStr">
        <is>
          <t>SPO-00410-2</t>
        </is>
      </c>
      <c r="B740" t="inlineStr">
        <is>
          <t>SPO-00410</t>
        </is>
      </c>
      <c r="C740" t="inlineStr">
        <is>
          <t>SUP-09</t>
        </is>
      </c>
      <c r="D740" t="inlineStr">
        <is>
          <t>CHEM</t>
        </is>
      </c>
      <c r="E740" t="inlineStr">
        <is>
          <t>CHEM-04</t>
        </is>
      </c>
      <c r="F740" s="17" t="n">
        <v>45676</v>
      </c>
      <c r="G740" s="17" t="n">
        <v>45690</v>
      </c>
      <c r="H740" s="18" t="n">
        <v>2</v>
      </c>
      <c r="I740" s="19" t="n">
        <v>823.9</v>
      </c>
      <c r="J740" s="19" t="n">
        <v>820</v>
      </c>
      <c r="K740" s="20" t="n">
        <v>0</v>
      </c>
      <c r="L740" s="20" t="n">
        <v>0</v>
      </c>
      <c r="M740" s="18" t="n">
        <v>2</v>
      </c>
      <c r="N740" s="18" t="n">
        <v>2</v>
      </c>
      <c r="O740" s="18" t="n">
        <v>0</v>
      </c>
      <c r="P740" s="17" t="n">
        <v>45686</v>
      </c>
      <c r="Q740" s="17" t="n">
        <v>45686</v>
      </c>
      <c r="R740" s="17" t="n">
        <v>45686</v>
      </c>
      <c r="S740" s="19">
        <f>H740*I740</f>
        <v/>
      </c>
      <c r="T740" s="19">
        <f>H740*J740</f>
        <v/>
      </c>
      <c r="U740">
        <f>IF(AND(K740=0,G740&lt;=Assumptions!$C$6),1,0)</f>
        <v/>
      </c>
      <c r="V740">
        <f>IF(U740=1,IF(M740&gt;0,IF(P740&lt;=G740+Assumptions!$C$7,1,0),0),0)</f>
        <v/>
      </c>
      <c r="W740">
        <f>IF(AND(U740=1,M740&gt;=H740*(1-Assumptions!$C$8)),1,0)</f>
        <v/>
      </c>
      <c r="X740">
        <f>IF(AND(U740=1,N740&gt;=H740*(1-Assumptions!$C$8)),1,0)</f>
        <v/>
      </c>
      <c r="Y740">
        <f>IF(ISNUMBER(Q740),1,0)</f>
        <v/>
      </c>
      <c r="Z740">
        <f>IF(AND(K740=0,L740=0,Y740=0),1,0)</f>
        <v/>
      </c>
      <c r="AA740">
        <f>IF(AND(Z740=1,G740&lt;Assumptions!$C$6),1,0)</f>
        <v/>
      </c>
      <c r="AB740">
        <f>IF(U740=0,"",IF(Y740=1,MAX(0,Q740-G740),IF(L740=1,MAX(0,R740-G740),MAX(0,Assumptions!$C$6-G740))))</f>
        <v/>
      </c>
      <c r="AC740">
        <f>IF(Y740=1,Q740-F740,"")</f>
        <v/>
      </c>
      <c r="AD740">
        <f>IF(Y740=1,AC740^2,"")</f>
        <v/>
      </c>
      <c r="AE740" s="19">
        <f>IF(Z740=1,(H740-M740)*I740,0)</f>
        <v/>
      </c>
      <c r="AF740">
        <f>IF(G740&lt;EDATE(Assumptions!$C$6,-12)+1,"prior_12m","last_12m")</f>
        <v/>
      </c>
      <c r="AG740" s="21">
        <f>DATE(YEAR(G740),MONTH(G740),1)</f>
        <v/>
      </c>
    </row>
    <row r="741">
      <c r="A741" t="inlineStr">
        <is>
          <t>SPO-00411-1</t>
        </is>
      </c>
      <c r="B741" t="inlineStr">
        <is>
          <t>SPO-00411</t>
        </is>
      </c>
      <c r="C741" t="inlineStr">
        <is>
          <t>SUP-02</t>
        </is>
      </c>
      <c r="D741" t="inlineStr">
        <is>
          <t>ELEC</t>
        </is>
      </c>
      <c r="E741" t="inlineStr">
        <is>
          <t>ELEC-02</t>
        </is>
      </c>
      <c r="F741" s="17" t="n">
        <v>45676</v>
      </c>
      <c r="G741" s="17" t="n">
        <v>45692</v>
      </c>
      <c r="H741" s="18" t="n">
        <v>715</v>
      </c>
      <c r="I741" s="19" t="n">
        <v>3.92</v>
      </c>
      <c r="J741" s="19" t="n">
        <v>4.2</v>
      </c>
      <c r="K741" s="20" t="n">
        <v>0</v>
      </c>
      <c r="L741" s="20" t="n">
        <v>0</v>
      </c>
      <c r="M741" s="18" t="n">
        <v>715</v>
      </c>
      <c r="N741" s="18" t="n">
        <v>715</v>
      </c>
      <c r="O741" s="18" t="n">
        <v>0</v>
      </c>
      <c r="P741" s="17" t="n">
        <v>45688</v>
      </c>
      <c r="Q741" s="17" t="n">
        <v>45688</v>
      </c>
      <c r="R741" s="17" t="n">
        <v>45688</v>
      </c>
      <c r="S741" s="19">
        <f>H741*I741</f>
        <v/>
      </c>
      <c r="T741" s="19">
        <f>H741*J741</f>
        <v/>
      </c>
      <c r="U741">
        <f>IF(AND(K741=0,G741&lt;=Assumptions!$C$6),1,0)</f>
        <v/>
      </c>
      <c r="V741">
        <f>IF(U741=1,IF(M741&gt;0,IF(P741&lt;=G741+Assumptions!$C$7,1,0),0),0)</f>
        <v/>
      </c>
      <c r="W741">
        <f>IF(AND(U741=1,M741&gt;=H741*(1-Assumptions!$C$8)),1,0)</f>
        <v/>
      </c>
      <c r="X741">
        <f>IF(AND(U741=1,N741&gt;=H741*(1-Assumptions!$C$8)),1,0)</f>
        <v/>
      </c>
      <c r="Y741">
        <f>IF(ISNUMBER(Q741),1,0)</f>
        <v/>
      </c>
      <c r="Z741">
        <f>IF(AND(K741=0,L741=0,Y741=0),1,0)</f>
        <v/>
      </c>
      <c r="AA741">
        <f>IF(AND(Z741=1,G741&lt;Assumptions!$C$6),1,0)</f>
        <v/>
      </c>
      <c r="AB741">
        <f>IF(U741=0,"",IF(Y741=1,MAX(0,Q741-G741),IF(L741=1,MAX(0,R741-G741),MAX(0,Assumptions!$C$6-G741))))</f>
        <v/>
      </c>
      <c r="AC741">
        <f>IF(Y741=1,Q741-F741,"")</f>
        <v/>
      </c>
      <c r="AD741">
        <f>IF(Y741=1,AC741^2,"")</f>
        <v/>
      </c>
      <c r="AE741" s="19">
        <f>IF(Z741=1,(H741-M741)*I741,0)</f>
        <v/>
      </c>
      <c r="AF741">
        <f>IF(G741&lt;EDATE(Assumptions!$C$6,-12)+1,"prior_12m","last_12m")</f>
        <v/>
      </c>
      <c r="AG741" s="21">
        <f>DATE(YEAR(G741),MONTH(G741),1)</f>
        <v/>
      </c>
    </row>
    <row r="742">
      <c r="A742" t="inlineStr">
        <is>
          <t>SPO-00411-2</t>
        </is>
      </c>
      <c r="B742" t="inlineStr">
        <is>
          <t>SPO-00411</t>
        </is>
      </c>
      <c r="C742" t="inlineStr">
        <is>
          <t>SUP-02</t>
        </is>
      </c>
      <c r="D742" t="inlineStr">
        <is>
          <t>ELEC</t>
        </is>
      </c>
      <c r="E742" t="inlineStr">
        <is>
          <t>ELEC-03</t>
        </is>
      </c>
      <c r="F742" s="17" t="n">
        <v>45676</v>
      </c>
      <c r="G742" s="17" t="n">
        <v>45692</v>
      </c>
      <c r="H742" s="18" t="n">
        <v>6</v>
      </c>
      <c r="I742" s="19" t="n">
        <v>91.8</v>
      </c>
      <c r="J742" s="19" t="n">
        <v>96</v>
      </c>
      <c r="K742" s="20" t="n">
        <v>0</v>
      </c>
      <c r="L742" s="20" t="n">
        <v>0</v>
      </c>
      <c r="M742" s="18" t="n">
        <v>6</v>
      </c>
      <c r="N742" s="18" t="n">
        <v>6</v>
      </c>
      <c r="O742" s="18" t="n">
        <v>0</v>
      </c>
      <c r="P742" s="17" t="n">
        <v>45689</v>
      </c>
      <c r="Q742" s="17" t="n">
        <v>45689</v>
      </c>
      <c r="R742" s="17" t="n">
        <v>45689</v>
      </c>
      <c r="S742" s="19">
        <f>H742*I742</f>
        <v/>
      </c>
      <c r="T742" s="19">
        <f>H742*J742</f>
        <v/>
      </c>
      <c r="U742">
        <f>IF(AND(K742=0,G742&lt;=Assumptions!$C$6),1,0)</f>
        <v/>
      </c>
      <c r="V742">
        <f>IF(U742=1,IF(M742&gt;0,IF(P742&lt;=G742+Assumptions!$C$7,1,0),0),0)</f>
        <v/>
      </c>
      <c r="W742">
        <f>IF(AND(U742=1,M742&gt;=H742*(1-Assumptions!$C$8)),1,0)</f>
        <v/>
      </c>
      <c r="X742">
        <f>IF(AND(U742=1,N742&gt;=H742*(1-Assumptions!$C$8)),1,0)</f>
        <v/>
      </c>
      <c r="Y742">
        <f>IF(ISNUMBER(Q742),1,0)</f>
        <v/>
      </c>
      <c r="Z742">
        <f>IF(AND(K742=0,L742=0,Y742=0),1,0)</f>
        <v/>
      </c>
      <c r="AA742">
        <f>IF(AND(Z742=1,G742&lt;Assumptions!$C$6),1,0)</f>
        <v/>
      </c>
      <c r="AB742">
        <f>IF(U742=0,"",IF(Y742=1,MAX(0,Q742-G742),IF(L742=1,MAX(0,R742-G742),MAX(0,Assumptions!$C$6-G742))))</f>
        <v/>
      </c>
      <c r="AC742">
        <f>IF(Y742=1,Q742-F742,"")</f>
        <v/>
      </c>
      <c r="AD742">
        <f>IF(Y742=1,AC742^2,"")</f>
        <v/>
      </c>
      <c r="AE742" s="19">
        <f>IF(Z742=1,(H742-M742)*I742,0)</f>
        <v/>
      </c>
      <c r="AF742">
        <f>IF(G742&lt;EDATE(Assumptions!$C$6,-12)+1,"prior_12m","last_12m")</f>
        <v/>
      </c>
      <c r="AG742" s="21">
        <f>DATE(YEAR(G742),MONTH(G742),1)</f>
        <v/>
      </c>
    </row>
    <row r="743">
      <c r="A743" t="inlineStr">
        <is>
          <t>SPO-00411-3</t>
        </is>
      </c>
      <c r="B743" t="inlineStr">
        <is>
          <t>SPO-00411</t>
        </is>
      </c>
      <c r="C743" t="inlineStr">
        <is>
          <t>SUP-02</t>
        </is>
      </c>
      <c r="D743" t="inlineStr">
        <is>
          <t>ELEC</t>
        </is>
      </c>
      <c r="E743" t="inlineStr">
        <is>
          <t>ELEC-05</t>
        </is>
      </c>
      <c r="F743" s="17" t="n">
        <v>45676</v>
      </c>
      <c r="G743" s="17" t="n">
        <v>45692</v>
      </c>
      <c r="H743" s="18" t="n">
        <v>214</v>
      </c>
      <c r="I743" s="19" t="n">
        <v>10.82</v>
      </c>
      <c r="J743" s="19" t="n">
        <v>11.5</v>
      </c>
      <c r="K743" s="20" t="n">
        <v>0</v>
      </c>
      <c r="L743" s="20" t="n">
        <v>0</v>
      </c>
      <c r="M743" s="18" t="n">
        <v>214</v>
      </c>
      <c r="N743" s="18" t="n">
        <v>214</v>
      </c>
      <c r="O743" s="18" t="n">
        <v>0</v>
      </c>
      <c r="P743" s="17" t="n">
        <v>45689</v>
      </c>
      <c r="Q743" s="17" t="n">
        <v>45689</v>
      </c>
      <c r="R743" s="17" t="n">
        <v>45689</v>
      </c>
      <c r="S743" s="19">
        <f>H743*I743</f>
        <v/>
      </c>
      <c r="T743" s="19">
        <f>H743*J743</f>
        <v/>
      </c>
      <c r="U743">
        <f>IF(AND(K743=0,G743&lt;=Assumptions!$C$6),1,0)</f>
        <v/>
      </c>
      <c r="V743">
        <f>IF(U743=1,IF(M743&gt;0,IF(P743&lt;=G743+Assumptions!$C$7,1,0),0),0)</f>
        <v/>
      </c>
      <c r="W743">
        <f>IF(AND(U743=1,M743&gt;=H743*(1-Assumptions!$C$8)),1,0)</f>
        <v/>
      </c>
      <c r="X743">
        <f>IF(AND(U743=1,N743&gt;=H743*(1-Assumptions!$C$8)),1,0)</f>
        <v/>
      </c>
      <c r="Y743">
        <f>IF(ISNUMBER(Q743),1,0)</f>
        <v/>
      </c>
      <c r="Z743">
        <f>IF(AND(K743=0,L743=0,Y743=0),1,0)</f>
        <v/>
      </c>
      <c r="AA743">
        <f>IF(AND(Z743=1,G743&lt;Assumptions!$C$6),1,0)</f>
        <v/>
      </c>
      <c r="AB743">
        <f>IF(U743=0,"",IF(Y743=1,MAX(0,Q743-G743),IF(L743=1,MAX(0,R743-G743),MAX(0,Assumptions!$C$6-G743))))</f>
        <v/>
      </c>
      <c r="AC743">
        <f>IF(Y743=1,Q743-F743,"")</f>
        <v/>
      </c>
      <c r="AD743">
        <f>IF(Y743=1,AC743^2,"")</f>
        <v/>
      </c>
      <c r="AE743" s="19">
        <f>IF(Z743=1,(H743-M743)*I743,0)</f>
        <v/>
      </c>
      <c r="AF743">
        <f>IF(G743&lt;EDATE(Assumptions!$C$6,-12)+1,"prior_12m","last_12m")</f>
        <v/>
      </c>
      <c r="AG743" s="21">
        <f>DATE(YEAR(G743),MONTH(G743),1)</f>
        <v/>
      </c>
    </row>
    <row r="744">
      <c r="A744" t="inlineStr">
        <is>
          <t>SPO-00412-1</t>
        </is>
      </c>
      <c r="B744" t="inlineStr">
        <is>
          <t>SPO-00412</t>
        </is>
      </c>
      <c r="C744" t="inlineStr">
        <is>
          <t>SUP-10</t>
        </is>
      </c>
      <c r="D744" t="inlineStr">
        <is>
          <t>PPE</t>
        </is>
      </c>
      <c r="E744" t="inlineStr">
        <is>
          <t>PPE-02</t>
        </is>
      </c>
      <c r="F744" s="17" t="n">
        <v>45677</v>
      </c>
      <c r="G744" s="17" t="n">
        <v>45690</v>
      </c>
      <c r="H744" s="18" t="n">
        <v>197</v>
      </c>
      <c r="I744" s="19" t="n">
        <v>11.94</v>
      </c>
      <c r="J744" s="19" t="n">
        <v>12.5</v>
      </c>
      <c r="K744" s="20" t="n">
        <v>0</v>
      </c>
      <c r="L744" s="20" t="n">
        <v>0</v>
      </c>
      <c r="M744" s="18" t="n">
        <v>197</v>
      </c>
      <c r="N744" s="18" t="n">
        <v>138</v>
      </c>
      <c r="O744" s="18" t="n">
        <v>28</v>
      </c>
      <c r="P744" s="17" t="n">
        <v>45688</v>
      </c>
      <c r="Q744" s="17" t="n">
        <v>45706</v>
      </c>
      <c r="R744" s="17" t="n">
        <v>45706</v>
      </c>
      <c r="S744" s="19">
        <f>H744*I744</f>
        <v/>
      </c>
      <c r="T744" s="19">
        <f>H744*J744</f>
        <v/>
      </c>
      <c r="U744">
        <f>IF(AND(K744=0,G744&lt;=Assumptions!$C$6),1,0)</f>
        <v/>
      </c>
      <c r="V744">
        <f>IF(U744=1,IF(M744&gt;0,IF(P744&lt;=G744+Assumptions!$C$7,1,0),0),0)</f>
        <v/>
      </c>
      <c r="W744">
        <f>IF(AND(U744=1,M744&gt;=H744*(1-Assumptions!$C$8)),1,0)</f>
        <v/>
      </c>
      <c r="X744">
        <f>IF(AND(U744=1,N744&gt;=H744*(1-Assumptions!$C$8)),1,0)</f>
        <v/>
      </c>
      <c r="Y744">
        <f>IF(ISNUMBER(Q744),1,0)</f>
        <v/>
      </c>
      <c r="Z744">
        <f>IF(AND(K744=0,L744=0,Y744=0),1,0)</f>
        <v/>
      </c>
      <c r="AA744">
        <f>IF(AND(Z744=1,G744&lt;Assumptions!$C$6),1,0)</f>
        <v/>
      </c>
      <c r="AB744">
        <f>IF(U744=0,"",IF(Y744=1,MAX(0,Q744-G744),IF(L744=1,MAX(0,R744-G744),MAX(0,Assumptions!$C$6-G744))))</f>
        <v/>
      </c>
      <c r="AC744">
        <f>IF(Y744=1,Q744-F744,"")</f>
        <v/>
      </c>
      <c r="AD744">
        <f>IF(Y744=1,AC744^2,"")</f>
        <v/>
      </c>
      <c r="AE744" s="19">
        <f>IF(Z744=1,(H744-M744)*I744,0)</f>
        <v/>
      </c>
      <c r="AF744">
        <f>IF(G744&lt;EDATE(Assumptions!$C$6,-12)+1,"prior_12m","last_12m")</f>
        <v/>
      </c>
      <c r="AG744" s="21">
        <f>DATE(YEAR(G744),MONTH(G744),1)</f>
        <v/>
      </c>
    </row>
    <row r="745">
      <c r="A745" t="inlineStr">
        <is>
          <t>SPO-00413-1</t>
        </is>
      </c>
      <c r="B745" t="inlineStr">
        <is>
          <t>SPO-00413</t>
        </is>
      </c>
      <c r="C745" t="inlineStr">
        <is>
          <t>SUP-06</t>
        </is>
      </c>
      <c r="D745" t="inlineStr">
        <is>
          <t>MRO</t>
        </is>
      </c>
      <c r="E745" t="inlineStr">
        <is>
          <t>MRO-05</t>
        </is>
      </c>
      <c r="F745" s="17" t="n">
        <v>45677</v>
      </c>
      <c r="G745" s="17" t="n">
        <v>45685</v>
      </c>
      <c r="H745" s="18" t="n">
        <v>40</v>
      </c>
      <c r="I745" s="19" t="n">
        <v>35.33</v>
      </c>
      <c r="J745" s="19" t="n">
        <v>36</v>
      </c>
      <c r="K745" s="20" t="n">
        <v>0</v>
      </c>
      <c r="L745" s="20" t="n">
        <v>0</v>
      </c>
      <c r="M745" s="18" t="n">
        <v>40</v>
      </c>
      <c r="N745" s="18" t="n">
        <v>40</v>
      </c>
      <c r="O745" s="18" t="n">
        <v>0</v>
      </c>
      <c r="P745" s="17" t="n">
        <v>45684</v>
      </c>
      <c r="Q745" s="17" t="n">
        <v>45684</v>
      </c>
      <c r="R745" s="17" t="n">
        <v>45684</v>
      </c>
      <c r="S745" s="19">
        <f>H745*I745</f>
        <v/>
      </c>
      <c r="T745" s="19">
        <f>H745*J745</f>
        <v/>
      </c>
      <c r="U745">
        <f>IF(AND(K745=0,G745&lt;=Assumptions!$C$6),1,0)</f>
        <v/>
      </c>
      <c r="V745">
        <f>IF(U745=1,IF(M745&gt;0,IF(P745&lt;=G745+Assumptions!$C$7,1,0),0),0)</f>
        <v/>
      </c>
      <c r="W745">
        <f>IF(AND(U745=1,M745&gt;=H745*(1-Assumptions!$C$8)),1,0)</f>
        <v/>
      </c>
      <c r="X745">
        <f>IF(AND(U745=1,N745&gt;=H745*(1-Assumptions!$C$8)),1,0)</f>
        <v/>
      </c>
      <c r="Y745">
        <f>IF(ISNUMBER(Q745),1,0)</f>
        <v/>
      </c>
      <c r="Z745">
        <f>IF(AND(K745=0,L745=0,Y745=0),1,0)</f>
        <v/>
      </c>
      <c r="AA745">
        <f>IF(AND(Z745=1,G745&lt;Assumptions!$C$6),1,0)</f>
        <v/>
      </c>
      <c r="AB745">
        <f>IF(U745=0,"",IF(Y745=1,MAX(0,Q745-G745),IF(L745=1,MAX(0,R745-G745),MAX(0,Assumptions!$C$6-G745))))</f>
        <v/>
      </c>
      <c r="AC745">
        <f>IF(Y745=1,Q745-F745,"")</f>
        <v/>
      </c>
      <c r="AD745">
        <f>IF(Y745=1,AC745^2,"")</f>
        <v/>
      </c>
      <c r="AE745" s="19">
        <f>IF(Z745=1,(H745-M745)*I745,0)</f>
        <v/>
      </c>
      <c r="AF745">
        <f>IF(G745&lt;EDATE(Assumptions!$C$6,-12)+1,"prior_12m","last_12m")</f>
        <v/>
      </c>
      <c r="AG745" s="21">
        <f>DATE(YEAR(G745),MONTH(G745),1)</f>
        <v/>
      </c>
    </row>
    <row r="746">
      <c r="A746" t="inlineStr">
        <is>
          <t>SPO-00414-1</t>
        </is>
      </c>
      <c r="B746" t="inlineStr">
        <is>
          <t>SPO-00414</t>
        </is>
      </c>
      <c r="C746" t="inlineStr">
        <is>
          <t>SUP-06</t>
        </is>
      </c>
      <c r="D746" t="inlineStr">
        <is>
          <t>MRO</t>
        </is>
      </c>
      <c r="E746" t="inlineStr">
        <is>
          <t>MRO-08</t>
        </is>
      </c>
      <c r="F746" s="17" t="n">
        <v>45677</v>
      </c>
      <c r="G746" s="17" t="n">
        <v>45685</v>
      </c>
      <c r="H746" s="18" t="n">
        <v>235</v>
      </c>
      <c r="I746" s="19" t="n">
        <v>7.12</v>
      </c>
      <c r="J746" s="19" t="n">
        <v>7.2</v>
      </c>
      <c r="K746" s="20" t="n">
        <v>0</v>
      </c>
      <c r="L746" s="20" t="n">
        <v>0</v>
      </c>
      <c r="M746" s="18" t="n">
        <v>235</v>
      </c>
      <c r="N746" s="18" t="n">
        <v>235</v>
      </c>
      <c r="O746" s="18" t="n">
        <v>0</v>
      </c>
      <c r="P746" s="17" t="n">
        <v>45684</v>
      </c>
      <c r="Q746" s="17" t="n">
        <v>45684</v>
      </c>
      <c r="R746" s="17" t="n">
        <v>45684</v>
      </c>
      <c r="S746" s="19">
        <f>H746*I746</f>
        <v/>
      </c>
      <c r="T746" s="19">
        <f>H746*J746</f>
        <v/>
      </c>
      <c r="U746">
        <f>IF(AND(K746=0,G746&lt;=Assumptions!$C$6),1,0)</f>
        <v/>
      </c>
      <c r="V746">
        <f>IF(U746=1,IF(M746&gt;0,IF(P746&lt;=G746+Assumptions!$C$7,1,0),0),0)</f>
        <v/>
      </c>
      <c r="W746">
        <f>IF(AND(U746=1,M746&gt;=H746*(1-Assumptions!$C$8)),1,0)</f>
        <v/>
      </c>
      <c r="X746">
        <f>IF(AND(U746=1,N746&gt;=H746*(1-Assumptions!$C$8)),1,0)</f>
        <v/>
      </c>
      <c r="Y746">
        <f>IF(ISNUMBER(Q746),1,0)</f>
        <v/>
      </c>
      <c r="Z746">
        <f>IF(AND(K746=0,L746=0,Y746=0),1,0)</f>
        <v/>
      </c>
      <c r="AA746">
        <f>IF(AND(Z746=1,G746&lt;Assumptions!$C$6),1,0)</f>
        <v/>
      </c>
      <c r="AB746">
        <f>IF(U746=0,"",IF(Y746=1,MAX(0,Q746-G746),IF(L746=1,MAX(0,R746-G746),MAX(0,Assumptions!$C$6-G746))))</f>
        <v/>
      </c>
      <c r="AC746">
        <f>IF(Y746=1,Q746-F746,"")</f>
        <v/>
      </c>
      <c r="AD746">
        <f>IF(Y746=1,AC746^2,"")</f>
        <v/>
      </c>
      <c r="AE746" s="19">
        <f>IF(Z746=1,(H746-M746)*I746,0)</f>
        <v/>
      </c>
      <c r="AF746">
        <f>IF(G746&lt;EDATE(Assumptions!$C$6,-12)+1,"prior_12m","last_12m")</f>
        <v/>
      </c>
      <c r="AG746" s="21">
        <f>DATE(YEAR(G746),MONTH(G746),1)</f>
        <v/>
      </c>
    </row>
    <row r="747">
      <c r="A747" t="inlineStr">
        <is>
          <t>SPO-00415-1</t>
        </is>
      </c>
      <c r="B747" t="inlineStr">
        <is>
          <t>SPO-00415</t>
        </is>
      </c>
      <c r="C747" t="inlineStr">
        <is>
          <t>SUP-04</t>
        </is>
      </c>
      <c r="D747" t="inlineStr">
        <is>
          <t>FLEET</t>
        </is>
      </c>
      <c r="E747" t="inlineStr">
        <is>
          <t>FLEET-02</t>
        </is>
      </c>
      <c r="F747" s="17" t="n">
        <v>45677</v>
      </c>
      <c r="G747" s="17" t="n">
        <v>45690</v>
      </c>
      <c r="H747" s="18" t="n">
        <v>121</v>
      </c>
      <c r="I747" s="19" t="n">
        <v>7.56</v>
      </c>
      <c r="J747" s="19" t="n">
        <v>7.5</v>
      </c>
      <c r="K747" s="20" t="n">
        <v>0</v>
      </c>
      <c r="L747" s="20" t="n">
        <v>0</v>
      </c>
      <c r="M747" s="18" t="n">
        <v>121</v>
      </c>
      <c r="N747" s="18" t="n">
        <v>121</v>
      </c>
      <c r="O747" s="18" t="n">
        <v>0</v>
      </c>
      <c r="P747" s="17" t="n">
        <v>45686</v>
      </c>
      <c r="Q747" s="17" t="n">
        <v>45686</v>
      </c>
      <c r="R747" s="17" t="n">
        <v>45686</v>
      </c>
      <c r="S747" s="19">
        <f>H747*I747</f>
        <v/>
      </c>
      <c r="T747" s="19">
        <f>H747*J747</f>
        <v/>
      </c>
      <c r="U747">
        <f>IF(AND(K747=0,G747&lt;=Assumptions!$C$6),1,0)</f>
        <v/>
      </c>
      <c r="V747">
        <f>IF(U747=1,IF(M747&gt;0,IF(P747&lt;=G747+Assumptions!$C$7,1,0),0),0)</f>
        <v/>
      </c>
      <c r="W747">
        <f>IF(AND(U747=1,M747&gt;=H747*(1-Assumptions!$C$8)),1,0)</f>
        <v/>
      </c>
      <c r="X747">
        <f>IF(AND(U747=1,N747&gt;=H747*(1-Assumptions!$C$8)),1,0)</f>
        <v/>
      </c>
      <c r="Y747">
        <f>IF(ISNUMBER(Q747),1,0)</f>
        <v/>
      </c>
      <c r="Z747">
        <f>IF(AND(K747=0,L747=0,Y747=0),1,0)</f>
        <v/>
      </c>
      <c r="AA747">
        <f>IF(AND(Z747=1,G747&lt;Assumptions!$C$6),1,0)</f>
        <v/>
      </c>
      <c r="AB747">
        <f>IF(U747=0,"",IF(Y747=1,MAX(0,Q747-G747),IF(L747=1,MAX(0,R747-G747),MAX(0,Assumptions!$C$6-G747))))</f>
        <v/>
      </c>
      <c r="AC747">
        <f>IF(Y747=1,Q747-F747,"")</f>
        <v/>
      </c>
      <c r="AD747">
        <f>IF(Y747=1,AC747^2,"")</f>
        <v/>
      </c>
      <c r="AE747" s="19">
        <f>IF(Z747=1,(H747-M747)*I747,0)</f>
        <v/>
      </c>
      <c r="AF747">
        <f>IF(G747&lt;EDATE(Assumptions!$C$6,-12)+1,"prior_12m","last_12m")</f>
        <v/>
      </c>
      <c r="AG747" s="21">
        <f>DATE(YEAR(G747),MONTH(G747),1)</f>
        <v/>
      </c>
    </row>
    <row r="748">
      <c r="A748" t="inlineStr">
        <is>
          <t>SPO-00416-1</t>
        </is>
      </c>
      <c r="B748" t="inlineStr">
        <is>
          <t>SPO-00416</t>
        </is>
      </c>
      <c r="C748" t="inlineStr">
        <is>
          <t>SUP-05</t>
        </is>
      </c>
      <c r="D748" t="inlineStr">
        <is>
          <t>FLEET</t>
        </is>
      </c>
      <c r="E748" t="inlineStr">
        <is>
          <t>FLEET-06</t>
        </is>
      </c>
      <c r="F748" s="17" t="n">
        <v>45677</v>
      </c>
      <c r="G748" s="17" t="n">
        <v>45691</v>
      </c>
      <c r="H748" s="18" t="n">
        <v>34</v>
      </c>
      <c r="I748" s="19" t="n">
        <v>32.55</v>
      </c>
      <c r="J748" s="19" t="n">
        <v>33</v>
      </c>
      <c r="K748" s="20" t="n">
        <v>0</v>
      </c>
      <c r="L748" s="20" t="n">
        <v>0</v>
      </c>
      <c r="M748" s="18" t="n">
        <v>34</v>
      </c>
      <c r="N748" s="18" t="n">
        <v>34</v>
      </c>
      <c r="O748" s="18" t="n">
        <v>0</v>
      </c>
      <c r="P748" s="17" t="n">
        <v>45689</v>
      </c>
      <c r="Q748" s="17" t="n">
        <v>45689</v>
      </c>
      <c r="R748" s="17" t="n">
        <v>45689</v>
      </c>
      <c r="S748" s="19">
        <f>H748*I748</f>
        <v/>
      </c>
      <c r="T748" s="19">
        <f>H748*J748</f>
        <v/>
      </c>
      <c r="U748">
        <f>IF(AND(K748=0,G748&lt;=Assumptions!$C$6),1,0)</f>
        <v/>
      </c>
      <c r="V748">
        <f>IF(U748=1,IF(M748&gt;0,IF(P748&lt;=G748+Assumptions!$C$7,1,0),0),0)</f>
        <v/>
      </c>
      <c r="W748">
        <f>IF(AND(U748=1,M748&gt;=H748*(1-Assumptions!$C$8)),1,0)</f>
        <v/>
      </c>
      <c r="X748">
        <f>IF(AND(U748=1,N748&gt;=H748*(1-Assumptions!$C$8)),1,0)</f>
        <v/>
      </c>
      <c r="Y748">
        <f>IF(ISNUMBER(Q748),1,0)</f>
        <v/>
      </c>
      <c r="Z748">
        <f>IF(AND(K748=0,L748=0,Y748=0),1,0)</f>
        <v/>
      </c>
      <c r="AA748">
        <f>IF(AND(Z748=1,G748&lt;Assumptions!$C$6),1,0)</f>
        <v/>
      </c>
      <c r="AB748">
        <f>IF(U748=0,"",IF(Y748=1,MAX(0,Q748-G748),IF(L748=1,MAX(0,R748-G748),MAX(0,Assumptions!$C$6-G748))))</f>
        <v/>
      </c>
      <c r="AC748">
        <f>IF(Y748=1,Q748-F748,"")</f>
        <v/>
      </c>
      <c r="AD748">
        <f>IF(Y748=1,AC748^2,"")</f>
        <v/>
      </c>
      <c r="AE748" s="19">
        <f>IF(Z748=1,(H748-M748)*I748,0)</f>
        <v/>
      </c>
      <c r="AF748">
        <f>IF(G748&lt;EDATE(Assumptions!$C$6,-12)+1,"prior_12m","last_12m")</f>
        <v/>
      </c>
      <c r="AG748" s="21">
        <f>DATE(YEAR(G748),MONTH(G748),1)</f>
        <v/>
      </c>
    </row>
    <row r="749">
      <c r="A749" t="inlineStr">
        <is>
          <t>SPO-00417-1</t>
        </is>
      </c>
      <c r="B749" t="inlineStr">
        <is>
          <t>SPO-00417</t>
        </is>
      </c>
      <c r="C749" t="inlineStr">
        <is>
          <t>SUP-04</t>
        </is>
      </c>
      <c r="D749" t="inlineStr">
        <is>
          <t>FLEET</t>
        </is>
      </c>
      <c r="E749" t="inlineStr">
        <is>
          <t>FLEET-03</t>
        </is>
      </c>
      <c r="F749" s="17" t="n">
        <v>45678</v>
      </c>
      <c r="G749" s="17" t="n">
        <v>45691</v>
      </c>
      <c r="H749" s="18" t="n">
        <v>47</v>
      </c>
      <c r="I749" s="19" t="n">
        <v>21.22</v>
      </c>
      <c r="J749" s="19" t="n">
        <v>21</v>
      </c>
      <c r="K749" s="20" t="n">
        <v>0</v>
      </c>
      <c r="L749" s="20" t="n">
        <v>0</v>
      </c>
      <c r="M749" s="18" t="n">
        <v>47</v>
      </c>
      <c r="N749" s="18" t="n">
        <v>47</v>
      </c>
      <c r="O749" s="18" t="n">
        <v>0</v>
      </c>
      <c r="P749" s="17" t="n">
        <v>45682</v>
      </c>
      <c r="Q749" s="17" t="n">
        <v>45682</v>
      </c>
      <c r="R749" s="17" t="n">
        <v>45682</v>
      </c>
      <c r="S749" s="19">
        <f>H749*I749</f>
        <v/>
      </c>
      <c r="T749" s="19">
        <f>H749*J749</f>
        <v/>
      </c>
      <c r="U749">
        <f>IF(AND(K749=0,G749&lt;=Assumptions!$C$6),1,0)</f>
        <v/>
      </c>
      <c r="V749">
        <f>IF(U749=1,IF(M749&gt;0,IF(P749&lt;=G749+Assumptions!$C$7,1,0),0),0)</f>
        <v/>
      </c>
      <c r="W749">
        <f>IF(AND(U749=1,M749&gt;=H749*(1-Assumptions!$C$8)),1,0)</f>
        <v/>
      </c>
      <c r="X749">
        <f>IF(AND(U749=1,N749&gt;=H749*(1-Assumptions!$C$8)),1,0)</f>
        <v/>
      </c>
      <c r="Y749">
        <f>IF(ISNUMBER(Q749),1,0)</f>
        <v/>
      </c>
      <c r="Z749">
        <f>IF(AND(K749=0,L749=0,Y749=0),1,0)</f>
        <v/>
      </c>
      <c r="AA749">
        <f>IF(AND(Z749=1,G749&lt;Assumptions!$C$6),1,0)</f>
        <v/>
      </c>
      <c r="AB749">
        <f>IF(U749=0,"",IF(Y749=1,MAX(0,Q749-G749),IF(L749=1,MAX(0,R749-G749),MAX(0,Assumptions!$C$6-G749))))</f>
        <v/>
      </c>
      <c r="AC749">
        <f>IF(Y749=1,Q749-F749,"")</f>
        <v/>
      </c>
      <c r="AD749">
        <f>IF(Y749=1,AC749^2,"")</f>
        <v/>
      </c>
      <c r="AE749" s="19">
        <f>IF(Z749=1,(H749-M749)*I749,0)</f>
        <v/>
      </c>
      <c r="AF749">
        <f>IF(G749&lt;EDATE(Assumptions!$C$6,-12)+1,"prior_12m","last_12m")</f>
        <v/>
      </c>
      <c r="AG749" s="21">
        <f>DATE(YEAR(G749),MONTH(G749),1)</f>
        <v/>
      </c>
    </row>
    <row r="750">
      <c r="A750" t="inlineStr">
        <is>
          <t>SPO-00418-1</t>
        </is>
      </c>
      <c r="B750" t="inlineStr">
        <is>
          <t>SPO-00418</t>
        </is>
      </c>
      <c r="C750" t="inlineStr">
        <is>
          <t>SUP-07</t>
        </is>
      </c>
      <c r="D750" t="inlineStr">
        <is>
          <t>MRO</t>
        </is>
      </c>
      <c r="E750" t="inlineStr">
        <is>
          <t>MRO-01</t>
        </is>
      </c>
      <c r="F750" s="17" t="n">
        <v>45678</v>
      </c>
      <c r="G750" s="17" t="n">
        <v>45688</v>
      </c>
      <c r="H750" s="18" t="n">
        <v>66</v>
      </c>
      <c r="I750" s="19" t="n">
        <v>50.81</v>
      </c>
      <c r="J750" s="19" t="n">
        <v>52</v>
      </c>
      <c r="K750" s="20" t="n">
        <v>0</v>
      </c>
      <c r="L750" s="20" t="n">
        <v>0</v>
      </c>
      <c r="M750" s="18" t="n">
        <v>66</v>
      </c>
      <c r="N750" s="18" t="n">
        <v>66</v>
      </c>
      <c r="O750" s="18" t="n">
        <v>0</v>
      </c>
      <c r="P750" s="17" t="n">
        <v>45688</v>
      </c>
      <c r="Q750" s="17" t="n">
        <v>45688</v>
      </c>
      <c r="R750" s="17" t="n">
        <v>45688</v>
      </c>
      <c r="S750" s="19">
        <f>H750*I750</f>
        <v/>
      </c>
      <c r="T750" s="19">
        <f>H750*J750</f>
        <v/>
      </c>
      <c r="U750">
        <f>IF(AND(K750=0,G750&lt;=Assumptions!$C$6),1,0)</f>
        <v/>
      </c>
      <c r="V750">
        <f>IF(U750=1,IF(M750&gt;0,IF(P750&lt;=G750+Assumptions!$C$7,1,0),0),0)</f>
        <v/>
      </c>
      <c r="W750">
        <f>IF(AND(U750=1,M750&gt;=H750*(1-Assumptions!$C$8)),1,0)</f>
        <v/>
      </c>
      <c r="X750">
        <f>IF(AND(U750=1,N750&gt;=H750*(1-Assumptions!$C$8)),1,0)</f>
        <v/>
      </c>
      <c r="Y750">
        <f>IF(ISNUMBER(Q750),1,0)</f>
        <v/>
      </c>
      <c r="Z750">
        <f>IF(AND(K750=0,L750=0,Y750=0),1,0)</f>
        <v/>
      </c>
      <c r="AA750">
        <f>IF(AND(Z750=1,G750&lt;Assumptions!$C$6),1,0)</f>
        <v/>
      </c>
      <c r="AB750">
        <f>IF(U750=0,"",IF(Y750=1,MAX(0,Q750-G750),IF(L750=1,MAX(0,R750-G750),MAX(0,Assumptions!$C$6-G750))))</f>
        <v/>
      </c>
      <c r="AC750">
        <f>IF(Y750=1,Q750-F750,"")</f>
        <v/>
      </c>
      <c r="AD750">
        <f>IF(Y750=1,AC750^2,"")</f>
        <v/>
      </c>
      <c r="AE750" s="19">
        <f>IF(Z750=1,(H750-M750)*I750,0)</f>
        <v/>
      </c>
      <c r="AF750">
        <f>IF(G750&lt;EDATE(Assumptions!$C$6,-12)+1,"prior_12m","last_12m")</f>
        <v/>
      </c>
      <c r="AG750" s="21">
        <f>DATE(YEAR(G750),MONTH(G750),1)</f>
        <v/>
      </c>
    </row>
    <row r="751">
      <c r="A751" t="inlineStr">
        <is>
          <t>SPO-00419-1</t>
        </is>
      </c>
      <c r="B751" t="inlineStr">
        <is>
          <t>SPO-00419</t>
        </is>
      </c>
      <c r="C751" t="inlineStr">
        <is>
          <t>SUP-09</t>
        </is>
      </c>
      <c r="D751" t="inlineStr">
        <is>
          <t>CHEM</t>
        </is>
      </c>
      <c r="E751" t="inlineStr">
        <is>
          <t>CHEM-04</t>
        </is>
      </c>
      <c r="F751" s="17" t="n">
        <v>45678</v>
      </c>
      <c r="G751" s="17" t="n">
        <v>45692</v>
      </c>
      <c r="H751" s="18" t="n">
        <v>2</v>
      </c>
      <c r="I751" s="19" t="n">
        <v>876.62</v>
      </c>
      <c r="J751" s="19" t="n">
        <v>820</v>
      </c>
      <c r="K751" s="20" t="n">
        <v>0</v>
      </c>
      <c r="L751" s="20" t="n">
        <v>0</v>
      </c>
      <c r="M751" s="18" t="n">
        <v>2</v>
      </c>
      <c r="N751" s="18" t="n">
        <v>2</v>
      </c>
      <c r="O751" s="18" t="n">
        <v>0</v>
      </c>
      <c r="P751" s="17" t="n">
        <v>45691</v>
      </c>
      <c r="Q751" s="17" t="n">
        <v>45691</v>
      </c>
      <c r="R751" s="17" t="n">
        <v>45691</v>
      </c>
      <c r="S751" s="19">
        <f>H751*I751</f>
        <v/>
      </c>
      <c r="T751" s="19">
        <f>H751*J751</f>
        <v/>
      </c>
      <c r="U751">
        <f>IF(AND(K751=0,G751&lt;=Assumptions!$C$6),1,0)</f>
        <v/>
      </c>
      <c r="V751">
        <f>IF(U751=1,IF(M751&gt;0,IF(P751&lt;=G751+Assumptions!$C$7,1,0),0),0)</f>
        <v/>
      </c>
      <c r="W751">
        <f>IF(AND(U751=1,M751&gt;=H751*(1-Assumptions!$C$8)),1,0)</f>
        <v/>
      </c>
      <c r="X751">
        <f>IF(AND(U751=1,N751&gt;=H751*(1-Assumptions!$C$8)),1,0)</f>
        <v/>
      </c>
      <c r="Y751">
        <f>IF(ISNUMBER(Q751),1,0)</f>
        <v/>
      </c>
      <c r="Z751">
        <f>IF(AND(K751=0,L751=0,Y751=0),1,0)</f>
        <v/>
      </c>
      <c r="AA751">
        <f>IF(AND(Z751=1,G751&lt;Assumptions!$C$6),1,0)</f>
        <v/>
      </c>
      <c r="AB751">
        <f>IF(U751=0,"",IF(Y751=1,MAX(0,Q751-G751),IF(L751=1,MAX(0,R751-G751),MAX(0,Assumptions!$C$6-G751))))</f>
        <v/>
      </c>
      <c r="AC751">
        <f>IF(Y751=1,Q751-F751,"")</f>
        <v/>
      </c>
      <c r="AD751">
        <f>IF(Y751=1,AC751^2,"")</f>
        <v/>
      </c>
      <c r="AE751" s="19">
        <f>IF(Z751=1,(H751-M751)*I751,0)</f>
        <v/>
      </c>
      <c r="AF751">
        <f>IF(G751&lt;EDATE(Assumptions!$C$6,-12)+1,"prior_12m","last_12m")</f>
        <v/>
      </c>
      <c r="AG751" s="21">
        <f>DATE(YEAR(G751),MONTH(G751),1)</f>
        <v/>
      </c>
    </row>
    <row r="752">
      <c r="A752" t="inlineStr">
        <is>
          <t>SPO-00419-2</t>
        </is>
      </c>
      <c r="B752" t="inlineStr">
        <is>
          <t>SPO-00419</t>
        </is>
      </c>
      <c r="C752" t="inlineStr">
        <is>
          <t>SUP-09</t>
        </is>
      </c>
      <c r="D752" t="inlineStr">
        <is>
          <t>CHEM</t>
        </is>
      </c>
      <c r="E752" t="inlineStr">
        <is>
          <t>CHEM-03</t>
        </is>
      </c>
      <c r="F752" s="17" t="n">
        <v>45678</v>
      </c>
      <c r="G752" s="17" t="n">
        <v>45692</v>
      </c>
      <c r="H752" s="18" t="n">
        <v>3</v>
      </c>
      <c r="I752" s="19" t="n">
        <v>266.06</v>
      </c>
      <c r="J752" s="19" t="n">
        <v>265</v>
      </c>
      <c r="K752" s="20" t="n">
        <v>0</v>
      </c>
      <c r="L752" s="20" t="n">
        <v>0</v>
      </c>
      <c r="M752" s="18" t="n">
        <v>3</v>
      </c>
      <c r="N752" s="18" t="n">
        <v>3</v>
      </c>
      <c r="O752" s="18" t="n">
        <v>0</v>
      </c>
      <c r="P752" s="17" t="n">
        <v>45690</v>
      </c>
      <c r="Q752" s="17" t="n">
        <v>45690</v>
      </c>
      <c r="R752" s="17" t="n">
        <v>45690</v>
      </c>
      <c r="S752" s="19">
        <f>H752*I752</f>
        <v/>
      </c>
      <c r="T752" s="19">
        <f>H752*J752</f>
        <v/>
      </c>
      <c r="U752">
        <f>IF(AND(K752=0,G752&lt;=Assumptions!$C$6),1,0)</f>
        <v/>
      </c>
      <c r="V752">
        <f>IF(U752=1,IF(M752&gt;0,IF(P752&lt;=G752+Assumptions!$C$7,1,0),0),0)</f>
        <v/>
      </c>
      <c r="W752">
        <f>IF(AND(U752=1,M752&gt;=H752*(1-Assumptions!$C$8)),1,0)</f>
        <v/>
      </c>
      <c r="X752">
        <f>IF(AND(U752=1,N752&gt;=H752*(1-Assumptions!$C$8)),1,0)</f>
        <v/>
      </c>
      <c r="Y752">
        <f>IF(ISNUMBER(Q752),1,0)</f>
        <v/>
      </c>
      <c r="Z752">
        <f>IF(AND(K752=0,L752=0,Y752=0),1,0)</f>
        <v/>
      </c>
      <c r="AA752">
        <f>IF(AND(Z752=1,G752&lt;Assumptions!$C$6),1,0)</f>
        <v/>
      </c>
      <c r="AB752">
        <f>IF(U752=0,"",IF(Y752=1,MAX(0,Q752-G752),IF(L752=1,MAX(0,R752-G752),MAX(0,Assumptions!$C$6-G752))))</f>
        <v/>
      </c>
      <c r="AC752">
        <f>IF(Y752=1,Q752-F752,"")</f>
        <v/>
      </c>
      <c r="AD752">
        <f>IF(Y752=1,AC752^2,"")</f>
        <v/>
      </c>
      <c r="AE752" s="19">
        <f>IF(Z752=1,(H752-M752)*I752,0)</f>
        <v/>
      </c>
      <c r="AF752">
        <f>IF(G752&lt;EDATE(Assumptions!$C$6,-12)+1,"prior_12m","last_12m")</f>
        <v/>
      </c>
      <c r="AG752" s="21">
        <f>DATE(YEAR(G752),MONTH(G752),1)</f>
        <v/>
      </c>
    </row>
    <row r="753">
      <c r="A753" t="inlineStr">
        <is>
          <t>SPO-00420-1</t>
        </is>
      </c>
      <c r="B753" t="inlineStr">
        <is>
          <t>SPO-00420</t>
        </is>
      </c>
      <c r="C753" t="inlineStr">
        <is>
          <t>SUP-08</t>
        </is>
      </c>
      <c r="D753" t="inlineStr">
        <is>
          <t>MRO</t>
        </is>
      </c>
      <c r="E753" t="inlineStr">
        <is>
          <t>MRO-06</t>
        </is>
      </c>
      <c r="F753" s="17" t="n">
        <v>45678</v>
      </c>
      <c r="G753" s="17" t="n">
        <v>45689</v>
      </c>
      <c r="H753" s="18" t="n">
        <v>85</v>
      </c>
      <c r="I753" s="19" t="n">
        <v>6.24</v>
      </c>
      <c r="J753" s="19" t="n">
        <v>6.1</v>
      </c>
      <c r="K753" s="20" t="n">
        <v>0</v>
      </c>
      <c r="L753" s="20" t="n">
        <v>0</v>
      </c>
      <c r="M753" s="18" t="n">
        <v>85</v>
      </c>
      <c r="N753" s="18" t="n">
        <v>85</v>
      </c>
      <c r="O753" s="18" t="n">
        <v>0</v>
      </c>
      <c r="P753" s="17" t="n">
        <v>45689</v>
      </c>
      <c r="Q753" s="17" t="n">
        <v>45689</v>
      </c>
      <c r="R753" s="17" t="n">
        <v>45689</v>
      </c>
      <c r="S753" s="19">
        <f>H753*I753</f>
        <v/>
      </c>
      <c r="T753" s="19">
        <f>H753*J753</f>
        <v/>
      </c>
      <c r="U753">
        <f>IF(AND(K753=0,G753&lt;=Assumptions!$C$6),1,0)</f>
        <v/>
      </c>
      <c r="V753">
        <f>IF(U753=1,IF(M753&gt;0,IF(P753&lt;=G753+Assumptions!$C$7,1,0),0),0)</f>
        <v/>
      </c>
      <c r="W753">
        <f>IF(AND(U753=1,M753&gt;=H753*(1-Assumptions!$C$8)),1,0)</f>
        <v/>
      </c>
      <c r="X753">
        <f>IF(AND(U753=1,N753&gt;=H753*(1-Assumptions!$C$8)),1,0)</f>
        <v/>
      </c>
      <c r="Y753">
        <f>IF(ISNUMBER(Q753),1,0)</f>
        <v/>
      </c>
      <c r="Z753">
        <f>IF(AND(K753=0,L753=0,Y753=0),1,0)</f>
        <v/>
      </c>
      <c r="AA753">
        <f>IF(AND(Z753=1,G753&lt;Assumptions!$C$6),1,0)</f>
        <v/>
      </c>
      <c r="AB753">
        <f>IF(U753=0,"",IF(Y753=1,MAX(0,Q753-G753),IF(L753=1,MAX(0,R753-G753),MAX(0,Assumptions!$C$6-G753))))</f>
        <v/>
      </c>
      <c r="AC753">
        <f>IF(Y753=1,Q753-F753,"")</f>
        <v/>
      </c>
      <c r="AD753">
        <f>IF(Y753=1,AC753^2,"")</f>
        <v/>
      </c>
      <c r="AE753" s="19">
        <f>IF(Z753=1,(H753-M753)*I753,0)</f>
        <v/>
      </c>
      <c r="AF753">
        <f>IF(G753&lt;EDATE(Assumptions!$C$6,-12)+1,"prior_12m","last_12m")</f>
        <v/>
      </c>
      <c r="AG753" s="21">
        <f>DATE(YEAR(G753),MONTH(G753),1)</f>
        <v/>
      </c>
    </row>
    <row r="754">
      <c r="A754" t="inlineStr">
        <is>
          <t>SPO-00420-2</t>
        </is>
      </c>
      <c r="B754" t="inlineStr">
        <is>
          <t>SPO-00420</t>
        </is>
      </c>
      <c r="C754" t="inlineStr">
        <is>
          <t>SUP-08</t>
        </is>
      </c>
      <c r="D754" t="inlineStr">
        <is>
          <t>MRO</t>
        </is>
      </c>
      <c r="E754" t="inlineStr">
        <is>
          <t>MRO-03</t>
        </is>
      </c>
      <c r="F754" s="17" t="n">
        <v>45678</v>
      </c>
      <c r="G754" s="17" t="n">
        <v>45689</v>
      </c>
      <c r="H754" s="18" t="n">
        <v>115</v>
      </c>
      <c r="I754" s="19" t="n">
        <v>8.859999999999999</v>
      </c>
      <c r="J754" s="19" t="n">
        <v>8.9</v>
      </c>
      <c r="K754" s="20" t="n">
        <v>0</v>
      </c>
      <c r="L754" s="20" t="n">
        <v>0</v>
      </c>
      <c r="M754" s="18" t="n">
        <v>115</v>
      </c>
      <c r="N754" s="18" t="n">
        <v>115</v>
      </c>
      <c r="O754" s="18" t="n">
        <v>0</v>
      </c>
      <c r="P754" s="17" t="n">
        <v>45688</v>
      </c>
      <c r="Q754" s="17" t="n">
        <v>45688</v>
      </c>
      <c r="R754" s="17" t="n">
        <v>45688</v>
      </c>
      <c r="S754" s="19">
        <f>H754*I754</f>
        <v/>
      </c>
      <c r="T754" s="19">
        <f>H754*J754</f>
        <v/>
      </c>
      <c r="U754">
        <f>IF(AND(K754=0,G754&lt;=Assumptions!$C$6),1,0)</f>
        <v/>
      </c>
      <c r="V754">
        <f>IF(U754=1,IF(M754&gt;0,IF(P754&lt;=G754+Assumptions!$C$7,1,0),0),0)</f>
        <v/>
      </c>
      <c r="W754">
        <f>IF(AND(U754=1,M754&gt;=H754*(1-Assumptions!$C$8)),1,0)</f>
        <v/>
      </c>
      <c r="X754">
        <f>IF(AND(U754=1,N754&gt;=H754*(1-Assumptions!$C$8)),1,0)</f>
        <v/>
      </c>
      <c r="Y754">
        <f>IF(ISNUMBER(Q754),1,0)</f>
        <v/>
      </c>
      <c r="Z754">
        <f>IF(AND(K754=0,L754=0,Y754=0),1,0)</f>
        <v/>
      </c>
      <c r="AA754">
        <f>IF(AND(Z754=1,G754&lt;Assumptions!$C$6),1,0)</f>
        <v/>
      </c>
      <c r="AB754">
        <f>IF(U754=0,"",IF(Y754=1,MAX(0,Q754-G754),IF(L754=1,MAX(0,R754-G754),MAX(0,Assumptions!$C$6-G754))))</f>
        <v/>
      </c>
      <c r="AC754">
        <f>IF(Y754=1,Q754-F754,"")</f>
        <v/>
      </c>
      <c r="AD754">
        <f>IF(Y754=1,AC754^2,"")</f>
        <v/>
      </c>
      <c r="AE754" s="19">
        <f>IF(Z754=1,(H754-M754)*I754,0)</f>
        <v/>
      </c>
      <c r="AF754">
        <f>IF(G754&lt;EDATE(Assumptions!$C$6,-12)+1,"prior_12m","last_12m")</f>
        <v/>
      </c>
      <c r="AG754" s="21">
        <f>DATE(YEAR(G754),MONTH(G754),1)</f>
        <v/>
      </c>
    </row>
    <row r="755">
      <c r="A755" t="inlineStr">
        <is>
          <t>SPO-00420-3</t>
        </is>
      </c>
      <c r="B755" t="inlineStr">
        <is>
          <t>SPO-00420</t>
        </is>
      </c>
      <c r="C755" t="inlineStr">
        <is>
          <t>SUP-08</t>
        </is>
      </c>
      <c r="D755" t="inlineStr">
        <is>
          <t>MRO</t>
        </is>
      </c>
      <c r="E755" t="inlineStr">
        <is>
          <t>MRO-07</t>
        </is>
      </c>
      <c r="F755" s="17" t="n">
        <v>45678</v>
      </c>
      <c r="G755" s="17" t="n">
        <v>45689</v>
      </c>
      <c r="H755" s="18" t="n">
        <v>293</v>
      </c>
      <c r="I755" s="19" t="n">
        <v>13.91</v>
      </c>
      <c r="J755" s="19" t="n">
        <v>14</v>
      </c>
      <c r="K755" s="20" t="n">
        <v>0</v>
      </c>
      <c r="L755" s="20" t="n">
        <v>0</v>
      </c>
      <c r="M755" s="18" t="n">
        <v>293</v>
      </c>
      <c r="N755" s="18" t="n">
        <v>293</v>
      </c>
      <c r="O755" s="18" t="n">
        <v>0</v>
      </c>
      <c r="P755" s="17" t="n">
        <v>45681</v>
      </c>
      <c r="Q755" s="17" t="n">
        <v>45681</v>
      </c>
      <c r="R755" s="17" t="n">
        <v>45681</v>
      </c>
      <c r="S755" s="19">
        <f>H755*I755</f>
        <v/>
      </c>
      <c r="T755" s="19">
        <f>H755*J755</f>
        <v/>
      </c>
      <c r="U755">
        <f>IF(AND(K755=0,G755&lt;=Assumptions!$C$6),1,0)</f>
        <v/>
      </c>
      <c r="V755">
        <f>IF(U755=1,IF(M755&gt;0,IF(P755&lt;=G755+Assumptions!$C$7,1,0),0),0)</f>
        <v/>
      </c>
      <c r="W755">
        <f>IF(AND(U755=1,M755&gt;=H755*(1-Assumptions!$C$8)),1,0)</f>
        <v/>
      </c>
      <c r="X755">
        <f>IF(AND(U755=1,N755&gt;=H755*(1-Assumptions!$C$8)),1,0)</f>
        <v/>
      </c>
      <c r="Y755">
        <f>IF(ISNUMBER(Q755),1,0)</f>
        <v/>
      </c>
      <c r="Z755">
        <f>IF(AND(K755=0,L755=0,Y755=0),1,0)</f>
        <v/>
      </c>
      <c r="AA755">
        <f>IF(AND(Z755=1,G755&lt;Assumptions!$C$6),1,0)</f>
        <v/>
      </c>
      <c r="AB755">
        <f>IF(U755=0,"",IF(Y755=1,MAX(0,Q755-G755),IF(L755=1,MAX(0,R755-G755),MAX(0,Assumptions!$C$6-G755))))</f>
        <v/>
      </c>
      <c r="AC755">
        <f>IF(Y755=1,Q755-F755,"")</f>
        <v/>
      </c>
      <c r="AD755">
        <f>IF(Y755=1,AC755^2,"")</f>
        <v/>
      </c>
      <c r="AE755" s="19">
        <f>IF(Z755=1,(H755-M755)*I755,0)</f>
        <v/>
      </c>
      <c r="AF755">
        <f>IF(G755&lt;EDATE(Assumptions!$C$6,-12)+1,"prior_12m","last_12m")</f>
        <v/>
      </c>
      <c r="AG755" s="21">
        <f>DATE(YEAR(G755),MONTH(G755),1)</f>
        <v/>
      </c>
    </row>
    <row r="756">
      <c r="A756" t="inlineStr">
        <is>
          <t>SPO-00421-1</t>
        </is>
      </c>
      <c r="B756" t="inlineStr">
        <is>
          <t>SPO-00421</t>
        </is>
      </c>
      <c r="C756" t="inlineStr">
        <is>
          <t>SUP-11</t>
        </is>
      </c>
      <c r="D756" t="inlineStr">
        <is>
          <t>PPE</t>
        </is>
      </c>
      <c r="E756" t="inlineStr">
        <is>
          <t>PPE-05</t>
        </is>
      </c>
      <c r="F756" s="17" t="n">
        <v>45678</v>
      </c>
      <c r="G756" s="17" t="n">
        <v>45690</v>
      </c>
      <c r="H756" s="18" t="n">
        <v>76</v>
      </c>
      <c r="I756" s="19" t="n">
        <v>11.12</v>
      </c>
      <c r="J756" s="19" t="n">
        <v>11</v>
      </c>
      <c r="K756" s="20" t="n">
        <v>1</v>
      </c>
      <c r="L756" s="20" t="n">
        <v>0</v>
      </c>
      <c r="M756" s="18" t="n">
        <v>0</v>
      </c>
      <c r="N756" s="18" t="n">
        <v>0</v>
      </c>
      <c r="O756" s="18" t="n">
        <v>0</v>
      </c>
      <c r="P756" s="17" t="n"/>
      <c r="Q756" s="17" t="n"/>
      <c r="R756" s="17" t="n"/>
      <c r="S756" s="19">
        <f>H756*I756</f>
        <v/>
      </c>
      <c r="T756" s="19">
        <f>H756*J756</f>
        <v/>
      </c>
      <c r="U756">
        <f>IF(AND(K756=0,G756&lt;=Assumptions!$C$6),1,0)</f>
        <v/>
      </c>
      <c r="V756">
        <f>IF(U756=1,IF(M756&gt;0,IF(P756&lt;=G756+Assumptions!$C$7,1,0),0),0)</f>
        <v/>
      </c>
      <c r="W756">
        <f>IF(AND(U756=1,M756&gt;=H756*(1-Assumptions!$C$8)),1,0)</f>
        <v/>
      </c>
      <c r="X756">
        <f>IF(AND(U756=1,N756&gt;=H756*(1-Assumptions!$C$8)),1,0)</f>
        <v/>
      </c>
      <c r="Y756">
        <f>IF(ISNUMBER(Q756),1,0)</f>
        <v/>
      </c>
      <c r="Z756">
        <f>IF(AND(K756=0,L756=0,Y756=0),1,0)</f>
        <v/>
      </c>
      <c r="AA756">
        <f>IF(AND(Z756=1,G756&lt;Assumptions!$C$6),1,0)</f>
        <v/>
      </c>
      <c r="AB756">
        <f>IF(U756=0,"",IF(Y756=1,MAX(0,Q756-G756),IF(L756=1,MAX(0,R756-G756),MAX(0,Assumptions!$C$6-G756))))</f>
        <v/>
      </c>
      <c r="AC756">
        <f>IF(Y756=1,Q756-F756,"")</f>
        <v/>
      </c>
      <c r="AD756">
        <f>IF(Y756=1,AC756^2,"")</f>
        <v/>
      </c>
      <c r="AE756" s="19">
        <f>IF(Z756=1,(H756-M756)*I756,0)</f>
        <v/>
      </c>
      <c r="AF756">
        <f>IF(G756&lt;EDATE(Assumptions!$C$6,-12)+1,"prior_12m","last_12m")</f>
        <v/>
      </c>
      <c r="AG756" s="21">
        <f>DATE(YEAR(G756),MONTH(G756),1)</f>
        <v/>
      </c>
    </row>
    <row r="757">
      <c r="A757" t="inlineStr">
        <is>
          <t>SPO-00422-1</t>
        </is>
      </c>
      <c r="B757" t="inlineStr">
        <is>
          <t>SPO-00422</t>
        </is>
      </c>
      <c r="C757" t="inlineStr">
        <is>
          <t>SUP-12</t>
        </is>
      </c>
      <c r="D757" t="inlineStr">
        <is>
          <t>IT</t>
        </is>
      </c>
      <c r="E757" t="inlineStr">
        <is>
          <t>IT-01</t>
        </is>
      </c>
      <c r="F757" s="17" t="n">
        <v>45678</v>
      </c>
      <c r="G757" s="17" t="n">
        <v>45688</v>
      </c>
      <c r="H757" s="18" t="n">
        <v>5</v>
      </c>
      <c r="I757" s="19" t="n">
        <v>208.52</v>
      </c>
      <c r="J757" s="19" t="n">
        <v>189</v>
      </c>
      <c r="K757" s="20" t="n">
        <v>0</v>
      </c>
      <c r="L757" s="20" t="n">
        <v>0</v>
      </c>
      <c r="M757" s="18" t="n">
        <v>5</v>
      </c>
      <c r="N757" s="18" t="n">
        <v>5</v>
      </c>
      <c r="O757" s="18" t="n">
        <v>0</v>
      </c>
      <c r="P757" s="17" t="n">
        <v>45684</v>
      </c>
      <c r="Q757" s="17" t="n">
        <v>45684</v>
      </c>
      <c r="R757" s="17" t="n">
        <v>45684</v>
      </c>
      <c r="S757" s="19">
        <f>H757*I757</f>
        <v/>
      </c>
      <c r="T757" s="19">
        <f>H757*J757</f>
        <v/>
      </c>
      <c r="U757">
        <f>IF(AND(K757=0,G757&lt;=Assumptions!$C$6),1,0)</f>
        <v/>
      </c>
      <c r="V757">
        <f>IF(U757=1,IF(M757&gt;0,IF(P757&lt;=G757+Assumptions!$C$7,1,0),0),0)</f>
        <v/>
      </c>
      <c r="W757">
        <f>IF(AND(U757=1,M757&gt;=H757*(1-Assumptions!$C$8)),1,0)</f>
        <v/>
      </c>
      <c r="X757">
        <f>IF(AND(U757=1,N757&gt;=H757*(1-Assumptions!$C$8)),1,0)</f>
        <v/>
      </c>
      <c r="Y757">
        <f>IF(ISNUMBER(Q757),1,0)</f>
        <v/>
      </c>
      <c r="Z757">
        <f>IF(AND(K757=0,L757=0,Y757=0),1,0)</f>
        <v/>
      </c>
      <c r="AA757">
        <f>IF(AND(Z757=1,G757&lt;Assumptions!$C$6),1,0)</f>
        <v/>
      </c>
      <c r="AB757">
        <f>IF(U757=0,"",IF(Y757=1,MAX(0,Q757-G757),IF(L757=1,MAX(0,R757-G757),MAX(0,Assumptions!$C$6-G757))))</f>
        <v/>
      </c>
      <c r="AC757">
        <f>IF(Y757=1,Q757-F757,"")</f>
        <v/>
      </c>
      <c r="AD757">
        <f>IF(Y757=1,AC757^2,"")</f>
        <v/>
      </c>
      <c r="AE757" s="19">
        <f>IF(Z757=1,(H757-M757)*I757,0)</f>
        <v/>
      </c>
      <c r="AF757">
        <f>IF(G757&lt;EDATE(Assumptions!$C$6,-12)+1,"prior_12m","last_12m")</f>
        <v/>
      </c>
      <c r="AG757" s="21">
        <f>DATE(YEAR(G757),MONTH(G757),1)</f>
        <v/>
      </c>
    </row>
    <row r="758">
      <c r="A758" t="inlineStr">
        <is>
          <t>SPO-00422-2</t>
        </is>
      </c>
      <c r="B758" t="inlineStr">
        <is>
          <t>SPO-00422</t>
        </is>
      </c>
      <c r="C758" t="inlineStr">
        <is>
          <t>SUP-12</t>
        </is>
      </c>
      <c r="D758" t="inlineStr">
        <is>
          <t>IT</t>
        </is>
      </c>
      <c r="E758" t="inlineStr">
        <is>
          <t>IT-07</t>
        </is>
      </c>
      <c r="F758" s="17" t="n">
        <v>45678</v>
      </c>
      <c r="G758" s="17" t="n">
        <v>45688</v>
      </c>
      <c r="H758" s="18" t="n">
        <v>16</v>
      </c>
      <c r="I758" s="19" t="n">
        <v>85.45</v>
      </c>
      <c r="J758" s="19" t="n">
        <v>74</v>
      </c>
      <c r="K758" s="20" t="n">
        <v>0</v>
      </c>
      <c r="L758" s="20" t="n">
        <v>0</v>
      </c>
      <c r="M758" s="18" t="n">
        <v>16</v>
      </c>
      <c r="N758" s="18" t="n">
        <v>8</v>
      </c>
      <c r="O758" s="18" t="n">
        <v>0</v>
      </c>
      <c r="P758" s="17" t="n">
        <v>45682</v>
      </c>
      <c r="Q758" s="17" t="n">
        <v>45693</v>
      </c>
      <c r="R758" s="17" t="n">
        <v>45693</v>
      </c>
      <c r="S758" s="19">
        <f>H758*I758</f>
        <v/>
      </c>
      <c r="T758" s="19">
        <f>H758*J758</f>
        <v/>
      </c>
      <c r="U758">
        <f>IF(AND(K758=0,G758&lt;=Assumptions!$C$6),1,0)</f>
        <v/>
      </c>
      <c r="V758">
        <f>IF(U758=1,IF(M758&gt;0,IF(P758&lt;=G758+Assumptions!$C$7,1,0),0),0)</f>
        <v/>
      </c>
      <c r="W758">
        <f>IF(AND(U758=1,M758&gt;=H758*(1-Assumptions!$C$8)),1,0)</f>
        <v/>
      </c>
      <c r="X758">
        <f>IF(AND(U758=1,N758&gt;=H758*(1-Assumptions!$C$8)),1,0)</f>
        <v/>
      </c>
      <c r="Y758">
        <f>IF(ISNUMBER(Q758),1,0)</f>
        <v/>
      </c>
      <c r="Z758">
        <f>IF(AND(K758=0,L758=0,Y758=0),1,0)</f>
        <v/>
      </c>
      <c r="AA758">
        <f>IF(AND(Z758=1,G758&lt;Assumptions!$C$6),1,0)</f>
        <v/>
      </c>
      <c r="AB758">
        <f>IF(U758=0,"",IF(Y758=1,MAX(0,Q758-G758),IF(L758=1,MAX(0,R758-G758),MAX(0,Assumptions!$C$6-G758))))</f>
        <v/>
      </c>
      <c r="AC758">
        <f>IF(Y758=1,Q758-F758,"")</f>
        <v/>
      </c>
      <c r="AD758">
        <f>IF(Y758=1,AC758^2,"")</f>
        <v/>
      </c>
      <c r="AE758" s="19">
        <f>IF(Z758=1,(H758-M758)*I758,0)</f>
        <v/>
      </c>
      <c r="AF758">
        <f>IF(G758&lt;EDATE(Assumptions!$C$6,-12)+1,"prior_12m","last_12m")</f>
        <v/>
      </c>
      <c r="AG758" s="21">
        <f>DATE(YEAR(G758),MONTH(G758),1)</f>
        <v/>
      </c>
    </row>
    <row r="759">
      <c r="A759" t="inlineStr">
        <is>
          <t>SPO-00423-1</t>
        </is>
      </c>
      <c r="B759" t="inlineStr">
        <is>
          <t>SPO-00423</t>
        </is>
      </c>
      <c r="C759" t="inlineStr">
        <is>
          <t>SUP-01</t>
        </is>
      </c>
      <c r="D759" t="inlineStr">
        <is>
          <t>ELEC</t>
        </is>
      </c>
      <c r="E759" t="inlineStr">
        <is>
          <t>ELEC-05</t>
        </is>
      </c>
      <c r="F759" s="17" t="n">
        <v>45678</v>
      </c>
      <c r="G759" s="17" t="n">
        <v>45696</v>
      </c>
      <c r="H759" s="18" t="n">
        <v>117</v>
      </c>
      <c r="I759" s="19" t="n">
        <v>11.62</v>
      </c>
      <c r="J759" s="19" t="n">
        <v>11.5</v>
      </c>
      <c r="K759" s="20" t="n">
        <v>0</v>
      </c>
      <c r="L759" s="20" t="n">
        <v>0</v>
      </c>
      <c r="M759" s="18" t="n">
        <v>117</v>
      </c>
      <c r="N759" s="18" t="n">
        <v>117</v>
      </c>
      <c r="O759" s="18" t="n">
        <v>0</v>
      </c>
      <c r="P759" s="17" t="n">
        <v>45693</v>
      </c>
      <c r="Q759" s="17" t="n">
        <v>45693</v>
      </c>
      <c r="R759" s="17" t="n">
        <v>45693</v>
      </c>
      <c r="S759" s="19">
        <f>H759*I759</f>
        <v/>
      </c>
      <c r="T759" s="19">
        <f>H759*J759</f>
        <v/>
      </c>
      <c r="U759">
        <f>IF(AND(K759=0,G759&lt;=Assumptions!$C$6),1,0)</f>
        <v/>
      </c>
      <c r="V759">
        <f>IF(U759=1,IF(M759&gt;0,IF(P759&lt;=G759+Assumptions!$C$7,1,0),0),0)</f>
        <v/>
      </c>
      <c r="W759">
        <f>IF(AND(U759=1,M759&gt;=H759*(1-Assumptions!$C$8)),1,0)</f>
        <v/>
      </c>
      <c r="X759">
        <f>IF(AND(U759=1,N759&gt;=H759*(1-Assumptions!$C$8)),1,0)</f>
        <v/>
      </c>
      <c r="Y759">
        <f>IF(ISNUMBER(Q759),1,0)</f>
        <v/>
      </c>
      <c r="Z759">
        <f>IF(AND(K759=0,L759=0,Y759=0),1,0)</f>
        <v/>
      </c>
      <c r="AA759">
        <f>IF(AND(Z759=1,G759&lt;Assumptions!$C$6),1,0)</f>
        <v/>
      </c>
      <c r="AB759">
        <f>IF(U759=0,"",IF(Y759=1,MAX(0,Q759-G759),IF(L759=1,MAX(0,R759-G759),MAX(0,Assumptions!$C$6-G759))))</f>
        <v/>
      </c>
      <c r="AC759">
        <f>IF(Y759=1,Q759-F759,"")</f>
        <v/>
      </c>
      <c r="AD759">
        <f>IF(Y759=1,AC759^2,"")</f>
        <v/>
      </c>
      <c r="AE759" s="19">
        <f>IF(Z759=1,(H759-M759)*I759,0)</f>
        <v/>
      </c>
      <c r="AF759">
        <f>IF(G759&lt;EDATE(Assumptions!$C$6,-12)+1,"prior_12m","last_12m")</f>
        <v/>
      </c>
      <c r="AG759" s="21">
        <f>DATE(YEAR(G759),MONTH(G759),1)</f>
        <v/>
      </c>
    </row>
    <row r="760">
      <c r="A760" t="inlineStr">
        <is>
          <t>SPO-00423-2</t>
        </is>
      </c>
      <c r="B760" t="inlineStr">
        <is>
          <t>SPO-00423</t>
        </is>
      </c>
      <c r="C760" t="inlineStr">
        <is>
          <t>SUP-01</t>
        </is>
      </c>
      <c r="D760" t="inlineStr">
        <is>
          <t>ELEC</t>
        </is>
      </c>
      <c r="E760" t="inlineStr">
        <is>
          <t>ELEC-02</t>
        </is>
      </c>
      <c r="F760" s="17" t="n">
        <v>45678</v>
      </c>
      <c r="G760" s="17" t="n">
        <v>45696</v>
      </c>
      <c r="H760" s="18" t="n">
        <v>529</v>
      </c>
      <c r="I760" s="19" t="n">
        <v>4.15</v>
      </c>
      <c r="J760" s="19" t="n">
        <v>4.2</v>
      </c>
      <c r="K760" s="20" t="n">
        <v>0</v>
      </c>
      <c r="L760" s="20" t="n">
        <v>0</v>
      </c>
      <c r="M760" s="18" t="n">
        <v>529</v>
      </c>
      <c r="N760" s="18" t="n">
        <v>529</v>
      </c>
      <c r="O760" s="18" t="n">
        <v>132</v>
      </c>
      <c r="P760" s="17" t="n">
        <v>45694</v>
      </c>
      <c r="Q760" s="17" t="n">
        <v>45694</v>
      </c>
      <c r="R760" s="17" t="n">
        <v>45694</v>
      </c>
      <c r="S760" s="19">
        <f>H760*I760</f>
        <v/>
      </c>
      <c r="T760" s="19">
        <f>H760*J760</f>
        <v/>
      </c>
      <c r="U760">
        <f>IF(AND(K760=0,G760&lt;=Assumptions!$C$6),1,0)</f>
        <v/>
      </c>
      <c r="V760">
        <f>IF(U760=1,IF(M760&gt;0,IF(P760&lt;=G760+Assumptions!$C$7,1,0),0),0)</f>
        <v/>
      </c>
      <c r="W760">
        <f>IF(AND(U760=1,M760&gt;=H760*(1-Assumptions!$C$8)),1,0)</f>
        <v/>
      </c>
      <c r="X760">
        <f>IF(AND(U760=1,N760&gt;=H760*(1-Assumptions!$C$8)),1,0)</f>
        <v/>
      </c>
      <c r="Y760">
        <f>IF(ISNUMBER(Q760),1,0)</f>
        <v/>
      </c>
      <c r="Z760">
        <f>IF(AND(K760=0,L760=0,Y760=0),1,0)</f>
        <v/>
      </c>
      <c r="AA760">
        <f>IF(AND(Z760=1,G760&lt;Assumptions!$C$6),1,0)</f>
        <v/>
      </c>
      <c r="AB760">
        <f>IF(U760=0,"",IF(Y760=1,MAX(0,Q760-G760),IF(L760=1,MAX(0,R760-G760),MAX(0,Assumptions!$C$6-G760))))</f>
        <v/>
      </c>
      <c r="AC760">
        <f>IF(Y760=1,Q760-F760,"")</f>
        <v/>
      </c>
      <c r="AD760">
        <f>IF(Y760=1,AC760^2,"")</f>
        <v/>
      </c>
      <c r="AE760" s="19">
        <f>IF(Z760=1,(H760-M760)*I760,0)</f>
        <v/>
      </c>
      <c r="AF760">
        <f>IF(G760&lt;EDATE(Assumptions!$C$6,-12)+1,"prior_12m","last_12m")</f>
        <v/>
      </c>
      <c r="AG760" s="21">
        <f>DATE(YEAR(G760),MONTH(G760),1)</f>
        <v/>
      </c>
    </row>
    <row r="761">
      <c r="A761" t="inlineStr">
        <is>
          <t>SPO-00423-3</t>
        </is>
      </c>
      <c r="B761" t="inlineStr">
        <is>
          <t>SPO-00423</t>
        </is>
      </c>
      <c r="C761" t="inlineStr">
        <is>
          <t>SUP-01</t>
        </is>
      </c>
      <c r="D761" t="inlineStr">
        <is>
          <t>ELEC</t>
        </is>
      </c>
      <c r="E761" t="inlineStr">
        <is>
          <t>ELEC-03</t>
        </is>
      </c>
      <c r="F761" s="17" t="n">
        <v>45678</v>
      </c>
      <c r="G761" s="17" t="n">
        <v>45696</v>
      </c>
      <c r="H761" s="18" t="n">
        <v>33</v>
      </c>
      <c r="I761" s="19" t="n">
        <v>94.7</v>
      </c>
      <c r="J761" s="19" t="n">
        <v>96</v>
      </c>
      <c r="K761" s="20" t="n">
        <v>0</v>
      </c>
      <c r="L761" s="20" t="n">
        <v>0</v>
      </c>
      <c r="M761" s="18" t="n">
        <v>33</v>
      </c>
      <c r="N761" s="18" t="n">
        <v>33</v>
      </c>
      <c r="O761" s="18" t="n">
        <v>0</v>
      </c>
      <c r="P761" s="17" t="n">
        <v>45692</v>
      </c>
      <c r="Q761" s="17" t="n">
        <v>45692</v>
      </c>
      <c r="R761" s="17" t="n">
        <v>45692</v>
      </c>
      <c r="S761" s="19">
        <f>H761*I761</f>
        <v/>
      </c>
      <c r="T761" s="19">
        <f>H761*J761</f>
        <v/>
      </c>
      <c r="U761">
        <f>IF(AND(K761=0,G761&lt;=Assumptions!$C$6),1,0)</f>
        <v/>
      </c>
      <c r="V761">
        <f>IF(U761=1,IF(M761&gt;0,IF(P761&lt;=G761+Assumptions!$C$7,1,0),0),0)</f>
        <v/>
      </c>
      <c r="W761">
        <f>IF(AND(U761=1,M761&gt;=H761*(1-Assumptions!$C$8)),1,0)</f>
        <v/>
      </c>
      <c r="X761">
        <f>IF(AND(U761=1,N761&gt;=H761*(1-Assumptions!$C$8)),1,0)</f>
        <v/>
      </c>
      <c r="Y761">
        <f>IF(ISNUMBER(Q761),1,0)</f>
        <v/>
      </c>
      <c r="Z761">
        <f>IF(AND(K761=0,L761=0,Y761=0),1,0)</f>
        <v/>
      </c>
      <c r="AA761">
        <f>IF(AND(Z761=1,G761&lt;Assumptions!$C$6),1,0)</f>
        <v/>
      </c>
      <c r="AB761">
        <f>IF(U761=0,"",IF(Y761=1,MAX(0,Q761-G761),IF(L761=1,MAX(0,R761-G761),MAX(0,Assumptions!$C$6-G761))))</f>
        <v/>
      </c>
      <c r="AC761">
        <f>IF(Y761=1,Q761-F761,"")</f>
        <v/>
      </c>
      <c r="AD761">
        <f>IF(Y761=1,AC761^2,"")</f>
        <v/>
      </c>
      <c r="AE761" s="19">
        <f>IF(Z761=1,(H761-M761)*I761,0)</f>
        <v/>
      </c>
      <c r="AF761">
        <f>IF(G761&lt;EDATE(Assumptions!$C$6,-12)+1,"prior_12m","last_12m")</f>
        <v/>
      </c>
      <c r="AG761" s="21">
        <f>DATE(YEAR(G761),MONTH(G761),1)</f>
        <v/>
      </c>
    </row>
    <row r="762">
      <c r="A762" t="inlineStr">
        <is>
          <t>SPO-00424-1</t>
        </is>
      </c>
      <c r="B762" t="inlineStr">
        <is>
          <t>SPO-00424</t>
        </is>
      </c>
      <c r="C762" t="inlineStr">
        <is>
          <t>SUP-02</t>
        </is>
      </c>
      <c r="D762" t="inlineStr">
        <is>
          <t>ELEC</t>
        </is>
      </c>
      <c r="E762" t="inlineStr">
        <is>
          <t>ELEC-01</t>
        </is>
      </c>
      <c r="F762" s="17" t="n">
        <v>45679</v>
      </c>
      <c r="G762" s="17" t="n">
        <v>45695</v>
      </c>
      <c r="H762" s="18" t="n">
        <v>44</v>
      </c>
      <c r="I762" s="19" t="n">
        <v>38.64</v>
      </c>
      <c r="J762" s="19" t="n">
        <v>38</v>
      </c>
      <c r="K762" s="20" t="n">
        <v>0</v>
      </c>
      <c r="L762" s="20" t="n">
        <v>0</v>
      </c>
      <c r="M762" s="18" t="n">
        <v>44</v>
      </c>
      <c r="N762" s="18" t="n">
        <v>44</v>
      </c>
      <c r="O762" s="18" t="n">
        <v>0</v>
      </c>
      <c r="P762" s="17" t="n">
        <v>45692</v>
      </c>
      <c r="Q762" s="17" t="n">
        <v>45692</v>
      </c>
      <c r="R762" s="17" t="n">
        <v>45692</v>
      </c>
      <c r="S762" s="19">
        <f>H762*I762</f>
        <v/>
      </c>
      <c r="T762" s="19">
        <f>H762*J762</f>
        <v/>
      </c>
      <c r="U762">
        <f>IF(AND(K762=0,G762&lt;=Assumptions!$C$6),1,0)</f>
        <v/>
      </c>
      <c r="V762">
        <f>IF(U762=1,IF(M762&gt;0,IF(P762&lt;=G762+Assumptions!$C$7,1,0),0),0)</f>
        <v/>
      </c>
      <c r="W762">
        <f>IF(AND(U762=1,M762&gt;=H762*(1-Assumptions!$C$8)),1,0)</f>
        <v/>
      </c>
      <c r="X762">
        <f>IF(AND(U762=1,N762&gt;=H762*(1-Assumptions!$C$8)),1,0)</f>
        <v/>
      </c>
      <c r="Y762">
        <f>IF(ISNUMBER(Q762),1,0)</f>
        <v/>
      </c>
      <c r="Z762">
        <f>IF(AND(K762=0,L762=0,Y762=0),1,0)</f>
        <v/>
      </c>
      <c r="AA762">
        <f>IF(AND(Z762=1,G762&lt;Assumptions!$C$6),1,0)</f>
        <v/>
      </c>
      <c r="AB762">
        <f>IF(U762=0,"",IF(Y762=1,MAX(0,Q762-G762),IF(L762=1,MAX(0,R762-G762),MAX(0,Assumptions!$C$6-G762))))</f>
        <v/>
      </c>
      <c r="AC762">
        <f>IF(Y762=1,Q762-F762,"")</f>
        <v/>
      </c>
      <c r="AD762">
        <f>IF(Y762=1,AC762^2,"")</f>
        <v/>
      </c>
      <c r="AE762" s="19">
        <f>IF(Z762=1,(H762-M762)*I762,0)</f>
        <v/>
      </c>
      <c r="AF762">
        <f>IF(G762&lt;EDATE(Assumptions!$C$6,-12)+1,"prior_12m","last_12m")</f>
        <v/>
      </c>
      <c r="AG762" s="21">
        <f>DATE(YEAR(G762),MONTH(G762),1)</f>
        <v/>
      </c>
    </row>
    <row r="763">
      <c r="A763" t="inlineStr">
        <is>
          <t>SPO-00424-2</t>
        </is>
      </c>
      <c r="B763" t="inlineStr">
        <is>
          <t>SPO-00424</t>
        </is>
      </c>
      <c r="C763" t="inlineStr">
        <is>
          <t>SUP-02</t>
        </is>
      </c>
      <c r="D763" t="inlineStr">
        <is>
          <t>ELEC</t>
        </is>
      </c>
      <c r="E763" t="inlineStr">
        <is>
          <t>ELEC-05</t>
        </is>
      </c>
      <c r="F763" s="17" t="n">
        <v>45679</v>
      </c>
      <c r="G763" s="17" t="n">
        <v>45695</v>
      </c>
      <c r="H763" s="18" t="n">
        <v>89</v>
      </c>
      <c r="I763" s="19" t="n">
        <v>12.14</v>
      </c>
      <c r="J763" s="19" t="n">
        <v>11.5</v>
      </c>
      <c r="K763" s="20" t="n">
        <v>0</v>
      </c>
      <c r="L763" s="20" t="n">
        <v>0</v>
      </c>
      <c r="M763" s="18" t="n">
        <v>89</v>
      </c>
      <c r="N763" s="18" t="n">
        <v>89</v>
      </c>
      <c r="O763" s="18" t="n">
        <v>0</v>
      </c>
      <c r="P763" s="17" t="n">
        <v>45691</v>
      </c>
      <c r="Q763" s="17" t="n">
        <v>45691</v>
      </c>
      <c r="R763" s="17" t="n">
        <v>45691</v>
      </c>
      <c r="S763" s="19">
        <f>H763*I763</f>
        <v/>
      </c>
      <c r="T763" s="19">
        <f>H763*J763</f>
        <v/>
      </c>
      <c r="U763">
        <f>IF(AND(K763=0,G763&lt;=Assumptions!$C$6),1,0)</f>
        <v/>
      </c>
      <c r="V763">
        <f>IF(U763=1,IF(M763&gt;0,IF(P763&lt;=G763+Assumptions!$C$7,1,0),0),0)</f>
        <v/>
      </c>
      <c r="W763">
        <f>IF(AND(U763=1,M763&gt;=H763*(1-Assumptions!$C$8)),1,0)</f>
        <v/>
      </c>
      <c r="X763">
        <f>IF(AND(U763=1,N763&gt;=H763*(1-Assumptions!$C$8)),1,0)</f>
        <v/>
      </c>
      <c r="Y763">
        <f>IF(ISNUMBER(Q763),1,0)</f>
        <v/>
      </c>
      <c r="Z763">
        <f>IF(AND(K763=0,L763=0,Y763=0),1,0)</f>
        <v/>
      </c>
      <c r="AA763">
        <f>IF(AND(Z763=1,G763&lt;Assumptions!$C$6),1,0)</f>
        <v/>
      </c>
      <c r="AB763">
        <f>IF(U763=0,"",IF(Y763=1,MAX(0,Q763-G763),IF(L763=1,MAX(0,R763-G763),MAX(0,Assumptions!$C$6-G763))))</f>
        <v/>
      </c>
      <c r="AC763">
        <f>IF(Y763=1,Q763-F763,"")</f>
        <v/>
      </c>
      <c r="AD763">
        <f>IF(Y763=1,AC763^2,"")</f>
        <v/>
      </c>
      <c r="AE763" s="19">
        <f>IF(Z763=1,(H763-M763)*I763,0)</f>
        <v/>
      </c>
      <c r="AF763">
        <f>IF(G763&lt;EDATE(Assumptions!$C$6,-12)+1,"prior_12m","last_12m")</f>
        <v/>
      </c>
      <c r="AG763" s="21">
        <f>DATE(YEAR(G763),MONTH(G763),1)</f>
        <v/>
      </c>
    </row>
    <row r="764">
      <c r="A764" t="inlineStr">
        <is>
          <t>SPO-00425-1</t>
        </is>
      </c>
      <c r="B764" t="inlineStr">
        <is>
          <t>SPO-00425</t>
        </is>
      </c>
      <c r="C764" t="inlineStr">
        <is>
          <t>SUP-01</t>
        </is>
      </c>
      <c r="D764" t="inlineStr">
        <is>
          <t>ELEC</t>
        </is>
      </c>
      <c r="E764" t="inlineStr">
        <is>
          <t>ELEC-03</t>
        </is>
      </c>
      <c r="F764" s="17" t="n">
        <v>45679</v>
      </c>
      <c r="G764" s="17" t="n">
        <v>45697</v>
      </c>
      <c r="H764" s="18" t="n">
        <v>12</v>
      </c>
      <c r="I764" s="19" t="n">
        <v>100.35</v>
      </c>
      <c r="J764" s="19" t="n">
        <v>96</v>
      </c>
      <c r="K764" s="20" t="n">
        <v>0</v>
      </c>
      <c r="L764" s="20" t="n">
        <v>0</v>
      </c>
      <c r="M764" s="18" t="n">
        <v>12</v>
      </c>
      <c r="N764" s="18" t="n">
        <v>12</v>
      </c>
      <c r="O764" s="18" t="n">
        <v>0</v>
      </c>
      <c r="P764" s="17" t="n">
        <v>45690</v>
      </c>
      <c r="Q764" s="17" t="n">
        <v>45690</v>
      </c>
      <c r="R764" s="17" t="n">
        <v>45690</v>
      </c>
      <c r="S764" s="19">
        <f>H764*I764</f>
        <v/>
      </c>
      <c r="T764" s="19">
        <f>H764*J764</f>
        <v/>
      </c>
      <c r="U764">
        <f>IF(AND(K764=0,G764&lt;=Assumptions!$C$6),1,0)</f>
        <v/>
      </c>
      <c r="V764">
        <f>IF(U764=1,IF(M764&gt;0,IF(P764&lt;=G764+Assumptions!$C$7,1,0),0),0)</f>
        <v/>
      </c>
      <c r="W764">
        <f>IF(AND(U764=1,M764&gt;=H764*(1-Assumptions!$C$8)),1,0)</f>
        <v/>
      </c>
      <c r="X764">
        <f>IF(AND(U764=1,N764&gt;=H764*(1-Assumptions!$C$8)),1,0)</f>
        <v/>
      </c>
      <c r="Y764">
        <f>IF(ISNUMBER(Q764),1,0)</f>
        <v/>
      </c>
      <c r="Z764">
        <f>IF(AND(K764=0,L764=0,Y764=0),1,0)</f>
        <v/>
      </c>
      <c r="AA764">
        <f>IF(AND(Z764=1,G764&lt;Assumptions!$C$6),1,0)</f>
        <v/>
      </c>
      <c r="AB764">
        <f>IF(U764=0,"",IF(Y764=1,MAX(0,Q764-G764),IF(L764=1,MAX(0,R764-G764),MAX(0,Assumptions!$C$6-G764))))</f>
        <v/>
      </c>
      <c r="AC764">
        <f>IF(Y764=1,Q764-F764,"")</f>
        <v/>
      </c>
      <c r="AD764">
        <f>IF(Y764=1,AC764^2,"")</f>
        <v/>
      </c>
      <c r="AE764" s="19">
        <f>IF(Z764=1,(H764-M764)*I764,0)</f>
        <v/>
      </c>
      <c r="AF764">
        <f>IF(G764&lt;EDATE(Assumptions!$C$6,-12)+1,"prior_12m","last_12m")</f>
        <v/>
      </c>
      <c r="AG764" s="21">
        <f>DATE(YEAR(G764),MONTH(G764),1)</f>
        <v/>
      </c>
    </row>
    <row r="765">
      <c r="A765" t="inlineStr">
        <is>
          <t>SPO-00426-1</t>
        </is>
      </c>
      <c r="B765" t="inlineStr">
        <is>
          <t>SPO-00426</t>
        </is>
      </c>
      <c r="C765" t="inlineStr">
        <is>
          <t>SUP-06</t>
        </is>
      </c>
      <c r="D765" t="inlineStr">
        <is>
          <t>MRO</t>
        </is>
      </c>
      <c r="E765" t="inlineStr">
        <is>
          <t>MRO-08</t>
        </is>
      </c>
      <c r="F765" s="17" t="n">
        <v>45679</v>
      </c>
      <c r="G765" s="17" t="n">
        <v>45687</v>
      </c>
      <c r="H765" s="18" t="n">
        <v>276</v>
      </c>
      <c r="I765" s="19" t="n">
        <v>7.04</v>
      </c>
      <c r="J765" s="19" t="n">
        <v>7.2</v>
      </c>
      <c r="K765" s="20" t="n">
        <v>0</v>
      </c>
      <c r="L765" s="20" t="n">
        <v>0</v>
      </c>
      <c r="M765" s="18" t="n">
        <v>276</v>
      </c>
      <c r="N765" s="18" t="n">
        <v>276</v>
      </c>
      <c r="O765" s="18" t="n">
        <v>0</v>
      </c>
      <c r="P765" s="17" t="n">
        <v>45685</v>
      </c>
      <c r="Q765" s="17" t="n">
        <v>45685</v>
      </c>
      <c r="R765" s="17" t="n">
        <v>45685</v>
      </c>
      <c r="S765" s="19">
        <f>H765*I765</f>
        <v/>
      </c>
      <c r="T765" s="19">
        <f>H765*J765</f>
        <v/>
      </c>
      <c r="U765">
        <f>IF(AND(K765=0,G765&lt;=Assumptions!$C$6),1,0)</f>
        <v/>
      </c>
      <c r="V765">
        <f>IF(U765=1,IF(M765&gt;0,IF(P765&lt;=G765+Assumptions!$C$7,1,0),0),0)</f>
        <v/>
      </c>
      <c r="W765">
        <f>IF(AND(U765=1,M765&gt;=H765*(1-Assumptions!$C$8)),1,0)</f>
        <v/>
      </c>
      <c r="X765">
        <f>IF(AND(U765=1,N765&gt;=H765*(1-Assumptions!$C$8)),1,0)</f>
        <v/>
      </c>
      <c r="Y765">
        <f>IF(ISNUMBER(Q765),1,0)</f>
        <v/>
      </c>
      <c r="Z765">
        <f>IF(AND(K765=0,L765=0,Y765=0),1,0)</f>
        <v/>
      </c>
      <c r="AA765">
        <f>IF(AND(Z765=1,G765&lt;Assumptions!$C$6),1,0)</f>
        <v/>
      </c>
      <c r="AB765">
        <f>IF(U765=0,"",IF(Y765=1,MAX(0,Q765-G765),IF(L765=1,MAX(0,R765-G765),MAX(0,Assumptions!$C$6-G765))))</f>
        <v/>
      </c>
      <c r="AC765">
        <f>IF(Y765=1,Q765-F765,"")</f>
        <v/>
      </c>
      <c r="AD765">
        <f>IF(Y765=1,AC765^2,"")</f>
        <v/>
      </c>
      <c r="AE765" s="19">
        <f>IF(Z765=1,(H765-M765)*I765,0)</f>
        <v/>
      </c>
      <c r="AF765">
        <f>IF(G765&lt;EDATE(Assumptions!$C$6,-12)+1,"prior_12m","last_12m")</f>
        <v/>
      </c>
      <c r="AG765" s="21">
        <f>DATE(YEAR(G765),MONTH(G765),1)</f>
        <v/>
      </c>
    </row>
    <row r="766">
      <c r="A766" t="inlineStr">
        <is>
          <t>SPO-00427-1</t>
        </is>
      </c>
      <c r="B766" t="inlineStr">
        <is>
          <t>SPO-00427</t>
        </is>
      </c>
      <c r="C766" t="inlineStr">
        <is>
          <t>SUP-08</t>
        </is>
      </c>
      <c r="D766" t="inlineStr">
        <is>
          <t>MRO</t>
        </is>
      </c>
      <c r="E766" t="inlineStr">
        <is>
          <t>MRO-04</t>
        </is>
      </c>
      <c r="F766" s="17" t="n">
        <v>45679</v>
      </c>
      <c r="G766" s="17" t="n">
        <v>45690</v>
      </c>
      <c r="H766" s="18" t="n">
        <v>39</v>
      </c>
      <c r="I766" s="19" t="n">
        <v>58.63</v>
      </c>
      <c r="J766" s="19" t="n">
        <v>58</v>
      </c>
      <c r="K766" s="20" t="n">
        <v>0</v>
      </c>
      <c r="L766" s="20" t="n">
        <v>0</v>
      </c>
      <c r="M766" s="18" t="n">
        <v>39</v>
      </c>
      <c r="N766" s="18" t="n">
        <v>39</v>
      </c>
      <c r="O766" s="18" t="n">
        <v>0</v>
      </c>
      <c r="P766" s="17" t="n">
        <v>45686</v>
      </c>
      <c r="Q766" s="17" t="n">
        <v>45686</v>
      </c>
      <c r="R766" s="17" t="n">
        <v>45686</v>
      </c>
      <c r="S766" s="19">
        <f>H766*I766</f>
        <v/>
      </c>
      <c r="T766" s="19">
        <f>H766*J766</f>
        <v/>
      </c>
      <c r="U766">
        <f>IF(AND(K766=0,G766&lt;=Assumptions!$C$6),1,0)</f>
        <v/>
      </c>
      <c r="V766">
        <f>IF(U766=1,IF(M766&gt;0,IF(P766&lt;=G766+Assumptions!$C$7,1,0),0),0)</f>
        <v/>
      </c>
      <c r="W766">
        <f>IF(AND(U766=1,M766&gt;=H766*(1-Assumptions!$C$8)),1,0)</f>
        <v/>
      </c>
      <c r="X766">
        <f>IF(AND(U766=1,N766&gt;=H766*(1-Assumptions!$C$8)),1,0)</f>
        <v/>
      </c>
      <c r="Y766">
        <f>IF(ISNUMBER(Q766),1,0)</f>
        <v/>
      </c>
      <c r="Z766">
        <f>IF(AND(K766=0,L766=0,Y766=0),1,0)</f>
        <v/>
      </c>
      <c r="AA766">
        <f>IF(AND(Z766=1,G766&lt;Assumptions!$C$6),1,0)</f>
        <v/>
      </c>
      <c r="AB766">
        <f>IF(U766=0,"",IF(Y766=1,MAX(0,Q766-G766),IF(L766=1,MAX(0,R766-G766),MAX(0,Assumptions!$C$6-G766))))</f>
        <v/>
      </c>
      <c r="AC766">
        <f>IF(Y766=1,Q766-F766,"")</f>
        <v/>
      </c>
      <c r="AD766">
        <f>IF(Y766=1,AC766^2,"")</f>
        <v/>
      </c>
      <c r="AE766" s="19">
        <f>IF(Z766=1,(H766-M766)*I766,0)</f>
        <v/>
      </c>
      <c r="AF766">
        <f>IF(G766&lt;EDATE(Assumptions!$C$6,-12)+1,"prior_12m","last_12m")</f>
        <v/>
      </c>
      <c r="AG766" s="21">
        <f>DATE(YEAR(G766),MONTH(G766),1)</f>
        <v/>
      </c>
    </row>
    <row r="767">
      <c r="A767" t="inlineStr">
        <is>
          <t>SPO-00427-2</t>
        </is>
      </c>
      <c r="B767" t="inlineStr">
        <is>
          <t>SPO-00427</t>
        </is>
      </c>
      <c r="C767" t="inlineStr">
        <is>
          <t>SUP-08</t>
        </is>
      </c>
      <c r="D767" t="inlineStr">
        <is>
          <t>MRO</t>
        </is>
      </c>
      <c r="E767" t="inlineStr">
        <is>
          <t>MRO-02</t>
        </is>
      </c>
      <c r="F767" s="17" t="n">
        <v>45679</v>
      </c>
      <c r="G767" s="17" t="n">
        <v>45690</v>
      </c>
      <c r="H767" s="18" t="n">
        <v>80</v>
      </c>
      <c r="I767" s="19" t="n">
        <v>40.32</v>
      </c>
      <c r="J767" s="19" t="n">
        <v>41</v>
      </c>
      <c r="K767" s="20" t="n">
        <v>0</v>
      </c>
      <c r="L767" s="20" t="n">
        <v>0</v>
      </c>
      <c r="M767" s="18" t="n">
        <v>80</v>
      </c>
      <c r="N767" s="18" t="n">
        <v>80</v>
      </c>
      <c r="O767" s="18" t="n">
        <v>0</v>
      </c>
      <c r="P767" s="17" t="n">
        <v>45689</v>
      </c>
      <c r="Q767" s="17" t="n">
        <v>45689</v>
      </c>
      <c r="R767" s="17" t="n">
        <v>45689</v>
      </c>
      <c r="S767" s="19">
        <f>H767*I767</f>
        <v/>
      </c>
      <c r="T767" s="19">
        <f>H767*J767</f>
        <v/>
      </c>
      <c r="U767">
        <f>IF(AND(K767=0,G767&lt;=Assumptions!$C$6),1,0)</f>
        <v/>
      </c>
      <c r="V767">
        <f>IF(U767=1,IF(M767&gt;0,IF(P767&lt;=G767+Assumptions!$C$7,1,0),0),0)</f>
        <v/>
      </c>
      <c r="W767">
        <f>IF(AND(U767=1,M767&gt;=H767*(1-Assumptions!$C$8)),1,0)</f>
        <v/>
      </c>
      <c r="X767">
        <f>IF(AND(U767=1,N767&gt;=H767*(1-Assumptions!$C$8)),1,0)</f>
        <v/>
      </c>
      <c r="Y767">
        <f>IF(ISNUMBER(Q767),1,0)</f>
        <v/>
      </c>
      <c r="Z767">
        <f>IF(AND(K767=0,L767=0,Y767=0),1,0)</f>
        <v/>
      </c>
      <c r="AA767">
        <f>IF(AND(Z767=1,G767&lt;Assumptions!$C$6),1,0)</f>
        <v/>
      </c>
      <c r="AB767">
        <f>IF(U767=0,"",IF(Y767=1,MAX(0,Q767-G767),IF(L767=1,MAX(0,R767-G767),MAX(0,Assumptions!$C$6-G767))))</f>
        <v/>
      </c>
      <c r="AC767">
        <f>IF(Y767=1,Q767-F767,"")</f>
        <v/>
      </c>
      <c r="AD767">
        <f>IF(Y767=1,AC767^2,"")</f>
        <v/>
      </c>
      <c r="AE767" s="19">
        <f>IF(Z767=1,(H767-M767)*I767,0)</f>
        <v/>
      </c>
      <c r="AF767">
        <f>IF(G767&lt;EDATE(Assumptions!$C$6,-12)+1,"prior_12m","last_12m")</f>
        <v/>
      </c>
      <c r="AG767" s="21">
        <f>DATE(YEAR(G767),MONTH(G767),1)</f>
        <v/>
      </c>
    </row>
    <row r="768">
      <c r="A768" t="inlineStr">
        <is>
          <t>SPO-00428-1</t>
        </is>
      </c>
      <c r="B768" t="inlineStr">
        <is>
          <t>SPO-00428</t>
        </is>
      </c>
      <c r="C768" t="inlineStr">
        <is>
          <t>SUP-01</t>
        </is>
      </c>
      <c r="D768" t="inlineStr">
        <is>
          <t>ELEC</t>
        </is>
      </c>
      <c r="E768" t="inlineStr">
        <is>
          <t>ELEC-02</t>
        </is>
      </c>
      <c r="F768" s="17" t="n">
        <v>45680</v>
      </c>
      <c r="G768" s="17" t="n">
        <v>45698</v>
      </c>
      <c r="H768" s="18" t="n">
        <v>822</v>
      </c>
      <c r="I768" s="19" t="n">
        <v>4.24</v>
      </c>
      <c r="J768" s="19" t="n">
        <v>4.2</v>
      </c>
      <c r="K768" s="20" t="n">
        <v>0</v>
      </c>
      <c r="L768" s="20" t="n">
        <v>0</v>
      </c>
      <c r="M768" s="18" t="n">
        <v>822</v>
      </c>
      <c r="N768" s="18" t="n">
        <v>822</v>
      </c>
      <c r="O768" s="18" t="n">
        <v>0</v>
      </c>
      <c r="P768" s="17" t="n">
        <v>45696</v>
      </c>
      <c r="Q768" s="17" t="n">
        <v>45696</v>
      </c>
      <c r="R768" s="17" t="n">
        <v>45696</v>
      </c>
      <c r="S768" s="19">
        <f>H768*I768</f>
        <v/>
      </c>
      <c r="T768" s="19">
        <f>H768*J768</f>
        <v/>
      </c>
      <c r="U768">
        <f>IF(AND(K768=0,G768&lt;=Assumptions!$C$6),1,0)</f>
        <v/>
      </c>
      <c r="V768">
        <f>IF(U768=1,IF(M768&gt;0,IF(P768&lt;=G768+Assumptions!$C$7,1,0),0),0)</f>
        <v/>
      </c>
      <c r="W768">
        <f>IF(AND(U768=1,M768&gt;=H768*(1-Assumptions!$C$8)),1,0)</f>
        <v/>
      </c>
      <c r="X768">
        <f>IF(AND(U768=1,N768&gt;=H768*(1-Assumptions!$C$8)),1,0)</f>
        <v/>
      </c>
      <c r="Y768">
        <f>IF(ISNUMBER(Q768),1,0)</f>
        <v/>
      </c>
      <c r="Z768">
        <f>IF(AND(K768=0,L768=0,Y768=0),1,0)</f>
        <v/>
      </c>
      <c r="AA768">
        <f>IF(AND(Z768=1,G768&lt;Assumptions!$C$6),1,0)</f>
        <v/>
      </c>
      <c r="AB768">
        <f>IF(U768=0,"",IF(Y768=1,MAX(0,Q768-G768),IF(L768=1,MAX(0,R768-G768),MAX(0,Assumptions!$C$6-G768))))</f>
        <v/>
      </c>
      <c r="AC768">
        <f>IF(Y768=1,Q768-F768,"")</f>
        <v/>
      </c>
      <c r="AD768">
        <f>IF(Y768=1,AC768^2,"")</f>
        <v/>
      </c>
      <c r="AE768" s="19">
        <f>IF(Z768=1,(H768-M768)*I768,0)</f>
        <v/>
      </c>
      <c r="AF768">
        <f>IF(G768&lt;EDATE(Assumptions!$C$6,-12)+1,"prior_12m","last_12m")</f>
        <v/>
      </c>
      <c r="AG768" s="21">
        <f>DATE(YEAR(G768),MONTH(G768),1)</f>
        <v/>
      </c>
    </row>
    <row r="769">
      <c r="A769" t="inlineStr">
        <is>
          <t>SPO-00429-1</t>
        </is>
      </c>
      <c r="B769" t="inlineStr">
        <is>
          <t>SPO-00429</t>
        </is>
      </c>
      <c r="C769" t="inlineStr">
        <is>
          <t>SUP-02</t>
        </is>
      </c>
      <c r="D769" t="inlineStr">
        <is>
          <t>ELEC</t>
        </is>
      </c>
      <c r="E769" t="inlineStr">
        <is>
          <t>ELEC-02</t>
        </is>
      </c>
      <c r="F769" s="17" t="n">
        <v>45681</v>
      </c>
      <c r="G769" s="17" t="n">
        <v>45697</v>
      </c>
      <c r="H769" s="18" t="n">
        <v>267</v>
      </c>
      <c r="I769" s="19" t="n">
        <v>4.04</v>
      </c>
      <c r="J769" s="19" t="n">
        <v>4.2</v>
      </c>
      <c r="K769" s="20" t="n">
        <v>0</v>
      </c>
      <c r="L769" s="20" t="n">
        <v>0</v>
      </c>
      <c r="M769" s="18" t="n">
        <v>267</v>
      </c>
      <c r="N769" s="18" t="n">
        <v>267</v>
      </c>
      <c r="O769" s="18" t="n">
        <v>0</v>
      </c>
      <c r="P769" s="17" t="n">
        <v>45696</v>
      </c>
      <c r="Q769" s="17" t="n">
        <v>45696</v>
      </c>
      <c r="R769" s="17" t="n">
        <v>45696</v>
      </c>
      <c r="S769" s="19">
        <f>H769*I769</f>
        <v/>
      </c>
      <c r="T769" s="19">
        <f>H769*J769</f>
        <v/>
      </c>
      <c r="U769">
        <f>IF(AND(K769=0,G769&lt;=Assumptions!$C$6),1,0)</f>
        <v/>
      </c>
      <c r="V769">
        <f>IF(U769=1,IF(M769&gt;0,IF(P769&lt;=G769+Assumptions!$C$7,1,0),0),0)</f>
        <v/>
      </c>
      <c r="W769">
        <f>IF(AND(U769=1,M769&gt;=H769*(1-Assumptions!$C$8)),1,0)</f>
        <v/>
      </c>
      <c r="X769">
        <f>IF(AND(U769=1,N769&gt;=H769*(1-Assumptions!$C$8)),1,0)</f>
        <v/>
      </c>
      <c r="Y769">
        <f>IF(ISNUMBER(Q769),1,0)</f>
        <v/>
      </c>
      <c r="Z769">
        <f>IF(AND(K769=0,L769=0,Y769=0),1,0)</f>
        <v/>
      </c>
      <c r="AA769">
        <f>IF(AND(Z769=1,G769&lt;Assumptions!$C$6),1,0)</f>
        <v/>
      </c>
      <c r="AB769">
        <f>IF(U769=0,"",IF(Y769=1,MAX(0,Q769-G769),IF(L769=1,MAX(0,R769-G769),MAX(0,Assumptions!$C$6-G769))))</f>
        <v/>
      </c>
      <c r="AC769">
        <f>IF(Y769=1,Q769-F769,"")</f>
        <v/>
      </c>
      <c r="AD769">
        <f>IF(Y769=1,AC769^2,"")</f>
        <v/>
      </c>
      <c r="AE769" s="19">
        <f>IF(Z769=1,(H769-M769)*I769,0)</f>
        <v/>
      </c>
      <c r="AF769">
        <f>IF(G769&lt;EDATE(Assumptions!$C$6,-12)+1,"prior_12m","last_12m")</f>
        <v/>
      </c>
      <c r="AG769" s="21">
        <f>DATE(YEAR(G769),MONTH(G769),1)</f>
        <v/>
      </c>
    </row>
    <row r="770">
      <c r="A770" t="inlineStr">
        <is>
          <t>SPO-00429-2</t>
        </is>
      </c>
      <c r="B770" t="inlineStr">
        <is>
          <t>SPO-00429</t>
        </is>
      </c>
      <c r="C770" t="inlineStr">
        <is>
          <t>SUP-02</t>
        </is>
      </c>
      <c r="D770" t="inlineStr">
        <is>
          <t>ELEC</t>
        </is>
      </c>
      <c r="E770" t="inlineStr">
        <is>
          <t>ELEC-06</t>
        </is>
      </c>
      <c r="F770" s="17" t="n">
        <v>45681</v>
      </c>
      <c r="G770" s="17" t="n">
        <v>45697</v>
      </c>
      <c r="H770" s="18" t="n">
        <v>17</v>
      </c>
      <c r="I770" s="19" t="n">
        <v>145.26</v>
      </c>
      <c r="J770" s="19" t="n">
        <v>145</v>
      </c>
      <c r="K770" s="20" t="n">
        <v>1</v>
      </c>
      <c r="L770" s="20" t="n">
        <v>0</v>
      </c>
      <c r="M770" s="18" t="n">
        <v>0</v>
      </c>
      <c r="N770" s="18" t="n">
        <v>0</v>
      </c>
      <c r="O770" s="18" t="n">
        <v>0</v>
      </c>
      <c r="P770" s="17" t="n"/>
      <c r="Q770" s="17" t="n"/>
      <c r="R770" s="17" t="n"/>
      <c r="S770" s="19">
        <f>H770*I770</f>
        <v/>
      </c>
      <c r="T770" s="19">
        <f>H770*J770</f>
        <v/>
      </c>
      <c r="U770">
        <f>IF(AND(K770=0,G770&lt;=Assumptions!$C$6),1,0)</f>
        <v/>
      </c>
      <c r="V770">
        <f>IF(U770=1,IF(M770&gt;0,IF(P770&lt;=G770+Assumptions!$C$7,1,0),0),0)</f>
        <v/>
      </c>
      <c r="W770">
        <f>IF(AND(U770=1,M770&gt;=H770*(1-Assumptions!$C$8)),1,0)</f>
        <v/>
      </c>
      <c r="X770">
        <f>IF(AND(U770=1,N770&gt;=H770*(1-Assumptions!$C$8)),1,0)</f>
        <v/>
      </c>
      <c r="Y770">
        <f>IF(ISNUMBER(Q770),1,0)</f>
        <v/>
      </c>
      <c r="Z770">
        <f>IF(AND(K770=0,L770=0,Y770=0),1,0)</f>
        <v/>
      </c>
      <c r="AA770">
        <f>IF(AND(Z770=1,G770&lt;Assumptions!$C$6),1,0)</f>
        <v/>
      </c>
      <c r="AB770">
        <f>IF(U770=0,"",IF(Y770=1,MAX(0,Q770-G770),IF(L770=1,MAX(0,R770-G770),MAX(0,Assumptions!$C$6-G770))))</f>
        <v/>
      </c>
      <c r="AC770">
        <f>IF(Y770=1,Q770-F770,"")</f>
        <v/>
      </c>
      <c r="AD770">
        <f>IF(Y770=1,AC770^2,"")</f>
        <v/>
      </c>
      <c r="AE770" s="19">
        <f>IF(Z770=1,(H770-M770)*I770,0)</f>
        <v/>
      </c>
      <c r="AF770">
        <f>IF(G770&lt;EDATE(Assumptions!$C$6,-12)+1,"prior_12m","last_12m")</f>
        <v/>
      </c>
      <c r="AG770" s="21">
        <f>DATE(YEAR(G770),MONTH(G770),1)</f>
        <v/>
      </c>
    </row>
    <row r="771">
      <c r="A771" t="inlineStr">
        <is>
          <t>SPO-00430-1</t>
        </is>
      </c>
      <c r="B771" t="inlineStr">
        <is>
          <t>SPO-00430</t>
        </is>
      </c>
      <c r="C771" t="inlineStr">
        <is>
          <t>SUP-12</t>
        </is>
      </c>
      <c r="D771" t="inlineStr">
        <is>
          <t>IT</t>
        </is>
      </c>
      <c r="E771" t="inlineStr">
        <is>
          <t>IT-03</t>
        </is>
      </c>
      <c r="F771" s="17" t="n">
        <v>45681</v>
      </c>
      <c r="G771" s="17" t="n">
        <v>45691</v>
      </c>
      <c r="H771" s="18" t="n">
        <v>48</v>
      </c>
      <c r="I771" s="19" t="n">
        <v>40.82</v>
      </c>
      <c r="J771" s="19" t="n">
        <v>38</v>
      </c>
      <c r="K771" s="20" t="n">
        <v>0</v>
      </c>
      <c r="L771" s="20" t="n">
        <v>0</v>
      </c>
      <c r="M771" s="18" t="n">
        <v>48</v>
      </c>
      <c r="N771" s="18" t="n">
        <v>48</v>
      </c>
      <c r="O771" s="18" t="n">
        <v>0</v>
      </c>
      <c r="P771" s="17" t="n">
        <v>45687</v>
      </c>
      <c r="Q771" s="17" t="n">
        <v>45687</v>
      </c>
      <c r="R771" s="17" t="n">
        <v>45687</v>
      </c>
      <c r="S771" s="19">
        <f>H771*I771</f>
        <v/>
      </c>
      <c r="T771" s="19">
        <f>H771*J771</f>
        <v/>
      </c>
      <c r="U771">
        <f>IF(AND(K771=0,G771&lt;=Assumptions!$C$6),1,0)</f>
        <v/>
      </c>
      <c r="V771">
        <f>IF(U771=1,IF(M771&gt;0,IF(P771&lt;=G771+Assumptions!$C$7,1,0),0),0)</f>
        <v/>
      </c>
      <c r="W771">
        <f>IF(AND(U771=1,M771&gt;=H771*(1-Assumptions!$C$8)),1,0)</f>
        <v/>
      </c>
      <c r="X771">
        <f>IF(AND(U771=1,N771&gt;=H771*(1-Assumptions!$C$8)),1,0)</f>
        <v/>
      </c>
      <c r="Y771">
        <f>IF(ISNUMBER(Q771),1,0)</f>
        <v/>
      </c>
      <c r="Z771">
        <f>IF(AND(K771=0,L771=0,Y771=0),1,0)</f>
        <v/>
      </c>
      <c r="AA771">
        <f>IF(AND(Z771=1,G771&lt;Assumptions!$C$6),1,0)</f>
        <v/>
      </c>
      <c r="AB771">
        <f>IF(U771=0,"",IF(Y771=1,MAX(0,Q771-G771),IF(L771=1,MAX(0,R771-G771),MAX(0,Assumptions!$C$6-G771))))</f>
        <v/>
      </c>
      <c r="AC771">
        <f>IF(Y771=1,Q771-F771,"")</f>
        <v/>
      </c>
      <c r="AD771">
        <f>IF(Y771=1,AC771^2,"")</f>
        <v/>
      </c>
      <c r="AE771" s="19">
        <f>IF(Z771=1,(H771-M771)*I771,0)</f>
        <v/>
      </c>
      <c r="AF771">
        <f>IF(G771&lt;EDATE(Assumptions!$C$6,-12)+1,"prior_12m","last_12m")</f>
        <v/>
      </c>
      <c r="AG771" s="21">
        <f>DATE(YEAR(G771),MONTH(G771),1)</f>
        <v/>
      </c>
    </row>
    <row r="772">
      <c r="A772" t="inlineStr">
        <is>
          <t>SPO-00430-2</t>
        </is>
      </c>
      <c r="B772" t="inlineStr">
        <is>
          <t>SPO-00430</t>
        </is>
      </c>
      <c r="C772" t="inlineStr">
        <is>
          <t>SUP-12</t>
        </is>
      </c>
      <c r="D772" t="inlineStr">
        <is>
          <t>IT</t>
        </is>
      </c>
      <c r="E772" t="inlineStr">
        <is>
          <t>IT-05</t>
        </is>
      </c>
      <c r="F772" s="17" t="n">
        <v>45681</v>
      </c>
      <c r="G772" s="17" t="n">
        <v>45691</v>
      </c>
      <c r="H772" s="18" t="n">
        <v>2</v>
      </c>
      <c r="I772" s="19" t="n">
        <v>783.14</v>
      </c>
      <c r="J772" s="19" t="n">
        <v>640</v>
      </c>
      <c r="K772" s="20" t="n">
        <v>0</v>
      </c>
      <c r="L772" s="20" t="n">
        <v>0</v>
      </c>
      <c r="M772" s="18" t="n">
        <v>2</v>
      </c>
      <c r="N772" s="18" t="n">
        <v>2</v>
      </c>
      <c r="O772" s="18" t="n">
        <v>0</v>
      </c>
      <c r="P772" s="17" t="n">
        <v>45687</v>
      </c>
      <c r="Q772" s="17" t="n">
        <v>45687</v>
      </c>
      <c r="R772" s="17" t="n">
        <v>45687</v>
      </c>
      <c r="S772" s="19">
        <f>H772*I772</f>
        <v/>
      </c>
      <c r="T772" s="19">
        <f>H772*J772</f>
        <v/>
      </c>
      <c r="U772">
        <f>IF(AND(K772=0,G772&lt;=Assumptions!$C$6),1,0)</f>
        <v/>
      </c>
      <c r="V772">
        <f>IF(U772=1,IF(M772&gt;0,IF(P772&lt;=G772+Assumptions!$C$7,1,0),0),0)</f>
        <v/>
      </c>
      <c r="W772">
        <f>IF(AND(U772=1,M772&gt;=H772*(1-Assumptions!$C$8)),1,0)</f>
        <v/>
      </c>
      <c r="X772">
        <f>IF(AND(U772=1,N772&gt;=H772*(1-Assumptions!$C$8)),1,0)</f>
        <v/>
      </c>
      <c r="Y772">
        <f>IF(ISNUMBER(Q772),1,0)</f>
        <v/>
      </c>
      <c r="Z772">
        <f>IF(AND(K772=0,L772=0,Y772=0),1,0)</f>
        <v/>
      </c>
      <c r="AA772">
        <f>IF(AND(Z772=1,G772&lt;Assumptions!$C$6),1,0)</f>
        <v/>
      </c>
      <c r="AB772">
        <f>IF(U772=0,"",IF(Y772=1,MAX(0,Q772-G772),IF(L772=1,MAX(0,R772-G772),MAX(0,Assumptions!$C$6-G772))))</f>
        <v/>
      </c>
      <c r="AC772">
        <f>IF(Y772=1,Q772-F772,"")</f>
        <v/>
      </c>
      <c r="AD772">
        <f>IF(Y772=1,AC772^2,"")</f>
        <v/>
      </c>
      <c r="AE772" s="19">
        <f>IF(Z772=1,(H772-M772)*I772,0)</f>
        <v/>
      </c>
      <c r="AF772">
        <f>IF(G772&lt;EDATE(Assumptions!$C$6,-12)+1,"prior_12m","last_12m")</f>
        <v/>
      </c>
      <c r="AG772" s="21">
        <f>DATE(YEAR(G772),MONTH(G772),1)</f>
        <v/>
      </c>
    </row>
    <row r="773">
      <c r="A773" t="inlineStr">
        <is>
          <t>SPO-00430-3</t>
        </is>
      </c>
      <c r="B773" t="inlineStr">
        <is>
          <t>SPO-00430</t>
        </is>
      </c>
      <c r="C773" t="inlineStr">
        <is>
          <t>SUP-12</t>
        </is>
      </c>
      <c r="D773" t="inlineStr">
        <is>
          <t>IT</t>
        </is>
      </c>
      <c r="E773" t="inlineStr">
        <is>
          <t>IT-02</t>
        </is>
      </c>
      <c r="F773" s="17" t="n">
        <v>45681</v>
      </c>
      <c r="G773" s="17" t="n">
        <v>45691</v>
      </c>
      <c r="H773" s="18" t="n">
        <v>14</v>
      </c>
      <c r="I773" s="19" t="n">
        <v>176.86</v>
      </c>
      <c r="J773" s="19" t="n">
        <v>162</v>
      </c>
      <c r="K773" s="20" t="n">
        <v>0</v>
      </c>
      <c r="L773" s="20" t="n">
        <v>0</v>
      </c>
      <c r="M773" s="18" t="n">
        <v>14</v>
      </c>
      <c r="N773" s="18" t="n">
        <v>14</v>
      </c>
      <c r="O773" s="18" t="n">
        <v>0</v>
      </c>
      <c r="P773" s="17" t="n">
        <v>45688</v>
      </c>
      <c r="Q773" s="17" t="n">
        <v>45688</v>
      </c>
      <c r="R773" s="17" t="n">
        <v>45688</v>
      </c>
      <c r="S773" s="19">
        <f>H773*I773</f>
        <v/>
      </c>
      <c r="T773" s="19">
        <f>H773*J773</f>
        <v/>
      </c>
      <c r="U773">
        <f>IF(AND(K773=0,G773&lt;=Assumptions!$C$6),1,0)</f>
        <v/>
      </c>
      <c r="V773">
        <f>IF(U773=1,IF(M773&gt;0,IF(P773&lt;=G773+Assumptions!$C$7,1,0),0),0)</f>
        <v/>
      </c>
      <c r="W773">
        <f>IF(AND(U773=1,M773&gt;=H773*(1-Assumptions!$C$8)),1,0)</f>
        <v/>
      </c>
      <c r="X773">
        <f>IF(AND(U773=1,N773&gt;=H773*(1-Assumptions!$C$8)),1,0)</f>
        <v/>
      </c>
      <c r="Y773">
        <f>IF(ISNUMBER(Q773),1,0)</f>
        <v/>
      </c>
      <c r="Z773">
        <f>IF(AND(K773=0,L773=0,Y773=0),1,0)</f>
        <v/>
      </c>
      <c r="AA773">
        <f>IF(AND(Z773=1,G773&lt;Assumptions!$C$6),1,0)</f>
        <v/>
      </c>
      <c r="AB773">
        <f>IF(U773=0,"",IF(Y773=1,MAX(0,Q773-G773),IF(L773=1,MAX(0,R773-G773),MAX(0,Assumptions!$C$6-G773))))</f>
        <v/>
      </c>
      <c r="AC773">
        <f>IF(Y773=1,Q773-F773,"")</f>
        <v/>
      </c>
      <c r="AD773">
        <f>IF(Y773=1,AC773^2,"")</f>
        <v/>
      </c>
      <c r="AE773" s="19">
        <f>IF(Z773=1,(H773-M773)*I773,0)</f>
        <v/>
      </c>
      <c r="AF773">
        <f>IF(G773&lt;EDATE(Assumptions!$C$6,-12)+1,"prior_12m","last_12m")</f>
        <v/>
      </c>
      <c r="AG773" s="21">
        <f>DATE(YEAR(G773),MONTH(G773),1)</f>
        <v/>
      </c>
    </row>
    <row r="774">
      <c r="A774" t="inlineStr">
        <is>
          <t>SPO-00430-4</t>
        </is>
      </c>
      <c r="B774" t="inlineStr">
        <is>
          <t>SPO-00430</t>
        </is>
      </c>
      <c r="C774" t="inlineStr">
        <is>
          <t>SUP-12</t>
        </is>
      </c>
      <c r="D774" t="inlineStr">
        <is>
          <t>IT</t>
        </is>
      </c>
      <c r="E774" t="inlineStr">
        <is>
          <t>IT-08</t>
        </is>
      </c>
      <c r="F774" s="17" t="n">
        <v>45681</v>
      </c>
      <c r="G774" s="17" t="n">
        <v>45691</v>
      </c>
      <c r="H774" s="18" t="n">
        <v>8</v>
      </c>
      <c r="I774" s="19" t="n">
        <v>282.98</v>
      </c>
      <c r="J774" s="19" t="n">
        <v>245</v>
      </c>
      <c r="K774" s="20" t="n">
        <v>0</v>
      </c>
      <c r="L774" s="20" t="n">
        <v>0</v>
      </c>
      <c r="M774" s="18" t="n">
        <v>8</v>
      </c>
      <c r="N774" s="18" t="n">
        <v>8</v>
      </c>
      <c r="O774" s="18" t="n">
        <v>0</v>
      </c>
      <c r="P774" s="17" t="n">
        <v>45684</v>
      </c>
      <c r="Q774" s="17" t="n">
        <v>45684</v>
      </c>
      <c r="R774" s="17" t="n">
        <v>45684</v>
      </c>
      <c r="S774" s="19">
        <f>H774*I774</f>
        <v/>
      </c>
      <c r="T774" s="19">
        <f>H774*J774</f>
        <v/>
      </c>
      <c r="U774">
        <f>IF(AND(K774=0,G774&lt;=Assumptions!$C$6),1,0)</f>
        <v/>
      </c>
      <c r="V774">
        <f>IF(U774=1,IF(M774&gt;0,IF(P774&lt;=G774+Assumptions!$C$7,1,0),0),0)</f>
        <v/>
      </c>
      <c r="W774">
        <f>IF(AND(U774=1,M774&gt;=H774*(1-Assumptions!$C$8)),1,0)</f>
        <v/>
      </c>
      <c r="X774">
        <f>IF(AND(U774=1,N774&gt;=H774*(1-Assumptions!$C$8)),1,0)</f>
        <v/>
      </c>
      <c r="Y774">
        <f>IF(ISNUMBER(Q774),1,0)</f>
        <v/>
      </c>
      <c r="Z774">
        <f>IF(AND(K774=0,L774=0,Y774=0),1,0)</f>
        <v/>
      </c>
      <c r="AA774">
        <f>IF(AND(Z774=1,G774&lt;Assumptions!$C$6),1,0)</f>
        <v/>
      </c>
      <c r="AB774">
        <f>IF(U774=0,"",IF(Y774=1,MAX(0,Q774-G774),IF(L774=1,MAX(0,R774-G774),MAX(0,Assumptions!$C$6-G774))))</f>
        <v/>
      </c>
      <c r="AC774">
        <f>IF(Y774=1,Q774-F774,"")</f>
        <v/>
      </c>
      <c r="AD774">
        <f>IF(Y774=1,AC774^2,"")</f>
        <v/>
      </c>
      <c r="AE774" s="19">
        <f>IF(Z774=1,(H774-M774)*I774,0)</f>
        <v/>
      </c>
      <c r="AF774">
        <f>IF(G774&lt;EDATE(Assumptions!$C$6,-12)+1,"prior_12m","last_12m")</f>
        <v/>
      </c>
      <c r="AG774" s="21">
        <f>DATE(YEAR(G774),MONTH(G774),1)</f>
        <v/>
      </c>
    </row>
    <row r="775">
      <c r="A775" t="inlineStr">
        <is>
          <t>SPO-00431-1</t>
        </is>
      </c>
      <c r="B775" t="inlineStr">
        <is>
          <t>SPO-00431</t>
        </is>
      </c>
      <c r="C775" t="inlineStr">
        <is>
          <t>SUP-01</t>
        </is>
      </c>
      <c r="D775" t="inlineStr">
        <is>
          <t>ELEC</t>
        </is>
      </c>
      <c r="E775" t="inlineStr">
        <is>
          <t>ELEC-04</t>
        </is>
      </c>
      <c r="F775" s="17" t="n">
        <v>45681</v>
      </c>
      <c r="G775" s="17" t="n">
        <v>45699</v>
      </c>
      <c r="H775" s="18" t="n">
        <v>45</v>
      </c>
      <c r="I775" s="19" t="n">
        <v>72.54000000000001</v>
      </c>
      <c r="J775" s="19" t="n">
        <v>72</v>
      </c>
      <c r="K775" s="20" t="n">
        <v>0</v>
      </c>
      <c r="L775" s="20" t="n">
        <v>0</v>
      </c>
      <c r="M775" s="18" t="n">
        <v>45</v>
      </c>
      <c r="N775" s="18" t="n">
        <v>45</v>
      </c>
      <c r="O775" s="18" t="n">
        <v>0</v>
      </c>
      <c r="P775" s="17" t="n">
        <v>45698</v>
      </c>
      <c r="Q775" s="17" t="n">
        <v>45698</v>
      </c>
      <c r="R775" s="17" t="n">
        <v>45698</v>
      </c>
      <c r="S775" s="19">
        <f>H775*I775</f>
        <v/>
      </c>
      <c r="T775" s="19">
        <f>H775*J775</f>
        <v/>
      </c>
      <c r="U775">
        <f>IF(AND(K775=0,G775&lt;=Assumptions!$C$6),1,0)</f>
        <v/>
      </c>
      <c r="V775">
        <f>IF(U775=1,IF(M775&gt;0,IF(P775&lt;=G775+Assumptions!$C$7,1,0),0),0)</f>
        <v/>
      </c>
      <c r="W775">
        <f>IF(AND(U775=1,M775&gt;=H775*(1-Assumptions!$C$8)),1,0)</f>
        <v/>
      </c>
      <c r="X775">
        <f>IF(AND(U775=1,N775&gt;=H775*(1-Assumptions!$C$8)),1,0)</f>
        <v/>
      </c>
      <c r="Y775">
        <f>IF(ISNUMBER(Q775),1,0)</f>
        <v/>
      </c>
      <c r="Z775">
        <f>IF(AND(K775=0,L775=0,Y775=0),1,0)</f>
        <v/>
      </c>
      <c r="AA775">
        <f>IF(AND(Z775=1,G775&lt;Assumptions!$C$6),1,0)</f>
        <v/>
      </c>
      <c r="AB775">
        <f>IF(U775=0,"",IF(Y775=1,MAX(0,Q775-G775),IF(L775=1,MAX(0,R775-G775),MAX(0,Assumptions!$C$6-G775))))</f>
        <v/>
      </c>
      <c r="AC775">
        <f>IF(Y775=1,Q775-F775,"")</f>
        <v/>
      </c>
      <c r="AD775">
        <f>IF(Y775=1,AC775^2,"")</f>
        <v/>
      </c>
      <c r="AE775" s="19">
        <f>IF(Z775=1,(H775-M775)*I775,0)</f>
        <v/>
      </c>
      <c r="AF775">
        <f>IF(G775&lt;EDATE(Assumptions!$C$6,-12)+1,"prior_12m","last_12m")</f>
        <v/>
      </c>
      <c r="AG775" s="21">
        <f>DATE(YEAR(G775),MONTH(G775),1)</f>
        <v/>
      </c>
    </row>
    <row r="776">
      <c r="A776" t="inlineStr">
        <is>
          <t>SPO-00431-2</t>
        </is>
      </c>
      <c r="B776" t="inlineStr">
        <is>
          <t>SPO-00431</t>
        </is>
      </c>
      <c r="C776" t="inlineStr">
        <is>
          <t>SUP-01</t>
        </is>
      </c>
      <c r="D776" t="inlineStr">
        <is>
          <t>ELEC</t>
        </is>
      </c>
      <c r="E776" t="inlineStr">
        <is>
          <t>ELEC-03</t>
        </is>
      </c>
      <c r="F776" s="17" t="n">
        <v>45681</v>
      </c>
      <c r="G776" s="17" t="n">
        <v>45699</v>
      </c>
      <c r="H776" s="18" t="n">
        <v>17</v>
      </c>
      <c r="I776" s="19" t="n">
        <v>93.89</v>
      </c>
      <c r="J776" s="19" t="n">
        <v>96</v>
      </c>
      <c r="K776" s="20" t="n">
        <v>0</v>
      </c>
      <c r="L776" s="20" t="n">
        <v>0</v>
      </c>
      <c r="M776" s="18" t="n">
        <v>17</v>
      </c>
      <c r="N776" s="18" t="n">
        <v>17</v>
      </c>
      <c r="O776" s="18" t="n">
        <v>2</v>
      </c>
      <c r="P776" s="17" t="n">
        <v>45694</v>
      </c>
      <c r="Q776" s="17" t="n">
        <v>45694</v>
      </c>
      <c r="R776" s="17" t="n">
        <v>45694</v>
      </c>
      <c r="S776" s="19">
        <f>H776*I776</f>
        <v/>
      </c>
      <c r="T776" s="19">
        <f>H776*J776</f>
        <v/>
      </c>
      <c r="U776">
        <f>IF(AND(K776=0,G776&lt;=Assumptions!$C$6),1,0)</f>
        <v/>
      </c>
      <c r="V776">
        <f>IF(U776=1,IF(M776&gt;0,IF(P776&lt;=G776+Assumptions!$C$7,1,0),0),0)</f>
        <v/>
      </c>
      <c r="W776">
        <f>IF(AND(U776=1,M776&gt;=H776*(1-Assumptions!$C$8)),1,0)</f>
        <v/>
      </c>
      <c r="X776">
        <f>IF(AND(U776=1,N776&gt;=H776*(1-Assumptions!$C$8)),1,0)</f>
        <v/>
      </c>
      <c r="Y776">
        <f>IF(ISNUMBER(Q776),1,0)</f>
        <v/>
      </c>
      <c r="Z776">
        <f>IF(AND(K776=0,L776=0,Y776=0),1,0)</f>
        <v/>
      </c>
      <c r="AA776">
        <f>IF(AND(Z776=1,G776&lt;Assumptions!$C$6),1,0)</f>
        <v/>
      </c>
      <c r="AB776">
        <f>IF(U776=0,"",IF(Y776=1,MAX(0,Q776-G776),IF(L776=1,MAX(0,R776-G776),MAX(0,Assumptions!$C$6-G776))))</f>
        <v/>
      </c>
      <c r="AC776">
        <f>IF(Y776=1,Q776-F776,"")</f>
        <v/>
      </c>
      <c r="AD776">
        <f>IF(Y776=1,AC776^2,"")</f>
        <v/>
      </c>
      <c r="AE776" s="19">
        <f>IF(Z776=1,(H776-M776)*I776,0)</f>
        <v/>
      </c>
      <c r="AF776">
        <f>IF(G776&lt;EDATE(Assumptions!$C$6,-12)+1,"prior_12m","last_12m")</f>
        <v/>
      </c>
      <c r="AG776" s="21">
        <f>DATE(YEAR(G776),MONTH(G776),1)</f>
        <v/>
      </c>
    </row>
    <row r="777">
      <c r="A777" t="inlineStr">
        <is>
          <t>SPO-00432-1</t>
        </is>
      </c>
      <c r="B777" t="inlineStr">
        <is>
          <t>SPO-00432</t>
        </is>
      </c>
      <c r="C777" t="inlineStr">
        <is>
          <t>SUP-02</t>
        </is>
      </c>
      <c r="D777" t="inlineStr">
        <is>
          <t>ELEC</t>
        </is>
      </c>
      <c r="E777" t="inlineStr">
        <is>
          <t>ELEC-07</t>
        </is>
      </c>
      <c r="F777" s="17" t="n">
        <v>45681</v>
      </c>
      <c r="G777" s="17" t="n">
        <v>45697</v>
      </c>
      <c r="H777" s="18" t="n">
        <v>63</v>
      </c>
      <c r="I777" s="19" t="n">
        <v>9.369999999999999</v>
      </c>
      <c r="J777" s="19" t="n">
        <v>9.800000000000001</v>
      </c>
      <c r="K777" s="20" t="n">
        <v>0</v>
      </c>
      <c r="L777" s="20" t="n">
        <v>0</v>
      </c>
      <c r="M777" s="18" t="n">
        <v>63</v>
      </c>
      <c r="N777" s="18" t="n">
        <v>63</v>
      </c>
      <c r="O777" s="18" t="n">
        <v>0</v>
      </c>
      <c r="P777" s="17" t="n">
        <v>45693</v>
      </c>
      <c r="Q777" s="17" t="n">
        <v>45693</v>
      </c>
      <c r="R777" s="17" t="n">
        <v>45693</v>
      </c>
      <c r="S777" s="19">
        <f>H777*I777</f>
        <v/>
      </c>
      <c r="T777" s="19">
        <f>H777*J777</f>
        <v/>
      </c>
      <c r="U777">
        <f>IF(AND(K777=0,G777&lt;=Assumptions!$C$6),1,0)</f>
        <v/>
      </c>
      <c r="V777">
        <f>IF(U777=1,IF(M777&gt;0,IF(P777&lt;=G777+Assumptions!$C$7,1,0),0),0)</f>
        <v/>
      </c>
      <c r="W777">
        <f>IF(AND(U777=1,M777&gt;=H777*(1-Assumptions!$C$8)),1,0)</f>
        <v/>
      </c>
      <c r="X777">
        <f>IF(AND(U777=1,N777&gt;=H777*(1-Assumptions!$C$8)),1,0)</f>
        <v/>
      </c>
      <c r="Y777">
        <f>IF(ISNUMBER(Q777),1,0)</f>
        <v/>
      </c>
      <c r="Z777">
        <f>IF(AND(K777=0,L777=0,Y777=0),1,0)</f>
        <v/>
      </c>
      <c r="AA777">
        <f>IF(AND(Z777=1,G777&lt;Assumptions!$C$6),1,0)</f>
        <v/>
      </c>
      <c r="AB777">
        <f>IF(U777=0,"",IF(Y777=1,MAX(0,Q777-G777),IF(L777=1,MAX(0,R777-G777),MAX(0,Assumptions!$C$6-G777))))</f>
        <v/>
      </c>
      <c r="AC777">
        <f>IF(Y777=1,Q777-F777,"")</f>
        <v/>
      </c>
      <c r="AD777">
        <f>IF(Y777=1,AC777^2,"")</f>
        <v/>
      </c>
      <c r="AE777" s="19">
        <f>IF(Z777=1,(H777-M777)*I777,0)</f>
        <v/>
      </c>
      <c r="AF777">
        <f>IF(G777&lt;EDATE(Assumptions!$C$6,-12)+1,"prior_12m","last_12m")</f>
        <v/>
      </c>
      <c r="AG777" s="21">
        <f>DATE(YEAR(G777),MONTH(G777),1)</f>
        <v/>
      </c>
    </row>
    <row r="778">
      <c r="A778" t="inlineStr">
        <is>
          <t>SPO-00432-2</t>
        </is>
      </c>
      <c r="B778" t="inlineStr">
        <is>
          <t>SPO-00432</t>
        </is>
      </c>
      <c r="C778" t="inlineStr">
        <is>
          <t>SUP-02</t>
        </is>
      </c>
      <c r="D778" t="inlineStr">
        <is>
          <t>ELEC</t>
        </is>
      </c>
      <c r="E778" t="inlineStr">
        <is>
          <t>ELEC-02</t>
        </is>
      </c>
      <c r="F778" s="17" t="n">
        <v>45681</v>
      </c>
      <c r="G778" s="17" t="n">
        <v>45697</v>
      </c>
      <c r="H778" s="18" t="n">
        <v>334</v>
      </c>
      <c r="I778" s="19" t="n">
        <v>4.22</v>
      </c>
      <c r="J778" s="19" t="n">
        <v>4.2</v>
      </c>
      <c r="K778" s="20" t="n">
        <v>0</v>
      </c>
      <c r="L778" s="20" t="n">
        <v>0</v>
      </c>
      <c r="M778" s="18" t="n">
        <v>334</v>
      </c>
      <c r="N778" s="18" t="n">
        <v>0</v>
      </c>
      <c r="O778" s="18" t="n">
        <v>0</v>
      </c>
      <c r="P778" s="17" t="n">
        <v>45698</v>
      </c>
      <c r="Q778" s="17" t="n">
        <v>45698</v>
      </c>
      <c r="R778" s="17" t="n">
        <v>45698</v>
      </c>
      <c r="S778" s="19">
        <f>H778*I778</f>
        <v/>
      </c>
      <c r="T778" s="19">
        <f>H778*J778</f>
        <v/>
      </c>
      <c r="U778">
        <f>IF(AND(K778=0,G778&lt;=Assumptions!$C$6),1,0)</f>
        <v/>
      </c>
      <c r="V778">
        <f>IF(U778=1,IF(M778&gt;0,IF(P778&lt;=G778+Assumptions!$C$7,1,0),0),0)</f>
        <v/>
      </c>
      <c r="W778">
        <f>IF(AND(U778=1,M778&gt;=H778*(1-Assumptions!$C$8)),1,0)</f>
        <v/>
      </c>
      <c r="X778">
        <f>IF(AND(U778=1,N778&gt;=H778*(1-Assumptions!$C$8)),1,0)</f>
        <v/>
      </c>
      <c r="Y778">
        <f>IF(ISNUMBER(Q778),1,0)</f>
        <v/>
      </c>
      <c r="Z778">
        <f>IF(AND(K778=0,L778=0,Y778=0),1,0)</f>
        <v/>
      </c>
      <c r="AA778">
        <f>IF(AND(Z778=1,G778&lt;Assumptions!$C$6),1,0)</f>
        <v/>
      </c>
      <c r="AB778">
        <f>IF(U778=0,"",IF(Y778=1,MAX(0,Q778-G778),IF(L778=1,MAX(0,R778-G778),MAX(0,Assumptions!$C$6-G778))))</f>
        <v/>
      </c>
      <c r="AC778">
        <f>IF(Y778=1,Q778-F778,"")</f>
        <v/>
      </c>
      <c r="AD778">
        <f>IF(Y778=1,AC778^2,"")</f>
        <v/>
      </c>
      <c r="AE778" s="19">
        <f>IF(Z778=1,(H778-M778)*I778,0)</f>
        <v/>
      </c>
      <c r="AF778">
        <f>IF(G778&lt;EDATE(Assumptions!$C$6,-12)+1,"prior_12m","last_12m")</f>
        <v/>
      </c>
      <c r="AG778" s="21">
        <f>DATE(YEAR(G778),MONTH(G778),1)</f>
        <v/>
      </c>
    </row>
    <row r="779">
      <c r="A779" t="inlineStr">
        <is>
          <t>SPO-00433-1</t>
        </is>
      </c>
      <c r="B779" t="inlineStr">
        <is>
          <t>SPO-00433</t>
        </is>
      </c>
      <c r="C779" t="inlineStr">
        <is>
          <t>SUP-01</t>
        </is>
      </c>
      <c r="D779" t="inlineStr">
        <is>
          <t>ELEC</t>
        </is>
      </c>
      <c r="E779" t="inlineStr">
        <is>
          <t>ELEC-01</t>
        </is>
      </c>
      <c r="F779" s="17" t="n">
        <v>45681</v>
      </c>
      <c r="G779" s="17" t="n">
        <v>45699</v>
      </c>
      <c r="H779" s="18" t="n">
        <v>44</v>
      </c>
      <c r="I779" s="19" t="n">
        <v>39.62</v>
      </c>
      <c r="J779" s="19" t="n">
        <v>38</v>
      </c>
      <c r="K779" s="20" t="n">
        <v>0</v>
      </c>
      <c r="L779" s="20" t="n">
        <v>0</v>
      </c>
      <c r="M779" s="18" t="n">
        <v>44</v>
      </c>
      <c r="N779" s="18" t="n">
        <v>44</v>
      </c>
      <c r="O779" s="18" t="n">
        <v>0</v>
      </c>
      <c r="P779" s="17" t="n">
        <v>45694</v>
      </c>
      <c r="Q779" s="17" t="n">
        <v>45694</v>
      </c>
      <c r="R779" s="17" t="n">
        <v>45694</v>
      </c>
      <c r="S779" s="19">
        <f>H779*I779</f>
        <v/>
      </c>
      <c r="T779" s="19">
        <f>H779*J779</f>
        <v/>
      </c>
      <c r="U779">
        <f>IF(AND(K779=0,G779&lt;=Assumptions!$C$6),1,0)</f>
        <v/>
      </c>
      <c r="V779">
        <f>IF(U779=1,IF(M779&gt;0,IF(P779&lt;=G779+Assumptions!$C$7,1,0),0),0)</f>
        <v/>
      </c>
      <c r="W779">
        <f>IF(AND(U779=1,M779&gt;=H779*(1-Assumptions!$C$8)),1,0)</f>
        <v/>
      </c>
      <c r="X779">
        <f>IF(AND(U779=1,N779&gt;=H779*(1-Assumptions!$C$8)),1,0)</f>
        <v/>
      </c>
      <c r="Y779">
        <f>IF(ISNUMBER(Q779),1,0)</f>
        <v/>
      </c>
      <c r="Z779">
        <f>IF(AND(K779=0,L779=0,Y779=0),1,0)</f>
        <v/>
      </c>
      <c r="AA779">
        <f>IF(AND(Z779=1,G779&lt;Assumptions!$C$6),1,0)</f>
        <v/>
      </c>
      <c r="AB779">
        <f>IF(U779=0,"",IF(Y779=1,MAX(0,Q779-G779),IF(L779=1,MAX(0,R779-G779),MAX(0,Assumptions!$C$6-G779))))</f>
        <v/>
      </c>
      <c r="AC779">
        <f>IF(Y779=1,Q779-F779,"")</f>
        <v/>
      </c>
      <c r="AD779">
        <f>IF(Y779=1,AC779^2,"")</f>
        <v/>
      </c>
      <c r="AE779" s="19">
        <f>IF(Z779=1,(H779-M779)*I779,0)</f>
        <v/>
      </c>
      <c r="AF779">
        <f>IF(G779&lt;EDATE(Assumptions!$C$6,-12)+1,"prior_12m","last_12m")</f>
        <v/>
      </c>
      <c r="AG779" s="21">
        <f>DATE(YEAR(G779),MONTH(G779),1)</f>
        <v/>
      </c>
    </row>
    <row r="780">
      <c r="A780" t="inlineStr">
        <is>
          <t>SPO-00433-2</t>
        </is>
      </c>
      <c r="B780" t="inlineStr">
        <is>
          <t>SPO-00433</t>
        </is>
      </c>
      <c r="C780" t="inlineStr">
        <is>
          <t>SUP-01</t>
        </is>
      </c>
      <c r="D780" t="inlineStr">
        <is>
          <t>ELEC</t>
        </is>
      </c>
      <c r="E780" t="inlineStr">
        <is>
          <t>ELEC-07</t>
        </is>
      </c>
      <c r="F780" s="17" t="n">
        <v>45681</v>
      </c>
      <c r="G780" s="17" t="n">
        <v>45699</v>
      </c>
      <c r="H780" s="18" t="n">
        <v>240</v>
      </c>
      <c r="I780" s="19" t="n">
        <v>9.93</v>
      </c>
      <c r="J780" s="19" t="n">
        <v>9.800000000000001</v>
      </c>
      <c r="K780" s="20" t="n">
        <v>0</v>
      </c>
      <c r="L780" s="20" t="n">
        <v>0</v>
      </c>
      <c r="M780" s="18" t="n">
        <v>240</v>
      </c>
      <c r="N780" s="18" t="n">
        <v>240</v>
      </c>
      <c r="O780" s="18" t="n">
        <v>0</v>
      </c>
      <c r="P780" s="17" t="n">
        <v>45698</v>
      </c>
      <c r="Q780" s="17" t="n">
        <v>45698</v>
      </c>
      <c r="R780" s="17" t="n">
        <v>45698</v>
      </c>
      <c r="S780" s="19">
        <f>H780*I780</f>
        <v/>
      </c>
      <c r="T780" s="19">
        <f>H780*J780</f>
        <v/>
      </c>
      <c r="U780">
        <f>IF(AND(K780=0,G780&lt;=Assumptions!$C$6),1,0)</f>
        <v/>
      </c>
      <c r="V780">
        <f>IF(U780=1,IF(M780&gt;0,IF(P780&lt;=G780+Assumptions!$C$7,1,0),0),0)</f>
        <v/>
      </c>
      <c r="W780">
        <f>IF(AND(U780=1,M780&gt;=H780*(1-Assumptions!$C$8)),1,0)</f>
        <v/>
      </c>
      <c r="X780">
        <f>IF(AND(U780=1,N780&gt;=H780*(1-Assumptions!$C$8)),1,0)</f>
        <v/>
      </c>
      <c r="Y780">
        <f>IF(ISNUMBER(Q780),1,0)</f>
        <v/>
      </c>
      <c r="Z780">
        <f>IF(AND(K780=0,L780=0,Y780=0),1,0)</f>
        <v/>
      </c>
      <c r="AA780">
        <f>IF(AND(Z780=1,G780&lt;Assumptions!$C$6),1,0)</f>
        <v/>
      </c>
      <c r="AB780">
        <f>IF(U780=0,"",IF(Y780=1,MAX(0,Q780-G780),IF(L780=1,MAX(0,R780-G780),MAX(0,Assumptions!$C$6-G780))))</f>
        <v/>
      </c>
      <c r="AC780">
        <f>IF(Y780=1,Q780-F780,"")</f>
        <v/>
      </c>
      <c r="AD780">
        <f>IF(Y780=1,AC780^2,"")</f>
        <v/>
      </c>
      <c r="AE780" s="19">
        <f>IF(Z780=1,(H780-M780)*I780,0)</f>
        <v/>
      </c>
      <c r="AF780">
        <f>IF(G780&lt;EDATE(Assumptions!$C$6,-12)+1,"prior_12m","last_12m")</f>
        <v/>
      </c>
      <c r="AG780" s="21">
        <f>DATE(YEAR(G780),MONTH(G780),1)</f>
        <v/>
      </c>
    </row>
    <row r="781">
      <c r="A781" t="inlineStr">
        <is>
          <t>SPO-00434-1</t>
        </is>
      </c>
      <c r="B781" t="inlineStr">
        <is>
          <t>SPO-00434</t>
        </is>
      </c>
      <c r="C781" t="inlineStr">
        <is>
          <t>SUP-07</t>
        </is>
      </c>
      <c r="D781" t="inlineStr">
        <is>
          <t>MRO</t>
        </is>
      </c>
      <c r="E781" t="inlineStr">
        <is>
          <t>MRO-04</t>
        </is>
      </c>
      <c r="F781" s="17" t="n">
        <v>45681</v>
      </c>
      <c r="G781" s="17" t="n">
        <v>45691</v>
      </c>
      <c r="H781" s="18" t="n">
        <v>23</v>
      </c>
      <c r="I781" s="19" t="n">
        <v>61.71</v>
      </c>
      <c r="J781" s="19" t="n">
        <v>58</v>
      </c>
      <c r="K781" s="20" t="n">
        <v>0</v>
      </c>
      <c r="L781" s="20" t="n">
        <v>1</v>
      </c>
      <c r="M781" s="18" t="n">
        <v>16</v>
      </c>
      <c r="N781" s="18" t="n">
        <v>16</v>
      </c>
      <c r="O781" s="18" t="n">
        <v>0</v>
      </c>
      <c r="P781" s="17" t="n">
        <v>45689</v>
      </c>
      <c r="Q781" s="17" t="n"/>
      <c r="R781" s="17" t="n">
        <v>45689</v>
      </c>
      <c r="S781" s="19">
        <f>H781*I781</f>
        <v/>
      </c>
      <c r="T781" s="19">
        <f>H781*J781</f>
        <v/>
      </c>
      <c r="U781">
        <f>IF(AND(K781=0,G781&lt;=Assumptions!$C$6),1,0)</f>
        <v/>
      </c>
      <c r="V781">
        <f>IF(U781=1,IF(M781&gt;0,IF(P781&lt;=G781+Assumptions!$C$7,1,0),0),0)</f>
        <v/>
      </c>
      <c r="W781">
        <f>IF(AND(U781=1,M781&gt;=H781*(1-Assumptions!$C$8)),1,0)</f>
        <v/>
      </c>
      <c r="X781">
        <f>IF(AND(U781=1,N781&gt;=H781*(1-Assumptions!$C$8)),1,0)</f>
        <v/>
      </c>
      <c r="Y781">
        <f>IF(ISNUMBER(Q781),1,0)</f>
        <v/>
      </c>
      <c r="Z781">
        <f>IF(AND(K781=0,L781=0,Y781=0),1,0)</f>
        <v/>
      </c>
      <c r="AA781">
        <f>IF(AND(Z781=1,G781&lt;Assumptions!$C$6),1,0)</f>
        <v/>
      </c>
      <c r="AB781">
        <f>IF(U781=0,"",IF(Y781=1,MAX(0,Q781-G781),IF(L781=1,MAX(0,R781-G781),MAX(0,Assumptions!$C$6-G781))))</f>
        <v/>
      </c>
      <c r="AC781">
        <f>IF(Y781=1,Q781-F781,"")</f>
        <v/>
      </c>
      <c r="AD781">
        <f>IF(Y781=1,AC781^2,"")</f>
        <v/>
      </c>
      <c r="AE781" s="19">
        <f>IF(Z781=1,(H781-M781)*I781,0)</f>
        <v/>
      </c>
      <c r="AF781">
        <f>IF(G781&lt;EDATE(Assumptions!$C$6,-12)+1,"prior_12m","last_12m")</f>
        <v/>
      </c>
      <c r="AG781" s="21">
        <f>DATE(YEAR(G781),MONTH(G781),1)</f>
        <v/>
      </c>
    </row>
    <row r="782">
      <c r="A782" t="inlineStr">
        <is>
          <t>SPO-00434-2</t>
        </is>
      </c>
      <c r="B782" t="inlineStr">
        <is>
          <t>SPO-00434</t>
        </is>
      </c>
      <c r="C782" t="inlineStr">
        <is>
          <t>SUP-07</t>
        </is>
      </c>
      <c r="D782" t="inlineStr">
        <is>
          <t>MRO</t>
        </is>
      </c>
      <c r="E782" t="inlineStr">
        <is>
          <t>MRO-01</t>
        </is>
      </c>
      <c r="F782" s="17" t="n">
        <v>45681</v>
      </c>
      <c r="G782" s="17" t="n">
        <v>45691</v>
      </c>
      <c r="H782" s="18" t="n">
        <v>26</v>
      </c>
      <c r="I782" s="19" t="n">
        <v>51.79</v>
      </c>
      <c r="J782" s="19" t="n">
        <v>52</v>
      </c>
      <c r="K782" s="20" t="n">
        <v>0</v>
      </c>
      <c r="L782" s="20" t="n">
        <v>0</v>
      </c>
      <c r="M782" s="18" t="n">
        <v>26</v>
      </c>
      <c r="N782" s="18" t="n">
        <v>26</v>
      </c>
      <c r="O782" s="18" t="n">
        <v>0</v>
      </c>
      <c r="P782" s="17" t="n">
        <v>45687</v>
      </c>
      <c r="Q782" s="17" t="n">
        <v>45687</v>
      </c>
      <c r="R782" s="17" t="n">
        <v>45687</v>
      </c>
      <c r="S782" s="19">
        <f>H782*I782</f>
        <v/>
      </c>
      <c r="T782" s="19">
        <f>H782*J782</f>
        <v/>
      </c>
      <c r="U782">
        <f>IF(AND(K782=0,G782&lt;=Assumptions!$C$6),1,0)</f>
        <v/>
      </c>
      <c r="V782">
        <f>IF(U782=1,IF(M782&gt;0,IF(P782&lt;=G782+Assumptions!$C$7,1,0),0),0)</f>
        <v/>
      </c>
      <c r="W782">
        <f>IF(AND(U782=1,M782&gt;=H782*(1-Assumptions!$C$8)),1,0)</f>
        <v/>
      </c>
      <c r="X782">
        <f>IF(AND(U782=1,N782&gt;=H782*(1-Assumptions!$C$8)),1,0)</f>
        <v/>
      </c>
      <c r="Y782">
        <f>IF(ISNUMBER(Q782),1,0)</f>
        <v/>
      </c>
      <c r="Z782">
        <f>IF(AND(K782=0,L782=0,Y782=0),1,0)</f>
        <v/>
      </c>
      <c r="AA782">
        <f>IF(AND(Z782=1,G782&lt;Assumptions!$C$6),1,0)</f>
        <v/>
      </c>
      <c r="AB782">
        <f>IF(U782=0,"",IF(Y782=1,MAX(0,Q782-G782),IF(L782=1,MAX(0,R782-G782),MAX(0,Assumptions!$C$6-G782))))</f>
        <v/>
      </c>
      <c r="AC782">
        <f>IF(Y782=1,Q782-F782,"")</f>
        <v/>
      </c>
      <c r="AD782">
        <f>IF(Y782=1,AC782^2,"")</f>
        <v/>
      </c>
      <c r="AE782" s="19">
        <f>IF(Z782=1,(H782-M782)*I782,0)</f>
        <v/>
      </c>
      <c r="AF782">
        <f>IF(G782&lt;EDATE(Assumptions!$C$6,-12)+1,"prior_12m","last_12m")</f>
        <v/>
      </c>
      <c r="AG782" s="21">
        <f>DATE(YEAR(G782),MONTH(G782),1)</f>
        <v/>
      </c>
    </row>
    <row r="783">
      <c r="A783" t="inlineStr">
        <is>
          <t>SPO-00435-1</t>
        </is>
      </c>
      <c r="B783" t="inlineStr">
        <is>
          <t>SPO-00435</t>
        </is>
      </c>
      <c r="C783" t="inlineStr">
        <is>
          <t>SUP-04</t>
        </is>
      </c>
      <c r="D783" t="inlineStr">
        <is>
          <t>FLEET</t>
        </is>
      </c>
      <c r="E783" t="inlineStr">
        <is>
          <t>FLEET-06</t>
        </is>
      </c>
      <c r="F783" s="17" t="n">
        <v>45682</v>
      </c>
      <c r="G783" s="17" t="n">
        <v>45695</v>
      </c>
      <c r="H783" s="18" t="n">
        <v>67</v>
      </c>
      <c r="I783" s="19" t="n">
        <v>34.15</v>
      </c>
      <c r="J783" s="19" t="n">
        <v>33</v>
      </c>
      <c r="K783" s="20" t="n">
        <v>0</v>
      </c>
      <c r="L783" s="20" t="n">
        <v>0</v>
      </c>
      <c r="M783" s="18" t="n">
        <v>67</v>
      </c>
      <c r="N783" s="18" t="n">
        <v>67</v>
      </c>
      <c r="O783" s="18" t="n">
        <v>0</v>
      </c>
      <c r="P783" s="17" t="n">
        <v>45691</v>
      </c>
      <c r="Q783" s="17" t="n">
        <v>45691</v>
      </c>
      <c r="R783" s="17" t="n">
        <v>45691</v>
      </c>
      <c r="S783" s="19">
        <f>H783*I783</f>
        <v/>
      </c>
      <c r="T783" s="19">
        <f>H783*J783</f>
        <v/>
      </c>
      <c r="U783">
        <f>IF(AND(K783=0,G783&lt;=Assumptions!$C$6),1,0)</f>
        <v/>
      </c>
      <c r="V783">
        <f>IF(U783=1,IF(M783&gt;0,IF(P783&lt;=G783+Assumptions!$C$7,1,0),0),0)</f>
        <v/>
      </c>
      <c r="W783">
        <f>IF(AND(U783=1,M783&gt;=H783*(1-Assumptions!$C$8)),1,0)</f>
        <v/>
      </c>
      <c r="X783">
        <f>IF(AND(U783=1,N783&gt;=H783*(1-Assumptions!$C$8)),1,0)</f>
        <v/>
      </c>
      <c r="Y783">
        <f>IF(ISNUMBER(Q783),1,0)</f>
        <v/>
      </c>
      <c r="Z783">
        <f>IF(AND(K783=0,L783=0,Y783=0),1,0)</f>
        <v/>
      </c>
      <c r="AA783">
        <f>IF(AND(Z783=1,G783&lt;Assumptions!$C$6),1,0)</f>
        <v/>
      </c>
      <c r="AB783">
        <f>IF(U783=0,"",IF(Y783=1,MAX(0,Q783-G783),IF(L783=1,MAX(0,R783-G783),MAX(0,Assumptions!$C$6-G783))))</f>
        <v/>
      </c>
      <c r="AC783">
        <f>IF(Y783=1,Q783-F783,"")</f>
        <v/>
      </c>
      <c r="AD783">
        <f>IF(Y783=1,AC783^2,"")</f>
        <v/>
      </c>
      <c r="AE783" s="19">
        <f>IF(Z783=1,(H783-M783)*I783,0)</f>
        <v/>
      </c>
      <c r="AF783">
        <f>IF(G783&lt;EDATE(Assumptions!$C$6,-12)+1,"prior_12m","last_12m")</f>
        <v/>
      </c>
      <c r="AG783" s="21">
        <f>DATE(YEAR(G783),MONTH(G783),1)</f>
        <v/>
      </c>
    </row>
    <row r="784">
      <c r="A784" t="inlineStr">
        <is>
          <t>SPO-00435-2</t>
        </is>
      </c>
      <c r="B784" t="inlineStr">
        <is>
          <t>SPO-00435</t>
        </is>
      </c>
      <c r="C784" t="inlineStr">
        <is>
          <t>SUP-04</t>
        </is>
      </c>
      <c r="D784" t="inlineStr">
        <is>
          <t>FLEET</t>
        </is>
      </c>
      <c r="E784" t="inlineStr">
        <is>
          <t>FLEET-05</t>
        </is>
      </c>
      <c r="F784" s="17" t="n">
        <v>45682</v>
      </c>
      <c r="G784" s="17" t="n">
        <v>45695</v>
      </c>
      <c r="H784" s="18" t="n">
        <v>20</v>
      </c>
      <c r="I784" s="19" t="n">
        <v>172.65</v>
      </c>
      <c r="J784" s="19" t="n">
        <v>168</v>
      </c>
      <c r="K784" s="20" t="n">
        <v>0</v>
      </c>
      <c r="L784" s="20" t="n">
        <v>0</v>
      </c>
      <c r="M784" s="18" t="n">
        <v>20</v>
      </c>
      <c r="N784" s="18" t="n">
        <v>20</v>
      </c>
      <c r="O784" s="18" t="n">
        <v>0</v>
      </c>
      <c r="P784" s="17" t="n">
        <v>45683</v>
      </c>
      <c r="Q784" s="17" t="n">
        <v>45683</v>
      </c>
      <c r="R784" s="17" t="n">
        <v>45683</v>
      </c>
      <c r="S784" s="19">
        <f>H784*I784</f>
        <v/>
      </c>
      <c r="T784" s="19">
        <f>H784*J784</f>
        <v/>
      </c>
      <c r="U784">
        <f>IF(AND(K784=0,G784&lt;=Assumptions!$C$6),1,0)</f>
        <v/>
      </c>
      <c r="V784">
        <f>IF(U784=1,IF(M784&gt;0,IF(P784&lt;=G784+Assumptions!$C$7,1,0),0),0)</f>
        <v/>
      </c>
      <c r="W784">
        <f>IF(AND(U784=1,M784&gt;=H784*(1-Assumptions!$C$8)),1,0)</f>
        <v/>
      </c>
      <c r="X784">
        <f>IF(AND(U784=1,N784&gt;=H784*(1-Assumptions!$C$8)),1,0)</f>
        <v/>
      </c>
      <c r="Y784">
        <f>IF(ISNUMBER(Q784),1,0)</f>
        <v/>
      </c>
      <c r="Z784">
        <f>IF(AND(K784=0,L784=0,Y784=0),1,0)</f>
        <v/>
      </c>
      <c r="AA784">
        <f>IF(AND(Z784=1,G784&lt;Assumptions!$C$6),1,0)</f>
        <v/>
      </c>
      <c r="AB784">
        <f>IF(U784=0,"",IF(Y784=1,MAX(0,Q784-G784),IF(L784=1,MAX(0,R784-G784),MAX(0,Assumptions!$C$6-G784))))</f>
        <v/>
      </c>
      <c r="AC784">
        <f>IF(Y784=1,Q784-F784,"")</f>
        <v/>
      </c>
      <c r="AD784">
        <f>IF(Y784=1,AC784^2,"")</f>
        <v/>
      </c>
      <c r="AE784" s="19">
        <f>IF(Z784=1,(H784-M784)*I784,0)</f>
        <v/>
      </c>
      <c r="AF784">
        <f>IF(G784&lt;EDATE(Assumptions!$C$6,-12)+1,"prior_12m","last_12m")</f>
        <v/>
      </c>
      <c r="AG784" s="21">
        <f>DATE(YEAR(G784),MONTH(G784),1)</f>
        <v/>
      </c>
    </row>
    <row r="785">
      <c r="A785" t="inlineStr">
        <is>
          <t>SPO-00436-1</t>
        </is>
      </c>
      <c r="B785" t="inlineStr">
        <is>
          <t>SPO-00436</t>
        </is>
      </c>
      <c r="C785" t="inlineStr">
        <is>
          <t>SUP-06</t>
        </is>
      </c>
      <c r="D785" t="inlineStr">
        <is>
          <t>MRO</t>
        </is>
      </c>
      <c r="E785" t="inlineStr">
        <is>
          <t>MRO-03</t>
        </is>
      </c>
      <c r="F785" s="17" t="n">
        <v>45683</v>
      </c>
      <c r="G785" s="17" t="n">
        <v>45691</v>
      </c>
      <c r="H785" s="18" t="n">
        <v>159</v>
      </c>
      <c r="I785" s="19" t="n">
        <v>8.81</v>
      </c>
      <c r="J785" s="19" t="n">
        <v>8.9</v>
      </c>
      <c r="K785" s="20" t="n">
        <v>0</v>
      </c>
      <c r="L785" s="20" t="n">
        <v>0</v>
      </c>
      <c r="M785" s="18" t="n">
        <v>159</v>
      </c>
      <c r="N785" s="18" t="n">
        <v>159</v>
      </c>
      <c r="O785" s="18" t="n">
        <v>0</v>
      </c>
      <c r="P785" s="17" t="n">
        <v>45691</v>
      </c>
      <c r="Q785" s="17" t="n">
        <v>45691</v>
      </c>
      <c r="R785" s="17" t="n">
        <v>45691</v>
      </c>
      <c r="S785" s="19">
        <f>H785*I785</f>
        <v/>
      </c>
      <c r="T785" s="19">
        <f>H785*J785</f>
        <v/>
      </c>
      <c r="U785">
        <f>IF(AND(K785=0,G785&lt;=Assumptions!$C$6),1,0)</f>
        <v/>
      </c>
      <c r="V785">
        <f>IF(U785=1,IF(M785&gt;0,IF(P785&lt;=G785+Assumptions!$C$7,1,0),0),0)</f>
        <v/>
      </c>
      <c r="W785">
        <f>IF(AND(U785=1,M785&gt;=H785*(1-Assumptions!$C$8)),1,0)</f>
        <v/>
      </c>
      <c r="X785">
        <f>IF(AND(U785=1,N785&gt;=H785*(1-Assumptions!$C$8)),1,0)</f>
        <v/>
      </c>
      <c r="Y785">
        <f>IF(ISNUMBER(Q785),1,0)</f>
        <v/>
      </c>
      <c r="Z785">
        <f>IF(AND(K785=0,L785=0,Y785=0),1,0)</f>
        <v/>
      </c>
      <c r="AA785">
        <f>IF(AND(Z785=1,G785&lt;Assumptions!$C$6),1,0)</f>
        <v/>
      </c>
      <c r="AB785">
        <f>IF(U785=0,"",IF(Y785=1,MAX(0,Q785-G785),IF(L785=1,MAX(0,R785-G785),MAX(0,Assumptions!$C$6-G785))))</f>
        <v/>
      </c>
      <c r="AC785">
        <f>IF(Y785=1,Q785-F785,"")</f>
        <v/>
      </c>
      <c r="AD785">
        <f>IF(Y785=1,AC785^2,"")</f>
        <v/>
      </c>
      <c r="AE785" s="19">
        <f>IF(Z785=1,(H785-M785)*I785,0)</f>
        <v/>
      </c>
      <c r="AF785">
        <f>IF(G785&lt;EDATE(Assumptions!$C$6,-12)+1,"prior_12m","last_12m")</f>
        <v/>
      </c>
      <c r="AG785" s="21">
        <f>DATE(YEAR(G785),MONTH(G785),1)</f>
        <v/>
      </c>
    </row>
    <row r="786">
      <c r="A786" t="inlineStr">
        <is>
          <t>SPO-00436-2</t>
        </is>
      </c>
      <c r="B786" t="inlineStr">
        <is>
          <t>SPO-00436</t>
        </is>
      </c>
      <c r="C786" t="inlineStr">
        <is>
          <t>SUP-06</t>
        </is>
      </c>
      <c r="D786" t="inlineStr">
        <is>
          <t>MRO</t>
        </is>
      </c>
      <c r="E786" t="inlineStr">
        <is>
          <t>MRO-06</t>
        </is>
      </c>
      <c r="F786" s="17" t="n">
        <v>45683</v>
      </c>
      <c r="G786" s="17" t="n">
        <v>45691</v>
      </c>
      <c r="H786" s="18" t="n">
        <v>329</v>
      </c>
      <c r="I786" s="19" t="n">
        <v>5.79</v>
      </c>
      <c r="J786" s="19" t="n">
        <v>6.1</v>
      </c>
      <c r="K786" s="20" t="n">
        <v>0</v>
      </c>
      <c r="L786" s="20" t="n">
        <v>0</v>
      </c>
      <c r="M786" s="18" t="n">
        <v>329</v>
      </c>
      <c r="N786" s="18" t="n">
        <v>329</v>
      </c>
      <c r="O786" s="18" t="n">
        <v>0</v>
      </c>
      <c r="P786" s="17" t="n">
        <v>45690</v>
      </c>
      <c r="Q786" s="17" t="n">
        <v>45690</v>
      </c>
      <c r="R786" s="17" t="n">
        <v>45690</v>
      </c>
      <c r="S786" s="19">
        <f>H786*I786</f>
        <v/>
      </c>
      <c r="T786" s="19">
        <f>H786*J786</f>
        <v/>
      </c>
      <c r="U786">
        <f>IF(AND(K786=0,G786&lt;=Assumptions!$C$6),1,0)</f>
        <v/>
      </c>
      <c r="V786">
        <f>IF(U786=1,IF(M786&gt;0,IF(P786&lt;=G786+Assumptions!$C$7,1,0),0),0)</f>
        <v/>
      </c>
      <c r="W786">
        <f>IF(AND(U786=1,M786&gt;=H786*(1-Assumptions!$C$8)),1,0)</f>
        <v/>
      </c>
      <c r="X786">
        <f>IF(AND(U786=1,N786&gt;=H786*(1-Assumptions!$C$8)),1,0)</f>
        <v/>
      </c>
      <c r="Y786">
        <f>IF(ISNUMBER(Q786),1,0)</f>
        <v/>
      </c>
      <c r="Z786">
        <f>IF(AND(K786=0,L786=0,Y786=0),1,0)</f>
        <v/>
      </c>
      <c r="AA786">
        <f>IF(AND(Z786=1,G786&lt;Assumptions!$C$6),1,0)</f>
        <v/>
      </c>
      <c r="AB786">
        <f>IF(U786=0,"",IF(Y786=1,MAX(0,Q786-G786),IF(L786=1,MAX(0,R786-G786),MAX(0,Assumptions!$C$6-G786))))</f>
        <v/>
      </c>
      <c r="AC786">
        <f>IF(Y786=1,Q786-F786,"")</f>
        <v/>
      </c>
      <c r="AD786">
        <f>IF(Y786=1,AC786^2,"")</f>
        <v/>
      </c>
      <c r="AE786" s="19">
        <f>IF(Z786=1,(H786-M786)*I786,0)</f>
        <v/>
      </c>
      <c r="AF786">
        <f>IF(G786&lt;EDATE(Assumptions!$C$6,-12)+1,"prior_12m","last_12m")</f>
        <v/>
      </c>
      <c r="AG786" s="21">
        <f>DATE(YEAR(G786),MONTH(G786),1)</f>
        <v/>
      </c>
    </row>
    <row r="787">
      <c r="A787" t="inlineStr">
        <is>
          <t>SPO-00437-1</t>
        </is>
      </c>
      <c r="B787" t="inlineStr">
        <is>
          <t>SPO-00437</t>
        </is>
      </c>
      <c r="C787" t="inlineStr">
        <is>
          <t>SUP-11</t>
        </is>
      </c>
      <c r="D787" t="inlineStr">
        <is>
          <t>PPE</t>
        </is>
      </c>
      <c r="E787" t="inlineStr">
        <is>
          <t>PPE-02</t>
        </is>
      </c>
      <c r="F787" s="17" t="n">
        <v>45683</v>
      </c>
      <c r="G787" s="17" t="n">
        <v>45695</v>
      </c>
      <c r="H787" s="18" t="n">
        <v>231</v>
      </c>
      <c r="I787" s="19" t="n">
        <v>12.69</v>
      </c>
      <c r="J787" s="19" t="n">
        <v>12.5</v>
      </c>
      <c r="K787" s="20" t="n">
        <v>0</v>
      </c>
      <c r="L787" s="20" t="n">
        <v>0</v>
      </c>
      <c r="M787" s="18" t="n">
        <v>231</v>
      </c>
      <c r="N787" s="18" t="n">
        <v>231</v>
      </c>
      <c r="O787" s="18" t="n">
        <v>0</v>
      </c>
      <c r="P787" s="17" t="n">
        <v>45694</v>
      </c>
      <c r="Q787" s="17" t="n">
        <v>45694</v>
      </c>
      <c r="R787" s="17" t="n">
        <v>45694</v>
      </c>
      <c r="S787" s="19">
        <f>H787*I787</f>
        <v/>
      </c>
      <c r="T787" s="19">
        <f>H787*J787</f>
        <v/>
      </c>
      <c r="U787">
        <f>IF(AND(K787=0,G787&lt;=Assumptions!$C$6),1,0)</f>
        <v/>
      </c>
      <c r="V787">
        <f>IF(U787=1,IF(M787&gt;0,IF(P787&lt;=G787+Assumptions!$C$7,1,0),0),0)</f>
        <v/>
      </c>
      <c r="W787">
        <f>IF(AND(U787=1,M787&gt;=H787*(1-Assumptions!$C$8)),1,0)</f>
        <v/>
      </c>
      <c r="X787">
        <f>IF(AND(U787=1,N787&gt;=H787*(1-Assumptions!$C$8)),1,0)</f>
        <v/>
      </c>
      <c r="Y787">
        <f>IF(ISNUMBER(Q787),1,0)</f>
        <v/>
      </c>
      <c r="Z787">
        <f>IF(AND(K787=0,L787=0,Y787=0),1,0)</f>
        <v/>
      </c>
      <c r="AA787">
        <f>IF(AND(Z787=1,G787&lt;Assumptions!$C$6),1,0)</f>
        <v/>
      </c>
      <c r="AB787">
        <f>IF(U787=0,"",IF(Y787=1,MAX(0,Q787-G787),IF(L787=1,MAX(0,R787-G787),MAX(0,Assumptions!$C$6-G787))))</f>
        <v/>
      </c>
      <c r="AC787">
        <f>IF(Y787=1,Q787-F787,"")</f>
        <v/>
      </c>
      <c r="AD787">
        <f>IF(Y787=1,AC787^2,"")</f>
        <v/>
      </c>
      <c r="AE787" s="19">
        <f>IF(Z787=1,(H787-M787)*I787,0)</f>
        <v/>
      </c>
      <c r="AF787">
        <f>IF(G787&lt;EDATE(Assumptions!$C$6,-12)+1,"prior_12m","last_12m")</f>
        <v/>
      </c>
      <c r="AG787" s="21">
        <f>DATE(YEAR(G787),MONTH(G787),1)</f>
        <v/>
      </c>
    </row>
    <row r="788">
      <c r="A788" t="inlineStr">
        <is>
          <t>SPO-00437-2</t>
        </is>
      </c>
      <c r="B788" t="inlineStr">
        <is>
          <t>SPO-00437</t>
        </is>
      </c>
      <c r="C788" t="inlineStr">
        <is>
          <t>SUP-11</t>
        </is>
      </c>
      <c r="D788" t="inlineStr">
        <is>
          <t>PPE</t>
        </is>
      </c>
      <c r="E788" t="inlineStr">
        <is>
          <t>PPE-01</t>
        </is>
      </c>
      <c r="F788" s="17" t="n">
        <v>45683</v>
      </c>
      <c r="G788" s="17" t="n">
        <v>45695</v>
      </c>
      <c r="H788" s="18" t="n">
        <v>336</v>
      </c>
      <c r="I788" s="19" t="n">
        <v>4.76</v>
      </c>
      <c r="J788" s="19" t="n">
        <v>4.8</v>
      </c>
      <c r="K788" s="20" t="n">
        <v>0</v>
      </c>
      <c r="L788" s="20" t="n">
        <v>0</v>
      </c>
      <c r="M788" s="18" t="n">
        <v>336</v>
      </c>
      <c r="N788" s="18" t="n">
        <v>336</v>
      </c>
      <c r="O788" s="18" t="n">
        <v>0</v>
      </c>
      <c r="P788" s="17" t="n">
        <v>45691</v>
      </c>
      <c r="Q788" s="17" t="n">
        <v>45691</v>
      </c>
      <c r="R788" s="17" t="n">
        <v>45691</v>
      </c>
      <c r="S788" s="19">
        <f>H788*I788</f>
        <v/>
      </c>
      <c r="T788" s="19">
        <f>H788*J788</f>
        <v/>
      </c>
      <c r="U788">
        <f>IF(AND(K788=0,G788&lt;=Assumptions!$C$6),1,0)</f>
        <v/>
      </c>
      <c r="V788">
        <f>IF(U788=1,IF(M788&gt;0,IF(P788&lt;=G788+Assumptions!$C$7,1,0),0),0)</f>
        <v/>
      </c>
      <c r="W788">
        <f>IF(AND(U788=1,M788&gt;=H788*(1-Assumptions!$C$8)),1,0)</f>
        <v/>
      </c>
      <c r="X788">
        <f>IF(AND(U788=1,N788&gt;=H788*(1-Assumptions!$C$8)),1,0)</f>
        <v/>
      </c>
      <c r="Y788">
        <f>IF(ISNUMBER(Q788),1,0)</f>
        <v/>
      </c>
      <c r="Z788">
        <f>IF(AND(K788=0,L788=0,Y788=0),1,0)</f>
        <v/>
      </c>
      <c r="AA788">
        <f>IF(AND(Z788=1,G788&lt;Assumptions!$C$6),1,0)</f>
        <v/>
      </c>
      <c r="AB788">
        <f>IF(U788=0,"",IF(Y788=1,MAX(0,Q788-G788),IF(L788=1,MAX(0,R788-G788),MAX(0,Assumptions!$C$6-G788))))</f>
        <v/>
      </c>
      <c r="AC788">
        <f>IF(Y788=1,Q788-F788,"")</f>
        <v/>
      </c>
      <c r="AD788">
        <f>IF(Y788=1,AC788^2,"")</f>
        <v/>
      </c>
      <c r="AE788" s="19">
        <f>IF(Z788=1,(H788-M788)*I788,0)</f>
        <v/>
      </c>
      <c r="AF788">
        <f>IF(G788&lt;EDATE(Assumptions!$C$6,-12)+1,"prior_12m","last_12m")</f>
        <v/>
      </c>
      <c r="AG788" s="21">
        <f>DATE(YEAR(G788),MONTH(G788),1)</f>
        <v/>
      </c>
    </row>
    <row r="789">
      <c r="A789" t="inlineStr">
        <is>
          <t>SPO-00437-3</t>
        </is>
      </c>
      <c r="B789" t="inlineStr">
        <is>
          <t>SPO-00437</t>
        </is>
      </c>
      <c r="C789" t="inlineStr">
        <is>
          <t>SUP-11</t>
        </is>
      </c>
      <c r="D789" t="inlineStr">
        <is>
          <t>PPE</t>
        </is>
      </c>
      <c r="E789" t="inlineStr">
        <is>
          <t>PPE-03</t>
        </is>
      </c>
      <c r="F789" s="17" t="n">
        <v>45683</v>
      </c>
      <c r="G789" s="17" t="n">
        <v>45695</v>
      </c>
      <c r="H789" s="18" t="n">
        <v>15</v>
      </c>
      <c r="I789" s="19" t="n">
        <v>21.46</v>
      </c>
      <c r="J789" s="19" t="n">
        <v>21</v>
      </c>
      <c r="K789" s="20" t="n">
        <v>0</v>
      </c>
      <c r="L789" s="20" t="n">
        <v>0</v>
      </c>
      <c r="M789" s="18" t="n">
        <v>15</v>
      </c>
      <c r="N789" s="18" t="n">
        <v>15</v>
      </c>
      <c r="O789" s="18" t="n">
        <v>0</v>
      </c>
      <c r="P789" s="17" t="n">
        <v>45692</v>
      </c>
      <c r="Q789" s="17" t="n">
        <v>45692</v>
      </c>
      <c r="R789" s="17" t="n">
        <v>45692</v>
      </c>
      <c r="S789" s="19">
        <f>H789*I789</f>
        <v/>
      </c>
      <c r="T789" s="19">
        <f>H789*J789</f>
        <v/>
      </c>
      <c r="U789">
        <f>IF(AND(K789=0,G789&lt;=Assumptions!$C$6),1,0)</f>
        <v/>
      </c>
      <c r="V789">
        <f>IF(U789=1,IF(M789&gt;0,IF(P789&lt;=G789+Assumptions!$C$7,1,0),0),0)</f>
        <v/>
      </c>
      <c r="W789">
        <f>IF(AND(U789=1,M789&gt;=H789*(1-Assumptions!$C$8)),1,0)</f>
        <v/>
      </c>
      <c r="X789">
        <f>IF(AND(U789=1,N789&gt;=H789*(1-Assumptions!$C$8)),1,0)</f>
        <v/>
      </c>
      <c r="Y789">
        <f>IF(ISNUMBER(Q789),1,0)</f>
        <v/>
      </c>
      <c r="Z789">
        <f>IF(AND(K789=0,L789=0,Y789=0),1,0)</f>
        <v/>
      </c>
      <c r="AA789">
        <f>IF(AND(Z789=1,G789&lt;Assumptions!$C$6),1,0)</f>
        <v/>
      </c>
      <c r="AB789">
        <f>IF(U789=0,"",IF(Y789=1,MAX(0,Q789-G789),IF(L789=1,MAX(0,R789-G789),MAX(0,Assumptions!$C$6-G789))))</f>
        <v/>
      </c>
      <c r="AC789">
        <f>IF(Y789=1,Q789-F789,"")</f>
        <v/>
      </c>
      <c r="AD789">
        <f>IF(Y789=1,AC789^2,"")</f>
        <v/>
      </c>
      <c r="AE789" s="19">
        <f>IF(Z789=1,(H789-M789)*I789,0)</f>
        <v/>
      </c>
      <c r="AF789">
        <f>IF(G789&lt;EDATE(Assumptions!$C$6,-12)+1,"prior_12m","last_12m")</f>
        <v/>
      </c>
      <c r="AG789" s="21">
        <f>DATE(YEAR(G789),MONTH(G789),1)</f>
        <v/>
      </c>
    </row>
    <row r="790">
      <c r="A790" t="inlineStr">
        <is>
          <t>SPO-00437-4</t>
        </is>
      </c>
      <c r="B790" t="inlineStr">
        <is>
          <t>SPO-00437</t>
        </is>
      </c>
      <c r="C790" t="inlineStr">
        <is>
          <t>SUP-11</t>
        </is>
      </c>
      <c r="D790" t="inlineStr">
        <is>
          <t>PPE</t>
        </is>
      </c>
      <c r="E790" t="inlineStr">
        <is>
          <t>PPE-08</t>
        </is>
      </c>
      <c r="F790" s="17" t="n">
        <v>45683</v>
      </c>
      <c r="G790" s="17" t="n">
        <v>45695</v>
      </c>
      <c r="H790" s="18" t="n">
        <v>28</v>
      </c>
      <c r="I790" s="19" t="n">
        <v>64.61</v>
      </c>
      <c r="J790" s="19" t="n">
        <v>64</v>
      </c>
      <c r="K790" s="20" t="n">
        <v>0</v>
      </c>
      <c r="L790" s="20" t="n">
        <v>0</v>
      </c>
      <c r="M790" s="18" t="n">
        <v>28</v>
      </c>
      <c r="N790" s="18" t="n">
        <v>28</v>
      </c>
      <c r="O790" s="18" t="n">
        <v>0</v>
      </c>
      <c r="P790" s="17" t="n">
        <v>45694</v>
      </c>
      <c r="Q790" s="17" t="n">
        <v>45694</v>
      </c>
      <c r="R790" s="17" t="n">
        <v>45694</v>
      </c>
      <c r="S790" s="19">
        <f>H790*I790</f>
        <v/>
      </c>
      <c r="T790" s="19">
        <f>H790*J790</f>
        <v/>
      </c>
      <c r="U790">
        <f>IF(AND(K790=0,G790&lt;=Assumptions!$C$6),1,0)</f>
        <v/>
      </c>
      <c r="V790">
        <f>IF(U790=1,IF(M790&gt;0,IF(P790&lt;=G790+Assumptions!$C$7,1,0),0),0)</f>
        <v/>
      </c>
      <c r="W790">
        <f>IF(AND(U790=1,M790&gt;=H790*(1-Assumptions!$C$8)),1,0)</f>
        <v/>
      </c>
      <c r="X790">
        <f>IF(AND(U790=1,N790&gt;=H790*(1-Assumptions!$C$8)),1,0)</f>
        <v/>
      </c>
      <c r="Y790">
        <f>IF(ISNUMBER(Q790),1,0)</f>
        <v/>
      </c>
      <c r="Z790">
        <f>IF(AND(K790=0,L790=0,Y790=0),1,0)</f>
        <v/>
      </c>
      <c r="AA790">
        <f>IF(AND(Z790=1,G790&lt;Assumptions!$C$6),1,0)</f>
        <v/>
      </c>
      <c r="AB790">
        <f>IF(U790=0,"",IF(Y790=1,MAX(0,Q790-G790),IF(L790=1,MAX(0,R790-G790),MAX(0,Assumptions!$C$6-G790))))</f>
        <v/>
      </c>
      <c r="AC790">
        <f>IF(Y790=1,Q790-F790,"")</f>
        <v/>
      </c>
      <c r="AD790">
        <f>IF(Y790=1,AC790^2,"")</f>
        <v/>
      </c>
      <c r="AE790" s="19">
        <f>IF(Z790=1,(H790-M790)*I790,0)</f>
        <v/>
      </c>
      <c r="AF790">
        <f>IF(G790&lt;EDATE(Assumptions!$C$6,-12)+1,"prior_12m","last_12m")</f>
        <v/>
      </c>
      <c r="AG790" s="21">
        <f>DATE(YEAR(G790),MONTH(G790),1)</f>
        <v/>
      </c>
    </row>
    <row r="791">
      <c r="A791" t="inlineStr">
        <is>
          <t>SPO-00438-1</t>
        </is>
      </c>
      <c r="B791" t="inlineStr">
        <is>
          <t>SPO-00438</t>
        </is>
      </c>
      <c r="C791" t="inlineStr">
        <is>
          <t>SUP-06</t>
        </is>
      </c>
      <c r="D791" t="inlineStr">
        <is>
          <t>MRO</t>
        </is>
      </c>
      <c r="E791" t="inlineStr">
        <is>
          <t>MRO-03</t>
        </is>
      </c>
      <c r="F791" s="17" t="n">
        <v>45683</v>
      </c>
      <c r="G791" s="17" t="n">
        <v>45691</v>
      </c>
      <c r="H791" s="18" t="n">
        <v>137</v>
      </c>
      <c r="I791" s="19" t="n">
        <v>8.539999999999999</v>
      </c>
      <c r="J791" s="19" t="n">
        <v>8.9</v>
      </c>
      <c r="K791" s="20" t="n">
        <v>0</v>
      </c>
      <c r="L791" s="20" t="n">
        <v>0</v>
      </c>
      <c r="M791" s="18" t="n">
        <v>137</v>
      </c>
      <c r="N791" s="18" t="n">
        <v>137</v>
      </c>
      <c r="O791" s="18" t="n">
        <v>0</v>
      </c>
      <c r="P791" s="17" t="n">
        <v>45689</v>
      </c>
      <c r="Q791" s="17" t="n">
        <v>45689</v>
      </c>
      <c r="R791" s="17" t="n">
        <v>45689</v>
      </c>
      <c r="S791" s="19">
        <f>H791*I791</f>
        <v/>
      </c>
      <c r="T791" s="19">
        <f>H791*J791</f>
        <v/>
      </c>
      <c r="U791">
        <f>IF(AND(K791=0,G791&lt;=Assumptions!$C$6),1,0)</f>
        <v/>
      </c>
      <c r="V791">
        <f>IF(U791=1,IF(M791&gt;0,IF(P791&lt;=G791+Assumptions!$C$7,1,0),0),0)</f>
        <v/>
      </c>
      <c r="W791">
        <f>IF(AND(U791=1,M791&gt;=H791*(1-Assumptions!$C$8)),1,0)</f>
        <v/>
      </c>
      <c r="X791">
        <f>IF(AND(U791=1,N791&gt;=H791*(1-Assumptions!$C$8)),1,0)</f>
        <v/>
      </c>
      <c r="Y791">
        <f>IF(ISNUMBER(Q791),1,0)</f>
        <v/>
      </c>
      <c r="Z791">
        <f>IF(AND(K791=0,L791=0,Y791=0),1,0)</f>
        <v/>
      </c>
      <c r="AA791">
        <f>IF(AND(Z791=1,G791&lt;Assumptions!$C$6),1,0)</f>
        <v/>
      </c>
      <c r="AB791">
        <f>IF(U791=0,"",IF(Y791=1,MAX(0,Q791-G791),IF(L791=1,MAX(0,R791-G791),MAX(0,Assumptions!$C$6-G791))))</f>
        <v/>
      </c>
      <c r="AC791">
        <f>IF(Y791=1,Q791-F791,"")</f>
        <v/>
      </c>
      <c r="AD791">
        <f>IF(Y791=1,AC791^2,"")</f>
        <v/>
      </c>
      <c r="AE791" s="19">
        <f>IF(Z791=1,(H791-M791)*I791,0)</f>
        <v/>
      </c>
      <c r="AF791">
        <f>IF(G791&lt;EDATE(Assumptions!$C$6,-12)+1,"prior_12m","last_12m")</f>
        <v/>
      </c>
      <c r="AG791" s="21">
        <f>DATE(YEAR(G791),MONTH(G791),1)</f>
        <v/>
      </c>
    </row>
    <row r="792">
      <c r="A792" t="inlineStr">
        <is>
          <t>SPO-00438-2</t>
        </is>
      </c>
      <c r="B792" t="inlineStr">
        <is>
          <t>SPO-00438</t>
        </is>
      </c>
      <c r="C792" t="inlineStr">
        <is>
          <t>SUP-06</t>
        </is>
      </c>
      <c r="D792" t="inlineStr">
        <is>
          <t>MRO</t>
        </is>
      </c>
      <c r="E792" t="inlineStr">
        <is>
          <t>MRO-07</t>
        </is>
      </c>
      <c r="F792" s="17" t="n">
        <v>45683</v>
      </c>
      <c r="G792" s="17" t="n">
        <v>45691</v>
      </c>
      <c r="H792" s="18" t="n">
        <v>127</v>
      </c>
      <c r="I792" s="19" t="n">
        <v>13.24</v>
      </c>
      <c r="J792" s="19" t="n">
        <v>14</v>
      </c>
      <c r="K792" s="20" t="n">
        <v>0</v>
      </c>
      <c r="L792" s="20" t="n">
        <v>0</v>
      </c>
      <c r="M792" s="18" t="n">
        <v>127</v>
      </c>
      <c r="N792" s="18" t="n">
        <v>127</v>
      </c>
      <c r="O792" s="18" t="n">
        <v>0</v>
      </c>
      <c r="P792" s="17" t="n">
        <v>45689</v>
      </c>
      <c r="Q792" s="17" t="n">
        <v>45689</v>
      </c>
      <c r="R792" s="17" t="n">
        <v>45689</v>
      </c>
      <c r="S792" s="19">
        <f>H792*I792</f>
        <v/>
      </c>
      <c r="T792" s="19">
        <f>H792*J792</f>
        <v/>
      </c>
      <c r="U792">
        <f>IF(AND(K792=0,G792&lt;=Assumptions!$C$6),1,0)</f>
        <v/>
      </c>
      <c r="V792">
        <f>IF(U792=1,IF(M792&gt;0,IF(P792&lt;=G792+Assumptions!$C$7,1,0),0),0)</f>
        <v/>
      </c>
      <c r="W792">
        <f>IF(AND(U792=1,M792&gt;=H792*(1-Assumptions!$C$8)),1,0)</f>
        <v/>
      </c>
      <c r="X792">
        <f>IF(AND(U792=1,N792&gt;=H792*(1-Assumptions!$C$8)),1,0)</f>
        <v/>
      </c>
      <c r="Y792">
        <f>IF(ISNUMBER(Q792),1,0)</f>
        <v/>
      </c>
      <c r="Z792">
        <f>IF(AND(K792=0,L792=0,Y792=0),1,0)</f>
        <v/>
      </c>
      <c r="AA792">
        <f>IF(AND(Z792=1,G792&lt;Assumptions!$C$6),1,0)</f>
        <v/>
      </c>
      <c r="AB792">
        <f>IF(U792=0,"",IF(Y792=1,MAX(0,Q792-G792),IF(L792=1,MAX(0,R792-G792),MAX(0,Assumptions!$C$6-G792))))</f>
        <v/>
      </c>
      <c r="AC792">
        <f>IF(Y792=1,Q792-F792,"")</f>
        <v/>
      </c>
      <c r="AD792">
        <f>IF(Y792=1,AC792^2,"")</f>
        <v/>
      </c>
      <c r="AE792" s="19">
        <f>IF(Z792=1,(H792-M792)*I792,0)</f>
        <v/>
      </c>
      <c r="AF792">
        <f>IF(G792&lt;EDATE(Assumptions!$C$6,-12)+1,"prior_12m","last_12m")</f>
        <v/>
      </c>
      <c r="AG792" s="21">
        <f>DATE(YEAR(G792),MONTH(G792),1)</f>
        <v/>
      </c>
    </row>
    <row r="793">
      <c r="A793" t="inlineStr">
        <is>
          <t>SPO-00438-3</t>
        </is>
      </c>
      <c r="B793" t="inlineStr">
        <is>
          <t>SPO-00438</t>
        </is>
      </c>
      <c r="C793" t="inlineStr">
        <is>
          <t>SUP-06</t>
        </is>
      </c>
      <c r="D793" t="inlineStr">
        <is>
          <t>MRO</t>
        </is>
      </c>
      <c r="E793" t="inlineStr">
        <is>
          <t>MRO-06</t>
        </is>
      </c>
      <c r="F793" s="17" t="n">
        <v>45683</v>
      </c>
      <c r="G793" s="17" t="n">
        <v>45691</v>
      </c>
      <c r="H793" s="18" t="n">
        <v>228</v>
      </c>
      <c r="I793" s="19" t="n">
        <v>6.08</v>
      </c>
      <c r="J793" s="19" t="n">
        <v>6.1</v>
      </c>
      <c r="K793" s="20" t="n">
        <v>0</v>
      </c>
      <c r="L793" s="20" t="n">
        <v>0</v>
      </c>
      <c r="M793" s="18" t="n">
        <v>228</v>
      </c>
      <c r="N793" s="18" t="n">
        <v>228</v>
      </c>
      <c r="O793" s="18" t="n">
        <v>0</v>
      </c>
      <c r="P793" s="17" t="n">
        <v>45690</v>
      </c>
      <c r="Q793" s="17" t="n">
        <v>45690</v>
      </c>
      <c r="R793" s="17" t="n">
        <v>45690</v>
      </c>
      <c r="S793" s="19">
        <f>H793*I793</f>
        <v/>
      </c>
      <c r="T793" s="19">
        <f>H793*J793</f>
        <v/>
      </c>
      <c r="U793">
        <f>IF(AND(K793=0,G793&lt;=Assumptions!$C$6),1,0)</f>
        <v/>
      </c>
      <c r="V793">
        <f>IF(U793=1,IF(M793&gt;0,IF(P793&lt;=G793+Assumptions!$C$7,1,0),0),0)</f>
        <v/>
      </c>
      <c r="W793">
        <f>IF(AND(U793=1,M793&gt;=H793*(1-Assumptions!$C$8)),1,0)</f>
        <v/>
      </c>
      <c r="X793">
        <f>IF(AND(U793=1,N793&gt;=H793*(1-Assumptions!$C$8)),1,0)</f>
        <v/>
      </c>
      <c r="Y793">
        <f>IF(ISNUMBER(Q793),1,0)</f>
        <v/>
      </c>
      <c r="Z793">
        <f>IF(AND(K793=0,L793=0,Y793=0),1,0)</f>
        <v/>
      </c>
      <c r="AA793">
        <f>IF(AND(Z793=1,G793&lt;Assumptions!$C$6),1,0)</f>
        <v/>
      </c>
      <c r="AB793">
        <f>IF(U793=0,"",IF(Y793=1,MAX(0,Q793-G793),IF(L793=1,MAX(0,R793-G793),MAX(0,Assumptions!$C$6-G793))))</f>
        <v/>
      </c>
      <c r="AC793">
        <f>IF(Y793=1,Q793-F793,"")</f>
        <v/>
      </c>
      <c r="AD793">
        <f>IF(Y793=1,AC793^2,"")</f>
        <v/>
      </c>
      <c r="AE793" s="19">
        <f>IF(Z793=1,(H793-M793)*I793,0)</f>
        <v/>
      </c>
      <c r="AF793">
        <f>IF(G793&lt;EDATE(Assumptions!$C$6,-12)+1,"prior_12m","last_12m")</f>
        <v/>
      </c>
      <c r="AG793" s="21">
        <f>DATE(YEAR(G793),MONTH(G793),1)</f>
        <v/>
      </c>
    </row>
    <row r="794">
      <c r="A794" t="inlineStr">
        <is>
          <t>SPO-00439-1</t>
        </is>
      </c>
      <c r="B794" t="inlineStr">
        <is>
          <t>SPO-00439</t>
        </is>
      </c>
      <c r="C794" t="inlineStr">
        <is>
          <t>SUP-01</t>
        </is>
      </c>
      <c r="D794" t="inlineStr">
        <is>
          <t>ELEC</t>
        </is>
      </c>
      <c r="E794" t="inlineStr">
        <is>
          <t>ELEC-04</t>
        </is>
      </c>
      <c r="F794" s="17" t="n">
        <v>45683</v>
      </c>
      <c r="G794" s="17" t="n">
        <v>45701</v>
      </c>
      <c r="H794" s="18" t="n">
        <v>45</v>
      </c>
      <c r="I794" s="19" t="n">
        <v>68.44</v>
      </c>
      <c r="J794" s="19" t="n">
        <v>72</v>
      </c>
      <c r="K794" s="20" t="n">
        <v>0</v>
      </c>
      <c r="L794" s="20" t="n">
        <v>0</v>
      </c>
      <c r="M794" s="18" t="n">
        <v>45</v>
      </c>
      <c r="N794" s="18" t="n">
        <v>45</v>
      </c>
      <c r="O794" s="18" t="n">
        <v>0</v>
      </c>
      <c r="P794" s="17" t="n">
        <v>45695</v>
      </c>
      <c r="Q794" s="17" t="n">
        <v>45700</v>
      </c>
      <c r="R794" s="17" t="n">
        <v>45700</v>
      </c>
      <c r="S794" s="19">
        <f>H794*I794</f>
        <v/>
      </c>
      <c r="T794" s="19">
        <f>H794*J794</f>
        <v/>
      </c>
      <c r="U794">
        <f>IF(AND(K794=0,G794&lt;=Assumptions!$C$6),1,0)</f>
        <v/>
      </c>
      <c r="V794">
        <f>IF(U794=1,IF(M794&gt;0,IF(P794&lt;=G794+Assumptions!$C$7,1,0),0),0)</f>
        <v/>
      </c>
      <c r="W794">
        <f>IF(AND(U794=1,M794&gt;=H794*(1-Assumptions!$C$8)),1,0)</f>
        <v/>
      </c>
      <c r="X794">
        <f>IF(AND(U794=1,N794&gt;=H794*(1-Assumptions!$C$8)),1,0)</f>
        <v/>
      </c>
      <c r="Y794">
        <f>IF(ISNUMBER(Q794),1,0)</f>
        <v/>
      </c>
      <c r="Z794">
        <f>IF(AND(K794=0,L794=0,Y794=0),1,0)</f>
        <v/>
      </c>
      <c r="AA794">
        <f>IF(AND(Z794=1,G794&lt;Assumptions!$C$6),1,0)</f>
        <v/>
      </c>
      <c r="AB794">
        <f>IF(U794=0,"",IF(Y794=1,MAX(0,Q794-G794),IF(L794=1,MAX(0,R794-G794),MAX(0,Assumptions!$C$6-G794))))</f>
        <v/>
      </c>
      <c r="AC794">
        <f>IF(Y794=1,Q794-F794,"")</f>
        <v/>
      </c>
      <c r="AD794">
        <f>IF(Y794=1,AC794^2,"")</f>
        <v/>
      </c>
      <c r="AE794" s="19">
        <f>IF(Z794=1,(H794-M794)*I794,0)</f>
        <v/>
      </c>
      <c r="AF794">
        <f>IF(G794&lt;EDATE(Assumptions!$C$6,-12)+1,"prior_12m","last_12m")</f>
        <v/>
      </c>
      <c r="AG794" s="21">
        <f>DATE(YEAR(G794),MONTH(G794),1)</f>
        <v/>
      </c>
    </row>
    <row r="795">
      <c r="A795" t="inlineStr">
        <is>
          <t>SPO-00440-1</t>
        </is>
      </c>
      <c r="B795" t="inlineStr">
        <is>
          <t>SPO-00440</t>
        </is>
      </c>
      <c r="C795" t="inlineStr">
        <is>
          <t>SUP-01</t>
        </is>
      </c>
      <c r="D795" t="inlineStr">
        <is>
          <t>ELEC</t>
        </is>
      </c>
      <c r="E795" t="inlineStr">
        <is>
          <t>ELEC-04</t>
        </is>
      </c>
      <c r="F795" s="17" t="n">
        <v>45684</v>
      </c>
      <c r="G795" s="17" t="n">
        <v>45702</v>
      </c>
      <c r="H795" s="18" t="n">
        <v>49</v>
      </c>
      <c r="I795" s="19" t="n">
        <v>71.88</v>
      </c>
      <c r="J795" s="19" t="n">
        <v>72</v>
      </c>
      <c r="K795" s="20" t="n">
        <v>0</v>
      </c>
      <c r="L795" s="20" t="n">
        <v>0</v>
      </c>
      <c r="M795" s="18" t="n">
        <v>49</v>
      </c>
      <c r="N795" s="18" t="n">
        <v>49</v>
      </c>
      <c r="O795" s="18" t="n">
        <v>0</v>
      </c>
      <c r="P795" s="17" t="n">
        <v>45697</v>
      </c>
      <c r="Q795" s="17" t="n">
        <v>45697</v>
      </c>
      <c r="R795" s="17" t="n">
        <v>45697</v>
      </c>
      <c r="S795" s="19">
        <f>H795*I795</f>
        <v/>
      </c>
      <c r="T795" s="19">
        <f>H795*J795</f>
        <v/>
      </c>
      <c r="U795">
        <f>IF(AND(K795=0,G795&lt;=Assumptions!$C$6),1,0)</f>
        <v/>
      </c>
      <c r="V795">
        <f>IF(U795=1,IF(M795&gt;0,IF(P795&lt;=G795+Assumptions!$C$7,1,0),0),0)</f>
        <v/>
      </c>
      <c r="W795">
        <f>IF(AND(U795=1,M795&gt;=H795*(1-Assumptions!$C$8)),1,0)</f>
        <v/>
      </c>
      <c r="X795">
        <f>IF(AND(U795=1,N795&gt;=H795*(1-Assumptions!$C$8)),1,0)</f>
        <v/>
      </c>
      <c r="Y795">
        <f>IF(ISNUMBER(Q795),1,0)</f>
        <v/>
      </c>
      <c r="Z795">
        <f>IF(AND(K795=0,L795=0,Y795=0),1,0)</f>
        <v/>
      </c>
      <c r="AA795">
        <f>IF(AND(Z795=1,G795&lt;Assumptions!$C$6),1,0)</f>
        <v/>
      </c>
      <c r="AB795">
        <f>IF(U795=0,"",IF(Y795=1,MAX(0,Q795-G795),IF(L795=1,MAX(0,R795-G795),MAX(0,Assumptions!$C$6-G795))))</f>
        <v/>
      </c>
      <c r="AC795">
        <f>IF(Y795=1,Q795-F795,"")</f>
        <v/>
      </c>
      <c r="AD795">
        <f>IF(Y795=1,AC795^2,"")</f>
        <v/>
      </c>
      <c r="AE795" s="19">
        <f>IF(Z795=1,(H795-M795)*I795,0)</f>
        <v/>
      </c>
      <c r="AF795">
        <f>IF(G795&lt;EDATE(Assumptions!$C$6,-12)+1,"prior_12m","last_12m")</f>
        <v/>
      </c>
      <c r="AG795" s="21">
        <f>DATE(YEAR(G795),MONTH(G795),1)</f>
        <v/>
      </c>
    </row>
    <row r="796">
      <c r="A796" t="inlineStr">
        <is>
          <t>SPO-00440-2</t>
        </is>
      </c>
      <c r="B796" t="inlineStr">
        <is>
          <t>SPO-00440</t>
        </is>
      </c>
      <c r="C796" t="inlineStr">
        <is>
          <t>SUP-01</t>
        </is>
      </c>
      <c r="D796" t="inlineStr">
        <is>
          <t>ELEC</t>
        </is>
      </c>
      <c r="E796" t="inlineStr">
        <is>
          <t>ELEC-06</t>
        </is>
      </c>
      <c r="F796" s="17" t="n">
        <v>45684</v>
      </c>
      <c r="G796" s="17" t="n">
        <v>45702</v>
      </c>
      <c r="H796" s="18" t="n">
        <v>13</v>
      </c>
      <c r="I796" s="19" t="n">
        <v>147.23</v>
      </c>
      <c r="J796" s="19" t="n">
        <v>145</v>
      </c>
      <c r="K796" s="20" t="n">
        <v>0</v>
      </c>
      <c r="L796" s="20" t="n">
        <v>0</v>
      </c>
      <c r="M796" s="18" t="n">
        <v>13</v>
      </c>
      <c r="N796" s="18" t="n">
        <v>13</v>
      </c>
      <c r="O796" s="18" t="n">
        <v>0</v>
      </c>
      <c r="P796" s="17" t="n">
        <v>45701</v>
      </c>
      <c r="Q796" s="17" t="n">
        <v>45701</v>
      </c>
      <c r="R796" s="17" t="n">
        <v>45701</v>
      </c>
      <c r="S796" s="19">
        <f>H796*I796</f>
        <v/>
      </c>
      <c r="T796" s="19">
        <f>H796*J796</f>
        <v/>
      </c>
      <c r="U796">
        <f>IF(AND(K796=0,G796&lt;=Assumptions!$C$6),1,0)</f>
        <v/>
      </c>
      <c r="V796">
        <f>IF(U796=1,IF(M796&gt;0,IF(P796&lt;=G796+Assumptions!$C$7,1,0),0),0)</f>
        <v/>
      </c>
      <c r="W796">
        <f>IF(AND(U796=1,M796&gt;=H796*(1-Assumptions!$C$8)),1,0)</f>
        <v/>
      </c>
      <c r="X796">
        <f>IF(AND(U796=1,N796&gt;=H796*(1-Assumptions!$C$8)),1,0)</f>
        <v/>
      </c>
      <c r="Y796">
        <f>IF(ISNUMBER(Q796),1,0)</f>
        <v/>
      </c>
      <c r="Z796">
        <f>IF(AND(K796=0,L796=0,Y796=0),1,0)</f>
        <v/>
      </c>
      <c r="AA796">
        <f>IF(AND(Z796=1,G796&lt;Assumptions!$C$6),1,0)</f>
        <v/>
      </c>
      <c r="AB796">
        <f>IF(U796=0,"",IF(Y796=1,MAX(0,Q796-G796),IF(L796=1,MAX(0,R796-G796),MAX(0,Assumptions!$C$6-G796))))</f>
        <v/>
      </c>
      <c r="AC796">
        <f>IF(Y796=1,Q796-F796,"")</f>
        <v/>
      </c>
      <c r="AD796">
        <f>IF(Y796=1,AC796^2,"")</f>
        <v/>
      </c>
      <c r="AE796" s="19">
        <f>IF(Z796=1,(H796-M796)*I796,0)</f>
        <v/>
      </c>
      <c r="AF796">
        <f>IF(G796&lt;EDATE(Assumptions!$C$6,-12)+1,"prior_12m","last_12m")</f>
        <v/>
      </c>
      <c r="AG796" s="21">
        <f>DATE(YEAR(G796),MONTH(G796),1)</f>
        <v/>
      </c>
    </row>
    <row r="797">
      <c r="A797" t="inlineStr">
        <is>
          <t>SPO-00440-3</t>
        </is>
      </c>
      <c r="B797" t="inlineStr">
        <is>
          <t>SPO-00440</t>
        </is>
      </c>
      <c r="C797" t="inlineStr">
        <is>
          <t>SUP-01</t>
        </is>
      </c>
      <c r="D797" t="inlineStr">
        <is>
          <t>ELEC</t>
        </is>
      </c>
      <c r="E797" t="inlineStr">
        <is>
          <t>ELEC-02</t>
        </is>
      </c>
      <c r="F797" s="17" t="n">
        <v>45684</v>
      </c>
      <c r="G797" s="17" t="n">
        <v>45702</v>
      </c>
      <c r="H797" s="18" t="n">
        <v>570</v>
      </c>
      <c r="I797" s="19" t="n">
        <v>4.26</v>
      </c>
      <c r="J797" s="19" t="n">
        <v>4.2</v>
      </c>
      <c r="K797" s="20" t="n">
        <v>1</v>
      </c>
      <c r="L797" s="20" t="n">
        <v>0</v>
      </c>
      <c r="M797" s="18" t="n">
        <v>0</v>
      </c>
      <c r="N797" s="18" t="n">
        <v>0</v>
      </c>
      <c r="O797" s="18" t="n">
        <v>0</v>
      </c>
      <c r="P797" s="17" t="n"/>
      <c r="Q797" s="17" t="n"/>
      <c r="R797" s="17" t="n"/>
      <c r="S797" s="19">
        <f>H797*I797</f>
        <v/>
      </c>
      <c r="T797" s="19">
        <f>H797*J797</f>
        <v/>
      </c>
      <c r="U797">
        <f>IF(AND(K797=0,G797&lt;=Assumptions!$C$6),1,0)</f>
        <v/>
      </c>
      <c r="V797">
        <f>IF(U797=1,IF(M797&gt;0,IF(P797&lt;=G797+Assumptions!$C$7,1,0),0),0)</f>
        <v/>
      </c>
      <c r="W797">
        <f>IF(AND(U797=1,M797&gt;=H797*(1-Assumptions!$C$8)),1,0)</f>
        <v/>
      </c>
      <c r="X797">
        <f>IF(AND(U797=1,N797&gt;=H797*(1-Assumptions!$C$8)),1,0)</f>
        <v/>
      </c>
      <c r="Y797">
        <f>IF(ISNUMBER(Q797),1,0)</f>
        <v/>
      </c>
      <c r="Z797">
        <f>IF(AND(K797=0,L797=0,Y797=0),1,0)</f>
        <v/>
      </c>
      <c r="AA797">
        <f>IF(AND(Z797=1,G797&lt;Assumptions!$C$6),1,0)</f>
        <v/>
      </c>
      <c r="AB797">
        <f>IF(U797=0,"",IF(Y797=1,MAX(0,Q797-G797),IF(L797=1,MAX(0,R797-G797),MAX(0,Assumptions!$C$6-G797))))</f>
        <v/>
      </c>
      <c r="AC797">
        <f>IF(Y797=1,Q797-F797,"")</f>
        <v/>
      </c>
      <c r="AD797">
        <f>IF(Y797=1,AC797^2,"")</f>
        <v/>
      </c>
      <c r="AE797" s="19">
        <f>IF(Z797=1,(H797-M797)*I797,0)</f>
        <v/>
      </c>
      <c r="AF797">
        <f>IF(G797&lt;EDATE(Assumptions!$C$6,-12)+1,"prior_12m","last_12m")</f>
        <v/>
      </c>
      <c r="AG797" s="21">
        <f>DATE(YEAR(G797),MONTH(G797),1)</f>
        <v/>
      </c>
    </row>
    <row r="798">
      <c r="A798" t="inlineStr">
        <is>
          <t>SPO-00441-1</t>
        </is>
      </c>
      <c r="B798" t="inlineStr">
        <is>
          <t>SPO-00441</t>
        </is>
      </c>
      <c r="C798" t="inlineStr">
        <is>
          <t>SUP-04</t>
        </is>
      </c>
      <c r="D798" t="inlineStr">
        <is>
          <t>FLEET</t>
        </is>
      </c>
      <c r="E798" t="inlineStr">
        <is>
          <t>FLEET-01</t>
        </is>
      </c>
      <c r="F798" s="17" t="n">
        <v>45684</v>
      </c>
      <c r="G798" s="17" t="n">
        <v>45697</v>
      </c>
      <c r="H798" s="18" t="n">
        <v>11</v>
      </c>
      <c r="I798" s="19" t="n">
        <v>65.05</v>
      </c>
      <c r="J798" s="19" t="n">
        <v>64</v>
      </c>
      <c r="K798" s="20" t="n">
        <v>0</v>
      </c>
      <c r="L798" s="20" t="n">
        <v>0</v>
      </c>
      <c r="M798" s="18" t="n">
        <v>11</v>
      </c>
      <c r="N798" s="18" t="n">
        <v>0</v>
      </c>
      <c r="O798" s="18" t="n">
        <v>0</v>
      </c>
      <c r="P798" s="17" t="n">
        <v>45703</v>
      </c>
      <c r="Q798" s="17" t="n">
        <v>45703</v>
      </c>
      <c r="R798" s="17" t="n">
        <v>45703</v>
      </c>
      <c r="S798" s="19">
        <f>H798*I798</f>
        <v/>
      </c>
      <c r="T798" s="19">
        <f>H798*J798</f>
        <v/>
      </c>
      <c r="U798">
        <f>IF(AND(K798=0,G798&lt;=Assumptions!$C$6),1,0)</f>
        <v/>
      </c>
      <c r="V798">
        <f>IF(U798=1,IF(M798&gt;0,IF(P798&lt;=G798+Assumptions!$C$7,1,0),0),0)</f>
        <v/>
      </c>
      <c r="W798">
        <f>IF(AND(U798=1,M798&gt;=H798*(1-Assumptions!$C$8)),1,0)</f>
        <v/>
      </c>
      <c r="X798">
        <f>IF(AND(U798=1,N798&gt;=H798*(1-Assumptions!$C$8)),1,0)</f>
        <v/>
      </c>
      <c r="Y798">
        <f>IF(ISNUMBER(Q798),1,0)</f>
        <v/>
      </c>
      <c r="Z798">
        <f>IF(AND(K798=0,L798=0,Y798=0),1,0)</f>
        <v/>
      </c>
      <c r="AA798">
        <f>IF(AND(Z798=1,G798&lt;Assumptions!$C$6),1,0)</f>
        <v/>
      </c>
      <c r="AB798">
        <f>IF(U798=0,"",IF(Y798=1,MAX(0,Q798-G798),IF(L798=1,MAX(0,R798-G798),MAX(0,Assumptions!$C$6-G798))))</f>
        <v/>
      </c>
      <c r="AC798">
        <f>IF(Y798=1,Q798-F798,"")</f>
        <v/>
      </c>
      <c r="AD798">
        <f>IF(Y798=1,AC798^2,"")</f>
        <v/>
      </c>
      <c r="AE798" s="19">
        <f>IF(Z798=1,(H798-M798)*I798,0)</f>
        <v/>
      </c>
      <c r="AF798">
        <f>IF(G798&lt;EDATE(Assumptions!$C$6,-12)+1,"prior_12m","last_12m")</f>
        <v/>
      </c>
      <c r="AG798" s="21">
        <f>DATE(YEAR(G798),MONTH(G798),1)</f>
        <v/>
      </c>
    </row>
    <row r="799">
      <c r="A799" t="inlineStr">
        <is>
          <t>SPO-00441-2</t>
        </is>
      </c>
      <c r="B799" t="inlineStr">
        <is>
          <t>SPO-00441</t>
        </is>
      </c>
      <c r="C799" t="inlineStr">
        <is>
          <t>SUP-04</t>
        </is>
      </c>
      <c r="D799" t="inlineStr">
        <is>
          <t>FLEET</t>
        </is>
      </c>
      <c r="E799" t="inlineStr">
        <is>
          <t>FLEET-08</t>
        </is>
      </c>
      <c r="F799" s="17" t="n">
        <v>45684</v>
      </c>
      <c r="G799" s="17" t="n">
        <v>45697</v>
      </c>
      <c r="H799" s="18" t="n">
        <v>307</v>
      </c>
      <c r="I799" s="19" t="n">
        <v>6.38</v>
      </c>
      <c r="J799" s="19" t="n">
        <v>6.4</v>
      </c>
      <c r="K799" s="20" t="n">
        <v>0</v>
      </c>
      <c r="L799" s="20" t="n">
        <v>0</v>
      </c>
      <c r="M799" s="18" t="n">
        <v>307</v>
      </c>
      <c r="N799" s="18" t="n">
        <v>307</v>
      </c>
      <c r="O799" s="18" t="n">
        <v>0</v>
      </c>
      <c r="P799" s="17" t="n">
        <v>45686</v>
      </c>
      <c r="Q799" s="17" t="n">
        <v>45686</v>
      </c>
      <c r="R799" s="17" t="n">
        <v>45686</v>
      </c>
      <c r="S799" s="19">
        <f>H799*I799</f>
        <v/>
      </c>
      <c r="T799" s="19">
        <f>H799*J799</f>
        <v/>
      </c>
      <c r="U799">
        <f>IF(AND(K799=0,G799&lt;=Assumptions!$C$6),1,0)</f>
        <v/>
      </c>
      <c r="V799">
        <f>IF(U799=1,IF(M799&gt;0,IF(P799&lt;=G799+Assumptions!$C$7,1,0),0),0)</f>
        <v/>
      </c>
      <c r="W799">
        <f>IF(AND(U799=1,M799&gt;=H799*(1-Assumptions!$C$8)),1,0)</f>
        <v/>
      </c>
      <c r="X799">
        <f>IF(AND(U799=1,N799&gt;=H799*(1-Assumptions!$C$8)),1,0)</f>
        <v/>
      </c>
      <c r="Y799">
        <f>IF(ISNUMBER(Q799),1,0)</f>
        <v/>
      </c>
      <c r="Z799">
        <f>IF(AND(K799=0,L799=0,Y799=0),1,0)</f>
        <v/>
      </c>
      <c r="AA799">
        <f>IF(AND(Z799=1,G799&lt;Assumptions!$C$6),1,0)</f>
        <v/>
      </c>
      <c r="AB799">
        <f>IF(U799=0,"",IF(Y799=1,MAX(0,Q799-G799),IF(L799=1,MAX(0,R799-G799),MAX(0,Assumptions!$C$6-G799))))</f>
        <v/>
      </c>
      <c r="AC799">
        <f>IF(Y799=1,Q799-F799,"")</f>
        <v/>
      </c>
      <c r="AD799">
        <f>IF(Y799=1,AC799^2,"")</f>
        <v/>
      </c>
      <c r="AE799" s="19">
        <f>IF(Z799=1,(H799-M799)*I799,0)</f>
        <v/>
      </c>
      <c r="AF799">
        <f>IF(G799&lt;EDATE(Assumptions!$C$6,-12)+1,"prior_12m","last_12m")</f>
        <v/>
      </c>
      <c r="AG799" s="21">
        <f>DATE(YEAR(G799),MONTH(G799),1)</f>
        <v/>
      </c>
    </row>
    <row r="800">
      <c r="A800" t="inlineStr">
        <is>
          <t>SPO-00442-1</t>
        </is>
      </c>
      <c r="B800" t="inlineStr">
        <is>
          <t>SPO-00442</t>
        </is>
      </c>
      <c r="C800" t="inlineStr">
        <is>
          <t>SUP-07</t>
        </is>
      </c>
      <c r="D800" t="inlineStr">
        <is>
          <t>MRO</t>
        </is>
      </c>
      <c r="E800" t="inlineStr">
        <is>
          <t>MRO-05</t>
        </is>
      </c>
      <c r="F800" s="17" t="n">
        <v>45684</v>
      </c>
      <c r="G800" s="17" t="n">
        <v>45694</v>
      </c>
      <c r="H800" s="18" t="n">
        <v>24</v>
      </c>
      <c r="I800" s="19" t="n">
        <v>35.98</v>
      </c>
      <c r="J800" s="19" t="n">
        <v>36</v>
      </c>
      <c r="K800" s="20" t="n">
        <v>0</v>
      </c>
      <c r="L800" s="20" t="n">
        <v>0</v>
      </c>
      <c r="M800" s="18" t="n">
        <v>24</v>
      </c>
      <c r="N800" s="18" t="n">
        <v>0</v>
      </c>
      <c r="O800" s="18" t="n">
        <v>0</v>
      </c>
      <c r="P800" s="17" t="n">
        <v>45697</v>
      </c>
      <c r="Q800" s="17" t="n">
        <v>45697</v>
      </c>
      <c r="R800" s="17" t="n">
        <v>45697</v>
      </c>
      <c r="S800" s="19">
        <f>H800*I800</f>
        <v/>
      </c>
      <c r="T800" s="19">
        <f>H800*J800</f>
        <v/>
      </c>
      <c r="U800">
        <f>IF(AND(K800=0,G800&lt;=Assumptions!$C$6),1,0)</f>
        <v/>
      </c>
      <c r="V800">
        <f>IF(U800=1,IF(M800&gt;0,IF(P800&lt;=G800+Assumptions!$C$7,1,0),0),0)</f>
        <v/>
      </c>
      <c r="W800">
        <f>IF(AND(U800=1,M800&gt;=H800*(1-Assumptions!$C$8)),1,0)</f>
        <v/>
      </c>
      <c r="X800">
        <f>IF(AND(U800=1,N800&gt;=H800*(1-Assumptions!$C$8)),1,0)</f>
        <v/>
      </c>
      <c r="Y800">
        <f>IF(ISNUMBER(Q800),1,0)</f>
        <v/>
      </c>
      <c r="Z800">
        <f>IF(AND(K800=0,L800=0,Y800=0),1,0)</f>
        <v/>
      </c>
      <c r="AA800">
        <f>IF(AND(Z800=1,G800&lt;Assumptions!$C$6),1,0)</f>
        <v/>
      </c>
      <c r="AB800">
        <f>IF(U800=0,"",IF(Y800=1,MAX(0,Q800-G800),IF(L800=1,MAX(0,R800-G800),MAX(0,Assumptions!$C$6-G800))))</f>
        <v/>
      </c>
      <c r="AC800">
        <f>IF(Y800=1,Q800-F800,"")</f>
        <v/>
      </c>
      <c r="AD800">
        <f>IF(Y800=1,AC800^2,"")</f>
        <v/>
      </c>
      <c r="AE800" s="19">
        <f>IF(Z800=1,(H800-M800)*I800,0)</f>
        <v/>
      </c>
      <c r="AF800">
        <f>IF(G800&lt;EDATE(Assumptions!$C$6,-12)+1,"prior_12m","last_12m")</f>
        <v/>
      </c>
      <c r="AG800" s="21">
        <f>DATE(YEAR(G800),MONTH(G800),1)</f>
        <v/>
      </c>
    </row>
    <row r="801">
      <c r="A801" t="inlineStr">
        <is>
          <t>SPO-00443-1</t>
        </is>
      </c>
      <c r="B801" t="inlineStr">
        <is>
          <t>SPO-00443</t>
        </is>
      </c>
      <c r="C801" t="inlineStr">
        <is>
          <t>SUP-01</t>
        </is>
      </c>
      <c r="D801" t="inlineStr">
        <is>
          <t>ELEC</t>
        </is>
      </c>
      <c r="E801" t="inlineStr">
        <is>
          <t>ELEC-06</t>
        </is>
      </c>
      <c r="F801" s="17" t="n">
        <v>45684</v>
      </c>
      <c r="G801" s="17" t="n">
        <v>45702</v>
      </c>
      <c r="H801" s="18" t="n">
        <v>18</v>
      </c>
      <c r="I801" s="19" t="n">
        <v>150.72</v>
      </c>
      <c r="J801" s="19" t="n">
        <v>145</v>
      </c>
      <c r="K801" s="20" t="n">
        <v>0</v>
      </c>
      <c r="L801" s="20" t="n">
        <v>0</v>
      </c>
      <c r="M801" s="18" t="n">
        <v>18</v>
      </c>
      <c r="N801" s="18" t="n">
        <v>18</v>
      </c>
      <c r="O801" s="18" t="n">
        <v>0</v>
      </c>
      <c r="P801" s="17" t="n">
        <v>45699</v>
      </c>
      <c r="Q801" s="17" t="n">
        <v>45699</v>
      </c>
      <c r="R801" s="17" t="n">
        <v>45699</v>
      </c>
      <c r="S801" s="19">
        <f>H801*I801</f>
        <v/>
      </c>
      <c r="T801" s="19">
        <f>H801*J801</f>
        <v/>
      </c>
      <c r="U801">
        <f>IF(AND(K801=0,G801&lt;=Assumptions!$C$6),1,0)</f>
        <v/>
      </c>
      <c r="V801">
        <f>IF(U801=1,IF(M801&gt;0,IF(P801&lt;=G801+Assumptions!$C$7,1,0),0),0)</f>
        <v/>
      </c>
      <c r="W801">
        <f>IF(AND(U801=1,M801&gt;=H801*(1-Assumptions!$C$8)),1,0)</f>
        <v/>
      </c>
      <c r="X801">
        <f>IF(AND(U801=1,N801&gt;=H801*(1-Assumptions!$C$8)),1,0)</f>
        <v/>
      </c>
      <c r="Y801">
        <f>IF(ISNUMBER(Q801),1,0)</f>
        <v/>
      </c>
      <c r="Z801">
        <f>IF(AND(K801=0,L801=0,Y801=0),1,0)</f>
        <v/>
      </c>
      <c r="AA801">
        <f>IF(AND(Z801=1,G801&lt;Assumptions!$C$6),1,0)</f>
        <v/>
      </c>
      <c r="AB801">
        <f>IF(U801=0,"",IF(Y801=1,MAX(0,Q801-G801),IF(L801=1,MAX(0,R801-G801),MAX(0,Assumptions!$C$6-G801))))</f>
        <v/>
      </c>
      <c r="AC801">
        <f>IF(Y801=1,Q801-F801,"")</f>
        <v/>
      </c>
      <c r="AD801">
        <f>IF(Y801=1,AC801^2,"")</f>
        <v/>
      </c>
      <c r="AE801" s="19">
        <f>IF(Z801=1,(H801-M801)*I801,0)</f>
        <v/>
      </c>
      <c r="AF801">
        <f>IF(G801&lt;EDATE(Assumptions!$C$6,-12)+1,"prior_12m","last_12m")</f>
        <v/>
      </c>
      <c r="AG801" s="21">
        <f>DATE(YEAR(G801),MONTH(G801),1)</f>
        <v/>
      </c>
    </row>
    <row r="802">
      <c r="A802" t="inlineStr">
        <is>
          <t>SPO-00444-1</t>
        </is>
      </c>
      <c r="B802" t="inlineStr">
        <is>
          <t>SPO-00444</t>
        </is>
      </c>
      <c r="C802" t="inlineStr">
        <is>
          <t>SUP-05</t>
        </is>
      </c>
      <c r="D802" t="inlineStr">
        <is>
          <t>FLEET</t>
        </is>
      </c>
      <c r="E802" t="inlineStr">
        <is>
          <t>FLEET-05</t>
        </is>
      </c>
      <c r="F802" s="17" t="n">
        <v>45684</v>
      </c>
      <c r="G802" s="17" t="n">
        <v>45698</v>
      </c>
      <c r="H802" s="18" t="n">
        <v>5</v>
      </c>
      <c r="I802" s="19" t="n">
        <v>176.61</v>
      </c>
      <c r="J802" s="19" t="n">
        <v>168</v>
      </c>
      <c r="K802" s="20" t="n">
        <v>1</v>
      </c>
      <c r="L802" s="20" t="n">
        <v>0</v>
      </c>
      <c r="M802" s="18" t="n">
        <v>0</v>
      </c>
      <c r="N802" s="18" t="n">
        <v>0</v>
      </c>
      <c r="O802" s="18" t="n">
        <v>0</v>
      </c>
      <c r="P802" s="17" t="n"/>
      <c r="Q802" s="17" t="n"/>
      <c r="R802" s="17" t="n"/>
      <c r="S802" s="19">
        <f>H802*I802</f>
        <v/>
      </c>
      <c r="T802" s="19">
        <f>H802*J802</f>
        <v/>
      </c>
      <c r="U802">
        <f>IF(AND(K802=0,G802&lt;=Assumptions!$C$6),1,0)</f>
        <v/>
      </c>
      <c r="V802">
        <f>IF(U802=1,IF(M802&gt;0,IF(P802&lt;=G802+Assumptions!$C$7,1,0),0),0)</f>
        <v/>
      </c>
      <c r="W802">
        <f>IF(AND(U802=1,M802&gt;=H802*(1-Assumptions!$C$8)),1,0)</f>
        <v/>
      </c>
      <c r="X802">
        <f>IF(AND(U802=1,N802&gt;=H802*(1-Assumptions!$C$8)),1,0)</f>
        <v/>
      </c>
      <c r="Y802">
        <f>IF(ISNUMBER(Q802),1,0)</f>
        <v/>
      </c>
      <c r="Z802">
        <f>IF(AND(K802=0,L802=0,Y802=0),1,0)</f>
        <v/>
      </c>
      <c r="AA802">
        <f>IF(AND(Z802=1,G802&lt;Assumptions!$C$6),1,0)</f>
        <v/>
      </c>
      <c r="AB802">
        <f>IF(U802=0,"",IF(Y802=1,MAX(0,Q802-G802),IF(L802=1,MAX(0,R802-G802),MAX(0,Assumptions!$C$6-G802))))</f>
        <v/>
      </c>
      <c r="AC802">
        <f>IF(Y802=1,Q802-F802,"")</f>
        <v/>
      </c>
      <c r="AD802">
        <f>IF(Y802=1,AC802^2,"")</f>
        <v/>
      </c>
      <c r="AE802" s="19">
        <f>IF(Z802=1,(H802-M802)*I802,0)</f>
        <v/>
      </c>
      <c r="AF802">
        <f>IF(G802&lt;EDATE(Assumptions!$C$6,-12)+1,"prior_12m","last_12m")</f>
        <v/>
      </c>
      <c r="AG802" s="21">
        <f>DATE(YEAR(G802),MONTH(G802),1)</f>
        <v/>
      </c>
    </row>
    <row r="803">
      <c r="A803" t="inlineStr">
        <is>
          <t>SPO-00444-2</t>
        </is>
      </c>
      <c r="B803" t="inlineStr">
        <is>
          <t>SPO-00444</t>
        </is>
      </c>
      <c r="C803" t="inlineStr">
        <is>
          <t>SUP-05</t>
        </is>
      </c>
      <c r="D803" t="inlineStr">
        <is>
          <t>FLEET</t>
        </is>
      </c>
      <c r="E803" t="inlineStr">
        <is>
          <t>FLEET-08</t>
        </is>
      </c>
      <c r="F803" s="17" t="n">
        <v>45684</v>
      </c>
      <c r="G803" s="17" t="n">
        <v>45698</v>
      </c>
      <c r="H803" s="18" t="n">
        <v>247</v>
      </c>
      <c r="I803" s="19" t="n">
        <v>6.8</v>
      </c>
      <c r="J803" s="19" t="n">
        <v>6.4</v>
      </c>
      <c r="K803" s="20" t="n">
        <v>0</v>
      </c>
      <c r="L803" s="20" t="n">
        <v>0</v>
      </c>
      <c r="M803" s="18" t="n">
        <v>247</v>
      </c>
      <c r="N803" s="18" t="n">
        <v>247</v>
      </c>
      <c r="O803" s="18" t="n">
        <v>0</v>
      </c>
      <c r="P803" s="17" t="n">
        <v>45698</v>
      </c>
      <c r="Q803" s="17" t="n">
        <v>45698</v>
      </c>
      <c r="R803" s="17" t="n">
        <v>45698</v>
      </c>
      <c r="S803" s="19">
        <f>H803*I803</f>
        <v/>
      </c>
      <c r="T803" s="19">
        <f>H803*J803</f>
        <v/>
      </c>
      <c r="U803">
        <f>IF(AND(K803=0,G803&lt;=Assumptions!$C$6),1,0)</f>
        <v/>
      </c>
      <c r="V803">
        <f>IF(U803=1,IF(M803&gt;0,IF(P803&lt;=G803+Assumptions!$C$7,1,0),0),0)</f>
        <v/>
      </c>
      <c r="W803">
        <f>IF(AND(U803=1,M803&gt;=H803*(1-Assumptions!$C$8)),1,0)</f>
        <v/>
      </c>
      <c r="X803">
        <f>IF(AND(U803=1,N803&gt;=H803*(1-Assumptions!$C$8)),1,0)</f>
        <v/>
      </c>
      <c r="Y803">
        <f>IF(ISNUMBER(Q803),1,0)</f>
        <v/>
      </c>
      <c r="Z803">
        <f>IF(AND(K803=0,L803=0,Y803=0),1,0)</f>
        <v/>
      </c>
      <c r="AA803">
        <f>IF(AND(Z803=1,G803&lt;Assumptions!$C$6),1,0)</f>
        <v/>
      </c>
      <c r="AB803">
        <f>IF(U803=0,"",IF(Y803=1,MAX(0,Q803-G803),IF(L803=1,MAX(0,R803-G803),MAX(0,Assumptions!$C$6-G803))))</f>
        <v/>
      </c>
      <c r="AC803">
        <f>IF(Y803=1,Q803-F803,"")</f>
        <v/>
      </c>
      <c r="AD803">
        <f>IF(Y803=1,AC803^2,"")</f>
        <v/>
      </c>
      <c r="AE803" s="19">
        <f>IF(Z803=1,(H803-M803)*I803,0)</f>
        <v/>
      </c>
      <c r="AF803">
        <f>IF(G803&lt;EDATE(Assumptions!$C$6,-12)+1,"prior_12m","last_12m")</f>
        <v/>
      </c>
      <c r="AG803" s="21">
        <f>DATE(YEAR(G803),MONTH(G803),1)</f>
        <v/>
      </c>
    </row>
    <row r="804">
      <c r="A804" t="inlineStr">
        <is>
          <t>SPO-00444-3</t>
        </is>
      </c>
      <c r="B804" t="inlineStr">
        <is>
          <t>SPO-00444</t>
        </is>
      </c>
      <c r="C804" t="inlineStr">
        <is>
          <t>SUP-05</t>
        </is>
      </c>
      <c r="D804" t="inlineStr">
        <is>
          <t>FLEET</t>
        </is>
      </c>
      <c r="E804" t="inlineStr">
        <is>
          <t>FLEET-04</t>
        </is>
      </c>
      <c r="F804" s="17" t="n">
        <v>45684</v>
      </c>
      <c r="G804" s="17" t="n">
        <v>45698</v>
      </c>
      <c r="H804" s="18" t="n">
        <v>69</v>
      </c>
      <c r="I804" s="19" t="n">
        <v>9.6</v>
      </c>
      <c r="J804" s="19" t="n">
        <v>9</v>
      </c>
      <c r="K804" s="20" t="n">
        <v>0</v>
      </c>
      <c r="L804" s="20" t="n">
        <v>0</v>
      </c>
      <c r="M804" s="18" t="n">
        <v>69</v>
      </c>
      <c r="N804" s="18" t="n">
        <v>69</v>
      </c>
      <c r="O804" s="18" t="n">
        <v>0</v>
      </c>
      <c r="P804" s="17" t="n">
        <v>45698</v>
      </c>
      <c r="Q804" s="17" t="n">
        <v>45698</v>
      </c>
      <c r="R804" s="17" t="n">
        <v>45698</v>
      </c>
      <c r="S804" s="19">
        <f>H804*I804</f>
        <v/>
      </c>
      <c r="T804" s="19">
        <f>H804*J804</f>
        <v/>
      </c>
      <c r="U804">
        <f>IF(AND(K804=0,G804&lt;=Assumptions!$C$6),1,0)</f>
        <v/>
      </c>
      <c r="V804">
        <f>IF(U804=1,IF(M804&gt;0,IF(P804&lt;=G804+Assumptions!$C$7,1,0),0),0)</f>
        <v/>
      </c>
      <c r="W804">
        <f>IF(AND(U804=1,M804&gt;=H804*(1-Assumptions!$C$8)),1,0)</f>
        <v/>
      </c>
      <c r="X804">
        <f>IF(AND(U804=1,N804&gt;=H804*(1-Assumptions!$C$8)),1,0)</f>
        <v/>
      </c>
      <c r="Y804">
        <f>IF(ISNUMBER(Q804),1,0)</f>
        <v/>
      </c>
      <c r="Z804">
        <f>IF(AND(K804=0,L804=0,Y804=0),1,0)</f>
        <v/>
      </c>
      <c r="AA804">
        <f>IF(AND(Z804=1,G804&lt;Assumptions!$C$6),1,0)</f>
        <v/>
      </c>
      <c r="AB804">
        <f>IF(U804=0,"",IF(Y804=1,MAX(0,Q804-G804),IF(L804=1,MAX(0,R804-G804),MAX(0,Assumptions!$C$6-G804))))</f>
        <v/>
      </c>
      <c r="AC804">
        <f>IF(Y804=1,Q804-F804,"")</f>
        <v/>
      </c>
      <c r="AD804">
        <f>IF(Y804=1,AC804^2,"")</f>
        <v/>
      </c>
      <c r="AE804" s="19">
        <f>IF(Z804=1,(H804-M804)*I804,0)</f>
        <v/>
      </c>
      <c r="AF804">
        <f>IF(G804&lt;EDATE(Assumptions!$C$6,-12)+1,"prior_12m","last_12m")</f>
        <v/>
      </c>
      <c r="AG804" s="21">
        <f>DATE(YEAR(G804),MONTH(G804),1)</f>
        <v/>
      </c>
    </row>
    <row r="805">
      <c r="A805" t="inlineStr">
        <is>
          <t>SPO-00445-1</t>
        </is>
      </c>
      <c r="B805" t="inlineStr">
        <is>
          <t>SPO-00445</t>
        </is>
      </c>
      <c r="C805" t="inlineStr">
        <is>
          <t>SUP-14</t>
        </is>
      </c>
      <c r="D805" t="inlineStr">
        <is>
          <t>FLEET</t>
        </is>
      </c>
      <c r="E805" t="inlineStr">
        <is>
          <t>FLEET-04</t>
        </is>
      </c>
      <c r="F805" s="17" t="n">
        <v>45684</v>
      </c>
      <c r="G805" s="17" t="n">
        <v>45698</v>
      </c>
      <c r="H805" s="18" t="n">
        <v>305</v>
      </c>
      <c r="I805" s="19" t="n">
        <v>8.94</v>
      </c>
      <c r="J805" s="19" t="n">
        <v>9</v>
      </c>
      <c r="K805" s="20" t="n">
        <v>0</v>
      </c>
      <c r="L805" s="20" t="n">
        <v>0</v>
      </c>
      <c r="M805" s="18" t="n">
        <v>305</v>
      </c>
      <c r="N805" s="18" t="n">
        <v>0</v>
      </c>
      <c r="O805" s="18" t="n">
        <v>0</v>
      </c>
      <c r="P805" s="17" t="n">
        <v>45701</v>
      </c>
      <c r="Q805" s="17" t="n">
        <v>45701</v>
      </c>
      <c r="R805" s="17" t="n">
        <v>45701</v>
      </c>
      <c r="S805" s="19">
        <f>H805*I805</f>
        <v/>
      </c>
      <c r="T805" s="19">
        <f>H805*J805</f>
        <v/>
      </c>
      <c r="U805">
        <f>IF(AND(K805=0,G805&lt;=Assumptions!$C$6),1,0)</f>
        <v/>
      </c>
      <c r="V805">
        <f>IF(U805=1,IF(M805&gt;0,IF(P805&lt;=G805+Assumptions!$C$7,1,0),0),0)</f>
        <v/>
      </c>
      <c r="W805">
        <f>IF(AND(U805=1,M805&gt;=H805*(1-Assumptions!$C$8)),1,0)</f>
        <v/>
      </c>
      <c r="X805">
        <f>IF(AND(U805=1,N805&gt;=H805*(1-Assumptions!$C$8)),1,0)</f>
        <v/>
      </c>
      <c r="Y805">
        <f>IF(ISNUMBER(Q805),1,0)</f>
        <v/>
      </c>
      <c r="Z805">
        <f>IF(AND(K805=0,L805=0,Y805=0),1,0)</f>
        <v/>
      </c>
      <c r="AA805">
        <f>IF(AND(Z805=1,G805&lt;Assumptions!$C$6),1,0)</f>
        <v/>
      </c>
      <c r="AB805">
        <f>IF(U805=0,"",IF(Y805=1,MAX(0,Q805-G805),IF(L805=1,MAX(0,R805-G805),MAX(0,Assumptions!$C$6-G805))))</f>
        <v/>
      </c>
      <c r="AC805">
        <f>IF(Y805=1,Q805-F805,"")</f>
        <v/>
      </c>
      <c r="AD805">
        <f>IF(Y805=1,AC805^2,"")</f>
        <v/>
      </c>
      <c r="AE805" s="19">
        <f>IF(Z805=1,(H805-M805)*I805,0)</f>
        <v/>
      </c>
      <c r="AF805">
        <f>IF(G805&lt;EDATE(Assumptions!$C$6,-12)+1,"prior_12m","last_12m")</f>
        <v/>
      </c>
      <c r="AG805" s="21">
        <f>DATE(YEAR(G805),MONTH(G805),1)</f>
        <v/>
      </c>
    </row>
    <row r="806">
      <c r="A806" t="inlineStr">
        <is>
          <t>SPO-00446-1</t>
        </is>
      </c>
      <c r="B806" t="inlineStr">
        <is>
          <t>SPO-00446</t>
        </is>
      </c>
      <c r="C806" t="inlineStr">
        <is>
          <t>SUP-13</t>
        </is>
      </c>
      <c r="D806" t="inlineStr">
        <is>
          <t>IT</t>
        </is>
      </c>
      <c r="E806" t="inlineStr">
        <is>
          <t>IT-08</t>
        </is>
      </c>
      <c r="F806" s="17" t="n">
        <v>45684</v>
      </c>
      <c r="G806" s="17" t="n">
        <v>45695</v>
      </c>
      <c r="H806" s="18" t="n">
        <v>8</v>
      </c>
      <c r="I806" s="19" t="n">
        <v>246.72</v>
      </c>
      <c r="J806" s="19" t="n">
        <v>245</v>
      </c>
      <c r="K806" s="20" t="n">
        <v>0</v>
      </c>
      <c r="L806" s="20" t="n">
        <v>0</v>
      </c>
      <c r="M806" s="18" t="n">
        <v>8</v>
      </c>
      <c r="N806" s="18" t="n">
        <v>8</v>
      </c>
      <c r="O806" s="18" t="n">
        <v>0</v>
      </c>
      <c r="P806" s="17" t="n">
        <v>45695</v>
      </c>
      <c r="Q806" s="17" t="n">
        <v>45695</v>
      </c>
      <c r="R806" s="17" t="n">
        <v>45695</v>
      </c>
      <c r="S806" s="19">
        <f>H806*I806</f>
        <v/>
      </c>
      <c r="T806" s="19">
        <f>H806*J806</f>
        <v/>
      </c>
      <c r="U806">
        <f>IF(AND(K806=0,G806&lt;=Assumptions!$C$6),1,0)</f>
        <v/>
      </c>
      <c r="V806">
        <f>IF(U806=1,IF(M806&gt;0,IF(P806&lt;=G806+Assumptions!$C$7,1,0),0),0)</f>
        <v/>
      </c>
      <c r="W806">
        <f>IF(AND(U806=1,M806&gt;=H806*(1-Assumptions!$C$8)),1,0)</f>
        <v/>
      </c>
      <c r="X806">
        <f>IF(AND(U806=1,N806&gt;=H806*(1-Assumptions!$C$8)),1,0)</f>
        <v/>
      </c>
      <c r="Y806">
        <f>IF(ISNUMBER(Q806),1,0)</f>
        <v/>
      </c>
      <c r="Z806">
        <f>IF(AND(K806=0,L806=0,Y806=0),1,0)</f>
        <v/>
      </c>
      <c r="AA806">
        <f>IF(AND(Z806=1,G806&lt;Assumptions!$C$6),1,0)</f>
        <v/>
      </c>
      <c r="AB806">
        <f>IF(U806=0,"",IF(Y806=1,MAX(0,Q806-G806),IF(L806=1,MAX(0,R806-G806),MAX(0,Assumptions!$C$6-G806))))</f>
        <v/>
      </c>
      <c r="AC806">
        <f>IF(Y806=1,Q806-F806,"")</f>
        <v/>
      </c>
      <c r="AD806">
        <f>IF(Y806=1,AC806^2,"")</f>
        <v/>
      </c>
      <c r="AE806" s="19">
        <f>IF(Z806=1,(H806-M806)*I806,0)</f>
        <v/>
      </c>
      <c r="AF806">
        <f>IF(G806&lt;EDATE(Assumptions!$C$6,-12)+1,"prior_12m","last_12m")</f>
        <v/>
      </c>
      <c r="AG806" s="21">
        <f>DATE(YEAR(G806),MONTH(G806),1)</f>
        <v/>
      </c>
    </row>
    <row r="807">
      <c r="A807" t="inlineStr">
        <is>
          <t>SPO-00446-2</t>
        </is>
      </c>
      <c r="B807" t="inlineStr">
        <is>
          <t>SPO-00446</t>
        </is>
      </c>
      <c r="C807" t="inlineStr">
        <is>
          <t>SUP-13</t>
        </is>
      </c>
      <c r="D807" t="inlineStr">
        <is>
          <t>IT</t>
        </is>
      </c>
      <c r="E807" t="inlineStr">
        <is>
          <t>IT-06</t>
        </is>
      </c>
      <c r="F807" s="17" t="n">
        <v>45684</v>
      </c>
      <c r="G807" s="17" t="n">
        <v>45695</v>
      </c>
      <c r="H807" s="18" t="n">
        <v>23</v>
      </c>
      <c r="I807" s="19" t="n">
        <v>86.95999999999999</v>
      </c>
      <c r="J807" s="19" t="n">
        <v>89</v>
      </c>
      <c r="K807" s="20" t="n">
        <v>0</v>
      </c>
      <c r="L807" s="20" t="n">
        <v>0</v>
      </c>
      <c r="M807" s="18" t="n">
        <v>23</v>
      </c>
      <c r="N807" s="18" t="n">
        <v>23</v>
      </c>
      <c r="O807" s="18" t="n">
        <v>0</v>
      </c>
      <c r="P807" s="17" t="n">
        <v>45694</v>
      </c>
      <c r="Q807" s="17" t="n">
        <v>45694</v>
      </c>
      <c r="R807" s="17" t="n">
        <v>45694</v>
      </c>
      <c r="S807" s="19">
        <f>H807*I807</f>
        <v/>
      </c>
      <c r="T807" s="19">
        <f>H807*J807</f>
        <v/>
      </c>
      <c r="U807">
        <f>IF(AND(K807=0,G807&lt;=Assumptions!$C$6),1,0)</f>
        <v/>
      </c>
      <c r="V807">
        <f>IF(U807=1,IF(M807&gt;0,IF(P807&lt;=G807+Assumptions!$C$7,1,0),0),0)</f>
        <v/>
      </c>
      <c r="W807">
        <f>IF(AND(U807=1,M807&gt;=H807*(1-Assumptions!$C$8)),1,0)</f>
        <v/>
      </c>
      <c r="X807">
        <f>IF(AND(U807=1,N807&gt;=H807*(1-Assumptions!$C$8)),1,0)</f>
        <v/>
      </c>
      <c r="Y807">
        <f>IF(ISNUMBER(Q807),1,0)</f>
        <v/>
      </c>
      <c r="Z807">
        <f>IF(AND(K807=0,L807=0,Y807=0),1,0)</f>
        <v/>
      </c>
      <c r="AA807">
        <f>IF(AND(Z807=1,G807&lt;Assumptions!$C$6),1,0)</f>
        <v/>
      </c>
      <c r="AB807">
        <f>IF(U807=0,"",IF(Y807=1,MAX(0,Q807-G807),IF(L807=1,MAX(0,R807-G807),MAX(0,Assumptions!$C$6-G807))))</f>
        <v/>
      </c>
      <c r="AC807">
        <f>IF(Y807=1,Q807-F807,"")</f>
        <v/>
      </c>
      <c r="AD807">
        <f>IF(Y807=1,AC807^2,"")</f>
        <v/>
      </c>
      <c r="AE807" s="19">
        <f>IF(Z807=1,(H807-M807)*I807,0)</f>
        <v/>
      </c>
      <c r="AF807">
        <f>IF(G807&lt;EDATE(Assumptions!$C$6,-12)+1,"prior_12m","last_12m")</f>
        <v/>
      </c>
      <c r="AG807" s="21">
        <f>DATE(YEAR(G807),MONTH(G807),1)</f>
        <v/>
      </c>
    </row>
    <row r="808">
      <c r="A808" t="inlineStr">
        <is>
          <t>SPO-00446-3</t>
        </is>
      </c>
      <c r="B808" t="inlineStr">
        <is>
          <t>SPO-00446</t>
        </is>
      </c>
      <c r="C808" t="inlineStr">
        <is>
          <t>SUP-13</t>
        </is>
      </c>
      <c r="D808" t="inlineStr">
        <is>
          <t>IT</t>
        </is>
      </c>
      <c r="E808" t="inlineStr">
        <is>
          <t>IT-02</t>
        </is>
      </c>
      <c r="F808" s="17" t="n">
        <v>45684</v>
      </c>
      <c r="G808" s="17" t="n">
        <v>45695</v>
      </c>
      <c r="H808" s="18" t="n">
        <v>8</v>
      </c>
      <c r="I808" s="19" t="n">
        <v>163.01</v>
      </c>
      <c r="J808" s="19" t="n">
        <v>162</v>
      </c>
      <c r="K808" s="20" t="n">
        <v>0</v>
      </c>
      <c r="L808" s="20" t="n">
        <v>0</v>
      </c>
      <c r="M808" s="18" t="n">
        <v>8</v>
      </c>
      <c r="N808" s="18" t="n">
        <v>8</v>
      </c>
      <c r="O808" s="18" t="n">
        <v>0</v>
      </c>
      <c r="P808" s="17" t="n">
        <v>45692</v>
      </c>
      <c r="Q808" s="17" t="n">
        <v>45692</v>
      </c>
      <c r="R808" s="17" t="n">
        <v>45692</v>
      </c>
      <c r="S808" s="19">
        <f>H808*I808</f>
        <v/>
      </c>
      <c r="T808" s="19">
        <f>H808*J808</f>
        <v/>
      </c>
      <c r="U808">
        <f>IF(AND(K808=0,G808&lt;=Assumptions!$C$6),1,0)</f>
        <v/>
      </c>
      <c r="V808">
        <f>IF(U808=1,IF(M808&gt;0,IF(P808&lt;=G808+Assumptions!$C$7,1,0),0),0)</f>
        <v/>
      </c>
      <c r="W808">
        <f>IF(AND(U808=1,M808&gt;=H808*(1-Assumptions!$C$8)),1,0)</f>
        <v/>
      </c>
      <c r="X808">
        <f>IF(AND(U808=1,N808&gt;=H808*(1-Assumptions!$C$8)),1,0)</f>
        <v/>
      </c>
      <c r="Y808">
        <f>IF(ISNUMBER(Q808),1,0)</f>
        <v/>
      </c>
      <c r="Z808">
        <f>IF(AND(K808=0,L808=0,Y808=0),1,0)</f>
        <v/>
      </c>
      <c r="AA808">
        <f>IF(AND(Z808=1,G808&lt;Assumptions!$C$6),1,0)</f>
        <v/>
      </c>
      <c r="AB808">
        <f>IF(U808=0,"",IF(Y808=1,MAX(0,Q808-G808),IF(L808=1,MAX(0,R808-G808),MAX(0,Assumptions!$C$6-G808))))</f>
        <v/>
      </c>
      <c r="AC808">
        <f>IF(Y808=1,Q808-F808,"")</f>
        <v/>
      </c>
      <c r="AD808">
        <f>IF(Y808=1,AC808^2,"")</f>
        <v/>
      </c>
      <c r="AE808" s="19">
        <f>IF(Z808=1,(H808-M808)*I808,0)</f>
        <v/>
      </c>
      <c r="AF808">
        <f>IF(G808&lt;EDATE(Assumptions!$C$6,-12)+1,"prior_12m","last_12m")</f>
        <v/>
      </c>
      <c r="AG808" s="21">
        <f>DATE(YEAR(G808),MONTH(G808),1)</f>
        <v/>
      </c>
    </row>
    <row r="809">
      <c r="A809" t="inlineStr">
        <is>
          <t>SPO-00447-1</t>
        </is>
      </c>
      <c r="B809" t="inlineStr">
        <is>
          <t>SPO-00447</t>
        </is>
      </c>
      <c r="C809" t="inlineStr">
        <is>
          <t>SUP-12</t>
        </is>
      </c>
      <c r="D809" t="inlineStr">
        <is>
          <t>IT</t>
        </is>
      </c>
      <c r="E809" t="inlineStr">
        <is>
          <t>IT-03</t>
        </is>
      </c>
      <c r="F809" s="17" t="n">
        <v>45685</v>
      </c>
      <c r="G809" s="17" t="n">
        <v>45695</v>
      </c>
      <c r="H809" s="18" t="n">
        <v>36</v>
      </c>
      <c r="I809" s="19" t="n">
        <v>43.27</v>
      </c>
      <c r="J809" s="19" t="n">
        <v>38</v>
      </c>
      <c r="K809" s="20" t="n">
        <v>0</v>
      </c>
      <c r="L809" s="20" t="n">
        <v>0</v>
      </c>
      <c r="M809" s="18" t="n">
        <v>36</v>
      </c>
      <c r="N809" s="18" t="n">
        <v>36</v>
      </c>
      <c r="O809" s="18" t="n">
        <v>3</v>
      </c>
      <c r="P809" s="17" t="n">
        <v>45691</v>
      </c>
      <c r="Q809" s="17" t="n">
        <v>45691</v>
      </c>
      <c r="R809" s="17" t="n">
        <v>45691</v>
      </c>
      <c r="S809" s="19">
        <f>H809*I809</f>
        <v/>
      </c>
      <c r="T809" s="19">
        <f>H809*J809</f>
        <v/>
      </c>
      <c r="U809">
        <f>IF(AND(K809=0,G809&lt;=Assumptions!$C$6),1,0)</f>
        <v/>
      </c>
      <c r="V809">
        <f>IF(U809=1,IF(M809&gt;0,IF(P809&lt;=G809+Assumptions!$C$7,1,0),0),0)</f>
        <v/>
      </c>
      <c r="W809">
        <f>IF(AND(U809=1,M809&gt;=H809*(1-Assumptions!$C$8)),1,0)</f>
        <v/>
      </c>
      <c r="X809">
        <f>IF(AND(U809=1,N809&gt;=H809*(1-Assumptions!$C$8)),1,0)</f>
        <v/>
      </c>
      <c r="Y809">
        <f>IF(ISNUMBER(Q809),1,0)</f>
        <v/>
      </c>
      <c r="Z809">
        <f>IF(AND(K809=0,L809=0,Y809=0),1,0)</f>
        <v/>
      </c>
      <c r="AA809">
        <f>IF(AND(Z809=1,G809&lt;Assumptions!$C$6),1,0)</f>
        <v/>
      </c>
      <c r="AB809">
        <f>IF(U809=0,"",IF(Y809=1,MAX(0,Q809-G809),IF(L809=1,MAX(0,R809-G809),MAX(0,Assumptions!$C$6-G809))))</f>
        <v/>
      </c>
      <c r="AC809">
        <f>IF(Y809=1,Q809-F809,"")</f>
        <v/>
      </c>
      <c r="AD809">
        <f>IF(Y809=1,AC809^2,"")</f>
        <v/>
      </c>
      <c r="AE809" s="19">
        <f>IF(Z809=1,(H809-M809)*I809,0)</f>
        <v/>
      </c>
      <c r="AF809">
        <f>IF(G809&lt;EDATE(Assumptions!$C$6,-12)+1,"prior_12m","last_12m")</f>
        <v/>
      </c>
      <c r="AG809" s="21">
        <f>DATE(YEAR(G809),MONTH(G809),1)</f>
        <v/>
      </c>
    </row>
    <row r="810">
      <c r="A810" t="inlineStr">
        <is>
          <t>SPO-00447-2</t>
        </is>
      </c>
      <c r="B810" t="inlineStr">
        <is>
          <t>SPO-00447</t>
        </is>
      </c>
      <c r="C810" t="inlineStr">
        <is>
          <t>SUP-12</t>
        </is>
      </c>
      <c r="D810" t="inlineStr">
        <is>
          <t>IT</t>
        </is>
      </c>
      <c r="E810" t="inlineStr">
        <is>
          <t>IT-04</t>
        </is>
      </c>
      <c r="F810" s="17" t="n">
        <v>45685</v>
      </c>
      <c r="G810" s="17" t="n">
        <v>45695</v>
      </c>
      <c r="H810" s="18" t="n">
        <v>146</v>
      </c>
      <c r="I810" s="19" t="n">
        <v>14.08</v>
      </c>
      <c r="J810" s="19" t="n">
        <v>12</v>
      </c>
      <c r="K810" s="20" t="n">
        <v>0</v>
      </c>
      <c r="L810" s="20" t="n">
        <v>0</v>
      </c>
      <c r="M810" s="18" t="n">
        <v>146</v>
      </c>
      <c r="N810" s="18" t="n">
        <v>146</v>
      </c>
      <c r="O810" s="18" t="n">
        <v>0</v>
      </c>
      <c r="P810" s="17" t="n">
        <v>45691</v>
      </c>
      <c r="Q810" s="17" t="n">
        <v>45691</v>
      </c>
      <c r="R810" s="17" t="n">
        <v>45691</v>
      </c>
      <c r="S810" s="19">
        <f>H810*I810</f>
        <v/>
      </c>
      <c r="T810" s="19">
        <f>H810*J810</f>
        <v/>
      </c>
      <c r="U810">
        <f>IF(AND(K810=0,G810&lt;=Assumptions!$C$6),1,0)</f>
        <v/>
      </c>
      <c r="V810">
        <f>IF(U810=1,IF(M810&gt;0,IF(P810&lt;=G810+Assumptions!$C$7,1,0),0),0)</f>
        <v/>
      </c>
      <c r="W810">
        <f>IF(AND(U810=1,M810&gt;=H810*(1-Assumptions!$C$8)),1,0)</f>
        <v/>
      </c>
      <c r="X810">
        <f>IF(AND(U810=1,N810&gt;=H810*(1-Assumptions!$C$8)),1,0)</f>
        <v/>
      </c>
      <c r="Y810">
        <f>IF(ISNUMBER(Q810),1,0)</f>
        <v/>
      </c>
      <c r="Z810">
        <f>IF(AND(K810=0,L810=0,Y810=0),1,0)</f>
        <v/>
      </c>
      <c r="AA810">
        <f>IF(AND(Z810=1,G810&lt;Assumptions!$C$6),1,0)</f>
        <v/>
      </c>
      <c r="AB810">
        <f>IF(U810=0,"",IF(Y810=1,MAX(0,Q810-G810),IF(L810=1,MAX(0,R810-G810),MAX(0,Assumptions!$C$6-G810))))</f>
        <v/>
      </c>
      <c r="AC810">
        <f>IF(Y810=1,Q810-F810,"")</f>
        <v/>
      </c>
      <c r="AD810">
        <f>IF(Y810=1,AC810^2,"")</f>
        <v/>
      </c>
      <c r="AE810" s="19">
        <f>IF(Z810=1,(H810-M810)*I810,0)</f>
        <v/>
      </c>
      <c r="AF810">
        <f>IF(G810&lt;EDATE(Assumptions!$C$6,-12)+1,"prior_12m","last_12m")</f>
        <v/>
      </c>
      <c r="AG810" s="21">
        <f>DATE(YEAR(G810),MONTH(G810),1)</f>
        <v/>
      </c>
    </row>
    <row r="811">
      <c r="A811" t="inlineStr">
        <is>
          <t>SPO-00447-3</t>
        </is>
      </c>
      <c r="B811" t="inlineStr">
        <is>
          <t>SPO-00447</t>
        </is>
      </c>
      <c r="C811" t="inlineStr">
        <is>
          <t>SUP-12</t>
        </is>
      </c>
      <c r="D811" t="inlineStr">
        <is>
          <t>IT</t>
        </is>
      </c>
      <c r="E811" t="inlineStr">
        <is>
          <t>IT-02</t>
        </is>
      </c>
      <c r="F811" s="17" t="n">
        <v>45685</v>
      </c>
      <c r="G811" s="17" t="n">
        <v>45695</v>
      </c>
      <c r="H811" s="18" t="n">
        <v>6</v>
      </c>
      <c r="I811" s="19" t="n">
        <v>176.5</v>
      </c>
      <c r="J811" s="19" t="n">
        <v>162</v>
      </c>
      <c r="K811" s="20" t="n">
        <v>1</v>
      </c>
      <c r="L811" s="20" t="n">
        <v>0</v>
      </c>
      <c r="M811" s="18" t="n">
        <v>0</v>
      </c>
      <c r="N811" s="18" t="n">
        <v>0</v>
      </c>
      <c r="O811" s="18" t="n">
        <v>0</v>
      </c>
      <c r="P811" s="17" t="n"/>
      <c r="Q811" s="17" t="n"/>
      <c r="R811" s="17" t="n"/>
      <c r="S811" s="19">
        <f>H811*I811</f>
        <v/>
      </c>
      <c r="T811" s="19">
        <f>H811*J811</f>
        <v/>
      </c>
      <c r="U811">
        <f>IF(AND(K811=0,G811&lt;=Assumptions!$C$6),1,0)</f>
        <v/>
      </c>
      <c r="V811">
        <f>IF(U811=1,IF(M811&gt;0,IF(P811&lt;=G811+Assumptions!$C$7,1,0),0),0)</f>
        <v/>
      </c>
      <c r="W811">
        <f>IF(AND(U811=1,M811&gt;=H811*(1-Assumptions!$C$8)),1,0)</f>
        <v/>
      </c>
      <c r="X811">
        <f>IF(AND(U811=1,N811&gt;=H811*(1-Assumptions!$C$8)),1,0)</f>
        <v/>
      </c>
      <c r="Y811">
        <f>IF(ISNUMBER(Q811),1,0)</f>
        <v/>
      </c>
      <c r="Z811">
        <f>IF(AND(K811=0,L811=0,Y811=0),1,0)</f>
        <v/>
      </c>
      <c r="AA811">
        <f>IF(AND(Z811=1,G811&lt;Assumptions!$C$6),1,0)</f>
        <v/>
      </c>
      <c r="AB811">
        <f>IF(U811=0,"",IF(Y811=1,MAX(0,Q811-G811),IF(L811=1,MAX(0,R811-G811),MAX(0,Assumptions!$C$6-G811))))</f>
        <v/>
      </c>
      <c r="AC811">
        <f>IF(Y811=1,Q811-F811,"")</f>
        <v/>
      </c>
      <c r="AD811">
        <f>IF(Y811=1,AC811^2,"")</f>
        <v/>
      </c>
      <c r="AE811" s="19">
        <f>IF(Z811=1,(H811-M811)*I811,0)</f>
        <v/>
      </c>
      <c r="AF811">
        <f>IF(G811&lt;EDATE(Assumptions!$C$6,-12)+1,"prior_12m","last_12m")</f>
        <v/>
      </c>
      <c r="AG811" s="21">
        <f>DATE(YEAR(G811),MONTH(G811),1)</f>
        <v/>
      </c>
    </row>
    <row r="812">
      <c r="A812" t="inlineStr">
        <is>
          <t>SPO-00448-1</t>
        </is>
      </c>
      <c r="B812" t="inlineStr">
        <is>
          <t>SPO-00448</t>
        </is>
      </c>
      <c r="C812" t="inlineStr">
        <is>
          <t>SUP-12</t>
        </is>
      </c>
      <c r="D812" t="inlineStr">
        <is>
          <t>IT</t>
        </is>
      </c>
      <c r="E812" t="inlineStr">
        <is>
          <t>IT-06</t>
        </is>
      </c>
      <c r="F812" s="17" t="n">
        <v>45685</v>
      </c>
      <c r="G812" s="17" t="n">
        <v>45695</v>
      </c>
      <c r="H812" s="18" t="n">
        <v>12</v>
      </c>
      <c r="I812" s="19" t="n">
        <v>99.15000000000001</v>
      </c>
      <c r="J812" s="19" t="n">
        <v>89</v>
      </c>
      <c r="K812" s="20" t="n">
        <v>0</v>
      </c>
      <c r="L812" s="20" t="n">
        <v>0</v>
      </c>
      <c r="M812" s="18" t="n">
        <v>12</v>
      </c>
      <c r="N812" s="18" t="n">
        <v>12</v>
      </c>
      <c r="O812" s="18" t="n">
        <v>0</v>
      </c>
      <c r="P812" s="17" t="n">
        <v>45691</v>
      </c>
      <c r="Q812" s="17" t="n">
        <v>45691</v>
      </c>
      <c r="R812" s="17" t="n">
        <v>45691</v>
      </c>
      <c r="S812" s="19">
        <f>H812*I812</f>
        <v/>
      </c>
      <c r="T812" s="19">
        <f>H812*J812</f>
        <v/>
      </c>
      <c r="U812">
        <f>IF(AND(K812=0,G812&lt;=Assumptions!$C$6),1,0)</f>
        <v/>
      </c>
      <c r="V812">
        <f>IF(U812=1,IF(M812&gt;0,IF(P812&lt;=G812+Assumptions!$C$7,1,0),0),0)</f>
        <v/>
      </c>
      <c r="W812">
        <f>IF(AND(U812=1,M812&gt;=H812*(1-Assumptions!$C$8)),1,0)</f>
        <v/>
      </c>
      <c r="X812">
        <f>IF(AND(U812=1,N812&gt;=H812*(1-Assumptions!$C$8)),1,0)</f>
        <v/>
      </c>
      <c r="Y812">
        <f>IF(ISNUMBER(Q812),1,0)</f>
        <v/>
      </c>
      <c r="Z812">
        <f>IF(AND(K812=0,L812=0,Y812=0),1,0)</f>
        <v/>
      </c>
      <c r="AA812">
        <f>IF(AND(Z812=1,G812&lt;Assumptions!$C$6),1,0)</f>
        <v/>
      </c>
      <c r="AB812">
        <f>IF(U812=0,"",IF(Y812=1,MAX(0,Q812-G812),IF(L812=1,MAX(0,R812-G812),MAX(0,Assumptions!$C$6-G812))))</f>
        <v/>
      </c>
      <c r="AC812">
        <f>IF(Y812=1,Q812-F812,"")</f>
        <v/>
      </c>
      <c r="AD812">
        <f>IF(Y812=1,AC812^2,"")</f>
        <v/>
      </c>
      <c r="AE812" s="19">
        <f>IF(Z812=1,(H812-M812)*I812,0)</f>
        <v/>
      </c>
      <c r="AF812">
        <f>IF(G812&lt;EDATE(Assumptions!$C$6,-12)+1,"prior_12m","last_12m")</f>
        <v/>
      </c>
      <c r="AG812" s="21">
        <f>DATE(YEAR(G812),MONTH(G812),1)</f>
        <v/>
      </c>
    </row>
    <row r="813">
      <c r="A813" t="inlineStr">
        <is>
          <t>SPO-00449-1</t>
        </is>
      </c>
      <c r="B813" t="inlineStr">
        <is>
          <t>SPO-00449</t>
        </is>
      </c>
      <c r="C813" t="inlineStr">
        <is>
          <t>SUP-08</t>
        </is>
      </c>
      <c r="D813" t="inlineStr">
        <is>
          <t>MRO</t>
        </is>
      </c>
      <c r="E813" t="inlineStr">
        <is>
          <t>MRO-06</t>
        </is>
      </c>
      <c r="F813" s="17" t="n">
        <v>45685</v>
      </c>
      <c r="G813" s="17" t="n">
        <v>45696</v>
      </c>
      <c r="H813" s="18" t="n">
        <v>412</v>
      </c>
      <c r="I813" s="19" t="n">
        <v>6.23</v>
      </c>
      <c r="J813" s="19" t="n">
        <v>6.1</v>
      </c>
      <c r="K813" s="20" t="n">
        <v>0</v>
      </c>
      <c r="L813" s="20" t="n">
        <v>0</v>
      </c>
      <c r="M813" s="18" t="n">
        <v>412</v>
      </c>
      <c r="N813" s="18" t="n">
        <v>412</v>
      </c>
      <c r="O813" s="18" t="n">
        <v>0</v>
      </c>
      <c r="P813" s="17" t="n">
        <v>45694</v>
      </c>
      <c r="Q813" s="17" t="n">
        <v>45694</v>
      </c>
      <c r="R813" s="17" t="n">
        <v>45694</v>
      </c>
      <c r="S813" s="19">
        <f>H813*I813</f>
        <v/>
      </c>
      <c r="T813" s="19">
        <f>H813*J813</f>
        <v/>
      </c>
      <c r="U813">
        <f>IF(AND(K813=0,G813&lt;=Assumptions!$C$6),1,0)</f>
        <v/>
      </c>
      <c r="V813">
        <f>IF(U813=1,IF(M813&gt;0,IF(P813&lt;=G813+Assumptions!$C$7,1,0),0),0)</f>
        <v/>
      </c>
      <c r="W813">
        <f>IF(AND(U813=1,M813&gt;=H813*(1-Assumptions!$C$8)),1,0)</f>
        <v/>
      </c>
      <c r="X813">
        <f>IF(AND(U813=1,N813&gt;=H813*(1-Assumptions!$C$8)),1,0)</f>
        <v/>
      </c>
      <c r="Y813">
        <f>IF(ISNUMBER(Q813),1,0)</f>
        <v/>
      </c>
      <c r="Z813">
        <f>IF(AND(K813=0,L813=0,Y813=0),1,0)</f>
        <v/>
      </c>
      <c r="AA813">
        <f>IF(AND(Z813=1,G813&lt;Assumptions!$C$6),1,0)</f>
        <v/>
      </c>
      <c r="AB813">
        <f>IF(U813=0,"",IF(Y813=1,MAX(0,Q813-G813),IF(L813=1,MAX(0,R813-G813),MAX(0,Assumptions!$C$6-G813))))</f>
        <v/>
      </c>
      <c r="AC813">
        <f>IF(Y813=1,Q813-F813,"")</f>
        <v/>
      </c>
      <c r="AD813">
        <f>IF(Y813=1,AC813^2,"")</f>
        <v/>
      </c>
      <c r="AE813" s="19">
        <f>IF(Z813=1,(H813-M813)*I813,0)</f>
        <v/>
      </c>
      <c r="AF813">
        <f>IF(G813&lt;EDATE(Assumptions!$C$6,-12)+1,"prior_12m","last_12m")</f>
        <v/>
      </c>
      <c r="AG813" s="21">
        <f>DATE(YEAR(G813),MONTH(G813),1)</f>
        <v/>
      </c>
    </row>
    <row r="814">
      <c r="A814" t="inlineStr">
        <is>
          <t>SPO-00450-1</t>
        </is>
      </c>
      <c r="B814" t="inlineStr">
        <is>
          <t>SPO-00450</t>
        </is>
      </c>
      <c r="C814" t="inlineStr">
        <is>
          <t>SUP-05</t>
        </is>
      </c>
      <c r="D814" t="inlineStr">
        <is>
          <t>FLEET</t>
        </is>
      </c>
      <c r="E814" t="inlineStr">
        <is>
          <t>FLEET-05</t>
        </is>
      </c>
      <c r="F814" s="17" t="n">
        <v>45685</v>
      </c>
      <c r="G814" s="17" t="n">
        <v>45699</v>
      </c>
      <c r="H814" s="18" t="n">
        <v>31</v>
      </c>
      <c r="I814" s="19" t="n">
        <v>164.59</v>
      </c>
      <c r="J814" s="19" t="n">
        <v>168</v>
      </c>
      <c r="K814" s="20" t="n">
        <v>0</v>
      </c>
      <c r="L814" s="20" t="n">
        <v>0</v>
      </c>
      <c r="M814" s="18" t="n">
        <v>31</v>
      </c>
      <c r="N814" s="18" t="n">
        <v>31</v>
      </c>
      <c r="O814" s="18" t="n">
        <v>0</v>
      </c>
      <c r="P814" s="17" t="n">
        <v>45696</v>
      </c>
      <c r="Q814" s="17" t="n">
        <v>45696</v>
      </c>
      <c r="R814" s="17" t="n">
        <v>45696</v>
      </c>
      <c r="S814" s="19">
        <f>H814*I814</f>
        <v/>
      </c>
      <c r="T814" s="19">
        <f>H814*J814</f>
        <v/>
      </c>
      <c r="U814">
        <f>IF(AND(K814=0,G814&lt;=Assumptions!$C$6),1,0)</f>
        <v/>
      </c>
      <c r="V814">
        <f>IF(U814=1,IF(M814&gt;0,IF(P814&lt;=G814+Assumptions!$C$7,1,0),0),0)</f>
        <v/>
      </c>
      <c r="W814">
        <f>IF(AND(U814=1,M814&gt;=H814*(1-Assumptions!$C$8)),1,0)</f>
        <v/>
      </c>
      <c r="X814">
        <f>IF(AND(U814=1,N814&gt;=H814*(1-Assumptions!$C$8)),1,0)</f>
        <v/>
      </c>
      <c r="Y814">
        <f>IF(ISNUMBER(Q814),1,0)</f>
        <v/>
      </c>
      <c r="Z814">
        <f>IF(AND(K814=0,L814=0,Y814=0),1,0)</f>
        <v/>
      </c>
      <c r="AA814">
        <f>IF(AND(Z814=1,G814&lt;Assumptions!$C$6),1,0)</f>
        <v/>
      </c>
      <c r="AB814">
        <f>IF(U814=0,"",IF(Y814=1,MAX(0,Q814-G814),IF(L814=1,MAX(0,R814-G814),MAX(0,Assumptions!$C$6-G814))))</f>
        <v/>
      </c>
      <c r="AC814">
        <f>IF(Y814=1,Q814-F814,"")</f>
        <v/>
      </c>
      <c r="AD814">
        <f>IF(Y814=1,AC814^2,"")</f>
        <v/>
      </c>
      <c r="AE814" s="19">
        <f>IF(Z814=1,(H814-M814)*I814,0)</f>
        <v/>
      </c>
      <c r="AF814">
        <f>IF(G814&lt;EDATE(Assumptions!$C$6,-12)+1,"prior_12m","last_12m")</f>
        <v/>
      </c>
      <c r="AG814" s="21">
        <f>DATE(YEAR(G814),MONTH(G814),1)</f>
        <v/>
      </c>
    </row>
    <row r="815">
      <c r="A815" t="inlineStr">
        <is>
          <t>SPO-00451-1</t>
        </is>
      </c>
      <c r="B815" t="inlineStr">
        <is>
          <t>SPO-00451</t>
        </is>
      </c>
      <c r="C815" t="inlineStr">
        <is>
          <t>SUP-10</t>
        </is>
      </c>
      <c r="D815" t="inlineStr">
        <is>
          <t>PPE</t>
        </is>
      </c>
      <c r="E815" t="inlineStr">
        <is>
          <t>PPE-05</t>
        </is>
      </c>
      <c r="F815" s="17" t="n">
        <v>45685</v>
      </c>
      <c r="G815" s="17" t="n">
        <v>45698</v>
      </c>
      <c r="H815" s="18" t="n">
        <v>146</v>
      </c>
      <c r="I815" s="19" t="n">
        <v>11.12</v>
      </c>
      <c r="J815" s="19" t="n">
        <v>11</v>
      </c>
      <c r="K815" s="20" t="n">
        <v>0</v>
      </c>
      <c r="L815" s="20" t="n">
        <v>0</v>
      </c>
      <c r="M815" s="18" t="n">
        <v>146</v>
      </c>
      <c r="N815" s="18" t="n">
        <v>146</v>
      </c>
      <c r="O815" s="18" t="n">
        <v>0</v>
      </c>
      <c r="P815" s="17" t="n">
        <v>45697</v>
      </c>
      <c r="Q815" s="17" t="n">
        <v>45697</v>
      </c>
      <c r="R815" s="17" t="n">
        <v>45697</v>
      </c>
      <c r="S815" s="19">
        <f>H815*I815</f>
        <v/>
      </c>
      <c r="T815" s="19">
        <f>H815*J815</f>
        <v/>
      </c>
      <c r="U815">
        <f>IF(AND(K815=0,G815&lt;=Assumptions!$C$6),1,0)</f>
        <v/>
      </c>
      <c r="V815">
        <f>IF(U815=1,IF(M815&gt;0,IF(P815&lt;=G815+Assumptions!$C$7,1,0),0),0)</f>
        <v/>
      </c>
      <c r="W815">
        <f>IF(AND(U815=1,M815&gt;=H815*(1-Assumptions!$C$8)),1,0)</f>
        <v/>
      </c>
      <c r="X815">
        <f>IF(AND(U815=1,N815&gt;=H815*(1-Assumptions!$C$8)),1,0)</f>
        <v/>
      </c>
      <c r="Y815">
        <f>IF(ISNUMBER(Q815),1,0)</f>
        <v/>
      </c>
      <c r="Z815">
        <f>IF(AND(K815=0,L815=0,Y815=0),1,0)</f>
        <v/>
      </c>
      <c r="AA815">
        <f>IF(AND(Z815=1,G815&lt;Assumptions!$C$6),1,0)</f>
        <v/>
      </c>
      <c r="AB815">
        <f>IF(U815=0,"",IF(Y815=1,MAX(0,Q815-G815),IF(L815=1,MAX(0,R815-G815),MAX(0,Assumptions!$C$6-G815))))</f>
        <v/>
      </c>
      <c r="AC815">
        <f>IF(Y815=1,Q815-F815,"")</f>
        <v/>
      </c>
      <c r="AD815">
        <f>IF(Y815=1,AC815^2,"")</f>
        <v/>
      </c>
      <c r="AE815" s="19">
        <f>IF(Z815=1,(H815-M815)*I815,0)</f>
        <v/>
      </c>
      <c r="AF815">
        <f>IF(G815&lt;EDATE(Assumptions!$C$6,-12)+1,"prior_12m","last_12m")</f>
        <v/>
      </c>
      <c r="AG815" s="21">
        <f>DATE(YEAR(G815),MONTH(G815),1)</f>
        <v/>
      </c>
    </row>
    <row r="816">
      <c r="A816" t="inlineStr">
        <is>
          <t>SPO-00451-2</t>
        </is>
      </c>
      <c r="B816" t="inlineStr">
        <is>
          <t>SPO-00451</t>
        </is>
      </c>
      <c r="C816" t="inlineStr">
        <is>
          <t>SUP-10</t>
        </is>
      </c>
      <c r="D816" t="inlineStr">
        <is>
          <t>PPE</t>
        </is>
      </c>
      <c r="E816" t="inlineStr">
        <is>
          <t>PPE-07</t>
        </is>
      </c>
      <c r="F816" s="17" t="n">
        <v>45685</v>
      </c>
      <c r="G816" s="17" t="n">
        <v>45698</v>
      </c>
      <c r="H816" s="18" t="n">
        <v>17</v>
      </c>
      <c r="I816" s="19" t="n">
        <v>30.11</v>
      </c>
      <c r="J816" s="19" t="n">
        <v>31</v>
      </c>
      <c r="K816" s="20" t="n">
        <v>0</v>
      </c>
      <c r="L816" s="20" t="n">
        <v>0</v>
      </c>
      <c r="M816" s="18" t="n">
        <v>17</v>
      </c>
      <c r="N816" s="18" t="n">
        <v>17</v>
      </c>
      <c r="O816" s="18" t="n">
        <v>2</v>
      </c>
      <c r="P816" s="17" t="n">
        <v>45695</v>
      </c>
      <c r="Q816" s="17" t="n">
        <v>45695</v>
      </c>
      <c r="R816" s="17" t="n">
        <v>45695</v>
      </c>
      <c r="S816" s="19">
        <f>H816*I816</f>
        <v/>
      </c>
      <c r="T816" s="19">
        <f>H816*J816</f>
        <v/>
      </c>
      <c r="U816">
        <f>IF(AND(K816=0,G816&lt;=Assumptions!$C$6),1,0)</f>
        <v/>
      </c>
      <c r="V816">
        <f>IF(U816=1,IF(M816&gt;0,IF(P816&lt;=G816+Assumptions!$C$7,1,0),0),0)</f>
        <v/>
      </c>
      <c r="W816">
        <f>IF(AND(U816=1,M816&gt;=H816*(1-Assumptions!$C$8)),1,0)</f>
        <v/>
      </c>
      <c r="X816">
        <f>IF(AND(U816=1,N816&gt;=H816*(1-Assumptions!$C$8)),1,0)</f>
        <v/>
      </c>
      <c r="Y816">
        <f>IF(ISNUMBER(Q816),1,0)</f>
        <v/>
      </c>
      <c r="Z816">
        <f>IF(AND(K816=0,L816=0,Y816=0),1,0)</f>
        <v/>
      </c>
      <c r="AA816">
        <f>IF(AND(Z816=1,G816&lt;Assumptions!$C$6),1,0)</f>
        <v/>
      </c>
      <c r="AB816">
        <f>IF(U816=0,"",IF(Y816=1,MAX(0,Q816-G816),IF(L816=1,MAX(0,R816-G816),MAX(0,Assumptions!$C$6-G816))))</f>
        <v/>
      </c>
      <c r="AC816">
        <f>IF(Y816=1,Q816-F816,"")</f>
        <v/>
      </c>
      <c r="AD816">
        <f>IF(Y816=1,AC816^2,"")</f>
        <v/>
      </c>
      <c r="AE816" s="19">
        <f>IF(Z816=1,(H816-M816)*I816,0)</f>
        <v/>
      </c>
      <c r="AF816">
        <f>IF(G816&lt;EDATE(Assumptions!$C$6,-12)+1,"prior_12m","last_12m")</f>
        <v/>
      </c>
      <c r="AG816" s="21">
        <f>DATE(YEAR(G816),MONTH(G816),1)</f>
        <v/>
      </c>
    </row>
    <row r="817">
      <c r="A817" t="inlineStr">
        <is>
          <t>SPO-00452-1</t>
        </is>
      </c>
      <c r="B817" t="inlineStr">
        <is>
          <t>SPO-00452</t>
        </is>
      </c>
      <c r="C817" t="inlineStr">
        <is>
          <t>SUP-05</t>
        </is>
      </c>
      <c r="D817" t="inlineStr">
        <is>
          <t>FLEET</t>
        </is>
      </c>
      <c r="E817" t="inlineStr">
        <is>
          <t>FLEET-05</t>
        </is>
      </c>
      <c r="F817" s="17" t="n">
        <v>45686</v>
      </c>
      <c r="G817" s="17" t="n">
        <v>45700</v>
      </c>
      <c r="H817" s="18" t="n">
        <v>9</v>
      </c>
      <c r="I817" s="19" t="n">
        <v>166.87</v>
      </c>
      <c r="J817" s="19" t="n">
        <v>168</v>
      </c>
      <c r="K817" s="20" t="n">
        <v>0</v>
      </c>
      <c r="L817" s="20" t="n">
        <v>0</v>
      </c>
      <c r="M817" s="18" t="n">
        <v>9</v>
      </c>
      <c r="N817" s="18" t="n">
        <v>9</v>
      </c>
      <c r="O817" s="18" t="n">
        <v>0</v>
      </c>
      <c r="P817" s="17" t="n">
        <v>45696</v>
      </c>
      <c r="Q817" s="17" t="n">
        <v>45696</v>
      </c>
      <c r="R817" s="17" t="n">
        <v>45696</v>
      </c>
      <c r="S817" s="19">
        <f>H817*I817</f>
        <v/>
      </c>
      <c r="T817" s="19">
        <f>H817*J817</f>
        <v/>
      </c>
      <c r="U817">
        <f>IF(AND(K817=0,G817&lt;=Assumptions!$C$6),1,0)</f>
        <v/>
      </c>
      <c r="V817">
        <f>IF(U817=1,IF(M817&gt;0,IF(P817&lt;=G817+Assumptions!$C$7,1,0),0),0)</f>
        <v/>
      </c>
      <c r="W817">
        <f>IF(AND(U817=1,M817&gt;=H817*(1-Assumptions!$C$8)),1,0)</f>
        <v/>
      </c>
      <c r="X817">
        <f>IF(AND(U817=1,N817&gt;=H817*(1-Assumptions!$C$8)),1,0)</f>
        <v/>
      </c>
      <c r="Y817">
        <f>IF(ISNUMBER(Q817),1,0)</f>
        <v/>
      </c>
      <c r="Z817">
        <f>IF(AND(K817=0,L817=0,Y817=0),1,0)</f>
        <v/>
      </c>
      <c r="AA817">
        <f>IF(AND(Z817=1,G817&lt;Assumptions!$C$6),1,0)</f>
        <v/>
      </c>
      <c r="AB817">
        <f>IF(U817=0,"",IF(Y817=1,MAX(0,Q817-G817),IF(L817=1,MAX(0,R817-G817),MAX(0,Assumptions!$C$6-G817))))</f>
        <v/>
      </c>
      <c r="AC817">
        <f>IF(Y817=1,Q817-F817,"")</f>
        <v/>
      </c>
      <c r="AD817">
        <f>IF(Y817=1,AC817^2,"")</f>
        <v/>
      </c>
      <c r="AE817" s="19">
        <f>IF(Z817=1,(H817-M817)*I817,0)</f>
        <v/>
      </c>
      <c r="AF817">
        <f>IF(G817&lt;EDATE(Assumptions!$C$6,-12)+1,"prior_12m","last_12m")</f>
        <v/>
      </c>
      <c r="AG817" s="21">
        <f>DATE(YEAR(G817),MONTH(G817),1)</f>
        <v/>
      </c>
    </row>
    <row r="818">
      <c r="A818" t="inlineStr">
        <is>
          <t>SPO-00453-1</t>
        </is>
      </c>
      <c r="B818" t="inlineStr">
        <is>
          <t>SPO-00453</t>
        </is>
      </c>
      <c r="C818" t="inlineStr">
        <is>
          <t>SUP-09</t>
        </is>
      </c>
      <c r="D818" t="inlineStr">
        <is>
          <t>CHEM</t>
        </is>
      </c>
      <c r="E818" t="inlineStr">
        <is>
          <t>CHEM-03</t>
        </is>
      </c>
      <c r="F818" s="17" t="n">
        <v>45686</v>
      </c>
      <c r="G818" s="17" t="n">
        <v>45700</v>
      </c>
      <c r="H818" s="18" t="n">
        <v>4</v>
      </c>
      <c r="I818" s="19" t="n">
        <v>282.25</v>
      </c>
      <c r="J818" s="19" t="n">
        <v>265</v>
      </c>
      <c r="K818" s="20" t="n">
        <v>0</v>
      </c>
      <c r="L818" s="20" t="n">
        <v>0</v>
      </c>
      <c r="M818" s="18" t="n">
        <v>4</v>
      </c>
      <c r="N818" s="18" t="n">
        <v>4</v>
      </c>
      <c r="O818" s="18" t="n">
        <v>0</v>
      </c>
      <c r="P818" s="17" t="n">
        <v>45698</v>
      </c>
      <c r="Q818" s="17" t="n">
        <v>45698</v>
      </c>
      <c r="R818" s="17" t="n">
        <v>45698</v>
      </c>
      <c r="S818" s="19">
        <f>H818*I818</f>
        <v/>
      </c>
      <c r="T818" s="19">
        <f>H818*J818</f>
        <v/>
      </c>
      <c r="U818">
        <f>IF(AND(K818=0,G818&lt;=Assumptions!$C$6),1,0)</f>
        <v/>
      </c>
      <c r="V818">
        <f>IF(U818=1,IF(M818&gt;0,IF(P818&lt;=G818+Assumptions!$C$7,1,0),0),0)</f>
        <v/>
      </c>
      <c r="W818">
        <f>IF(AND(U818=1,M818&gt;=H818*(1-Assumptions!$C$8)),1,0)</f>
        <v/>
      </c>
      <c r="X818">
        <f>IF(AND(U818=1,N818&gt;=H818*(1-Assumptions!$C$8)),1,0)</f>
        <v/>
      </c>
      <c r="Y818">
        <f>IF(ISNUMBER(Q818),1,0)</f>
        <v/>
      </c>
      <c r="Z818">
        <f>IF(AND(K818=0,L818=0,Y818=0),1,0)</f>
        <v/>
      </c>
      <c r="AA818">
        <f>IF(AND(Z818=1,G818&lt;Assumptions!$C$6),1,0)</f>
        <v/>
      </c>
      <c r="AB818">
        <f>IF(U818=0,"",IF(Y818=1,MAX(0,Q818-G818),IF(L818=1,MAX(0,R818-G818),MAX(0,Assumptions!$C$6-G818))))</f>
        <v/>
      </c>
      <c r="AC818">
        <f>IF(Y818=1,Q818-F818,"")</f>
        <v/>
      </c>
      <c r="AD818">
        <f>IF(Y818=1,AC818^2,"")</f>
        <v/>
      </c>
      <c r="AE818" s="19">
        <f>IF(Z818=1,(H818-M818)*I818,0)</f>
        <v/>
      </c>
      <c r="AF818">
        <f>IF(G818&lt;EDATE(Assumptions!$C$6,-12)+1,"prior_12m","last_12m")</f>
        <v/>
      </c>
      <c r="AG818" s="21">
        <f>DATE(YEAR(G818),MONTH(G818),1)</f>
        <v/>
      </c>
    </row>
    <row r="819">
      <c r="A819" t="inlineStr">
        <is>
          <t>SPO-00454-1</t>
        </is>
      </c>
      <c r="B819" t="inlineStr">
        <is>
          <t>SPO-00454</t>
        </is>
      </c>
      <c r="C819" t="inlineStr">
        <is>
          <t>SUP-05</t>
        </is>
      </c>
      <c r="D819" t="inlineStr">
        <is>
          <t>FLEET</t>
        </is>
      </c>
      <c r="E819" t="inlineStr">
        <is>
          <t>FLEET-03</t>
        </is>
      </c>
      <c r="F819" s="17" t="n">
        <v>45686</v>
      </c>
      <c r="G819" s="17" t="n">
        <v>45700</v>
      </c>
      <c r="H819" s="18" t="n">
        <v>35</v>
      </c>
      <c r="I819" s="19" t="n">
        <v>22.23</v>
      </c>
      <c r="J819" s="19" t="n">
        <v>21</v>
      </c>
      <c r="K819" s="20" t="n">
        <v>0</v>
      </c>
      <c r="L819" s="20" t="n">
        <v>0</v>
      </c>
      <c r="M819" s="18" t="n">
        <v>35</v>
      </c>
      <c r="N819" s="18" t="n">
        <v>35</v>
      </c>
      <c r="O819" s="18" t="n">
        <v>0</v>
      </c>
      <c r="P819" s="17" t="n">
        <v>45698</v>
      </c>
      <c r="Q819" s="17" t="n">
        <v>45698</v>
      </c>
      <c r="R819" s="17" t="n">
        <v>45698</v>
      </c>
      <c r="S819" s="19">
        <f>H819*I819</f>
        <v/>
      </c>
      <c r="T819" s="19">
        <f>H819*J819</f>
        <v/>
      </c>
      <c r="U819">
        <f>IF(AND(K819=0,G819&lt;=Assumptions!$C$6),1,0)</f>
        <v/>
      </c>
      <c r="V819">
        <f>IF(U819=1,IF(M819&gt;0,IF(P819&lt;=G819+Assumptions!$C$7,1,0),0),0)</f>
        <v/>
      </c>
      <c r="W819">
        <f>IF(AND(U819=1,M819&gt;=H819*(1-Assumptions!$C$8)),1,0)</f>
        <v/>
      </c>
      <c r="X819">
        <f>IF(AND(U819=1,N819&gt;=H819*(1-Assumptions!$C$8)),1,0)</f>
        <v/>
      </c>
      <c r="Y819">
        <f>IF(ISNUMBER(Q819),1,0)</f>
        <v/>
      </c>
      <c r="Z819">
        <f>IF(AND(K819=0,L819=0,Y819=0),1,0)</f>
        <v/>
      </c>
      <c r="AA819">
        <f>IF(AND(Z819=1,G819&lt;Assumptions!$C$6),1,0)</f>
        <v/>
      </c>
      <c r="AB819">
        <f>IF(U819=0,"",IF(Y819=1,MAX(0,Q819-G819),IF(L819=1,MAX(0,R819-G819),MAX(0,Assumptions!$C$6-G819))))</f>
        <v/>
      </c>
      <c r="AC819">
        <f>IF(Y819=1,Q819-F819,"")</f>
        <v/>
      </c>
      <c r="AD819">
        <f>IF(Y819=1,AC819^2,"")</f>
        <v/>
      </c>
      <c r="AE819" s="19">
        <f>IF(Z819=1,(H819-M819)*I819,0)</f>
        <v/>
      </c>
      <c r="AF819">
        <f>IF(G819&lt;EDATE(Assumptions!$C$6,-12)+1,"prior_12m","last_12m")</f>
        <v/>
      </c>
      <c r="AG819" s="21">
        <f>DATE(YEAR(G819),MONTH(G819),1)</f>
        <v/>
      </c>
    </row>
    <row r="820">
      <c r="A820" t="inlineStr">
        <is>
          <t>SPO-00454-2</t>
        </is>
      </c>
      <c r="B820" t="inlineStr">
        <is>
          <t>SPO-00454</t>
        </is>
      </c>
      <c r="C820" t="inlineStr">
        <is>
          <t>SUP-05</t>
        </is>
      </c>
      <c r="D820" t="inlineStr">
        <is>
          <t>FLEET</t>
        </is>
      </c>
      <c r="E820" t="inlineStr">
        <is>
          <t>FLEET-05</t>
        </is>
      </c>
      <c r="F820" s="17" t="n">
        <v>45686</v>
      </c>
      <c r="G820" s="17" t="n">
        <v>45700</v>
      </c>
      <c r="H820" s="18" t="n">
        <v>23</v>
      </c>
      <c r="I820" s="19" t="n">
        <v>170.48</v>
      </c>
      <c r="J820" s="19" t="n">
        <v>168</v>
      </c>
      <c r="K820" s="20" t="n">
        <v>0</v>
      </c>
      <c r="L820" s="20" t="n">
        <v>0</v>
      </c>
      <c r="M820" s="18" t="n">
        <v>23</v>
      </c>
      <c r="N820" s="18" t="n">
        <v>23</v>
      </c>
      <c r="O820" s="18" t="n">
        <v>0</v>
      </c>
      <c r="P820" s="17" t="n">
        <v>45698</v>
      </c>
      <c r="Q820" s="17" t="n">
        <v>45698</v>
      </c>
      <c r="R820" s="17" t="n">
        <v>45698</v>
      </c>
      <c r="S820" s="19">
        <f>H820*I820</f>
        <v/>
      </c>
      <c r="T820" s="19">
        <f>H820*J820</f>
        <v/>
      </c>
      <c r="U820">
        <f>IF(AND(K820=0,G820&lt;=Assumptions!$C$6),1,0)</f>
        <v/>
      </c>
      <c r="V820">
        <f>IF(U820=1,IF(M820&gt;0,IF(P820&lt;=G820+Assumptions!$C$7,1,0),0),0)</f>
        <v/>
      </c>
      <c r="W820">
        <f>IF(AND(U820=1,M820&gt;=H820*(1-Assumptions!$C$8)),1,0)</f>
        <v/>
      </c>
      <c r="X820">
        <f>IF(AND(U820=1,N820&gt;=H820*(1-Assumptions!$C$8)),1,0)</f>
        <v/>
      </c>
      <c r="Y820">
        <f>IF(ISNUMBER(Q820),1,0)</f>
        <v/>
      </c>
      <c r="Z820">
        <f>IF(AND(K820=0,L820=0,Y820=0),1,0)</f>
        <v/>
      </c>
      <c r="AA820">
        <f>IF(AND(Z820=1,G820&lt;Assumptions!$C$6),1,0)</f>
        <v/>
      </c>
      <c r="AB820">
        <f>IF(U820=0,"",IF(Y820=1,MAX(0,Q820-G820),IF(L820=1,MAX(0,R820-G820),MAX(0,Assumptions!$C$6-G820))))</f>
        <v/>
      </c>
      <c r="AC820">
        <f>IF(Y820=1,Q820-F820,"")</f>
        <v/>
      </c>
      <c r="AD820">
        <f>IF(Y820=1,AC820^2,"")</f>
        <v/>
      </c>
      <c r="AE820" s="19">
        <f>IF(Z820=1,(H820-M820)*I820,0)</f>
        <v/>
      </c>
      <c r="AF820">
        <f>IF(G820&lt;EDATE(Assumptions!$C$6,-12)+1,"prior_12m","last_12m")</f>
        <v/>
      </c>
      <c r="AG820" s="21">
        <f>DATE(YEAR(G820),MONTH(G820),1)</f>
        <v/>
      </c>
    </row>
    <row r="821">
      <c r="A821" t="inlineStr">
        <is>
          <t>SPO-00454-3</t>
        </is>
      </c>
      <c r="B821" t="inlineStr">
        <is>
          <t>SPO-00454</t>
        </is>
      </c>
      <c r="C821" t="inlineStr">
        <is>
          <t>SUP-05</t>
        </is>
      </c>
      <c r="D821" t="inlineStr">
        <is>
          <t>FLEET</t>
        </is>
      </c>
      <c r="E821" t="inlineStr">
        <is>
          <t>FLEET-01</t>
        </is>
      </c>
      <c r="F821" s="17" t="n">
        <v>45686</v>
      </c>
      <c r="G821" s="17" t="n">
        <v>45700</v>
      </c>
      <c r="H821" s="18" t="n">
        <v>11</v>
      </c>
      <c r="I821" s="19" t="n">
        <v>71.38</v>
      </c>
      <c r="J821" s="19" t="n">
        <v>64</v>
      </c>
      <c r="K821" s="20" t="n">
        <v>0</v>
      </c>
      <c r="L821" s="20" t="n">
        <v>0</v>
      </c>
      <c r="M821" s="18" t="n">
        <v>11</v>
      </c>
      <c r="N821" s="18" t="n">
        <v>11</v>
      </c>
      <c r="O821" s="18" t="n">
        <v>0</v>
      </c>
      <c r="P821" s="17" t="n">
        <v>45695</v>
      </c>
      <c r="Q821" s="17" t="n">
        <v>45695</v>
      </c>
      <c r="R821" s="17" t="n">
        <v>45695</v>
      </c>
      <c r="S821" s="19">
        <f>H821*I821</f>
        <v/>
      </c>
      <c r="T821" s="19">
        <f>H821*J821</f>
        <v/>
      </c>
      <c r="U821">
        <f>IF(AND(K821=0,G821&lt;=Assumptions!$C$6),1,0)</f>
        <v/>
      </c>
      <c r="V821">
        <f>IF(U821=1,IF(M821&gt;0,IF(P821&lt;=G821+Assumptions!$C$7,1,0),0),0)</f>
        <v/>
      </c>
      <c r="W821">
        <f>IF(AND(U821=1,M821&gt;=H821*(1-Assumptions!$C$8)),1,0)</f>
        <v/>
      </c>
      <c r="X821">
        <f>IF(AND(U821=1,N821&gt;=H821*(1-Assumptions!$C$8)),1,0)</f>
        <v/>
      </c>
      <c r="Y821">
        <f>IF(ISNUMBER(Q821),1,0)</f>
        <v/>
      </c>
      <c r="Z821">
        <f>IF(AND(K821=0,L821=0,Y821=0),1,0)</f>
        <v/>
      </c>
      <c r="AA821">
        <f>IF(AND(Z821=1,G821&lt;Assumptions!$C$6),1,0)</f>
        <v/>
      </c>
      <c r="AB821">
        <f>IF(U821=0,"",IF(Y821=1,MAX(0,Q821-G821),IF(L821=1,MAX(0,R821-G821),MAX(0,Assumptions!$C$6-G821))))</f>
        <v/>
      </c>
      <c r="AC821">
        <f>IF(Y821=1,Q821-F821,"")</f>
        <v/>
      </c>
      <c r="AD821">
        <f>IF(Y821=1,AC821^2,"")</f>
        <v/>
      </c>
      <c r="AE821" s="19">
        <f>IF(Z821=1,(H821-M821)*I821,0)</f>
        <v/>
      </c>
      <c r="AF821">
        <f>IF(G821&lt;EDATE(Assumptions!$C$6,-12)+1,"prior_12m","last_12m")</f>
        <v/>
      </c>
      <c r="AG821" s="21">
        <f>DATE(YEAR(G821),MONTH(G821),1)</f>
        <v/>
      </c>
    </row>
    <row r="822">
      <c r="A822" t="inlineStr">
        <is>
          <t>SPO-00454-4</t>
        </is>
      </c>
      <c r="B822" t="inlineStr">
        <is>
          <t>SPO-00454</t>
        </is>
      </c>
      <c r="C822" t="inlineStr">
        <is>
          <t>SUP-05</t>
        </is>
      </c>
      <c r="D822" t="inlineStr">
        <is>
          <t>FLEET</t>
        </is>
      </c>
      <c r="E822" t="inlineStr">
        <is>
          <t>FLEET-04</t>
        </is>
      </c>
      <c r="F822" s="17" t="n">
        <v>45686</v>
      </c>
      <c r="G822" s="17" t="n">
        <v>45700</v>
      </c>
      <c r="H822" s="18" t="n">
        <v>88</v>
      </c>
      <c r="I822" s="19" t="n">
        <v>9.109999999999999</v>
      </c>
      <c r="J822" s="19" t="n">
        <v>9</v>
      </c>
      <c r="K822" s="20" t="n">
        <v>0</v>
      </c>
      <c r="L822" s="20" t="n">
        <v>0</v>
      </c>
      <c r="M822" s="18" t="n">
        <v>88</v>
      </c>
      <c r="N822" s="18" t="n">
        <v>88</v>
      </c>
      <c r="O822" s="18" t="n">
        <v>0</v>
      </c>
      <c r="P822" s="17" t="n">
        <v>45699</v>
      </c>
      <c r="Q822" s="17" t="n">
        <v>45699</v>
      </c>
      <c r="R822" s="17" t="n">
        <v>45699</v>
      </c>
      <c r="S822" s="19">
        <f>H822*I822</f>
        <v/>
      </c>
      <c r="T822" s="19">
        <f>H822*J822</f>
        <v/>
      </c>
      <c r="U822">
        <f>IF(AND(K822=0,G822&lt;=Assumptions!$C$6),1,0)</f>
        <v/>
      </c>
      <c r="V822">
        <f>IF(U822=1,IF(M822&gt;0,IF(P822&lt;=G822+Assumptions!$C$7,1,0),0),0)</f>
        <v/>
      </c>
      <c r="W822">
        <f>IF(AND(U822=1,M822&gt;=H822*(1-Assumptions!$C$8)),1,0)</f>
        <v/>
      </c>
      <c r="X822">
        <f>IF(AND(U822=1,N822&gt;=H822*(1-Assumptions!$C$8)),1,0)</f>
        <v/>
      </c>
      <c r="Y822">
        <f>IF(ISNUMBER(Q822),1,0)</f>
        <v/>
      </c>
      <c r="Z822">
        <f>IF(AND(K822=0,L822=0,Y822=0),1,0)</f>
        <v/>
      </c>
      <c r="AA822">
        <f>IF(AND(Z822=1,G822&lt;Assumptions!$C$6),1,0)</f>
        <v/>
      </c>
      <c r="AB822">
        <f>IF(U822=0,"",IF(Y822=1,MAX(0,Q822-G822),IF(L822=1,MAX(0,R822-G822),MAX(0,Assumptions!$C$6-G822))))</f>
        <v/>
      </c>
      <c r="AC822">
        <f>IF(Y822=1,Q822-F822,"")</f>
        <v/>
      </c>
      <c r="AD822">
        <f>IF(Y822=1,AC822^2,"")</f>
        <v/>
      </c>
      <c r="AE822" s="19">
        <f>IF(Z822=1,(H822-M822)*I822,0)</f>
        <v/>
      </c>
      <c r="AF822">
        <f>IF(G822&lt;EDATE(Assumptions!$C$6,-12)+1,"prior_12m","last_12m")</f>
        <v/>
      </c>
      <c r="AG822" s="21">
        <f>DATE(YEAR(G822),MONTH(G822),1)</f>
        <v/>
      </c>
    </row>
    <row r="823">
      <c r="A823" t="inlineStr">
        <is>
          <t>SPO-00455-1</t>
        </is>
      </c>
      <c r="B823" t="inlineStr">
        <is>
          <t>SPO-00455</t>
        </is>
      </c>
      <c r="C823" t="inlineStr">
        <is>
          <t>SUP-01</t>
        </is>
      </c>
      <c r="D823" t="inlineStr">
        <is>
          <t>ELEC</t>
        </is>
      </c>
      <c r="E823" t="inlineStr">
        <is>
          <t>ELEC-05</t>
        </is>
      </c>
      <c r="F823" s="17" t="n">
        <v>45686</v>
      </c>
      <c r="G823" s="17" t="n">
        <v>45704</v>
      </c>
      <c r="H823" s="18" t="n">
        <v>257</v>
      </c>
      <c r="I823" s="19" t="n">
        <v>11.31</v>
      </c>
      <c r="J823" s="19" t="n">
        <v>11.5</v>
      </c>
      <c r="K823" s="20" t="n">
        <v>0</v>
      </c>
      <c r="L823" s="20" t="n">
        <v>0</v>
      </c>
      <c r="M823" s="18" t="n">
        <v>257</v>
      </c>
      <c r="N823" s="18" t="n">
        <v>257</v>
      </c>
      <c r="O823" s="18" t="n">
        <v>0</v>
      </c>
      <c r="P823" s="17" t="n">
        <v>45701</v>
      </c>
      <c r="Q823" s="17" t="n">
        <v>45701</v>
      </c>
      <c r="R823" s="17" t="n">
        <v>45701</v>
      </c>
      <c r="S823" s="19">
        <f>H823*I823</f>
        <v/>
      </c>
      <c r="T823" s="19">
        <f>H823*J823</f>
        <v/>
      </c>
      <c r="U823">
        <f>IF(AND(K823=0,G823&lt;=Assumptions!$C$6),1,0)</f>
        <v/>
      </c>
      <c r="V823">
        <f>IF(U823=1,IF(M823&gt;0,IF(P823&lt;=G823+Assumptions!$C$7,1,0),0),0)</f>
        <v/>
      </c>
      <c r="W823">
        <f>IF(AND(U823=1,M823&gt;=H823*(1-Assumptions!$C$8)),1,0)</f>
        <v/>
      </c>
      <c r="X823">
        <f>IF(AND(U823=1,N823&gt;=H823*(1-Assumptions!$C$8)),1,0)</f>
        <v/>
      </c>
      <c r="Y823">
        <f>IF(ISNUMBER(Q823),1,0)</f>
        <v/>
      </c>
      <c r="Z823">
        <f>IF(AND(K823=0,L823=0,Y823=0),1,0)</f>
        <v/>
      </c>
      <c r="AA823">
        <f>IF(AND(Z823=1,G823&lt;Assumptions!$C$6),1,0)</f>
        <v/>
      </c>
      <c r="AB823">
        <f>IF(U823=0,"",IF(Y823=1,MAX(0,Q823-G823),IF(L823=1,MAX(0,R823-G823),MAX(0,Assumptions!$C$6-G823))))</f>
        <v/>
      </c>
      <c r="AC823">
        <f>IF(Y823=1,Q823-F823,"")</f>
        <v/>
      </c>
      <c r="AD823">
        <f>IF(Y823=1,AC823^2,"")</f>
        <v/>
      </c>
      <c r="AE823" s="19">
        <f>IF(Z823=1,(H823-M823)*I823,0)</f>
        <v/>
      </c>
      <c r="AF823">
        <f>IF(G823&lt;EDATE(Assumptions!$C$6,-12)+1,"prior_12m","last_12m")</f>
        <v/>
      </c>
      <c r="AG823" s="21">
        <f>DATE(YEAR(G823),MONTH(G823),1)</f>
        <v/>
      </c>
    </row>
    <row r="824">
      <c r="A824" t="inlineStr">
        <is>
          <t>SPO-00456-1</t>
        </is>
      </c>
      <c r="B824" t="inlineStr">
        <is>
          <t>SPO-00456</t>
        </is>
      </c>
      <c r="C824" t="inlineStr">
        <is>
          <t>SUP-14</t>
        </is>
      </c>
      <c r="D824" t="inlineStr">
        <is>
          <t>FLEET</t>
        </is>
      </c>
      <c r="E824" t="inlineStr">
        <is>
          <t>FLEET-07</t>
        </is>
      </c>
      <c r="F824" s="17" t="n">
        <v>45687</v>
      </c>
      <c r="G824" s="17" t="n">
        <v>45701</v>
      </c>
      <c r="H824" s="18" t="n">
        <v>13</v>
      </c>
      <c r="I824" s="19" t="n">
        <v>119.48</v>
      </c>
      <c r="J824" s="19" t="n">
        <v>118</v>
      </c>
      <c r="K824" s="20" t="n">
        <v>0</v>
      </c>
      <c r="L824" s="20" t="n">
        <v>0</v>
      </c>
      <c r="M824" s="18" t="n">
        <v>13</v>
      </c>
      <c r="N824" s="18" t="n">
        <v>13</v>
      </c>
      <c r="O824" s="18" t="n">
        <v>0</v>
      </c>
      <c r="P824" s="17" t="n">
        <v>45699</v>
      </c>
      <c r="Q824" s="17" t="n">
        <v>45699</v>
      </c>
      <c r="R824" s="17" t="n">
        <v>45699</v>
      </c>
      <c r="S824" s="19">
        <f>H824*I824</f>
        <v/>
      </c>
      <c r="T824" s="19">
        <f>H824*J824</f>
        <v/>
      </c>
      <c r="U824">
        <f>IF(AND(K824=0,G824&lt;=Assumptions!$C$6),1,0)</f>
        <v/>
      </c>
      <c r="V824">
        <f>IF(U824=1,IF(M824&gt;0,IF(P824&lt;=G824+Assumptions!$C$7,1,0),0),0)</f>
        <v/>
      </c>
      <c r="W824">
        <f>IF(AND(U824=1,M824&gt;=H824*(1-Assumptions!$C$8)),1,0)</f>
        <v/>
      </c>
      <c r="X824">
        <f>IF(AND(U824=1,N824&gt;=H824*(1-Assumptions!$C$8)),1,0)</f>
        <v/>
      </c>
      <c r="Y824">
        <f>IF(ISNUMBER(Q824),1,0)</f>
        <v/>
      </c>
      <c r="Z824">
        <f>IF(AND(K824=0,L824=0,Y824=0),1,0)</f>
        <v/>
      </c>
      <c r="AA824">
        <f>IF(AND(Z824=1,G824&lt;Assumptions!$C$6),1,0)</f>
        <v/>
      </c>
      <c r="AB824">
        <f>IF(U824=0,"",IF(Y824=1,MAX(0,Q824-G824),IF(L824=1,MAX(0,R824-G824),MAX(0,Assumptions!$C$6-G824))))</f>
        <v/>
      </c>
      <c r="AC824">
        <f>IF(Y824=1,Q824-F824,"")</f>
        <v/>
      </c>
      <c r="AD824">
        <f>IF(Y824=1,AC824^2,"")</f>
        <v/>
      </c>
      <c r="AE824" s="19">
        <f>IF(Z824=1,(H824-M824)*I824,0)</f>
        <v/>
      </c>
      <c r="AF824">
        <f>IF(G824&lt;EDATE(Assumptions!$C$6,-12)+1,"prior_12m","last_12m")</f>
        <v/>
      </c>
      <c r="AG824" s="21">
        <f>DATE(YEAR(G824),MONTH(G824),1)</f>
        <v/>
      </c>
    </row>
    <row r="825">
      <c r="A825" t="inlineStr">
        <is>
          <t>SPO-00457-1</t>
        </is>
      </c>
      <c r="B825" t="inlineStr">
        <is>
          <t>SPO-00457</t>
        </is>
      </c>
      <c r="C825" t="inlineStr">
        <is>
          <t>SUP-02</t>
        </is>
      </c>
      <c r="D825" t="inlineStr">
        <is>
          <t>ELEC</t>
        </is>
      </c>
      <c r="E825" t="inlineStr">
        <is>
          <t>ELEC-02</t>
        </is>
      </c>
      <c r="F825" s="17" t="n">
        <v>45687</v>
      </c>
      <c r="G825" s="17" t="n">
        <v>45703</v>
      </c>
      <c r="H825" s="18" t="n">
        <v>727</v>
      </c>
      <c r="I825" s="19" t="n">
        <v>4.26</v>
      </c>
      <c r="J825" s="19" t="n">
        <v>4.2</v>
      </c>
      <c r="K825" s="20" t="n">
        <v>0</v>
      </c>
      <c r="L825" s="20" t="n">
        <v>0</v>
      </c>
      <c r="M825" s="18" t="n">
        <v>727</v>
      </c>
      <c r="N825" s="18" t="n">
        <v>571</v>
      </c>
      <c r="O825" s="18" t="n">
        <v>0</v>
      </c>
      <c r="P825" s="17" t="n">
        <v>45702</v>
      </c>
      <c r="Q825" s="17" t="n">
        <v>45707</v>
      </c>
      <c r="R825" s="17" t="n">
        <v>45707</v>
      </c>
      <c r="S825" s="19">
        <f>H825*I825</f>
        <v/>
      </c>
      <c r="T825" s="19">
        <f>H825*J825</f>
        <v/>
      </c>
      <c r="U825">
        <f>IF(AND(K825=0,G825&lt;=Assumptions!$C$6),1,0)</f>
        <v/>
      </c>
      <c r="V825">
        <f>IF(U825=1,IF(M825&gt;0,IF(P825&lt;=G825+Assumptions!$C$7,1,0),0),0)</f>
        <v/>
      </c>
      <c r="W825">
        <f>IF(AND(U825=1,M825&gt;=H825*(1-Assumptions!$C$8)),1,0)</f>
        <v/>
      </c>
      <c r="X825">
        <f>IF(AND(U825=1,N825&gt;=H825*(1-Assumptions!$C$8)),1,0)</f>
        <v/>
      </c>
      <c r="Y825">
        <f>IF(ISNUMBER(Q825),1,0)</f>
        <v/>
      </c>
      <c r="Z825">
        <f>IF(AND(K825=0,L825=0,Y825=0),1,0)</f>
        <v/>
      </c>
      <c r="AA825">
        <f>IF(AND(Z825=1,G825&lt;Assumptions!$C$6),1,0)</f>
        <v/>
      </c>
      <c r="AB825">
        <f>IF(U825=0,"",IF(Y825=1,MAX(0,Q825-G825),IF(L825=1,MAX(0,R825-G825),MAX(0,Assumptions!$C$6-G825))))</f>
        <v/>
      </c>
      <c r="AC825">
        <f>IF(Y825=1,Q825-F825,"")</f>
        <v/>
      </c>
      <c r="AD825">
        <f>IF(Y825=1,AC825^2,"")</f>
        <v/>
      </c>
      <c r="AE825" s="19">
        <f>IF(Z825=1,(H825-M825)*I825,0)</f>
        <v/>
      </c>
      <c r="AF825">
        <f>IF(G825&lt;EDATE(Assumptions!$C$6,-12)+1,"prior_12m","last_12m")</f>
        <v/>
      </c>
      <c r="AG825" s="21">
        <f>DATE(YEAR(G825),MONTH(G825),1)</f>
        <v/>
      </c>
    </row>
    <row r="826">
      <c r="A826" t="inlineStr">
        <is>
          <t>SPO-00457-2</t>
        </is>
      </c>
      <c r="B826" t="inlineStr">
        <is>
          <t>SPO-00457</t>
        </is>
      </c>
      <c r="C826" t="inlineStr">
        <is>
          <t>SUP-02</t>
        </is>
      </c>
      <c r="D826" t="inlineStr">
        <is>
          <t>ELEC</t>
        </is>
      </c>
      <c r="E826" t="inlineStr">
        <is>
          <t>ELEC-07</t>
        </is>
      </c>
      <c r="F826" s="17" t="n">
        <v>45687</v>
      </c>
      <c r="G826" s="17" t="n">
        <v>45703</v>
      </c>
      <c r="H826" s="18" t="n">
        <v>92</v>
      </c>
      <c r="I826" s="19" t="n">
        <v>9.33</v>
      </c>
      <c r="J826" s="19" t="n">
        <v>9.800000000000001</v>
      </c>
      <c r="K826" s="20" t="n">
        <v>0</v>
      </c>
      <c r="L826" s="20" t="n">
        <v>0</v>
      </c>
      <c r="M826" s="18" t="n">
        <v>92</v>
      </c>
      <c r="N826" s="18" t="n">
        <v>92</v>
      </c>
      <c r="O826" s="18" t="n">
        <v>0</v>
      </c>
      <c r="P826" s="17" t="n">
        <v>45698</v>
      </c>
      <c r="Q826" s="17" t="n">
        <v>45698</v>
      </c>
      <c r="R826" s="17" t="n">
        <v>45698</v>
      </c>
      <c r="S826" s="19">
        <f>H826*I826</f>
        <v/>
      </c>
      <c r="T826" s="19">
        <f>H826*J826</f>
        <v/>
      </c>
      <c r="U826">
        <f>IF(AND(K826=0,G826&lt;=Assumptions!$C$6),1,0)</f>
        <v/>
      </c>
      <c r="V826">
        <f>IF(U826=1,IF(M826&gt;0,IF(P826&lt;=G826+Assumptions!$C$7,1,0),0),0)</f>
        <v/>
      </c>
      <c r="W826">
        <f>IF(AND(U826=1,M826&gt;=H826*(1-Assumptions!$C$8)),1,0)</f>
        <v/>
      </c>
      <c r="X826">
        <f>IF(AND(U826=1,N826&gt;=H826*(1-Assumptions!$C$8)),1,0)</f>
        <v/>
      </c>
      <c r="Y826">
        <f>IF(ISNUMBER(Q826),1,0)</f>
        <v/>
      </c>
      <c r="Z826">
        <f>IF(AND(K826=0,L826=0,Y826=0),1,0)</f>
        <v/>
      </c>
      <c r="AA826">
        <f>IF(AND(Z826=1,G826&lt;Assumptions!$C$6),1,0)</f>
        <v/>
      </c>
      <c r="AB826">
        <f>IF(U826=0,"",IF(Y826=1,MAX(0,Q826-G826),IF(L826=1,MAX(0,R826-G826),MAX(0,Assumptions!$C$6-G826))))</f>
        <v/>
      </c>
      <c r="AC826">
        <f>IF(Y826=1,Q826-F826,"")</f>
        <v/>
      </c>
      <c r="AD826">
        <f>IF(Y826=1,AC826^2,"")</f>
        <v/>
      </c>
      <c r="AE826" s="19">
        <f>IF(Z826=1,(H826-M826)*I826,0)</f>
        <v/>
      </c>
      <c r="AF826">
        <f>IF(G826&lt;EDATE(Assumptions!$C$6,-12)+1,"prior_12m","last_12m")</f>
        <v/>
      </c>
      <c r="AG826" s="21">
        <f>DATE(YEAR(G826),MONTH(G826),1)</f>
        <v/>
      </c>
    </row>
    <row r="827">
      <c r="A827" t="inlineStr">
        <is>
          <t>SPO-00457-3</t>
        </is>
      </c>
      <c r="B827" t="inlineStr">
        <is>
          <t>SPO-00457</t>
        </is>
      </c>
      <c r="C827" t="inlineStr">
        <is>
          <t>SUP-02</t>
        </is>
      </c>
      <c r="D827" t="inlineStr">
        <is>
          <t>ELEC</t>
        </is>
      </c>
      <c r="E827" t="inlineStr">
        <is>
          <t>ELEC-08</t>
        </is>
      </c>
      <c r="F827" s="17" t="n">
        <v>45687</v>
      </c>
      <c r="G827" s="17" t="n">
        <v>45703</v>
      </c>
      <c r="H827" s="18" t="n">
        <v>117</v>
      </c>
      <c r="I827" s="19" t="n">
        <v>17.76</v>
      </c>
      <c r="J827" s="19" t="n">
        <v>18</v>
      </c>
      <c r="K827" s="20" t="n">
        <v>0</v>
      </c>
      <c r="L827" s="20" t="n">
        <v>0</v>
      </c>
      <c r="M827" s="18" t="n">
        <v>117</v>
      </c>
      <c r="N827" s="18" t="n">
        <v>90</v>
      </c>
      <c r="O827" s="18" t="n">
        <v>0</v>
      </c>
      <c r="P827" s="17" t="n">
        <v>45698</v>
      </c>
      <c r="Q827" s="17" t="n">
        <v>45712</v>
      </c>
      <c r="R827" s="17" t="n">
        <v>45712</v>
      </c>
      <c r="S827" s="19">
        <f>H827*I827</f>
        <v/>
      </c>
      <c r="T827" s="19">
        <f>H827*J827</f>
        <v/>
      </c>
      <c r="U827">
        <f>IF(AND(K827=0,G827&lt;=Assumptions!$C$6),1,0)</f>
        <v/>
      </c>
      <c r="V827">
        <f>IF(U827=1,IF(M827&gt;0,IF(P827&lt;=G827+Assumptions!$C$7,1,0),0),0)</f>
        <v/>
      </c>
      <c r="W827">
        <f>IF(AND(U827=1,M827&gt;=H827*(1-Assumptions!$C$8)),1,0)</f>
        <v/>
      </c>
      <c r="X827">
        <f>IF(AND(U827=1,N827&gt;=H827*(1-Assumptions!$C$8)),1,0)</f>
        <v/>
      </c>
      <c r="Y827">
        <f>IF(ISNUMBER(Q827),1,0)</f>
        <v/>
      </c>
      <c r="Z827">
        <f>IF(AND(K827=0,L827=0,Y827=0),1,0)</f>
        <v/>
      </c>
      <c r="AA827">
        <f>IF(AND(Z827=1,G827&lt;Assumptions!$C$6),1,0)</f>
        <v/>
      </c>
      <c r="AB827">
        <f>IF(U827=0,"",IF(Y827=1,MAX(0,Q827-G827),IF(L827=1,MAX(0,R827-G827),MAX(0,Assumptions!$C$6-G827))))</f>
        <v/>
      </c>
      <c r="AC827">
        <f>IF(Y827=1,Q827-F827,"")</f>
        <v/>
      </c>
      <c r="AD827">
        <f>IF(Y827=1,AC827^2,"")</f>
        <v/>
      </c>
      <c r="AE827" s="19">
        <f>IF(Z827=1,(H827-M827)*I827,0)</f>
        <v/>
      </c>
      <c r="AF827">
        <f>IF(G827&lt;EDATE(Assumptions!$C$6,-12)+1,"prior_12m","last_12m")</f>
        <v/>
      </c>
      <c r="AG827" s="21">
        <f>DATE(YEAR(G827),MONTH(G827),1)</f>
        <v/>
      </c>
    </row>
    <row r="828">
      <c r="A828" t="inlineStr">
        <is>
          <t>SPO-00457-4</t>
        </is>
      </c>
      <c r="B828" t="inlineStr">
        <is>
          <t>SPO-00457</t>
        </is>
      </c>
      <c r="C828" t="inlineStr">
        <is>
          <t>SUP-02</t>
        </is>
      </c>
      <c r="D828" t="inlineStr">
        <is>
          <t>ELEC</t>
        </is>
      </c>
      <c r="E828" t="inlineStr">
        <is>
          <t>ELEC-06</t>
        </is>
      </c>
      <c r="F828" s="17" t="n">
        <v>45687</v>
      </c>
      <c r="G828" s="17" t="n">
        <v>45703</v>
      </c>
      <c r="H828" s="18" t="n">
        <v>19</v>
      </c>
      <c r="I828" s="19" t="n">
        <v>151.48</v>
      </c>
      <c r="J828" s="19" t="n">
        <v>145</v>
      </c>
      <c r="K828" s="20" t="n">
        <v>0</v>
      </c>
      <c r="L828" s="20" t="n">
        <v>0</v>
      </c>
      <c r="M828" s="18" t="n">
        <v>19</v>
      </c>
      <c r="N828" s="18" t="n">
        <v>19</v>
      </c>
      <c r="O828" s="18" t="n">
        <v>0</v>
      </c>
      <c r="P828" s="17" t="n">
        <v>45701</v>
      </c>
      <c r="Q828" s="17" t="n">
        <v>45701</v>
      </c>
      <c r="R828" s="17" t="n">
        <v>45701</v>
      </c>
      <c r="S828" s="19">
        <f>H828*I828</f>
        <v/>
      </c>
      <c r="T828" s="19">
        <f>H828*J828</f>
        <v/>
      </c>
      <c r="U828">
        <f>IF(AND(K828=0,G828&lt;=Assumptions!$C$6),1,0)</f>
        <v/>
      </c>
      <c r="V828">
        <f>IF(U828=1,IF(M828&gt;0,IF(P828&lt;=G828+Assumptions!$C$7,1,0),0),0)</f>
        <v/>
      </c>
      <c r="W828">
        <f>IF(AND(U828=1,M828&gt;=H828*(1-Assumptions!$C$8)),1,0)</f>
        <v/>
      </c>
      <c r="X828">
        <f>IF(AND(U828=1,N828&gt;=H828*(1-Assumptions!$C$8)),1,0)</f>
        <v/>
      </c>
      <c r="Y828">
        <f>IF(ISNUMBER(Q828),1,0)</f>
        <v/>
      </c>
      <c r="Z828">
        <f>IF(AND(K828=0,L828=0,Y828=0),1,0)</f>
        <v/>
      </c>
      <c r="AA828">
        <f>IF(AND(Z828=1,G828&lt;Assumptions!$C$6),1,0)</f>
        <v/>
      </c>
      <c r="AB828">
        <f>IF(U828=0,"",IF(Y828=1,MAX(0,Q828-G828),IF(L828=1,MAX(0,R828-G828),MAX(0,Assumptions!$C$6-G828))))</f>
        <v/>
      </c>
      <c r="AC828">
        <f>IF(Y828=1,Q828-F828,"")</f>
        <v/>
      </c>
      <c r="AD828">
        <f>IF(Y828=1,AC828^2,"")</f>
        <v/>
      </c>
      <c r="AE828" s="19">
        <f>IF(Z828=1,(H828-M828)*I828,0)</f>
        <v/>
      </c>
      <c r="AF828">
        <f>IF(G828&lt;EDATE(Assumptions!$C$6,-12)+1,"prior_12m","last_12m")</f>
        <v/>
      </c>
      <c r="AG828" s="21">
        <f>DATE(YEAR(G828),MONTH(G828),1)</f>
        <v/>
      </c>
    </row>
    <row r="829">
      <c r="A829" t="inlineStr">
        <is>
          <t>SPO-00458-1</t>
        </is>
      </c>
      <c r="B829" t="inlineStr">
        <is>
          <t>SPO-00458</t>
        </is>
      </c>
      <c r="C829" t="inlineStr">
        <is>
          <t>SUP-02</t>
        </is>
      </c>
      <c r="D829" t="inlineStr">
        <is>
          <t>ELEC</t>
        </is>
      </c>
      <c r="E829" t="inlineStr">
        <is>
          <t>ELEC-08</t>
        </is>
      </c>
      <c r="F829" s="17" t="n">
        <v>45687</v>
      </c>
      <c r="G829" s="17" t="n">
        <v>45703</v>
      </c>
      <c r="H829" s="18" t="n">
        <v>90</v>
      </c>
      <c r="I829" s="19" t="n">
        <v>19.07</v>
      </c>
      <c r="J829" s="19" t="n">
        <v>18</v>
      </c>
      <c r="K829" s="20" t="n">
        <v>0</v>
      </c>
      <c r="L829" s="20" t="n">
        <v>0</v>
      </c>
      <c r="M829" s="18" t="n">
        <v>90</v>
      </c>
      <c r="N829" s="18" t="n">
        <v>90</v>
      </c>
      <c r="O829" s="18" t="n">
        <v>0</v>
      </c>
      <c r="P829" s="17" t="n">
        <v>45699</v>
      </c>
      <c r="Q829" s="17" t="n">
        <v>45699</v>
      </c>
      <c r="R829" s="17" t="n">
        <v>45699</v>
      </c>
      <c r="S829" s="19">
        <f>H829*I829</f>
        <v/>
      </c>
      <c r="T829" s="19">
        <f>H829*J829</f>
        <v/>
      </c>
      <c r="U829">
        <f>IF(AND(K829=0,G829&lt;=Assumptions!$C$6),1,0)</f>
        <v/>
      </c>
      <c r="V829">
        <f>IF(U829=1,IF(M829&gt;0,IF(P829&lt;=G829+Assumptions!$C$7,1,0),0),0)</f>
        <v/>
      </c>
      <c r="W829">
        <f>IF(AND(U829=1,M829&gt;=H829*(1-Assumptions!$C$8)),1,0)</f>
        <v/>
      </c>
      <c r="X829">
        <f>IF(AND(U829=1,N829&gt;=H829*(1-Assumptions!$C$8)),1,0)</f>
        <v/>
      </c>
      <c r="Y829">
        <f>IF(ISNUMBER(Q829),1,0)</f>
        <v/>
      </c>
      <c r="Z829">
        <f>IF(AND(K829=0,L829=0,Y829=0),1,0)</f>
        <v/>
      </c>
      <c r="AA829">
        <f>IF(AND(Z829=1,G829&lt;Assumptions!$C$6),1,0)</f>
        <v/>
      </c>
      <c r="AB829">
        <f>IF(U829=0,"",IF(Y829=1,MAX(0,Q829-G829),IF(L829=1,MAX(0,R829-G829),MAX(0,Assumptions!$C$6-G829))))</f>
        <v/>
      </c>
      <c r="AC829">
        <f>IF(Y829=1,Q829-F829,"")</f>
        <v/>
      </c>
      <c r="AD829">
        <f>IF(Y829=1,AC829^2,"")</f>
        <v/>
      </c>
      <c r="AE829" s="19">
        <f>IF(Z829=1,(H829-M829)*I829,0)</f>
        <v/>
      </c>
      <c r="AF829">
        <f>IF(G829&lt;EDATE(Assumptions!$C$6,-12)+1,"prior_12m","last_12m")</f>
        <v/>
      </c>
      <c r="AG829" s="21">
        <f>DATE(YEAR(G829),MONTH(G829),1)</f>
        <v/>
      </c>
    </row>
    <row r="830">
      <c r="A830" t="inlineStr">
        <is>
          <t>SPO-00458-2</t>
        </is>
      </c>
      <c r="B830" t="inlineStr">
        <is>
          <t>SPO-00458</t>
        </is>
      </c>
      <c r="C830" t="inlineStr">
        <is>
          <t>SUP-02</t>
        </is>
      </c>
      <c r="D830" t="inlineStr">
        <is>
          <t>ELEC</t>
        </is>
      </c>
      <c r="E830" t="inlineStr">
        <is>
          <t>ELEC-06</t>
        </is>
      </c>
      <c r="F830" s="17" t="n">
        <v>45687</v>
      </c>
      <c r="G830" s="17" t="n">
        <v>45703</v>
      </c>
      <c r="H830" s="18" t="n">
        <v>19</v>
      </c>
      <c r="I830" s="19" t="n">
        <v>147.97</v>
      </c>
      <c r="J830" s="19" t="n">
        <v>145</v>
      </c>
      <c r="K830" s="20" t="n">
        <v>0</v>
      </c>
      <c r="L830" s="20" t="n">
        <v>0</v>
      </c>
      <c r="M830" s="18" t="n">
        <v>19</v>
      </c>
      <c r="N830" s="18" t="n">
        <v>19</v>
      </c>
      <c r="O830" s="18" t="n">
        <v>0</v>
      </c>
      <c r="P830" s="17" t="n">
        <v>45696</v>
      </c>
      <c r="Q830" s="17" t="n">
        <v>45696</v>
      </c>
      <c r="R830" s="17" t="n">
        <v>45696</v>
      </c>
      <c r="S830" s="19">
        <f>H830*I830</f>
        <v/>
      </c>
      <c r="T830" s="19">
        <f>H830*J830</f>
        <v/>
      </c>
      <c r="U830">
        <f>IF(AND(K830=0,G830&lt;=Assumptions!$C$6),1,0)</f>
        <v/>
      </c>
      <c r="V830">
        <f>IF(U830=1,IF(M830&gt;0,IF(P830&lt;=G830+Assumptions!$C$7,1,0),0),0)</f>
        <v/>
      </c>
      <c r="W830">
        <f>IF(AND(U830=1,M830&gt;=H830*(1-Assumptions!$C$8)),1,0)</f>
        <v/>
      </c>
      <c r="X830">
        <f>IF(AND(U830=1,N830&gt;=H830*(1-Assumptions!$C$8)),1,0)</f>
        <v/>
      </c>
      <c r="Y830">
        <f>IF(ISNUMBER(Q830),1,0)</f>
        <v/>
      </c>
      <c r="Z830">
        <f>IF(AND(K830=0,L830=0,Y830=0),1,0)</f>
        <v/>
      </c>
      <c r="AA830">
        <f>IF(AND(Z830=1,G830&lt;Assumptions!$C$6),1,0)</f>
        <v/>
      </c>
      <c r="AB830">
        <f>IF(U830=0,"",IF(Y830=1,MAX(0,Q830-G830),IF(L830=1,MAX(0,R830-G830),MAX(0,Assumptions!$C$6-G830))))</f>
        <v/>
      </c>
      <c r="AC830">
        <f>IF(Y830=1,Q830-F830,"")</f>
        <v/>
      </c>
      <c r="AD830">
        <f>IF(Y830=1,AC830^2,"")</f>
        <v/>
      </c>
      <c r="AE830" s="19">
        <f>IF(Z830=1,(H830-M830)*I830,0)</f>
        <v/>
      </c>
      <c r="AF830">
        <f>IF(G830&lt;EDATE(Assumptions!$C$6,-12)+1,"prior_12m","last_12m")</f>
        <v/>
      </c>
      <c r="AG830" s="21">
        <f>DATE(YEAR(G830),MONTH(G830),1)</f>
        <v/>
      </c>
    </row>
    <row r="831">
      <c r="A831" t="inlineStr">
        <is>
          <t>SPO-00458-3</t>
        </is>
      </c>
      <c r="B831" t="inlineStr">
        <is>
          <t>SPO-00458</t>
        </is>
      </c>
      <c r="C831" t="inlineStr">
        <is>
          <t>SUP-02</t>
        </is>
      </c>
      <c r="D831" t="inlineStr">
        <is>
          <t>ELEC</t>
        </is>
      </c>
      <c r="E831" t="inlineStr">
        <is>
          <t>ELEC-01</t>
        </is>
      </c>
      <c r="F831" s="17" t="n">
        <v>45687</v>
      </c>
      <c r="G831" s="17" t="n">
        <v>45703</v>
      </c>
      <c r="H831" s="18" t="n">
        <v>88</v>
      </c>
      <c r="I831" s="19" t="n">
        <v>36.7</v>
      </c>
      <c r="J831" s="19" t="n">
        <v>38</v>
      </c>
      <c r="K831" s="20" t="n">
        <v>0</v>
      </c>
      <c r="L831" s="20" t="n">
        <v>0</v>
      </c>
      <c r="M831" s="18" t="n">
        <v>88</v>
      </c>
      <c r="N831" s="18" t="n">
        <v>88</v>
      </c>
      <c r="O831" s="18" t="n">
        <v>0</v>
      </c>
      <c r="P831" s="17" t="n">
        <v>45703</v>
      </c>
      <c r="Q831" s="17" t="n">
        <v>45703</v>
      </c>
      <c r="R831" s="17" t="n">
        <v>45703</v>
      </c>
      <c r="S831" s="19">
        <f>H831*I831</f>
        <v/>
      </c>
      <c r="T831" s="19">
        <f>H831*J831</f>
        <v/>
      </c>
      <c r="U831">
        <f>IF(AND(K831=0,G831&lt;=Assumptions!$C$6),1,0)</f>
        <v/>
      </c>
      <c r="V831">
        <f>IF(U831=1,IF(M831&gt;0,IF(P831&lt;=G831+Assumptions!$C$7,1,0),0),0)</f>
        <v/>
      </c>
      <c r="W831">
        <f>IF(AND(U831=1,M831&gt;=H831*(1-Assumptions!$C$8)),1,0)</f>
        <v/>
      </c>
      <c r="X831">
        <f>IF(AND(U831=1,N831&gt;=H831*(1-Assumptions!$C$8)),1,0)</f>
        <v/>
      </c>
      <c r="Y831">
        <f>IF(ISNUMBER(Q831),1,0)</f>
        <v/>
      </c>
      <c r="Z831">
        <f>IF(AND(K831=0,L831=0,Y831=0),1,0)</f>
        <v/>
      </c>
      <c r="AA831">
        <f>IF(AND(Z831=1,G831&lt;Assumptions!$C$6),1,0)</f>
        <v/>
      </c>
      <c r="AB831">
        <f>IF(U831=0,"",IF(Y831=1,MAX(0,Q831-G831),IF(L831=1,MAX(0,R831-G831),MAX(0,Assumptions!$C$6-G831))))</f>
        <v/>
      </c>
      <c r="AC831">
        <f>IF(Y831=1,Q831-F831,"")</f>
        <v/>
      </c>
      <c r="AD831">
        <f>IF(Y831=1,AC831^2,"")</f>
        <v/>
      </c>
      <c r="AE831" s="19">
        <f>IF(Z831=1,(H831-M831)*I831,0)</f>
        <v/>
      </c>
      <c r="AF831">
        <f>IF(G831&lt;EDATE(Assumptions!$C$6,-12)+1,"prior_12m","last_12m")</f>
        <v/>
      </c>
      <c r="AG831" s="21">
        <f>DATE(YEAR(G831),MONTH(G831),1)</f>
        <v/>
      </c>
    </row>
    <row r="832">
      <c r="A832" t="inlineStr">
        <is>
          <t>SPO-00459-1</t>
        </is>
      </c>
      <c r="B832" t="inlineStr">
        <is>
          <t>SPO-00459</t>
        </is>
      </c>
      <c r="C832" t="inlineStr">
        <is>
          <t>SUP-06</t>
        </is>
      </c>
      <c r="D832" t="inlineStr">
        <is>
          <t>MRO</t>
        </is>
      </c>
      <c r="E832" t="inlineStr">
        <is>
          <t>MRO-06</t>
        </is>
      </c>
      <c r="F832" s="17" t="n">
        <v>45687</v>
      </c>
      <c r="G832" s="17" t="n">
        <v>45695</v>
      </c>
      <c r="H832" s="18" t="n">
        <v>340</v>
      </c>
      <c r="I832" s="19" t="n">
        <v>5.81</v>
      </c>
      <c r="J832" s="19" t="n">
        <v>6.1</v>
      </c>
      <c r="K832" s="20" t="n">
        <v>0</v>
      </c>
      <c r="L832" s="20" t="n">
        <v>0</v>
      </c>
      <c r="M832" s="18" t="n">
        <v>340</v>
      </c>
      <c r="N832" s="18" t="n">
        <v>340</v>
      </c>
      <c r="O832" s="18" t="n">
        <v>0</v>
      </c>
      <c r="P832" s="17" t="n">
        <v>45693</v>
      </c>
      <c r="Q832" s="17" t="n">
        <v>45693</v>
      </c>
      <c r="R832" s="17" t="n">
        <v>45693</v>
      </c>
      <c r="S832" s="19">
        <f>H832*I832</f>
        <v/>
      </c>
      <c r="T832" s="19">
        <f>H832*J832</f>
        <v/>
      </c>
      <c r="U832">
        <f>IF(AND(K832=0,G832&lt;=Assumptions!$C$6),1,0)</f>
        <v/>
      </c>
      <c r="V832">
        <f>IF(U832=1,IF(M832&gt;0,IF(P832&lt;=G832+Assumptions!$C$7,1,0),0),0)</f>
        <v/>
      </c>
      <c r="W832">
        <f>IF(AND(U832=1,M832&gt;=H832*(1-Assumptions!$C$8)),1,0)</f>
        <v/>
      </c>
      <c r="X832">
        <f>IF(AND(U832=1,N832&gt;=H832*(1-Assumptions!$C$8)),1,0)</f>
        <v/>
      </c>
      <c r="Y832">
        <f>IF(ISNUMBER(Q832),1,0)</f>
        <v/>
      </c>
      <c r="Z832">
        <f>IF(AND(K832=0,L832=0,Y832=0),1,0)</f>
        <v/>
      </c>
      <c r="AA832">
        <f>IF(AND(Z832=1,G832&lt;Assumptions!$C$6),1,0)</f>
        <v/>
      </c>
      <c r="AB832">
        <f>IF(U832=0,"",IF(Y832=1,MAX(0,Q832-G832),IF(L832=1,MAX(0,R832-G832),MAX(0,Assumptions!$C$6-G832))))</f>
        <v/>
      </c>
      <c r="AC832">
        <f>IF(Y832=1,Q832-F832,"")</f>
        <v/>
      </c>
      <c r="AD832">
        <f>IF(Y832=1,AC832^2,"")</f>
        <v/>
      </c>
      <c r="AE832" s="19">
        <f>IF(Z832=1,(H832-M832)*I832,0)</f>
        <v/>
      </c>
      <c r="AF832">
        <f>IF(G832&lt;EDATE(Assumptions!$C$6,-12)+1,"prior_12m","last_12m")</f>
        <v/>
      </c>
      <c r="AG832" s="21">
        <f>DATE(YEAR(G832),MONTH(G832),1)</f>
        <v/>
      </c>
    </row>
    <row r="833">
      <c r="A833" t="inlineStr">
        <is>
          <t>SPO-00460-1</t>
        </is>
      </c>
      <c r="B833" t="inlineStr">
        <is>
          <t>SPO-00460</t>
        </is>
      </c>
      <c r="C833" t="inlineStr">
        <is>
          <t>SUP-04</t>
        </is>
      </c>
      <c r="D833" t="inlineStr">
        <is>
          <t>FLEET</t>
        </is>
      </c>
      <c r="E833" t="inlineStr">
        <is>
          <t>FLEET-01</t>
        </is>
      </c>
      <c r="F833" s="17" t="n">
        <v>45687</v>
      </c>
      <c r="G833" s="17" t="n">
        <v>45700</v>
      </c>
      <c r="H833" s="18" t="n">
        <v>15</v>
      </c>
      <c r="I833" s="19" t="n">
        <v>64.73</v>
      </c>
      <c r="J833" s="19" t="n">
        <v>64</v>
      </c>
      <c r="K833" s="20" t="n">
        <v>0</v>
      </c>
      <c r="L833" s="20" t="n">
        <v>0</v>
      </c>
      <c r="M833" s="18" t="n">
        <v>15</v>
      </c>
      <c r="N833" s="18" t="n">
        <v>15</v>
      </c>
      <c r="O833" s="18" t="n">
        <v>0</v>
      </c>
      <c r="P833" s="17" t="n">
        <v>45688</v>
      </c>
      <c r="Q833" s="17" t="n">
        <v>45688</v>
      </c>
      <c r="R833" s="17" t="n">
        <v>45688</v>
      </c>
      <c r="S833" s="19">
        <f>H833*I833</f>
        <v/>
      </c>
      <c r="T833" s="19">
        <f>H833*J833</f>
        <v/>
      </c>
      <c r="U833">
        <f>IF(AND(K833=0,G833&lt;=Assumptions!$C$6),1,0)</f>
        <v/>
      </c>
      <c r="V833">
        <f>IF(U833=1,IF(M833&gt;0,IF(P833&lt;=G833+Assumptions!$C$7,1,0),0),0)</f>
        <v/>
      </c>
      <c r="W833">
        <f>IF(AND(U833=1,M833&gt;=H833*(1-Assumptions!$C$8)),1,0)</f>
        <v/>
      </c>
      <c r="X833">
        <f>IF(AND(U833=1,N833&gt;=H833*(1-Assumptions!$C$8)),1,0)</f>
        <v/>
      </c>
      <c r="Y833">
        <f>IF(ISNUMBER(Q833),1,0)</f>
        <v/>
      </c>
      <c r="Z833">
        <f>IF(AND(K833=0,L833=0,Y833=0),1,0)</f>
        <v/>
      </c>
      <c r="AA833">
        <f>IF(AND(Z833=1,G833&lt;Assumptions!$C$6),1,0)</f>
        <v/>
      </c>
      <c r="AB833">
        <f>IF(U833=0,"",IF(Y833=1,MAX(0,Q833-G833),IF(L833=1,MAX(0,R833-G833),MAX(0,Assumptions!$C$6-G833))))</f>
        <v/>
      </c>
      <c r="AC833">
        <f>IF(Y833=1,Q833-F833,"")</f>
        <v/>
      </c>
      <c r="AD833">
        <f>IF(Y833=1,AC833^2,"")</f>
        <v/>
      </c>
      <c r="AE833" s="19">
        <f>IF(Z833=1,(H833-M833)*I833,0)</f>
        <v/>
      </c>
      <c r="AF833">
        <f>IF(G833&lt;EDATE(Assumptions!$C$6,-12)+1,"prior_12m","last_12m")</f>
        <v/>
      </c>
      <c r="AG833" s="21">
        <f>DATE(YEAR(G833),MONTH(G833),1)</f>
        <v/>
      </c>
    </row>
    <row r="834">
      <c r="A834" t="inlineStr">
        <is>
          <t>SPO-00460-2</t>
        </is>
      </c>
      <c r="B834" t="inlineStr">
        <is>
          <t>SPO-00460</t>
        </is>
      </c>
      <c r="C834" t="inlineStr">
        <is>
          <t>SUP-04</t>
        </is>
      </c>
      <c r="D834" t="inlineStr">
        <is>
          <t>FLEET</t>
        </is>
      </c>
      <c r="E834" t="inlineStr">
        <is>
          <t>FLEET-05</t>
        </is>
      </c>
      <c r="F834" s="17" t="n">
        <v>45687</v>
      </c>
      <c r="G834" s="17" t="n">
        <v>45700</v>
      </c>
      <c r="H834" s="18" t="n">
        <v>7</v>
      </c>
      <c r="I834" s="19" t="n">
        <v>170.35</v>
      </c>
      <c r="J834" s="19" t="n">
        <v>168</v>
      </c>
      <c r="K834" s="20" t="n">
        <v>0</v>
      </c>
      <c r="L834" s="20" t="n">
        <v>0</v>
      </c>
      <c r="M834" s="18" t="n">
        <v>7</v>
      </c>
      <c r="N834" s="18" t="n">
        <v>5</v>
      </c>
      <c r="O834" s="18" t="n">
        <v>0</v>
      </c>
      <c r="P834" s="17" t="n">
        <v>45691</v>
      </c>
      <c r="Q834" s="17" t="n">
        <v>45706</v>
      </c>
      <c r="R834" s="17" t="n">
        <v>45706</v>
      </c>
      <c r="S834" s="19">
        <f>H834*I834</f>
        <v/>
      </c>
      <c r="T834" s="19">
        <f>H834*J834</f>
        <v/>
      </c>
      <c r="U834">
        <f>IF(AND(K834=0,G834&lt;=Assumptions!$C$6),1,0)</f>
        <v/>
      </c>
      <c r="V834">
        <f>IF(U834=1,IF(M834&gt;0,IF(P834&lt;=G834+Assumptions!$C$7,1,0),0),0)</f>
        <v/>
      </c>
      <c r="W834">
        <f>IF(AND(U834=1,M834&gt;=H834*(1-Assumptions!$C$8)),1,0)</f>
        <v/>
      </c>
      <c r="X834">
        <f>IF(AND(U834=1,N834&gt;=H834*(1-Assumptions!$C$8)),1,0)</f>
        <v/>
      </c>
      <c r="Y834">
        <f>IF(ISNUMBER(Q834),1,0)</f>
        <v/>
      </c>
      <c r="Z834">
        <f>IF(AND(K834=0,L834=0,Y834=0),1,0)</f>
        <v/>
      </c>
      <c r="AA834">
        <f>IF(AND(Z834=1,G834&lt;Assumptions!$C$6),1,0)</f>
        <v/>
      </c>
      <c r="AB834">
        <f>IF(U834=0,"",IF(Y834=1,MAX(0,Q834-G834),IF(L834=1,MAX(0,R834-G834),MAX(0,Assumptions!$C$6-G834))))</f>
        <v/>
      </c>
      <c r="AC834">
        <f>IF(Y834=1,Q834-F834,"")</f>
        <v/>
      </c>
      <c r="AD834">
        <f>IF(Y834=1,AC834^2,"")</f>
        <v/>
      </c>
      <c r="AE834" s="19">
        <f>IF(Z834=1,(H834-M834)*I834,0)</f>
        <v/>
      </c>
      <c r="AF834">
        <f>IF(G834&lt;EDATE(Assumptions!$C$6,-12)+1,"prior_12m","last_12m")</f>
        <v/>
      </c>
      <c r="AG834" s="21">
        <f>DATE(YEAR(G834),MONTH(G834),1)</f>
        <v/>
      </c>
    </row>
    <row r="835">
      <c r="A835" t="inlineStr">
        <is>
          <t>SPO-00461-1</t>
        </is>
      </c>
      <c r="B835" t="inlineStr">
        <is>
          <t>SPO-00461</t>
        </is>
      </c>
      <c r="C835" t="inlineStr">
        <is>
          <t>SUP-09</t>
        </is>
      </c>
      <c r="D835" t="inlineStr">
        <is>
          <t>CHEM</t>
        </is>
      </c>
      <c r="E835" t="inlineStr">
        <is>
          <t>CHEM-02</t>
        </is>
      </c>
      <c r="F835" s="17" t="n">
        <v>45688</v>
      </c>
      <c r="G835" s="17" t="n">
        <v>45702</v>
      </c>
      <c r="H835" s="18" t="n">
        <v>7</v>
      </c>
      <c r="I835" s="19" t="n">
        <v>412.6</v>
      </c>
      <c r="J835" s="19" t="n">
        <v>410</v>
      </c>
      <c r="K835" s="20" t="n">
        <v>0</v>
      </c>
      <c r="L835" s="20" t="n">
        <v>0</v>
      </c>
      <c r="M835" s="18" t="n">
        <v>7</v>
      </c>
      <c r="N835" s="18" t="n">
        <v>7</v>
      </c>
      <c r="O835" s="18" t="n">
        <v>0</v>
      </c>
      <c r="P835" s="17" t="n">
        <v>45697</v>
      </c>
      <c r="Q835" s="17" t="n">
        <v>45697</v>
      </c>
      <c r="R835" s="17" t="n">
        <v>45697</v>
      </c>
      <c r="S835" s="19">
        <f>H835*I835</f>
        <v/>
      </c>
      <c r="T835" s="19">
        <f>H835*J835</f>
        <v/>
      </c>
      <c r="U835">
        <f>IF(AND(K835=0,G835&lt;=Assumptions!$C$6),1,0)</f>
        <v/>
      </c>
      <c r="V835">
        <f>IF(U835=1,IF(M835&gt;0,IF(P835&lt;=G835+Assumptions!$C$7,1,0),0),0)</f>
        <v/>
      </c>
      <c r="W835">
        <f>IF(AND(U835=1,M835&gt;=H835*(1-Assumptions!$C$8)),1,0)</f>
        <v/>
      </c>
      <c r="X835">
        <f>IF(AND(U835=1,N835&gt;=H835*(1-Assumptions!$C$8)),1,0)</f>
        <v/>
      </c>
      <c r="Y835">
        <f>IF(ISNUMBER(Q835),1,0)</f>
        <v/>
      </c>
      <c r="Z835">
        <f>IF(AND(K835=0,L835=0,Y835=0),1,0)</f>
        <v/>
      </c>
      <c r="AA835">
        <f>IF(AND(Z835=1,G835&lt;Assumptions!$C$6),1,0)</f>
        <v/>
      </c>
      <c r="AB835">
        <f>IF(U835=0,"",IF(Y835=1,MAX(0,Q835-G835),IF(L835=1,MAX(0,R835-G835),MAX(0,Assumptions!$C$6-G835))))</f>
        <v/>
      </c>
      <c r="AC835">
        <f>IF(Y835=1,Q835-F835,"")</f>
        <v/>
      </c>
      <c r="AD835">
        <f>IF(Y835=1,AC835^2,"")</f>
        <v/>
      </c>
      <c r="AE835" s="19">
        <f>IF(Z835=1,(H835-M835)*I835,0)</f>
        <v/>
      </c>
      <c r="AF835">
        <f>IF(G835&lt;EDATE(Assumptions!$C$6,-12)+1,"prior_12m","last_12m")</f>
        <v/>
      </c>
      <c r="AG835" s="21">
        <f>DATE(YEAR(G835),MONTH(G835),1)</f>
        <v/>
      </c>
    </row>
    <row r="836">
      <c r="A836" t="inlineStr">
        <is>
          <t>SPO-00462-1</t>
        </is>
      </c>
      <c r="B836" t="inlineStr">
        <is>
          <t>SPO-00462</t>
        </is>
      </c>
      <c r="C836" t="inlineStr">
        <is>
          <t>SUP-06</t>
        </is>
      </c>
      <c r="D836" t="inlineStr">
        <is>
          <t>MRO</t>
        </is>
      </c>
      <c r="E836" t="inlineStr">
        <is>
          <t>MRO-04</t>
        </is>
      </c>
      <c r="F836" s="17" t="n">
        <v>45688</v>
      </c>
      <c r="G836" s="17" t="n">
        <v>45696</v>
      </c>
      <c r="H836" s="18" t="n">
        <v>26</v>
      </c>
      <c r="I836" s="19" t="n">
        <v>59.04</v>
      </c>
      <c r="J836" s="19" t="n">
        <v>58</v>
      </c>
      <c r="K836" s="20" t="n">
        <v>0</v>
      </c>
      <c r="L836" s="20" t="n">
        <v>0</v>
      </c>
      <c r="M836" s="18" t="n">
        <v>26</v>
      </c>
      <c r="N836" s="18" t="n">
        <v>26</v>
      </c>
      <c r="O836" s="18" t="n">
        <v>0</v>
      </c>
      <c r="P836" s="17" t="n">
        <v>45694</v>
      </c>
      <c r="Q836" s="17" t="n">
        <v>45694</v>
      </c>
      <c r="R836" s="17" t="n">
        <v>45694</v>
      </c>
      <c r="S836" s="19">
        <f>H836*I836</f>
        <v/>
      </c>
      <c r="T836" s="19">
        <f>H836*J836</f>
        <v/>
      </c>
      <c r="U836">
        <f>IF(AND(K836=0,G836&lt;=Assumptions!$C$6),1,0)</f>
        <v/>
      </c>
      <c r="V836">
        <f>IF(U836=1,IF(M836&gt;0,IF(P836&lt;=G836+Assumptions!$C$7,1,0),0),0)</f>
        <v/>
      </c>
      <c r="W836">
        <f>IF(AND(U836=1,M836&gt;=H836*(1-Assumptions!$C$8)),1,0)</f>
        <v/>
      </c>
      <c r="X836">
        <f>IF(AND(U836=1,N836&gt;=H836*(1-Assumptions!$C$8)),1,0)</f>
        <v/>
      </c>
      <c r="Y836">
        <f>IF(ISNUMBER(Q836),1,0)</f>
        <v/>
      </c>
      <c r="Z836">
        <f>IF(AND(K836=0,L836=0,Y836=0),1,0)</f>
        <v/>
      </c>
      <c r="AA836">
        <f>IF(AND(Z836=1,G836&lt;Assumptions!$C$6),1,0)</f>
        <v/>
      </c>
      <c r="AB836">
        <f>IF(U836=0,"",IF(Y836=1,MAX(0,Q836-G836),IF(L836=1,MAX(0,R836-G836),MAX(0,Assumptions!$C$6-G836))))</f>
        <v/>
      </c>
      <c r="AC836">
        <f>IF(Y836=1,Q836-F836,"")</f>
        <v/>
      </c>
      <c r="AD836">
        <f>IF(Y836=1,AC836^2,"")</f>
        <v/>
      </c>
      <c r="AE836" s="19">
        <f>IF(Z836=1,(H836-M836)*I836,0)</f>
        <v/>
      </c>
      <c r="AF836">
        <f>IF(G836&lt;EDATE(Assumptions!$C$6,-12)+1,"prior_12m","last_12m")</f>
        <v/>
      </c>
      <c r="AG836" s="21">
        <f>DATE(YEAR(G836),MONTH(G836),1)</f>
        <v/>
      </c>
    </row>
    <row r="837">
      <c r="A837" t="inlineStr">
        <is>
          <t>SPO-00463-1</t>
        </is>
      </c>
      <c r="B837" t="inlineStr">
        <is>
          <t>SPO-00463</t>
        </is>
      </c>
      <c r="C837" t="inlineStr">
        <is>
          <t>SUP-06</t>
        </is>
      </c>
      <c r="D837" t="inlineStr">
        <is>
          <t>MRO</t>
        </is>
      </c>
      <c r="E837" t="inlineStr">
        <is>
          <t>MRO-01</t>
        </is>
      </c>
      <c r="F837" s="17" t="n">
        <v>45688</v>
      </c>
      <c r="G837" s="17" t="n">
        <v>45696</v>
      </c>
      <c r="H837" s="18" t="n">
        <v>13</v>
      </c>
      <c r="I837" s="19" t="n">
        <v>54.6</v>
      </c>
      <c r="J837" s="19" t="n">
        <v>52</v>
      </c>
      <c r="K837" s="20" t="n">
        <v>0</v>
      </c>
      <c r="L837" s="20" t="n">
        <v>0</v>
      </c>
      <c r="M837" s="18" t="n">
        <v>13</v>
      </c>
      <c r="N837" s="18" t="n">
        <v>13</v>
      </c>
      <c r="O837" s="18" t="n">
        <v>0</v>
      </c>
      <c r="P837" s="17" t="n">
        <v>45693</v>
      </c>
      <c r="Q837" s="17" t="n">
        <v>45693</v>
      </c>
      <c r="R837" s="17" t="n">
        <v>45693</v>
      </c>
      <c r="S837" s="19">
        <f>H837*I837</f>
        <v/>
      </c>
      <c r="T837" s="19">
        <f>H837*J837</f>
        <v/>
      </c>
      <c r="U837">
        <f>IF(AND(K837=0,G837&lt;=Assumptions!$C$6),1,0)</f>
        <v/>
      </c>
      <c r="V837">
        <f>IF(U837=1,IF(M837&gt;0,IF(P837&lt;=G837+Assumptions!$C$7,1,0),0),0)</f>
        <v/>
      </c>
      <c r="W837">
        <f>IF(AND(U837=1,M837&gt;=H837*(1-Assumptions!$C$8)),1,0)</f>
        <v/>
      </c>
      <c r="X837">
        <f>IF(AND(U837=1,N837&gt;=H837*(1-Assumptions!$C$8)),1,0)</f>
        <v/>
      </c>
      <c r="Y837">
        <f>IF(ISNUMBER(Q837),1,0)</f>
        <v/>
      </c>
      <c r="Z837">
        <f>IF(AND(K837=0,L837=0,Y837=0),1,0)</f>
        <v/>
      </c>
      <c r="AA837">
        <f>IF(AND(Z837=1,G837&lt;Assumptions!$C$6),1,0)</f>
        <v/>
      </c>
      <c r="AB837">
        <f>IF(U837=0,"",IF(Y837=1,MAX(0,Q837-G837),IF(L837=1,MAX(0,R837-G837),MAX(0,Assumptions!$C$6-G837))))</f>
        <v/>
      </c>
      <c r="AC837">
        <f>IF(Y837=1,Q837-F837,"")</f>
        <v/>
      </c>
      <c r="AD837">
        <f>IF(Y837=1,AC837^2,"")</f>
        <v/>
      </c>
      <c r="AE837" s="19">
        <f>IF(Z837=1,(H837-M837)*I837,0)</f>
        <v/>
      </c>
      <c r="AF837">
        <f>IF(G837&lt;EDATE(Assumptions!$C$6,-12)+1,"prior_12m","last_12m")</f>
        <v/>
      </c>
      <c r="AG837" s="21">
        <f>DATE(YEAR(G837),MONTH(G837),1)</f>
        <v/>
      </c>
    </row>
    <row r="838">
      <c r="A838" t="inlineStr">
        <is>
          <t>SPO-00464-1</t>
        </is>
      </c>
      <c r="B838" t="inlineStr">
        <is>
          <t>SPO-00464</t>
        </is>
      </c>
      <c r="C838" t="inlineStr">
        <is>
          <t>SUP-06</t>
        </is>
      </c>
      <c r="D838" t="inlineStr">
        <is>
          <t>MRO</t>
        </is>
      </c>
      <c r="E838" t="inlineStr">
        <is>
          <t>MRO-01</t>
        </is>
      </c>
      <c r="F838" s="17" t="n">
        <v>45688</v>
      </c>
      <c r="G838" s="17" t="n">
        <v>45696</v>
      </c>
      <c r="H838" s="18" t="n">
        <v>31</v>
      </c>
      <c r="I838" s="19" t="n">
        <v>50.28</v>
      </c>
      <c r="J838" s="19" t="n">
        <v>52</v>
      </c>
      <c r="K838" s="20" t="n">
        <v>0</v>
      </c>
      <c r="L838" s="20" t="n">
        <v>0</v>
      </c>
      <c r="M838" s="18" t="n">
        <v>31</v>
      </c>
      <c r="N838" s="18" t="n">
        <v>31</v>
      </c>
      <c r="O838" s="18" t="n">
        <v>0</v>
      </c>
      <c r="P838" s="17" t="n">
        <v>45694</v>
      </c>
      <c r="Q838" s="17" t="n">
        <v>45694</v>
      </c>
      <c r="R838" s="17" t="n">
        <v>45694</v>
      </c>
      <c r="S838" s="19">
        <f>H838*I838</f>
        <v/>
      </c>
      <c r="T838" s="19">
        <f>H838*J838</f>
        <v/>
      </c>
      <c r="U838">
        <f>IF(AND(K838=0,G838&lt;=Assumptions!$C$6),1,0)</f>
        <v/>
      </c>
      <c r="V838">
        <f>IF(U838=1,IF(M838&gt;0,IF(P838&lt;=G838+Assumptions!$C$7,1,0),0),0)</f>
        <v/>
      </c>
      <c r="W838">
        <f>IF(AND(U838=1,M838&gt;=H838*(1-Assumptions!$C$8)),1,0)</f>
        <v/>
      </c>
      <c r="X838">
        <f>IF(AND(U838=1,N838&gt;=H838*(1-Assumptions!$C$8)),1,0)</f>
        <v/>
      </c>
      <c r="Y838">
        <f>IF(ISNUMBER(Q838),1,0)</f>
        <v/>
      </c>
      <c r="Z838">
        <f>IF(AND(K838=0,L838=0,Y838=0),1,0)</f>
        <v/>
      </c>
      <c r="AA838">
        <f>IF(AND(Z838=1,G838&lt;Assumptions!$C$6),1,0)</f>
        <v/>
      </c>
      <c r="AB838">
        <f>IF(U838=0,"",IF(Y838=1,MAX(0,Q838-G838),IF(L838=1,MAX(0,R838-G838),MAX(0,Assumptions!$C$6-G838))))</f>
        <v/>
      </c>
      <c r="AC838">
        <f>IF(Y838=1,Q838-F838,"")</f>
        <v/>
      </c>
      <c r="AD838">
        <f>IF(Y838=1,AC838^2,"")</f>
        <v/>
      </c>
      <c r="AE838" s="19">
        <f>IF(Z838=1,(H838-M838)*I838,0)</f>
        <v/>
      </c>
      <c r="AF838">
        <f>IF(G838&lt;EDATE(Assumptions!$C$6,-12)+1,"prior_12m","last_12m")</f>
        <v/>
      </c>
      <c r="AG838" s="21">
        <f>DATE(YEAR(G838),MONTH(G838),1)</f>
        <v/>
      </c>
    </row>
    <row r="839">
      <c r="A839" t="inlineStr">
        <is>
          <t>SPO-00465-1</t>
        </is>
      </c>
      <c r="B839" t="inlineStr">
        <is>
          <t>SPO-00465</t>
        </is>
      </c>
      <c r="C839" t="inlineStr">
        <is>
          <t>SUP-04</t>
        </is>
      </c>
      <c r="D839" t="inlineStr">
        <is>
          <t>FLEET</t>
        </is>
      </c>
      <c r="E839" t="inlineStr">
        <is>
          <t>FLEET-05</t>
        </is>
      </c>
      <c r="F839" s="17" t="n">
        <v>45688</v>
      </c>
      <c r="G839" s="17" t="n">
        <v>45701</v>
      </c>
      <c r="H839" s="18" t="n">
        <v>6</v>
      </c>
      <c r="I839" s="19" t="n">
        <v>171.55</v>
      </c>
      <c r="J839" s="19" t="n">
        <v>168</v>
      </c>
      <c r="K839" s="20" t="n">
        <v>0</v>
      </c>
      <c r="L839" s="20" t="n">
        <v>0</v>
      </c>
      <c r="M839" s="18" t="n">
        <v>6</v>
      </c>
      <c r="N839" s="18" t="n">
        <v>6</v>
      </c>
      <c r="O839" s="18" t="n">
        <v>0</v>
      </c>
      <c r="P839" s="17" t="n">
        <v>45697</v>
      </c>
      <c r="Q839" s="17" t="n">
        <v>45697</v>
      </c>
      <c r="R839" s="17" t="n">
        <v>45697</v>
      </c>
      <c r="S839" s="19">
        <f>H839*I839</f>
        <v/>
      </c>
      <c r="T839" s="19">
        <f>H839*J839</f>
        <v/>
      </c>
      <c r="U839">
        <f>IF(AND(K839=0,G839&lt;=Assumptions!$C$6),1,0)</f>
        <v/>
      </c>
      <c r="V839">
        <f>IF(U839=1,IF(M839&gt;0,IF(P839&lt;=G839+Assumptions!$C$7,1,0),0),0)</f>
        <v/>
      </c>
      <c r="W839">
        <f>IF(AND(U839=1,M839&gt;=H839*(1-Assumptions!$C$8)),1,0)</f>
        <v/>
      </c>
      <c r="X839">
        <f>IF(AND(U839=1,N839&gt;=H839*(1-Assumptions!$C$8)),1,0)</f>
        <v/>
      </c>
      <c r="Y839">
        <f>IF(ISNUMBER(Q839),1,0)</f>
        <v/>
      </c>
      <c r="Z839">
        <f>IF(AND(K839=0,L839=0,Y839=0),1,0)</f>
        <v/>
      </c>
      <c r="AA839">
        <f>IF(AND(Z839=1,G839&lt;Assumptions!$C$6),1,0)</f>
        <v/>
      </c>
      <c r="AB839">
        <f>IF(U839=0,"",IF(Y839=1,MAX(0,Q839-G839),IF(L839=1,MAX(0,R839-G839),MAX(0,Assumptions!$C$6-G839))))</f>
        <v/>
      </c>
      <c r="AC839">
        <f>IF(Y839=1,Q839-F839,"")</f>
        <v/>
      </c>
      <c r="AD839">
        <f>IF(Y839=1,AC839^2,"")</f>
        <v/>
      </c>
      <c r="AE839" s="19">
        <f>IF(Z839=1,(H839-M839)*I839,0)</f>
        <v/>
      </c>
      <c r="AF839">
        <f>IF(G839&lt;EDATE(Assumptions!$C$6,-12)+1,"prior_12m","last_12m")</f>
        <v/>
      </c>
      <c r="AG839" s="21">
        <f>DATE(YEAR(G839),MONTH(G839),1)</f>
        <v/>
      </c>
    </row>
    <row r="840">
      <c r="A840" t="inlineStr">
        <is>
          <t>SPO-00465-2</t>
        </is>
      </c>
      <c r="B840" t="inlineStr">
        <is>
          <t>SPO-00465</t>
        </is>
      </c>
      <c r="C840" t="inlineStr">
        <is>
          <t>SUP-04</t>
        </is>
      </c>
      <c r="D840" t="inlineStr">
        <is>
          <t>FLEET</t>
        </is>
      </c>
      <c r="E840" t="inlineStr">
        <is>
          <t>FLEET-07</t>
        </is>
      </c>
      <c r="F840" s="17" t="n">
        <v>45688</v>
      </c>
      <c r="G840" s="17" t="n">
        <v>45701</v>
      </c>
      <c r="H840" s="18" t="n">
        <v>17</v>
      </c>
      <c r="I840" s="19" t="n">
        <v>116.2</v>
      </c>
      <c r="J840" s="19" t="n">
        <v>118</v>
      </c>
      <c r="K840" s="20" t="n">
        <v>0</v>
      </c>
      <c r="L840" s="20" t="n">
        <v>0</v>
      </c>
      <c r="M840" s="18" t="n">
        <v>17</v>
      </c>
      <c r="N840" s="18" t="n">
        <v>17</v>
      </c>
      <c r="O840" s="18" t="n">
        <v>0</v>
      </c>
      <c r="P840" s="17" t="n">
        <v>45694</v>
      </c>
      <c r="Q840" s="17" t="n">
        <v>45694</v>
      </c>
      <c r="R840" s="17" t="n">
        <v>45694</v>
      </c>
      <c r="S840" s="19">
        <f>H840*I840</f>
        <v/>
      </c>
      <c r="T840" s="19">
        <f>H840*J840</f>
        <v/>
      </c>
      <c r="U840">
        <f>IF(AND(K840=0,G840&lt;=Assumptions!$C$6),1,0)</f>
        <v/>
      </c>
      <c r="V840">
        <f>IF(U840=1,IF(M840&gt;0,IF(P840&lt;=G840+Assumptions!$C$7,1,0),0),0)</f>
        <v/>
      </c>
      <c r="W840">
        <f>IF(AND(U840=1,M840&gt;=H840*(1-Assumptions!$C$8)),1,0)</f>
        <v/>
      </c>
      <c r="X840">
        <f>IF(AND(U840=1,N840&gt;=H840*(1-Assumptions!$C$8)),1,0)</f>
        <v/>
      </c>
      <c r="Y840">
        <f>IF(ISNUMBER(Q840),1,0)</f>
        <v/>
      </c>
      <c r="Z840">
        <f>IF(AND(K840=0,L840=0,Y840=0),1,0)</f>
        <v/>
      </c>
      <c r="AA840">
        <f>IF(AND(Z840=1,G840&lt;Assumptions!$C$6),1,0)</f>
        <v/>
      </c>
      <c r="AB840">
        <f>IF(U840=0,"",IF(Y840=1,MAX(0,Q840-G840),IF(L840=1,MAX(0,R840-G840),MAX(0,Assumptions!$C$6-G840))))</f>
        <v/>
      </c>
      <c r="AC840">
        <f>IF(Y840=1,Q840-F840,"")</f>
        <v/>
      </c>
      <c r="AD840">
        <f>IF(Y840=1,AC840^2,"")</f>
        <v/>
      </c>
      <c r="AE840" s="19">
        <f>IF(Z840=1,(H840-M840)*I840,0)</f>
        <v/>
      </c>
      <c r="AF840">
        <f>IF(G840&lt;EDATE(Assumptions!$C$6,-12)+1,"prior_12m","last_12m")</f>
        <v/>
      </c>
      <c r="AG840" s="21">
        <f>DATE(YEAR(G840),MONTH(G840),1)</f>
        <v/>
      </c>
    </row>
    <row r="841">
      <c r="A841" t="inlineStr">
        <is>
          <t>SPO-00465-3</t>
        </is>
      </c>
      <c r="B841" t="inlineStr">
        <is>
          <t>SPO-00465</t>
        </is>
      </c>
      <c r="C841" t="inlineStr">
        <is>
          <t>SUP-04</t>
        </is>
      </c>
      <c r="D841" t="inlineStr">
        <is>
          <t>FLEET</t>
        </is>
      </c>
      <c r="E841" t="inlineStr">
        <is>
          <t>FLEET-03</t>
        </is>
      </c>
      <c r="F841" s="17" t="n">
        <v>45688</v>
      </c>
      <c r="G841" s="17" t="n">
        <v>45701</v>
      </c>
      <c r="H841" s="18" t="n">
        <v>54</v>
      </c>
      <c r="I841" s="19" t="n">
        <v>19.94</v>
      </c>
      <c r="J841" s="19" t="n">
        <v>21</v>
      </c>
      <c r="K841" s="20" t="n">
        <v>0</v>
      </c>
      <c r="L841" s="20" t="n">
        <v>0</v>
      </c>
      <c r="M841" s="18" t="n">
        <v>54</v>
      </c>
      <c r="N841" s="18" t="n">
        <v>0</v>
      </c>
      <c r="O841" s="18" t="n">
        <v>0</v>
      </c>
      <c r="P841" s="17" t="n">
        <v>45702</v>
      </c>
      <c r="Q841" s="17" t="n">
        <v>45702</v>
      </c>
      <c r="R841" s="17" t="n">
        <v>45702</v>
      </c>
      <c r="S841" s="19">
        <f>H841*I841</f>
        <v/>
      </c>
      <c r="T841" s="19">
        <f>H841*J841</f>
        <v/>
      </c>
      <c r="U841">
        <f>IF(AND(K841=0,G841&lt;=Assumptions!$C$6),1,0)</f>
        <v/>
      </c>
      <c r="V841">
        <f>IF(U841=1,IF(M841&gt;0,IF(P841&lt;=G841+Assumptions!$C$7,1,0),0),0)</f>
        <v/>
      </c>
      <c r="W841">
        <f>IF(AND(U841=1,M841&gt;=H841*(1-Assumptions!$C$8)),1,0)</f>
        <v/>
      </c>
      <c r="X841">
        <f>IF(AND(U841=1,N841&gt;=H841*(1-Assumptions!$C$8)),1,0)</f>
        <v/>
      </c>
      <c r="Y841">
        <f>IF(ISNUMBER(Q841),1,0)</f>
        <v/>
      </c>
      <c r="Z841">
        <f>IF(AND(K841=0,L841=0,Y841=0),1,0)</f>
        <v/>
      </c>
      <c r="AA841">
        <f>IF(AND(Z841=1,G841&lt;Assumptions!$C$6),1,0)</f>
        <v/>
      </c>
      <c r="AB841">
        <f>IF(U841=0,"",IF(Y841=1,MAX(0,Q841-G841),IF(L841=1,MAX(0,R841-G841),MAX(0,Assumptions!$C$6-G841))))</f>
        <v/>
      </c>
      <c r="AC841">
        <f>IF(Y841=1,Q841-F841,"")</f>
        <v/>
      </c>
      <c r="AD841">
        <f>IF(Y841=1,AC841^2,"")</f>
        <v/>
      </c>
      <c r="AE841" s="19">
        <f>IF(Z841=1,(H841-M841)*I841,0)</f>
        <v/>
      </c>
      <c r="AF841">
        <f>IF(G841&lt;EDATE(Assumptions!$C$6,-12)+1,"prior_12m","last_12m")</f>
        <v/>
      </c>
      <c r="AG841" s="21">
        <f>DATE(YEAR(G841),MONTH(G841),1)</f>
        <v/>
      </c>
    </row>
    <row r="842">
      <c r="A842" t="inlineStr">
        <is>
          <t>SPO-00466-1</t>
        </is>
      </c>
      <c r="B842" t="inlineStr">
        <is>
          <t>SPO-00466</t>
        </is>
      </c>
      <c r="C842" t="inlineStr">
        <is>
          <t>SUP-01</t>
        </is>
      </c>
      <c r="D842" t="inlineStr">
        <is>
          <t>ELEC</t>
        </is>
      </c>
      <c r="E842" t="inlineStr">
        <is>
          <t>ELEC-03</t>
        </is>
      </c>
      <c r="F842" s="17" t="n">
        <v>45689</v>
      </c>
      <c r="G842" s="17" t="n">
        <v>45707</v>
      </c>
      <c r="H842" s="18" t="n">
        <v>21</v>
      </c>
      <c r="I842" s="19" t="n">
        <v>94.25</v>
      </c>
      <c r="J842" s="19" t="n">
        <v>96</v>
      </c>
      <c r="K842" s="20" t="n">
        <v>0</v>
      </c>
      <c r="L842" s="20" t="n">
        <v>0</v>
      </c>
      <c r="M842" s="18" t="n">
        <v>21</v>
      </c>
      <c r="N842" s="18" t="n">
        <v>21</v>
      </c>
      <c r="O842" s="18" t="n">
        <v>0</v>
      </c>
      <c r="P842" s="17" t="n">
        <v>45705</v>
      </c>
      <c r="Q842" s="17" t="n">
        <v>45705</v>
      </c>
      <c r="R842" s="17" t="n">
        <v>45705</v>
      </c>
      <c r="S842" s="19">
        <f>H842*I842</f>
        <v/>
      </c>
      <c r="T842" s="19">
        <f>H842*J842</f>
        <v/>
      </c>
      <c r="U842">
        <f>IF(AND(K842=0,G842&lt;=Assumptions!$C$6),1,0)</f>
        <v/>
      </c>
      <c r="V842">
        <f>IF(U842=1,IF(M842&gt;0,IF(P842&lt;=G842+Assumptions!$C$7,1,0),0),0)</f>
        <v/>
      </c>
      <c r="W842">
        <f>IF(AND(U842=1,M842&gt;=H842*(1-Assumptions!$C$8)),1,0)</f>
        <v/>
      </c>
      <c r="X842">
        <f>IF(AND(U842=1,N842&gt;=H842*(1-Assumptions!$C$8)),1,0)</f>
        <v/>
      </c>
      <c r="Y842">
        <f>IF(ISNUMBER(Q842),1,0)</f>
        <v/>
      </c>
      <c r="Z842">
        <f>IF(AND(K842=0,L842=0,Y842=0),1,0)</f>
        <v/>
      </c>
      <c r="AA842">
        <f>IF(AND(Z842=1,G842&lt;Assumptions!$C$6),1,0)</f>
        <v/>
      </c>
      <c r="AB842">
        <f>IF(U842=0,"",IF(Y842=1,MAX(0,Q842-G842),IF(L842=1,MAX(0,R842-G842),MAX(0,Assumptions!$C$6-G842))))</f>
        <v/>
      </c>
      <c r="AC842">
        <f>IF(Y842=1,Q842-F842,"")</f>
        <v/>
      </c>
      <c r="AD842">
        <f>IF(Y842=1,AC842^2,"")</f>
        <v/>
      </c>
      <c r="AE842" s="19">
        <f>IF(Z842=1,(H842-M842)*I842,0)</f>
        <v/>
      </c>
      <c r="AF842">
        <f>IF(G842&lt;EDATE(Assumptions!$C$6,-12)+1,"prior_12m","last_12m")</f>
        <v/>
      </c>
      <c r="AG842" s="21">
        <f>DATE(YEAR(G842),MONTH(G842),1)</f>
        <v/>
      </c>
    </row>
    <row r="843">
      <c r="A843" t="inlineStr">
        <is>
          <t>SPO-00466-2</t>
        </is>
      </c>
      <c r="B843" t="inlineStr">
        <is>
          <t>SPO-00466</t>
        </is>
      </c>
      <c r="C843" t="inlineStr">
        <is>
          <t>SUP-01</t>
        </is>
      </c>
      <c r="D843" t="inlineStr">
        <is>
          <t>ELEC</t>
        </is>
      </c>
      <c r="E843" t="inlineStr">
        <is>
          <t>ELEC-02</t>
        </is>
      </c>
      <c r="F843" s="17" t="n">
        <v>45689</v>
      </c>
      <c r="G843" s="17" t="n">
        <v>45707</v>
      </c>
      <c r="H843" s="18" t="n">
        <v>422</v>
      </c>
      <c r="I843" s="19" t="n">
        <v>4.05</v>
      </c>
      <c r="J843" s="19" t="n">
        <v>4.2</v>
      </c>
      <c r="K843" s="20" t="n">
        <v>0</v>
      </c>
      <c r="L843" s="20" t="n">
        <v>0</v>
      </c>
      <c r="M843" s="18" t="n">
        <v>422</v>
      </c>
      <c r="N843" s="18" t="n">
        <v>422</v>
      </c>
      <c r="O843" s="18" t="n">
        <v>0</v>
      </c>
      <c r="P843" s="17" t="n">
        <v>45705</v>
      </c>
      <c r="Q843" s="17" t="n">
        <v>45705</v>
      </c>
      <c r="R843" s="17" t="n">
        <v>45705</v>
      </c>
      <c r="S843" s="19">
        <f>H843*I843</f>
        <v/>
      </c>
      <c r="T843" s="19">
        <f>H843*J843</f>
        <v/>
      </c>
      <c r="U843">
        <f>IF(AND(K843=0,G843&lt;=Assumptions!$C$6),1,0)</f>
        <v/>
      </c>
      <c r="V843">
        <f>IF(U843=1,IF(M843&gt;0,IF(P843&lt;=G843+Assumptions!$C$7,1,0),0),0)</f>
        <v/>
      </c>
      <c r="W843">
        <f>IF(AND(U843=1,M843&gt;=H843*(1-Assumptions!$C$8)),1,0)</f>
        <v/>
      </c>
      <c r="X843">
        <f>IF(AND(U843=1,N843&gt;=H843*(1-Assumptions!$C$8)),1,0)</f>
        <v/>
      </c>
      <c r="Y843">
        <f>IF(ISNUMBER(Q843),1,0)</f>
        <v/>
      </c>
      <c r="Z843">
        <f>IF(AND(K843=0,L843=0,Y843=0),1,0)</f>
        <v/>
      </c>
      <c r="AA843">
        <f>IF(AND(Z843=1,G843&lt;Assumptions!$C$6),1,0)</f>
        <v/>
      </c>
      <c r="AB843">
        <f>IF(U843=0,"",IF(Y843=1,MAX(0,Q843-G843),IF(L843=1,MAX(0,R843-G843),MAX(0,Assumptions!$C$6-G843))))</f>
        <v/>
      </c>
      <c r="AC843">
        <f>IF(Y843=1,Q843-F843,"")</f>
        <v/>
      </c>
      <c r="AD843">
        <f>IF(Y843=1,AC843^2,"")</f>
        <v/>
      </c>
      <c r="AE843" s="19">
        <f>IF(Z843=1,(H843-M843)*I843,0)</f>
        <v/>
      </c>
      <c r="AF843">
        <f>IF(G843&lt;EDATE(Assumptions!$C$6,-12)+1,"prior_12m","last_12m")</f>
        <v/>
      </c>
      <c r="AG843" s="21">
        <f>DATE(YEAR(G843),MONTH(G843),1)</f>
        <v/>
      </c>
    </row>
    <row r="844">
      <c r="A844" t="inlineStr">
        <is>
          <t>SPO-00466-3</t>
        </is>
      </c>
      <c r="B844" t="inlineStr">
        <is>
          <t>SPO-00466</t>
        </is>
      </c>
      <c r="C844" t="inlineStr">
        <is>
          <t>SUP-01</t>
        </is>
      </c>
      <c r="D844" t="inlineStr">
        <is>
          <t>ELEC</t>
        </is>
      </c>
      <c r="E844" t="inlineStr">
        <is>
          <t>ELEC-08</t>
        </is>
      </c>
      <c r="F844" s="17" t="n">
        <v>45689</v>
      </c>
      <c r="G844" s="17" t="n">
        <v>45707</v>
      </c>
      <c r="H844" s="18" t="n">
        <v>141</v>
      </c>
      <c r="I844" s="19" t="n">
        <v>17.82</v>
      </c>
      <c r="J844" s="19" t="n">
        <v>18</v>
      </c>
      <c r="K844" s="20" t="n">
        <v>0</v>
      </c>
      <c r="L844" s="20" t="n">
        <v>0</v>
      </c>
      <c r="M844" s="18" t="n">
        <v>141</v>
      </c>
      <c r="N844" s="18" t="n">
        <v>0</v>
      </c>
      <c r="O844" s="18" t="n">
        <v>0</v>
      </c>
      <c r="P844" s="17" t="n">
        <v>45708</v>
      </c>
      <c r="Q844" s="17" t="n">
        <v>45715</v>
      </c>
      <c r="R844" s="17" t="n">
        <v>45715</v>
      </c>
      <c r="S844" s="19">
        <f>H844*I844</f>
        <v/>
      </c>
      <c r="T844" s="19">
        <f>H844*J844</f>
        <v/>
      </c>
      <c r="U844">
        <f>IF(AND(K844=0,G844&lt;=Assumptions!$C$6),1,0)</f>
        <v/>
      </c>
      <c r="V844">
        <f>IF(U844=1,IF(M844&gt;0,IF(P844&lt;=G844+Assumptions!$C$7,1,0),0),0)</f>
        <v/>
      </c>
      <c r="W844">
        <f>IF(AND(U844=1,M844&gt;=H844*(1-Assumptions!$C$8)),1,0)</f>
        <v/>
      </c>
      <c r="X844">
        <f>IF(AND(U844=1,N844&gt;=H844*(1-Assumptions!$C$8)),1,0)</f>
        <v/>
      </c>
      <c r="Y844">
        <f>IF(ISNUMBER(Q844),1,0)</f>
        <v/>
      </c>
      <c r="Z844">
        <f>IF(AND(K844=0,L844=0,Y844=0),1,0)</f>
        <v/>
      </c>
      <c r="AA844">
        <f>IF(AND(Z844=1,G844&lt;Assumptions!$C$6),1,0)</f>
        <v/>
      </c>
      <c r="AB844">
        <f>IF(U844=0,"",IF(Y844=1,MAX(0,Q844-G844),IF(L844=1,MAX(0,R844-G844),MAX(0,Assumptions!$C$6-G844))))</f>
        <v/>
      </c>
      <c r="AC844">
        <f>IF(Y844=1,Q844-F844,"")</f>
        <v/>
      </c>
      <c r="AD844">
        <f>IF(Y844=1,AC844^2,"")</f>
        <v/>
      </c>
      <c r="AE844" s="19">
        <f>IF(Z844=1,(H844-M844)*I844,0)</f>
        <v/>
      </c>
      <c r="AF844">
        <f>IF(G844&lt;EDATE(Assumptions!$C$6,-12)+1,"prior_12m","last_12m")</f>
        <v/>
      </c>
      <c r="AG844" s="21">
        <f>DATE(YEAR(G844),MONTH(G844),1)</f>
        <v/>
      </c>
    </row>
    <row r="845">
      <c r="A845" t="inlineStr">
        <is>
          <t>SPO-00466-4</t>
        </is>
      </c>
      <c r="B845" t="inlineStr">
        <is>
          <t>SPO-00466</t>
        </is>
      </c>
      <c r="C845" t="inlineStr">
        <is>
          <t>SUP-01</t>
        </is>
      </c>
      <c r="D845" t="inlineStr">
        <is>
          <t>ELEC</t>
        </is>
      </c>
      <c r="E845" t="inlineStr">
        <is>
          <t>ELEC-06</t>
        </is>
      </c>
      <c r="F845" s="17" t="n">
        <v>45689</v>
      </c>
      <c r="G845" s="17" t="n">
        <v>45707</v>
      </c>
      <c r="H845" s="18" t="n">
        <v>26</v>
      </c>
      <c r="I845" s="19" t="n">
        <v>146.45</v>
      </c>
      <c r="J845" s="19" t="n">
        <v>145</v>
      </c>
      <c r="K845" s="20" t="n">
        <v>0</v>
      </c>
      <c r="L845" s="20" t="n">
        <v>0</v>
      </c>
      <c r="M845" s="18" t="n">
        <v>26</v>
      </c>
      <c r="N845" s="18" t="n">
        <v>26</v>
      </c>
      <c r="O845" s="18" t="n">
        <v>0</v>
      </c>
      <c r="P845" s="17" t="n">
        <v>45707</v>
      </c>
      <c r="Q845" s="17" t="n">
        <v>45707</v>
      </c>
      <c r="R845" s="17" t="n">
        <v>45707</v>
      </c>
      <c r="S845" s="19">
        <f>H845*I845</f>
        <v/>
      </c>
      <c r="T845" s="19">
        <f>H845*J845</f>
        <v/>
      </c>
      <c r="U845">
        <f>IF(AND(K845=0,G845&lt;=Assumptions!$C$6),1,0)</f>
        <v/>
      </c>
      <c r="V845">
        <f>IF(U845=1,IF(M845&gt;0,IF(P845&lt;=G845+Assumptions!$C$7,1,0),0),0)</f>
        <v/>
      </c>
      <c r="W845">
        <f>IF(AND(U845=1,M845&gt;=H845*(1-Assumptions!$C$8)),1,0)</f>
        <v/>
      </c>
      <c r="X845">
        <f>IF(AND(U845=1,N845&gt;=H845*(1-Assumptions!$C$8)),1,0)</f>
        <v/>
      </c>
      <c r="Y845">
        <f>IF(ISNUMBER(Q845),1,0)</f>
        <v/>
      </c>
      <c r="Z845">
        <f>IF(AND(K845=0,L845=0,Y845=0),1,0)</f>
        <v/>
      </c>
      <c r="AA845">
        <f>IF(AND(Z845=1,G845&lt;Assumptions!$C$6),1,0)</f>
        <v/>
      </c>
      <c r="AB845">
        <f>IF(U845=0,"",IF(Y845=1,MAX(0,Q845-G845),IF(L845=1,MAX(0,R845-G845),MAX(0,Assumptions!$C$6-G845))))</f>
        <v/>
      </c>
      <c r="AC845">
        <f>IF(Y845=1,Q845-F845,"")</f>
        <v/>
      </c>
      <c r="AD845">
        <f>IF(Y845=1,AC845^2,"")</f>
        <v/>
      </c>
      <c r="AE845" s="19">
        <f>IF(Z845=1,(H845-M845)*I845,0)</f>
        <v/>
      </c>
      <c r="AF845">
        <f>IF(G845&lt;EDATE(Assumptions!$C$6,-12)+1,"prior_12m","last_12m")</f>
        <v/>
      </c>
      <c r="AG845" s="21">
        <f>DATE(YEAR(G845),MONTH(G845),1)</f>
        <v/>
      </c>
    </row>
    <row r="846">
      <c r="A846" t="inlineStr">
        <is>
          <t>SPO-00467-1</t>
        </is>
      </c>
      <c r="B846" t="inlineStr">
        <is>
          <t>SPO-00467</t>
        </is>
      </c>
      <c r="C846" t="inlineStr">
        <is>
          <t>SUP-06</t>
        </is>
      </c>
      <c r="D846" t="inlineStr">
        <is>
          <t>MRO</t>
        </is>
      </c>
      <c r="E846" t="inlineStr">
        <is>
          <t>MRO-05</t>
        </is>
      </c>
      <c r="F846" s="17" t="n">
        <v>45689</v>
      </c>
      <c r="G846" s="17" t="n">
        <v>45697</v>
      </c>
      <c r="H846" s="18" t="n">
        <v>28</v>
      </c>
      <c r="I846" s="19" t="n">
        <v>36.31</v>
      </c>
      <c r="J846" s="19" t="n">
        <v>36</v>
      </c>
      <c r="K846" s="20" t="n">
        <v>0</v>
      </c>
      <c r="L846" s="20" t="n">
        <v>0</v>
      </c>
      <c r="M846" s="18" t="n">
        <v>28</v>
      </c>
      <c r="N846" s="18" t="n">
        <v>28</v>
      </c>
      <c r="O846" s="18" t="n">
        <v>0</v>
      </c>
      <c r="P846" s="17" t="n">
        <v>45695</v>
      </c>
      <c r="Q846" s="17" t="n">
        <v>45695</v>
      </c>
      <c r="R846" s="17" t="n">
        <v>45695</v>
      </c>
      <c r="S846" s="19">
        <f>H846*I846</f>
        <v/>
      </c>
      <c r="T846" s="19">
        <f>H846*J846</f>
        <v/>
      </c>
      <c r="U846">
        <f>IF(AND(K846=0,G846&lt;=Assumptions!$C$6),1,0)</f>
        <v/>
      </c>
      <c r="V846">
        <f>IF(U846=1,IF(M846&gt;0,IF(P846&lt;=G846+Assumptions!$C$7,1,0),0),0)</f>
        <v/>
      </c>
      <c r="W846">
        <f>IF(AND(U846=1,M846&gt;=H846*(1-Assumptions!$C$8)),1,0)</f>
        <v/>
      </c>
      <c r="X846">
        <f>IF(AND(U846=1,N846&gt;=H846*(1-Assumptions!$C$8)),1,0)</f>
        <v/>
      </c>
      <c r="Y846">
        <f>IF(ISNUMBER(Q846),1,0)</f>
        <v/>
      </c>
      <c r="Z846">
        <f>IF(AND(K846=0,L846=0,Y846=0),1,0)</f>
        <v/>
      </c>
      <c r="AA846">
        <f>IF(AND(Z846=1,G846&lt;Assumptions!$C$6),1,0)</f>
        <v/>
      </c>
      <c r="AB846">
        <f>IF(U846=0,"",IF(Y846=1,MAX(0,Q846-G846),IF(L846=1,MAX(0,R846-G846),MAX(0,Assumptions!$C$6-G846))))</f>
        <v/>
      </c>
      <c r="AC846">
        <f>IF(Y846=1,Q846-F846,"")</f>
        <v/>
      </c>
      <c r="AD846">
        <f>IF(Y846=1,AC846^2,"")</f>
        <v/>
      </c>
      <c r="AE846" s="19">
        <f>IF(Z846=1,(H846-M846)*I846,0)</f>
        <v/>
      </c>
      <c r="AF846">
        <f>IF(G846&lt;EDATE(Assumptions!$C$6,-12)+1,"prior_12m","last_12m")</f>
        <v/>
      </c>
      <c r="AG846" s="21">
        <f>DATE(YEAR(G846),MONTH(G846),1)</f>
        <v/>
      </c>
    </row>
    <row r="847">
      <c r="A847" t="inlineStr">
        <is>
          <t>SPO-00467-2</t>
        </is>
      </c>
      <c r="B847" t="inlineStr">
        <is>
          <t>SPO-00467</t>
        </is>
      </c>
      <c r="C847" t="inlineStr">
        <is>
          <t>SUP-06</t>
        </is>
      </c>
      <c r="D847" t="inlineStr">
        <is>
          <t>MRO</t>
        </is>
      </c>
      <c r="E847" t="inlineStr">
        <is>
          <t>MRO-01</t>
        </is>
      </c>
      <c r="F847" s="17" t="n">
        <v>45689</v>
      </c>
      <c r="G847" s="17" t="n">
        <v>45697</v>
      </c>
      <c r="H847" s="18" t="n">
        <v>18</v>
      </c>
      <c r="I847" s="19" t="n">
        <v>52.67</v>
      </c>
      <c r="J847" s="19" t="n">
        <v>52</v>
      </c>
      <c r="K847" s="20" t="n">
        <v>0</v>
      </c>
      <c r="L847" s="20" t="n">
        <v>0</v>
      </c>
      <c r="M847" s="18" t="n">
        <v>18</v>
      </c>
      <c r="N847" s="18" t="n">
        <v>18</v>
      </c>
      <c r="O847" s="18" t="n">
        <v>0</v>
      </c>
      <c r="P847" s="17" t="n">
        <v>45696</v>
      </c>
      <c r="Q847" s="17" t="n">
        <v>45696</v>
      </c>
      <c r="R847" s="17" t="n">
        <v>45696</v>
      </c>
      <c r="S847" s="19">
        <f>H847*I847</f>
        <v/>
      </c>
      <c r="T847" s="19">
        <f>H847*J847</f>
        <v/>
      </c>
      <c r="U847">
        <f>IF(AND(K847=0,G847&lt;=Assumptions!$C$6),1,0)</f>
        <v/>
      </c>
      <c r="V847">
        <f>IF(U847=1,IF(M847&gt;0,IF(P847&lt;=G847+Assumptions!$C$7,1,0),0),0)</f>
        <v/>
      </c>
      <c r="W847">
        <f>IF(AND(U847=1,M847&gt;=H847*(1-Assumptions!$C$8)),1,0)</f>
        <v/>
      </c>
      <c r="X847">
        <f>IF(AND(U847=1,N847&gt;=H847*(1-Assumptions!$C$8)),1,0)</f>
        <v/>
      </c>
      <c r="Y847">
        <f>IF(ISNUMBER(Q847),1,0)</f>
        <v/>
      </c>
      <c r="Z847">
        <f>IF(AND(K847=0,L847=0,Y847=0),1,0)</f>
        <v/>
      </c>
      <c r="AA847">
        <f>IF(AND(Z847=1,G847&lt;Assumptions!$C$6),1,0)</f>
        <v/>
      </c>
      <c r="AB847">
        <f>IF(U847=0,"",IF(Y847=1,MAX(0,Q847-G847),IF(L847=1,MAX(0,R847-G847),MAX(0,Assumptions!$C$6-G847))))</f>
        <v/>
      </c>
      <c r="AC847">
        <f>IF(Y847=1,Q847-F847,"")</f>
        <v/>
      </c>
      <c r="AD847">
        <f>IF(Y847=1,AC847^2,"")</f>
        <v/>
      </c>
      <c r="AE847" s="19">
        <f>IF(Z847=1,(H847-M847)*I847,0)</f>
        <v/>
      </c>
      <c r="AF847">
        <f>IF(G847&lt;EDATE(Assumptions!$C$6,-12)+1,"prior_12m","last_12m")</f>
        <v/>
      </c>
      <c r="AG847" s="21">
        <f>DATE(YEAR(G847),MONTH(G847),1)</f>
        <v/>
      </c>
    </row>
    <row r="848">
      <c r="A848" t="inlineStr">
        <is>
          <t>SPO-00467-3</t>
        </is>
      </c>
      <c r="B848" t="inlineStr">
        <is>
          <t>SPO-00467</t>
        </is>
      </c>
      <c r="C848" t="inlineStr">
        <is>
          <t>SUP-06</t>
        </is>
      </c>
      <c r="D848" t="inlineStr">
        <is>
          <t>MRO</t>
        </is>
      </c>
      <c r="E848" t="inlineStr">
        <is>
          <t>MRO-07</t>
        </is>
      </c>
      <c r="F848" s="17" t="n">
        <v>45689</v>
      </c>
      <c r="G848" s="17" t="n">
        <v>45697</v>
      </c>
      <c r="H848" s="18" t="n">
        <v>130</v>
      </c>
      <c r="I848" s="19" t="n">
        <v>13.91</v>
      </c>
      <c r="J848" s="19" t="n">
        <v>14</v>
      </c>
      <c r="K848" s="20" t="n">
        <v>0</v>
      </c>
      <c r="L848" s="20" t="n">
        <v>0</v>
      </c>
      <c r="M848" s="18" t="n">
        <v>130</v>
      </c>
      <c r="N848" s="18" t="n">
        <v>130</v>
      </c>
      <c r="O848" s="18" t="n">
        <v>0</v>
      </c>
      <c r="P848" s="17" t="n">
        <v>45695</v>
      </c>
      <c r="Q848" s="17" t="n">
        <v>45695</v>
      </c>
      <c r="R848" s="17" t="n">
        <v>45695</v>
      </c>
      <c r="S848" s="19">
        <f>H848*I848</f>
        <v/>
      </c>
      <c r="T848" s="19">
        <f>H848*J848</f>
        <v/>
      </c>
      <c r="U848">
        <f>IF(AND(K848=0,G848&lt;=Assumptions!$C$6),1,0)</f>
        <v/>
      </c>
      <c r="V848">
        <f>IF(U848=1,IF(M848&gt;0,IF(P848&lt;=G848+Assumptions!$C$7,1,0),0),0)</f>
        <v/>
      </c>
      <c r="W848">
        <f>IF(AND(U848=1,M848&gt;=H848*(1-Assumptions!$C$8)),1,0)</f>
        <v/>
      </c>
      <c r="X848">
        <f>IF(AND(U848=1,N848&gt;=H848*(1-Assumptions!$C$8)),1,0)</f>
        <v/>
      </c>
      <c r="Y848">
        <f>IF(ISNUMBER(Q848),1,0)</f>
        <v/>
      </c>
      <c r="Z848">
        <f>IF(AND(K848=0,L848=0,Y848=0),1,0)</f>
        <v/>
      </c>
      <c r="AA848">
        <f>IF(AND(Z848=1,G848&lt;Assumptions!$C$6),1,0)</f>
        <v/>
      </c>
      <c r="AB848">
        <f>IF(U848=0,"",IF(Y848=1,MAX(0,Q848-G848),IF(L848=1,MAX(0,R848-G848),MAX(0,Assumptions!$C$6-G848))))</f>
        <v/>
      </c>
      <c r="AC848">
        <f>IF(Y848=1,Q848-F848,"")</f>
        <v/>
      </c>
      <c r="AD848">
        <f>IF(Y848=1,AC848^2,"")</f>
        <v/>
      </c>
      <c r="AE848" s="19">
        <f>IF(Z848=1,(H848-M848)*I848,0)</f>
        <v/>
      </c>
      <c r="AF848">
        <f>IF(G848&lt;EDATE(Assumptions!$C$6,-12)+1,"prior_12m","last_12m")</f>
        <v/>
      </c>
      <c r="AG848" s="21">
        <f>DATE(YEAR(G848),MONTH(G848),1)</f>
        <v/>
      </c>
    </row>
    <row r="849">
      <c r="A849" t="inlineStr">
        <is>
          <t>SPO-00467-4</t>
        </is>
      </c>
      <c r="B849" t="inlineStr">
        <is>
          <t>SPO-00467</t>
        </is>
      </c>
      <c r="C849" t="inlineStr">
        <is>
          <t>SUP-06</t>
        </is>
      </c>
      <c r="D849" t="inlineStr">
        <is>
          <t>MRO</t>
        </is>
      </c>
      <c r="E849" t="inlineStr">
        <is>
          <t>MRO-04</t>
        </is>
      </c>
      <c r="F849" s="17" t="n">
        <v>45689</v>
      </c>
      <c r="G849" s="17" t="n">
        <v>45697</v>
      </c>
      <c r="H849" s="18" t="n">
        <v>23</v>
      </c>
      <c r="I849" s="19" t="n">
        <v>58.9</v>
      </c>
      <c r="J849" s="19" t="n">
        <v>58</v>
      </c>
      <c r="K849" s="20" t="n">
        <v>0</v>
      </c>
      <c r="L849" s="20" t="n">
        <v>0</v>
      </c>
      <c r="M849" s="18" t="n">
        <v>23</v>
      </c>
      <c r="N849" s="18" t="n">
        <v>23</v>
      </c>
      <c r="O849" s="18" t="n">
        <v>0</v>
      </c>
      <c r="P849" s="17" t="n">
        <v>45694</v>
      </c>
      <c r="Q849" s="17" t="n">
        <v>45694</v>
      </c>
      <c r="R849" s="17" t="n">
        <v>45694</v>
      </c>
      <c r="S849" s="19">
        <f>H849*I849</f>
        <v/>
      </c>
      <c r="T849" s="19">
        <f>H849*J849</f>
        <v/>
      </c>
      <c r="U849">
        <f>IF(AND(K849=0,G849&lt;=Assumptions!$C$6),1,0)</f>
        <v/>
      </c>
      <c r="V849">
        <f>IF(U849=1,IF(M849&gt;0,IF(P849&lt;=G849+Assumptions!$C$7,1,0),0),0)</f>
        <v/>
      </c>
      <c r="W849">
        <f>IF(AND(U849=1,M849&gt;=H849*(1-Assumptions!$C$8)),1,0)</f>
        <v/>
      </c>
      <c r="X849">
        <f>IF(AND(U849=1,N849&gt;=H849*(1-Assumptions!$C$8)),1,0)</f>
        <v/>
      </c>
      <c r="Y849">
        <f>IF(ISNUMBER(Q849),1,0)</f>
        <v/>
      </c>
      <c r="Z849">
        <f>IF(AND(K849=0,L849=0,Y849=0),1,0)</f>
        <v/>
      </c>
      <c r="AA849">
        <f>IF(AND(Z849=1,G849&lt;Assumptions!$C$6),1,0)</f>
        <v/>
      </c>
      <c r="AB849">
        <f>IF(U849=0,"",IF(Y849=1,MAX(0,Q849-G849),IF(L849=1,MAX(0,R849-G849),MAX(0,Assumptions!$C$6-G849))))</f>
        <v/>
      </c>
      <c r="AC849">
        <f>IF(Y849=1,Q849-F849,"")</f>
        <v/>
      </c>
      <c r="AD849">
        <f>IF(Y849=1,AC849^2,"")</f>
        <v/>
      </c>
      <c r="AE849" s="19">
        <f>IF(Z849=1,(H849-M849)*I849,0)</f>
        <v/>
      </c>
      <c r="AF849">
        <f>IF(G849&lt;EDATE(Assumptions!$C$6,-12)+1,"prior_12m","last_12m")</f>
        <v/>
      </c>
      <c r="AG849" s="21">
        <f>DATE(YEAR(G849),MONTH(G849),1)</f>
        <v/>
      </c>
    </row>
    <row r="850">
      <c r="A850" t="inlineStr">
        <is>
          <t>SPO-00468-1</t>
        </is>
      </c>
      <c r="B850" t="inlineStr">
        <is>
          <t>SPO-00468</t>
        </is>
      </c>
      <c r="C850" t="inlineStr">
        <is>
          <t>SUP-05</t>
        </is>
      </c>
      <c r="D850" t="inlineStr">
        <is>
          <t>FLEET</t>
        </is>
      </c>
      <c r="E850" t="inlineStr">
        <is>
          <t>FLEET-04</t>
        </is>
      </c>
      <c r="F850" s="17" t="n">
        <v>45689</v>
      </c>
      <c r="G850" s="17" t="n">
        <v>45703</v>
      </c>
      <c r="H850" s="18" t="n">
        <v>212</v>
      </c>
      <c r="I850" s="19" t="n">
        <v>9.43</v>
      </c>
      <c r="J850" s="19" t="n">
        <v>9</v>
      </c>
      <c r="K850" s="20" t="n">
        <v>0</v>
      </c>
      <c r="L850" s="20" t="n">
        <v>0</v>
      </c>
      <c r="M850" s="18" t="n">
        <v>212</v>
      </c>
      <c r="N850" s="18" t="n">
        <v>212</v>
      </c>
      <c r="O850" s="18" t="n">
        <v>0</v>
      </c>
      <c r="P850" s="17" t="n">
        <v>45698</v>
      </c>
      <c r="Q850" s="17" t="n">
        <v>45698</v>
      </c>
      <c r="R850" s="17" t="n">
        <v>45698</v>
      </c>
      <c r="S850" s="19">
        <f>H850*I850</f>
        <v/>
      </c>
      <c r="T850" s="19">
        <f>H850*J850</f>
        <v/>
      </c>
      <c r="U850">
        <f>IF(AND(K850=0,G850&lt;=Assumptions!$C$6),1,0)</f>
        <v/>
      </c>
      <c r="V850">
        <f>IF(U850=1,IF(M850&gt;0,IF(P850&lt;=G850+Assumptions!$C$7,1,0),0),0)</f>
        <v/>
      </c>
      <c r="W850">
        <f>IF(AND(U850=1,M850&gt;=H850*(1-Assumptions!$C$8)),1,0)</f>
        <v/>
      </c>
      <c r="X850">
        <f>IF(AND(U850=1,N850&gt;=H850*(1-Assumptions!$C$8)),1,0)</f>
        <v/>
      </c>
      <c r="Y850">
        <f>IF(ISNUMBER(Q850),1,0)</f>
        <v/>
      </c>
      <c r="Z850">
        <f>IF(AND(K850=0,L850=0,Y850=0),1,0)</f>
        <v/>
      </c>
      <c r="AA850">
        <f>IF(AND(Z850=1,G850&lt;Assumptions!$C$6),1,0)</f>
        <v/>
      </c>
      <c r="AB850">
        <f>IF(U850=0,"",IF(Y850=1,MAX(0,Q850-G850),IF(L850=1,MAX(0,R850-G850),MAX(0,Assumptions!$C$6-G850))))</f>
        <v/>
      </c>
      <c r="AC850">
        <f>IF(Y850=1,Q850-F850,"")</f>
        <v/>
      </c>
      <c r="AD850">
        <f>IF(Y850=1,AC850^2,"")</f>
        <v/>
      </c>
      <c r="AE850" s="19">
        <f>IF(Z850=1,(H850-M850)*I850,0)</f>
        <v/>
      </c>
      <c r="AF850">
        <f>IF(G850&lt;EDATE(Assumptions!$C$6,-12)+1,"prior_12m","last_12m")</f>
        <v/>
      </c>
      <c r="AG850" s="21">
        <f>DATE(YEAR(G850),MONTH(G850),1)</f>
        <v/>
      </c>
    </row>
    <row r="851">
      <c r="A851" t="inlineStr">
        <is>
          <t>SPO-00469-1</t>
        </is>
      </c>
      <c r="B851" t="inlineStr">
        <is>
          <t>SPO-00469</t>
        </is>
      </c>
      <c r="C851" t="inlineStr">
        <is>
          <t>SUP-02</t>
        </is>
      </c>
      <c r="D851" t="inlineStr">
        <is>
          <t>ELEC</t>
        </is>
      </c>
      <c r="E851" t="inlineStr">
        <is>
          <t>ELEC-08</t>
        </is>
      </c>
      <c r="F851" s="17" t="n">
        <v>45689</v>
      </c>
      <c r="G851" s="17" t="n">
        <v>45705</v>
      </c>
      <c r="H851" s="18" t="n">
        <v>33</v>
      </c>
      <c r="I851" s="19" t="n">
        <v>18.19</v>
      </c>
      <c r="J851" s="19" t="n">
        <v>18</v>
      </c>
      <c r="K851" s="20" t="n">
        <v>0</v>
      </c>
      <c r="L851" s="20" t="n">
        <v>0</v>
      </c>
      <c r="M851" s="18" t="n">
        <v>33</v>
      </c>
      <c r="N851" s="18" t="n">
        <v>33</v>
      </c>
      <c r="O851" s="18" t="n">
        <v>0</v>
      </c>
      <c r="P851" s="17" t="n">
        <v>45703</v>
      </c>
      <c r="Q851" s="17" t="n">
        <v>45703</v>
      </c>
      <c r="R851" s="17" t="n">
        <v>45703</v>
      </c>
      <c r="S851" s="19">
        <f>H851*I851</f>
        <v/>
      </c>
      <c r="T851" s="19">
        <f>H851*J851</f>
        <v/>
      </c>
      <c r="U851">
        <f>IF(AND(K851=0,G851&lt;=Assumptions!$C$6),1,0)</f>
        <v/>
      </c>
      <c r="V851">
        <f>IF(U851=1,IF(M851&gt;0,IF(P851&lt;=G851+Assumptions!$C$7,1,0),0),0)</f>
        <v/>
      </c>
      <c r="W851">
        <f>IF(AND(U851=1,M851&gt;=H851*(1-Assumptions!$C$8)),1,0)</f>
        <v/>
      </c>
      <c r="X851">
        <f>IF(AND(U851=1,N851&gt;=H851*(1-Assumptions!$C$8)),1,0)</f>
        <v/>
      </c>
      <c r="Y851">
        <f>IF(ISNUMBER(Q851),1,0)</f>
        <v/>
      </c>
      <c r="Z851">
        <f>IF(AND(K851=0,L851=0,Y851=0),1,0)</f>
        <v/>
      </c>
      <c r="AA851">
        <f>IF(AND(Z851=1,G851&lt;Assumptions!$C$6),1,0)</f>
        <v/>
      </c>
      <c r="AB851">
        <f>IF(U851=0,"",IF(Y851=1,MAX(0,Q851-G851),IF(L851=1,MAX(0,R851-G851),MAX(0,Assumptions!$C$6-G851))))</f>
        <v/>
      </c>
      <c r="AC851">
        <f>IF(Y851=1,Q851-F851,"")</f>
        <v/>
      </c>
      <c r="AD851">
        <f>IF(Y851=1,AC851^2,"")</f>
        <v/>
      </c>
      <c r="AE851" s="19">
        <f>IF(Z851=1,(H851-M851)*I851,0)</f>
        <v/>
      </c>
      <c r="AF851">
        <f>IF(G851&lt;EDATE(Assumptions!$C$6,-12)+1,"prior_12m","last_12m")</f>
        <v/>
      </c>
      <c r="AG851" s="21">
        <f>DATE(YEAR(G851),MONTH(G851),1)</f>
        <v/>
      </c>
    </row>
    <row r="852">
      <c r="A852" t="inlineStr">
        <is>
          <t>SPO-00470-1</t>
        </is>
      </c>
      <c r="B852" t="inlineStr">
        <is>
          <t>SPO-00470</t>
        </is>
      </c>
      <c r="C852" t="inlineStr">
        <is>
          <t>SUP-12</t>
        </is>
      </c>
      <c r="D852" t="inlineStr">
        <is>
          <t>IT</t>
        </is>
      </c>
      <c r="E852" t="inlineStr">
        <is>
          <t>IT-02</t>
        </is>
      </c>
      <c r="F852" s="17" t="n">
        <v>45689</v>
      </c>
      <c r="G852" s="17" t="n">
        <v>45699</v>
      </c>
      <c r="H852" s="18" t="n">
        <v>24</v>
      </c>
      <c r="I852" s="19" t="n">
        <v>182.11</v>
      </c>
      <c r="J852" s="19" t="n">
        <v>162</v>
      </c>
      <c r="K852" s="20" t="n">
        <v>0</v>
      </c>
      <c r="L852" s="20" t="n">
        <v>0</v>
      </c>
      <c r="M852" s="18" t="n">
        <v>24</v>
      </c>
      <c r="N852" s="18" t="n">
        <v>0</v>
      </c>
      <c r="O852" s="18" t="n">
        <v>0</v>
      </c>
      <c r="P852" s="17" t="n">
        <v>45701</v>
      </c>
      <c r="Q852" s="17" t="n">
        <v>45721</v>
      </c>
      <c r="R852" s="17" t="n">
        <v>45721</v>
      </c>
      <c r="S852" s="19">
        <f>H852*I852</f>
        <v/>
      </c>
      <c r="T852" s="19">
        <f>H852*J852</f>
        <v/>
      </c>
      <c r="U852">
        <f>IF(AND(K852=0,G852&lt;=Assumptions!$C$6),1,0)</f>
        <v/>
      </c>
      <c r="V852">
        <f>IF(U852=1,IF(M852&gt;0,IF(P852&lt;=G852+Assumptions!$C$7,1,0),0),0)</f>
        <v/>
      </c>
      <c r="W852">
        <f>IF(AND(U852=1,M852&gt;=H852*(1-Assumptions!$C$8)),1,0)</f>
        <v/>
      </c>
      <c r="X852">
        <f>IF(AND(U852=1,N852&gt;=H852*(1-Assumptions!$C$8)),1,0)</f>
        <v/>
      </c>
      <c r="Y852">
        <f>IF(ISNUMBER(Q852),1,0)</f>
        <v/>
      </c>
      <c r="Z852">
        <f>IF(AND(K852=0,L852=0,Y852=0),1,0)</f>
        <v/>
      </c>
      <c r="AA852">
        <f>IF(AND(Z852=1,G852&lt;Assumptions!$C$6),1,0)</f>
        <v/>
      </c>
      <c r="AB852">
        <f>IF(U852=0,"",IF(Y852=1,MAX(0,Q852-G852),IF(L852=1,MAX(0,R852-G852),MAX(0,Assumptions!$C$6-G852))))</f>
        <v/>
      </c>
      <c r="AC852">
        <f>IF(Y852=1,Q852-F852,"")</f>
        <v/>
      </c>
      <c r="AD852">
        <f>IF(Y852=1,AC852^2,"")</f>
        <v/>
      </c>
      <c r="AE852" s="19">
        <f>IF(Z852=1,(H852-M852)*I852,0)</f>
        <v/>
      </c>
      <c r="AF852">
        <f>IF(G852&lt;EDATE(Assumptions!$C$6,-12)+1,"prior_12m","last_12m")</f>
        <v/>
      </c>
      <c r="AG852" s="21">
        <f>DATE(YEAR(G852),MONTH(G852),1)</f>
        <v/>
      </c>
    </row>
    <row r="853">
      <c r="A853" t="inlineStr">
        <is>
          <t>SPO-00470-2</t>
        </is>
      </c>
      <c r="B853" t="inlineStr">
        <is>
          <t>SPO-00470</t>
        </is>
      </c>
      <c r="C853" t="inlineStr">
        <is>
          <t>SUP-12</t>
        </is>
      </c>
      <c r="D853" t="inlineStr">
        <is>
          <t>IT</t>
        </is>
      </c>
      <c r="E853" t="inlineStr">
        <is>
          <t>IT-03</t>
        </is>
      </c>
      <c r="F853" s="17" t="n">
        <v>45689</v>
      </c>
      <c r="G853" s="17" t="n">
        <v>45699</v>
      </c>
      <c r="H853" s="18" t="n">
        <v>36</v>
      </c>
      <c r="I853" s="19" t="n">
        <v>42.32</v>
      </c>
      <c r="J853" s="19" t="n">
        <v>38</v>
      </c>
      <c r="K853" s="20" t="n">
        <v>0</v>
      </c>
      <c r="L853" s="20" t="n">
        <v>0</v>
      </c>
      <c r="M853" s="18" t="n">
        <v>36</v>
      </c>
      <c r="N853" s="18" t="n">
        <v>36</v>
      </c>
      <c r="O853" s="18" t="n">
        <v>0</v>
      </c>
      <c r="P853" s="17" t="n">
        <v>45696</v>
      </c>
      <c r="Q853" s="17" t="n">
        <v>45696</v>
      </c>
      <c r="R853" s="17" t="n">
        <v>45696</v>
      </c>
      <c r="S853" s="19">
        <f>H853*I853</f>
        <v/>
      </c>
      <c r="T853" s="19">
        <f>H853*J853</f>
        <v/>
      </c>
      <c r="U853">
        <f>IF(AND(K853=0,G853&lt;=Assumptions!$C$6),1,0)</f>
        <v/>
      </c>
      <c r="V853">
        <f>IF(U853=1,IF(M853&gt;0,IF(P853&lt;=G853+Assumptions!$C$7,1,0),0),0)</f>
        <v/>
      </c>
      <c r="W853">
        <f>IF(AND(U853=1,M853&gt;=H853*(1-Assumptions!$C$8)),1,0)</f>
        <v/>
      </c>
      <c r="X853">
        <f>IF(AND(U853=1,N853&gt;=H853*(1-Assumptions!$C$8)),1,0)</f>
        <v/>
      </c>
      <c r="Y853">
        <f>IF(ISNUMBER(Q853),1,0)</f>
        <v/>
      </c>
      <c r="Z853">
        <f>IF(AND(K853=0,L853=0,Y853=0),1,0)</f>
        <v/>
      </c>
      <c r="AA853">
        <f>IF(AND(Z853=1,G853&lt;Assumptions!$C$6),1,0)</f>
        <v/>
      </c>
      <c r="AB853">
        <f>IF(U853=0,"",IF(Y853=1,MAX(0,Q853-G853),IF(L853=1,MAX(0,R853-G853),MAX(0,Assumptions!$C$6-G853))))</f>
        <v/>
      </c>
      <c r="AC853">
        <f>IF(Y853=1,Q853-F853,"")</f>
        <v/>
      </c>
      <c r="AD853">
        <f>IF(Y853=1,AC853^2,"")</f>
        <v/>
      </c>
      <c r="AE853" s="19">
        <f>IF(Z853=1,(H853-M853)*I853,0)</f>
        <v/>
      </c>
      <c r="AF853">
        <f>IF(G853&lt;EDATE(Assumptions!$C$6,-12)+1,"prior_12m","last_12m")</f>
        <v/>
      </c>
      <c r="AG853" s="21">
        <f>DATE(YEAR(G853),MONTH(G853),1)</f>
        <v/>
      </c>
    </row>
    <row r="854">
      <c r="A854" t="inlineStr">
        <is>
          <t>SPO-00470-3</t>
        </is>
      </c>
      <c r="B854" t="inlineStr">
        <is>
          <t>SPO-00470</t>
        </is>
      </c>
      <c r="C854" t="inlineStr">
        <is>
          <t>SUP-12</t>
        </is>
      </c>
      <c r="D854" t="inlineStr">
        <is>
          <t>IT</t>
        </is>
      </c>
      <c r="E854" t="inlineStr">
        <is>
          <t>IT-08</t>
        </is>
      </c>
      <c r="F854" s="17" t="n">
        <v>45689</v>
      </c>
      <c r="G854" s="17" t="n">
        <v>45699</v>
      </c>
      <c r="H854" s="18" t="n">
        <v>4</v>
      </c>
      <c r="I854" s="19" t="n">
        <v>272.6</v>
      </c>
      <c r="J854" s="19" t="n">
        <v>245</v>
      </c>
      <c r="K854" s="20" t="n">
        <v>0</v>
      </c>
      <c r="L854" s="20" t="n">
        <v>0</v>
      </c>
      <c r="M854" s="18" t="n">
        <v>4</v>
      </c>
      <c r="N854" s="18" t="n">
        <v>4</v>
      </c>
      <c r="O854" s="18" t="n">
        <v>0</v>
      </c>
      <c r="P854" s="17" t="n">
        <v>45693</v>
      </c>
      <c r="Q854" s="17" t="n">
        <v>45693</v>
      </c>
      <c r="R854" s="17" t="n">
        <v>45693</v>
      </c>
      <c r="S854" s="19">
        <f>H854*I854</f>
        <v/>
      </c>
      <c r="T854" s="19">
        <f>H854*J854</f>
        <v/>
      </c>
      <c r="U854">
        <f>IF(AND(K854=0,G854&lt;=Assumptions!$C$6),1,0)</f>
        <v/>
      </c>
      <c r="V854">
        <f>IF(U854=1,IF(M854&gt;0,IF(P854&lt;=G854+Assumptions!$C$7,1,0),0),0)</f>
        <v/>
      </c>
      <c r="W854">
        <f>IF(AND(U854=1,M854&gt;=H854*(1-Assumptions!$C$8)),1,0)</f>
        <v/>
      </c>
      <c r="X854">
        <f>IF(AND(U854=1,N854&gt;=H854*(1-Assumptions!$C$8)),1,0)</f>
        <v/>
      </c>
      <c r="Y854">
        <f>IF(ISNUMBER(Q854),1,0)</f>
        <v/>
      </c>
      <c r="Z854">
        <f>IF(AND(K854=0,L854=0,Y854=0),1,0)</f>
        <v/>
      </c>
      <c r="AA854">
        <f>IF(AND(Z854=1,G854&lt;Assumptions!$C$6),1,0)</f>
        <v/>
      </c>
      <c r="AB854">
        <f>IF(U854=0,"",IF(Y854=1,MAX(0,Q854-G854),IF(L854=1,MAX(0,R854-G854),MAX(0,Assumptions!$C$6-G854))))</f>
        <v/>
      </c>
      <c r="AC854">
        <f>IF(Y854=1,Q854-F854,"")</f>
        <v/>
      </c>
      <c r="AD854">
        <f>IF(Y854=1,AC854^2,"")</f>
        <v/>
      </c>
      <c r="AE854" s="19">
        <f>IF(Z854=1,(H854-M854)*I854,0)</f>
        <v/>
      </c>
      <c r="AF854">
        <f>IF(G854&lt;EDATE(Assumptions!$C$6,-12)+1,"prior_12m","last_12m")</f>
        <v/>
      </c>
      <c r="AG854" s="21">
        <f>DATE(YEAR(G854),MONTH(G854),1)</f>
        <v/>
      </c>
    </row>
    <row r="855">
      <c r="A855" t="inlineStr">
        <is>
          <t>SPO-00470-4</t>
        </is>
      </c>
      <c r="B855" t="inlineStr">
        <is>
          <t>SPO-00470</t>
        </is>
      </c>
      <c r="C855" t="inlineStr">
        <is>
          <t>SUP-12</t>
        </is>
      </c>
      <c r="D855" t="inlineStr">
        <is>
          <t>IT</t>
        </is>
      </c>
      <c r="E855" t="inlineStr">
        <is>
          <t>IT-07</t>
        </is>
      </c>
      <c r="F855" s="17" t="n">
        <v>45689</v>
      </c>
      <c r="G855" s="17" t="n">
        <v>45699</v>
      </c>
      <c r="H855" s="18" t="n">
        <v>12</v>
      </c>
      <c r="I855" s="19" t="n">
        <v>85.37</v>
      </c>
      <c r="J855" s="19" t="n">
        <v>74</v>
      </c>
      <c r="K855" s="20" t="n">
        <v>0</v>
      </c>
      <c r="L855" s="20" t="n">
        <v>0</v>
      </c>
      <c r="M855" s="18" t="n">
        <v>12</v>
      </c>
      <c r="N855" s="18" t="n">
        <v>12</v>
      </c>
      <c r="O855" s="18" t="n">
        <v>0</v>
      </c>
      <c r="P855" s="17" t="n">
        <v>45695</v>
      </c>
      <c r="Q855" s="17" t="n">
        <v>45695</v>
      </c>
      <c r="R855" s="17" t="n">
        <v>45695</v>
      </c>
      <c r="S855" s="19">
        <f>H855*I855</f>
        <v/>
      </c>
      <c r="T855" s="19">
        <f>H855*J855</f>
        <v/>
      </c>
      <c r="U855">
        <f>IF(AND(K855=0,G855&lt;=Assumptions!$C$6),1,0)</f>
        <v/>
      </c>
      <c r="V855">
        <f>IF(U855=1,IF(M855&gt;0,IF(P855&lt;=G855+Assumptions!$C$7,1,0),0),0)</f>
        <v/>
      </c>
      <c r="W855">
        <f>IF(AND(U855=1,M855&gt;=H855*(1-Assumptions!$C$8)),1,0)</f>
        <v/>
      </c>
      <c r="X855">
        <f>IF(AND(U855=1,N855&gt;=H855*(1-Assumptions!$C$8)),1,0)</f>
        <v/>
      </c>
      <c r="Y855">
        <f>IF(ISNUMBER(Q855),1,0)</f>
        <v/>
      </c>
      <c r="Z855">
        <f>IF(AND(K855=0,L855=0,Y855=0),1,0)</f>
        <v/>
      </c>
      <c r="AA855">
        <f>IF(AND(Z855=1,G855&lt;Assumptions!$C$6),1,0)</f>
        <v/>
      </c>
      <c r="AB855">
        <f>IF(U855=0,"",IF(Y855=1,MAX(0,Q855-G855),IF(L855=1,MAX(0,R855-G855),MAX(0,Assumptions!$C$6-G855))))</f>
        <v/>
      </c>
      <c r="AC855">
        <f>IF(Y855=1,Q855-F855,"")</f>
        <v/>
      </c>
      <c r="AD855">
        <f>IF(Y855=1,AC855^2,"")</f>
        <v/>
      </c>
      <c r="AE855" s="19">
        <f>IF(Z855=1,(H855-M855)*I855,0)</f>
        <v/>
      </c>
      <c r="AF855">
        <f>IF(G855&lt;EDATE(Assumptions!$C$6,-12)+1,"prior_12m","last_12m")</f>
        <v/>
      </c>
      <c r="AG855" s="21">
        <f>DATE(YEAR(G855),MONTH(G855),1)</f>
        <v/>
      </c>
    </row>
    <row r="856">
      <c r="A856" t="inlineStr">
        <is>
          <t>SPO-00471-1</t>
        </is>
      </c>
      <c r="B856" t="inlineStr">
        <is>
          <t>SPO-00471</t>
        </is>
      </c>
      <c r="C856" t="inlineStr">
        <is>
          <t>SUP-05</t>
        </is>
      </c>
      <c r="D856" t="inlineStr">
        <is>
          <t>FLEET</t>
        </is>
      </c>
      <c r="E856" t="inlineStr">
        <is>
          <t>FLEET-06</t>
        </is>
      </c>
      <c r="F856" s="17" t="n">
        <v>45689</v>
      </c>
      <c r="G856" s="17" t="n">
        <v>45703</v>
      </c>
      <c r="H856" s="18" t="n">
        <v>69</v>
      </c>
      <c r="I856" s="19" t="n">
        <v>33.79</v>
      </c>
      <c r="J856" s="19" t="n">
        <v>33</v>
      </c>
      <c r="K856" s="20" t="n">
        <v>0</v>
      </c>
      <c r="L856" s="20" t="n">
        <v>0</v>
      </c>
      <c r="M856" s="18" t="n">
        <v>69</v>
      </c>
      <c r="N856" s="18" t="n">
        <v>69</v>
      </c>
      <c r="O856" s="18" t="n">
        <v>0</v>
      </c>
      <c r="P856" s="17" t="n">
        <v>45703</v>
      </c>
      <c r="Q856" s="17" t="n">
        <v>45703</v>
      </c>
      <c r="R856" s="17" t="n">
        <v>45703</v>
      </c>
      <c r="S856" s="19">
        <f>H856*I856</f>
        <v/>
      </c>
      <c r="T856" s="19">
        <f>H856*J856</f>
        <v/>
      </c>
      <c r="U856">
        <f>IF(AND(K856=0,G856&lt;=Assumptions!$C$6),1,0)</f>
        <v/>
      </c>
      <c r="V856">
        <f>IF(U856=1,IF(M856&gt;0,IF(P856&lt;=G856+Assumptions!$C$7,1,0),0),0)</f>
        <v/>
      </c>
      <c r="W856">
        <f>IF(AND(U856=1,M856&gt;=H856*(1-Assumptions!$C$8)),1,0)</f>
        <v/>
      </c>
      <c r="X856">
        <f>IF(AND(U856=1,N856&gt;=H856*(1-Assumptions!$C$8)),1,0)</f>
        <v/>
      </c>
      <c r="Y856">
        <f>IF(ISNUMBER(Q856),1,0)</f>
        <v/>
      </c>
      <c r="Z856">
        <f>IF(AND(K856=0,L856=0,Y856=0),1,0)</f>
        <v/>
      </c>
      <c r="AA856">
        <f>IF(AND(Z856=1,G856&lt;Assumptions!$C$6),1,0)</f>
        <v/>
      </c>
      <c r="AB856">
        <f>IF(U856=0,"",IF(Y856=1,MAX(0,Q856-G856),IF(L856=1,MAX(0,R856-G856),MAX(0,Assumptions!$C$6-G856))))</f>
        <v/>
      </c>
      <c r="AC856">
        <f>IF(Y856=1,Q856-F856,"")</f>
        <v/>
      </c>
      <c r="AD856">
        <f>IF(Y856=1,AC856^2,"")</f>
        <v/>
      </c>
      <c r="AE856" s="19">
        <f>IF(Z856=1,(H856-M856)*I856,0)</f>
        <v/>
      </c>
      <c r="AF856">
        <f>IF(G856&lt;EDATE(Assumptions!$C$6,-12)+1,"prior_12m","last_12m")</f>
        <v/>
      </c>
      <c r="AG856" s="21">
        <f>DATE(YEAR(G856),MONTH(G856),1)</f>
        <v/>
      </c>
    </row>
    <row r="857">
      <c r="A857" t="inlineStr">
        <is>
          <t>SPO-00472-1</t>
        </is>
      </c>
      <c r="B857" t="inlineStr">
        <is>
          <t>SPO-00472</t>
        </is>
      </c>
      <c r="C857" t="inlineStr">
        <is>
          <t>SUP-01</t>
        </is>
      </c>
      <c r="D857" t="inlineStr">
        <is>
          <t>ELEC</t>
        </is>
      </c>
      <c r="E857" t="inlineStr">
        <is>
          <t>ELEC-08</t>
        </is>
      </c>
      <c r="F857" s="17" t="n">
        <v>45689</v>
      </c>
      <c r="G857" s="17" t="n">
        <v>45707</v>
      </c>
      <c r="H857" s="18" t="n">
        <v>163</v>
      </c>
      <c r="I857" s="19" t="n">
        <v>17.71</v>
      </c>
      <c r="J857" s="19" t="n">
        <v>18</v>
      </c>
      <c r="K857" s="20" t="n">
        <v>0</v>
      </c>
      <c r="L857" s="20" t="n">
        <v>0</v>
      </c>
      <c r="M857" s="18" t="n">
        <v>163</v>
      </c>
      <c r="N857" s="18" t="n">
        <v>163</v>
      </c>
      <c r="O857" s="18" t="n">
        <v>0</v>
      </c>
      <c r="P857" s="17" t="n">
        <v>45703</v>
      </c>
      <c r="Q857" s="17" t="n">
        <v>45703</v>
      </c>
      <c r="R857" s="17" t="n">
        <v>45703</v>
      </c>
      <c r="S857" s="19">
        <f>H857*I857</f>
        <v/>
      </c>
      <c r="T857" s="19">
        <f>H857*J857</f>
        <v/>
      </c>
      <c r="U857">
        <f>IF(AND(K857=0,G857&lt;=Assumptions!$C$6),1,0)</f>
        <v/>
      </c>
      <c r="V857">
        <f>IF(U857=1,IF(M857&gt;0,IF(P857&lt;=G857+Assumptions!$C$7,1,0),0),0)</f>
        <v/>
      </c>
      <c r="W857">
        <f>IF(AND(U857=1,M857&gt;=H857*(1-Assumptions!$C$8)),1,0)</f>
        <v/>
      </c>
      <c r="X857">
        <f>IF(AND(U857=1,N857&gt;=H857*(1-Assumptions!$C$8)),1,0)</f>
        <v/>
      </c>
      <c r="Y857">
        <f>IF(ISNUMBER(Q857),1,0)</f>
        <v/>
      </c>
      <c r="Z857">
        <f>IF(AND(K857=0,L857=0,Y857=0),1,0)</f>
        <v/>
      </c>
      <c r="AA857">
        <f>IF(AND(Z857=1,G857&lt;Assumptions!$C$6),1,0)</f>
        <v/>
      </c>
      <c r="AB857">
        <f>IF(U857=0,"",IF(Y857=1,MAX(0,Q857-G857),IF(L857=1,MAX(0,R857-G857),MAX(0,Assumptions!$C$6-G857))))</f>
        <v/>
      </c>
      <c r="AC857">
        <f>IF(Y857=1,Q857-F857,"")</f>
        <v/>
      </c>
      <c r="AD857">
        <f>IF(Y857=1,AC857^2,"")</f>
        <v/>
      </c>
      <c r="AE857" s="19">
        <f>IF(Z857=1,(H857-M857)*I857,0)</f>
        <v/>
      </c>
      <c r="AF857">
        <f>IF(G857&lt;EDATE(Assumptions!$C$6,-12)+1,"prior_12m","last_12m")</f>
        <v/>
      </c>
      <c r="AG857" s="21">
        <f>DATE(YEAR(G857),MONTH(G857),1)</f>
        <v/>
      </c>
    </row>
    <row r="858">
      <c r="A858" t="inlineStr">
        <is>
          <t>SPO-00472-2</t>
        </is>
      </c>
      <c r="B858" t="inlineStr">
        <is>
          <t>SPO-00472</t>
        </is>
      </c>
      <c r="C858" t="inlineStr">
        <is>
          <t>SUP-01</t>
        </is>
      </c>
      <c r="D858" t="inlineStr">
        <is>
          <t>ELEC</t>
        </is>
      </c>
      <c r="E858" t="inlineStr">
        <is>
          <t>ELEC-02</t>
        </is>
      </c>
      <c r="F858" s="17" t="n">
        <v>45689</v>
      </c>
      <c r="G858" s="17" t="n">
        <v>45707</v>
      </c>
      <c r="H858" s="18" t="n">
        <v>459</v>
      </c>
      <c r="I858" s="19" t="n">
        <v>4.13</v>
      </c>
      <c r="J858" s="19" t="n">
        <v>4.2</v>
      </c>
      <c r="K858" s="20" t="n">
        <v>0</v>
      </c>
      <c r="L858" s="20" t="n">
        <v>0</v>
      </c>
      <c r="M858" s="18" t="n">
        <v>459</v>
      </c>
      <c r="N858" s="18" t="n">
        <v>459</v>
      </c>
      <c r="O858" s="18" t="n">
        <v>0</v>
      </c>
      <c r="P858" s="17" t="n">
        <v>45707</v>
      </c>
      <c r="Q858" s="17" t="n">
        <v>45707</v>
      </c>
      <c r="R858" s="17" t="n">
        <v>45707</v>
      </c>
      <c r="S858" s="19">
        <f>H858*I858</f>
        <v/>
      </c>
      <c r="T858" s="19">
        <f>H858*J858</f>
        <v/>
      </c>
      <c r="U858">
        <f>IF(AND(K858=0,G858&lt;=Assumptions!$C$6),1,0)</f>
        <v/>
      </c>
      <c r="V858">
        <f>IF(U858=1,IF(M858&gt;0,IF(P858&lt;=G858+Assumptions!$C$7,1,0),0),0)</f>
        <v/>
      </c>
      <c r="W858">
        <f>IF(AND(U858=1,M858&gt;=H858*(1-Assumptions!$C$8)),1,0)</f>
        <v/>
      </c>
      <c r="X858">
        <f>IF(AND(U858=1,N858&gt;=H858*(1-Assumptions!$C$8)),1,0)</f>
        <v/>
      </c>
      <c r="Y858">
        <f>IF(ISNUMBER(Q858),1,0)</f>
        <v/>
      </c>
      <c r="Z858">
        <f>IF(AND(K858=0,L858=0,Y858=0),1,0)</f>
        <v/>
      </c>
      <c r="AA858">
        <f>IF(AND(Z858=1,G858&lt;Assumptions!$C$6),1,0)</f>
        <v/>
      </c>
      <c r="AB858">
        <f>IF(U858=0,"",IF(Y858=1,MAX(0,Q858-G858),IF(L858=1,MAX(0,R858-G858),MAX(0,Assumptions!$C$6-G858))))</f>
        <v/>
      </c>
      <c r="AC858">
        <f>IF(Y858=1,Q858-F858,"")</f>
        <v/>
      </c>
      <c r="AD858">
        <f>IF(Y858=1,AC858^2,"")</f>
        <v/>
      </c>
      <c r="AE858" s="19">
        <f>IF(Z858=1,(H858-M858)*I858,0)</f>
        <v/>
      </c>
      <c r="AF858">
        <f>IF(G858&lt;EDATE(Assumptions!$C$6,-12)+1,"prior_12m","last_12m")</f>
        <v/>
      </c>
      <c r="AG858" s="21">
        <f>DATE(YEAR(G858),MONTH(G858),1)</f>
        <v/>
      </c>
    </row>
    <row r="859">
      <c r="A859" t="inlineStr">
        <is>
          <t>SPO-00472-3</t>
        </is>
      </c>
      <c r="B859" t="inlineStr">
        <is>
          <t>SPO-00472</t>
        </is>
      </c>
      <c r="C859" t="inlineStr">
        <is>
          <t>SUP-01</t>
        </is>
      </c>
      <c r="D859" t="inlineStr">
        <is>
          <t>ELEC</t>
        </is>
      </c>
      <c r="E859" t="inlineStr">
        <is>
          <t>ELEC-04</t>
        </is>
      </c>
      <c r="F859" s="17" t="n">
        <v>45689</v>
      </c>
      <c r="G859" s="17" t="n">
        <v>45707</v>
      </c>
      <c r="H859" s="18" t="n">
        <v>55</v>
      </c>
      <c r="I859" s="19" t="n">
        <v>72.17</v>
      </c>
      <c r="J859" s="19" t="n">
        <v>72</v>
      </c>
      <c r="K859" s="20" t="n">
        <v>0</v>
      </c>
      <c r="L859" s="20" t="n">
        <v>0</v>
      </c>
      <c r="M859" s="18" t="n">
        <v>55</v>
      </c>
      <c r="N859" s="18" t="n">
        <v>55</v>
      </c>
      <c r="O859" s="18" t="n">
        <v>0</v>
      </c>
      <c r="P859" s="17" t="n">
        <v>45703</v>
      </c>
      <c r="Q859" s="17" t="n">
        <v>45703</v>
      </c>
      <c r="R859" s="17" t="n">
        <v>45703</v>
      </c>
      <c r="S859" s="19">
        <f>H859*I859</f>
        <v/>
      </c>
      <c r="T859" s="19">
        <f>H859*J859</f>
        <v/>
      </c>
      <c r="U859">
        <f>IF(AND(K859=0,G859&lt;=Assumptions!$C$6),1,0)</f>
        <v/>
      </c>
      <c r="V859">
        <f>IF(U859=1,IF(M859&gt;0,IF(P859&lt;=G859+Assumptions!$C$7,1,0),0),0)</f>
        <v/>
      </c>
      <c r="W859">
        <f>IF(AND(U859=1,M859&gt;=H859*(1-Assumptions!$C$8)),1,0)</f>
        <v/>
      </c>
      <c r="X859">
        <f>IF(AND(U859=1,N859&gt;=H859*(1-Assumptions!$C$8)),1,0)</f>
        <v/>
      </c>
      <c r="Y859">
        <f>IF(ISNUMBER(Q859),1,0)</f>
        <v/>
      </c>
      <c r="Z859">
        <f>IF(AND(K859=0,L859=0,Y859=0),1,0)</f>
        <v/>
      </c>
      <c r="AA859">
        <f>IF(AND(Z859=1,G859&lt;Assumptions!$C$6),1,0)</f>
        <v/>
      </c>
      <c r="AB859">
        <f>IF(U859=0,"",IF(Y859=1,MAX(0,Q859-G859),IF(L859=1,MAX(0,R859-G859),MAX(0,Assumptions!$C$6-G859))))</f>
        <v/>
      </c>
      <c r="AC859">
        <f>IF(Y859=1,Q859-F859,"")</f>
        <v/>
      </c>
      <c r="AD859">
        <f>IF(Y859=1,AC859^2,"")</f>
        <v/>
      </c>
      <c r="AE859" s="19">
        <f>IF(Z859=1,(H859-M859)*I859,0)</f>
        <v/>
      </c>
      <c r="AF859">
        <f>IF(G859&lt;EDATE(Assumptions!$C$6,-12)+1,"prior_12m","last_12m")</f>
        <v/>
      </c>
      <c r="AG859" s="21">
        <f>DATE(YEAR(G859),MONTH(G859),1)</f>
        <v/>
      </c>
    </row>
    <row r="860">
      <c r="A860" t="inlineStr">
        <is>
          <t>SPO-00473-1</t>
        </is>
      </c>
      <c r="B860" t="inlineStr">
        <is>
          <t>SPO-00473</t>
        </is>
      </c>
      <c r="C860" t="inlineStr">
        <is>
          <t>SUP-01</t>
        </is>
      </c>
      <c r="D860" t="inlineStr">
        <is>
          <t>ELEC</t>
        </is>
      </c>
      <c r="E860" t="inlineStr">
        <is>
          <t>ELEC-04</t>
        </is>
      </c>
      <c r="F860" s="17" t="n">
        <v>45690</v>
      </c>
      <c r="G860" s="17" t="n">
        <v>45708</v>
      </c>
      <c r="H860" s="18" t="n">
        <v>24</v>
      </c>
      <c r="I860" s="19" t="n">
        <v>73.66</v>
      </c>
      <c r="J860" s="19" t="n">
        <v>72</v>
      </c>
      <c r="K860" s="20" t="n">
        <v>0</v>
      </c>
      <c r="L860" s="20" t="n">
        <v>0</v>
      </c>
      <c r="M860" s="18" t="n">
        <v>24</v>
      </c>
      <c r="N860" s="18" t="n">
        <v>0</v>
      </c>
      <c r="O860" s="18" t="n">
        <v>0</v>
      </c>
      <c r="P860" s="17" t="n">
        <v>45709</v>
      </c>
      <c r="Q860" s="17" t="n">
        <v>45709</v>
      </c>
      <c r="R860" s="17" t="n">
        <v>45709</v>
      </c>
      <c r="S860" s="19">
        <f>H860*I860</f>
        <v/>
      </c>
      <c r="T860" s="19">
        <f>H860*J860</f>
        <v/>
      </c>
      <c r="U860">
        <f>IF(AND(K860=0,G860&lt;=Assumptions!$C$6),1,0)</f>
        <v/>
      </c>
      <c r="V860">
        <f>IF(U860=1,IF(M860&gt;0,IF(P860&lt;=G860+Assumptions!$C$7,1,0),0),0)</f>
        <v/>
      </c>
      <c r="W860">
        <f>IF(AND(U860=1,M860&gt;=H860*(1-Assumptions!$C$8)),1,0)</f>
        <v/>
      </c>
      <c r="X860">
        <f>IF(AND(U860=1,N860&gt;=H860*(1-Assumptions!$C$8)),1,0)</f>
        <v/>
      </c>
      <c r="Y860">
        <f>IF(ISNUMBER(Q860),1,0)</f>
        <v/>
      </c>
      <c r="Z860">
        <f>IF(AND(K860=0,L860=0,Y860=0),1,0)</f>
        <v/>
      </c>
      <c r="AA860">
        <f>IF(AND(Z860=1,G860&lt;Assumptions!$C$6),1,0)</f>
        <v/>
      </c>
      <c r="AB860">
        <f>IF(U860=0,"",IF(Y860=1,MAX(0,Q860-G860),IF(L860=1,MAX(0,R860-G860),MAX(0,Assumptions!$C$6-G860))))</f>
        <v/>
      </c>
      <c r="AC860">
        <f>IF(Y860=1,Q860-F860,"")</f>
        <v/>
      </c>
      <c r="AD860">
        <f>IF(Y860=1,AC860^2,"")</f>
        <v/>
      </c>
      <c r="AE860" s="19">
        <f>IF(Z860=1,(H860-M860)*I860,0)</f>
        <v/>
      </c>
      <c r="AF860">
        <f>IF(G860&lt;EDATE(Assumptions!$C$6,-12)+1,"prior_12m","last_12m")</f>
        <v/>
      </c>
      <c r="AG860" s="21">
        <f>DATE(YEAR(G860),MONTH(G860),1)</f>
        <v/>
      </c>
    </row>
    <row r="861">
      <c r="A861" t="inlineStr">
        <is>
          <t>SPO-00473-2</t>
        </is>
      </c>
      <c r="B861" t="inlineStr">
        <is>
          <t>SPO-00473</t>
        </is>
      </c>
      <c r="C861" t="inlineStr">
        <is>
          <t>SUP-01</t>
        </is>
      </c>
      <c r="D861" t="inlineStr">
        <is>
          <t>ELEC</t>
        </is>
      </c>
      <c r="E861" t="inlineStr">
        <is>
          <t>ELEC-07</t>
        </is>
      </c>
      <c r="F861" s="17" t="n">
        <v>45690</v>
      </c>
      <c r="G861" s="17" t="n">
        <v>45708</v>
      </c>
      <c r="H861" s="18" t="n">
        <v>310</v>
      </c>
      <c r="I861" s="19" t="n">
        <v>10.34</v>
      </c>
      <c r="J861" s="19" t="n">
        <v>9.800000000000001</v>
      </c>
      <c r="K861" s="20" t="n">
        <v>0</v>
      </c>
      <c r="L861" s="20" t="n">
        <v>0</v>
      </c>
      <c r="M861" s="18" t="n">
        <v>310</v>
      </c>
      <c r="N861" s="18" t="n">
        <v>310</v>
      </c>
      <c r="O861" s="18" t="n">
        <v>0</v>
      </c>
      <c r="P861" s="17" t="n">
        <v>45704</v>
      </c>
      <c r="Q861" s="17" t="n">
        <v>45704</v>
      </c>
      <c r="R861" s="17" t="n">
        <v>45704</v>
      </c>
      <c r="S861" s="19">
        <f>H861*I861</f>
        <v/>
      </c>
      <c r="T861" s="19">
        <f>H861*J861</f>
        <v/>
      </c>
      <c r="U861">
        <f>IF(AND(K861=0,G861&lt;=Assumptions!$C$6),1,0)</f>
        <v/>
      </c>
      <c r="V861">
        <f>IF(U861=1,IF(M861&gt;0,IF(P861&lt;=G861+Assumptions!$C$7,1,0),0),0)</f>
        <v/>
      </c>
      <c r="W861">
        <f>IF(AND(U861=1,M861&gt;=H861*(1-Assumptions!$C$8)),1,0)</f>
        <v/>
      </c>
      <c r="X861">
        <f>IF(AND(U861=1,N861&gt;=H861*(1-Assumptions!$C$8)),1,0)</f>
        <v/>
      </c>
      <c r="Y861">
        <f>IF(ISNUMBER(Q861),1,0)</f>
        <v/>
      </c>
      <c r="Z861">
        <f>IF(AND(K861=0,L861=0,Y861=0),1,0)</f>
        <v/>
      </c>
      <c r="AA861">
        <f>IF(AND(Z861=1,G861&lt;Assumptions!$C$6),1,0)</f>
        <v/>
      </c>
      <c r="AB861">
        <f>IF(U861=0,"",IF(Y861=1,MAX(0,Q861-G861),IF(L861=1,MAX(0,R861-G861),MAX(0,Assumptions!$C$6-G861))))</f>
        <v/>
      </c>
      <c r="AC861">
        <f>IF(Y861=1,Q861-F861,"")</f>
        <v/>
      </c>
      <c r="AD861">
        <f>IF(Y861=1,AC861^2,"")</f>
        <v/>
      </c>
      <c r="AE861" s="19">
        <f>IF(Z861=1,(H861-M861)*I861,0)</f>
        <v/>
      </c>
      <c r="AF861">
        <f>IF(G861&lt;EDATE(Assumptions!$C$6,-12)+1,"prior_12m","last_12m")</f>
        <v/>
      </c>
      <c r="AG861" s="21">
        <f>DATE(YEAR(G861),MONTH(G861),1)</f>
        <v/>
      </c>
    </row>
    <row r="862">
      <c r="A862" t="inlineStr">
        <is>
          <t>SPO-00473-3</t>
        </is>
      </c>
      <c r="B862" t="inlineStr">
        <is>
          <t>SPO-00473</t>
        </is>
      </c>
      <c r="C862" t="inlineStr">
        <is>
          <t>SUP-01</t>
        </is>
      </c>
      <c r="D862" t="inlineStr">
        <is>
          <t>ELEC</t>
        </is>
      </c>
      <c r="E862" t="inlineStr">
        <is>
          <t>ELEC-03</t>
        </is>
      </c>
      <c r="F862" s="17" t="n">
        <v>45690</v>
      </c>
      <c r="G862" s="17" t="n">
        <v>45708</v>
      </c>
      <c r="H862" s="18" t="n">
        <v>35</v>
      </c>
      <c r="I862" s="19" t="n">
        <v>93.45999999999999</v>
      </c>
      <c r="J862" s="19" t="n">
        <v>96</v>
      </c>
      <c r="K862" s="20" t="n">
        <v>0</v>
      </c>
      <c r="L862" s="20" t="n">
        <v>0</v>
      </c>
      <c r="M862" s="18" t="n">
        <v>35</v>
      </c>
      <c r="N862" s="18" t="n">
        <v>35</v>
      </c>
      <c r="O862" s="18" t="n">
        <v>0</v>
      </c>
      <c r="P862" s="17" t="n">
        <v>45701</v>
      </c>
      <c r="Q862" s="17" t="n">
        <v>45701</v>
      </c>
      <c r="R862" s="17" t="n">
        <v>45701</v>
      </c>
      <c r="S862" s="19">
        <f>H862*I862</f>
        <v/>
      </c>
      <c r="T862" s="19">
        <f>H862*J862</f>
        <v/>
      </c>
      <c r="U862">
        <f>IF(AND(K862=0,G862&lt;=Assumptions!$C$6),1,0)</f>
        <v/>
      </c>
      <c r="V862">
        <f>IF(U862=1,IF(M862&gt;0,IF(P862&lt;=G862+Assumptions!$C$7,1,0),0),0)</f>
        <v/>
      </c>
      <c r="W862">
        <f>IF(AND(U862=1,M862&gt;=H862*(1-Assumptions!$C$8)),1,0)</f>
        <v/>
      </c>
      <c r="X862">
        <f>IF(AND(U862=1,N862&gt;=H862*(1-Assumptions!$C$8)),1,0)</f>
        <v/>
      </c>
      <c r="Y862">
        <f>IF(ISNUMBER(Q862),1,0)</f>
        <v/>
      </c>
      <c r="Z862">
        <f>IF(AND(K862=0,L862=0,Y862=0),1,0)</f>
        <v/>
      </c>
      <c r="AA862">
        <f>IF(AND(Z862=1,G862&lt;Assumptions!$C$6),1,0)</f>
        <v/>
      </c>
      <c r="AB862">
        <f>IF(U862=0,"",IF(Y862=1,MAX(0,Q862-G862),IF(L862=1,MAX(0,R862-G862),MAX(0,Assumptions!$C$6-G862))))</f>
        <v/>
      </c>
      <c r="AC862">
        <f>IF(Y862=1,Q862-F862,"")</f>
        <v/>
      </c>
      <c r="AD862">
        <f>IF(Y862=1,AC862^2,"")</f>
        <v/>
      </c>
      <c r="AE862" s="19">
        <f>IF(Z862=1,(H862-M862)*I862,0)</f>
        <v/>
      </c>
      <c r="AF862">
        <f>IF(G862&lt;EDATE(Assumptions!$C$6,-12)+1,"prior_12m","last_12m")</f>
        <v/>
      </c>
      <c r="AG862" s="21">
        <f>DATE(YEAR(G862),MONTH(G862),1)</f>
        <v/>
      </c>
    </row>
    <row r="863">
      <c r="A863" t="inlineStr">
        <is>
          <t>SPO-00474-1</t>
        </is>
      </c>
      <c r="B863" t="inlineStr">
        <is>
          <t>SPO-00474</t>
        </is>
      </c>
      <c r="C863" t="inlineStr">
        <is>
          <t>SUP-10</t>
        </is>
      </c>
      <c r="D863" t="inlineStr">
        <is>
          <t>PPE</t>
        </is>
      </c>
      <c r="E863" t="inlineStr">
        <is>
          <t>PPE-04</t>
        </is>
      </c>
      <c r="F863" s="17" t="n">
        <v>45690</v>
      </c>
      <c r="G863" s="17" t="n">
        <v>45703</v>
      </c>
      <c r="H863" s="18" t="n">
        <v>228</v>
      </c>
      <c r="I863" s="19" t="n">
        <v>26.1</v>
      </c>
      <c r="J863" s="19" t="n">
        <v>26</v>
      </c>
      <c r="K863" s="20" t="n">
        <v>1</v>
      </c>
      <c r="L863" s="20" t="n">
        <v>0</v>
      </c>
      <c r="M863" s="18" t="n">
        <v>0</v>
      </c>
      <c r="N863" s="18" t="n">
        <v>0</v>
      </c>
      <c r="O863" s="18" t="n">
        <v>0</v>
      </c>
      <c r="P863" s="17" t="n"/>
      <c r="Q863" s="17" t="n"/>
      <c r="R863" s="17" t="n"/>
      <c r="S863" s="19">
        <f>H863*I863</f>
        <v/>
      </c>
      <c r="T863" s="19">
        <f>H863*J863</f>
        <v/>
      </c>
      <c r="U863">
        <f>IF(AND(K863=0,G863&lt;=Assumptions!$C$6),1,0)</f>
        <v/>
      </c>
      <c r="V863">
        <f>IF(U863=1,IF(M863&gt;0,IF(P863&lt;=G863+Assumptions!$C$7,1,0),0),0)</f>
        <v/>
      </c>
      <c r="W863">
        <f>IF(AND(U863=1,M863&gt;=H863*(1-Assumptions!$C$8)),1,0)</f>
        <v/>
      </c>
      <c r="X863">
        <f>IF(AND(U863=1,N863&gt;=H863*(1-Assumptions!$C$8)),1,0)</f>
        <v/>
      </c>
      <c r="Y863">
        <f>IF(ISNUMBER(Q863),1,0)</f>
        <v/>
      </c>
      <c r="Z863">
        <f>IF(AND(K863=0,L863=0,Y863=0),1,0)</f>
        <v/>
      </c>
      <c r="AA863">
        <f>IF(AND(Z863=1,G863&lt;Assumptions!$C$6),1,0)</f>
        <v/>
      </c>
      <c r="AB863">
        <f>IF(U863=0,"",IF(Y863=1,MAX(0,Q863-G863),IF(L863=1,MAX(0,R863-G863),MAX(0,Assumptions!$C$6-G863))))</f>
        <v/>
      </c>
      <c r="AC863">
        <f>IF(Y863=1,Q863-F863,"")</f>
        <v/>
      </c>
      <c r="AD863">
        <f>IF(Y863=1,AC863^2,"")</f>
        <v/>
      </c>
      <c r="AE863" s="19">
        <f>IF(Z863=1,(H863-M863)*I863,0)</f>
        <v/>
      </c>
      <c r="AF863">
        <f>IF(G863&lt;EDATE(Assumptions!$C$6,-12)+1,"prior_12m","last_12m")</f>
        <v/>
      </c>
      <c r="AG863" s="21">
        <f>DATE(YEAR(G863),MONTH(G863),1)</f>
        <v/>
      </c>
    </row>
    <row r="864">
      <c r="A864" t="inlineStr">
        <is>
          <t>SPO-00475-1</t>
        </is>
      </c>
      <c r="B864" t="inlineStr">
        <is>
          <t>SPO-00475</t>
        </is>
      </c>
      <c r="C864" t="inlineStr">
        <is>
          <t>SUP-02</t>
        </is>
      </c>
      <c r="D864" t="inlineStr">
        <is>
          <t>ELEC</t>
        </is>
      </c>
      <c r="E864" t="inlineStr">
        <is>
          <t>ELEC-01</t>
        </is>
      </c>
      <c r="F864" s="17" t="n">
        <v>45690</v>
      </c>
      <c r="G864" s="17" t="n">
        <v>45706</v>
      </c>
      <c r="H864" s="18" t="n">
        <v>43</v>
      </c>
      <c r="I864" s="19" t="n">
        <v>40.34</v>
      </c>
      <c r="J864" s="19" t="n">
        <v>38</v>
      </c>
      <c r="K864" s="20" t="n">
        <v>0</v>
      </c>
      <c r="L864" s="20" t="n">
        <v>0</v>
      </c>
      <c r="M864" s="18" t="n">
        <v>43</v>
      </c>
      <c r="N864" s="18" t="n">
        <v>43</v>
      </c>
      <c r="O864" s="18" t="n">
        <v>0</v>
      </c>
      <c r="P864" s="17" t="n">
        <v>45702</v>
      </c>
      <c r="Q864" s="17" t="n">
        <v>45702</v>
      </c>
      <c r="R864" s="17" t="n">
        <v>45702</v>
      </c>
      <c r="S864" s="19">
        <f>H864*I864</f>
        <v/>
      </c>
      <c r="T864" s="19">
        <f>H864*J864</f>
        <v/>
      </c>
      <c r="U864">
        <f>IF(AND(K864=0,G864&lt;=Assumptions!$C$6),1,0)</f>
        <v/>
      </c>
      <c r="V864">
        <f>IF(U864=1,IF(M864&gt;0,IF(P864&lt;=G864+Assumptions!$C$7,1,0),0),0)</f>
        <v/>
      </c>
      <c r="W864">
        <f>IF(AND(U864=1,M864&gt;=H864*(1-Assumptions!$C$8)),1,0)</f>
        <v/>
      </c>
      <c r="X864">
        <f>IF(AND(U864=1,N864&gt;=H864*(1-Assumptions!$C$8)),1,0)</f>
        <v/>
      </c>
      <c r="Y864">
        <f>IF(ISNUMBER(Q864),1,0)</f>
        <v/>
      </c>
      <c r="Z864">
        <f>IF(AND(K864=0,L864=0,Y864=0),1,0)</f>
        <v/>
      </c>
      <c r="AA864">
        <f>IF(AND(Z864=1,G864&lt;Assumptions!$C$6),1,0)</f>
        <v/>
      </c>
      <c r="AB864">
        <f>IF(U864=0,"",IF(Y864=1,MAX(0,Q864-G864),IF(L864=1,MAX(0,R864-G864),MAX(0,Assumptions!$C$6-G864))))</f>
        <v/>
      </c>
      <c r="AC864">
        <f>IF(Y864=1,Q864-F864,"")</f>
        <v/>
      </c>
      <c r="AD864">
        <f>IF(Y864=1,AC864^2,"")</f>
        <v/>
      </c>
      <c r="AE864" s="19">
        <f>IF(Z864=1,(H864-M864)*I864,0)</f>
        <v/>
      </c>
      <c r="AF864">
        <f>IF(G864&lt;EDATE(Assumptions!$C$6,-12)+1,"prior_12m","last_12m")</f>
        <v/>
      </c>
      <c r="AG864" s="21">
        <f>DATE(YEAR(G864),MONTH(G864),1)</f>
        <v/>
      </c>
    </row>
    <row r="865">
      <c r="A865" t="inlineStr">
        <is>
          <t>SPO-00476-1</t>
        </is>
      </c>
      <c r="B865" t="inlineStr">
        <is>
          <t>SPO-00476</t>
        </is>
      </c>
      <c r="C865" t="inlineStr">
        <is>
          <t>SUP-07</t>
        </is>
      </c>
      <c r="D865" t="inlineStr">
        <is>
          <t>MRO</t>
        </is>
      </c>
      <c r="E865" t="inlineStr">
        <is>
          <t>MRO-07</t>
        </is>
      </c>
      <c r="F865" s="17" t="n">
        <v>45690</v>
      </c>
      <c r="G865" s="17" t="n">
        <v>45700</v>
      </c>
      <c r="H865" s="18" t="n">
        <v>182</v>
      </c>
      <c r="I865" s="19" t="n">
        <v>14.01</v>
      </c>
      <c r="J865" s="19" t="n">
        <v>14</v>
      </c>
      <c r="K865" s="20" t="n">
        <v>0</v>
      </c>
      <c r="L865" s="20" t="n">
        <v>0</v>
      </c>
      <c r="M865" s="18" t="n">
        <v>182</v>
      </c>
      <c r="N865" s="18" t="n">
        <v>182</v>
      </c>
      <c r="O865" s="18" t="n">
        <v>0</v>
      </c>
      <c r="P865" s="17" t="n">
        <v>45694</v>
      </c>
      <c r="Q865" s="17" t="n">
        <v>45694</v>
      </c>
      <c r="R865" s="17" t="n">
        <v>45694</v>
      </c>
      <c r="S865" s="19">
        <f>H865*I865</f>
        <v/>
      </c>
      <c r="T865" s="19">
        <f>H865*J865</f>
        <v/>
      </c>
      <c r="U865">
        <f>IF(AND(K865=0,G865&lt;=Assumptions!$C$6),1,0)</f>
        <v/>
      </c>
      <c r="V865">
        <f>IF(U865=1,IF(M865&gt;0,IF(P865&lt;=G865+Assumptions!$C$7,1,0),0),0)</f>
        <v/>
      </c>
      <c r="W865">
        <f>IF(AND(U865=1,M865&gt;=H865*(1-Assumptions!$C$8)),1,0)</f>
        <v/>
      </c>
      <c r="X865">
        <f>IF(AND(U865=1,N865&gt;=H865*(1-Assumptions!$C$8)),1,0)</f>
        <v/>
      </c>
      <c r="Y865">
        <f>IF(ISNUMBER(Q865),1,0)</f>
        <v/>
      </c>
      <c r="Z865">
        <f>IF(AND(K865=0,L865=0,Y865=0),1,0)</f>
        <v/>
      </c>
      <c r="AA865">
        <f>IF(AND(Z865=1,G865&lt;Assumptions!$C$6),1,0)</f>
        <v/>
      </c>
      <c r="AB865">
        <f>IF(U865=0,"",IF(Y865=1,MAX(0,Q865-G865),IF(L865=1,MAX(0,R865-G865),MAX(0,Assumptions!$C$6-G865))))</f>
        <v/>
      </c>
      <c r="AC865">
        <f>IF(Y865=1,Q865-F865,"")</f>
        <v/>
      </c>
      <c r="AD865">
        <f>IF(Y865=1,AC865^2,"")</f>
        <v/>
      </c>
      <c r="AE865" s="19">
        <f>IF(Z865=1,(H865-M865)*I865,0)</f>
        <v/>
      </c>
      <c r="AF865">
        <f>IF(G865&lt;EDATE(Assumptions!$C$6,-12)+1,"prior_12m","last_12m")</f>
        <v/>
      </c>
      <c r="AG865" s="21">
        <f>DATE(YEAR(G865),MONTH(G865),1)</f>
        <v/>
      </c>
    </row>
    <row r="866">
      <c r="A866" t="inlineStr">
        <is>
          <t>SPO-00477-1</t>
        </is>
      </c>
      <c r="B866" t="inlineStr">
        <is>
          <t>SPO-00477</t>
        </is>
      </c>
      <c r="C866" t="inlineStr">
        <is>
          <t>SUP-04</t>
        </is>
      </c>
      <c r="D866" t="inlineStr">
        <is>
          <t>FLEET</t>
        </is>
      </c>
      <c r="E866" t="inlineStr">
        <is>
          <t>FLEET-08</t>
        </is>
      </c>
      <c r="F866" s="17" t="n">
        <v>45691</v>
      </c>
      <c r="G866" s="17" t="n">
        <v>45704</v>
      </c>
      <c r="H866" s="18" t="n">
        <v>309</v>
      </c>
      <c r="I866" s="19" t="n">
        <v>6.47</v>
      </c>
      <c r="J866" s="19" t="n">
        <v>6.4</v>
      </c>
      <c r="K866" s="20" t="n">
        <v>0</v>
      </c>
      <c r="L866" s="20" t="n">
        <v>1</v>
      </c>
      <c r="M866" s="18" t="n">
        <v>192</v>
      </c>
      <c r="N866" s="18" t="n">
        <v>0</v>
      </c>
      <c r="O866" s="18" t="n">
        <v>0</v>
      </c>
      <c r="P866" s="17" t="n">
        <v>45706</v>
      </c>
      <c r="Q866" s="17" t="n"/>
      <c r="R866" s="17" t="n">
        <v>45706</v>
      </c>
      <c r="S866" s="19">
        <f>H866*I866</f>
        <v/>
      </c>
      <c r="T866" s="19">
        <f>H866*J866</f>
        <v/>
      </c>
      <c r="U866">
        <f>IF(AND(K866=0,G866&lt;=Assumptions!$C$6),1,0)</f>
        <v/>
      </c>
      <c r="V866">
        <f>IF(U866=1,IF(M866&gt;0,IF(P866&lt;=G866+Assumptions!$C$7,1,0),0),0)</f>
        <v/>
      </c>
      <c r="W866">
        <f>IF(AND(U866=1,M866&gt;=H866*(1-Assumptions!$C$8)),1,0)</f>
        <v/>
      </c>
      <c r="X866">
        <f>IF(AND(U866=1,N866&gt;=H866*(1-Assumptions!$C$8)),1,0)</f>
        <v/>
      </c>
      <c r="Y866">
        <f>IF(ISNUMBER(Q866),1,0)</f>
        <v/>
      </c>
      <c r="Z866">
        <f>IF(AND(K866=0,L866=0,Y866=0),1,0)</f>
        <v/>
      </c>
      <c r="AA866">
        <f>IF(AND(Z866=1,G866&lt;Assumptions!$C$6),1,0)</f>
        <v/>
      </c>
      <c r="AB866">
        <f>IF(U866=0,"",IF(Y866=1,MAX(0,Q866-G866),IF(L866=1,MAX(0,R866-G866),MAX(0,Assumptions!$C$6-G866))))</f>
        <v/>
      </c>
      <c r="AC866">
        <f>IF(Y866=1,Q866-F866,"")</f>
        <v/>
      </c>
      <c r="AD866">
        <f>IF(Y866=1,AC866^2,"")</f>
        <v/>
      </c>
      <c r="AE866" s="19">
        <f>IF(Z866=1,(H866-M866)*I866,0)</f>
        <v/>
      </c>
      <c r="AF866">
        <f>IF(G866&lt;EDATE(Assumptions!$C$6,-12)+1,"prior_12m","last_12m")</f>
        <v/>
      </c>
      <c r="AG866" s="21">
        <f>DATE(YEAR(G866),MONTH(G866),1)</f>
        <v/>
      </c>
    </row>
    <row r="867">
      <c r="A867" t="inlineStr">
        <is>
          <t>SPO-00478-1</t>
        </is>
      </c>
      <c r="B867" t="inlineStr">
        <is>
          <t>SPO-00478</t>
        </is>
      </c>
      <c r="C867" t="inlineStr">
        <is>
          <t>SUP-06</t>
        </is>
      </c>
      <c r="D867" t="inlineStr">
        <is>
          <t>MRO</t>
        </is>
      </c>
      <c r="E867" t="inlineStr">
        <is>
          <t>MRO-03</t>
        </is>
      </c>
      <c r="F867" s="17" t="n">
        <v>45691</v>
      </c>
      <c r="G867" s="17" t="n">
        <v>45699</v>
      </c>
      <c r="H867" s="18" t="n">
        <v>168</v>
      </c>
      <c r="I867" s="19" t="n">
        <v>8.779999999999999</v>
      </c>
      <c r="J867" s="19" t="n">
        <v>8.9</v>
      </c>
      <c r="K867" s="20" t="n">
        <v>0</v>
      </c>
      <c r="L867" s="20" t="n">
        <v>0</v>
      </c>
      <c r="M867" s="18" t="n">
        <v>168</v>
      </c>
      <c r="N867" s="18" t="n">
        <v>168</v>
      </c>
      <c r="O867" s="18" t="n">
        <v>0</v>
      </c>
      <c r="P867" s="17" t="n">
        <v>45698</v>
      </c>
      <c r="Q867" s="17" t="n">
        <v>45698</v>
      </c>
      <c r="R867" s="17" t="n">
        <v>45698</v>
      </c>
      <c r="S867" s="19">
        <f>H867*I867</f>
        <v/>
      </c>
      <c r="T867" s="19">
        <f>H867*J867</f>
        <v/>
      </c>
      <c r="U867">
        <f>IF(AND(K867=0,G867&lt;=Assumptions!$C$6),1,0)</f>
        <v/>
      </c>
      <c r="V867">
        <f>IF(U867=1,IF(M867&gt;0,IF(P867&lt;=G867+Assumptions!$C$7,1,0),0),0)</f>
        <v/>
      </c>
      <c r="W867">
        <f>IF(AND(U867=1,M867&gt;=H867*(1-Assumptions!$C$8)),1,0)</f>
        <v/>
      </c>
      <c r="X867">
        <f>IF(AND(U867=1,N867&gt;=H867*(1-Assumptions!$C$8)),1,0)</f>
        <v/>
      </c>
      <c r="Y867">
        <f>IF(ISNUMBER(Q867),1,0)</f>
        <v/>
      </c>
      <c r="Z867">
        <f>IF(AND(K867=0,L867=0,Y867=0),1,0)</f>
        <v/>
      </c>
      <c r="AA867">
        <f>IF(AND(Z867=1,G867&lt;Assumptions!$C$6),1,0)</f>
        <v/>
      </c>
      <c r="AB867">
        <f>IF(U867=0,"",IF(Y867=1,MAX(0,Q867-G867),IF(L867=1,MAX(0,R867-G867),MAX(0,Assumptions!$C$6-G867))))</f>
        <v/>
      </c>
      <c r="AC867">
        <f>IF(Y867=1,Q867-F867,"")</f>
        <v/>
      </c>
      <c r="AD867">
        <f>IF(Y867=1,AC867^2,"")</f>
        <v/>
      </c>
      <c r="AE867" s="19">
        <f>IF(Z867=1,(H867-M867)*I867,0)</f>
        <v/>
      </c>
      <c r="AF867">
        <f>IF(G867&lt;EDATE(Assumptions!$C$6,-12)+1,"prior_12m","last_12m")</f>
        <v/>
      </c>
      <c r="AG867" s="21">
        <f>DATE(YEAR(G867),MONTH(G867),1)</f>
        <v/>
      </c>
    </row>
    <row r="868">
      <c r="A868" t="inlineStr">
        <is>
          <t>SPO-00479-1</t>
        </is>
      </c>
      <c r="B868" t="inlineStr">
        <is>
          <t>SPO-00479</t>
        </is>
      </c>
      <c r="C868" t="inlineStr">
        <is>
          <t>SUP-11</t>
        </is>
      </c>
      <c r="D868" t="inlineStr">
        <is>
          <t>PPE</t>
        </is>
      </c>
      <c r="E868" t="inlineStr">
        <is>
          <t>PPE-03</t>
        </is>
      </c>
      <c r="F868" s="17" t="n">
        <v>45691</v>
      </c>
      <c r="G868" s="17" t="n">
        <v>45703</v>
      </c>
      <c r="H868" s="18" t="n">
        <v>59</v>
      </c>
      <c r="I868" s="19" t="n">
        <v>20.38</v>
      </c>
      <c r="J868" s="19" t="n">
        <v>21</v>
      </c>
      <c r="K868" s="20" t="n">
        <v>0</v>
      </c>
      <c r="L868" s="20" t="n">
        <v>0</v>
      </c>
      <c r="M868" s="18" t="n">
        <v>59</v>
      </c>
      <c r="N868" s="18" t="n">
        <v>59</v>
      </c>
      <c r="O868" s="18" t="n">
        <v>0</v>
      </c>
      <c r="P868" s="17" t="n">
        <v>45701</v>
      </c>
      <c r="Q868" s="17" t="n">
        <v>45701</v>
      </c>
      <c r="R868" s="17" t="n">
        <v>45701</v>
      </c>
      <c r="S868" s="19">
        <f>H868*I868</f>
        <v/>
      </c>
      <c r="T868" s="19">
        <f>H868*J868</f>
        <v/>
      </c>
      <c r="U868">
        <f>IF(AND(K868=0,G868&lt;=Assumptions!$C$6),1,0)</f>
        <v/>
      </c>
      <c r="V868">
        <f>IF(U868=1,IF(M868&gt;0,IF(P868&lt;=G868+Assumptions!$C$7,1,0),0),0)</f>
        <v/>
      </c>
      <c r="W868">
        <f>IF(AND(U868=1,M868&gt;=H868*(1-Assumptions!$C$8)),1,0)</f>
        <v/>
      </c>
      <c r="X868">
        <f>IF(AND(U868=1,N868&gt;=H868*(1-Assumptions!$C$8)),1,0)</f>
        <v/>
      </c>
      <c r="Y868">
        <f>IF(ISNUMBER(Q868),1,0)</f>
        <v/>
      </c>
      <c r="Z868">
        <f>IF(AND(K868=0,L868=0,Y868=0),1,0)</f>
        <v/>
      </c>
      <c r="AA868">
        <f>IF(AND(Z868=1,G868&lt;Assumptions!$C$6),1,0)</f>
        <v/>
      </c>
      <c r="AB868">
        <f>IF(U868=0,"",IF(Y868=1,MAX(0,Q868-G868),IF(L868=1,MAX(0,R868-G868),MAX(0,Assumptions!$C$6-G868))))</f>
        <v/>
      </c>
      <c r="AC868">
        <f>IF(Y868=1,Q868-F868,"")</f>
        <v/>
      </c>
      <c r="AD868">
        <f>IF(Y868=1,AC868^2,"")</f>
        <v/>
      </c>
      <c r="AE868" s="19">
        <f>IF(Z868=1,(H868-M868)*I868,0)</f>
        <v/>
      </c>
      <c r="AF868">
        <f>IF(G868&lt;EDATE(Assumptions!$C$6,-12)+1,"prior_12m","last_12m")</f>
        <v/>
      </c>
      <c r="AG868" s="21">
        <f>DATE(YEAR(G868),MONTH(G868),1)</f>
        <v/>
      </c>
    </row>
    <row r="869">
      <c r="A869" t="inlineStr">
        <is>
          <t>SPO-00479-2</t>
        </is>
      </c>
      <c r="B869" t="inlineStr">
        <is>
          <t>SPO-00479</t>
        </is>
      </c>
      <c r="C869" t="inlineStr">
        <is>
          <t>SUP-11</t>
        </is>
      </c>
      <c r="D869" t="inlineStr">
        <is>
          <t>PPE</t>
        </is>
      </c>
      <c r="E869" t="inlineStr">
        <is>
          <t>PPE-01</t>
        </is>
      </c>
      <c r="F869" s="17" t="n">
        <v>45691</v>
      </c>
      <c r="G869" s="17" t="n">
        <v>45703</v>
      </c>
      <c r="H869" s="18" t="n">
        <v>198</v>
      </c>
      <c r="I869" s="19" t="n">
        <v>4.9</v>
      </c>
      <c r="J869" s="19" t="n">
        <v>4.8</v>
      </c>
      <c r="K869" s="20" t="n">
        <v>0</v>
      </c>
      <c r="L869" s="20" t="n">
        <v>0</v>
      </c>
      <c r="M869" s="18" t="n">
        <v>198</v>
      </c>
      <c r="N869" s="18" t="n">
        <v>89</v>
      </c>
      <c r="O869" s="18" t="n">
        <v>0</v>
      </c>
      <c r="P869" s="17" t="n">
        <v>45699</v>
      </c>
      <c r="Q869" s="17" t="n">
        <v>45716</v>
      </c>
      <c r="R869" s="17" t="n">
        <v>45716</v>
      </c>
      <c r="S869" s="19">
        <f>H869*I869</f>
        <v/>
      </c>
      <c r="T869" s="19">
        <f>H869*J869</f>
        <v/>
      </c>
      <c r="U869">
        <f>IF(AND(K869=0,G869&lt;=Assumptions!$C$6),1,0)</f>
        <v/>
      </c>
      <c r="V869">
        <f>IF(U869=1,IF(M869&gt;0,IF(P869&lt;=G869+Assumptions!$C$7,1,0),0),0)</f>
        <v/>
      </c>
      <c r="W869">
        <f>IF(AND(U869=1,M869&gt;=H869*(1-Assumptions!$C$8)),1,0)</f>
        <v/>
      </c>
      <c r="X869">
        <f>IF(AND(U869=1,N869&gt;=H869*(1-Assumptions!$C$8)),1,0)</f>
        <v/>
      </c>
      <c r="Y869">
        <f>IF(ISNUMBER(Q869),1,0)</f>
        <v/>
      </c>
      <c r="Z869">
        <f>IF(AND(K869=0,L869=0,Y869=0),1,0)</f>
        <v/>
      </c>
      <c r="AA869">
        <f>IF(AND(Z869=1,G869&lt;Assumptions!$C$6),1,0)</f>
        <v/>
      </c>
      <c r="AB869">
        <f>IF(U869=0,"",IF(Y869=1,MAX(0,Q869-G869),IF(L869=1,MAX(0,R869-G869),MAX(0,Assumptions!$C$6-G869))))</f>
        <v/>
      </c>
      <c r="AC869">
        <f>IF(Y869=1,Q869-F869,"")</f>
        <v/>
      </c>
      <c r="AD869">
        <f>IF(Y869=1,AC869^2,"")</f>
        <v/>
      </c>
      <c r="AE869" s="19">
        <f>IF(Z869=1,(H869-M869)*I869,0)</f>
        <v/>
      </c>
      <c r="AF869">
        <f>IF(G869&lt;EDATE(Assumptions!$C$6,-12)+1,"prior_12m","last_12m")</f>
        <v/>
      </c>
      <c r="AG869" s="21">
        <f>DATE(YEAR(G869),MONTH(G869),1)</f>
        <v/>
      </c>
    </row>
    <row r="870">
      <c r="A870" t="inlineStr">
        <is>
          <t>SPO-00479-3</t>
        </is>
      </c>
      <c r="B870" t="inlineStr">
        <is>
          <t>SPO-00479</t>
        </is>
      </c>
      <c r="C870" t="inlineStr">
        <is>
          <t>SUP-11</t>
        </is>
      </c>
      <c r="D870" t="inlineStr">
        <is>
          <t>PPE</t>
        </is>
      </c>
      <c r="E870" t="inlineStr">
        <is>
          <t>PPE-02</t>
        </is>
      </c>
      <c r="F870" s="17" t="n">
        <v>45691</v>
      </c>
      <c r="G870" s="17" t="n">
        <v>45703</v>
      </c>
      <c r="H870" s="18" t="n">
        <v>89</v>
      </c>
      <c r="I870" s="19" t="n">
        <v>12.92</v>
      </c>
      <c r="J870" s="19" t="n">
        <v>12.5</v>
      </c>
      <c r="K870" s="20" t="n">
        <v>0</v>
      </c>
      <c r="L870" s="20" t="n">
        <v>0</v>
      </c>
      <c r="M870" s="18" t="n">
        <v>89</v>
      </c>
      <c r="N870" s="18" t="n">
        <v>89</v>
      </c>
      <c r="O870" s="18" t="n">
        <v>0</v>
      </c>
      <c r="P870" s="17" t="n">
        <v>45700</v>
      </c>
      <c r="Q870" s="17" t="n">
        <v>45700</v>
      </c>
      <c r="R870" s="17" t="n">
        <v>45700</v>
      </c>
      <c r="S870" s="19">
        <f>H870*I870</f>
        <v/>
      </c>
      <c r="T870" s="19">
        <f>H870*J870</f>
        <v/>
      </c>
      <c r="U870">
        <f>IF(AND(K870=0,G870&lt;=Assumptions!$C$6),1,0)</f>
        <v/>
      </c>
      <c r="V870">
        <f>IF(U870=1,IF(M870&gt;0,IF(P870&lt;=G870+Assumptions!$C$7,1,0),0),0)</f>
        <v/>
      </c>
      <c r="W870">
        <f>IF(AND(U870=1,M870&gt;=H870*(1-Assumptions!$C$8)),1,0)</f>
        <v/>
      </c>
      <c r="X870">
        <f>IF(AND(U870=1,N870&gt;=H870*(1-Assumptions!$C$8)),1,0)</f>
        <v/>
      </c>
      <c r="Y870">
        <f>IF(ISNUMBER(Q870),1,0)</f>
        <v/>
      </c>
      <c r="Z870">
        <f>IF(AND(K870=0,L870=0,Y870=0),1,0)</f>
        <v/>
      </c>
      <c r="AA870">
        <f>IF(AND(Z870=1,G870&lt;Assumptions!$C$6),1,0)</f>
        <v/>
      </c>
      <c r="AB870">
        <f>IF(U870=0,"",IF(Y870=1,MAX(0,Q870-G870),IF(L870=1,MAX(0,R870-G870),MAX(0,Assumptions!$C$6-G870))))</f>
        <v/>
      </c>
      <c r="AC870">
        <f>IF(Y870=1,Q870-F870,"")</f>
        <v/>
      </c>
      <c r="AD870">
        <f>IF(Y870=1,AC870^2,"")</f>
        <v/>
      </c>
      <c r="AE870" s="19">
        <f>IF(Z870=1,(H870-M870)*I870,0)</f>
        <v/>
      </c>
      <c r="AF870">
        <f>IF(G870&lt;EDATE(Assumptions!$C$6,-12)+1,"prior_12m","last_12m")</f>
        <v/>
      </c>
      <c r="AG870" s="21">
        <f>DATE(YEAR(G870),MONTH(G870),1)</f>
        <v/>
      </c>
    </row>
    <row r="871">
      <c r="A871" t="inlineStr">
        <is>
          <t>SPO-00480-1</t>
        </is>
      </c>
      <c r="B871" t="inlineStr">
        <is>
          <t>SPO-00480</t>
        </is>
      </c>
      <c r="C871" t="inlineStr">
        <is>
          <t>SUP-04</t>
        </is>
      </c>
      <c r="D871" t="inlineStr">
        <is>
          <t>FLEET</t>
        </is>
      </c>
      <c r="E871" t="inlineStr">
        <is>
          <t>FLEET-03</t>
        </is>
      </c>
      <c r="F871" s="17" t="n">
        <v>45692</v>
      </c>
      <c r="G871" s="17" t="n">
        <v>45705</v>
      </c>
      <c r="H871" s="18" t="n">
        <v>76</v>
      </c>
      <c r="I871" s="19" t="n">
        <v>20.96</v>
      </c>
      <c r="J871" s="19" t="n">
        <v>21</v>
      </c>
      <c r="K871" s="20" t="n">
        <v>0</v>
      </c>
      <c r="L871" s="20" t="n">
        <v>0</v>
      </c>
      <c r="M871" s="18" t="n">
        <v>76</v>
      </c>
      <c r="N871" s="18" t="n">
        <v>0</v>
      </c>
      <c r="O871" s="18" t="n">
        <v>0</v>
      </c>
      <c r="P871" s="17" t="n">
        <v>45708</v>
      </c>
      <c r="Q871" s="17" t="n">
        <v>45708</v>
      </c>
      <c r="R871" s="17" t="n">
        <v>45708</v>
      </c>
      <c r="S871" s="19">
        <f>H871*I871</f>
        <v/>
      </c>
      <c r="T871" s="19">
        <f>H871*J871</f>
        <v/>
      </c>
      <c r="U871">
        <f>IF(AND(K871=0,G871&lt;=Assumptions!$C$6),1,0)</f>
        <v/>
      </c>
      <c r="V871">
        <f>IF(U871=1,IF(M871&gt;0,IF(P871&lt;=G871+Assumptions!$C$7,1,0),0),0)</f>
        <v/>
      </c>
      <c r="W871">
        <f>IF(AND(U871=1,M871&gt;=H871*(1-Assumptions!$C$8)),1,0)</f>
        <v/>
      </c>
      <c r="X871">
        <f>IF(AND(U871=1,N871&gt;=H871*(1-Assumptions!$C$8)),1,0)</f>
        <v/>
      </c>
      <c r="Y871">
        <f>IF(ISNUMBER(Q871),1,0)</f>
        <v/>
      </c>
      <c r="Z871">
        <f>IF(AND(K871=0,L871=0,Y871=0),1,0)</f>
        <v/>
      </c>
      <c r="AA871">
        <f>IF(AND(Z871=1,G871&lt;Assumptions!$C$6),1,0)</f>
        <v/>
      </c>
      <c r="AB871">
        <f>IF(U871=0,"",IF(Y871=1,MAX(0,Q871-G871),IF(L871=1,MAX(0,R871-G871),MAX(0,Assumptions!$C$6-G871))))</f>
        <v/>
      </c>
      <c r="AC871">
        <f>IF(Y871=1,Q871-F871,"")</f>
        <v/>
      </c>
      <c r="AD871">
        <f>IF(Y871=1,AC871^2,"")</f>
        <v/>
      </c>
      <c r="AE871" s="19">
        <f>IF(Z871=1,(H871-M871)*I871,0)</f>
        <v/>
      </c>
      <c r="AF871">
        <f>IF(G871&lt;EDATE(Assumptions!$C$6,-12)+1,"prior_12m","last_12m")</f>
        <v/>
      </c>
      <c r="AG871" s="21">
        <f>DATE(YEAR(G871),MONTH(G871),1)</f>
        <v/>
      </c>
    </row>
    <row r="872">
      <c r="A872" t="inlineStr">
        <is>
          <t>SPO-00481-1</t>
        </is>
      </c>
      <c r="B872" t="inlineStr">
        <is>
          <t>SPO-00481</t>
        </is>
      </c>
      <c r="C872" t="inlineStr">
        <is>
          <t>SUP-01</t>
        </is>
      </c>
      <c r="D872" t="inlineStr">
        <is>
          <t>ELEC</t>
        </is>
      </c>
      <c r="E872" t="inlineStr">
        <is>
          <t>ELEC-02</t>
        </is>
      </c>
      <c r="F872" s="17" t="n">
        <v>45692</v>
      </c>
      <c r="G872" s="17" t="n">
        <v>45710</v>
      </c>
      <c r="H872" s="18" t="n">
        <v>880</v>
      </c>
      <c r="I872" s="19" t="n">
        <v>4.2</v>
      </c>
      <c r="J872" s="19" t="n">
        <v>4.2</v>
      </c>
      <c r="K872" s="20" t="n">
        <v>0</v>
      </c>
      <c r="L872" s="20" t="n">
        <v>0</v>
      </c>
      <c r="M872" s="18" t="n">
        <v>880</v>
      </c>
      <c r="N872" s="18" t="n">
        <v>880</v>
      </c>
      <c r="O872" s="18" t="n">
        <v>0</v>
      </c>
      <c r="P872" s="17" t="n">
        <v>45706</v>
      </c>
      <c r="Q872" s="17" t="n">
        <v>45706</v>
      </c>
      <c r="R872" s="17" t="n">
        <v>45706</v>
      </c>
      <c r="S872" s="19">
        <f>H872*I872</f>
        <v/>
      </c>
      <c r="T872" s="19">
        <f>H872*J872</f>
        <v/>
      </c>
      <c r="U872">
        <f>IF(AND(K872=0,G872&lt;=Assumptions!$C$6),1,0)</f>
        <v/>
      </c>
      <c r="V872">
        <f>IF(U872=1,IF(M872&gt;0,IF(P872&lt;=G872+Assumptions!$C$7,1,0),0),0)</f>
        <v/>
      </c>
      <c r="W872">
        <f>IF(AND(U872=1,M872&gt;=H872*(1-Assumptions!$C$8)),1,0)</f>
        <v/>
      </c>
      <c r="X872">
        <f>IF(AND(U872=1,N872&gt;=H872*(1-Assumptions!$C$8)),1,0)</f>
        <v/>
      </c>
      <c r="Y872">
        <f>IF(ISNUMBER(Q872),1,0)</f>
        <v/>
      </c>
      <c r="Z872">
        <f>IF(AND(K872=0,L872=0,Y872=0),1,0)</f>
        <v/>
      </c>
      <c r="AA872">
        <f>IF(AND(Z872=1,G872&lt;Assumptions!$C$6),1,0)</f>
        <v/>
      </c>
      <c r="AB872">
        <f>IF(U872=0,"",IF(Y872=1,MAX(0,Q872-G872),IF(L872=1,MAX(0,R872-G872),MAX(0,Assumptions!$C$6-G872))))</f>
        <v/>
      </c>
      <c r="AC872">
        <f>IF(Y872=1,Q872-F872,"")</f>
        <v/>
      </c>
      <c r="AD872">
        <f>IF(Y872=1,AC872^2,"")</f>
        <v/>
      </c>
      <c r="AE872" s="19">
        <f>IF(Z872=1,(H872-M872)*I872,0)</f>
        <v/>
      </c>
      <c r="AF872">
        <f>IF(G872&lt;EDATE(Assumptions!$C$6,-12)+1,"prior_12m","last_12m")</f>
        <v/>
      </c>
      <c r="AG872" s="21">
        <f>DATE(YEAR(G872),MONTH(G872),1)</f>
        <v/>
      </c>
    </row>
    <row r="873">
      <c r="A873" t="inlineStr">
        <is>
          <t>SPO-00481-2</t>
        </is>
      </c>
      <c r="B873" t="inlineStr">
        <is>
          <t>SPO-00481</t>
        </is>
      </c>
      <c r="C873" t="inlineStr">
        <is>
          <t>SUP-01</t>
        </is>
      </c>
      <c r="D873" t="inlineStr">
        <is>
          <t>ELEC</t>
        </is>
      </c>
      <c r="E873" t="inlineStr">
        <is>
          <t>ELEC-07</t>
        </is>
      </c>
      <c r="F873" s="17" t="n">
        <v>45692</v>
      </c>
      <c r="G873" s="17" t="n">
        <v>45710</v>
      </c>
      <c r="H873" s="18" t="n">
        <v>398</v>
      </c>
      <c r="I873" s="19" t="n">
        <v>9.529999999999999</v>
      </c>
      <c r="J873" s="19" t="n">
        <v>9.800000000000001</v>
      </c>
      <c r="K873" s="20" t="n">
        <v>0</v>
      </c>
      <c r="L873" s="20" t="n">
        <v>0</v>
      </c>
      <c r="M873" s="18" t="n">
        <v>398</v>
      </c>
      <c r="N873" s="18" t="n">
        <v>398</v>
      </c>
      <c r="O873" s="18" t="n">
        <v>0</v>
      </c>
      <c r="P873" s="17" t="n">
        <v>45701</v>
      </c>
      <c r="Q873" s="17" t="n">
        <v>45701</v>
      </c>
      <c r="R873" s="17" t="n">
        <v>45701</v>
      </c>
      <c r="S873" s="19">
        <f>H873*I873</f>
        <v/>
      </c>
      <c r="T873" s="19">
        <f>H873*J873</f>
        <v/>
      </c>
      <c r="U873">
        <f>IF(AND(K873=0,G873&lt;=Assumptions!$C$6),1,0)</f>
        <v/>
      </c>
      <c r="V873">
        <f>IF(U873=1,IF(M873&gt;0,IF(P873&lt;=G873+Assumptions!$C$7,1,0),0),0)</f>
        <v/>
      </c>
      <c r="W873">
        <f>IF(AND(U873=1,M873&gt;=H873*(1-Assumptions!$C$8)),1,0)</f>
        <v/>
      </c>
      <c r="X873">
        <f>IF(AND(U873=1,N873&gt;=H873*(1-Assumptions!$C$8)),1,0)</f>
        <v/>
      </c>
      <c r="Y873">
        <f>IF(ISNUMBER(Q873),1,0)</f>
        <v/>
      </c>
      <c r="Z873">
        <f>IF(AND(K873=0,L873=0,Y873=0),1,0)</f>
        <v/>
      </c>
      <c r="AA873">
        <f>IF(AND(Z873=1,G873&lt;Assumptions!$C$6),1,0)</f>
        <v/>
      </c>
      <c r="AB873">
        <f>IF(U873=0,"",IF(Y873=1,MAX(0,Q873-G873),IF(L873=1,MAX(0,R873-G873),MAX(0,Assumptions!$C$6-G873))))</f>
        <v/>
      </c>
      <c r="AC873">
        <f>IF(Y873=1,Q873-F873,"")</f>
        <v/>
      </c>
      <c r="AD873">
        <f>IF(Y873=1,AC873^2,"")</f>
        <v/>
      </c>
      <c r="AE873" s="19">
        <f>IF(Z873=1,(H873-M873)*I873,0)</f>
        <v/>
      </c>
      <c r="AF873">
        <f>IF(G873&lt;EDATE(Assumptions!$C$6,-12)+1,"prior_12m","last_12m")</f>
        <v/>
      </c>
      <c r="AG873" s="21">
        <f>DATE(YEAR(G873),MONTH(G873),1)</f>
        <v/>
      </c>
    </row>
    <row r="874">
      <c r="A874" t="inlineStr">
        <is>
          <t>SPO-00482-1</t>
        </is>
      </c>
      <c r="B874" t="inlineStr">
        <is>
          <t>SPO-00482</t>
        </is>
      </c>
      <c r="C874" t="inlineStr">
        <is>
          <t>SUP-14</t>
        </is>
      </c>
      <c r="D874" t="inlineStr">
        <is>
          <t>FLEET</t>
        </is>
      </c>
      <c r="E874" t="inlineStr">
        <is>
          <t>FLEET-02</t>
        </is>
      </c>
      <c r="F874" s="17" t="n">
        <v>45693</v>
      </c>
      <c r="G874" s="17" t="n">
        <v>45707</v>
      </c>
      <c r="H874" s="18" t="n">
        <v>214</v>
      </c>
      <c r="I874" s="19" t="n">
        <v>7.31</v>
      </c>
      <c r="J874" s="19" t="n">
        <v>7.5</v>
      </c>
      <c r="K874" s="20" t="n">
        <v>0</v>
      </c>
      <c r="L874" s="20" t="n">
        <v>0</v>
      </c>
      <c r="M874" s="18" t="n">
        <v>214</v>
      </c>
      <c r="N874" s="18" t="n">
        <v>92</v>
      </c>
      <c r="O874" s="18" t="n">
        <v>0</v>
      </c>
      <c r="P874" s="17" t="n">
        <v>45702</v>
      </c>
      <c r="Q874" s="17" t="n">
        <v>45708</v>
      </c>
      <c r="R874" s="17" t="n">
        <v>45708</v>
      </c>
      <c r="S874" s="19">
        <f>H874*I874</f>
        <v/>
      </c>
      <c r="T874" s="19">
        <f>H874*J874</f>
        <v/>
      </c>
      <c r="U874">
        <f>IF(AND(K874=0,G874&lt;=Assumptions!$C$6),1,0)</f>
        <v/>
      </c>
      <c r="V874">
        <f>IF(U874=1,IF(M874&gt;0,IF(P874&lt;=G874+Assumptions!$C$7,1,0),0),0)</f>
        <v/>
      </c>
      <c r="W874">
        <f>IF(AND(U874=1,M874&gt;=H874*(1-Assumptions!$C$8)),1,0)</f>
        <v/>
      </c>
      <c r="X874">
        <f>IF(AND(U874=1,N874&gt;=H874*(1-Assumptions!$C$8)),1,0)</f>
        <v/>
      </c>
      <c r="Y874">
        <f>IF(ISNUMBER(Q874),1,0)</f>
        <v/>
      </c>
      <c r="Z874">
        <f>IF(AND(K874=0,L874=0,Y874=0),1,0)</f>
        <v/>
      </c>
      <c r="AA874">
        <f>IF(AND(Z874=1,G874&lt;Assumptions!$C$6),1,0)</f>
        <v/>
      </c>
      <c r="AB874">
        <f>IF(U874=0,"",IF(Y874=1,MAX(0,Q874-G874),IF(L874=1,MAX(0,R874-G874),MAX(0,Assumptions!$C$6-G874))))</f>
        <v/>
      </c>
      <c r="AC874">
        <f>IF(Y874=1,Q874-F874,"")</f>
        <v/>
      </c>
      <c r="AD874">
        <f>IF(Y874=1,AC874^2,"")</f>
        <v/>
      </c>
      <c r="AE874" s="19">
        <f>IF(Z874=1,(H874-M874)*I874,0)</f>
        <v/>
      </c>
      <c r="AF874">
        <f>IF(G874&lt;EDATE(Assumptions!$C$6,-12)+1,"prior_12m","last_12m")</f>
        <v/>
      </c>
      <c r="AG874" s="21">
        <f>DATE(YEAR(G874),MONTH(G874),1)</f>
        <v/>
      </c>
    </row>
    <row r="875">
      <c r="A875" t="inlineStr">
        <is>
          <t>SPO-00483-1</t>
        </is>
      </c>
      <c r="B875" t="inlineStr">
        <is>
          <t>SPO-00483</t>
        </is>
      </c>
      <c r="C875" t="inlineStr">
        <is>
          <t>SUP-01</t>
        </is>
      </c>
      <c r="D875" t="inlineStr">
        <is>
          <t>ELEC</t>
        </is>
      </c>
      <c r="E875" t="inlineStr">
        <is>
          <t>ELEC-05</t>
        </is>
      </c>
      <c r="F875" s="17" t="n">
        <v>45693</v>
      </c>
      <c r="G875" s="17" t="n">
        <v>45711</v>
      </c>
      <c r="H875" s="18" t="n">
        <v>229</v>
      </c>
      <c r="I875" s="19" t="n">
        <v>11.67</v>
      </c>
      <c r="J875" s="19" t="n">
        <v>11.5</v>
      </c>
      <c r="K875" s="20" t="n">
        <v>0</v>
      </c>
      <c r="L875" s="20" t="n">
        <v>0</v>
      </c>
      <c r="M875" s="18" t="n">
        <v>229</v>
      </c>
      <c r="N875" s="18" t="n">
        <v>229</v>
      </c>
      <c r="O875" s="18" t="n">
        <v>0</v>
      </c>
      <c r="P875" s="17" t="n">
        <v>45709</v>
      </c>
      <c r="Q875" s="17" t="n">
        <v>45709</v>
      </c>
      <c r="R875" s="17" t="n">
        <v>45709</v>
      </c>
      <c r="S875" s="19">
        <f>H875*I875</f>
        <v/>
      </c>
      <c r="T875" s="19">
        <f>H875*J875</f>
        <v/>
      </c>
      <c r="U875">
        <f>IF(AND(K875=0,G875&lt;=Assumptions!$C$6),1,0)</f>
        <v/>
      </c>
      <c r="V875">
        <f>IF(U875=1,IF(M875&gt;0,IF(P875&lt;=G875+Assumptions!$C$7,1,0),0),0)</f>
        <v/>
      </c>
      <c r="W875">
        <f>IF(AND(U875=1,M875&gt;=H875*(1-Assumptions!$C$8)),1,0)</f>
        <v/>
      </c>
      <c r="X875">
        <f>IF(AND(U875=1,N875&gt;=H875*(1-Assumptions!$C$8)),1,0)</f>
        <v/>
      </c>
      <c r="Y875">
        <f>IF(ISNUMBER(Q875),1,0)</f>
        <v/>
      </c>
      <c r="Z875">
        <f>IF(AND(K875=0,L875=0,Y875=0),1,0)</f>
        <v/>
      </c>
      <c r="AA875">
        <f>IF(AND(Z875=1,G875&lt;Assumptions!$C$6),1,0)</f>
        <v/>
      </c>
      <c r="AB875">
        <f>IF(U875=0,"",IF(Y875=1,MAX(0,Q875-G875),IF(L875=1,MAX(0,R875-G875),MAX(0,Assumptions!$C$6-G875))))</f>
        <v/>
      </c>
      <c r="AC875">
        <f>IF(Y875=1,Q875-F875,"")</f>
        <v/>
      </c>
      <c r="AD875">
        <f>IF(Y875=1,AC875^2,"")</f>
        <v/>
      </c>
      <c r="AE875" s="19">
        <f>IF(Z875=1,(H875-M875)*I875,0)</f>
        <v/>
      </c>
      <c r="AF875">
        <f>IF(G875&lt;EDATE(Assumptions!$C$6,-12)+1,"prior_12m","last_12m")</f>
        <v/>
      </c>
      <c r="AG875" s="21">
        <f>DATE(YEAR(G875),MONTH(G875),1)</f>
        <v/>
      </c>
    </row>
    <row r="876">
      <c r="A876" t="inlineStr">
        <is>
          <t>SPO-00483-2</t>
        </is>
      </c>
      <c r="B876" t="inlineStr">
        <is>
          <t>SPO-00483</t>
        </is>
      </c>
      <c r="C876" t="inlineStr">
        <is>
          <t>SUP-01</t>
        </is>
      </c>
      <c r="D876" t="inlineStr">
        <is>
          <t>ELEC</t>
        </is>
      </c>
      <c r="E876" t="inlineStr">
        <is>
          <t>ELEC-03</t>
        </is>
      </c>
      <c r="F876" s="17" t="n">
        <v>45693</v>
      </c>
      <c r="G876" s="17" t="n">
        <v>45711</v>
      </c>
      <c r="H876" s="18" t="n">
        <v>10</v>
      </c>
      <c r="I876" s="19" t="n">
        <v>94.73999999999999</v>
      </c>
      <c r="J876" s="19" t="n">
        <v>96</v>
      </c>
      <c r="K876" s="20" t="n">
        <v>0</v>
      </c>
      <c r="L876" s="20" t="n">
        <v>0</v>
      </c>
      <c r="M876" s="18" t="n">
        <v>10</v>
      </c>
      <c r="N876" s="18" t="n">
        <v>10</v>
      </c>
      <c r="O876" s="18" t="n">
        <v>0</v>
      </c>
      <c r="P876" s="17" t="n">
        <v>45710</v>
      </c>
      <c r="Q876" s="17" t="n">
        <v>45710</v>
      </c>
      <c r="R876" s="17" t="n">
        <v>45710</v>
      </c>
      <c r="S876" s="19">
        <f>H876*I876</f>
        <v/>
      </c>
      <c r="T876" s="19">
        <f>H876*J876</f>
        <v/>
      </c>
      <c r="U876">
        <f>IF(AND(K876=0,G876&lt;=Assumptions!$C$6),1,0)</f>
        <v/>
      </c>
      <c r="V876">
        <f>IF(U876=1,IF(M876&gt;0,IF(P876&lt;=G876+Assumptions!$C$7,1,0),0),0)</f>
        <v/>
      </c>
      <c r="W876">
        <f>IF(AND(U876=1,M876&gt;=H876*(1-Assumptions!$C$8)),1,0)</f>
        <v/>
      </c>
      <c r="X876">
        <f>IF(AND(U876=1,N876&gt;=H876*(1-Assumptions!$C$8)),1,0)</f>
        <v/>
      </c>
      <c r="Y876">
        <f>IF(ISNUMBER(Q876),1,0)</f>
        <v/>
      </c>
      <c r="Z876">
        <f>IF(AND(K876=0,L876=0,Y876=0),1,0)</f>
        <v/>
      </c>
      <c r="AA876">
        <f>IF(AND(Z876=1,G876&lt;Assumptions!$C$6),1,0)</f>
        <v/>
      </c>
      <c r="AB876">
        <f>IF(U876=0,"",IF(Y876=1,MAX(0,Q876-G876),IF(L876=1,MAX(0,R876-G876),MAX(0,Assumptions!$C$6-G876))))</f>
        <v/>
      </c>
      <c r="AC876">
        <f>IF(Y876=1,Q876-F876,"")</f>
        <v/>
      </c>
      <c r="AD876">
        <f>IF(Y876=1,AC876^2,"")</f>
        <v/>
      </c>
      <c r="AE876" s="19">
        <f>IF(Z876=1,(H876-M876)*I876,0)</f>
        <v/>
      </c>
      <c r="AF876">
        <f>IF(G876&lt;EDATE(Assumptions!$C$6,-12)+1,"prior_12m","last_12m")</f>
        <v/>
      </c>
      <c r="AG876" s="21">
        <f>DATE(YEAR(G876),MONTH(G876),1)</f>
        <v/>
      </c>
    </row>
    <row r="877">
      <c r="A877" t="inlineStr">
        <is>
          <t>SPO-00484-1</t>
        </is>
      </c>
      <c r="B877" t="inlineStr">
        <is>
          <t>SPO-00484</t>
        </is>
      </c>
      <c r="C877" t="inlineStr">
        <is>
          <t>SUP-05</t>
        </is>
      </c>
      <c r="D877" t="inlineStr">
        <is>
          <t>FLEET</t>
        </is>
      </c>
      <c r="E877" t="inlineStr">
        <is>
          <t>FLEET-08</t>
        </is>
      </c>
      <c r="F877" s="17" t="n">
        <v>45693</v>
      </c>
      <c r="G877" s="17" t="n">
        <v>45707</v>
      </c>
      <c r="H877" s="18" t="n">
        <v>119</v>
      </c>
      <c r="I877" s="19" t="n">
        <v>6.45</v>
      </c>
      <c r="J877" s="19" t="n">
        <v>6.4</v>
      </c>
      <c r="K877" s="20" t="n">
        <v>0</v>
      </c>
      <c r="L877" s="20" t="n">
        <v>0</v>
      </c>
      <c r="M877" s="18" t="n">
        <v>119</v>
      </c>
      <c r="N877" s="18" t="n">
        <v>119</v>
      </c>
      <c r="O877" s="18" t="n">
        <v>0</v>
      </c>
      <c r="P877" s="17" t="n">
        <v>45706</v>
      </c>
      <c r="Q877" s="17" t="n">
        <v>45706</v>
      </c>
      <c r="R877" s="17" t="n">
        <v>45706</v>
      </c>
      <c r="S877" s="19">
        <f>H877*I877</f>
        <v/>
      </c>
      <c r="T877" s="19">
        <f>H877*J877</f>
        <v/>
      </c>
      <c r="U877">
        <f>IF(AND(K877=0,G877&lt;=Assumptions!$C$6),1,0)</f>
        <v/>
      </c>
      <c r="V877">
        <f>IF(U877=1,IF(M877&gt;0,IF(P877&lt;=G877+Assumptions!$C$7,1,0),0),0)</f>
        <v/>
      </c>
      <c r="W877">
        <f>IF(AND(U877=1,M877&gt;=H877*(1-Assumptions!$C$8)),1,0)</f>
        <v/>
      </c>
      <c r="X877">
        <f>IF(AND(U877=1,N877&gt;=H877*(1-Assumptions!$C$8)),1,0)</f>
        <v/>
      </c>
      <c r="Y877">
        <f>IF(ISNUMBER(Q877),1,0)</f>
        <v/>
      </c>
      <c r="Z877">
        <f>IF(AND(K877=0,L877=0,Y877=0),1,0)</f>
        <v/>
      </c>
      <c r="AA877">
        <f>IF(AND(Z877=1,G877&lt;Assumptions!$C$6),1,0)</f>
        <v/>
      </c>
      <c r="AB877">
        <f>IF(U877=0,"",IF(Y877=1,MAX(0,Q877-G877),IF(L877=1,MAX(0,R877-G877),MAX(0,Assumptions!$C$6-G877))))</f>
        <v/>
      </c>
      <c r="AC877">
        <f>IF(Y877=1,Q877-F877,"")</f>
        <v/>
      </c>
      <c r="AD877">
        <f>IF(Y877=1,AC877^2,"")</f>
        <v/>
      </c>
      <c r="AE877" s="19">
        <f>IF(Z877=1,(H877-M877)*I877,0)</f>
        <v/>
      </c>
      <c r="AF877">
        <f>IF(G877&lt;EDATE(Assumptions!$C$6,-12)+1,"prior_12m","last_12m")</f>
        <v/>
      </c>
      <c r="AG877" s="21">
        <f>DATE(YEAR(G877),MONTH(G877),1)</f>
        <v/>
      </c>
    </row>
    <row r="878">
      <c r="A878" t="inlineStr">
        <is>
          <t>SPO-00485-1</t>
        </is>
      </c>
      <c r="B878" t="inlineStr">
        <is>
          <t>SPO-00485</t>
        </is>
      </c>
      <c r="C878" t="inlineStr">
        <is>
          <t>SUP-11</t>
        </is>
      </c>
      <c r="D878" t="inlineStr">
        <is>
          <t>PPE</t>
        </is>
      </c>
      <c r="E878" t="inlineStr">
        <is>
          <t>PPE-01</t>
        </is>
      </c>
      <c r="F878" s="17" t="n">
        <v>45693</v>
      </c>
      <c r="G878" s="17" t="n">
        <v>45705</v>
      </c>
      <c r="H878" s="18" t="n">
        <v>414</v>
      </c>
      <c r="I878" s="19" t="n">
        <v>4.61</v>
      </c>
      <c r="J878" s="19" t="n">
        <v>4.8</v>
      </c>
      <c r="K878" s="20" t="n">
        <v>0</v>
      </c>
      <c r="L878" s="20" t="n">
        <v>0</v>
      </c>
      <c r="M878" s="18" t="n">
        <v>414</v>
      </c>
      <c r="N878" s="18" t="n">
        <v>414</v>
      </c>
      <c r="O878" s="18" t="n">
        <v>0</v>
      </c>
      <c r="P878" s="17" t="n">
        <v>45702</v>
      </c>
      <c r="Q878" s="17" t="n">
        <v>45702</v>
      </c>
      <c r="R878" s="17" t="n">
        <v>45702</v>
      </c>
      <c r="S878" s="19">
        <f>H878*I878</f>
        <v/>
      </c>
      <c r="T878" s="19">
        <f>H878*J878</f>
        <v/>
      </c>
      <c r="U878">
        <f>IF(AND(K878=0,G878&lt;=Assumptions!$C$6),1,0)</f>
        <v/>
      </c>
      <c r="V878">
        <f>IF(U878=1,IF(M878&gt;0,IF(P878&lt;=G878+Assumptions!$C$7,1,0),0),0)</f>
        <v/>
      </c>
      <c r="W878">
        <f>IF(AND(U878=1,M878&gt;=H878*(1-Assumptions!$C$8)),1,0)</f>
        <v/>
      </c>
      <c r="X878">
        <f>IF(AND(U878=1,N878&gt;=H878*(1-Assumptions!$C$8)),1,0)</f>
        <v/>
      </c>
      <c r="Y878">
        <f>IF(ISNUMBER(Q878),1,0)</f>
        <v/>
      </c>
      <c r="Z878">
        <f>IF(AND(K878=0,L878=0,Y878=0),1,0)</f>
        <v/>
      </c>
      <c r="AA878">
        <f>IF(AND(Z878=1,G878&lt;Assumptions!$C$6),1,0)</f>
        <v/>
      </c>
      <c r="AB878">
        <f>IF(U878=0,"",IF(Y878=1,MAX(0,Q878-G878),IF(L878=1,MAX(0,R878-G878),MAX(0,Assumptions!$C$6-G878))))</f>
        <v/>
      </c>
      <c r="AC878">
        <f>IF(Y878=1,Q878-F878,"")</f>
        <v/>
      </c>
      <c r="AD878">
        <f>IF(Y878=1,AC878^2,"")</f>
        <v/>
      </c>
      <c r="AE878" s="19">
        <f>IF(Z878=1,(H878-M878)*I878,0)</f>
        <v/>
      </c>
      <c r="AF878">
        <f>IF(G878&lt;EDATE(Assumptions!$C$6,-12)+1,"prior_12m","last_12m")</f>
        <v/>
      </c>
      <c r="AG878" s="21">
        <f>DATE(YEAR(G878),MONTH(G878),1)</f>
        <v/>
      </c>
    </row>
    <row r="879">
      <c r="A879" t="inlineStr">
        <is>
          <t>SPO-00485-2</t>
        </is>
      </c>
      <c r="B879" t="inlineStr">
        <is>
          <t>SPO-00485</t>
        </is>
      </c>
      <c r="C879" t="inlineStr">
        <is>
          <t>SUP-11</t>
        </is>
      </c>
      <c r="D879" t="inlineStr">
        <is>
          <t>PPE</t>
        </is>
      </c>
      <c r="E879" t="inlineStr">
        <is>
          <t>PPE-05</t>
        </is>
      </c>
      <c r="F879" s="17" t="n">
        <v>45693</v>
      </c>
      <c r="G879" s="17" t="n">
        <v>45705</v>
      </c>
      <c r="H879" s="18" t="n">
        <v>109</v>
      </c>
      <c r="I879" s="19" t="n">
        <v>11.46</v>
      </c>
      <c r="J879" s="19" t="n">
        <v>11</v>
      </c>
      <c r="K879" s="20" t="n">
        <v>0</v>
      </c>
      <c r="L879" s="20" t="n">
        <v>0</v>
      </c>
      <c r="M879" s="18" t="n">
        <v>109</v>
      </c>
      <c r="N879" s="18" t="n">
        <v>109</v>
      </c>
      <c r="O879" s="18" t="n">
        <v>0</v>
      </c>
      <c r="P879" s="17" t="n">
        <v>45704</v>
      </c>
      <c r="Q879" s="17" t="n">
        <v>45704</v>
      </c>
      <c r="R879" s="17" t="n">
        <v>45704</v>
      </c>
      <c r="S879" s="19">
        <f>H879*I879</f>
        <v/>
      </c>
      <c r="T879" s="19">
        <f>H879*J879</f>
        <v/>
      </c>
      <c r="U879">
        <f>IF(AND(K879=0,G879&lt;=Assumptions!$C$6),1,0)</f>
        <v/>
      </c>
      <c r="V879">
        <f>IF(U879=1,IF(M879&gt;0,IF(P879&lt;=G879+Assumptions!$C$7,1,0),0),0)</f>
        <v/>
      </c>
      <c r="W879">
        <f>IF(AND(U879=1,M879&gt;=H879*(1-Assumptions!$C$8)),1,0)</f>
        <v/>
      </c>
      <c r="X879">
        <f>IF(AND(U879=1,N879&gt;=H879*(1-Assumptions!$C$8)),1,0)</f>
        <v/>
      </c>
      <c r="Y879">
        <f>IF(ISNUMBER(Q879),1,0)</f>
        <v/>
      </c>
      <c r="Z879">
        <f>IF(AND(K879=0,L879=0,Y879=0),1,0)</f>
        <v/>
      </c>
      <c r="AA879">
        <f>IF(AND(Z879=1,G879&lt;Assumptions!$C$6),1,0)</f>
        <v/>
      </c>
      <c r="AB879">
        <f>IF(U879=0,"",IF(Y879=1,MAX(0,Q879-G879),IF(L879=1,MAX(0,R879-G879),MAX(0,Assumptions!$C$6-G879))))</f>
        <v/>
      </c>
      <c r="AC879">
        <f>IF(Y879=1,Q879-F879,"")</f>
        <v/>
      </c>
      <c r="AD879">
        <f>IF(Y879=1,AC879^2,"")</f>
        <v/>
      </c>
      <c r="AE879" s="19">
        <f>IF(Z879=1,(H879-M879)*I879,0)</f>
        <v/>
      </c>
      <c r="AF879">
        <f>IF(G879&lt;EDATE(Assumptions!$C$6,-12)+1,"prior_12m","last_12m")</f>
        <v/>
      </c>
      <c r="AG879" s="21">
        <f>DATE(YEAR(G879),MONTH(G879),1)</f>
        <v/>
      </c>
    </row>
    <row r="880">
      <c r="A880" t="inlineStr">
        <is>
          <t>SPO-00485-3</t>
        </is>
      </c>
      <c r="B880" t="inlineStr">
        <is>
          <t>SPO-00485</t>
        </is>
      </c>
      <c r="C880" t="inlineStr">
        <is>
          <t>SUP-11</t>
        </is>
      </c>
      <c r="D880" t="inlineStr">
        <is>
          <t>PPE</t>
        </is>
      </c>
      <c r="E880" t="inlineStr">
        <is>
          <t>PPE-04</t>
        </is>
      </c>
      <c r="F880" s="17" t="n">
        <v>45693</v>
      </c>
      <c r="G880" s="17" t="n">
        <v>45705</v>
      </c>
      <c r="H880" s="18" t="n">
        <v>88</v>
      </c>
      <c r="I880" s="19" t="n">
        <v>26.43</v>
      </c>
      <c r="J880" s="19" t="n">
        <v>26</v>
      </c>
      <c r="K880" s="20" t="n">
        <v>0</v>
      </c>
      <c r="L880" s="20" t="n">
        <v>0</v>
      </c>
      <c r="M880" s="18" t="n">
        <v>88</v>
      </c>
      <c r="N880" s="18" t="n">
        <v>88</v>
      </c>
      <c r="O880" s="18" t="n">
        <v>0</v>
      </c>
      <c r="P880" s="17" t="n">
        <v>45701</v>
      </c>
      <c r="Q880" s="17" t="n">
        <v>45701</v>
      </c>
      <c r="R880" s="17" t="n">
        <v>45701</v>
      </c>
      <c r="S880" s="19">
        <f>H880*I880</f>
        <v/>
      </c>
      <c r="T880" s="19">
        <f>H880*J880</f>
        <v/>
      </c>
      <c r="U880">
        <f>IF(AND(K880=0,G880&lt;=Assumptions!$C$6),1,0)</f>
        <v/>
      </c>
      <c r="V880">
        <f>IF(U880=1,IF(M880&gt;0,IF(P880&lt;=G880+Assumptions!$C$7,1,0),0),0)</f>
        <v/>
      </c>
      <c r="W880">
        <f>IF(AND(U880=1,M880&gt;=H880*(1-Assumptions!$C$8)),1,0)</f>
        <v/>
      </c>
      <c r="X880">
        <f>IF(AND(U880=1,N880&gt;=H880*(1-Assumptions!$C$8)),1,0)</f>
        <v/>
      </c>
      <c r="Y880">
        <f>IF(ISNUMBER(Q880),1,0)</f>
        <v/>
      </c>
      <c r="Z880">
        <f>IF(AND(K880=0,L880=0,Y880=0),1,0)</f>
        <v/>
      </c>
      <c r="AA880">
        <f>IF(AND(Z880=1,G880&lt;Assumptions!$C$6),1,0)</f>
        <v/>
      </c>
      <c r="AB880">
        <f>IF(U880=0,"",IF(Y880=1,MAX(0,Q880-G880),IF(L880=1,MAX(0,R880-G880),MAX(0,Assumptions!$C$6-G880))))</f>
        <v/>
      </c>
      <c r="AC880">
        <f>IF(Y880=1,Q880-F880,"")</f>
        <v/>
      </c>
      <c r="AD880">
        <f>IF(Y880=1,AC880^2,"")</f>
        <v/>
      </c>
      <c r="AE880" s="19">
        <f>IF(Z880=1,(H880-M880)*I880,0)</f>
        <v/>
      </c>
      <c r="AF880">
        <f>IF(G880&lt;EDATE(Assumptions!$C$6,-12)+1,"prior_12m","last_12m")</f>
        <v/>
      </c>
      <c r="AG880" s="21">
        <f>DATE(YEAR(G880),MONTH(G880),1)</f>
        <v/>
      </c>
    </row>
    <row r="881">
      <c r="A881" t="inlineStr">
        <is>
          <t>SPO-00485-4</t>
        </is>
      </c>
      <c r="B881" t="inlineStr">
        <is>
          <t>SPO-00485</t>
        </is>
      </c>
      <c r="C881" t="inlineStr">
        <is>
          <t>SUP-11</t>
        </is>
      </c>
      <c r="D881" t="inlineStr">
        <is>
          <t>PPE</t>
        </is>
      </c>
      <c r="E881" t="inlineStr">
        <is>
          <t>PPE-02</t>
        </is>
      </c>
      <c r="F881" s="17" t="n">
        <v>45693</v>
      </c>
      <c r="G881" s="17" t="n">
        <v>45705</v>
      </c>
      <c r="H881" s="18" t="n">
        <v>110</v>
      </c>
      <c r="I881" s="19" t="n">
        <v>12.81</v>
      </c>
      <c r="J881" s="19" t="n">
        <v>12.5</v>
      </c>
      <c r="K881" s="20" t="n">
        <v>1</v>
      </c>
      <c r="L881" s="20" t="n">
        <v>0</v>
      </c>
      <c r="M881" s="18" t="n">
        <v>0</v>
      </c>
      <c r="N881" s="18" t="n">
        <v>0</v>
      </c>
      <c r="O881" s="18" t="n">
        <v>0</v>
      </c>
      <c r="P881" s="17" t="n"/>
      <c r="Q881" s="17" t="n"/>
      <c r="R881" s="17" t="n"/>
      <c r="S881" s="19">
        <f>H881*I881</f>
        <v/>
      </c>
      <c r="T881" s="19">
        <f>H881*J881</f>
        <v/>
      </c>
      <c r="U881">
        <f>IF(AND(K881=0,G881&lt;=Assumptions!$C$6),1,0)</f>
        <v/>
      </c>
      <c r="V881">
        <f>IF(U881=1,IF(M881&gt;0,IF(P881&lt;=G881+Assumptions!$C$7,1,0),0),0)</f>
        <v/>
      </c>
      <c r="W881">
        <f>IF(AND(U881=1,M881&gt;=H881*(1-Assumptions!$C$8)),1,0)</f>
        <v/>
      </c>
      <c r="X881">
        <f>IF(AND(U881=1,N881&gt;=H881*(1-Assumptions!$C$8)),1,0)</f>
        <v/>
      </c>
      <c r="Y881">
        <f>IF(ISNUMBER(Q881),1,0)</f>
        <v/>
      </c>
      <c r="Z881">
        <f>IF(AND(K881=0,L881=0,Y881=0),1,0)</f>
        <v/>
      </c>
      <c r="AA881">
        <f>IF(AND(Z881=1,G881&lt;Assumptions!$C$6),1,0)</f>
        <v/>
      </c>
      <c r="AB881">
        <f>IF(U881=0,"",IF(Y881=1,MAX(0,Q881-G881),IF(L881=1,MAX(0,R881-G881),MAX(0,Assumptions!$C$6-G881))))</f>
        <v/>
      </c>
      <c r="AC881">
        <f>IF(Y881=1,Q881-F881,"")</f>
        <v/>
      </c>
      <c r="AD881">
        <f>IF(Y881=1,AC881^2,"")</f>
        <v/>
      </c>
      <c r="AE881" s="19">
        <f>IF(Z881=1,(H881-M881)*I881,0)</f>
        <v/>
      </c>
      <c r="AF881">
        <f>IF(G881&lt;EDATE(Assumptions!$C$6,-12)+1,"prior_12m","last_12m")</f>
        <v/>
      </c>
      <c r="AG881" s="21">
        <f>DATE(YEAR(G881),MONTH(G881),1)</f>
        <v/>
      </c>
    </row>
    <row r="882">
      <c r="A882" t="inlineStr">
        <is>
          <t>SPO-00486-1</t>
        </is>
      </c>
      <c r="B882" t="inlineStr">
        <is>
          <t>SPO-00486</t>
        </is>
      </c>
      <c r="C882" t="inlineStr">
        <is>
          <t>SUP-01</t>
        </is>
      </c>
      <c r="D882" t="inlineStr">
        <is>
          <t>ELEC</t>
        </is>
      </c>
      <c r="E882" t="inlineStr">
        <is>
          <t>ELEC-07</t>
        </is>
      </c>
      <c r="F882" s="17" t="n">
        <v>45693</v>
      </c>
      <c r="G882" s="17" t="n">
        <v>45711</v>
      </c>
      <c r="H882" s="18" t="n">
        <v>399</v>
      </c>
      <c r="I882" s="19" t="n">
        <v>9.9</v>
      </c>
      <c r="J882" s="19" t="n">
        <v>9.800000000000001</v>
      </c>
      <c r="K882" s="20" t="n">
        <v>0</v>
      </c>
      <c r="L882" s="20" t="n">
        <v>0</v>
      </c>
      <c r="M882" s="18" t="n">
        <v>399</v>
      </c>
      <c r="N882" s="18" t="n">
        <v>0</v>
      </c>
      <c r="O882" s="18" t="n">
        <v>0</v>
      </c>
      <c r="P882" s="17" t="n">
        <v>45712</v>
      </c>
      <c r="Q882" s="17" t="n">
        <v>45712</v>
      </c>
      <c r="R882" s="17" t="n">
        <v>45712</v>
      </c>
      <c r="S882" s="19">
        <f>H882*I882</f>
        <v/>
      </c>
      <c r="T882" s="19">
        <f>H882*J882</f>
        <v/>
      </c>
      <c r="U882">
        <f>IF(AND(K882=0,G882&lt;=Assumptions!$C$6),1,0)</f>
        <v/>
      </c>
      <c r="V882">
        <f>IF(U882=1,IF(M882&gt;0,IF(P882&lt;=G882+Assumptions!$C$7,1,0),0),0)</f>
        <v/>
      </c>
      <c r="W882">
        <f>IF(AND(U882=1,M882&gt;=H882*(1-Assumptions!$C$8)),1,0)</f>
        <v/>
      </c>
      <c r="X882">
        <f>IF(AND(U882=1,N882&gt;=H882*(1-Assumptions!$C$8)),1,0)</f>
        <v/>
      </c>
      <c r="Y882">
        <f>IF(ISNUMBER(Q882),1,0)</f>
        <v/>
      </c>
      <c r="Z882">
        <f>IF(AND(K882=0,L882=0,Y882=0),1,0)</f>
        <v/>
      </c>
      <c r="AA882">
        <f>IF(AND(Z882=1,G882&lt;Assumptions!$C$6),1,0)</f>
        <v/>
      </c>
      <c r="AB882">
        <f>IF(U882=0,"",IF(Y882=1,MAX(0,Q882-G882),IF(L882=1,MAX(0,R882-G882),MAX(0,Assumptions!$C$6-G882))))</f>
        <v/>
      </c>
      <c r="AC882">
        <f>IF(Y882=1,Q882-F882,"")</f>
        <v/>
      </c>
      <c r="AD882">
        <f>IF(Y882=1,AC882^2,"")</f>
        <v/>
      </c>
      <c r="AE882" s="19">
        <f>IF(Z882=1,(H882-M882)*I882,0)</f>
        <v/>
      </c>
      <c r="AF882">
        <f>IF(G882&lt;EDATE(Assumptions!$C$6,-12)+1,"prior_12m","last_12m")</f>
        <v/>
      </c>
      <c r="AG882" s="21">
        <f>DATE(YEAR(G882),MONTH(G882),1)</f>
        <v/>
      </c>
    </row>
    <row r="883">
      <c r="A883" t="inlineStr">
        <is>
          <t>SPO-00486-2</t>
        </is>
      </c>
      <c r="B883" t="inlineStr">
        <is>
          <t>SPO-00486</t>
        </is>
      </c>
      <c r="C883" t="inlineStr">
        <is>
          <t>SUP-01</t>
        </is>
      </c>
      <c r="D883" t="inlineStr">
        <is>
          <t>ELEC</t>
        </is>
      </c>
      <c r="E883" t="inlineStr">
        <is>
          <t>ELEC-05</t>
        </is>
      </c>
      <c r="F883" s="17" t="n">
        <v>45693</v>
      </c>
      <c r="G883" s="17" t="n">
        <v>45711</v>
      </c>
      <c r="H883" s="18" t="n">
        <v>259</v>
      </c>
      <c r="I883" s="19" t="n">
        <v>12.25</v>
      </c>
      <c r="J883" s="19" t="n">
        <v>11.5</v>
      </c>
      <c r="K883" s="20" t="n">
        <v>0</v>
      </c>
      <c r="L883" s="20" t="n">
        <v>0</v>
      </c>
      <c r="M883" s="18" t="n">
        <v>259</v>
      </c>
      <c r="N883" s="18" t="n">
        <v>259</v>
      </c>
      <c r="O883" s="18" t="n">
        <v>0</v>
      </c>
      <c r="P883" s="17" t="n">
        <v>45705</v>
      </c>
      <c r="Q883" s="17" t="n">
        <v>45705</v>
      </c>
      <c r="R883" s="17" t="n">
        <v>45705</v>
      </c>
      <c r="S883" s="19">
        <f>H883*I883</f>
        <v/>
      </c>
      <c r="T883" s="19">
        <f>H883*J883</f>
        <v/>
      </c>
      <c r="U883">
        <f>IF(AND(K883=0,G883&lt;=Assumptions!$C$6),1,0)</f>
        <v/>
      </c>
      <c r="V883">
        <f>IF(U883=1,IF(M883&gt;0,IF(P883&lt;=G883+Assumptions!$C$7,1,0),0),0)</f>
        <v/>
      </c>
      <c r="W883">
        <f>IF(AND(U883=1,M883&gt;=H883*(1-Assumptions!$C$8)),1,0)</f>
        <v/>
      </c>
      <c r="X883">
        <f>IF(AND(U883=1,N883&gt;=H883*(1-Assumptions!$C$8)),1,0)</f>
        <v/>
      </c>
      <c r="Y883">
        <f>IF(ISNUMBER(Q883),1,0)</f>
        <v/>
      </c>
      <c r="Z883">
        <f>IF(AND(K883=0,L883=0,Y883=0),1,0)</f>
        <v/>
      </c>
      <c r="AA883">
        <f>IF(AND(Z883=1,G883&lt;Assumptions!$C$6),1,0)</f>
        <v/>
      </c>
      <c r="AB883">
        <f>IF(U883=0,"",IF(Y883=1,MAX(0,Q883-G883),IF(L883=1,MAX(0,R883-G883),MAX(0,Assumptions!$C$6-G883))))</f>
        <v/>
      </c>
      <c r="AC883">
        <f>IF(Y883=1,Q883-F883,"")</f>
        <v/>
      </c>
      <c r="AD883">
        <f>IF(Y883=1,AC883^2,"")</f>
        <v/>
      </c>
      <c r="AE883" s="19">
        <f>IF(Z883=1,(H883-M883)*I883,0)</f>
        <v/>
      </c>
      <c r="AF883">
        <f>IF(G883&lt;EDATE(Assumptions!$C$6,-12)+1,"prior_12m","last_12m")</f>
        <v/>
      </c>
      <c r="AG883" s="21">
        <f>DATE(YEAR(G883),MONTH(G883),1)</f>
        <v/>
      </c>
    </row>
    <row r="884">
      <c r="A884" t="inlineStr">
        <is>
          <t>SPO-00486-3</t>
        </is>
      </c>
      <c r="B884" t="inlineStr">
        <is>
          <t>SPO-00486</t>
        </is>
      </c>
      <c r="C884" t="inlineStr">
        <is>
          <t>SUP-01</t>
        </is>
      </c>
      <c r="D884" t="inlineStr">
        <is>
          <t>ELEC</t>
        </is>
      </c>
      <c r="E884" t="inlineStr">
        <is>
          <t>ELEC-06</t>
        </is>
      </c>
      <c r="F884" s="17" t="n">
        <v>45693</v>
      </c>
      <c r="G884" s="17" t="n">
        <v>45711</v>
      </c>
      <c r="H884" s="18" t="n">
        <v>17</v>
      </c>
      <c r="I884" s="19" t="n">
        <v>136.43</v>
      </c>
      <c r="J884" s="19" t="n">
        <v>145</v>
      </c>
      <c r="K884" s="20" t="n">
        <v>0</v>
      </c>
      <c r="L884" s="20" t="n">
        <v>0</v>
      </c>
      <c r="M884" s="18" t="n">
        <v>17</v>
      </c>
      <c r="N884" s="18" t="n">
        <v>17</v>
      </c>
      <c r="O884" s="18" t="n">
        <v>0</v>
      </c>
      <c r="P884" s="17" t="n">
        <v>45704</v>
      </c>
      <c r="Q884" s="17" t="n">
        <v>45704</v>
      </c>
      <c r="R884" s="17" t="n">
        <v>45704</v>
      </c>
      <c r="S884" s="19">
        <f>H884*I884</f>
        <v/>
      </c>
      <c r="T884" s="19">
        <f>H884*J884</f>
        <v/>
      </c>
      <c r="U884">
        <f>IF(AND(K884=0,G884&lt;=Assumptions!$C$6),1,0)</f>
        <v/>
      </c>
      <c r="V884">
        <f>IF(U884=1,IF(M884&gt;0,IF(P884&lt;=G884+Assumptions!$C$7,1,0),0),0)</f>
        <v/>
      </c>
      <c r="W884">
        <f>IF(AND(U884=1,M884&gt;=H884*(1-Assumptions!$C$8)),1,0)</f>
        <v/>
      </c>
      <c r="X884">
        <f>IF(AND(U884=1,N884&gt;=H884*(1-Assumptions!$C$8)),1,0)</f>
        <v/>
      </c>
      <c r="Y884">
        <f>IF(ISNUMBER(Q884),1,0)</f>
        <v/>
      </c>
      <c r="Z884">
        <f>IF(AND(K884=0,L884=0,Y884=0),1,0)</f>
        <v/>
      </c>
      <c r="AA884">
        <f>IF(AND(Z884=1,G884&lt;Assumptions!$C$6),1,0)</f>
        <v/>
      </c>
      <c r="AB884">
        <f>IF(U884=0,"",IF(Y884=1,MAX(0,Q884-G884),IF(L884=1,MAX(0,R884-G884),MAX(0,Assumptions!$C$6-G884))))</f>
        <v/>
      </c>
      <c r="AC884">
        <f>IF(Y884=1,Q884-F884,"")</f>
        <v/>
      </c>
      <c r="AD884">
        <f>IF(Y884=1,AC884^2,"")</f>
        <v/>
      </c>
      <c r="AE884" s="19">
        <f>IF(Z884=1,(H884-M884)*I884,0)</f>
        <v/>
      </c>
      <c r="AF884">
        <f>IF(G884&lt;EDATE(Assumptions!$C$6,-12)+1,"prior_12m","last_12m")</f>
        <v/>
      </c>
      <c r="AG884" s="21">
        <f>DATE(YEAR(G884),MONTH(G884),1)</f>
        <v/>
      </c>
    </row>
    <row r="885">
      <c r="A885" t="inlineStr">
        <is>
          <t>SPO-00486-4</t>
        </is>
      </c>
      <c r="B885" t="inlineStr">
        <is>
          <t>SPO-00486</t>
        </is>
      </c>
      <c r="C885" t="inlineStr">
        <is>
          <t>SUP-01</t>
        </is>
      </c>
      <c r="D885" t="inlineStr">
        <is>
          <t>ELEC</t>
        </is>
      </c>
      <c r="E885" t="inlineStr">
        <is>
          <t>ELEC-01</t>
        </is>
      </c>
      <c r="F885" s="17" t="n">
        <v>45693</v>
      </c>
      <c r="G885" s="17" t="n">
        <v>45711</v>
      </c>
      <c r="H885" s="18" t="n">
        <v>17</v>
      </c>
      <c r="I885" s="19" t="n">
        <v>37.76</v>
      </c>
      <c r="J885" s="19" t="n">
        <v>38</v>
      </c>
      <c r="K885" s="20" t="n">
        <v>0</v>
      </c>
      <c r="L885" s="20" t="n">
        <v>0</v>
      </c>
      <c r="M885" s="18" t="n">
        <v>17</v>
      </c>
      <c r="N885" s="18" t="n">
        <v>17</v>
      </c>
      <c r="O885" s="18" t="n">
        <v>0</v>
      </c>
      <c r="P885" s="17" t="n">
        <v>45705</v>
      </c>
      <c r="Q885" s="17" t="n">
        <v>45705</v>
      </c>
      <c r="R885" s="17" t="n">
        <v>45705</v>
      </c>
      <c r="S885" s="19">
        <f>H885*I885</f>
        <v/>
      </c>
      <c r="T885" s="19">
        <f>H885*J885</f>
        <v/>
      </c>
      <c r="U885">
        <f>IF(AND(K885=0,G885&lt;=Assumptions!$C$6),1,0)</f>
        <v/>
      </c>
      <c r="V885">
        <f>IF(U885=1,IF(M885&gt;0,IF(P885&lt;=G885+Assumptions!$C$7,1,0),0),0)</f>
        <v/>
      </c>
      <c r="W885">
        <f>IF(AND(U885=1,M885&gt;=H885*(1-Assumptions!$C$8)),1,0)</f>
        <v/>
      </c>
      <c r="X885">
        <f>IF(AND(U885=1,N885&gt;=H885*(1-Assumptions!$C$8)),1,0)</f>
        <v/>
      </c>
      <c r="Y885">
        <f>IF(ISNUMBER(Q885),1,0)</f>
        <v/>
      </c>
      <c r="Z885">
        <f>IF(AND(K885=0,L885=0,Y885=0),1,0)</f>
        <v/>
      </c>
      <c r="AA885">
        <f>IF(AND(Z885=1,G885&lt;Assumptions!$C$6),1,0)</f>
        <v/>
      </c>
      <c r="AB885">
        <f>IF(U885=0,"",IF(Y885=1,MAX(0,Q885-G885),IF(L885=1,MAX(0,R885-G885),MAX(0,Assumptions!$C$6-G885))))</f>
        <v/>
      </c>
      <c r="AC885">
        <f>IF(Y885=1,Q885-F885,"")</f>
        <v/>
      </c>
      <c r="AD885">
        <f>IF(Y885=1,AC885^2,"")</f>
        <v/>
      </c>
      <c r="AE885" s="19">
        <f>IF(Z885=1,(H885-M885)*I885,0)</f>
        <v/>
      </c>
      <c r="AF885">
        <f>IF(G885&lt;EDATE(Assumptions!$C$6,-12)+1,"prior_12m","last_12m")</f>
        <v/>
      </c>
      <c r="AG885" s="21">
        <f>DATE(YEAR(G885),MONTH(G885),1)</f>
        <v/>
      </c>
    </row>
    <row r="886">
      <c r="A886" t="inlineStr">
        <is>
          <t>SPO-00487-1</t>
        </is>
      </c>
      <c r="B886" t="inlineStr">
        <is>
          <t>SPO-00487</t>
        </is>
      </c>
      <c r="C886" t="inlineStr">
        <is>
          <t>SUP-02</t>
        </is>
      </c>
      <c r="D886" t="inlineStr">
        <is>
          <t>ELEC</t>
        </is>
      </c>
      <c r="E886" t="inlineStr">
        <is>
          <t>ELEC-07</t>
        </is>
      </c>
      <c r="F886" s="17" t="n">
        <v>45694</v>
      </c>
      <c r="G886" s="17" t="n">
        <v>45710</v>
      </c>
      <c r="H886" s="18" t="n">
        <v>188</v>
      </c>
      <c r="I886" s="19" t="n">
        <v>9.48</v>
      </c>
      <c r="J886" s="19" t="n">
        <v>9.800000000000001</v>
      </c>
      <c r="K886" s="20" t="n">
        <v>0</v>
      </c>
      <c r="L886" s="20" t="n">
        <v>0</v>
      </c>
      <c r="M886" s="18" t="n">
        <v>188</v>
      </c>
      <c r="N886" s="18" t="n">
        <v>188</v>
      </c>
      <c r="O886" s="18" t="n">
        <v>0</v>
      </c>
      <c r="P886" s="17" t="n">
        <v>45708</v>
      </c>
      <c r="Q886" s="17" t="n">
        <v>45708</v>
      </c>
      <c r="R886" s="17" t="n">
        <v>45708</v>
      </c>
      <c r="S886" s="19">
        <f>H886*I886</f>
        <v/>
      </c>
      <c r="T886" s="19">
        <f>H886*J886</f>
        <v/>
      </c>
      <c r="U886">
        <f>IF(AND(K886=0,G886&lt;=Assumptions!$C$6),1,0)</f>
        <v/>
      </c>
      <c r="V886">
        <f>IF(U886=1,IF(M886&gt;0,IF(P886&lt;=G886+Assumptions!$C$7,1,0),0),0)</f>
        <v/>
      </c>
      <c r="W886">
        <f>IF(AND(U886=1,M886&gt;=H886*(1-Assumptions!$C$8)),1,0)</f>
        <v/>
      </c>
      <c r="X886">
        <f>IF(AND(U886=1,N886&gt;=H886*(1-Assumptions!$C$8)),1,0)</f>
        <v/>
      </c>
      <c r="Y886">
        <f>IF(ISNUMBER(Q886),1,0)</f>
        <v/>
      </c>
      <c r="Z886">
        <f>IF(AND(K886=0,L886=0,Y886=0),1,0)</f>
        <v/>
      </c>
      <c r="AA886">
        <f>IF(AND(Z886=1,G886&lt;Assumptions!$C$6),1,0)</f>
        <v/>
      </c>
      <c r="AB886">
        <f>IF(U886=0,"",IF(Y886=1,MAX(0,Q886-G886),IF(L886=1,MAX(0,R886-G886),MAX(0,Assumptions!$C$6-G886))))</f>
        <v/>
      </c>
      <c r="AC886">
        <f>IF(Y886=1,Q886-F886,"")</f>
        <v/>
      </c>
      <c r="AD886">
        <f>IF(Y886=1,AC886^2,"")</f>
        <v/>
      </c>
      <c r="AE886" s="19">
        <f>IF(Z886=1,(H886-M886)*I886,0)</f>
        <v/>
      </c>
      <c r="AF886">
        <f>IF(G886&lt;EDATE(Assumptions!$C$6,-12)+1,"prior_12m","last_12m")</f>
        <v/>
      </c>
      <c r="AG886" s="21">
        <f>DATE(YEAR(G886),MONTH(G886),1)</f>
        <v/>
      </c>
    </row>
    <row r="887">
      <c r="A887" t="inlineStr">
        <is>
          <t>SPO-00487-2</t>
        </is>
      </c>
      <c r="B887" t="inlineStr">
        <is>
          <t>SPO-00487</t>
        </is>
      </c>
      <c r="C887" t="inlineStr">
        <is>
          <t>SUP-02</t>
        </is>
      </c>
      <c r="D887" t="inlineStr">
        <is>
          <t>ELEC</t>
        </is>
      </c>
      <c r="E887" t="inlineStr">
        <is>
          <t>ELEC-01</t>
        </is>
      </c>
      <c r="F887" s="17" t="n">
        <v>45694</v>
      </c>
      <c r="G887" s="17" t="n">
        <v>45710</v>
      </c>
      <c r="H887" s="18" t="n">
        <v>30</v>
      </c>
      <c r="I887" s="19" t="n">
        <v>38.28</v>
      </c>
      <c r="J887" s="19" t="n">
        <v>38</v>
      </c>
      <c r="K887" s="20" t="n">
        <v>0</v>
      </c>
      <c r="L887" s="20" t="n">
        <v>0</v>
      </c>
      <c r="M887" s="18" t="n">
        <v>30</v>
      </c>
      <c r="N887" s="18" t="n">
        <v>30</v>
      </c>
      <c r="O887" s="18" t="n">
        <v>0</v>
      </c>
      <c r="P887" s="17" t="n">
        <v>45706</v>
      </c>
      <c r="Q887" s="17" t="n">
        <v>45706</v>
      </c>
      <c r="R887" s="17" t="n">
        <v>45706</v>
      </c>
      <c r="S887" s="19">
        <f>H887*I887</f>
        <v/>
      </c>
      <c r="T887" s="19">
        <f>H887*J887</f>
        <v/>
      </c>
      <c r="U887">
        <f>IF(AND(K887=0,G887&lt;=Assumptions!$C$6),1,0)</f>
        <v/>
      </c>
      <c r="V887">
        <f>IF(U887=1,IF(M887&gt;0,IF(P887&lt;=G887+Assumptions!$C$7,1,0),0),0)</f>
        <v/>
      </c>
      <c r="W887">
        <f>IF(AND(U887=1,M887&gt;=H887*(1-Assumptions!$C$8)),1,0)</f>
        <v/>
      </c>
      <c r="X887">
        <f>IF(AND(U887=1,N887&gt;=H887*(1-Assumptions!$C$8)),1,0)</f>
        <v/>
      </c>
      <c r="Y887">
        <f>IF(ISNUMBER(Q887),1,0)</f>
        <v/>
      </c>
      <c r="Z887">
        <f>IF(AND(K887=0,L887=0,Y887=0),1,0)</f>
        <v/>
      </c>
      <c r="AA887">
        <f>IF(AND(Z887=1,G887&lt;Assumptions!$C$6),1,0)</f>
        <v/>
      </c>
      <c r="AB887">
        <f>IF(U887=0,"",IF(Y887=1,MAX(0,Q887-G887),IF(L887=1,MAX(0,R887-G887),MAX(0,Assumptions!$C$6-G887))))</f>
        <v/>
      </c>
      <c r="AC887">
        <f>IF(Y887=1,Q887-F887,"")</f>
        <v/>
      </c>
      <c r="AD887">
        <f>IF(Y887=1,AC887^2,"")</f>
        <v/>
      </c>
      <c r="AE887" s="19">
        <f>IF(Z887=1,(H887-M887)*I887,0)</f>
        <v/>
      </c>
      <c r="AF887">
        <f>IF(G887&lt;EDATE(Assumptions!$C$6,-12)+1,"prior_12m","last_12m")</f>
        <v/>
      </c>
      <c r="AG887" s="21">
        <f>DATE(YEAR(G887),MONTH(G887),1)</f>
        <v/>
      </c>
    </row>
    <row r="888">
      <c r="A888" t="inlineStr">
        <is>
          <t>SPO-00488-1</t>
        </is>
      </c>
      <c r="B888" t="inlineStr">
        <is>
          <t>SPO-00488</t>
        </is>
      </c>
      <c r="C888" t="inlineStr">
        <is>
          <t>SUP-01</t>
        </is>
      </c>
      <c r="D888" t="inlineStr">
        <is>
          <t>ELEC</t>
        </is>
      </c>
      <c r="E888" t="inlineStr">
        <is>
          <t>ELEC-01</t>
        </is>
      </c>
      <c r="F888" s="17" t="n">
        <v>45694</v>
      </c>
      <c r="G888" s="17" t="n">
        <v>45712</v>
      </c>
      <c r="H888" s="18" t="n">
        <v>161</v>
      </c>
      <c r="I888" s="19" t="n">
        <v>37.45</v>
      </c>
      <c r="J888" s="19" t="n">
        <v>38</v>
      </c>
      <c r="K888" s="20" t="n">
        <v>0</v>
      </c>
      <c r="L888" s="20" t="n">
        <v>0</v>
      </c>
      <c r="M888" s="18" t="n">
        <v>161</v>
      </c>
      <c r="N888" s="18" t="n">
        <v>161</v>
      </c>
      <c r="O888" s="18" t="n">
        <v>8</v>
      </c>
      <c r="P888" s="17" t="n">
        <v>45706</v>
      </c>
      <c r="Q888" s="17" t="n">
        <v>45706</v>
      </c>
      <c r="R888" s="17" t="n">
        <v>45706</v>
      </c>
      <c r="S888" s="19">
        <f>H888*I888</f>
        <v/>
      </c>
      <c r="T888" s="19">
        <f>H888*J888</f>
        <v/>
      </c>
      <c r="U888">
        <f>IF(AND(K888=0,G888&lt;=Assumptions!$C$6),1,0)</f>
        <v/>
      </c>
      <c r="V888">
        <f>IF(U888=1,IF(M888&gt;0,IF(P888&lt;=G888+Assumptions!$C$7,1,0),0),0)</f>
        <v/>
      </c>
      <c r="W888">
        <f>IF(AND(U888=1,M888&gt;=H888*(1-Assumptions!$C$8)),1,0)</f>
        <v/>
      </c>
      <c r="X888">
        <f>IF(AND(U888=1,N888&gt;=H888*(1-Assumptions!$C$8)),1,0)</f>
        <v/>
      </c>
      <c r="Y888">
        <f>IF(ISNUMBER(Q888),1,0)</f>
        <v/>
      </c>
      <c r="Z888">
        <f>IF(AND(K888=0,L888=0,Y888=0),1,0)</f>
        <v/>
      </c>
      <c r="AA888">
        <f>IF(AND(Z888=1,G888&lt;Assumptions!$C$6),1,0)</f>
        <v/>
      </c>
      <c r="AB888">
        <f>IF(U888=0,"",IF(Y888=1,MAX(0,Q888-G888),IF(L888=1,MAX(0,R888-G888),MAX(0,Assumptions!$C$6-G888))))</f>
        <v/>
      </c>
      <c r="AC888">
        <f>IF(Y888=1,Q888-F888,"")</f>
        <v/>
      </c>
      <c r="AD888">
        <f>IF(Y888=1,AC888^2,"")</f>
        <v/>
      </c>
      <c r="AE888" s="19">
        <f>IF(Z888=1,(H888-M888)*I888,0)</f>
        <v/>
      </c>
      <c r="AF888">
        <f>IF(G888&lt;EDATE(Assumptions!$C$6,-12)+1,"prior_12m","last_12m")</f>
        <v/>
      </c>
      <c r="AG888" s="21">
        <f>DATE(YEAR(G888),MONTH(G888),1)</f>
        <v/>
      </c>
    </row>
    <row r="889">
      <c r="A889" t="inlineStr">
        <is>
          <t>SPO-00488-2</t>
        </is>
      </c>
      <c r="B889" t="inlineStr">
        <is>
          <t>SPO-00488</t>
        </is>
      </c>
      <c r="C889" t="inlineStr">
        <is>
          <t>SUP-01</t>
        </is>
      </c>
      <c r="D889" t="inlineStr">
        <is>
          <t>ELEC</t>
        </is>
      </c>
      <c r="E889" t="inlineStr">
        <is>
          <t>ELEC-06</t>
        </is>
      </c>
      <c r="F889" s="17" t="n">
        <v>45694</v>
      </c>
      <c r="G889" s="17" t="n">
        <v>45712</v>
      </c>
      <c r="H889" s="18" t="n">
        <v>16</v>
      </c>
      <c r="I889" s="19" t="n">
        <v>141.05</v>
      </c>
      <c r="J889" s="19" t="n">
        <v>145</v>
      </c>
      <c r="K889" s="20" t="n">
        <v>0</v>
      </c>
      <c r="L889" s="20" t="n">
        <v>0</v>
      </c>
      <c r="M889" s="18" t="n">
        <v>16</v>
      </c>
      <c r="N889" s="18" t="n">
        <v>16</v>
      </c>
      <c r="O889" s="18" t="n">
        <v>0</v>
      </c>
      <c r="P889" s="17" t="n">
        <v>45709</v>
      </c>
      <c r="Q889" s="17" t="n">
        <v>45709</v>
      </c>
      <c r="R889" s="17" t="n">
        <v>45709</v>
      </c>
      <c r="S889" s="19">
        <f>H889*I889</f>
        <v/>
      </c>
      <c r="T889" s="19">
        <f>H889*J889</f>
        <v/>
      </c>
      <c r="U889">
        <f>IF(AND(K889=0,G889&lt;=Assumptions!$C$6),1,0)</f>
        <v/>
      </c>
      <c r="V889">
        <f>IF(U889=1,IF(M889&gt;0,IF(P889&lt;=G889+Assumptions!$C$7,1,0),0),0)</f>
        <v/>
      </c>
      <c r="W889">
        <f>IF(AND(U889=1,M889&gt;=H889*(1-Assumptions!$C$8)),1,0)</f>
        <v/>
      </c>
      <c r="X889">
        <f>IF(AND(U889=1,N889&gt;=H889*(1-Assumptions!$C$8)),1,0)</f>
        <v/>
      </c>
      <c r="Y889">
        <f>IF(ISNUMBER(Q889),1,0)</f>
        <v/>
      </c>
      <c r="Z889">
        <f>IF(AND(K889=0,L889=0,Y889=0),1,0)</f>
        <v/>
      </c>
      <c r="AA889">
        <f>IF(AND(Z889=1,G889&lt;Assumptions!$C$6),1,0)</f>
        <v/>
      </c>
      <c r="AB889">
        <f>IF(U889=0,"",IF(Y889=1,MAX(0,Q889-G889),IF(L889=1,MAX(0,R889-G889),MAX(0,Assumptions!$C$6-G889))))</f>
        <v/>
      </c>
      <c r="AC889">
        <f>IF(Y889=1,Q889-F889,"")</f>
        <v/>
      </c>
      <c r="AD889">
        <f>IF(Y889=1,AC889^2,"")</f>
        <v/>
      </c>
      <c r="AE889" s="19">
        <f>IF(Z889=1,(H889-M889)*I889,0)</f>
        <v/>
      </c>
      <c r="AF889">
        <f>IF(G889&lt;EDATE(Assumptions!$C$6,-12)+1,"prior_12m","last_12m")</f>
        <v/>
      </c>
      <c r="AG889" s="21">
        <f>DATE(YEAR(G889),MONTH(G889),1)</f>
        <v/>
      </c>
    </row>
    <row r="890">
      <c r="A890" t="inlineStr">
        <is>
          <t>SPO-00489-1</t>
        </is>
      </c>
      <c r="B890" t="inlineStr">
        <is>
          <t>SPO-00489</t>
        </is>
      </c>
      <c r="C890" t="inlineStr">
        <is>
          <t>SUP-05</t>
        </is>
      </c>
      <c r="D890" t="inlineStr">
        <is>
          <t>FLEET</t>
        </is>
      </c>
      <c r="E890" t="inlineStr">
        <is>
          <t>FLEET-04</t>
        </is>
      </c>
      <c r="F890" s="17" t="n">
        <v>45694</v>
      </c>
      <c r="G890" s="17" t="n">
        <v>45708</v>
      </c>
      <c r="H890" s="18" t="n">
        <v>84</v>
      </c>
      <c r="I890" s="19" t="n">
        <v>9.109999999999999</v>
      </c>
      <c r="J890" s="19" t="n">
        <v>9</v>
      </c>
      <c r="K890" s="20" t="n">
        <v>0</v>
      </c>
      <c r="L890" s="20" t="n">
        <v>0</v>
      </c>
      <c r="M890" s="18" t="n">
        <v>84</v>
      </c>
      <c r="N890" s="18" t="n">
        <v>84</v>
      </c>
      <c r="O890" s="18" t="n">
        <v>0</v>
      </c>
      <c r="P890" s="17" t="n">
        <v>45704</v>
      </c>
      <c r="Q890" s="17" t="n">
        <v>45704</v>
      </c>
      <c r="R890" s="17" t="n">
        <v>45704</v>
      </c>
      <c r="S890" s="19">
        <f>H890*I890</f>
        <v/>
      </c>
      <c r="T890" s="19">
        <f>H890*J890</f>
        <v/>
      </c>
      <c r="U890">
        <f>IF(AND(K890=0,G890&lt;=Assumptions!$C$6),1,0)</f>
        <v/>
      </c>
      <c r="V890">
        <f>IF(U890=1,IF(M890&gt;0,IF(P890&lt;=G890+Assumptions!$C$7,1,0),0),0)</f>
        <v/>
      </c>
      <c r="W890">
        <f>IF(AND(U890=1,M890&gt;=H890*(1-Assumptions!$C$8)),1,0)</f>
        <v/>
      </c>
      <c r="X890">
        <f>IF(AND(U890=1,N890&gt;=H890*(1-Assumptions!$C$8)),1,0)</f>
        <v/>
      </c>
      <c r="Y890">
        <f>IF(ISNUMBER(Q890),1,0)</f>
        <v/>
      </c>
      <c r="Z890">
        <f>IF(AND(K890=0,L890=0,Y890=0),1,0)</f>
        <v/>
      </c>
      <c r="AA890">
        <f>IF(AND(Z890=1,G890&lt;Assumptions!$C$6),1,0)</f>
        <v/>
      </c>
      <c r="AB890">
        <f>IF(U890=0,"",IF(Y890=1,MAX(0,Q890-G890),IF(L890=1,MAX(0,R890-G890),MAX(0,Assumptions!$C$6-G890))))</f>
        <v/>
      </c>
      <c r="AC890">
        <f>IF(Y890=1,Q890-F890,"")</f>
        <v/>
      </c>
      <c r="AD890">
        <f>IF(Y890=1,AC890^2,"")</f>
        <v/>
      </c>
      <c r="AE890" s="19">
        <f>IF(Z890=1,(H890-M890)*I890,0)</f>
        <v/>
      </c>
      <c r="AF890">
        <f>IF(G890&lt;EDATE(Assumptions!$C$6,-12)+1,"prior_12m","last_12m")</f>
        <v/>
      </c>
      <c r="AG890" s="21">
        <f>DATE(YEAR(G890),MONTH(G890),1)</f>
        <v/>
      </c>
    </row>
    <row r="891">
      <c r="A891" t="inlineStr">
        <is>
          <t>SPO-00490-1</t>
        </is>
      </c>
      <c r="B891" t="inlineStr">
        <is>
          <t>SPO-00490</t>
        </is>
      </c>
      <c r="C891" t="inlineStr">
        <is>
          <t>SUP-01</t>
        </is>
      </c>
      <c r="D891" t="inlineStr">
        <is>
          <t>ELEC</t>
        </is>
      </c>
      <c r="E891" t="inlineStr">
        <is>
          <t>ELEC-06</t>
        </is>
      </c>
      <c r="F891" s="17" t="n">
        <v>45694</v>
      </c>
      <c r="G891" s="17" t="n">
        <v>45712</v>
      </c>
      <c r="H891" s="18" t="n">
        <v>25</v>
      </c>
      <c r="I891" s="19" t="n">
        <v>145.77</v>
      </c>
      <c r="J891" s="19" t="n">
        <v>145</v>
      </c>
      <c r="K891" s="20" t="n">
        <v>0</v>
      </c>
      <c r="L891" s="20" t="n">
        <v>0</v>
      </c>
      <c r="M891" s="18" t="n">
        <v>25</v>
      </c>
      <c r="N891" s="18" t="n">
        <v>25</v>
      </c>
      <c r="O891" s="18" t="n">
        <v>0</v>
      </c>
      <c r="P891" s="17" t="n">
        <v>45705</v>
      </c>
      <c r="Q891" s="17" t="n">
        <v>45705</v>
      </c>
      <c r="R891" s="17" t="n">
        <v>45705</v>
      </c>
      <c r="S891" s="19">
        <f>H891*I891</f>
        <v/>
      </c>
      <c r="T891" s="19">
        <f>H891*J891</f>
        <v/>
      </c>
      <c r="U891">
        <f>IF(AND(K891=0,G891&lt;=Assumptions!$C$6),1,0)</f>
        <v/>
      </c>
      <c r="V891">
        <f>IF(U891=1,IF(M891&gt;0,IF(P891&lt;=G891+Assumptions!$C$7,1,0),0),0)</f>
        <v/>
      </c>
      <c r="W891">
        <f>IF(AND(U891=1,M891&gt;=H891*(1-Assumptions!$C$8)),1,0)</f>
        <v/>
      </c>
      <c r="X891">
        <f>IF(AND(U891=1,N891&gt;=H891*(1-Assumptions!$C$8)),1,0)</f>
        <v/>
      </c>
      <c r="Y891">
        <f>IF(ISNUMBER(Q891),1,0)</f>
        <v/>
      </c>
      <c r="Z891">
        <f>IF(AND(K891=0,L891=0,Y891=0),1,0)</f>
        <v/>
      </c>
      <c r="AA891">
        <f>IF(AND(Z891=1,G891&lt;Assumptions!$C$6),1,0)</f>
        <v/>
      </c>
      <c r="AB891">
        <f>IF(U891=0,"",IF(Y891=1,MAX(0,Q891-G891),IF(L891=1,MAX(0,R891-G891),MAX(0,Assumptions!$C$6-G891))))</f>
        <v/>
      </c>
      <c r="AC891">
        <f>IF(Y891=1,Q891-F891,"")</f>
        <v/>
      </c>
      <c r="AD891">
        <f>IF(Y891=1,AC891^2,"")</f>
        <v/>
      </c>
      <c r="AE891" s="19">
        <f>IF(Z891=1,(H891-M891)*I891,0)</f>
        <v/>
      </c>
      <c r="AF891">
        <f>IF(G891&lt;EDATE(Assumptions!$C$6,-12)+1,"prior_12m","last_12m")</f>
        <v/>
      </c>
      <c r="AG891" s="21">
        <f>DATE(YEAR(G891),MONTH(G891),1)</f>
        <v/>
      </c>
    </row>
    <row r="892">
      <c r="A892" t="inlineStr">
        <is>
          <t>SPO-00491-1</t>
        </is>
      </c>
      <c r="B892" t="inlineStr">
        <is>
          <t>SPO-00491</t>
        </is>
      </c>
      <c r="C892" t="inlineStr">
        <is>
          <t>SUP-12</t>
        </is>
      </c>
      <c r="D892" t="inlineStr">
        <is>
          <t>IT</t>
        </is>
      </c>
      <c r="E892" t="inlineStr">
        <is>
          <t>IT-05</t>
        </is>
      </c>
      <c r="F892" s="17" t="n">
        <v>45694</v>
      </c>
      <c r="G892" s="17" t="n">
        <v>45704</v>
      </c>
      <c r="H892" s="18" t="n">
        <v>3</v>
      </c>
      <c r="I892" s="19" t="n">
        <v>726.92</v>
      </c>
      <c r="J892" s="19" t="n">
        <v>640</v>
      </c>
      <c r="K892" s="20" t="n">
        <v>0</v>
      </c>
      <c r="L892" s="20" t="n">
        <v>0</v>
      </c>
      <c r="M892" s="18" t="n">
        <v>3</v>
      </c>
      <c r="N892" s="18" t="n">
        <v>3</v>
      </c>
      <c r="O892" s="18" t="n">
        <v>0</v>
      </c>
      <c r="P892" s="17" t="n">
        <v>45703</v>
      </c>
      <c r="Q892" s="17" t="n">
        <v>45703</v>
      </c>
      <c r="R892" s="17" t="n">
        <v>45703</v>
      </c>
      <c r="S892" s="19">
        <f>H892*I892</f>
        <v/>
      </c>
      <c r="T892" s="19">
        <f>H892*J892</f>
        <v/>
      </c>
      <c r="U892">
        <f>IF(AND(K892=0,G892&lt;=Assumptions!$C$6),1,0)</f>
        <v/>
      </c>
      <c r="V892">
        <f>IF(U892=1,IF(M892&gt;0,IF(P892&lt;=G892+Assumptions!$C$7,1,0),0),0)</f>
        <v/>
      </c>
      <c r="W892">
        <f>IF(AND(U892=1,M892&gt;=H892*(1-Assumptions!$C$8)),1,0)</f>
        <v/>
      </c>
      <c r="X892">
        <f>IF(AND(U892=1,N892&gt;=H892*(1-Assumptions!$C$8)),1,0)</f>
        <v/>
      </c>
      <c r="Y892">
        <f>IF(ISNUMBER(Q892),1,0)</f>
        <v/>
      </c>
      <c r="Z892">
        <f>IF(AND(K892=0,L892=0,Y892=0),1,0)</f>
        <v/>
      </c>
      <c r="AA892">
        <f>IF(AND(Z892=1,G892&lt;Assumptions!$C$6),1,0)</f>
        <v/>
      </c>
      <c r="AB892">
        <f>IF(U892=0,"",IF(Y892=1,MAX(0,Q892-G892),IF(L892=1,MAX(0,R892-G892),MAX(0,Assumptions!$C$6-G892))))</f>
        <v/>
      </c>
      <c r="AC892">
        <f>IF(Y892=1,Q892-F892,"")</f>
        <v/>
      </c>
      <c r="AD892">
        <f>IF(Y892=1,AC892^2,"")</f>
        <v/>
      </c>
      <c r="AE892" s="19">
        <f>IF(Z892=1,(H892-M892)*I892,0)</f>
        <v/>
      </c>
      <c r="AF892">
        <f>IF(G892&lt;EDATE(Assumptions!$C$6,-12)+1,"prior_12m","last_12m")</f>
        <v/>
      </c>
      <c r="AG892" s="21">
        <f>DATE(YEAR(G892),MONTH(G892),1)</f>
        <v/>
      </c>
    </row>
    <row r="893">
      <c r="A893" t="inlineStr">
        <is>
          <t>SPO-00492-1</t>
        </is>
      </c>
      <c r="B893" t="inlineStr">
        <is>
          <t>SPO-00492</t>
        </is>
      </c>
      <c r="C893" t="inlineStr">
        <is>
          <t>SUP-11</t>
        </is>
      </c>
      <c r="D893" t="inlineStr">
        <is>
          <t>PPE</t>
        </is>
      </c>
      <c r="E893" t="inlineStr">
        <is>
          <t>PPE-07</t>
        </is>
      </c>
      <c r="F893" s="17" t="n">
        <v>45694</v>
      </c>
      <c r="G893" s="17" t="n">
        <v>45706</v>
      </c>
      <c r="H893" s="18" t="n">
        <v>46</v>
      </c>
      <c r="I893" s="19" t="n">
        <v>32.29</v>
      </c>
      <c r="J893" s="19" t="n">
        <v>31</v>
      </c>
      <c r="K893" s="20" t="n">
        <v>0</v>
      </c>
      <c r="L893" s="20" t="n">
        <v>0</v>
      </c>
      <c r="M893" s="18" t="n">
        <v>46</v>
      </c>
      <c r="N893" s="18" t="n">
        <v>46</v>
      </c>
      <c r="O893" s="18" t="n">
        <v>0</v>
      </c>
      <c r="P893" s="17" t="n">
        <v>45706</v>
      </c>
      <c r="Q893" s="17" t="n">
        <v>45706</v>
      </c>
      <c r="R893" s="17" t="n">
        <v>45706</v>
      </c>
      <c r="S893" s="19">
        <f>H893*I893</f>
        <v/>
      </c>
      <c r="T893" s="19">
        <f>H893*J893</f>
        <v/>
      </c>
      <c r="U893">
        <f>IF(AND(K893=0,G893&lt;=Assumptions!$C$6),1,0)</f>
        <v/>
      </c>
      <c r="V893">
        <f>IF(U893=1,IF(M893&gt;0,IF(P893&lt;=G893+Assumptions!$C$7,1,0),0),0)</f>
        <v/>
      </c>
      <c r="W893">
        <f>IF(AND(U893=1,M893&gt;=H893*(1-Assumptions!$C$8)),1,0)</f>
        <v/>
      </c>
      <c r="X893">
        <f>IF(AND(U893=1,N893&gt;=H893*(1-Assumptions!$C$8)),1,0)</f>
        <v/>
      </c>
      <c r="Y893">
        <f>IF(ISNUMBER(Q893),1,0)</f>
        <v/>
      </c>
      <c r="Z893">
        <f>IF(AND(K893=0,L893=0,Y893=0),1,0)</f>
        <v/>
      </c>
      <c r="AA893">
        <f>IF(AND(Z893=1,G893&lt;Assumptions!$C$6),1,0)</f>
        <v/>
      </c>
      <c r="AB893">
        <f>IF(U893=0,"",IF(Y893=1,MAX(0,Q893-G893),IF(L893=1,MAX(0,R893-G893),MAX(0,Assumptions!$C$6-G893))))</f>
        <v/>
      </c>
      <c r="AC893">
        <f>IF(Y893=1,Q893-F893,"")</f>
        <v/>
      </c>
      <c r="AD893">
        <f>IF(Y893=1,AC893^2,"")</f>
        <v/>
      </c>
      <c r="AE893" s="19">
        <f>IF(Z893=1,(H893-M893)*I893,0)</f>
        <v/>
      </c>
      <c r="AF893">
        <f>IF(G893&lt;EDATE(Assumptions!$C$6,-12)+1,"prior_12m","last_12m")</f>
        <v/>
      </c>
      <c r="AG893" s="21">
        <f>DATE(YEAR(G893),MONTH(G893),1)</f>
        <v/>
      </c>
    </row>
    <row r="894">
      <c r="A894" t="inlineStr">
        <is>
          <t>SPO-00492-2</t>
        </is>
      </c>
      <c r="B894" t="inlineStr">
        <is>
          <t>SPO-00492</t>
        </is>
      </c>
      <c r="C894" t="inlineStr">
        <is>
          <t>SUP-11</t>
        </is>
      </c>
      <c r="D894" t="inlineStr">
        <is>
          <t>PPE</t>
        </is>
      </c>
      <c r="E894" t="inlineStr">
        <is>
          <t>PPE-03</t>
        </is>
      </c>
      <c r="F894" s="17" t="n">
        <v>45694</v>
      </c>
      <c r="G894" s="17" t="n">
        <v>45706</v>
      </c>
      <c r="H894" s="18" t="n">
        <v>42</v>
      </c>
      <c r="I894" s="19" t="n">
        <v>20.98</v>
      </c>
      <c r="J894" s="19" t="n">
        <v>21</v>
      </c>
      <c r="K894" s="20" t="n">
        <v>0</v>
      </c>
      <c r="L894" s="20" t="n">
        <v>0</v>
      </c>
      <c r="M894" s="18" t="n">
        <v>42</v>
      </c>
      <c r="N894" s="18" t="n">
        <v>25</v>
      </c>
      <c r="O894" s="18" t="n">
        <v>0</v>
      </c>
      <c r="P894" s="17" t="n">
        <v>45706</v>
      </c>
      <c r="Q894" s="17" t="n">
        <v>45720</v>
      </c>
      <c r="R894" s="17" t="n">
        <v>45720</v>
      </c>
      <c r="S894" s="19">
        <f>H894*I894</f>
        <v/>
      </c>
      <c r="T894" s="19">
        <f>H894*J894</f>
        <v/>
      </c>
      <c r="U894">
        <f>IF(AND(K894=0,G894&lt;=Assumptions!$C$6),1,0)</f>
        <v/>
      </c>
      <c r="V894">
        <f>IF(U894=1,IF(M894&gt;0,IF(P894&lt;=G894+Assumptions!$C$7,1,0),0),0)</f>
        <v/>
      </c>
      <c r="W894">
        <f>IF(AND(U894=1,M894&gt;=H894*(1-Assumptions!$C$8)),1,0)</f>
        <v/>
      </c>
      <c r="X894">
        <f>IF(AND(U894=1,N894&gt;=H894*(1-Assumptions!$C$8)),1,0)</f>
        <v/>
      </c>
      <c r="Y894">
        <f>IF(ISNUMBER(Q894),1,0)</f>
        <v/>
      </c>
      <c r="Z894">
        <f>IF(AND(K894=0,L894=0,Y894=0),1,0)</f>
        <v/>
      </c>
      <c r="AA894">
        <f>IF(AND(Z894=1,G894&lt;Assumptions!$C$6),1,0)</f>
        <v/>
      </c>
      <c r="AB894">
        <f>IF(U894=0,"",IF(Y894=1,MAX(0,Q894-G894),IF(L894=1,MAX(0,R894-G894),MAX(0,Assumptions!$C$6-G894))))</f>
        <v/>
      </c>
      <c r="AC894">
        <f>IF(Y894=1,Q894-F894,"")</f>
        <v/>
      </c>
      <c r="AD894">
        <f>IF(Y894=1,AC894^2,"")</f>
        <v/>
      </c>
      <c r="AE894" s="19">
        <f>IF(Z894=1,(H894-M894)*I894,0)</f>
        <v/>
      </c>
      <c r="AF894">
        <f>IF(G894&lt;EDATE(Assumptions!$C$6,-12)+1,"prior_12m","last_12m")</f>
        <v/>
      </c>
      <c r="AG894" s="21">
        <f>DATE(YEAR(G894),MONTH(G894),1)</f>
        <v/>
      </c>
    </row>
    <row r="895">
      <c r="A895" t="inlineStr">
        <is>
          <t>SPO-00493-1</t>
        </is>
      </c>
      <c r="B895" t="inlineStr">
        <is>
          <t>SPO-00493</t>
        </is>
      </c>
      <c r="C895" t="inlineStr">
        <is>
          <t>SUP-11</t>
        </is>
      </c>
      <c r="D895" t="inlineStr">
        <is>
          <t>PPE</t>
        </is>
      </c>
      <c r="E895" t="inlineStr">
        <is>
          <t>PPE-08</t>
        </is>
      </c>
      <c r="F895" s="17" t="n">
        <v>45694</v>
      </c>
      <c r="G895" s="17" t="n">
        <v>45706</v>
      </c>
      <c r="H895" s="18" t="n">
        <v>14</v>
      </c>
      <c r="I895" s="19" t="n">
        <v>63.46</v>
      </c>
      <c r="J895" s="19" t="n">
        <v>64</v>
      </c>
      <c r="K895" s="20" t="n">
        <v>0</v>
      </c>
      <c r="L895" s="20" t="n">
        <v>0</v>
      </c>
      <c r="M895" s="18" t="n">
        <v>14</v>
      </c>
      <c r="N895" s="18" t="n">
        <v>14</v>
      </c>
      <c r="O895" s="18" t="n">
        <v>0</v>
      </c>
      <c r="P895" s="17" t="n">
        <v>45705</v>
      </c>
      <c r="Q895" s="17" t="n">
        <v>45705</v>
      </c>
      <c r="R895" s="17" t="n">
        <v>45705</v>
      </c>
      <c r="S895" s="19">
        <f>H895*I895</f>
        <v/>
      </c>
      <c r="T895" s="19">
        <f>H895*J895</f>
        <v/>
      </c>
      <c r="U895">
        <f>IF(AND(K895=0,G895&lt;=Assumptions!$C$6),1,0)</f>
        <v/>
      </c>
      <c r="V895">
        <f>IF(U895=1,IF(M895&gt;0,IF(P895&lt;=G895+Assumptions!$C$7,1,0),0),0)</f>
        <v/>
      </c>
      <c r="W895">
        <f>IF(AND(U895=1,M895&gt;=H895*(1-Assumptions!$C$8)),1,0)</f>
        <v/>
      </c>
      <c r="X895">
        <f>IF(AND(U895=1,N895&gt;=H895*(1-Assumptions!$C$8)),1,0)</f>
        <v/>
      </c>
      <c r="Y895">
        <f>IF(ISNUMBER(Q895),1,0)</f>
        <v/>
      </c>
      <c r="Z895">
        <f>IF(AND(K895=0,L895=0,Y895=0),1,0)</f>
        <v/>
      </c>
      <c r="AA895">
        <f>IF(AND(Z895=1,G895&lt;Assumptions!$C$6),1,0)</f>
        <v/>
      </c>
      <c r="AB895">
        <f>IF(U895=0,"",IF(Y895=1,MAX(0,Q895-G895),IF(L895=1,MAX(0,R895-G895),MAX(0,Assumptions!$C$6-G895))))</f>
        <v/>
      </c>
      <c r="AC895">
        <f>IF(Y895=1,Q895-F895,"")</f>
        <v/>
      </c>
      <c r="AD895">
        <f>IF(Y895=1,AC895^2,"")</f>
        <v/>
      </c>
      <c r="AE895" s="19">
        <f>IF(Z895=1,(H895-M895)*I895,0)</f>
        <v/>
      </c>
      <c r="AF895">
        <f>IF(G895&lt;EDATE(Assumptions!$C$6,-12)+1,"prior_12m","last_12m")</f>
        <v/>
      </c>
      <c r="AG895" s="21">
        <f>DATE(YEAR(G895),MONTH(G895),1)</f>
        <v/>
      </c>
    </row>
    <row r="896">
      <c r="A896" t="inlineStr">
        <is>
          <t>SPO-00493-2</t>
        </is>
      </c>
      <c r="B896" t="inlineStr">
        <is>
          <t>SPO-00493</t>
        </is>
      </c>
      <c r="C896" t="inlineStr">
        <is>
          <t>SUP-11</t>
        </is>
      </c>
      <c r="D896" t="inlineStr">
        <is>
          <t>PPE</t>
        </is>
      </c>
      <c r="E896" t="inlineStr">
        <is>
          <t>PPE-03</t>
        </is>
      </c>
      <c r="F896" s="17" t="n">
        <v>45694</v>
      </c>
      <c r="G896" s="17" t="n">
        <v>45706</v>
      </c>
      <c r="H896" s="18" t="n">
        <v>50</v>
      </c>
      <c r="I896" s="19" t="n">
        <v>21.9</v>
      </c>
      <c r="J896" s="19" t="n">
        <v>21</v>
      </c>
      <c r="K896" s="20" t="n">
        <v>0</v>
      </c>
      <c r="L896" s="20" t="n">
        <v>0</v>
      </c>
      <c r="M896" s="18" t="n">
        <v>50</v>
      </c>
      <c r="N896" s="18" t="n">
        <v>50</v>
      </c>
      <c r="O896" s="18" t="n">
        <v>0</v>
      </c>
      <c r="P896" s="17" t="n">
        <v>45701</v>
      </c>
      <c r="Q896" s="17" t="n">
        <v>45701</v>
      </c>
      <c r="R896" s="17" t="n">
        <v>45701</v>
      </c>
      <c r="S896" s="19">
        <f>H896*I896</f>
        <v/>
      </c>
      <c r="T896" s="19">
        <f>H896*J896</f>
        <v/>
      </c>
      <c r="U896">
        <f>IF(AND(K896=0,G896&lt;=Assumptions!$C$6),1,0)</f>
        <v/>
      </c>
      <c r="V896">
        <f>IF(U896=1,IF(M896&gt;0,IF(P896&lt;=G896+Assumptions!$C$7,1,0),0),0)</f>
        <v/>
      </c>
      <c r="W896">
        <f>IF(AND(U896=1,M896&gt;=H896*(1-Assumptions!$C$8)),1,0)</f>
        <v/>
      </c>
      <c r="X896">
        <f>IF(AND(U896=1,N896&gt;=H896*(1-Assumptions!$C$8)),1,0)</f>
        <v/>
      </c>
      <c r="Y896">
        <f>IF(ISNUMBER(Q896),1,0)</f>
        <v/>
      </c>
      <c r="Z896">
        <f>IF(AND(K896=0,L896=0,Y896=0),1,0)</f>
        <v/>
      </c>
      <c r="AA896">
        <f>IF(AND(Z896=1,G896&lt;Assumptions!$C$6),1,0)</f>
        <v/>
      </c>
      <c r="AB896">
        <f>IF(U896=0,"",IF(Y896=1,MAX(0,Q896-G896),IF(L896=1,MAX(0,R896-G896),MAX(0,Assumptions!$C$6-G896))))</f>
        <v/>
      </c>
      <c r="AC896">
        <f>IF(Y896=1,Q896-F896,"")</f>
        <v/>
      </c>
      <c r="AD896">
        <f>IF(Y896=1,AC896^2,"")</f>
        <v/>
      </c>
      <c r="AE896" s="19">
        <f>IF(Z896=1,(H896-M896)*I896,0)</f>
        <v/>
      </c>
      <c r="AF896">
        <f>IF(G896&lt;EDATE(Assumptions!$C$6,-12)+1,"prior_12m","last_12m")</f>
        <v/>
      </c>
      <c r="AG896" s="21">
        <f>DATE(YEAR(G896),MONTH(G896),1)</f>
        <v/>
      </c>
    </row>
    <row r="897">
      <c r="A897" t="inlineStr">
        <is>
          <t>SPO-00494-1</t>
        </is>
      </c>
      <c r="B897" t="inlineStr">
        <is>
          <t>SPO-00494</t>
        </is>
      </c>
      <c r="C897" t="inlineStr">
        <is>
          <t>SUP-07</t>
        </is>
      </c>
      <c r="D897" t="inlineStr">
        <is>
          <t>MRO</t>
        </is>
      </c>
      <c r="E897" t="inlineStr">
        <is>
          <t>MRO-03</t>
        </is>
      </c>
      <c r="F897" s="17" t="n">
        <v>45695</v>
      </c>
      <c r="G897" s="17" t="n">
        <v>45705</v>
      </c>
      <c r="H897" s="18" t="n">
        <v>188</v>
      </c>
      <c r="I897" s="19" t="n">
        <v>8.65</v>
      </c>
      <c r="J897" s="19" t="n">
        <v>8.9</v>
      </c>
      <c r="K897" s="20" t="n">
        <v>0</v>
      </c>
      <c r="L897" s="20" t="n">
        <v>0</v>
      </c>
      <c r="M897" s="18" t="n">
        <v>188</v>
      </c>
      <c r="N897" s="18" t="n">
        <v>77</v>
      </c>
      <c r="O897" s="18" t="n">
        <v>0</v>
      </c>
      <c r="P897" s="17" t="n">
        <v>45702</v>
      </c>
      <c r="Q897" s="17" t="n">
        <v>45721</v>
      </c>
      <c r="R897" s="17" t="n">
        <v>45721</v>
      </c>
      <c r="S897" s="19">
        <f>H897*I897</f>
        <v/>
      </c>
      <c r="T897" s="19">
        <f>H897*J897</f>
        <v/>
      </c>
      <c r="U897">
        <f>IF(AND(K897=0,G897&lt;=Assumptions!$C$6),1,0)</f>
        <v/>
      </c>
      <c r="V897">
        <f>IF(U897=1,IF(M897&gt;0,IF(P897&lt;=G897+Assumptions!$C$7,1,0),0),0)</f>
        <v/>
      </c>
      <c r="W897">
        <f>IF(AND(U897=1,M897&gt;=H897*(1-Assumptions!$C$8)),1,0)</f>
        <v/>
      </c>
      <c r="X897">
        <f>IF(AND(U897=1,N897&gt;=H897*(1-Assumptions!$C$8)),1,0)</f>
        <v/>
      </c>
      <c r="Y897">
        <f>IF(ISNUMBER(Q897),1,0)</f>
        <v/>
      </c>
      <c r="Z897">
        <f>IF(AND(K897=0,L897=0,Y897=0),1,0)</f>
        <v/>
      </c>
      <c r="AA897">
        <f>IF(AND(Z897=1,G897&lt;Assumptions!$C$6),1,0)</f>
        <v/>
      </c>
      <c r="AB897">
        <f>IF(U897=0,"",IF(Y897=1,MAX(0,Q897-G897),IF(L897=1,MAX(0,R897-G897),MAX(0,Assumptions!$C$6-G897))))</f>
        <v/>
      </c>
      <c r="AC897">
        <f>IF(Y897=1,Q897-F897,"")</f>
        <v/>
      </c>
      <c r="AD897">
        <f>IF(Y897=1,AC897^2,"")</f>
        <v/>
      </c>
      <c r="AE897" s="19">
        <f>IF(Z897=1,(H897-M897)*I897,0)</f>
        <v/>
      </c>
      <c r="AF897">
        <f>IF(G897&lt;EDATE(Assumptions!$C$6,-12)+1,"prior_12m","last_12m")</f>
        <v/>
      </c>
      <c r="AG897" s="21">
        <f>DATE(YEAR(G897),MONTH(G897),1)</f>
        <v/>
      </c>
    </row>
    <row r="898">
      <c r="A898" t="inlineStr">
        <is>
          <t>SPO-00495-1</t>
        </is>
      </c>
      <c r="B898" t="inlineStr">
        <is>
          <t>SPO-00495</t>
        </is>
      </c>
      <c r="C898" t="inlineStr">
        <is>
          <t>SUP-01</t>
        </is>
      </c>
      <c r="D898" t="inlineStr">
        <is>
          <t>ELEC</t>
        </is>
      </c>
      <c r="E898" t="inlineStr">
        <is>
          <t>ELEC-08</t>
        </is>
      </c>
      <c r="F898" s="17" t="n">
        <v>45695</v>
      </c>
      <c r="G898" s="17" t="n">
        <v>45713</v>
      </c>
      <c r="H898" s="18" t="n">
        <v>255</v>
      </c>
      <c r="I898" s="19" t="n">
        <v>18.88</v>
      </c>
      <c r="J898" s="19" t="n">
        <v>18</v>
      </c>
      <c r="K898" s="20" t="n">
        <v>0</v>
      </c>
      <c r="L898" s="20" t="n">
        <v>0</v>
      </c>
      <c r="M898" s="18" t="n">
        <v>255</v>
      </c>
      <c r="N898" s="18" t="n">
        <v>255</v>
      </c>
      <c r="O898" s="18" t="n">
        <v>0</v>
      </c>
      <c r="P898" s="17" t="n">
        <v>45708</v>
      </c>
      <c r="Q898" s="17" t="n">
        <v>45708</v>
      </c>
      <c r="R898" s="17" t="n">
        <v>45708</v>
      </c>
      <c r="S898" s="19">
        <f>H898*I898</f>
        <v/>
      </c>
      <c r="T898" s="19">
        <f>H898*J898</f>
        <v/>
      </c>
      <c r="U898">
        <f>IF(AND(K898=0,G898&lt;=Assumptions!$C$6),1,0)</f>
        <v/>
      </c>
      <c r="V898">
        <f>IF(U898=1,IF(M898&gt;0,IF(P898&lt;=G898+Assumptions!$C$7,1,0),0),0)</f>
        <v/>
      </c>
      <c r="W898">
        <f>IF(AND(U898=1,M898&gt;=H898*(1-Assumptions!$C$8)),1,0)</f>
        <v/>
      </c>
      <c r="X898">
        <f>IF(AND(U898=1,N898&gt;=H898*(1-Assumptions!$C$8)),1,0)</f>
        <v/>
      </c>
      <c r="Y898">
        <f>IF(ISNUMBER(Q898),1,0)</f>
        <v/>
      </c>
      <c r="Z898">
        <f>IF(AND(K898=0,L898=0,Y898=0),1,0)</f>
        <v/>
      </c>
      <c r="AA898">
        <f>IF(AND(Z898=1,G898&lt;Assumptions!$C$6),1,0)</f>
        <v/>
      </c>
      <c r="AB898">
        <f>IF(U898=0,"",IF(Y898=1,MAX(0,Q898-G898),IF(L898=1,MAX(0,R898-G898),MAX(0,Assumptions!$C$6-G898))))</f>
        <v/>
      </c>
      <c r="AC898">
        <f>IF(Y898=1,Q898-F898,"")</f>
        <v/>
      </c>
      <c r="AD898">
        <f>IF(Y898=1,AC898^2,"")</f>
        <v/>
      </c>
      <c r="AE898" s="19">
        <f>IF(Z898=1,(H898-M898)*I898,0)</f>
        <v/>
      </c>
      <c r="AF898">
        <f>IF(G898&lt;EDATE(Assumptions!$C$6,-12)+1,"prior_12m","last_12m")</f>
        <v/>
      </c>
      <c r="AG898" s="21">
        <f>DATE(YEAR(G898),MONTH(G898),1)</f>
        <v/>
      </c>
    </row>
    <row r="899">
      <c r="A899" t="inlineStr">
        <is>
          <t>SPO-00495-2</t>
        </is>
      </c>
      <c r="B899" t="inlineStr">
        <is>
          <t>SPO-00495</t>
        </is>
      </c>
      <c r="C899" t="inlineStr">
        <is>
          <t>SUP-01</t>
        </is>
      </c>
      <c r="D899" t="inlineStr">
        <is>
          <t>ELEC</t>
        </is>
      </c>
      <c r="E899" t="inlineStr">
        <is>
          <t>ELEC-05</t>
        </is>
      </c>
      <c r="F899" s="17" t="n">
        <v>45695</v>
      </c>
      <c r="G899" s="17" t="n">
        <v>45713</v>
      </c>
      <c r="H899" s="18" t="n">
        <v>160</v>
      </c>
      <c r="I899" s="19" t="n">
        <v>12.12</v>
      </c>
      <c r="J899" s="19" t="n">
        <v>11.5</v>
      </c>
      <c r="K899" s="20" t="n">
        <v>0</v>
      </c>
      <c r="L899" s="20" t="n">
        <v>0</v>
      </c>
      <c r="M899" s="18" t="n">
        <v>160</v>
      </c>
      <c r="N899" s="18" t="n">
        <v>160</v>
      </c>
      <c r="O899" s="18" t="n">
        <v>0</v>
      </c>
      <c r="P899" s="17" t="n">
        <v>45709</v>
      </c>
      <c r="Q899" s="17" t="n">
        <v>45709</v>
      </c>
      <c r="R899" s="17" t="n">
        <v>45709</v>
      </c>
      <c r="S899" s="19">
        <f>H899*I899</f>
        <v/>
      </c>
      <c r="T899" s="19">
        <f>H899*J899</f>
        <v/>
      </c>
      <c r="U899">
        <f>IF(AND(K899=0,G899&lt;=Assumptions!$C$6),1,0)</f>
        <v/>
      </c>
      <c r="V899">
        <f>IF(U899=1,IF(M899&gt;0,IF(P899&lt;=G899+Assumptions!$C$7,1,0),0),0)</f>
        <v/>
      </c>
      <c r="W899">
        <f>IF(AND(U899=1,M899&gt;=H899*(1-Assumptions!$C$8)),1,0)</f>
        <v/>
      </c>
      <c r="X899">
        <f>IF(AND(U899=1,N899&gt;=H899*(1-Assumptions!$C$8)),1,0)</f>
        <v/>
      </c>
      <c r="Y899">
        <f>IF(ISNUMBER(Q899),1,0)</f>
        <v/>
      </c>
      <c r="Z899">
        <f>IF(AND(K899=0,L899=0,Y899=0),1,0)</f>
        <v/>
      </c>
      <c r="AA899">
        <f>IF(AND(Z899=1,G899&lt;Assumptions!$C$6),1,0)</f>
        <v/>
      </c>
      <c r="AB899">
        <f>IF(U899=0,"",IF(Y899=1,MAX(0,Q899-G899),IF(L899=1,MAX(0,R899-G899),MAX(0,Assumptions!$C$6-G899))))</f>
        <v/>
      </c>
      <c r="AC899">
        <f>IF(Y899=1,Q899-F899,"")</f>
        <v/>
      </c>
      <c r="AD899">
        <f>IF(Y899=1,AC899^2,"")</f>
        <v/>
      </c>
      <c r="AE899" s="19">
        <f>IF(Z899=1,(H899-M899)*I899,0)</f>
        <v/>
      </c>
      <c r="AF899">
        <f>IF(G899&lt;EDATE(Assumptions!$C$6,-12)+1,"prior_12m","last_12m")</f>
        <v/>
      </c>
      <c r="AG899" s="21">
        <f>DATE(YEAR(G899),MONTH(G899),1)</f>
        <v/>
      </c>
    </row>
    <row r="900">
      <c r="A900" t="inlineStr">
        <is>
          <t>SPO-00495-3</t>
        </is>
      </c>
      <c r="B900" t="inlineStr">
        <is>
          <t>SPO-00495</t>
        </is>
      </c>
      <c r="C900" t="inlineStr">
        <is>
          <t>SUP-01</t>
        </is>
      </c>
      <c r="D900" t="inlineStr">
        <is>
          <t>ELEC</t>
        </is>
      </c>
      <c r="E900" t="inlineStr">
        <is>
          <t>ELEC-01</t>
        </is>
      </c>
      <c r="F900" s="17" t="n">
        <v>45695</v>
      </c>
      <c r="G900" s="17" t="n">
        <v>45713</v>
      </c>
      <c r="H900" s="18" t="n">
        <v>147</v>
      </c>
      <c r="I900" s="19" t="n">
        <v>40.12</v>
      </c>
      <c r="J900" s="19" t="n">
        <v>38</v>
      </c>
      <c r="K900" s="20" t="n">
        <v>0</v>
      </c>
      <c r="L900" s="20" t="n">
        <v>0</v>
      </c>
      <c r="M900" s="18" t="n">
        <v>147</v>
      </c>
      <c r="N900" s="18" t="n">
        <v>147</v>
      </c>
      <c r="O900" s="18" t="n">
        <v>0</v>
      </c>
      <c r="P900" s="17" t="n">
        <v>45708</v>
      </c>
      <c r="Q900" s="17" t="n">
        <v>45708</v>
      </c>
      <c r="R900" s="17" t="n">
        <v>45708</v>
      </c>
      <c r="S900" s="19">
        <f>H900*I900</f>
        <v/>
      </c>
      <c r="T900" s="19">
        <f>H900*J900</f>
        <v/>
      </c>
      <c r="U900">
        <f>IF(AND(K900=0,G900&lt;=Assumptions!$C$6),1,0)</f>
        <v/>
      </c>
      <c r="V900">
        <f>IF(U900=1,IF(M900&gt;0,IF(P900&lt;=G900+Assumptions!$C$7,1,0),0),0)</f>
        <v/>
      </c>
      <c r="W900">
        <f>IF(AND(U900=1,M900&gt;=H900*(1-Assumptions!$C$8)),1,0)</f>
        <v/>
      </c>
      <c r="X900">
        <f>IF(AND(U900=1,N900&gt;=H900*(1-Assumptions!$C$8)),1,0)</f>
        <v/>
      </c>
      <c r="Y900">
        <f>IF(ISNUMBER(Q900),1,0)</f>
        <v/>
      </c>
      <c r="Z900">
        <f>IF(AND(K900=0,L900=0,Y900=0),1,0)</f>
        <v/>
      </c>
      <c r="AA900">
        <f>IF(AND(Z900=1,G900&lt;Assumptions!$C$6),1,0)</f>
        <v/>
      </c>
      <c r="AB900">
        <f>IF(U900=0,"",IF(Y900=1,MAX(0,Q900-G900),IF(L900=1,MAX(0,R900-G900),MAX(0,Assumptions!$C$6-G900))))</f>
        <v/>
      </c>
      <c r="AC900">
        <f>IF(Y900=1,Q900-F900,"")</f>
        <v/>
      </c>
      <c r="AD900">
        <f>IF(Y900=1,AC900^2,"")</f>
        <v/>
      </c>
      <c r="AE900" s="19">
        <f>IF(Z900=1,(H900-M900)*I900,0)</f>
        <v/>
      </c>
      <c r="AF900">
        <f>IF(G900&lt;EDATE(Assumptions!$C$6,-12)+1,"prior_12m","last_12m")</f>
        <v/>
      </c>
      <c r="AG900" s="21">
        <f>DATE(YEAR(G900),MONTH(G900),1)</f>
        <v/>
      </c>
    </row>
    <row r="901">
      <c r="A901" t="inlineStr">
        <is>
          <t>SPO-00496-1</t>
        </is>
      </c>
      <c r="B901" t="inlineStr">
        <is>
          <t>SPO-00496</t>
        </is>
      </c>
      <c r="C901" t="inlineStr">
        <is>
          <t>SUP-04</t>
        </is>
      </c>
      <c r="D901" t="inlineStr">
        <is>
          <t>FLEET</t>
        </is>
      </c>
      <c r="E901" t="inlineStr">
        <is>
          <t>FLEET-08</t>
        </is>
      </c>
      <c r="F901" s="17" t="n">
        <v>45695</v>
      </c>
      <c r="G901" s="17" t="n">
        <v>45708</v>
      </c>
      <c r="H901" s="18" t="n">
        <v>284</v>
      </c>
      <c r="I901" s="19" t="n">
        <v>6.22</v>
      </c>
      <c r="J901" s="19" t="n">
        <v>6.4</v>
      </c>
      <c r="K901" s="20" t="n">
        <v>0</v>
      </c>
      <c r="L901" s="20" t="n">
        <v>0</v>
      </c>
      <c r="M901" s="18" t="n">
        <v>284</v>
      </c>
      <c r="N901" s="18" t="n">
        <v>284</v>
      </c>
      <c r="O901" s="18" t="n">
        <v>0</v>
      </c>
      <c r="P901" s="17" t="n">
        <v>45708</v>
      </c>
      <c r="Q901" s="17" t="n">
        <v>45708</v>
      </c>
      <c r="R901" s="17" t="n">
        <v>45708</v>
      </c>
      <c r="S901" s="19">
        <f>H901*I901</f>
        <v/>
      </c>
      <c r="T901" s="19">
        <f>H901*J901</f>
        <v/>
      </c>
      <c r="U901">
        <f>IF(AND(K901=0,G901&lt;=Assumptions!$C$6),1,0)</f>
        <v/>
      </c>
      <c r="V901">
        <f>IF(U901=1,IF(M901&gt;0,IF(P901&lt;=G901+Assumptions!$C$7,1,0),0),0)</f>
        <v/>
      </c>
      <c r="W901">
        <f>IF(AND(U901=1,M901&gt;=H901*(1-Assumptions!$C$8)),1,0)</f>
        <v/>
      </c>
      <c r="X901">
        <f>IF(AND(U901=1,N901&gt;=H901*(1-Assumptions!$C$8)),1,0)</f>
        <v/>
      </c>
      <c r="Y901">
        <f>IF(ISNUMBER(Q901),1,0)</f>
        <v/>
      </c>
      <c r="Z901">
        <f>IF(AND(K901=0,L901=0,Y901=0),1,0)</f>
        <v/>
      </c>
      <c r="AA901">
        <f>IF(AND(Z901=1,G901&lt;Assumptions!$C$6),1,0)</f>
        <v/>
      </c>
      <c r="AB901">
        <f>IF(U901=0,"",IF(Y901=1,MAX(0,Q901-G901),IF(L901=1,MAX(0,R901-G901),MAX(0,Assumptions!$C$6-G901))))</f>
        <v/>
      </c>
      <c r="AC901">
        <f>IF(Y901=1,Q901-F901,"")</f>
        <v/>
      </c>
      <c r="AD901">
        <f>IF(Y901=1,AC901^2,"")</f>
        <v/>
      </c>
      <c r="AE901" s="19">
        <f>IF(Z901=1,(H901-M901)*I901,0)</f>
        <v/>
      </c>
      <c r="AF901">
        <f>IF(G901&lt;EDATE(Assumptions!$C$6,-12)+1,"prior_12m","last_12m")</f>
        <v/>
      </c>
      <c r="AG901" s="21">
        <f>DATE(YEAR(G901),MONTH(G901),1)</f>
        <v/>
      </c>
    </row>
    <row r="902">
      <c r="A902" t="inlineStr">
        <is>
          <t>SPO-00496-2</t>
        </is>
      </c>
      <c r="B902" t="inlineStr">
        <is>
          <t>SPO-00496</t>
        </is>
      </c>
      <c r="C902" t="inlineStr">
        <is>
          <t>SUP-04</t>
        </is>
      </c>
      <c r="D902" t="inlineStr">
        <is>
          <t>FLEET</t>
        </is>
      </c>
      <c r="E902" t="inlineStr">
        <is>
          <t>FLEET-03</t>
        </is>
      </c>
      <c r="F902" s="17" t="n">
        <v>45695</v>
      </c>
      <c r="G902" s="17" t="n">
        <v>45708</v>
      </c>
      <c r="H902" s="18" t="n">
        <v>97</v>
      </c>
      <c r="I902" s="19" t="n">
        <v>20.96</v>
      </c>
      <c r="J902" s="19" t="n">
        <v>21</v>
      </c>
      <c r="K902" s="20" t="n">
        <v>0</v>
      </c>
      <c r="L902" s="20" t="n">
        <v>0</v>
      </c>
      <c r="M902" s="18" t="n">
        <v>97</v>
      </c>
      <c r="N902" s="18" t="n">
        <v>0</v>
      </c>
      <c r="O902" s="18" t="n">
        <v>0</v>
      </c>
      <c r="P902" s="17" t="n">
        <v>45710</v>
      </c>
      <c r="Q902" s="17" t="n">
        <v>45710</v>
      </c>
      <c r="R902" s="17" t="n">
        <v>45710</v>
      </c>
      <c r="S902" s="19">
        <f>H902*I902</f>
        <v/>
      </c>
      <c r="T902" s="19">
        <f>H902*J902</f>
        <v/>
      </c>
      <c r="U902">
        <f>IF(AND(K902=0,G902&lt;=Assumptions!$C$6),1,0)</f>
        <v/>
      </c>
      <c r="V902">
        <f>IF(U902=1,IF(M902&gt;0,IF(P902&lt;=G902+Assumptions!$C$7,1,0),0),0)</f>
        <v/>
      </c>
      <c r="W902">
        <f>IF(AND(U902=1,M902&gt;=H902*(1-Assumptions!$C$8)),1,0)</f>
        <v/>
      </c>
      <c r="X902">
        <f>IF(AND(U902=1,N902&gt;=H902*(1-Assumptions!$C$8)),1,0)</f>
        <v/>
      </c>
      <c r="Y902">
        <f>IF(ISNUMBER(Q902),1,0)</f>
        <v/>
      </c>
      <c r="Z902">
        <f>IF(AND(K902=0,L902=0,Y902=0),1,0)</f>
        <v/>
      </c>
      <c r="AA902">
        <f>IF(AND(Z902=1,G902&lt;Assumptions!$C$6),1,0)</f>
        <v/>
      </c>
      <c r="AB902">
        <f>IF(U902=0,"",IF(Y902=1,MAX(0,Q902-G902),IF(L902=1,MAX(0,R902-G902),MAX(0,Assumptions!$C$6-G902))))</f>
        <v/>
      </c>
      <c r="AC902">
        <f>IF(Y902=1,Q902-F902,"")</f>
        <v/>
      </c>
      <c r="AD902">
        <f>IF(Y902=1,AC902^2,"")</f>
        <v/>
      </c>
      <c r="AE902" s="19">
        <f>IF(Z902=1,(H902-M902)*I902,0)</f>
        <v/>
      </c>
      <c r="AF902">
        <f>IF(G902&lt;EDATE(Assumptions!$C$6,-12)+1,"prior_12m","last_12m")</f>
        <v/>
      </c>
      <c r="AG902" s="21">
        <f>DATE(YEAR(G902),MONTH(G902),1)</f>
        <v/>
      </c>
    </row>
    <row r="903">
      <c r="A903" t="inlineStr">
        <is>
          <t>SPO-00497-1</t>
        </is>
      </c>
      <c r="B903" t="inlineStr">
        <is>
          <t>SPO-00497</t>
        </is>
      </c>
      <c r="C903" t="inlineStr">
        <is>
          <t>SUP-09</t>
        </is>
      </c>
      <c r="D903" t="inlineStr">
        <is>
          <t>CHEM</t>
        </is>
      </c>
      <c r="E903" t="inlineStr">
        <is>
          <t>CHEM-03</t>
        </is>
      </c>
      <c r="F903" s="17" t="n">
        <v>45695</v>
      </c>
      <c r="G903" s="17" t="n">
        <v>45709</v>
      </c>
      <c r="H903" s="18" t="n">
        <v>4</v>
      </c>
      <c r="I903" s="19" t="n">
        <v>295.08</v>
      </c>
      <c r="J903" s="19" t="n">
        <v>265</v>
      </c>
      <c r="K903" s="20" t="n">
        <v>0</v>
      </c>
      <c r="L903" s="20" t="n">
        <v>0</v>
      </c>
      <c r="M903" s="18" t="n">
        <v>4</v>
      </c>
      <c r="N903" s="18" t="n">
        <v>4</v>
      </c>
      <c r="O903" s="18" t="n">
        <v>0</v>
      </c>
      <c r="P903" s="17" t="n">
        <v>45708</v>
      </c>
      <c r="Q903" s="17" t="n">
        <v>45708</v>
      </c>
      <c r="R903" s="17" t="n">
        <v>45708</v>
      </c>
      <c r="S903" s="19">
        <f>H903*I903</f>
        <v/>
      </c>
      <c r="T903" s="19">
        <f>H903*J903</f>
        <v/>
      </c>
      <c r="U903">
        <f>IF(AND(K903=0,G903&lt;=Assumptions!$C$6),1,0)</f>
        <v/>
      </c>
      <c r="V903">
        <f>IF(U903=1,IF(M903&gt;0,IF(P903&lt;=G903+Assumptions!$C$7,1,0),0),0)</f>
        <v/>
      </c>
      <c r="W903">
        <f>IF(AND(U903=1,M903&gt;=H903*(1-Assumptions!$C$8)),1,0)</f>
        <v/>
      </c>
      <c r="X903">
        <f>IF(AND(U903=1,N903&gt;=H903*(1-Assumptions!$C$8)),1,0)</f>
        <v/>
      </c>
      <c r="Y903">
        <f>IF(ISNUMBER(Q903),1,0)</f>
        <v/>
      </c>
      <c r="Z903">
        <f>IF(AND(K903=0,L903=0,Y903=0),1,0)</f>
        <v/>
      </c>
      <c r="AA903">
        <f>IF(AND(Z903=1,G903&lt;Assumptions!$C$6),1,0)</f>
        <v/>
      </c>
      <c r="AB903">
        <f>IF(U903=0,"",IF(Y903=1,MAX(0,Q903-G903),IF(L903=1,MAX(0,R903-G903),MAX(0,Assumptions!$C$6-G903))))</f>
        <v/>
      </c>
      <c r="AC903">
        <f>IF(Y903=1,Q903-F903,"")</f>
        <v/>
      </c>
      <c r="AD903">
        <f>IF(Y903=1,AC903^2,"")</f>
        <v/>
      </c>
      <c r="AE903" s="19">
        <f>IF(Z903=1,(H903-M903)*I903,0)</f>
        <v/>
      </c>
      <c r="AF903">
        <f>IF(G903&lt;EDATE(Assumptions!$C$6,-12)+1,"prior_12m","last_12m")</f>
        <v/>
      </c>
      <c r="AG903" s="21">
        <f>DATE(YEAR(G903),MONTH(G903),1)</f>
        <v/>
      </c>
    </row>
    <row r="904">
      <c r="A904" t="inlineStr">
        <is>
          <t>SPO-00498-1</t>
        </is>
      </c>
      <c r="B904" t="inlineStr">
        <is>
          <t>SPO-00498</t>
        </is>
      </c>
      <c r="C904" t="inlineStr">
        <is>
          <t>SUP-01</t>
        </is>
      </c>
      <c r="D904" t="inlineStr">
        <is>
          <t>ELEC</t>
        </is>
      </c>
      <c r="E904" t="inlineStr">
        <is>
          <t>ELEC-05</t>
        </is>
      </c>
      <c r="F904" s="17" t="n">
        <v>45695</v>
      </c>
      <c r="G904" s="17" t="n">
        <v>45713</v>
      </c>
      <c r="H904" s="18" t="n">
        <v>180</v>
      </c>
      <c r="I904" s="19" t="n">
        <v>11.73</v>
      </c>
      <c r="J904" s="19" t="n">
        <v>11.5</v>
      </c>
      <c r="K904" s="20" t="n">
        <v>0</v>
      </c>
      <c r="L904" s="20" t="n">
        <v>0</v>
      </c>
      <c r="M904" s="18" t="n">
        <v>180</v>
      </c>
      <c r="N904" s="18" t="n">
        <v>180</v>
      </c>
      <c r="O904" s="18" t="n">
        <v>0</v>
      </c>
      <c r="P904" s="17" t="n">
        <v>45711</v>
      </c>
      <c r="Q904" s="17" t="n">
        <v>45711</v>
      </c>
      <c r="R904" s="17" t="n">
        <v>45711</v>
      </c>
      <c r="S904" s="19">
        <f>H904*I904</f>
        <v/>
      </c>
      <c r="T904" s="19">
        <f>H904*J904</f>
        <v/>
      </c>
      <c r="U904">
        <f>IF(AND(K904=0,G904&lt;=Assumptions!$C$6),1,0)</f>
        <v/>
      </c>
      <c r="V904">
        <f>IF(U904=1,IF(M904&gt;0,IF(P904&lt;=G904+Assumptions!$C$7,1,0),0),0)</f>
        <v/>
      </c>
      <c r="W904">
        <f>IF(AND(U904=1,M904&gt;=H904*(1-Assumptions!$C$8)),1,0)</f>
        <v/>
      </c>
      <c r="X904">
        <f>IF(AND(U904=1,N904&gt;=H904*(1-Assumptions!$C$8)),1,0)</f>
        <v/>
      </c>
      <c r="Y904">
        <f>IF(ISNUMBER(Q904),1,0)</f>
        <v/>
      </c>
      <c r="Z904">
        <f>IF(AND(K904=0,L904=0,Y904=0),1,0)</f>
        <v/>
      </c>
      <c r="AA904">
        <f>IF(AND(Z904=1,G904&lt;Assumptions!$C$6),1,0)</f>
        <v/>
      </c>
      <c r="AB904">
        <f>IF(U904=0,"",IF(Y904=1,MAX(0,Q904-G904),IF(L904=1,MAX(0,R904-G904),MAX(0,Assumptions!$C$6-G904))))</f>
        <v/>
      </c>
      <c r="AC904">
        <f>IF(Y904=1,Q904-F904,"")</f>
        <v/>
      </c>
      <c r="AD904">
        <f>IF(Y904=1,AC904^2,"")</f>
        <v/>
      </c>
      <c r="AE904" s="19">
        <f>IF(Z904=1,(H904-M904)*I904,0)</f>
        <v/>
      </c>
      <c r="AF904">
        <f>IF(G904&lt;EDATE(Assumptions!$C$6,-12)+1,"prior_12m","last_12m")</f>
        <v/>
      </c>
      <c r="AG904" s="21">
        <f>DATE(YEAR(G904),MONTH(G904),1)</f>
        <v/>
      </c>
    </row>
    <row r="905">
      <c r="A905" t="inlineStr">
        <is>
          <t>SPO-00499-1</t>
        </is>
      </c>
      <c r="B905" t="inlineStr">
        <is>
          <t>SPO-00499</t>
        </is>
      </c>
      <c r="C905" t="inlineStr">
        <is>
          <t>SUP-12</t>
        </is>
      </c>
      <c r="D905" t="inlineStr">
        <is>
          <t>IT</t>
        </is>
      </c>
      <c r="E905" t="inlineStr">
        <is>
          <t>IT-05</t>
        </is>
      </c>
      <c r="F905" s="17" t="n">
        <v>45696</v>
      </c>
      <c r="G905" s="17" t="n">
        <v>45706</v>
      </c>
      <c r="H905" s="18" t="n">
        <v>1</v>
      </c>
      <c r="I905" s="19" t="n">
        <v>729.92</v>
      </c>
      <c r="J905" s="19" t="n">
        <v>640</v>
      </c>
      <c r="K905" s="20" t="n">
        <v>0</v>
      </c>
      <c r="L905" s="20" t="n">
        <v>0</v>
      </c>
      <c r="M905" s="18" t="n">
        <v>1</v>
      </c>
      <c r="N905" s="18" t="n">
        <v>1</v>
      </c>
      <c r="O905" s="18" t="n">
        <v>0</v>
      </c>
      <c r="P905" s="17" t="n">
        <v>45706</v>
      </c>
      <c r="Q905" s="17" t="n">
        <v>45706</v>
      </c>
      <c r="R905" s="17" t="n">
        <v>45706</v>
      </c>
      <c r="S905" s="19">
        <f>H905*I905</f>
        <v/>
      </c>
      <c r="T905" s="19">
        <f>H905*J905</f>
        <v/>
      </c>
      <c r="U905">
        <f>IF(AND(K905=0,G905&lt;=Assumptions!$C$6),1,0)</f>
        <v/>
      </c>
      <c r="V905">
        <f>IF(U905=1,IF(M905&gt;0,IF(P905&lt;=G905+Assumptions!$C$7,1,0),0),0)</f>
        <v/>
      </c>
      <c r="W905">
        <f>IF(AND(U905=1,M905&gt;=H905*(1-Assumptions!$C$8)),1,0)</f>
        <v/>
      </c>
      <c r="X905">
        <f>IF(AND(U905=1,N905&gt;=H905*(1-Assumptions!$C$8)),1,0)</f>
        <v/>
      </c>
      <c r="Y905">
        <f>IF(ISNUMBER(Q905),1,0)</f>
        <v/>
      </c>
      <c r="Z905">
        <f>IF(AND(K905=0,L905=0,Y905=0),1,0)</f>
        <v/>
      </c>
      <c r="AA905">
        <f>IF(AND(Z905=1,G905&lt;Assumptions!$C$6),1,0)</f>
        <v/>
      </c>
      <c r="AB905">
        <f>IF(U905=0,"",IF(Y905=1,MAX(0,Q905-G905),IF(L905=1,MAX(0,R905-G905),MAX(0,Assumptions!$C$6-G905))))</f>
        <v/>
      </c>
      <c r="AC905">
        <f>IF(Y905=1,Q905-F905,"")</f>
        <v/>
      </c>
      <c r="AD905">
        <f>IF(Y905=1,AC905^2,"")</f>
        <v/>
      </c>
      <c r="AE905" s="19">
        <f>IF(Z905=1,(H905-M905)*I905,0)</f>
        <v/>
      </c>
      <c r="AF905">
        <f>IF(G905&lt;EDATE(Assumptions!$C$6,-12)+1,"prior_12m","last_12m")</f>
        <v/>
      </c>
      <c r="AG905" s="21">
        <f>DATE(YEAR(G905),MONTH(G905),1)</f>
        <v/>
      </c>
    </row>
    <row r="906">
      <c r="A906" t="inlineStr">
        <is>
          <t>SPO-00499-2</t>
        </is>
      </c>
      <c r="B906" t="inlineStr">
        <is>
          <t>SPO-00499</t>
        </is>
      </c>
      <c r="C906" t="inlineStr">
        <is>
          <t>SUP-12</t>
        </is>
      </c>
      <c r="D906" t="inlineStr">
        <is>
          <t>IT</t>
        </is>
      </c>
      <c r="E906" t="inlineStr">
        <is>
          <t>IT-01</t>
        </is>
      </c>
      <c r="F906" s="17" t="n">
        <v>45696</v>
      </c>
      <c r="G906" s="17" t="n">
        <v>45706</v>
      </c>
      <c r="H906" s="18" t="n">
        <v>5</v>
      </c>
      <c r="I906" s="19" t="n">
        <v>220.7</v>
      </c>
      <c r="J906" s="19" t="n">
        <v>189</v>
      </c>
      <c r="K906" s="20" t="n">
        <v>0</v>
      </c>
      <c r="L906" s="20" t="n">
        <v>0</v>
      </c>
      <c r="M906" s="18" t="n">
        <v>5</v>
      </c>
      <c r="N906" s="18" t="n">
        <v>5</v>
      </c>
      <c r="O906" s="18" t="n">
        <v>0</v>
      </c>
      <c r="P906" s="17" t="n">
        <v>45704</v>
      </c>
      <c r="Q906" s="17" t="n">
        <v>45704</v>
      </c>
      <c r="R906" s="17" t="n">
        <v>45704</v>
      </c>
      <c r="S906" s="19">
        <f>H906*I906</f>
        <v/>
      </c>
      <c r="T906" s="19">
        <f>H906*J906</f>
        <v/>
      </c>
      <c r="U906">
        <f>IF(AND(K906=0,G906&lt;=Assumptions!$C$6),1,0)</f>
        <v/>
      </c>
      <c r="V906">
        <f>IF(U906=1,IF(M906&gt;0,IF(P906&lt;=G906+Assumptions!$C$7,1,0),0),0)</f>
        <v/>
      </c>
      <c r="W906">
        <f>IF(AND(U906=1,M906&gt;=H906*(1-Assumptions!$C$8)),1,0)</f>
        <v/>
      </c>
      <c r="X906">
        <f>IF(AND(U906=1,N906&gt;=H906*(1-Assumptions!$C$8)),1,0)</f>
        <v/>
      </c>
      <c r="Y906">
        <f>IF(ISNUMBER(Q906),1,0)</f>
        <v/>
      </c>
      <c r="Z906">
        <f>IF(AND(K906=0,L906=0,Y906=0),1,0)</f>
        <v/>
      </c>
      <c r="AA906">
        <f>IF(AND(Z906=1,G906&lt;Assumptions!$C$6),1,0)</f>
        <v/>
      </c>
      <c r="AB906">
        <f>IF(U906=0,"",IF(Y906=1,MAX(0,Q906-G906),IF(L906=1,MAX(0,R906-G906),MAX(0,Assumptions!$C$6-G906))))</f>
        <v/>
      </c>
      <c r="AC906">
        <f>IF(Y906=1,Q906-F906,"")</f>
        <v/>
      </c>
      <c r="AD906">
        <f>IF(Y906=1,AC906^2,"")</f>
        <v/>
      </c>
      <c r="AE906" s="19">
        <f>IF(Z906=1,(H906-M906)*I906,0)</f>
        <v/>
      </c>
      <c r="AF906">
        <f>IF(G906&lt;EDATE(Assumptions!$C$6,-12)+1,"prior_12m","last_12m")</f>
        <v/>
      </c>
      <c r="AG906" s="21">
        <f>DATE(YEAR(G906),MONTH(G906),1)</f>
        <v/>
      </c>
    </row>
    <row r="907">
      <c r="A907" t="inlineStr">
        <is>
          <t>SPO-00499-3</t>
        </is>
      </c>
      <c r="B907" t="inlineStr">
        <is>
          <t>SPO-00499</t>
        </is>
      </c>
      <c r="C907" t="inlineStr">
        <is>
          <t>SUP-12</t>
        </is>
      </c>
      <c r="D907" t="inlineStr">
        <is>
          <t>IT</t>
        </is>
      </c>
      <c r="E907" t="inlineStr">
        <is>
          <t>IT-06</t>
        </is>
      </c>
      <c r="F907" s="17" t="n">
        <v>45696</v>
      </c>
      <c r="G907" s="17" t="n">
        <v>45706</v>
      </c>
      <c r="H907" s="18" t="n">
        <v>9</v>
      </c>
      <c r="I907" s="19" t="n">
        <v>99.84999999999999</v>
      </c>
      <c r="J907" s="19" t="n">
        <v>89</v>
      </c>
      <c r="K907" s="20" t="n">
        <v>0</v>
      </c>
      <c r="L907" s="20" t="n">
        <v>0</v>
      </c>
      <c r="M907" s="18" t="n">
        <v>9</v>
      </c>
      <c r="N907" s="18" t="n">
        <v>9</v>
      </c>
      <c r="O907" s="18" t="n">
        <v>0</v>
      </c>
      <c r="P907" s="17" t="n">
        <v>45701</v>
      </c>
      <c r="Q907" s="17" t="n">
        <v>45701</v>
      </c>
      <c r="R907" s="17" t="n">
        <v>45701</v>
      </c>
      <c r="S907" s="19">
        <f>H907*I907</f>
        <v/>
      </c>
      <c r="T907" s="19">
        <f>H907*J907</f>
        <v/>
      </c>
      <c r="U907">
        <f>IF(AND(K907=0,G907&lt;=Assumptions!$C$6),1,0)</f>
        <v/>
      </c>
      <c r="V907">
        <f>IF(U907=1,IF(M907&gt;0,IF(P907&lt;=G907+Assumptions!$C$7,1,0),0),0)</f>
        <v/>
      </c>
      <c r="W907">
        <f>IF(AND(U907=1,M907&gt;=H907*(1-Assumptions!$C$8)),1,0)</f>
        <v/>
      </c>
      <c r="X907">
        <f>IF(AND(U907=1,N907&gt;=H907*(1-Assumptions!$C$8)),1,0)</f>
        <v/>
      </c>
      <c r="Y907">
        <f>IF(ISNUMBER(Q907),1,0)</f>
        <v/>
      </c>
      <c r="Z907">
        <f>IF(AND(K907=0,L907=0,Y907=0),1,0)</f>
        <v/>
      </c>
      <c r="AA907">
        <f>IF(AND(Z907=1,G907&lt;Assumptions!$C$6),1,0)</f>
        <v/>
      </c>
      <c r="AB907">
        <f>IF(U907=0,"",IF(Y907=1,MAX(0,Q907-G907),IF(L907=1,MAX(0,R907-G907),MAX(0,Assumptions!$C$6-G907))))</f>
        <v/>
      </c>
      <c r="AC907">
        <f>IF(Y907=1,Q907-F907,"")</f>
        <v/>
      </c>
      <c r="AD907">
        <f>IF(Y907=1,AC907^2,"")</f>
        <v/>
      </c>
      <c r="AE907" s="19">
        <f>IF(Z907=1,(H907-M907)*I907,0)</f>
        <v/>
      </c>
      <c r="AF907">
        <f>IF(G907&lt;EDATE(Assumptions!$C$6,-12)+1,"prior_12m","last_12m")</f>
        <v/>
      </c>
      <c r="AG907" s="21">
        <f>DATE(YEAR(G907),MONTH(G907),1)</f>
        <v/>
      </c>
    </row>
    <row r="908">
      <c r="A908" t="inlineStr">
        <is>
          <t>SPO-00500-1</t>
        </is>
      </c>
      <c r="B908" t="inlineStr">
        <is>
          <t>SPO-00500</t>
        </is>
      </c>
      <c r="C908" t="inlineStr">
        <is>
          <t>SUP-03</t>
        </is>
      </c>
      <c r="D908" t="inlineStr">
        <is>
          <t>ELEC</t>
        </is>
      </c>
      <c r="E908" t="inlineStr">
        <is>
          <t>ELEC-01</t>
        </is>
      </c>
      <c r="F908" s="17" t="n">
        <v>45696</v>
      </c>
      <c r="G908" s="17" t="n">
        <v>45713</v>
      </c>
      <c r="H908" s="18" t="n">
        <v>57</v>
      </c>
      <c r="I908" s="19" t="n">
        <v>37.22</v>
      </c>
      <c r="J908" s="19" t="n">
        <v>38</v>
      </c>
      <c r="K908" s="20" t="n">
        <v>0</v>
      </c>
      <c r="L908" s="20" t="n">
        <v>0</v>
      </c>
      <c r="M908" s="18" t="n">
        <v>57</v>
      </c>
      <c r="N908" s="18" t="n">
        <v>57</v>
      </c>
      <c r="O908" s="18" t="n">
        <v>0</v>
      </c>
      <c r="P908" s="17" t="n">
        <v>45711</v>
      </c>
      <c r="Q908" s="17" t="n">
        <v>45711</v>
      </c>
      <c r="R908" s="17" t="n">
        <v>45711</v>
      </c>
      <c r="S908" s="19">
        <f>H908*I908</f>
        <v/>
      </c>
      <c r="T908" s="19">
        <f>H908*J908</f>
        <v/>
      </c>
      <c r="U908">
        <f>IF(AND(K908=0,G908&lt;=Assumptions!$C$6),1,0)</f>
        <v/>
      </c>
      <c r="V908">
        <f>IF(U908=1,IF(M908&gt;0,IF(P908&lt;=G908+Assumptions!$C$7,1,0),0),0)</f>
        <v/>
      </c>
      <c r="W908">
        <f>IF(AND(U908=1,M908&gt;=H908*(1-Assumptions!$C$8)),1,0)</f>
        <v/>
      </c>
      <c r="X908">
        <f>IF(AND(U908=1,N908&gt;=H908*(1-Assumptions!$C$8)),1,0)</f>
        <v/>
      </c>
      <c r="Y908">
        <f>IF(ISNUMBER(Q908),1,0)</f>
        <v/>
      </c>
      <c r="Z908">
        <f>IF(AND(K908=0,L908=0,Y908=0),1,0)</f>
        <v/>
      </c>
      <c r="AA908">
        <f>IF(AND(Z908=1,G908&lt;Assumptions!$C$6),1,0)</f>
        <v/>
      </c>
      <c r="AB908">
        <f>IF(U908=0,"",IF(Y908=1,MAX(0,Q908-G908),IF(L908=1,MAX(0,R908-G908),MAX(0,Assumptions!$C$6-G908))))</f>
        <v/>
      </c>
      <c r="AC908">
        <f>IF(Y908=1,Q908-F908,"")</f>
        <v/>
      </c>
      <c r="AD908">
        <f>IF(Y908=1,AC908^2,"")</f>
        <v/>
      </c>
      <c r="AE908" s="19">
        <f>IF(Z908=1,(H908-M908)*I908,0)</f>
        <v/>
      </c>
      <c r="AF908">
        <f>IF(G908&lt;EDATE(Assumptions!$C$6,-12)+1,"prior_12m","last_12m")</f>
        <v/>
      </c>
      <c r="AG908" s="21">
        <f>DATE(YEAR(G908),MONTH(G908),1)</f>
        <v/>
      </c>
    </row>
    <row r="909">
      <c r="A909" t="inlineStr">
        <is>
          <t>SPO-00500-2</t>
        </is>
      </c>
      <c r="B909" t="inlineStr">
        <is>
          <t>SPO-00500</t>
        </is>
      </c>
      <c r="C909" t="inlineStr">
        <is>
          <t>SUP-03</t>
        </is>
      </c>
      <c r="D909" t="inlineStr">
        <is>
          <t>ELEC</t>
        </is>
      </c>
      <c r="E909" t="inlineStr">
        <is>
          <t>ELEC-02</t>
        </is>
      </c>
      <c r="F909" s="17" t="n">
        <v>45696</v>
      </c>
      <c r="G909" s="17" t="n">
        <v>45713</v>
      </c>
      <c r="H909" s="18" t="n">
        <v>209</v>
      </c>
      <c r="I909" s="19" t="n">
        <v>3.93</v>
      </c>
      <c r="J909" s="19" t="n">
        <v>4.2</v>
      </c>
      <c r="K909" s="20" t="n">
        <v>0</v>
      </c>
      <c r="L909" s="20" t="n">
        <v>0</v>
      </c>
      <c r="M909" s="18" t="n">
        <v>209</v>
      </c>
      <c r="N909" s="18" t="n">
        <v>209</v>
      </c>
      <c r="O909" s="18" t="n">
        <v>0</v>
      </c>
      <c r="P909" s="17" t="n">
        <v>45708</v>
      </c>
      <c r="Q909" s="17" t="n">
        <v>45708</v>
      </c>
      <c r="R909" s="17" t="n">
        <v>45708</v>
      </c>
      <c r="S909" s="19">
        <f>H909*I909</f>
        <v/>
      </c>
      <c r="T909" s="19">
        <f>H909*J909</f>
        <v/>
      </c>
      <c r="U909">
        <f>IF(AND(K909=0,G909&lt;=Assumptions!$C$6),1,0)</f>
        <v/>
      </c>
      <c r="V909">
        <f>IF(U909=1,IF(M909&gt;0,IF(P909&lt;=G909+Assumptions!$C$7,1,0),0),0)</f>
        <v/>
      </c>
      <c r="W909">
        <f>IF(AND(U909=1,M909&gt;=H909*(1-Assumptions!$C$8)),1,0)</f>
        <v/>
      </c>
      <c r="X909">
        <f>IF(AND(U909=1,N909&gt;=H909*(1-Assumptions!$C$8)),1,0)</f>
        <v/>
      </c>
      <c r="Y909">
        <f>IF(ISNUMBER(Q909),1,0)</f>
        <v/>
      </c>
      <c r="Z909">
        <f>IF(AND(K909=0,L909=0,Y909=0),1,0)</f>
        <v/>
      </c>
      <c r="AA909">
        <f>IF(AND(Z909=1,G909&lt;Assumptions!$C$6),1,0)</f>
        <v/>
      </c>
      <c r="AB909">
        <f>IF(U909=0,"",IF(Y909=1,MAX(0,Q909-G909),IF(L909=1,MAX(0,R909-G909),MAX(0,Assumptions!$C$6-G909))))</f>
        <v/>
      </c>
      <c r="AC909">
        <f>IF(Y909=1,Q909-F909,"")</f>
        <v/>
      </c>
      <c r="AD909">
        <f>IF(Y909=1,AC909^2,"")</f>
        <v/>
      </c>
      <c r="AE909" s="19">
        <f>IF(Z909=1,(H909-M909)*I909,0)</f>
        <v/>
      </c>
      <c r="AF909">
        <f>IF(G909&lt;EDATE(Assumptions!$C$6,-12)+1,"prior_12m","last_12m")</f>
        <v/>
      </c>
      <c r="AG909" s="21">
        <f>DATE(YEAR(G909),MONTH(G909),1)</f>
        <v/>
      </c>
    </row>
    <row r="910">
      <c r="A910" t="inlineStr">
        <is>
          <t>SPO-00501-1</t>
        </is>
      </c>
      <c r="B910" t="inlineStr">
        <is>
          <t>SPO-00501</t>
        </is>
      </c>
      <c r="C910" t="inlineStr">
        <is>
          <t>SUP-06</t>
        </is>
      </c>
      <c r="D910" t="inlineStr">
        <is>
          <t>MRO</t>
        </is>
      </c>
      <c r="E910" t="inlineStr">
        <is>
          <t>MRO-06</t>
        </is>
      </c>
      <c r="F910" s="17" t="n">
        <v>45697</v>
      </c>
      <c r="G910" s="17" t="n">
        <v>45705</v>
      </c>
      <c r="H910" s="18" t="n">
        <v>227</v>
      </c>
      <c r="I910" s="19" t="n">
        <v>6.11</v>
      </c>
      <c r="J910" s="19" t="n">
        <v>6.1</v>
      </c>
      <c r="K910" s="20" t="n">
        <v>0</v>
      </c>
      <c r="L910" s="20" t="n">
        <v>0</v>
      </c>
      <c r="M910" s="18" t="n">
        <v>227</v>
      </c>
      <c r="N910" s="18" t="n">
        <v>227</v>
      </c>
      <c r="O910" s="18" t="n">
        <v>0</v>
      </c>
      <c r="P910" s="17" t="n">
        <v>45702</v>
      </c>
      <c r="Q910" s="17" t="n">
        <v>45702</v>
      </c>
      <c r="R910" s="17" t="n">
        <v>45702</v>
      </c>
      <c r="S910" s="19">
        <f>H910*I910</f>
        <v/>
      </c>
      <c r="T910" s="19">
        <f>H910*J910</f>
        <v/>
      </c>
      <c r="U910">
        <f>IF(AND(K910=0,G910&lt;=Assumptions!$C$6),1,0)</f>
        <v/>
      </c>
      <c r="V910">
        <f>IF(U910=1,IF(M910&gt;0,IF(P910&lt;=G910+Assumptions!$C$7,1,0),0),0)</f>
        <v/>
      </c>
      <c r="W910">
        <f>IF(AND(U910=1,M910&gt;=H910*(1-Assumptions!$C$8)),1,0)</f>
        <v/>
      </c>
      <c r="X910">
        <f>IF(AND(U910=1,N910&gt;=H910*(1-Assumptions!$C$8)),1,0)</f>
        <v/>
      </c>
      <c r="Y910">
        <f>IF(ISNUMBER(Q910),1,0)</f>
        <v/>
      </c>
      <c r="Z910">
        <f>IF(AND(K910=0,L910=0,Y910=0),1,0)</f>
        <v/>
      </c>
      <c r="AA910">
        <f>IF(AND(Z910=1,G910&lt;Assumptions!$C$6),1,0)</f>
        <v/>
      </c>
      <c r="AB910">
        <f>IF(U910=0,"",IF(Y910=1,MAX(0,Q910-G910),IF(L910=1,MAX(0,R910-G910),MAX(0,Assumptions!$C$6-G910))))</f>
        <v/>
      </c>
      <c r="AC910">
        <f>IF(Y910=1,Q910-F910,"")</f>
        <v/>
      </c>
      <c r="AD910">
        <f>IF(Y910=1,AC910^2,"")</f>
        <v/>
      </c>
      <c r="AE910" s="19">
        <f>IF(Z910=1,(H910-M910)*I910,0)</f>
        <v/>
      </c>
      <c r="AF910">
        <f>IF(G910&lt;EDATE(Assumptions!$C$6,-12)+1,"prior_12m","last_12m")</f>
        <v/>
      </c>
      <c r="AG910" s="21">
        <f>DATE(YEAR(G910),MONTH(G910),1)</f>
        <v/>
      </c>
    </row>
    <row r="911">
      <c r="A911" t="inlineStr">
        <is>
          <t>SPO-00501-2</t>
        </is>
      </c>
      <c r="B911" t="inlineStr">
        <is>
          <t>SPO-00501</t>
        </is>
      </c>
      <c r="C911" t="inlineStr">
        <is>
          <t>SUP-06</t>
        </is>
      </c>
      <c r="D911" t="inlineStr">
        <is>
          <t>MRO</t>
        </is>
      </c>
      <c r="E911" t="inlineStr">
        <is>
          <t>MRO-03</t>
        </is>
      </c>
      <c r="F911" s="17" t="n">
        <v>45697</v>
      </c>
      <c r="G911" s="17" t="n">
        <v>45705</v>
      </c>
      <c r="H911" s="18" t="n">
        <v>204</v>
      </c>
      <c r="I911" s="19" t="n">
        <v>8.73</v>
      </c>
      <c r="J911" s="19" t="n">
        <v>8.9</v>
      </c>
      <c r="K911" s="20" t="n">
        <v>0</v>
      </c>
      <c r="L911" s="20" t="n">
        <v>0</v>
      </c>
      <c r="M911" s="18" t="n">
        <v>204</v>
      </c>
      <c r="N911" s="18" t="n">
        <v>204</v>
      </c>
      <c r="O911" s="18" t="n">
        <v>0</v>
      </c>
      <c r="P911" s="17" t="n">
        <v>45702</v>
      </c>
      <c r="Q911" s="17" t="n">
        <v>45702</v>
      </c>
      <c r="R911" s="17" t="n">
        <v>45702</v>
      </c>
      <c r="S911" s="19">
        <f>H911*I911</f>
        <v/>
      </c>
      <c r="T911" s="19">
        <f>H911*J911</f>
        <v/>
      </c>
      <c r="U911">
        <f>IF(AND(K911=0,G911&lt;=Assumptions!$C$6),1,0)</f>
        <v/>
      </c>
      <c r="V911">
        <f>IF(U911=1,IF(M911&gt;0,IF(P911&lt;=G911+Assumptions!$C$7,1,0),0),0)</f>
        <v/>
      </c>
      <c r="W911">
        <f>IF(AND(U911=1,M911&gt;=H911*(1-Assumptions!$C$8)),1,0)</f>
        <v/>
      </c>
      <c r="X911">
        <f>IF(AND(U911=1,N911&gt;=H911*(1-Assumptions!$C$8)),1,0)</f>
        <v/>
      </c>
      <c r="Y911">
        <f>IF(ISNUMBER(Q911),1,0)</f>
        <v/>
      </c>
      <c r="Z911">
        <f>IF(AND(K911=0,L911=0,Y911=0),1,0)</f>
        <v/>
      </c>
      <c r="AA911">
        <f>IF(AND(Z911=1,G911&lt;Assumptions!$C$6),1,0)</f>
        <v/>
      </c>
      <c r="AB911">
        <f>IF(U911=0,"",IF(Y911=1,MAX(0,Q911-G911),IF(L911=1,MAX(0,R911-G911),MAX(0,Assumptions!$C$6-G911))))</f>
        <v/>
      </c>
      <c r="AC911">
        <f>IF(Y911=1,Q911-F911,"")</f>
        <v/>
      </c>
      <c r="AD911">
        <f>IF(Y911=1,AC911^2,"")</f>
        <v/>
      </c>
      <c r="AE911" s="19">
        <f>IF(Z911=1,(H911-M911)*I911,0)</f>
        <v/>
      </c>
      <c r="AF911">
        <f>IF(G911&lt;EDATE(Assumptions!$C$6,-12)+1,"prior_12m","last_12m")</f>
        <v/>
      </c>
      <c r="AG911" s="21">
        <f>DATE(YEAR(G911),MONTH(G911),1)</f>
        <v/>
      </c>
    </row>
    <row r="912">
      <c r="A912" t="inlineStr">
        <is>
          <t>SPO-00502-1</t>
        </is>
      </c>
      <c r="B912" t="inlineStr">
        <is>
          <t>SPO-00502</t>
        </is>
      </c>
      <c r="C912" t="inlineStr">
        <is>
          <t>SUP-14</t>
        </is>
      </c>
      <c r="D912" t="inlineStr">
        <is>
          <t>FLEET</t>
        </is>
      </c>
      <c r="E912" t="inlineStr">
        <is>
          <t>FLEET-02</t>
        </is>
      </c>
      <c r="F912" s="17" t="n">
        <v>45697</v>
      </c>
      <c r="G912" s="17" t="n">
        <v>45711</v>
      </c>
      <c r="H912" s="18" t="n">
        <v>195</v>
      </c>
      <c r="I912" s="19" t="n">
        <v>7.47</v>
      </c>
      <c r="J912" s="19" t="n">
        <v>7.5</v>
      </c>
      <c r="K912" s="20" t="n">
        <v>0</v>
      </c>
      <c r="L912" s="20" t="n">
        <v>0</v>
      </c>
      <c r="M912" s="18" t="n">
        <v>195</v>
      </c>
      <c r="N912" s="18" t="n">
        <v>195</v>
      </c>
      <c r="O912" s="18" t="n">
        <v>0</v>
      </c>
      <c r="P912" s="17" t="n">
        <v>45705</v>
      </c>
      <c r="Q912" s="17" t="n">
        <v>45705</v>
      </c>
      <c r="R912" s="17" t="n">
        <v>45705</v>
      </c>
      <c r="S912" s="19">
        <f>H912*I912</f>
        <v/>
      </c>
      <c r="T912" s="19">
        <f>H912*J912</f>
        <v/>
      </c>
      <c r="U912">
        <f>IF(AND(K912=0,G912&lt;=Assumptions!$C$6),1,0)</f>
        <v/>
      </c>
      <c r="V912">
        <f>IF(U912=1,IF(M912&gt;0,IF(P912&lt;=G912+Assumptions!$C$7,1,0),0),0)</f>
        <v/>
      </c>
      <c r="W912">
        <f>IF(AND(U912=1,M912&gt;=H912*(1-Assumptions!$C$8)),1,0)</f>
        <v/>
      </c>
      <c r="X912">
        <f>IF(AND(U912=1,N912&gt;=H912*(1-Assumptions!$C$8)),1,0)</f>
        <v/>
      </c>
      <c r="Y912">
        <f>IF(ISNUMBER(Q912),1,0)</f>
        <v/>
      </c>
      <c r="Z912">
        <f>IF(AND(K912=0,L912=0,Y912=0),1,0)</f>
        <v/>
      </c>
      <c r="AA912">
        <f>IF(AND(Z912=1,G912&lt;Assumptions!$C$6),1,0)</f>
        <v/>
      </c>
      <c r="AB912">
        <f>IF(U912=0,"",IF(Y912=1,MAX(0,Q912-G912),IF(L912=1,MAX(0,R912-G912),MAX(0,Assumptions!$C$6-G912))))</f>
        <v/>
      </c>
      <c r="AC912">
        <f>IF(Y912=1,Q912-F912,"")</f>
        <v/>
      </c>
      <c r="AD912">
        <f>IF(Y912=1,AC912^2,"")</f>
        <v/>
      </c>
      <c r="AE912" s="19">
        <f>IF(Z912=1,(H912-M912)*I912,0)</f>
        <v/>
      </c>
      <c r="AF912">
        <f>IF(G912&lt;EDATE(Assumptions!$C$6,-12)+1,"prior_12m","last_12m")</f>
        <v/>
      </c>
      <c r="AG912" s="21">
        <f>DATE(YEAR(G912),MONTH(G912),1)</f>
        <v/>
      </c>
    </row>
    <row r="913">
      <c r="A913" t="inlineStr">
        <is>
          <t>SPO-00502-2</t>
        </is>
      </c>
      <c r="B913" t="inlineStr">
        <is>
          <t>SPO-00502</t>
        </is>
      </c>
      <c r="C913" t="inlineStr">
        <is>
          <t>SUP-14</t>
        </is>
      </c>
      <c r="D913" t="inlineStr">
        <is>
          <t>FLEET</t>
        </is>
      </c>
      <c r="E913" t="inlineStr">
        <is>
          <t>FLEET-06</t>
        </is>
      </c>
      <c r="F913" s="17" t="n">
        <v>45697</v>
      </c>
      <c r="G913" s="17" t="n">
        <v>45711</v>
      </c>
      <c r="H913" s="18" t="n">
        <v>54</v>
      </c>
      <c r="I913" s="19" t="n">
        <v>34.19</v>
      </c>
      <c r="J913" s="19" t="n">
        <v>33</v>
      </c>
      <c r="K913" s="20" t="n">
        <v>0</v>
      </c>
      <c r="L913" s="20" t="n">
        <v>0</v>
      </c>
      <c r="M913" s="18" t="n">
        <v>54</v>
      </c>
      <c r="N913" s="18" t="n">
        <v>0</v>
      </c>
      <c r="O913" s="18" t="n">
        <v>0</v>
      </c>
      <c r="P913" s="17" t="n">
        <v>45713</v>
      </c>
      <c r="Q913" s="17" t="n">
        <v>45713</v>
      </c>
      <c r="R913" s="17" t="n">
        <v>45713</v>
      </c>
      <c r="S913" s="19">
        <f>H913*I913</f>
        <v/>
      </c>
      <c r="T913" s="19">
        <f>H913*J913</f>
        <v/>
      </c>
      <c r="U913">
        <f>IF(AND(K913=0,G913&lt;=Assumptions!$C$6),1,0)</f>
        <v/>
      </c>
      <c r="V913">
        <f>IF(U913=1,IF(M913&gt;0,IF(P913&lt;=G913+Assumptions!$C$7,1,0),0),0)</f>
        <v/>
      </c>
      <c r="W913">
        <f>IF(AND(U913=1,M913&gt;=H913*(1-Assumptions!$C$8)),1,0)</f>
        <v/>
      </c>
      <c r="X913">
        <f>IF(AND(U913=1,N913&gt;=H913*(1-Assumptions!$C$8)),1,0)</f>
        <v/>
      </c>
      <c r="Y913">
        <f>IF(ISNUMBER(Q913),1,0)</f>
        <v/>
      </c>
      <c r="Z913">
        <f>IF(AND(K913=0,L913=0,Y913=0),1,0)</f>
        <v/>
      </c>
      <c r="AA913">
        <f>IF(AND(Z913=1,G913&lt;Assumptions!$C$6),1,0)</f>
        <v/>
      </c>
      <c r="AB913">
        <f>IF(U913=0,"",IF(Y913=1,MAX(0,Q913-G913),IF(L913=1,MAX(0,R913-G913),MAX(0,Assumptions!$C$6-G913))))</f>
        <v/>
      </c>
      <c r="AC913">
        <f>IF(Y913=1,Q913-F913,"")</f>
        <v/>
      </c>
      <c r="AD913">
        <f>IF(Y913=1,AC913^2,"")</f>
        <v/>
      </c>
      <c r="AE913" s="19">
        <f>IF(Z913=1,(H913-M913)*I913,0)</f>
        <v/>
      </c>
      <c r="AF913">
        <f>IF(G913&lt;EDATE(Assumptions!$C$6,-12)+1,"prior_12m","last_12m")</f>
        <v/>
      </c>
      <c r="AG913" s="21">
        <f>DATE(YEAR(G913),MONTH(G913),1)</f>
        <v/>
      </c>
    </row>
    <row r="914">
      <c r="A914" t="inlineStr">
        <is>
          <t>SPO-00502-3</t>
        </is>
      </c>
      <c r="B914" t="inlineStr">
        <is>
          <t>SPO-00502</t>
        </is>
      </c>
      <c r="C914" t="inlineStr">
        <is>
          <t>SUP-14</t>
        </is>
      </c>
      <c r="D914" t="inlineStr">
        <is>
          <t>FLEET</t>
        </is>
      </c>
      <c r="E914" t="inlineStr">
        <is>
          <t>FLEET-05</t>
        </is>
      </c>
      <c r="F914" s="17" t="n">
        <v>45697</v>
      </c>
      <c r="G914" s="17" t="n">
        <v>45711</v>
      </c>
      <c r="H914" s="18" t="n">
        <v>6</v>
      </c>
      <c r="I914" s="19" t="n">
        <v>160.63</v>
      </c>
      <c r="J914" s="19" t="n">
        <v>168</v>
      </c>
      <c r="K914" s="20" t="n">
        <v>0</v>
      </c>
      <c r="L914" s="20" t="n">
        <v>0</v>
      </c>
      <c r="M914" s="18" t="n">
        <v>6</v>
      </c>
      <c r="N914" s="18" t="n">
        <v>6</v>
      </c>
      <c r="O914" s="18" t="n">
        <v>0</v>
      </c>
      <c r="P914" s="17" t="n">
        <v>45703</v>
      </c>
      <c r="Q914" s="17" t="n">
        <v>45703</v>
      </c>
      <c r="R914" s="17" t="n">
        <v>45703</v>
      </c>
      <c r="S914" s="19">
        <f>H914*I914</f>
        <v/>
      </c>
      <c r="T914" s="19">
        <f>H914*J914</f>
        <v/>
      </c>
      <c r="U914">
        <f>IF(AND(K914=0,G914&lt;=Assumptions!$C$6),1,0)</f>
        <v/>
      </c>
      <c r="V914">
        <f>IF(U914=1,IF(M914&gt;0,IF(P914&lt;=G914+Assumptions!$C$7,1,0),0),0)</f>
        <v/>
      </c>
      <c r="W914">
        <f>IF(AND(U914=1,M914&gt;=H914*(1-Assumptions!$C$8)),1,0)</f>
        <v/>
      </c>
      <c r="X914">
        <f>IF(AND(U914=1,N914&gt;=H914*(1-Assumptions!$C$8)),1,0)</f>
        <v/>
      </c>
      <c r="Y914">
        <f>IF(ISNUMBER(Q914),1,0)</f>
        <v/>
      </c>
      <c r="Z914">
        <f>IF(AND(K914=0,L914=0,Y914=0),1,0)</f>
        <v/>
      </c>
      <c r="AA914">
        <f>IF(AND(Z914=1,G914&lt;Assumptions!$C$6),1,0)</f>
        <v/>
      </c>
      <c r="AB914">
        <f>IF(U914=0,"",IF(Y914=1,MAX(0,Q914-G914),IF(L914=1,MAX(0,R914-G914),MAX(0,Assumptions!$C$6-G914))))</f>
        <v/>
      </c>
      <c r="AC914">
        <f>IF(Y914=1,Q914-F914,"")</f>
        <v/>
      </c>
      <c r="AD914">
        <f>IF(Y914=1,AC914^2,"")</f>
        <v/>
      </c>
      <c r="AE914" s="19">
        <f>IF(Z914=1,(H914-M914)*I914,0)</f>
        <v/>
      </c>
      <c r="AF914">
        <f>IF(G914&lt;EDATE(Assumptions!$C$6,-12)+1,"prior_12m","last_12m")</f>
        <v/>
      </c>
      <c r="AG914" s="21">
        <f>DATE(YEAR(G914),MONTH(G914),1)</f>
        <v/>
      </c>
    </row>
    <row r="915">
      <c r="A915" t="inlineStr">
        <is>
          <t>SPO-00502-4</t>
        </is>
      </c>
      <c r="B915" t="inlineStr">
        <is>
          <t>SPO-00502</t>
        </is>
      </c>
      <c r="C915" t="inlineStr">
        <is>
          <t>SUP-14</t>
        </is>
      </c>
      <c r="D915" t="inlineStr">
        <is>
          <t>FLEET</t>
        </is>
      </c>
      <c r="E915" t="inlineStr">
        <is>
          <t>FLEET-03</t>
        </is>
      </c>
      <c r="F915" s="17" t="n">
        <v>45697</v>
      </c>
      <c r="G915" s="17" t="n">
        <v>45711</v>
      </c>
      <c r="H915" s="18" t="n">
        <v>125</v>
      </c>
      <c r="I915" s="19" t="n">
        <v>22.03</v>
      </c>
      <c r="J915" s="19" t="n">
        <v>21</v>
      </c>
      <c r="K915" s="20" t="n">
        <v>0</v>
      </c>
      <c r="L915" s="20" t="n">
        <v>0</v>
      </c>
      <c r="M915" s="18" t="n">
        <v>125</v>
      </c>
      <c r="N915" s="18" t="n">
        <v>125</v>
      </c>
      <c r="O915" s="18" t="n">
        <v>0</v>
      </c>
      <c r="P915" s="17" t="n">
        <v>45706</v>
      </c>
      <c r="Q915" s="17" t="n">
        <v>45706</v>
      </c>
      <c r="R915" s="17" t="n">
        <v>45706</v>
      </c>
      <c r="S915" s="19">
        <f>H915*I915</f>
        <v/>
      </c>
      <c r="T915" s="19">
        <f>H915*J915</f>
        <v/>
      </c>
      <c r="U915">
        <f>IF(AND(K915=0,G915&lt;=Assumptions!$C$6),1,0)</f>
        <v/>
      </c>
      <c r="V915">
        <f>IF(U915=1,IF(M915&gt;0,IF(P915&lt;=G915+Assumptions!$C$7,1,0),0),0)</f>
        <v/>
      </c>
      <c r="W915">
        <f>IF(AND(U915=1,M915&gt;=H915*(1-Assumptions!$C$8)),1,0)</f>
        <v/>
      </c>
      <c r="X915">
        <f>IF(AND(U915=1,N915&gt;=H915*(1-Assumptions!$C$8)),1,0)</f>
        <v/>
      </c>
      <c r="Y915">
        <f>IF(ISNUMBER(Q915),1,0)</f>
        <v/>
      </c>
      <c r="Z915">
        <f>IF(AND(K915=0,L915=0,Y915=0),1,0)</f>
        <v/>
      </c>
      <c r="AA915">
        <f>IF(AND(Z915=1,G915&lt;Assumptions!$C$6),1,0)</f>
        <v/>
      </c>
      <c r="AB915">
        <f>IF(U915=0,"",IF(Y915=1,MAX(0,Q915-G915),IF(L915=1,MAX(0,R915-G915),MAX(0,Assumptions!$C$6-G915))))</f>
        <v/>
      </c>
      <c r="AC915">
        <f>IF(Y915=1,Q915-F915,"")</f>
        <v/>
      </c>
      <c r="AD915">
        <f>IF(Y915=1,AC915^2,"")</f>
        <v/>
      </c>
      <c r="AE915" s="19">
        <f>IF(Z915=1,(H915-M915)*I915,0)</f>
        <v/>
      </c>
      <c r="AF915">
        <f>IF(G915&lt;EDATE(Assumptions!$C$6,-12)+1,"prior_12m","last_12m")</f>
        <v/>
      </c>
      <c r="AG915" s="21">
        <f>DATE(YEAR(G915),MONTH(G915),1)</f>
        <v/>
      </c>
    </row>
    <row r="916">
      <c r="A916" t="inlineStr">
        <is>
          <t>SPO-00503-1</t>
        </is>
      </c>
      <c r="B916" t="inlineStr">
        <is>
          <t>SPO-00503</t>
        </is>
      </c>
      <c r="C916" t="inlineStr">
        <is>
          <t>SUP-08</t>
        </is>
      </c>
      <c r="D916" t="inlineStr">
        <is>
          <t>PPE</t>
        </is>
      </c>
      <c r="E916" t="inlineStr">
        <is>
          <t>PPE-06</t>
        </is>
      </c>
      <c r="F916" s="17" t="n">
        <v>45697</v>
      </c>
      <c r="G916" s="17" t="n">
        <v>45708</v>
      </c>
      <c r="H916" s="18" t="n">
        <v>17</v>
      </c>
      <c r="I916" s="19" t="n">
        <v>110.68</v>
      </c>
      <c r="J916" s="19" t="n">
        <v>115</v>
      </c>
      <c r="K916" s="20" t="n">
        <v>0</v>
      </c>
      <c r="L916" s="20" t="n">
        <v>0</v>
      </c>
      <c r="M916" s="18" t="n">
        <v>17</v>
      </c>
      <c r="N916" s="18" t="n">
        <v>17</v>
      </c>
      <c r="O916" s="18" t="n">
        <v>0</v>
      </c>
      <c r="P916" s="17" t="n">
        <v>45703</v>
      </c>
      <c r="Q916" s="17" t="n">
        <v>45703</v>
      </c>
      <c r="R916" s="17" t="n">
        <v>45703</v>
      </c>
      <c r="S916" s="19">
        <f>H916*I916</f>
        <v/>
      </c>
      <c r="T916" s="19">
        <f>H916*J916</f>
        <v/>
      </c>
      <c r="U916">
        <f>IF(AND(K916=0,G916&lt;=Assumptions!$C$6),1,0)</f>
        <v/>
      </c>
      <c r="V916">
        <f>IF(U916=1,IF(M916&gt;0,IF(P916&lt;=G916+Assumptions!$C$7,1,0),0),0)</f>
        <v/>
      </c>
      <c r="W916">
        <f>IF(AND(U916=1,M916&gt;=H916*(1-Assumptions!$C$8)),1,0)</f>
        <v/>
      </c>
      <c r="X916">
        <f>IF(AND(U916=1,N916&gt;=H916*(1-Assumptions!$C$8)),1,0)</f>
        <v/>
      </c>
      <c r="Y916">
        <f>IF(ISNUMBER(Q916),1,0)</f>
        <v/>
      </c>
      <c r="Z916">
        <f>IF(AND(K916=0,L916=0,Y916=0),1,0)</f>
        <v/>
      </c>
      <c r="AA916">
        <f>IF(AND(Z916=1,G916&lt;Assumptions!$C$6),1,0)</f>
        <v/>
      </c>
      <c r="AB916">
        <f>IF(U916=0,"",IF(Y916=1,MAX(0,Q916-G916),IF(L916=1,MAX(0,R916-G916),MAX(0,Assumptions!$C$6-G916))))</f>
        <v/>
      </c>
      <c r="AC916">
        <f>IF(Y916=1,Q916-F916,"")</f>
        <v/>
      </c>
      <c r="AD916">
        <f>IF(Y916=1,AC916^2,"")</f>
        <v/>
      </c>
      <c r="AE916" s="19">
        <f>IF(Z916=1,(H916-M916)*I916,0)</f>
        <v/>
      </c>
      <c r="AF916">
        <f>IF(G916&lt;EDATE(Assumptions!$C$6,-12)+1,"prior_12m","last_12m")</f>
        <v/>
      </c>
      <c r="AG916" s="21">
        <f>DATE(YEAR(G916),MONTH(G916),1)</f>
        <v/>
      </c>
    </row>
    <row r="917">
      <c r="A917" t="inlineStr">
        <is>
          <t>SPO-00504-1</t>
        </is>
      </c>
      <c r="B917" t="inlineStr">
        <is>
          <t>SPO-00504</t>
        </is>
      </c>
      <c r="C917" t="inlineStr">
        <is>
          <t>SUP-09</t>
        </is>
      </c>
      <c r="D917" t="inlineStr">
        <is>
          <t>CHEM</t>
        </is>
      </c>
      <c r="E917" t="inlineStr">
        <is>
          <t>CHEM-04</t>
        </is>
      </c>
      <c r="F917" s="17" t="n">
        <v>45698</v>
      </c>
      <c r="G917" s="17" t="n">
        <v>45712</v>
      </c>
      <c r="H917" s="18" t="n">
        <v>1</v>
      </c>
      <c r="I917" s="19" t="n">
        <v>846.05</v>
      </c>
      <c r="J917" s="19" t="n">
        <v>820</v>
      </c>
      <c r="K917" s="20" t="n">
        <v>0</v>
      </c>
      <c r="L917" s="20" t="n">
        <v>0</v>
      </c>
      <c r="M917" s="18" t="n">
        <v>1</v>
      </c>
      <c r="N917" s="18" t="n">
        <v>1</v>
      </c>
      <c r="O917" s="18" t="n">
        <v>0</v>
      </c>
      <c r="P917" s="17" t="n">
        <v>45710</v>
      </c>
      <c r="Q917" s="17" t="n">
        <v>45710</v>
      </c>
      <c r="R917" s="17" t="n">
        <v>45710</v>
      </c>
      <c r="S917" s="19">
        <f>H917*I917</f>
        <v/>
      </c>
      <c r="T917" s="19">
        <f>H917*J917</f>
        <v/>
      </c>
      <c r="U917">
        <f>IF(AND(K917=0,G917&lt;=Assumptions!$C$6),1,0)</f>
        <v/>
      </c>
      <c r="V917">
        <f>IF(U917=1,IF(M917&gt;0,IF(P917&lt;=G917+Assumptions!$C$7,1,0),0),0)</f>
        <v/>
      </c>
      <c r="W917">
        <f>IF(AND(U917=1,M917&gt;=H917*(1-Assumptions!$C$8)),1,0)</f>
        <v/>
      </c>
      <c r="X917">
        <f>IF(AND(U917=1,N917&gt;=H917*(1-Assumptions!$C$8)),1,0)</f>
        <v/>
      </c>
      <c r="Y917">
        <f>IF(ISNUMBER(Q917),1,0)</f>
        <v/>
      </c>
      <c r="Z917">
        <f>IF(AND(K917=0,L917=0,Y917=0),1,0)</f>
        <v/>
      </c>
      <c r="AA917">
        <f>IF(AND(Z917=1,G917&lt;Assumptions!$C$6),1,0)</f>
        <v/>
      </c>
      <c r="AB917">
        <f>IF(U917=0,"",IF(Y917=1,MAX(0,Q917-G917),IF(L917=1,MAX(0,R917-G917),MAX(0,Assumptions!$C$6-G917))))</f>
        <v/>
      </c>
      <c r="AC917">
        <f>IF(Y917=1,Q917-F917,"")</f>
        <v/>
      </c>
      <c r="AD917">
        <f>IF(Y917=1,AC917^2,"")</f>
        <v/>
      </c>
      <c r="AE917" s="19">
        <f>IF(Z917=1,(H917-M917)*I917,0)</f>
        <v/>
      </c>
      <c r="AF917">
        <f>IF(G917&lt;EDATE(Assumptions!$C$6,-12)+1,"prior_12m","last_12m")</f>
        <v/>
      </c>
      <c r="AG917" s="21">
        <f>DATE(YEAR(G917),MONTH(G917),1)</f>
        <v/>
      </c>
    </row>
    <row r="918">
      <c r="A918" t="inlineStr">
        <is>
          <t>SPO-00505-1</t>
        </is>
      </c>
      <c r="B918" t="inlineStr">
        <is>
          <t>SPO-00505</t>
        </is>
      </c>
      <c r="C918" t="inlineStr">
        <is>
          <t>SUP-08</t>
        </is>
      </c>
      <c r="D918" t="inlineStr">
        <is>
          <t>MRO</t>
        </is>
      </c>
      <c r="E918" t="inlineStr">
        <is>
          <t>MRO-04</t>
        </is>
      </c>
      <c r="F918" s="17" t="n">
        <v>45699</v>
      </c>
      <c r="G918" s="17" t="n">
        <v>45710</v>
      </c>
      <c r="H918" s="18" t="n">
        <v>63</v>
      </c>
      <c r="I918" s="19" t="n">
        <v>54.22</v>
      </c>
      <c r="J918" s="19" t="n">
        <v>58</v>
      </c>
      <c r="K918" s="20" t="n">
        <v>0</v>
      </c>
      <c r="L918" s="20" t="n">
        <v>0</v>
      </c>
      <c r="M918" s="18" t="n">
        <v>63</v>
      </c>
      <c r="N918" s="18" t="n">
        <v>63</v>
      </c>
      <c r="O918" s="18" t="n">
        <v>0</v>
      </c>
      <c r="P918" s="17" t="n">
        <v>45706</v>
      </c>
      <c r="Q918" s="17" t="n">
        <v>45706</v>
      </c>
      <c r="R918" s="17" t="n">
        <v>45706</v>
      </c>
      <c r="S918" s="19">
        <f>H918*I918</f>
        <v/>
      </c>
      <c r="T918" s="19">
        <f>H918*J918</f>
        <v/>
      </c>
      <c r="U918">
        <f>IF(AND(K918=0,G918&lt;=Assumptions!$C$6),1,0)</f>
        <v/>
      </c>
      <c r="V918">
        <f>IF(U918=1,IF(M918&gt;0,IF(P918&lt;=G918+Assumptions!$C$7,1,0),0),0)</f>
        <v/>
      </c>
      <c r="W918">
        <f>IF(AND(U918=1,M918&gt;=H918*(1-Assumptions!$C$8)),1,0)</f>
        <v/>
      </c>
      <c r="X918">
        <f>IF(AND(U918=1,N918&gt;=H918*(1-Assumptions!$C$8)),1,0)</f>
        <v/>
      </c>
      <c r="Y918">
        <f>IF(ISNUMBER(Q918),1,0)</f>
        <v/>
      </c>
      <c r="Z918">
        <f>IF(AND(K918=0,L918=0,Y918=0),1,0)</f>
        <v/>
      </c>
      <c r="AA918">
        <f>IF(AND(Z918=1,G918&lt;Assumptions!$C$6),1,0)</f>
        <v/>
      </c>
      <c r="AB918">
        <f>IF(U918=0,"",IF(Y918=1,MAX(0,Q918-G918),IF(L918=1,MAX(0,R918-G918),MAX(0,Assumptions!$C$6-G918))))</f>
        <v/>
      </c>
      <c r="AC918">
        <f>IF(Y918=1,Q918-F918,"")</f>
        <v/>
      </c>
      <c r="AD918">
        <f>IF(Y918=1,AC918^2,"")</f>
        <v/>
      </c>
      <c r="AE918" s="19">
        <f>IF(Z918=1,(H918-M918)*I918,0)</f>
        <v/>
      </c>
      <c r="AF918">
        <f>IF(G918&lt;EDATE(Assumptions!$C$6,-12)+1,"prior_12m","last_12m")</f>
        <v/>
      </c>
      <c r="AG918" s="21">
        <f>DATE(YEAR(G918),MONTH(G918),1)</f>
        <v/>
      </c>
    </row>
    <row r="919">
      <c r="A919" t="inlineStr">
        <is>
          <t>SPO-00505-2</t>
        </is>
      </c>
      <c r="B919" t="inlineStr">
        <is>
          <t>SPO-00505</t>
        </is>
      </c>
      <c r="C919" t="inlineStr">
        <is>
          <t>SUP-08</t>
        </is>
      </c>
      <c r="D919" t="inlineStr">
        <is>
          <t>MRO</t>
        </is>
      </c>
      <c r="E919" t="inlineStr">
        <is>
          <t>MRO-06</t>
        </is>
      </c>
      <c r="F919" s="17" t="n">
        <v>45699</v>
      </c>
      <c r="G919" s="17" t="n">
        <v>45710</v>
      </c>
      <c r="H919" s="18" t="n">
        <v>142</v>
      </c>
      <c r="I919" s="19" t="n">
        <v>6.03</v>
      </c>
      <c r="J919" s="19" t="n">
        <v>6.1</v>
      </c>
      <c r="K919" s="20" t="n">
        <v>0</v>
      </c>
      <c r="L919" s="20" t="n">
        <v>0</v>
      </c>
      <c r="M919" s="18" t="n">
        <v>142</v>
      </c>
      <c r="N919" s="18" t="n">
        <v>142</v>
      </c>
      <c r="O919" s="18" t="n">
        <v>0</v>
      </c>
      <c r="P919" s="17" t="n">
        <v>45709</v>
      </c>
      <c r="Q919" s="17" t="n">
        <v>45709</v>
      </c>
      <c r="R919" s="17" t="n">
        <v>45709</v>
      </c>
      <c r="S919" s="19">
        <f>H919*I919</f>
        <v/>
      </c>
      <c r="T919" s="19">
        <f>H919*J919</f>
        <v/>
      </c>
      <c r="U919">
        <f>IF(AND(K919=0,G919&lt;=Assumptions!$C$6),1,0)</f>
        <v/>
      </c>
      <c r="V919">
        <f>IF(U919=1,IF(M919&gt;0,IF(P919&lt;=G919+Assumptions!$C$7,1,0),0),0)</f>
        <v/>
      </c>
      <c r="W919">
        <f>IF(AND(U919=1,M919&gt;=H919*(1-Assumptions!$C$8)),1,0)</f>
        <v/>
      </c>
      <c r="X919">
        <f>IF(AND(U919=1,N919&gt;=H919*(1-Assumptions!$C$8)),1,0)</f>
        <v/>
      </c>
      <c r="Y919">
        <f>IF(ISNUMBER(Q919),1,0)</f>
        <v/>
      </c>
      <c r="Z919">
        <f>IF(AND(K919=0,L919=0,Y919=0),1,0)</f>
        <v/>
      </c>
      <c r="AA919">
        <f>IF(AND(Z919=1,G919&lt;Assumptions!$C$6),1,0)</f>
        <v/>
      </c>
      <c r="AB919">
        <f>IF(U919=0,"",IF(Y919=1,MAX(0,Q919-G919),IF(L919=1,MAX(0,R919-G919),MAX(0,Assumptions!$C$6-G919))))</f>
        <v/>
      </c>
      <c r="AC919">
        <f>IF(Y919=1,Q919-F919,"")</f>
        <v/>
      </c>
      <c r="AD919">
        <f>IF(Y919=1,AC919^2,"")</f>
        <v/>
      </c>
      <c r="AE919" s="19">
        <f>IF(Z919=1,(H919-M919)*I919,0)</f>
        <v/>
      </c>
      <c r="AF919">
        <f>IF(G919&lt;EDATE(Assumptions!$C$6,-12)+1,"prior_12m","last_12m")</f>
        <v/>
      </c>
      <c r="AG919" s="21">
        <f>DATE(YEAR(G919),MONTH(G919),1)</f>
        <v/>
      </c>
    </row>
    <row r="920">
      <c r="A920" t="inlineStr">
        <is>
          <t>SPO-00505-3</t>
        </is>
      </c>
      <c r="B920" t="inlineStr">
        <is>
          <t>SPO-00505</t>
        </is>
      </c>
      <c r="C920" t="inlineStr">
        <is>
          <t>SUP-08</t>
        </is>
      </c>
      <c r="D920" t="inlineStr">
        <is>
          <t>MRO</t>
        </is>
      </c>
      <c r="E920" t="inlineStr">
        <is>
          <t>MRO-08</t>
        </is>
      </c>
      <c r="F920" s="17" t="n">
        <v>45699</v>
      </c>
      <c r="G920" s="17" t="n">
        <v>45710</v>
      </c>
      <c r="H920" s="18" t="n">
        <v>172</v>
      </c>
      <c r="I920" s="19" t="n">
        <v>7.22</v>
      </c>
      <c r="J920" s="19" t="n">
        <v>7.2</v>
      </c>
      <c r="K920" s="20" t="n">
        <v>0</v>
      </c>
      <c r="L920" s="20" t="n">
        <v>0</v>
      </c>
      <c r="M920" s="18" t="n">
        <v>172</v>
      </c>
      <c r="N920" s="18" t="n">
        <v>172</v>
      </c>
      <c r="O920" s="18" t="n">
        <v>0</v>
      </c>
      <c r="P920" s="17" t="n">
        <v>45708</v>
      </c>
      <c r="Q920" s="17" t="n">
        <v>45708</v>
      </c>
      <c r="R920" s="17" t="n">
        <v>45708</v>
      </c>
      <c r="S920" s="19">
        <f>H920*I920</f>
        <v/>
      </c>
      <c r="T920" s="19">
        <f>H920*J920</f>
        <v/>
      </c>
      <c r="U920">
        <f>IF(AND(K920=0,G920&lt;=Assumptions!$C$6),1,0)</f>
        <v/>
      </c>
      <c r="V920">
        <f>IF(U920=1,IF(M920&gt;0,IF(P920&lt;=G920+Assumptions!$C$7,1,0),0),0)</f>
        <v/>
      </c>
      <c r="W920">
        <f>IF(AND(U920=1,M920&gt;=H920*(1-Assumptions!$C$8)),1,0)</f>
        <v/>
      </c>
      <c r="X920">
        <f>IF(AND(U920=1,N920&gt;=H920*(1-Assumptions!$C$8)),1,0)</f>
        <v/>
      </c>
      <c r="Y920">
        <f>IF(ISNUMBER(Q920),1,0)</f>
        <v/>
      </c>
      <c r="Z920">
        <f>IF(AND(K920=0,L920=0,Y920=0),1,0)</f>
        <v/>
      </c>
      <c r="AA920">
        <f>IF(AND(Z920=1,G920&lt;Assumptions!$C$6),1,0)</f>
        <v/>
      </c>
      <c r="AB920">
        <f>IF(U920=0,"",IF(Y920=1,MAX(0,Q920-G920),IF(L920=1,MAX(0,R920-G920),MAX(0,Assumptions!$C$6-G920))))</f>
        <v/>
      </c>
      <c r="AC920">
        <f>IF(Y920=1,Q920-F920,"")</f>
        <v/>
      </c>
      <c r="AD920">
        <f>IF(Y920=1,AC920^2,"")</f>
        <v/>
      </c>
      <c r="AE920" s="19">
        <f>IF(Z920=1,(H920-M920)*I920,0)</f>
        <v/>
      </c>
      <c r="AF920">
        <f>IF(G920&lt;EDATE(Assumptions!$C$6,-12)+1,"prior_12m","last_12m")</f>
        <v/>
      </c>
      <c r="AG920" s="21">
        <f>DATE(YEAR(G920),MONTH(G920),1)</f>
        <v/>
      </c>
    </row>
    <row r="921">
      <c r="A921" t="inlineStr">
        <is>
          <t>SPO-00506-1</t>
        </is>
      </c>
      <c r="B921" t="inlineStr">
        <is>
          <t>SPO-00506</t>
        </is>
      </c>
      <c r="C921" t="inlineStr">
        <is>
          <t>SUP-12</t>
        </is>
      </c>
      <c r="D921" t="inlineStr">
        <is>
          <t>IT</t>
        </is>
      </c>
      <c r="E921" t="inlineStr">
        <is>
          <t>IT-01</t>
        </is>
      </c>
      <c r="F921" s="17" t="n">
        <v>45699</v>
      </c>
      <c r="G921" s="17" t="n">
        <v>45709</v>
      </c>
      <c r="H921" s="18" t="n">
        <v>9</v>
      </c>
      <c r="I921" s="19" t="n">
        <v>210.56</v>
      </c>
      <c r="J921" s="19" t="n">
        <v>189</v>
      </c>
      <c r="K921" s="20" t="n">
        <v>0</v>
      </c>
      <c r="L921" s="20" t="n">
        <v>0</v>
      </c>
      <c r="M921" s="18" t="n">
        <v>9</v>
      </c>
      <c r="N921" s="18" t="n">
        <v>9</v>
      </c>
      <c r="O921" s="18" t="n">
        <v>0</v>
      </c>
      <c r="P921" s="17" t="n">
        <v>45703</v>
      </c>
      <c r="Q921" s="17" t="n">
        <v>45703</v>
      </c>
      <c r="R921" s="17" t="n">
        <v>45703</v>
      </c>
      <c r="S921" s="19">
        <f>H921*I921</f>
        <v/>
      </c>
      <c r="T921" s="19">
        <f>H921*J921</f>
        <v/>
      </c>
      <c r="U921">
        <f>IF(AND(K921=0,G921&lt;=Assumptions!$C$6),1,0)</f>
        <v/>
      </c>
      <c r="V921">
        <f>IF(U921=1,IF(M921&gt;0,IF(P921&lt;=G921+Assumptions!$C$7,1,0),0),0)</f>
        <v/>
      </c>
      <c r="W921">
        <f>IF(AND(U921=1,M921&gt;=H921*(1-Assumptions!$C$8)),1,0)</f>
        <v/>
      </c>
      <c r="X921">
        <f>IF(AND(U921=1,N921&gt;=H921*(1-Assumptions!$C$8)),1,0)</f>
        <v/>
      </c>
      <c r="Y921">
        <f>IF(ISNUMBER(Q921),1,0)</f>
        <v/>
      </c>
      <c r="Z921">
        <f>IF(AND(K921=0,L921=0,Y921=0),1,0)</f>
        <v/>
      </c>
      <c r="AA921">
        <f>IF(AND(Z921=1,G921&lt;Assumptions!$C$6),1,0)</f>
        <v/>
      </c>
      <c r="AB921">
        <f>IF(U921=0,"",IF(Y921=1,MAX(0,Q921-G921),IF(L921=1,MAX(0,R921-G921),MAX(0,Assumptions!$C$6-G921))))</f>
        <v/>
      </c>
      <c r="AC921">
        <f>IF(Y921=1,Q921-F921,"")</f>
        <v/>
      </c>
      <c r="AD921">
        <f>IF(Y921=1,AC921^2,"")</f>
        <v/>
      </c>
      <c r="AE921" s="19">
        <f>IF(Z921=1,(H921-M921)*I921,0)</f>
        <v/>
      </c>
      <c r="AF921">
        <f>IF(G921&lt;EDATE(Assumptions!$C$6,-12)+1,"prior_12m","last_12m")</f>
        <v/>
      </c>
      <c r="AG921" s="21">
        <f>DATE(YEAR(G921),MONTH(G921),1)</f>
        <v/>
      </c>
    </row>
    <row r="922">
      <c r="A922" t="inlineStr">
        <is>
          <t>SPO-00507-1</t>
        </is>
      </c>
      <c r="B922" t="inlineStr">
        <is>
          <t>SPO-00507</t>
        </is>
      </c>
      <c r="C922" t="inlineStr">
        <is>
          <t>SUP-03</t>
        </is>
      </c>
      <c r="D922" t="inlineStr">
        <is>
          <t>ELEC</t>
        </is>
      </c>
      <c r="E922" t="inlineStr">
        <is>
          <t>ELEC-04</t>
        </is>
      </c>
      <c r="F922" s="17" t="n">
        <v>45699</v>
      </c>
      <c r="G922" s="17" t="n">
        <v>45716</v>
      </c>
      <c r="H922" s="18" t="n">
        <v>7</v>
      </c>
      <c r="I922" s="19" t="n">
        <v>69.63</v>
      </c>
      <c r="J922" s="19" t="n">
        <v>72</v>
      </c>
      <c r="K922" s="20" t="n">
        <v>0</v>
      </c>
      <c r="L922" s="20" t="n">
        <v>0</v>
      </c>
      <c r="M922" s="18" t="n">
        <v>7</v>
      </c>
      <c r="N922" s="18" t="n">
        <v>7</v>
      </c>
      <c r="O922" s="18" t="n">
        <v>0</v>
      </c>
      <c r="P922" s="17" t="n">
        <v>45712</v>
      </c>
      <c r="Q922" s="17" t="n">
        <v>45712</v>
      </c>
      <c r="R922" s="17" t="n">
        <v>45712</v>
      </c>
      <c r="S922" s="19">
        <f>H922*I922</f>
        <v/>
      </c>
      <c r="T922" s="19">
        <f>H922*J922</f>
        <v/>
      </c>
      <c r="U922">
        <f>IF(AND(K922=0,G922&lt;=Assumptions!$C$6),1,0)</f>
        <v/>
      </c>
      <c r="V922">
        <f>IF(U922=1,IF(M922&gt;0,IF(P922&lt;=G922+Assumptions!$C$7,1,0),0),0)</f>
        <v/>
      </c>
      <c r="W922">
        <f>IF(AND(U922=1,M922&gt;=H922*(1-Assumptions!$C$8)),1,0)</f>
        <v/>
      </c>
      <c r="X922">
        <f>IF(AND(U922=1,N922&gt;=H922*(1-Assumptions!$C$8)),1,0)</f>
        <v/>
      </c>
      <c r="Y922">
        <f>IF(ISNUMBER(Q922),1,0)</f>
        <v/>
      </c>
      <c r="Z922">
        <f>IF(AND(K922=0,L922=0,Y922=0),1,0)</f>
        <v/>
      </c>
      <c r="AA922">
        <f>IF(AND(Z922=1,G922&lt;Assumptions!$C$6),1,0)</f>
        <v/>
      </c>
      <c r="AB922">
        <f>IF(U922=0,"",IF(Y922=1,MAX(0,Q922-G922),IF(L922=1,MAX(0,R922-G922),MAX(0,Assumptions!$C$6-G922))))</f>
        <v/>
      </c>
      <c r="AC922">
        <f>IF(Y922=1,Q922-F922,"")</f>
        <v/>
      </c>
      <c r="AD922">
        <f>IF(Y922=1,AC922^2,"")</f>
        <v/>
      </c>
      <c r="AE922" s="19">
        <f>IF(Z922=1,(H922-M922)*I922,0)</f>
        <v/>
      </c>
      <c r="AF922">
        <f>IF(G922&lt;EDATE(Assumptions!$C$6,-12)+1,"prior_12m","last_12m")</f>
        <v/>
      </c>
      <c r="AG922" s="21">
        <f>DATE(YEAR(G922),MONTH(G922),1)</f>
        <v/>
      </c>
    </row>
    <row r="923">
      <c r="A923" t="inlineStr">
        <is>
          <t>SPO-00508-1</t>
        </is>
      </c>
      <c r="B923" t="inlineStr">
        <is>
          <t>SPO-00508</t>
        </is>
      </c>
      <c r="C923" t="inlineStr">
        <is>
          <t>SUP-02</t>
        </is>
      </c>
      <c r="D923" t="inlineStr">
        <is>
          <t>ELEC</t>
        </is>
      </c>
      <c r="E923" t="inlineStr">
        <is>
          <t>ELEC-07</t>
        </is>
      </c>
      <c r="F923" s="17" t="n">
        <v>45699</v>
      </c>
      <c r="G923" s="17" t="n">
        <v>45715</v>
      </c>
      <c r="H923" s="18" t="n">
        <v>289</v>
      </c>
      <c r="I923" s="19" t="n">
        <v>9.460000000000001</v>
      </c>
      <c r="J923" s="19" t="n">
        <v>9.800000000000001</v>
      </c>
      <c r="K923" s="20" t="n">
        <v>0</v>
      </c>
      <c r="L923" s="20" t="n">
        <v>0</v>
      </c>
      <c r="M923" s="18" t="n">
        <v>289</v>
      </c>
      <c r="N923" s="18" t="n">
        <v>289</v>
      </c>
      <c r="O923" s="18" t="n">
        <v>0</v>
      </c>
      <c r="P923" s="17" t="n">
        <v>45709</v>
      </c>
      <c r="Q923" s="17" t="n">
        <v>45709</v>
      </c>
      <c r="R923" s="17" t="n">
        <v>45709</v>
      </c>
      <c r="S923" s="19">
        <f>H923*I923</f>
        <v/>
      </c>
      <c r="T923" s="19">
        <f>H923*J923</f>
        <v/>
      </c>
      <c r="U923">
        <f>IF(AND(K923=0,G923&lt;=Assumptions!$C$6),1,0)</f>
        <v/>
      </c>
      <c r="V923">
        <f>IF(U923=1,IF(M923&gt;0,IF(P923&lt;=G923+Assumptions!$C$7,1,0),0),0)</f>
        <v/>
      </c>
      <c r="W923">
        <f>IF(AND(U923=1,M923&gt;=H923*(1-Assumptions!$C$8)),1,0)</f>
        <v/>
      </c>
      <c r="X923">
        <f>IF(AND(U923=1,N923&gt;=H923*(1-Assumptions!$C$8)),1,0)</f>
        <v/>
      </c>
      <c r="Y923">
        <f>IF(ISNUMBER(Q923),1,0)</f>
        <v/>
      </c>
      <c r="Z923">
        <f>IF(AND(K923=0,L923=0,Y923=0),1,0)</f>
        <v/>
      </c>
      <c r="AA923">
        <f>IF(AND(Z923=1,G923&lt;Assumptions!$C$6),1,0)</f>
        <v/>
      </c>
      <c r="AB923">
        <f>IF(U923=0,"",IF(Y923=1,MAX(0,Q923-G923),IF(L923=1,MAX(0,R923-G923),MAX(0,Assumptions!$C$6-G923))))</f>
        <v/>
      </c>
      <c r="AC923">
        <f>IF(Y923=1,Q923-F923,"")</f>
        <v/>
      </c>
      <c r="AD923">
        <f>IF(Y923=1,AC923^2,"")</f>
        <v/>
      </c>
      <c r="AE923" s="19">
        <f>IF(Z923=1,(H923-M923)*I923,0)</f>
        <v/>
      </c>
      <c r="AF923">
        <f>IF(G923&lt;EDATE(Assumptions!$C$6,-12)+1,"prior_12m","last_12m")</f>
        <v/>
      </c>
      <c r="AG923" s="21">
        <f>DATE(YEAR(G923),MONTH(G923),1)</f>
        <v/>
      </c>
    </row>
    <row r="924">
      <c r="A924" t="inlineStr">
        <is>
          <t>SPO-00509-1</t>
        </is>
      </c>
      <c r="B924" t="inlineStr">
        <is>
          <t>SPO-00509</t>
        </is>
      </c>
      <c r="C924" t="inlineStr">
        <is>
          <t>SUP-10</t>
        </is>
      </c>
      <c r="D924" t="inlineStr">
        <is>
          <t>PPE</t>
        </is>
      </c>
      <c r="E924" t="inlineStr">
        <is>
          <t>PPE-01</t>
        </is>
      </c>
      <c r="F924" s="17" t="n">
        <v>45699</v>
      </c>
      <c r="G924" s="17" t="n">
        <v>45712</v>
      </c>
      <c r="H924" s="18" t="n">
        <v>517</v>
      </c>
      <c r="I924" s="19" t="n">
        <v>4.79</v>
      </c>
      <c r="J924" s="19" t="n">
        <v>4.8</v>
      </c>
      <c r="K924" s="20" t="n">
        <v>0</v>
      </c>
      <c r="L924" s="20" t="n">
        <v>0</v>
      </c>
      <c r="M924" s="18" t="n">
        <v>517</v>
      </c>
      <c r="N924" s="18" t="n">
        <v>239</v>
      </c>
      <c r="O924" s="18" t="n">
        <v>15</v>
      </c>
      <c r="P924" s="17" t="n">
        <v>45711</v>
      </c>
      <c r="Q924" s="17" t="n">
        <v>45729</v>
      </c>
      <c r="R924" s="17" t="n">
        <v>45729</v>
      </c>
      <c r="S924" s="19">
        <f>H924*I924</f>
        <v/>
      </c>
      <c r="T924" s="19">
        <f>H924*J924</f>
        <v/>
      </c>
      <c r="U924">
        <f>IF(AND(K924=0,G924&lt;=Assumptions!$C$6),1,0)</f>
        <v/>
      </c>
      <c r="V924">
        <f>IF(U924=1,IF(M924&gt;0,IF(P924&lt;=G924+Assumptions!$C$7,1,0),0),0)</f>
        <v/>
      </c>
      <c r="W924">
        <f>IF(AND(U924=1,M924&gt;=H924*(1-Assumptions!$C$8)),1,0)</f>
        <v/>
      </c>
      <c r="X924">
        <f>IF(AND(U924=1,N924&gt;=H924*(1-Assumptions!$C$8)),1,0)</f>
        <v/>
      </c>
      <c r="Y924">
        <f>IF(ISNUMBER(Q924),1,0)</f>
        <v/>
      </c>
      <c r="Z924">
        <f>IF(AND(K924=0,L924=0,Y924=0),1,0)</f>
        <v/>
      </c>
      <c r="AA924">
        <f>IF(AND(Z924=1,G924&lt;Assumptions!$C$6),1,0)</f>
        <v/>
      </c>
      <c r="AB924">
        <f>IF(U924=0,"",IF(Y924=1,MAX(0,Q924-G924),IF(L924=1,MAX(0,R924-G924),MAX(0,Assumptions!$C$6-G924))))</f>
        <v/>
      </c>
      <c r="AC924">
        <f>IF(Y924=1,Q924-F924,"")</f>
        <v/>
      </c>
      <c r="AD924">
        <f>IF(Y924=1,AC924^2,"")</f>
        <v/>
      </c>
      <c r="AE924" s="19">
        <f>IF(Z924=1,(H924-M924)*I924,0)</f>
        <v/>
      </c>
      <c r="AF924">
        <f>IF(G924&lt;EDATE(Assumptions!$C$6,-12)+1,"prior_12m","last_12m")</f>
        <v/>
      </c>
      <c r="AG924" s="21">
        <f>DATE(YEAR(G924),MONTH(G924),1)</f>
        <v/>
      </c>
    </row>
    <row r="925">
      <c r="A925" t="inlineStr">
        <is>
          <t>SPO-00510-1</t>
        </is>
      </c>
      <c r="B925" t="inlineStr">
        <is>
          <t>SPO-00510</t>
        </is>
      </c>
      <c r="C925" t="inlineStr">
        <is>
          <t>SUP-12</t>
        </is>
      </c>
      <c r="D925" t="inlineStr">
        <is>
          <t>IT</t>
        </is>
      </c>
      <c r="E925" t="inlineStr">
        <is>
          <t>IT-06</t>
        </is>
      </c>
      <c r="F925" s="17" t="n">
        <v>45700</v>
      </c>
      <c r="G925" s="17" t="n">
        <v>45710</v>
      </c>
      <c r="H925" s="18" t="n">
        <v>36</v>
      </c>
      <c r="I925" s="19" t="n">
        <v>101.39</v>
      </c>
      <c r="J925" s="19" t="n">
        <v>89</v>
      </c>
      <c r="K925" s="20" t="n">
        <v>0</v>
      </c>
      <c r="L925" s="20" t="n">
        <v>0</v>
      </c>
      <c r="M925" s="18" t="n">
        <v>36</v>
      </c>
      <c r="N925" s="18" t="n">
        <v>36</v>
      </c>
      <c r="O925" s="18" t="n">
        <v>9</v>
      </c>
      <c r="P925" s="17" t="n">
        <v>45707</v>
      </c>
      <c r="Q925" s="17" t="n">
        <v>45707</v>
      </c>
      <c r="R925" s="17" t="n">
        <v>45707</v>
      </c>
      <c r="S925" s="19">
        <f>H925*I925</f>
        <v/>
      </c>
      <c r="T925" s="19">
        <f>H925*J925</f>
        <v/>
      </c>
      <c r="U925">
        <f>IF(AND(K925=0,G925&lt;=Assumptions!$C$6),1,0)</f>
        <v/>
      </c>
      <c r="V925">
        <f>IF(U925=1,IF(M925&gt;0,IF(P925&lt;=G925+Assumptions!$C$7,1,0),0),0)</f>
        <v/>
      </c>
      <c r="W925">
        <f>IF(AND(U925=1,M925&gt;=H925*(1-Assumptions!$C$8)),1,0)</f>
        <v/>
      </c>
      <c r="X925">
        <f>IF(AND(U925=1,N925&gt;=H925*(1-Assumptions!$C$8)),1,0)</f>
        <v/>
      </c>
      <c r="Y925">
        <f>IF(ISNUMBER(Q925),1,0)</f>
        <v/>
      </c>
      <c r="Z925">
        <f>IF(AND(K925=0,L925=0,Y925=0),1,0)</f>
        <v/>
      </c>
      <c r="AA925">
        <f>IF(AND(Z925=1,G925&lt;Assumptions!$C$6),1,0)</f>
        <v/>
      </c>
      <c r="AB925">
        <f>IF(U925=0,"",IF(Y925=1,MAX(0,Q925-G925),IF(L925=1,MAX(0,R925-G925),MAX(0,Assumptions!$C$6-G925))))</f>
        <v/>
      </c>
      <c r="AC925">
        <f>IF(Y925=1,Q925-F925,"")</f>
        <v/>
      </c>
      <c r="AD925">
        <f>IF(Y925=1,AC925^2,"")</f>
        <v/>
      </c>
      <c r="AE925" s="19">
        <f>IF(Z925=1,(H925-M925)*I925,0)</f>
        <v/>
      </c>
      <c r="AF925">
        <f>IF(G925&lt;EDATE(Assumptions!$C$6,-12)+1,"prior_12m","last_12m")</f>
        <v/>
      </c>
      <c r="AG925" s="21">
        <f>DATE(YEAR(G925),MONTH(G925),1)</f>
        <v/>
      </c>
    </row>
    <row r="926">
      <c r="A926" t="inlineStr">
        <is>
          <t>SPO-00511-1</t>
        </is>
      </c>
      <c r="B926" t="inlineStr">
        <is>
          <t>SPO-00511</t>
        </is>
      </c>
      <c r="C926" t="inlineStr">
        <is>
          <t>SUP-01</t>
        </is>
      </c>
      <c r="D926" t="inlineStr">
        <is>
          <t>ELEC</t>
        </is>
      </c>
      <c r="E926" t="inlineStr">
        <is>
          <t>ELEC-05</t>
        </is>
      </c>
      <c r="F926" s="17" t="n">
        <v>45700</v>
      </c>
      <c r="G926" s="17" t="n">
        <v>45718</v>
      </c>
      <c r="H926" s="18" t="n">
        <v>114</v>
      </c>
      <c r="I926" s="19" t="n">
        <v>11.45</v>
      </c>
      <c r="J926" s="19" t="n">
        <v>11.5</v>
      </c>
      <c r="K926" s="20" t="n">
        <v>0</v>
      </c>
      <c r="L926" s="20" t="n">
        <v>0</v>
      </c>
      <c r="M926" s="18" t="n">
        <v>114</v>
      </c>
      <c r="N926" s="18" t="n">
        <v>114</v>
      </c>
      <c r="O926" s="18" t="n">
        <v>0</v>
      </c>
      <c r="P926" s="17" t="n">
        <v>45716</v>
      </c>
      <c r="Q926" s="17" t="n">
        <v>45716</v>
      </c>
      <c r="R926" s="17" t="n">
        <v>45716</v>
      </c>
      <c r="S926" s="19">
        <f>H926*I926</f>
        <v/>
      </c>
      <c r="T926" s="19">
        <f>H926*J926</f>
        <v/>
      </c>
      <c r="U926">
        <f>IF(AND(K926=0,G926&lt;=Assumptions!$C$6),1,0)</f>
        <v/>
      </c>
      <c r="V926">
        <f>IF(U926=1,IF(M926&gt;0,IF(P926&lt;=G926+Assumptions!$C$7,1,0),0),0)</f>
        <v/>
      </c>
      <c r="W926">
        <f>IF(AND(U926=1,M926&gt;=H926*(1-Assumptions!$C$8)),1,0)</f>
        <v/>
      </c>
      <c r="X926">
        <f>IF(AND(U926=1,N926&gt;=H926*(1-Assumptions!$C$8)),1,0)</f>
        <v/>
      </c>
      <c r="Y926">
        <f>IF(ISNUMBER(Q926),1,0)</f>
        <v/>
      </c>
      <c r="Z926">
        <f>IF(AND(K926=0,L926=0,Y926=0),1,0)</f>
        <v/>
      </c>
      <c r="AA926">
        <f>IF(AND(Z926=1,G926&lt;Assumptions!$C$6),1,0)</f>
        <v/>
      </c>
      <c r="AB926">
        <f>IF(U926=0,"",IF(Y926=1,MAX(0,Q926-G926),IF(L926=1,MAX(0,R926-G926),MAX(0,Assumptions!$C$6-G926))))</f>
        <v/>
      </c>
      <c r="AC926">
        <f>IF(Y926=1,Q926-F926,"")</f>
        <v/>
      </c>
      <c r="AD926">
        <f>IF(Y926=1,AC926^2,"")</f>
        <v/>
      </c>
      <c r="AE926" s="19">
        <f>IF(Z926=1,(H926-M926)*I926,0)</f>
        <v/>
      </c>
      <c r="AF926">
        <f>IF(G926&lt;EDATE(Assumptions!$C$6,-12)+1,"prior_12m","last_12m")</f>
        <v/>
      </c>
      <c r="AG926" s="21">
        <f>DATE(YEAR(G926),MONTH(G926),1)</f>
        <v/>
      </c>
    </row>
    <row r="927">
      <c r="A927" t="inlineStr">
        <is>
          <t>SPO-00512-1</t>
        </is>
      </c>
      <c r="B927" t="inlineStr">
        <is>
          <t>SPO-00512</t>
        </is>
      </c>
      <c r="C927" t="inlineStr">
        <is>
          <t>SUP-01</t>
        </is>
      </c>
      <c r="D927" t="inlineStr">
        <is>
          <t>ELEC</t>
        </is>
      </c>
      <c r="E927" t="inlineStr">
        <is>
          <t>ELEC-05</t>
        </is>
      </c>
      <c r="F927" s="17" t="n">
        <v>45700</v>
      </c>
      <c r="G927" s="17" t="n">
        <v>45718</v>
      </c>
      <c r="H927" s="18" t="n">
        <v>381</v>
      </c>
      <c r="I927" s="19" t="n">
        <v>11.33</v>
      </c>
      <c r="J927" s="19" t="n">
        <v>11.5</v>
      </c>
      <c r="K927" s="20" t="n">
        <v>0</v>
      </c>
      <c r="L927" s="20" t="n">
        <v>0</v>
      </c>
      <c r="M927" s="18" t="n">
        <v>381</v>
      </c>
      <c r="N927" s="18" t="n">
        <v>381</v>
      </c>
      <c r="O927" s="18" t="n">
        <v>0</v>
      </c>
      <c r="P927" s="17" t="n">
        <v>45718</v>
      </c>
      <c r="Q927" s="17" t="n">
        <v>45718</v>
      </c>
      <c r="R927" s="17" t="n">
        <v>45718</v>
      </c>
      <c r="S927" s="19">
        <f>H927*I927</f>
        <v/>
      </c>
      <c r="T927" s="19">
        <f>H927*J927</f>
        <v/>
      </c>
      <c r="U927">
        <f>IF(AND(K927=0,G927&lt;=Assumptions!$C$6),1,0)</f>
        <v/>
      </c>
      <c r="V927">
        <f>IF(U927=1,IF(M927&gt;0,IF(P927&lt;=G927+Assumptions!$C$7,1,0),0),0)</f>
        <v/>
      </c>
      <c r="W927">
        <f>IF(AND(U927=1,M927&gt;=H927*(1-Assumptions!$C$8)),1,0)</f>
        <v/>
      </c>
      <c r="X927">
        <f>IF(AND(U927=1,N927&gt;=H927*(1-Assumptions!$C$8)),1,0)</f>
        <v/>
      </c>
      <c r="Y927">
        <f>IF(ISNUMBER(Q927),1,0)</f>
        <v/>
      </c>
      <c r="Z927">
        <f>IF(AND(K927=0,L927=0,Y927=0),1,0)</f>
        <v/>
      </c>
      <c r="AA927">
        <f>IF(AND(Z927=1,G927&lt;Assumptions!$C$6),1,0)</f>
        <v/>
      </c>
      <c r="AB927">
        <f>IF(U927=0,"",IF(Y927=1,MAX(0,Q927-G927),IF(L927=1,MAX(0,R927-G927),MAX(0,Assumptions!$C$6-G927))))</f>
        <v/>
      </c>
      <c r="AC927">
        <f>IF(Y927=1,Q927-F927,"")</f>
        <v/>
      </c>
      <c r="AD927">
        <f>IF(Y927=1,AC927^2,"")</f>
        <v/>
      </c>
      <c r="AE927" s="19">
        <f>IF(Z927=1,(H927-M927)*I927,0)</f>
        <v/>
      </c>
      <c r="AF927">
        <f>IF(G927&lt;EDATE(Assumptions!$C$6,-12)+1,"prior_12m","last_12m")</f>
        <v/>
      </c>
      <c r="AG927" s="21">
        <f>DATE(YEAR(G927),MONTH(G927),1)</f>
        <v/>
      </c>
    </row>
    <row r="928">
      <c r="A928" t="inlineStr">
        <is>
          <t>SPO-00512-2</t>
        </is>
      </c>
      <c r="B928" t="inlineStr">
        <is>
          <t>SPO-00512</t>
        </is>
      </c>
      <c r="C928" t="inlineStr">
        <is>
          <t>SUP-01</t>
        </is>
      </c>
      <c r="D928" t="inlineStr">
        <is>
          <t>ELEC</t>
        </is>
      </c>
      <c r="E928" t="inlineStr">
        <is>
          <t>ELEC-04</t>
        </is>
      </c>
      <c r="F928" s="17" t="n">
        <v>45700</v>
      </c>
      <c r="G928" s="17" t="n">
        <v>45718</v>
      </c>
      <c r="H928" s="18" t="n">
        <v>28</v>
      </c>
      <c r="I928" s="19" t="n">
        <v>72.17</v>
      </c>
      <c r="J928" s="19" t="n">
        <v>72</v>
      </c>
      <c r="K928" s="20" t="n">
        <v>0</v>
      </c>
      <c r="L928" s="20" t="n">
        <v>0</v>
      </c>
      <c r="M928" s="18" t="n">
        <v>28</v>
      </c>
      <c r="N928" s="18" t="n">
        <v>28</v>
      </c>
      <c r="O928" s="18" t="n">
        <v>0</v>
      </c>
      <c r="P928" s="17" t="n">
        <v>45717</v>
      </c>
      <c r="Q928" s="17" t="n">
        <v>45717</v>
      </c>
      <c r="R928" s="17" t="n">
        <v>45717</v>
      </c>
      <c r="S928" s="19">
        <f>H928*I928</f>
        <v/>
      </c>
      <c r="T928" s="19">
        <f>H928*J928</f>
        <v/>
      </c>
      <c r="U928">
        <f>IF(AND(K928=0,G928&lt;=Assumptions!$C$6),1,0)</f>
        <v/>
      </c>
      <c r="V928">
        <f>IF(U928=1,IF(M928&gt;0,IF(P928&lt;=G928+Assumptions!$C$7,1,0),0),0)</f>
        <v/>
      </c>
      <c r="W928">
        <f>IF(AND(U928=1,M928&gt;=H928*(1-Assumptions!$C$8)),1,0)</f>
        <v/>
      </c>
      <c r="X928">
        <f>IF(AND(U928=1,N928&gt;=H928*(1-Assumptions!$C$8)),1,0)</f>
        <v/>
      </c>
      <c r="Y928">
        <f>IF(ISNUMBER(Q928),1,0)</f>
        <v/>
      </c>
      <c r="Z928">
        <f>IF(AND(K928=0,L928=0,Y928=0),1,0)</f>
        <v/>
      </c>
      <c r="AA928">
        <f>IF(AND(Z928=1,G928&lt;Assumptions!$C$6),1,0)</f>
        <v/>
      </c>
      <c r="AB928">
        <f>IF(U928=0,"",IF(Y928=1,MAX(0,Q928-G928),IF(L928=1,MAX(0,R928-G928),MAX(0,Assumptions!$C$6-G928))))</f>
        <v/>
      </c>
      <c r="AC928">
        <f>IF(Y928=1,Q928-F928,"")</f>
        <v/>
      </c>
      <c r="AD928">
        <f>IF(Y928=1,AC928^2,"")</f>
        <v/>
      </c>
      <c r="AE928" s="19">
        <f>IF(Z928=1,(H928-M928)*I928,0)</f>
        <v/>
      </c>
      <c r="AF928">
        <f>IF(G928&lt;EDATE(Assumptions!$C$6,-12)+1,"prior_12m","last_12m")</f>
        <v/>
      </c>
      <c r="AG928" s="21">
        <f>DATE(YEAR(G928),MONTH(G928),1)</f>
        <v/>
      </c>
    </row>
    <row r="929">
      <c r="A929" t="inlineStr">
        <is>
          <t>SPO-00513-1</t>
        </is>
      </c>
      <c r="B929" t="inlineStr">
        <is>
          <t>SPO-00513</t>
        </is>
      </c>
      <c r="C929" t="inlineStr">
        <is>
          <t>SUP-02</t>
        </is>
      </c>
      <c r="D929" t="inlineStr">
        <is>
          <t>ELEC</t>
        </is>
      </c>
      <c r="E929" t="inlineStr">
        <is>
          <t>ELEC-01</t>
        </is>
      </c>
      <c r="F929" s="17" t="n">
        <v>45700</v>
      </c>
      <c r="G929" s="17" t="n">
        <v>45716</v>
      </c>
      <c r="H929" s="18" t="n">
        <v>36</v>
      </c>
      <c r="I929" s="19" t="n">
        <v>40.49</v>
      </c>
      <c r="J929" s="19" t="n">
        <v>38</v>
      </c>
      <c r="K929" s="20" t="n">
        <v>0</v>
      </c>
      <c r="L929" s="20" t="n">
        <v>0</v>
      </c>
      <c r="M929" s="18" t="n">
        <v>36</v>
      </c>
      <c r="N929" s="18" t="n">
        <v>36</v>
      </c>
      <c r="O929" s="18" t="n">
        <v>0</v>
      </c>
      <c r="P929" s="17" t="n">
        <v>45711</v>
      </c>
      <c r="Q929" s="17" t="n">
        <v>45711</v>
      </c>
      <c r="R929" s="17" t="n">
        <v>45711</v>
      </c>
      <c r="S929" s="19">
        <f>H929*I929</f>
        <v/>
      </c>
      <c r="T929" s="19">
        <f>H929*J929</f>
        <v/>
      </c>
      <c r="U929">
        <f>IF(AND(K929=0,G929&lt;=Assumptions!$C$6),1,0)</f>
        <v/>
      </c>
      <c r="V929">
        <f>IF(U929=1,IF(M929&gt;0,IF(P929&lt;=G929+Assumptions!$C$7,1,0),0),0)</f>
        <v/>
      </c>
      <c r="W929">
        <f>IF(AND(U929=1,M929&gt;=H929*(1-Assumptions!$C$8)),1,0)</f>
        <v/>
      </c>
      <c r="X929">
        <f>IF(AND(U929=1,N929&gt;=H929*(1-Assumptions!$C$8)),1,0)</f>
        <v/>
      </c>
      <c r="Y929">
        <f>IF(ISNUMBER(Q929),1,0)</f>
        <v/>
      </c>
      <c r="Z929">
        <f>IF(AND(K929=0,L929=0,Y929=0),1,0)</f>
        <v/>
      </c>
      <c r="AA929">
        <f>IF(AND(Z929=1,G929&lt;Assumptions!$C$6),1,0)</f>
        <v/>
      </c>
      <c r="AB929">
        <f>IF(U929=0,"",IF(Y929=1,MAX(0,Q929-G929),IF(L929=1,MAX(0,R929-G929),MAX(0,Assumptions!$C$6-G929))))</f>
        <v/>
      </c>
      <c r="AC929">
        <f>IF(Y929=1,Q929-F929,"")</f>
        <v/>
      </c>
      <c r="AD929">
        <f>IF(Y929=1,AC929^2,"")</f>
        <v/>
      </c>
      <c r="AE929" s="19">
        <f>IF(Z929=1,(H929-M929)*I929,0)</f>
        <v/>
      </c>
      <c r="AF929">
        <f>IF(G929&lt;EDATE(Assumptions!$C$6,-12)+1,"prior_12m","last_12m")</f>
        <v/>
      </c>
      <c r="AG929" s="21">
        <f>DATE(YEAR(G929),MONTH(G929),1)</f>
        <v/>
      </c>
    </row>
    <row r="930">
      <c r="A930" t="inlineStr">
        <is>
          <t>SPO-00514-1</t>
        </is>
      </c>
      <c r="B930" t="inlineStr">
        <is>
          <t>SPO-00514</t>
        </is>
      </c>
      <c r="C930" t="inlineStr">
        <is>
          <t>SUP-04</t>
        </is>
      </c>
      <c r="D930" t="inlineStr">
        <is>
          <t>FLEET</t>
        </is>
      </c>
      <c r="E930" t="inlineStr">
        <is>
          <t>FLEET-08</t>
        </is>
      </c>
      <c r="F930" s="17" t="n">
        <v>45700</v>
      </c>
      <c r="G930" s="17" t="n">
        <v>45713</v>
      </c>
      <c r="H930" s="18" t="n">
        <v>210</v>
      </c>
      <c r="I930" s="19" t="n">
        <v>6.55</v>
      </c>
      <c r="J930" s="19" t="n">
        <v>6.4</v>
      </c>
      <c r="K930" s="20" t="n">
        <v>1</v>
      </c>
      <c r="L930" s="20" t="n">
        <v>0</v>
      </c>
      <c r="M930" s="18" t="n">
        <v>0</v>
      </c>
      <c r="N930" s="18" t="n">
        <v>0</v>
      </c>
      <c r="O930" s="18" t="n">
        <v>0</v>
      </c>
      <c r="P930" s="17" t="n"/>
      <c r="Q930" s="17" t="n"/>
      <c r="R930" s="17" t="n"/>
      <c r="S930" s="19">
        <f>H930*I930</f>
        <v/>
      </c>
      <c r="T930" s="19">
        <f>H930*J930</f>
        <v/>
      </c>
      <c r="U930">
        <f>IF(AND(K930=0,G930&lt;=Assumptions!$C$6),1,0)</f>
        <v/>
      </c>
      <c r="V930">
        <f>IF(U930=1,IF(M930&gt;0,IF(P930&lt;=G930+Assumptions!$C$7,1,0),0),0)</f>
        <v/>
      </c>
      <c r="W930">
        <f>IF(AND(U930=1,M930&gt;=H930*(1-Assumptions!$C$8)),1,0)</f>
        <v/>
      </c>
      <c r="X930">
        <f>IF(AND(U930=1,N930&gt;=H930*(1-Assumptions!$C$8)),1,0)</f>
        <v/>
      </c>
      <c r="Y930">
        <f>IF(ISNUMBER(Q930),1,0)</f>
        <v/>
      </c>
      <c r="Z930">
        <f>IF(AND(K930=0,L930=0,Y930=0),1,0)</f>
        <v/>
      </c>
      <c r="AA930">
        <f>IF(AND(Z930=1,G930&lt;Assumptions!$C$6),1,0)</f>
        <v/>
      </c>
      <c r="AB930">
        <f>IF(U930=0,"",IF(Y930=1,MAX(0,Q930-G930),IF(L930=1,MAX(0,R930-G930),MAX(0,Assumptions!$C$6-G930))))</f>
        <v/>
      </c>
      <c r="AC930">
        <f>IF(Y930=1,Q930-F930,"")</f>
        <v/>
      </c>
      <c r="AD930">
        <f>IF(Y930=1,AC930^2,"")</f>
        <v/>
      </c>
      <c r="AE930" s="19">
        <f>IF(Z930=1,(H930-M930)*I930,0)</f>
        <v/>
      </c>
      <c r="AF930">
        <f>IF(G930&lt;EDATE(Assumptions!$C$6,-12)+1,"prior_12m","last_12m")</f>
        <v/>
      </c>
      <c r="AG930" s="21">
        <f>DATE(YEAR(G930),MONTH(G930),1)</f>
        <v/>
      </c>
    </row>
    <row r="931">
      <c r="A931" t="inlineStr">
        <is>
          <t>SPO-00514-2</t>
        </is>
      </c>
      <c r="B931" t="inlineStr">
        <is>
          <t>SPO-00514</t>
        </is>
      </c>
      <c r="C931" t="inlineStr">
        <is>
          <t>SUP-04</t>
        </is>
      </c>
      <c r="D931" t="inlineStr">
        <is>
          <t>FLEET</t>
        </is>
      </c>
      <c r="E931" t="inlineStr">
        <is>
          <t>FLEET-04</t>
        </is>
      </c>
      <c r="F931" s="17" t="n">
        <v>45700</v>
      </c>
      <c r="G931" s="17" t="n">
        <v>45713</v>
      </c>
      <c r="H931" s="18" t="n">
        <v>277</v>
      </c>
      <c r="I931" s="19" t="n">
        <v>8.74</v>
      </c>
      <c r="J931" s="19" t="n">
        <v>9</v>
      </c>
      <c r="K931" s="20" t="n">
        <v>0</v>
      </c>
      <c r="L931" s="20" t="n">
        <v>0</v>
      </c>
      <c r="M931" s="18" t="n">
        <v>277</v>
      </c>
      <c r="N931" s="18" t="n">
        <v>0</v>
      </c>
      <c r="O931" s="18" t="n">
        <v>0</v>
      </c>
      <c r="P931" s="17" t="n">
        <v>45716</v>
      </c>
      <c r="Q931" s="17" t="n">
        <v>45736</v>
      </c>
      <c r="R931" s="17" t="n">
        <v>45736</v>
      </c>
      <c r="S931" s="19">
        <f>H931*I931</f>
        <v/>
      </c>
      <c r="T931" s="19">
        <f>H931*J931</f>
        <v/>
      </c>
      <c r="U931">
        <f>IF(AND(K931=0,G931&lt;=Assumptions!$C$6),1,0)</f>
        <v/>
      </c>
      <c r="V931">
        <f>IF(U931=1,IF(M931&gt;0,IF(P931&lt;=G931+Assumptions!$C$7,1,0),0),0)</f>
        <v/>
      </c>
      <c r="W931">
        <f>IF(AND(U931=1,M931&gt;=H931*(1-Assumptions!$C$8)),1,0)</f>
        <v/>
      </c>
      <c r="X931">
        <f>IF(AND(U931=1,N931&gt;=H931*(1-Assumptions!$C$8)),1,0)</f>
        <v/>
      </c>
      <c r="Y931">
        <f>IF(ISNUMBER(Q931),1,0)</f>
        <v/>
      </c>
      <c r="Z931">
        <f>IF(AND(K931=0,L931=0,Y931=0),1,0)</f>
        <v/>
      </c>
      <c r="AA931">
        <f>IF(AND(Z931=1,G931&lt;Assumptions!$C$6),1,0)</f>
        <v/>
      </c>
      <c r="AB931">
        <f>IF(U931=0,"",IF(Y931=1,MAX(0,Q931-G931),IF(L931=1,MAX(0,R931-G931),MAX(0,Assumptions!$C$6-G931))))</f>
        <v/>
      </c>
      <c r="AC931">
        <f>IF(Y931=1,Q931-F931,"")</f>
        <v/>
      </c>
      <c r="AD931">
        <f>IF(Y931=1,AC931^2,"")</f>
        <v/>
      </c>
      <c r="AE931" s="19">
        <f>IF(Z931=1,(H931-M931)*I931,0)</f>
        <v/>
      </c>
      <c r="AF931">
        <f>IF(G931&lt;EDATE(Assumptions!$C$6,-12)+1,"prior_12m","last_12m")</f>
        <v/>
      </c>
      <c r="AG931" s="21">
        <f>DATE(YEAR(G931),MONTH(G931),1)</f>
        <v/>
      </c>
    </row>
    <row r="932">
      <c r="A932" t="inlineStr">
        <is>
          <t>SPO-00514-3</t>
        </is>
      </c>
      <c r="B932" t="inlineStr">
        <is>
          <t>SPO-00514</t>
        </is>
      </c>
      <c r="C932" t="inlineStr">
        <is>
          <t>SUP-04</t>
        </is>
      </c>
      <c r="D932" t="inlineStr">
        <is>
          <t>FLEET</t>
        </is>
      </c>
      <c r="E932" t="inlineStr">
        <is>
          <t>FLEET-05</t>
        </is>
      </c>
      <c r="F932" s="17" t="n">
        <v>45700</v>
      </c>
      <c r="G932" s="17" t="n">
        <v>45713</v>
      </c>
      <c r="H932" s="18" t="n">
        <v>8</v>
      </c>
      <c r="I932" s="19" t="n">
        <v>169.92</v>
      </c>
      <c r="J932" s="19" t="n">
        <v>168</v>
      </c>
      <c r="K932" s="20" t="n">
        <v>0</v>
      </c>
      <c r="L932" s="20" t="n">
        <v>0</v>
      </c>
      <c r="M932" s="18" t="n">
        <v>8</v>
      </c>
      <c r="N932" s="18" t="n">
        <v>8</v>
      </c>
      <c r="O932" s="18" t="n">
        <v>0</v>
      </c>
      <c r="P932" s="17" t="n">
        <v>45703</v>
      </c>
      <c r="Q932" s="17" t="n">
        <v>45703</v>
      </c>
      <c r="R932" s="17" t="n">
        <v>45703</v>
      </c>
      <c r="S932" s="19">
        <f>H932*I932</f>
        <v/>
      </c>
      <c r="T932" s="19">
        <f>H932*J932</f>
        <v/>
      </c>
      <c r="U932">
        <f>IF(AND(K932=0,G932&lt;=Assumptions!$C$6),1,0)</f>
        <v/>
      </c>
      <c r="V932">
        <f>IF(U932=1,IF(M932&gt;0,IF(P932&lt;=G932+Assumptions!$C$7,1,0),0),0)</f>
        <v/>
      </c>
      <c r="W932">
        <f>IF(AND(U932=1,M932&gt;=H932*(1-Assumptions!$C$8)),1,0)</f>
        <v/>
      </c>
      <c r="X932">
        <f>IF(AND(U932=1,N932&gt;=H932*(1-Assumptions!$C$8)),1,0)</f>
        <v/>
      </c>
      <c r="Y932">
        <f>IF(ISNUMBER(Q932),1,0)</f>
        <v/>
      </c>
      <c r="Z932">
        <f>IF(AND(K932=0,L932=0,Y932=0),1,0)</f>
        <v/>
      </c>
      <c r="AA932">
        <f>IF(AND(Z932=1,G932&lt;Assumptions!$C$6),1,0)</f>
        <v/>
      </c>
      <c r="AB932">
        <f>IF(U932=0,"",IF(Y932=1,MAX(0,Q932-G932),IF(L932=1,MAX(0,R932-G932),MAX(0,Assumptions!$C$6-G932))))</f>
        <v/>
      </c>
      <c r="AC932">
        <f>IF(Y932=1,Q932-F932,"")</f>
        <v/>
      </c>
      <c r="AD932">
        <f>IF(Y932=1,AC932^2,"")</f>
        <v/>
      </c>
      <c r="AE932" s="19">
        <f>IF(Z932=1,(H932-M932)*I932,0)</f>
        <v/>
      </c>
      <c r="AF932">
        <f>IF(G932&lt;EDATE(Assumptions!$C$6,-12)+1,"prior_12m","last_12m")</f>
        <v/>
      </c>
      <c r="AG932" s="21">
        <f>DATE(YEAR(G932),MONTH(G932),1)</f>
        <v/>
      </c>
    </row>
    <row r="933">
      <c r="A933" t="inlineStr">
        <is>
          <t>SPO-00514-4</t>
        </is>
      </c>
      <c r="B933" t="inlineStr">
        <is>
          <t>SPO-00514</t>
        </is>
      </c>
      <c r="C933" t="inlineStr">
        <is>
          <t>SUP-04</t>
        </is>
      </c>
      <c r="D933" t="inlineStr">
        <is>
          <t>FLEET</t>
        </is>
      </c>
      <c r="E933" t="inlineStr">
        <is>
          <t>FLEET-07</t>
        </is>
      </c>
      <c r="F933" s="17" t="n">
        <v>45700</v>
      </c>
      <c r="G933" s="17" t="n">
        <v>45713</v>
      </c>
      <c r="H933" s="18" t="n">
        <v>8</v>
      </c>
      <c r="I933" s="19" t="n">
        <v>115.44</v>
      </c>
      <c r="J933" s="19" t="n">
        <v>118</v>
      </c>
      <c r="K933" s="20" t="n">
        <v>0</v>
      </c>
      <c r="L933" s="20" t="n">
        <v>0</v>
      </c>
      <c r="M933" s="18" t="n">
        <v>8</v>
      </c>
      <c r="N933" s="18" t="n">
        <v>8</v>
      </c>
      <c r="O933" s="18" t="n">
        <v>0</v>
      </c>
      <c r="P933" s="17" t="n">
        <v>45710</v>
      </c>
      <c r="Q933" s="17" t="n">
        <v>45710</v>
      </c>
      <c r="R933" s="17" t="n">
        <v>45710</v>
      </c>
      <c r="S933" s="19">
        <f>H933*I933</f>
        <v/>
      </c>
      <c r="T933" s="19">
        <f>H933*J933</f>
        <v/>
      </c>
      <c r="U933">
        <f>IF(AND(K933=0,G933&lt;=Assumptions!$C$6),1,0)</f>
        <v/>
      </c>
      <c r="V933">
        <f>IF(U933=1,IF(M933&gt;0,IF(P933&lt;=G933+Assumptions!$C$7,1,0),0),0)</f>
        <v/>
      </c>
      <c r="W933">
        <f>IF(AND(U933=1,M933&gt;=H933*(1-Assumptions!$C$8)),1,0)</f>
        <v/>
      </c>
      <c r="X933">
        <f>IF(AND(U933=1,N933&gt;=H933*(1-Assumptions!$C$8)),1,0)</f>
        <v/>
      </c>
      <c r="Y933">
        <f>IF(ISNUMBER(Q933),1,0)</f>
        <v/>
      </c>
      <c r="Z933">
        <f>IF(AND(K933=0,L933=0,Y933=0),1,0)</f>
        <v/>
      </c>
      <c r="AA933">
        <f>IF(AND(Z933=1,G933&lt;Assumptions!$C$6),1,0)</f>
        <v/>
      </c>
      <c r="AB933">
        <f>IF(U933=0,"",IF(Y933=1,MAX(0,Q933-G933),IF(L933=1,MAX(0,R933-G933),MAX(0,Assumptions!$C$6-G933))))</f>
        <v/>
      </c>
      <c r="AC933">
        <f>IF(Y933=1,Q933-F933,"")</f>
        <v/>
      </c>
      <c r="AD933">
        <f>IF(Y933=1,AC933^2,"")</f>
        <v/>
      </c>
      <c r="AE933" s="19">
        <f>IF(Z933=1,(H933-M933)*I933,0)</f>
        <v/>
      </c>
      <c r="AF933">
        <f>IF(G933&lt;EDATE(Assumptions!$C$6,-12)+1,"prior_12m","last_12m")</f>
        <v/>
      </c>
      <c r="AG933" s="21">
        <f>DATE(YEAR(G933),MONTH(G933),1)</f>
        <v/>
      </c>
    </row>
    <row r="934">
      <c r="A934" t="inlineStr">
        <is>
          <t>SPO-00515-1</t>
        </is>
      </c>
      <c r="B934" t="inlineStr">
        <is>
          <t>SPO-00515</t>
        </is>
      </c>
      <c r="C934" t="inlineStr">
        <is>
          <t>SUP-08</t>
        </is>
      </c>
      <c r="D934" t="inlineStr">
        <is>
          <t>PPE</t>
        </is>
      </c>
      <c r="E934" t="inlineStr">
        <is>
          <t>PPE-05</t>
        </is>
      </c>
      <c r="F934" s="17" t="n">
        <v>45700</v>
      </c>
      <c r="G934" s="17" t="n">
        <v>45711</v>
      </c>
      <c r="H934" s="18" t="n">
        <v>109</v>
      </c>
      <c r="I934" s="19" t="n">
        <v>10.9</v>
      </c>
      <c r="J934" s="19" t="n">
        <v>11</v>
      </c>
      <c r="K934" s="20" t="n">
        <v>0</v>
      </c>
      <c r="L934" s="20" t="n">
        <v>0</v>
      </c>
      <c r="M934" s="18" t="n">
        <v>109</v>
      </c>
      <c r="N934" s="18" t="n">
        <v>109</v>
      </c>
      <c r="O934" s="18" t="n">
        <v>0</v>
      </c>
      <c r="P934" s="17" t="n">
        <v>45709</v>
      </c>
      <c r="Q934" s="17" t="n">
        <v>45709</v>
      </c>
      <c r="R934" s="17" t="n">
        <v>45709</v>
      </c>
      <c r="S934" s="19">
        <f>H934*I934</f>
        <v/>
      </c>
      <c r="T934" s="19">
        <f>H934*J934</f>
        <v/>
      </c>
      <c r="U934">
        <f>IF(AND(K934=0,G934&lt;=Assumptions!$C$6),1,0)</f>
        <v/>
      </c>
      <c r="V934">
        <f>IF(U934=1,IF(M934&gt;0,IF(P934&lt;=G934+Assumptions!$C$7,1,0),0),0)</f>
        <v/>
      </c>
      <c r="W934">
        <f>IF(AND(U934=1,M934&gt;=H934*(1-Assumptions!$C$8)),1,0)</f>
        <v/>
      </c>
      <c r="X934">
        <f>IF(AND(U934=1,N934&gt;=H934*(1-Assumptions!$C$8)),1,0)</f>
        <v/>
      </c>
      <c r="Y934">
        <f>IF(ISNUMBER(Q934),1,0)</f>
        <v/>
      </c>
      <c r="Z934">
        <f>IF(AND(K934=0,L934=0,Y934=0),1,0)</f>
        <v/>
      </c>
      <c r="AA934">
        <f>IF(AND(Z934=1,G934&lt;Assumptions!$C$6),1,0)</f>
        <v/>
      </c>
      <c r="AB934">
        <f>IF(U934=0,"",IF(Y934=1,MAX(0,Q934-G934),IF(L934=1,MAX(0,R934-G934),MAX(0,Assumptions!$C$6-G934))))</f>
        <v/>
      </c>
      <c r="AC934">
        <f>IF(Y934=1,Q934-F934,"")</f>
        <v/>
      </c>
      <c r="AD934">
        <f>IF(Y934=1,AC934^2,"")</f>
        <v/>
      </c>
      <c r="AE934" s="19">
        <f>IF(Z934=1,(H934-M934)*I934,0)</f>
        <v/>
      </c>
      <c r="AF934">
        <f>IF(G934&lt;EDATE(Assumptions!$C$6,-12)+1,"prior_12m","last_12m")</f>
        <v/>
      </c>
      <c r="AG934" s="21">
        <f>DATE(YEAR(G934),MONTH(G934),1)</f>
        <v/>
      </c>
    </row>
    <row r="935">
      <c r="A935" t="inlineStr">
        <is>
          <t>SPO-00515-2</t>
        </is>
      </c>
      <c r="B935" t="inlineStr">
        <is>
          <t>SPO-00515</t>
        </is>
      </c>
      <c r="C935" t="inlineStr">
        <is>
          <t>SUP-08</t>
        </is>
      </c>
      <c r="D935" t="inlineStr">
        <is>
          <t>PPE</t>
        </is>
      </c>
      <c r="E935" t="inlineStr">
        <is>
          <t>PPE-04</t>
        </is>
      </c>
      <c r="F935" s="17" t="n">
        <v>45700</v>
      </c>
      <c r="G935" s="17" t="n">
        <v>45711</v>
      </c>
      <c r="H935" s="18" t="n">
        <v>88</v>
      </c>
      <c r="I935" s="19" t="n">
        <v>25.28</v>
      </c>
      <c r="J935" s="19" t="n">
        <v>26</v>
      </c>
      <c r="K935" s="20" t="n">
        <v>0</v>
      </c>
      <c r="L935" s="20" t="n">
        <v>0</v>
      </c>
      <c r="M935" s="18" t="n">
        <v>88</v>
      </c>
      <c r="N935" s="18" t="n">
        <v>88</v>
      </c>
      <c r="O935" s="18" t="n">
        <v>0</v>
      </c>
      <c r="P935" s="17" t="n">
        <v>45705</v>
      </c>
      <c r="Q935" s="17" t="n">
        <v>45710</v>
      </c>
      <c r="R935" s="17" t="n">
        <v>45710</v>
      </c>
      <c r="S935" s="19">
        <f>H935*I935</f>
        <v/>
      </c>
      <c r="T935" s="19">
        <f>H935*J935</f>
        <v/>
      </c>
      <c r="U935">
        <f>IF(AND(K935=0,G935&lt;=Assumptions!$C$6),1,0)</f>
        <v/>
      </c>
      <c r="V935">
        <f>IF(U935=1,IF(M935&gt;0,IF(P935&lt;=G935+Assumptions!$C$7,1,0),0),0)</f>
        <v/>
      </c>
      <c r="W935">
        <f>IF(AND(U935=1,M935&gt;=H935*(1-Assumptions!$C$8)),1,0)</f>
        <v/>
      </c>
      <c r="X935">
        <f>IF(AND(U935=1,N935&gt;=H935*(1-Assumptions!$C$8)),1,0)</f>
        <v/>
      </c>
      <c r="Y935">
        <f>IF(ISNUMBER(Q935),1,0)</f>
        <v/>
      </c>
      <c r="Z935">
        <f>IF(AND(K935=0,L935=0,Y935=0),1,0)</f>
        <v/>
      </c>
      <c r="AA935">
        <f>IF(AND(Z935=1,G935&lt;Assumptions!$C$6),1,0)</f>
        <v/>
      </c>
      <c r="AB935">
        <f>IF(U935=0,"",IF(Y935=1,MAX(0,Q935-G935),IF(L935=1,MAX(0,R935-G935),MAX(0,Assumptions!$C$6-G935))))</f>
        <v/>
      </c>
      <c r="AC935">
        <f>IF(Y935=1,Q935-F935,"")</f>
        <v/>
      </c>
      <c r="AD935">
        <f>IF(Y935=1,AC935^2,"")</f>
        <v/>
      </c>
      <c r="AE935" s="19">
        <f>IF(Z935=1,(H935-M935)*I935,0)</f>
        <v/>
      </c>
      <c r="AF935">
        <f>IF(G935&lt;EDATE(Assumptions!$C$6,-12)+1,"prior_12m","last_12m")</f>
        <v/>
      </c>
      <c r="AG935" s="21">
        <f>DATE(YEAR(G935),MONTH(G935),1)</f>
        <v/>
      </c>
    </row>
    <row r="936">
      <c r="A936" t="inlineStr">
        <is>
          <t>SPO-00515-3</t>
        </is>
      </c>
      <c r="B936" t="inlineStr">
        <is>
          <t>SPO-00515</t>
        </is>
      </c>
      <c r="C936" t="inlineStr">
        <is>
          <t>SUP-08</t>
        </is>
      </c>
      <c r="D936" t="inlineStr">
        <is>
          <t>PPE</t>
        </is>
      </c>
      <c r="E936" t="inlineStr">
        <is>
          <t>PPE-08</t>
        </is>
      </c>
      <c r="F936" s="17" t="n">
        <v>45700</v>
      </c>
      <c r="G936" s="17" t="n">
        <v>45711</v>
      </c>
      <c r="H936" s="18" t="n">
        <v>13</v>
      </c>
      <c r="I936" s="19" t="n">
        <v>64.89</v>
      </c>
      <c r="J936" s="19" t="n">
        <v>64</v>
      </c>
      <c r="K936" s="20" t="n">
        <v>0</v>
      </c>
      <c r="L936" s="20" t="n">
        <v>0</v>
      </c>
      <c r="M936" s="18" t="n">
        <v>13</v>
      </c>
      <c r="N936" s="18" t="n">
        <v>13</v>
      </c>
      <c r="O936" s="18" t="n">
        <v>0</v>
      </c>
      <c r="P936" s="17" t="n">
        <v>45710</v>
      </c>
      <c r="Q936" s="17" t="n">
        <v>45710</v>
      </c>
      <c r="R936" s="17" t="n">
        <v>45710</v>
      </c>
      <c r="S936" s="19">
        <f>H936*I936</f>
        <v/>
      </c>
      <c r="T936" s="19">
        <f>H936*J936</f>
        <v/>
      </c>
      <c r="U936">
        <f>IF(AND(K936=0,G936&lt;=Assumptions!$C$6),1,0)</f>
        <v/>
      </c>
      <c r="V936">
        <f>IF(U936=1,IF(M936&gt;0,IF(P936&lt;=G936+Assumptions!$C$7,1,0),0),0)</f>
        <v/>
      </c>
      <c r="W936">
        <f>IF(AND(U936=1,M936&gt;=H936*(1-Assumptions!$C$8)),1,0)</f>
        <v/>
      </c>
      <c r="X936">
        <f>IF(AND(U936=1,N936&gt;=H936*(1-Assumptions!$C$8)),1,0)</f>
        <v/>
      </c>
      <c r="Y936">
        <f>IF(ISNUMBER(Q936),1,0)</f>
        <v/>
      </c>
      <c r="Z936">
        <f>IF(AND(K936=0,L936=0,Y936=0),1,0)</f>
        <v/>
      </c>
      <c r="AA936">
        <f>IF(AND(Z936=1,G936&lt;Assumptions!$C$6),1,0)</f>
        <v/>
      </c>
      <c r="AB936">
        <f>IF(U936=0,"",IF(Y936=1,MAX(0,Q936-G936),IF(L936=1,MAX(0,R936-G936),MAX(0,Assumptions!$C$6-G936))))</f>
        <v/>
      </c>
      <c r="AC936">
        <f>IF(Y936=1,Q936-F936,"")</f>
        <v/>
      </c>
      <c r="AD936">
        <f>IF(Y936=1,AC936^2,"")</f>
        <v/>
      </c>
      <c r="AE936" s="19">
        <f>IF(Z936=1,(H936-M936)*I936,0)</f>
        <v/>
      </c>
      <c r="AF936">
        <f>IF(G936&lt;EDATE(Assumptions!$C$6,-12)+1,"prior_12m","last_12m")</f>
        <v/>
      </c>
      <c r="AG936" s="21">
        <f>DATE(YEAR(G936),MONTH(G936),1)</f>
        <v/>
      </c>
    </row>
    <row r="937">
      <c r="A937" t="inlineStr">
        <is>
          <t>SPO-00516-1</t>
        </is>
      </c>
      <c r="B937" t="inlineStr">
        <is>
          <t>SPO-00516</t>
        </is>
      </c>
      <c r="C937" t="inlineStr">
        <is>
          <t>SUP-10</t>
        </is>
      </c>
      <c r="D937" t="inlineStr">
        <is>
          <t>PPE</t>
        </is>
      </c>
      <c r="E937" t="inlineStr">
        <is>
          <t>PPE-04</t>
        </is>
      </c>
      <c r="F937" s="17" t="n">
        <v>45701</v>
      </c>
      <c r="G937" s="17" t="n">
        <v>45714</v>
      </c>
      <c r="H937" s="18" t="n">
        <v>34</v>
      </c>
      <c r="I937" s="19" t="n">
        <v>25.7</v>
      </c>
      <c r="J937" s="19" t="n">
        <v>26</v>
      </c>
      <c r="K937" s="20" t="n">
        <v>0</v>
      </c>
      <c r="L937" s="20" t="n">
        <v>0</v>
      </c>
      <c r="M937" s="18" t="n">
        <v>34</v>
      </c>
      <c r="N937" s="18" t="n">
        <v>22</v>
      </c>
      <c r="O937" s="18" t="n">
        <v>3</v>
      </c>
      <c r="P937" s="17" t="n">
        <v>45713</v>
      </c>
      <c r="Q937" s="17" t="n">
        <v>45731</v>
      </c>
      <c r="R937" s="17" t="n">
        <v>45731</v>
      </c>
      <c r="S937" s="19">
        <f>H937*I937</f>
        <v/>
      </c>
      <c r="T937" s="19">
        <f>H937*J937</f>
        <v/>
      </c>
      <c r="U937">
        <f>IF(AND(K937=0,G937&lt;=Assumptions!$C$6),1,0)</f>
        <v/>
      </c>
      <c r="V937">
        <f>IF(U937=1,IF(M937&gt;0,IF(P937&lt;=G937+Assumptions!$C$7,1,0),0),0)</f>
        <v/>
      </c>
      <c r="W937">
        <f>IF(AND(U937=1,M937&gt;=H937*(1-Assumptions!$C$8)),1,0)</f>
        <v/>
      </c>
      <c r="X937">
        <f>IF(AND(U937=1,N937&gt;=H937*(1-Assumptions!$C$8)),1,0)</f>
        <v/>
      </c>
      <c r="Y937">
        <f>IF(ISNUMBER(Q937),1,0)</f>
        <v/>
      </c>
      <c r="Z937">
        <f>IF(AND(K937=0,L937=0,Y937=0),1,0)</f>
        <v/>
      </c>
      <c r="AA937">
        <f>IF(AND(Z937=1,G937&lt;Assumptions!$C$6),1,0)</f>
        <v/>
      </c>
      <c r="AB937">
        <f>IF(U937=0,"",IF(Y937=1,MAX(0,Q937-G937),IF(L937=1,MAX(0,R937-G937),MAX(0,Assumptions!$C$6-G937))))</f>
        <v/>
      </c>
      <c r="AC937">
        <f>IF(Y937=1,Q937-F937,"")</f>
        <v/>
      </c>
      <c r="AD937">
        <f>IF(Y937=1,AC937^2,"")</f>
        <v/>
      </c>
      <c r="AE937" s="19">
        <f>IF(Z937=1,(H937-M937)*I937,0)</f>
        <v/>
      </c>
      <c r="AF937">
        <f>IF(G937&lt;EDATE(Assumptions!$C$6,-12)+1,"prior_12m","last_12m")</f>
        <v/>
      </c>
      <c r="AG937" s="21">
        <f>DATE(YEAR(G937),MONTH(G937),1)</f>
        <v/>
      </c>
    </row>
    <row r="938">
      <c r="A938" t="inlineStr">
        <is>
          <t>SPO-00517-1</t>
        </is>
      </c>
      <c r="B938" t="inlineStr">
        <is>
          <t>SPO-00517</t>
        </is>
      </c>
      <c r="C938" t="inlineStr">
        <is>
          <t>SUP-06</t>
        </is>
      </c>
      <c r="D938" t="inlineStr">
        <is>
          <t>MRO</t>
        </is>
      </c>
      <c r="E938" t="inlineStr">
        <is>
          <t>MRO-07</t>
        </is>
      </c>
      <c r="F938" s="17" t="n">
        <v>45702</v>
      </c>
      <c r="G938" s="17" t="n">
        <v>45710</v>
      </c>
      <c r="H938" s="18" t="n">
        <v>98</v>
      </c>
      <c r="I938" s="19" t="n">
        <v>14.71</v>
      </c>
      <c r="J938" s="19" t="n">
        <v>14</v>
      </c>
      <c r="K938" s="20" t="n">
        <v>0</v>
      </c>
      <c r="L938" s="20" t="n">
        <v>0</v>
      </c>
      <c r="M938" s="18" t="n">
        <v>98</v>
      </c>
      <c r="N938" s="18" t="n">
        <v>98</v>
      </c>
      <c r="O938" s="18" t="n">
        <v>0</v>
      </c>
      <c r="P938" s="17" t="n">
        <v>45709</v>
      </c>
      <c r="Q938" s="17" t="n">
        <v>45709</v>
      </c>
      <c r="R938" s="17" t="n">
        <v>45709</v>
      </c>
      <c r="S938" s="19">
        <f>H938*I938</f>
        <v/>
      </c>
      <c r="T938" s="19">
        <f>H938*J938</f>
        <v/>
      </c>
      <c r="U938">
        <f>IF(AND(K938=0,G938&lt;=Assumptions!$C$6),1,0)</f>
        <v/>
      </c>
      <c r="V938">
        <f>IF(U938=1,IF(M938&gt;0,IF(P938&lt;=G938+Assumptions!$C$7,1,0),0),0)</f>
        <v/>
      </c>
      <c r="W938">
        <f>IF(AND(U938=1,M938&gt;=H938*(1-Assumptions!$C$8)),1,0)</f>
        <v/>
      </c>
      <c r="X938">
        <f>IF(AND(U938=1,N938&gt;=H938*(1-Assumptions!$C$8)),1,0)</f>
        <v/>
      </c>
      <c r="Y938">
        <f>IF(ISNUMBER(Q938),1,0)</f>
        <v/>
      </c>
      <c r="Z938">
        <f>IF(AND(K938=0,L938=0,Y938=0),1,0)</f>
        <v/>
      </c>
      <c r="AA938">
        <f>IF(AND(Z938=1,G938&lt;Assumptions!$C$6),1,0)</f>
        <v/>
      </c>
      <c r="AB938">
        <f>IF(U938=0,"",IF(Y938=1,MAX(0,Q938-G938),IF(L938=1,MAX(0,R938-G938),MAX(0,Assumptions!$C$6-G938))))</f>
        <v/>
      </c>
      <c r="AC938">
        <f>IF(Y938=1,Q938-F938,"")</f>
        <v/>
      </c>
      <c r="AD938">
        <f>IF(Y938=1,AC938^2,"")</f>
        <v/>
      </c>
      <c r="AE938" s="19">
        <f>IF(Z938=1,(H938-M938)*I938,0)</f>
        <v/>
      </c>
      <c r="AF938">
        <f>IF(G938&lt;EDATE(Assumptions!$C$6,-12)+1,"prior_12m","last_12m")</f>
        <v/>
      </c>
      <c r="AG938" s="21">
        <f>DATE(YEAR(G938),MONTH(G938),1)</f>
        <v/>
      </c>
    </row>
    <row r="939">
      <c r="A939" t="inlineStr">
        <is>
          <t>SPO-00518-1</t>
        </is>
      </c>
      <c r="B939" t="inlineStr">
        <is>
          <t>SPO-00518</t>
        </is>
      </c>
      <c r="C939" t="inlineStr">
        <is>
          <t>SUP-12</t>
        </is>
      </c>
      <c r="D939" t="inlineStr">
        <is>
          <t>IT</t>
        </is>
      </c>
      <c r="E939" t="inlineStr">
        <is>
          <t>IT-01</t>
        </is>
      </c>
      <c r="F939" s="17" t="n">
        <v>45702</v>
      </c>
      <c r="G939" s="17" t="n">
        <v>45712</v>
      </c>
      <c r="H939" s="18" t="n">
        <v>24</v>
      </c>
      <c r="I939" s="19" t="n">
        <v>213.89</v>
      </c>
      <c r="J939" s="19" t="n">
        <v>189</v>
      </c>
      <c r="K939" s="20" t="n">
        <v>0</v>
      </c>
      <c r="L939" s="20" t="n">
        <v>0</v>
      </c>
      <c r="M939" s="18" t="n">
        <v>24</v>
      </c>
      <c r="N939" s="18" t="n">
        <v>24</v>
      </c>
      <c r="O939" s="18" t="n">
        <v>0</v>
      </c>
      <c r="P939" s="17" t="n">
        <v>45705</v>
      </c>
      <c r="Q939" s="17" t="n">
        <v>45705</v>
      </c>
      <c r="R939" s="17" t="n">
        <v>45705</v>
      </c>
      <c r="S939" s="19">
        <f>H939*I939</f>
        <v/>
      </c>
      <c r="T939" s="19">
        <f>H939*J939</f>
        <v/>
      </c>
      <c r="U939">
        <f>IF(AND(K939=0,G939&lt;=Assumptions!$C$6),1,0)</f>
        <v/>
      </c>
      <c r="V939">
        <f>IF(U939=1,IF(M939&gt;0,IF(P939&lt;=G939+Assumptions!$C$7,1,0),0),0)</f>
        <v/>
      </c>
      <c r="W939">
        <f>IF(AND(U939=1,M939&gt;=H939*(1-Assumptions!$C$8)),1,0)</f>
        <v/>
      </c>
      <c r="X939">
        <f>IF(AND(U939=1,N939&gt;=H939*(1-Assumptions!$C$8)),1,0)</f>
        <v/>
      </c>
      <c r="Y939">
        <f>IF(ISNUMBER(Q939),1,0)</f>
        <v/>
      </c>
      <c r="Z939">
        <f>IF(AND(K939=0,L939=0,Y939=0),1,0)</f>
        <v/>
      </c>
      <c r="AA939">
        <f>IF(AND(Z939=1,G939&lt;Assumptions!$C$6),1,0)</f>
        <v/>
      </c>
      <c r="AB939">
        <f>IF(U939=0,"",IF(Y939=1,MAX(0,Q939-G939),IF(L939=1,MAX(0,R939-G939),MAX(0,Assumptions!$C$6-G939))))</f>
        <v/>
      </c>
      <c r="AC939">
        <f>IF(Y939=1,Q939-F939,"")</f>
        <v/>
      </c>
      <c r="AD939">
        <f>IF(Y939=1,AC939^2,"")</f>
        <v/>
      </c>
      <c r="AE939" s="19">
        <f>IF(Z939=1,(H939-M939)*I939,0)</f>
        <v/>
      </c>
      <c r="AF939">
        <f>IF(G939&lt;EDATE(Assumptions!$C$6,-12)+1,"prior_12m","last_12m")</f>
        <v/>
      </c>
      <c r="AG939" s="21">
        <f>DATE(YEAR(G939),MONTH(G939),1)</f>
        <v/>
      </c>
    </row>
    <row r="940">
      <c r="A940" t="inlineStr">
        <is>
          <t>SPO-00518-2</t>
        </is>
      </c>
      <c r="B940" t="inlineStr">
        <is>
          <t>SPO-00518</t>
        </is>
      </c>
      <c r="C940" t="inlineStr">
        <is>
          <t>SUP-12</t>
        </is>
      </c>
      <c r="D940" t="inlineStr">
        <is>
          <t>IT</t>
        </is>
      </c>
      <c r="E940" t="inlineStr">
        <is>
          <t>IT-07</t>
        </is>
      </c>
      <c r="F940" s="17" t="n">
        <v>45702</v>
      </c>
      <c r="G940" s="17" t="n">
        <v>45712</v>
      </c>
      <c r="H940" s="18" t="n">
        <v>22</v>
      </c>
      <c r="I940" s="19" t="n">
        <v>84.08</v>
      </c>
      <c r="J940" s="19" t="n">
        <v>74</v>
      </c>
      <c r="K940" s="20" t="n">
        <v>0</v>
      </c>
      <c r="L940" s="20" t="n">
        <v>0</v>
      </c>
      <c r="M940" s="18" t="n">
        <v>22</v>
      </c>
      <c r="N940" s="18" t="n">
        <v>0</v>
      </c>
      <c r="O940" s="18" t="n">
        <v>0</v>
      </c>
      <c r="P940" s="17" t="n">
        <v>45713</v>
      </c>
      <c r="Q940" s="17" t="n">
        <v>45713</v>
      </c>
      <c r="R940" s="17" t="n">
        <v>45713</v>
      </c>
      <c r="S940" s="19">
        <f>H940*I940</f>
        <v/>
      </c>
      <c r="T940" s="19">
        <f>H940*J940</f>
        <v/>
      </c>
      <c r="U940">
        <f>IF(AND(K940=0,G940&lt;=Assumptions!$C$6),1,0)</f>
        <v/>
      </c>
      <c r="V940">
        <f>IF(U940=1,IF(M940&gt;0,IF(P940&lt;=G940+Assumptions!$C$7,1,0),0),0)</f>
        <v/>
      </c>
      <c r="W940">
        <f>IF(AND(U940=1,M940&gt;=H940*(1-Assumptions!$C$8)),1,0)</f>
        <v/>
      </c>
      <c r="X940">
        <f>IF(AND(U940=1,N940&gt;=H940*(1-Assumptions!$C$8)),1,0)</f>
        <v/>
      </c>
      <c r="Y940">
        <f>IF(ISNUMBER(Q940),1,0)</f>
        <v/>
      </c>
      <c r="Z940">
        <f>IF(AND(K940=0,L940=0,Y940=0),1,0)</f>
        <v/>
      </c>
      <c r="AA940">
        <f>IF(AND(Z940=1,G940&lt;Assumptions!$C$6),1,0)</f>
        <v/>
      </c>
      <c r="AB940">
        <f>IF(U940=0,"",IF(Y940=1,MAX(0,Q940-G940),IF(L940=1,MAX(0,R940-G940),MAX(0,Assumptions!$C$6-G940))))</f>
        <v/>
      </c>
      <c r="AC940">
        <f>IF(Y940=1,Q940-F940,"")</f>
        <v/>
      </c>
      <c r="AD940">
        <f>IF(Y940=1,AC940^2,"")</f>
        <v/>
      </c>
      <c r="AE940" s="19">
        <f>IF(Z940=1,(H940-M940)*I940,0)</f>
        <v/>
      </c>
      <c r="AF940">
        <f>IF(G940&lt;EDATE(Assumptions!$C$6,-12)+1,"prior_12m","last_12m")</f>
        <v/>
      </c>
      <c r="AG940" s="21">
        <f>DATE(YEAR(G940),MONTH(G940),1)</f>
        <v/>
      </c>
    </row>
    <row r="941">
      <c r="A941" t="inlineStr">
        <is>
          <t>SPO-00518-3</t>
        </is>
      </c>
      <c r="B941" t="inlineStr">
        <is>
          <t>SPO-00518</t>
        </is>
      </c>
      <c r="C941" t="inlineStr">
        <is>
          <t>SUP-12</t>
        </is>
      </c>
      <c r="D941" t="inlineStr">
        <is>
          <t>IT</t>
        </is>
      </c>
      <c r="E941" t="inlineStr">
        <is>
          <t>IT-04</t>
        </is>
      </c>
      <c r="F941" s="17" t="n">
        <v>45702</v>
      </c>
      <c r="G941" s="17" t="n">
        <v>45712</v>
      </c>
      <c r="H941" s="18" t="n">
        <v>93</v>
      </c>
      <c r="I941" s="19" t="n">
        <v>13.17</v>
      </c>
      <c r="J941" s="19" t="n">
        <v>12</v>
      </c>
      <c r="K941" s="20" t="n">
        <v>0</v>
      </c>
      <c r="L941" s="20" t="n">
        <v>0</v>
      </c>
      <c r="M941" s="18" t="n">
        <v>93</v>
      </c>
      <c r="N941" s="18" t="n">
        <v>93</v>
      </c>
      <c r="O941" s="18" t="n">
        <v>0</v>
      </c>
      <c r="P941" s="17" t="n">
        <v>45710</v>
      </c>
      <c r="Q941" s="17" t="n">
        <v>45710</v>
      </c>
      <c r="R941" s="17" t="n">
        <v>45710</v>
      </c>
      <c r="S941" s="19">
        <f>H941*I941</f>
        <v/>
      </c>
      <c r="T941" s="19">
        <f>H941*J941</f>
        <v/>
      </c>
      <c r="U941">
        <f>IF(AND(K941=0,G941&lt;=Assumptions!$C$6),1,0)</f>
        <v/>
      </c>
      <c r="V941">
        <f>IF(U941=1,IF(M941&gt;0,IF(P941&lt;=G941+Assumptions!$C$7,1,0),0),0)</f>
        <v/>
      </c>
      <c r="W941">
        <f>IF(AND(U941=1,M941&gt;=H941*(1-Assumptions!$C$8)),1,0)</f>
        <v/>
      </c>
      <c r="X941">
        <f>IF(AND(U941=1,N941&gt;=H941*(1-Assumptions!$C$8)),1,0)</f>
        <v/>
      </c>
      <c r="Y941">
        <f>IF(ISNUMBER(Q941),1,0)</f>
        <v/>
      </c>
      <c r="Z941">
        <f>IF(AND(K941=0,L941=0,Y941=0),1,0)</f>
        <v/>
      </c>
      <c r="AA941">
        <f>IF(AND(Z941=1,G941&lt;Assumptions!$C$6),1,0)</f>
        <v/>
      </c>
      <c r="AB941">
        <f>IF(U941=0,"",IF(Y941=1,MAX(0,Q941-G941),IF(L941=1,MAX(0,R941-G941),MAX(0,Assumptions!$C$6-G941))))</f>
        <v/>
      </c>
      <c r="AC941">
        <f>IF(Y941=1,Q941-F941,"")</f>
        <v/>
      </c>
      <c r="AD941">
        <f>IF(Y941=1,AC941^2,"")</f>
        <v/>
      </c>
      <c r="AE941" s="19">
        <f>IF(Z941=1,(H941-M941)*I941,0)</f>
        <v/>
      </c>
      <c r="AF941">
        <f>IF(G941&lt;EDATE(Assumptions!$C$6,-12)+1,"prior_12m","last_12m")</f>
        <v/>
      </c>
      <c r="AG941" s="21">
        <f>DATE(YEAR(G941),MONTH(G941),1)</f>
        <v/>
      </c>
    </row>
    <row r="942">
      <c r="A942" t="inlineStr">
        <is>
          <t>SPO-00519-1</t>
        </is>
      </c>
      <c r="B942" t="inlineStr">
        <is>
          <t>SPO-00519</t>
        </is>
      </c>
      <c r="C942" t="inlineStr">
        <is>
          <t>SUP-07</t>
        </is>
      </c>
      <c r="D942" t="inlineStr">
        <is>
          <t>MRO</t>
        </is>
      </c>
      <c r="E942" t="inlineStr">
        <is>
          <t>MRO-05</t>
        </is>
      </c>
      <c r="F942" s="17" t="n">
        <v>45702</v>
      </c>
      <c r="G942" s="17" t="n">
        <v>45712</v>
      </c>
      <c r="H942" s="18" t="n">
        <v>112</v>
      </c>
      <c r="I942" s="19" t="n">
        <v>36.54</v>
      </c>
      <c r="J942" s="19" t="n">
        <v>36</v>
      </c>
      <c r="K942" s="20" t="n">
        <v>0</v>
      </c>
      <c r="L942" s="20" t="n">
        <v>0</v>
      </c>
      <c r="M942" s="18" t="n">
        <v>112</v>
      </c>
      <c r="N942" s="18" t="n">
        <v>112</v>
      </c>
      <c r="O942" s="18" t="n">
        <v>0</v>
      </c>
      <c r="P942" s="17" t="n">
        <v>45709</v>
      </c>
      <c r="Q942" s="17" t="n">
        <v>45709</v>
      </c>
      <c r="R942" s="17" t="n">
        <v>45709</v>
      </c>
      <c r="S942" s="19">
        <f>H942*I942</f>
        <v/>
      </c>
      <c r="T942" s="19">
        <f>H942*J942</f>
        <v/>
      </c>
      <c r="U942">
        <f>IF(AND(K942=0,G942&lt;=Assumptions!$C$6),1,0)</f>
        <v/>
      </c>
      <c r="V942">
        <f>IF(U942=1,IF(M942&gt;0,IF(P942&lt;=G942+Assumptions!$C$7,1,0),0),0)</f>
        <v/>
      </c>
      <c r="W942">
        <f>IF(AND(U942=1,M942&gt;=H942*(1-Assumptions!$C$8)),1,0)</f>
        <v/>
      </c>
      <c r="X942">
        <f>IF(AND(U942=1,N942&gt;=H942*(1-Assumptions!$C$8)),1,0)</f>
        <v/>
      </c>
      <c r="Y942">
        <f>IF(ISNUMBER(Q942),1,0)</f>
        <v/>
      </c>
      <c r="Z942">
        <f>IF(AND(K942=0,L942=0,Y942=0),1,0)</f>
        <v/>
      </c>
      <c r="AA942">
        <f>IF(AND(Z942=1,G942&lt;Assumptions!$C$6),1,0)</f>
        <v/>
      </c>
      <c r="AB942">
        <f>IF(U942=0,"",IF(Y942=1,MAX(0,Q942-G942),IF(L942=1,MAX(0,R942-G942),MAX(0,Assumptions!$C$6-G942))))</f>
        <v/>
      </c>
      <c r="AC942">
        <f>IF(Y942=1,Q942-F942,"")</f>
        <v/>
      </c>
      <c r="AD942">
        <f>IF(Y942=1,AC942^2,"")</f>
        <v/>
      </c>
      <c r="AE942" s="19">
        <f>IF(Z942=1,(H942-M942)*I942,0)</f>
        <v/>
      </c>
      <c r="AF942">
        <f>IF(G942&lt;EDATE(Assumptions!$C$6,-12)+1,"prior_12m","last_12m")</f>
        <v/>
      </c>
      <c r="AG942" s="21">
        <f>DATE(YEAR(G942),MONTH(G942),1)</f>
        <v/>
      </c>
    </row>
    <row r="943">
      <c r="A943" t="inlineStr">
        <is>
          <t>SPO-00520-1</t>
        </is>
      </c>
      <c r="B943" t="inlineStr">
        <is>
          <t>SPO-00520</t>
        </is>
      </c>
      <c r="C943" t="inlineStr">
        <is>
          <t>SUP-02</t>
        </is>
      </c>
      <c r="D943" t="inlineStr">
        <is>
          <t>ELEC</t>
        </is>
      </c>
      <c r="E943" t="inlineStr">
        <is>
          <t>ELEC-02</t>
        </is>
      </c>
      <c r="F943" s="17" t="n">
        <v>45702</v>
      </c>
      <c r="G943" s="17" t="n">
        <v>45718</v>
      </c>
      <c r="H943" s="18" t="n">
        <v>839</v>
      </c>
      <c r="I943" s="19" t="n">
        <v>4.37</v>
      </c>
      <c r="J943" s="19" t="n">
        <v>4.2</v>
      </c>
      <c r="K943" s="20" t="n">
        <v>0</v>
      </c>
      <c r="L943" s="20" t="n">
        <v>0</v>
      </c>
      <c r="M943" s="18" t="n">
        <v>839</v>
      </c>
      <c r="N943" s="18" t="n">
        <v>839</v>
      </c>
      <c r="O943" s="18" t="n">
        <v>0</v>
      </c>
      <c r="P943" s="17" t="n">
        <v>45717</v>
      </c>
      <c r="Q943" s="17" t="n">
        <v>45717</v>
      </c>
      <c r="R943" s="17" t="n">
        <v>45717</v>
      </c>
      <c r="S943" s="19">
        <f>H943*I943</f>
        <v/>
      </c>
      <c r="T943" s="19">
        <f>H943*J943</f>
        <v/>
      </c>
      <c r="U943">
        <f>IF(AND(K943=0,G943&lt;=Assumptions!$C$6),1,0)</f>
        <v/>
      </c>
      <c r="V943">
        <f>IF(U943=1,IF(M943&gt;0,IF(P943&lt;=G943+Assumptions!$C$7,1,0),0),0)</f>
        <v/>
      </c>
      <c r="W943">
        <f>IF(AND(U943=1,M943&gt;=H943*(1-Assumptions!$C$8)),1,0)</f>
        <v/>
      </c>
      <c r="X943">
        <f>IF(AND(U943=1,N943&gt;=H943*(1-Assumptions!$C$8)),1,0)</f>
        <v/>
      </c>
      <c r="Y943">
        <f>IF(ISNUMBER(Q943),1,0)</f>
        <v/>
      </c>
      <c r="Z943">
        <f>IF(AND(K943=0,L943=0,Y943=0),1,0)</f>
        <v/>
      </c>
      <c r="AA943">
        <f>IF(AND(Z943=1,G943&lt;Assumptions!$C$6),1,0)</f>
        <v/>
      </c>
      <c r="AB943">
        <f>IF(U943=0,"",IF(Y943=1,MAX(0,Q943-G943),IF(L943=1,MAX(0,R943-G943),MAX(0,Assumptions!$C$6-G943))))</f>
        <v/>
      </c>
      <c r="AC943">
        <f>IF(Y943=1,Q943-F943,"")</f>
        <v/>
      </c>
      <c r="AD943">
        <f>IF(Y943=1,AC943^2,"")</f>
        <v/>
      </c>
      <c r="AE943" s="19">
        <f>IF(Z943=1,(H943-M943)*I943,0)</f>
        <v/>
      </c>
      <c r="AF943">
        <f>IF(G943&lt;EDATE(Assumptions!$C$6,-12)+1,"prior_12m","last_12m")</f>
        <v/>
      </c>
      <c r="AG943" s="21">
        <f>DATE(YEAR(G943),MONTH(G943),1)</f>
        <v/>
      </c>
    </row>
    <row r="944">
      <c r="A944" t="inlineStr">
        <is>
          <t>SPO-00521-1</t>
        </is>
      </c>
      <c r="B944" t="inlineStr">
        <is>
          <t>SPO-00521</t>
        </is>
      </c>
      <c r="C944" t="inlineStr">
        <is>
          <t>SUP-10</t>
        </is>
      </c>
      <c r="D944" t="inlineStr">
        <is>
          <t>PPE</t>
        </is>
      </c>
      <c r="E944" t="inlineStr">
        <is>
          <t>PPE-03</t>
        </is>
      </c>
      <c r="F944" s="17" t="n">
        <v>45703</v>
      </c>
      <c r="G944" s="17" t="n">
        <v>45716</v>
      </c>
      <c r="H944" s="18" t="n">
        <v>203</v>
      </c>
      <c r="I944" s="19" t="n">
        <v>20.42</v>
      </c>
      <c r="J944" s="19" t="n">
        <v>21</v>
      </c>
      <c r="K944" s="20" t="n">
        <v>0</v>
      </c>
      <c r="L944" s="20" t="n">
        <v>0</v>
      </c>
      <c r="M944" s="18" t="n">
        <v>203</v>
      </c>
      <c r="N944" s="18" t="n">
        <v>203</v>
      </c>
      <c r="O944" s="18" t="n">
        <v>0</v>
      </c>
      <c r="P944" s="17" t="n">
        <v>45716</v>
      </c>
      <c r="Q944" s="17" t="n">
        <v>45716</v>
      </c>
      <c r="R944" s="17" t="n">
        <v>45716</v>
      </c>
      <c r="S944" s="19">
        <f>H944*I944</f>
        <v/>
      </c>
      <c r="T944" s="19">
        <f>H944*J944</f>
        <v/>
      </c>
      <c r="U944">
        <f>IF(AND(K944=0,G944&lt;=Assumptions!$C$6),1,0)</f>
        <v/>
      </c>
      <c r="V944">
        <f>IF(U944=1,IF(M944&gt;0,IF(P944&lt;=G944+Assumptions!$C$7,1,0),0),0)</f>
        <v/>
      </c>
      <c r="W944">
        <f>IF(AND(U944=1,M944&gt;=H944*(1-Assumptions!$C$8)),1,0)</f>
        <v/>
      </c>
      <c r="X944">
        <f>IF(AND(U944=1,N944&gt;=H944*(1-Assumptions!$C$8)),1,0)</f>
        <v/>
      </c>
      <c r="Y944">
        <f>IF(ISNUMBER(Q944),1,0)</f>
        <v/>
      </c>
      <c r="Z944">
        <f>IF(AND(K944=0,L944=0,Y944=0),1,0)</f>
        <v/>
      </c>
      <c r="AA944">
        <f>IF(AND(Z944=1,G944&lt;Assumptions!$C$6),1,0)</f>
        <v/>
      </c>
      <c r="AB944">
        <f>IF(U944=0,"",IF(Y944=1,MAX(0,Q944-G944),IF(L944=1,MAX(0,R944-G944),MAX(0,Assumptions!$C$6-G944))))</f>
        <v/>
      </c>
      <c r="AC944">
        <f>IF(Y944=1,Q944-F944,"")</f>
        <v/>
      </c>
      <c r="AD944">
        <f>IF(Y944=1,AC944^2,"")</f>
        <v/>
      </c>
      <c r="AE944" s="19">
        <f>IF(Z944=1,(H944-M944)*I944,0)</f>
        <v/>
      </c>
      <c r="AF944">
        <f>IF(G944&lt;EDATE(Assumptions!$C$6,-12)+1,"prior_12m","last_12m")</f>
        <v/>
      </c>
      <c r="AG944" s="21">
        <f>DATE(YEAR(G944),MONTH(G944),1)</f>
        <v/>
      </c>
    </row>
    <row r="945">
      <c r="A945" t="inlineStr">
        <is>
          <t>SPO-00521-2</t>
        </is>
      </c>
      <c r="B945" t="inlineStr">
        <is>
          <t>SPO-00521</t>
        </is>
      </c>
      <c r="C945" t="inlineStr">
        <is>
          <t>SUP-10</t>
        </is>
      </c>
      <c r="D945" t="inlineStr">
        <is>
          <t>PPE</t>
        </is>
      </c>
      <c r="E945" t="inlineStr">
        <is>
          <t>PPE-07</t>
        </is>
      </c>
      <c r="F945" s="17" t="n">
        <v>45703</v>
      </c>
      <c r="G945" s="17" t="n">
        <v>45716</v>
      </c>
      <c r="H945" s="18" t="n">
        <v>47</v>
      </c>
      <c r="I945" s="19" t="n">
        <v>31.19</v>
      </c>
      <c r="J945" s="19" t="n">
        <v>31</v>
      </c>
      <c r="K945" s="20" t="n">
        <v>0</v>
      </c>
      <c r="L945" s="20" t="n">
        <v>0</v>
      </c>
      <c r="M945" s="18" t="n">
        <v>47</v>
      </c>
      <c r="N945" s="18" t="n">
        <v>47</v>
      </c>
      <c r="O945" s="18" t="n">
        <v>0</v>
      </c>
      <c r="P945" s="17" t="n">
        <v>45713</v>
      </c>
      <c r="Q945" s="17" t="n">
        <v>45713</v>
      </c>
      <c r="R945" s="17" t="n">
        <v>45713</v>
      </c>
      <c r="S945" s="19">
        <f>H945*I945</f>
        <v/>
      </c>
      <c r="T945" s="19">
        <f>H945*J945</f>
        <v/>
      </c>
      <c r="U945">
        <f>IF(AND(K945=0,G945&lt;=Assumptions!$C$6),1,0)</f>
        <v/>
      </c>
      <c r="V945">
        <f>IF(U945=1,IF(M945&gt;0,IF(P945&lt;=G945+Assumptions!$C$7,1,0),0),0)</f>
        <v/>
      </c>
      <c r="W945">
        <f>IF(AND(U945=1,M945&gt;=H945*(1-Assumptions!$C$8)),1,0)</f>
        <v/>
      </c>
      <c r="X945">
        <f>IF(AND(U945=1,N945&gt;=H945*(1-Assumptions!$C$8)),1,0)</f>
        <v/>
      </c>
      <c r="Y945">
        <f>IF(ISNUMBER(Q945),1,0)</f>
        <v/>
      </c>
      <c r="Z945">
        <f>IF(AND(K945=0,L945=0,Y945=0),1,0)</f>
        <v/>
      </c>
      <c r="AA945">
        <f>IF(AND(Z945=1,G945&lt;Assumptions!$C$6),1,0)</f>
        <v/>
      </c>
      <c r="AB945">
        <f>IF(U945=0,"",IF(Y945=1,MAX(0,Q945-G945),IF(L945=1,MAX(0,R945-G945),MAX(0,Assumptions!$C$6-G945))))</f>
        <v/>
      </c>
      <c r="AC945">
        <f>IF(Y945=1,Q945-F945,"")</f>
        <v/>
      </c>
      <c r="AD945">
        <f>IF(Y945=1,AC945^2,"")</f>
        <v/>
      </c>
      <c r="AE945" s="19">
        <f>IF(Z945=1,(H945-M945)*I945,0)</f>
        <v/>
      </c>
      <c r="AF945">
        <f>IF(G945&lt;EDATE(Assumptions!$C$6,-12)+1,"prior_12m","last_12m")</f>
        <v/>
      </c>
      <c r="AG945" s="21">
        <f>DATE(YEAR(G945),MONTH(G945),1)</f>
        <v/>
      </c>
    </row>
    <row r="946">
      <c r="A946" t="inlineStr">
        <is>
          <t>SPO-00522-1</t>
        </is>
      </c>
      <c r="B946" t="inlineStr">
        <is>
          <t>SPO-00522</t>
        </is>
      </c>
      <c r="C946" t="inlineStr">
        <is>
          <t>SUP-05</t>
        </is>
      </c>
      <c r="D946" t="inlineStr">
        <is>
          <t>FLEET</t>
        </is>
      </c>
      <c r="E946" t="inlineStr">
        <is>
          <t>FLEET-03</t>
        </is>
      </c>
      <c r="F946" s="17" t="n">
        <v>45703</v>
      </c>
      <c r="G946" s="17" t="n">
        <v>45717</v>
      </c>
      <c r="H946" s="18" t="n">
        <v>93</v>
      </c>
      <c r="I946" s="19" t="n">
        <v>22.36</v>
      </c>
      <c r="J946" s="19" t="n">
        <v>21</v>
      </c>
      <c r="K946" s="20" t="n">
        <v>0</v>
      </c>
      <c r="L946" s="20" t="n">
        <v>0</v>
      </c>
      <c r="M946" s="18" t="n">
        <v>93</v>
      </c>
      <c r="N946" s="18" t="n">
        <v>93</v>
      </c>
      <c r="O946" s="18" t="n">
        <v>0</v>
      </c>
      <c r="P946" s="17" t="n">
        <v>45716</v>
      </c>
      <c r="Q946" s="17" t="n">
        <v>45716</v>
      </c>
      <c r="R946" s="17" t="n">
        <v>45716</v>
      </c>
      <c r="S946" s="19">
        <f>H946*I946</f>
        <v/>
      </c>
      <c r="T946" s="19">
        <f>H946*J946</f>
        <v/>
      </c>
      <c r="U946">
        <f>IF(AND(K946=0,G946&lt;=Assumptions!$C$6),1,0)</f>
        <v/>
      </c>
      <c r="V946">
        <f>IF(U946=1,IF(M946&gt;0,IF(P946&lt;=G946+Assumptions!$C$7,1,0),0),0)</f>
        <v/>
      </c>
      <c r="W946">
        <f>IF(AND(U946=1,M946&gt;=H946*(1-Assumptions!$C$8)),1,0)</f>
        <v/>
      </c>
      <c r="X946">
        <f>IF(AND(U946=1,N946&gt;=H946*(1-Assumptions!$C$8)),1,0)</f>
        <v/>
      </c>
      <c r="Y946">
        <f>IF(ISNUMBER(Q946),1,0)</f>
        <v/>
      </c>
      <c r="Z946">
        <f>IF(AND(K946=0,L946=0,Y946=0),1,0)</f>
        <v/>
      </c>
      <c r="AA946">
        <f>IF(AND(Z946=1,G946&lt;Assumptions!$C$6),1,0)</f>
        <v/>
      </c>
      <c r="AB946">
        <f>IF(U946=0,"",IF(Y946=1,MAX(0,Q946-G946),IF(L946=1,MAX(0,R946-G946),MAX(0,Assumptions!$C$6-G946))))</f>
        <v/>
      </c>
      <c r="AC946">
        <f>IF(Y946=1,Q946-F946,"")</f>
        <v/>
      </c>
      <c r="AD946">
        <f>IF(Y946=1,AC946^2,"")</f>
        <v/>
      </c>
      <c r="AE946" s="19">
        <f>IF(Z946=1,(H946-M946)*I946,0)</f>
        <v/>
      </c>
      <c r="AF946">
        <f>IF(G946&lt;EDATE(Assumptions!$C$6,-12)+1,"prior_12m","last_12m")</f>
        <v/>
      </c>
      <c r="AG946" s="21">
        <f>DATE(YEAR(G946),MONTH(G946),1)</f>
        <v/>
      </c>
    </row>
    <row r="947">
      <c r="A947" t="inlineStr">
        <is>
          <t>SPO-00523-1</t>
        </is>
      </c>
      <c r="B947" t="inlineStr">
        <is>
          <t>SPO-00523</t>
        </is>
      </c>
      <c r="C947" t="inlineStr">
        <is>
          <t>SUP-06</t>
        </is>
      </c>
      <c r="D947" t="inlineStr">
        <is>
          <t>MRO</t>
        </is>
      </c>
      <c r="E947" t="inlineStr">
        <is>
          <t>MRO-05</t>
        </is>
      </c>
      <c r="F947" s="17" t="n">
        <v>45703</v>
      </c>
      <c r="G947" s="17" t="n">
        <v>45711</v>
      </c>
      <c r="H947" s="18" t="n">
        <v>38</v>
      </c>
      <c r="I947" s="19" t="n">
        <v>37.31</v>
      </c>
      <c r="J947" s="19" t="n">
        <v>36</v>
      </c>
      <c r="K947" s="20" t="n">
        <v>0</v>
      </c>
      <c r="L947" s="20" t="n">
        <v>0</v>
      </c>
      <c r="M947" s="18" t="n">
        <v>38</v>
      </c>
      <c r="N947" s="18" t="n">
        <v>38</v>
      </c>
      <c r="O947" s="18" t="n">
        <v>0</v>
      </c>
      <c r="P947" s="17" t="n">
        <v>45709</v>
      </c>
      <c r="Q947" s="17" t="n">
        <v>45709</v>
      </c>
      <c r="R947" s="17" t="n">
        <v>45709</v>
      </c>
      <c r="S947" s="19">
        <f>H947*I947</f>
        <v/>
      </c>
      <c r="T947" s="19">
        <f>H947*J947</f>
        <v/>
      </c>
      <c r="U947">
        <f>IF(AND(K947=0,G947&lt;=Assumptions!$C$6),1,0)</f>
        <v/>
      </c>
      <c r="V947">
        <f>IF(U947=1,IF(M947&gt;0,IF(P947&lt;=G947+Assumptions!$C$7,1,0),0),0)</f>
        <v/>
      </c>
      <c r="W947">
        <f>IF(AND(U947=1,M947&gt;=H947*(1-Assumptions!$C$8)),1,0)</f>
        <v/>
      </c>
      <c r="X947">
        <f>IF(AND(U947=1,N947&gt;=H947*(1-Assumptions!$C$8)),1,0)</f>
        <v/>
      </c>
      <c r="Y947">
        <f>IF(ISNUMBER(Q947),1,0)</f>
        <v/>
      </c>
      <c r="Z947">
        <f>IF(AND(K947=0,L947=0,Y947=0),1,0)</f>
        <v/>
      </c>
      <c r="AA947">
        <f>IF(AND(Z947=1,G947&lt;Assumptions!$C$6),1,0)</f>
        <v/>
      </c>
      <c r="AB947">
        <f>IF(U947=0,"",IF(Y947=1,MAX(0,Q947-G947),IF(L947=1,MAX(0,R947-G947),MAX(0,Assumptions!$C$6-G947))))</f>
        <v/>
      </c>
      <c r="AC947">
        <f>IF(Y947=1,Q947-F947,"")</f>
        <v/>
      </c>
      <c r="AD947">
        <f>IF(Y947=1,AC947^2,"")</f>
        <v/>
      </c>
      <c r="AE947" s="19">
        <f>IF(Z947=1,(H947-M947)*I947,0)</f>
        <v/>
      </c>
      <c r="AF947">
        <f>IF(G947&lt;EDATE(Assumptions!$C$6,-12)+1,"prior_12m","last_12m")</f>
        <v/>
      </c>
      <c r="AG947" s="21">
        <f>DATE(YEAR(G947),MONTH(G947),1)</f>
        <v/>
      </c>
    </row>
    <row r="948">
      <c r="A948" t="inlineStr">
        <is>
          <t>SPO-00524-1</t>
        </is>
      </c>
      <c r="B948" t="inlineStr">
        <is>
          <t>SPO-00524</t>
        </is>
      </c>
      <c r="C948" t="inlineStr">
        <is>
          <t>SUP-06</t>
        </is>
      </c>
      <c r="D948" t="inlineStr">
        <is>
          <t>MRO</t>
        </is>
      </c>
      <c r="E948" t="inlineStr">
        <is>
          <t>MRO-03</t>
        </is>
      </c>
      <c r="F948" s="17" t="n">
        <v>45704</v>
      </c>
      <c r="G948" s="17" t="n">
        <v>45712</v>
      </c>
      <c r="H948" s="18" t="n">
        <v>104</v>
      </c>
      <c r="I948" s="19" t="n">
        <v>8.859999999999999</v>
      </c>
      <c r="J948" s="19" t="n">
        <v>8.9</v>
      </c>
      <c r="K948" s="20" t="n">
        <v>0</v>
      </c>
      <c r="L948" s="20" t="n">
        <v>0</v>
      </c>
      <c r="M948" s="18" t="n">
        <v>104</v>
      </c>
      <c r="N948" s="18" t="n">
        <v>104</v>
      </c>
      <c r="O948" s="18" t="n">
        <v>0</v>
      </c>
      <c r="P948" s="17" t="n">
        <v>45709</v>
      </c>
      <c r="Q948" s="17" t="n">
        <v>45709</v>
      </c>
      <c r="R948" s="17" t="n">
        <v>45709</v>
      </c>
      <c r="S948" s="19">
        <f>H948*I948</f>
        <v/>
      </c>
      <c r="T948" s="19">
        <f>H948*J948</f>
        <v/>
      </c>
      <c r="U948">
        <f>IF(AND(K948=0,G948&lt;=Assumptions!$C$6),1,0)</f>
        <v/>
      </c>
      <c r="V948">
        <f>IF(U948=1,IF(M948&gt;0,IF(P948&lt;=G948+Assumptions!$C$7,1,0),0),0)</f>
        <v/>
      </c>
      <c r="W948">
        <f>IF(AND(U948=1,M948&gt;=H948*(1-Assumptions!$C$8)),1,0)</f>
        <v/>
      </c>
      <c r="X948">
        <f>IF(AND(U948=1,N948&gt;=H948*(1-Assumptions!$C$8)),1,0)</f>
        <v/>
      </c>
      <c r="Y948">
        <f>IF(ISNUMBER(Q948),1,0)</f>
        <v/>
      </c>
      <c r="Z948">
        <f>IF(AND(K948=0,L948=0,Y948=0),1,0)</f>
        <v/>
      </c>
      <c r="AA948">
        <f>IF(AND(Z948=1,G948&lt;Assumptions!$C$6),1,0)</f>
        <v/>
      </c>
      <c r="AB948">
        <f>IF(U948=0,"",IF(Y948=1,MAX(0,Q948-G948),IF(L948=1,MAX(0,R948-G948),MAX(0,Assumptions!$C$6-G948))))</f>
        <v/>
      </c>
      <c r="AC948">
        <f>IF(Y948=1,Q948-F948,"")</f>
        <v/>
      </c>
      <c r="AD948">
        <f>IF(Y948=1,AC948^2,"")</f>
        <v/>
      </c>
      <c r="AE948" s="19">
        <f>IF(Z948=1,(H948-M948)*I948,0)</f>
        <v/>
      </c>
      <c r="AF948">
        <f>IF(G948&lt;EDATE(Assumptions!$C$6,-12)+1,"prior_12m","last_12m")</f>
        <v/>
      </c>
      <c r="AG948" s="21">
        <f>DATE(YEAR(G948),MONTH(G948),1)</f>
        <v/>
      </c>
    </row>
    <row r="949">
      <c r="A949" t="inlineStr">
        <is>
          <t>SPO-00524-2</t>
        </is>
      </c>
      <c r="B949" t="inlineStr">
        <is>
          <t>SPO-00524</t>
        </is>
      </c>
      <c r="C949" t="inlineStr">
        <is>
          <t>SUP-06</t>
        </is>
      </c>
      <c r="D949" t="inlineStr">
        <is>
          <t>MRO</t>
        </is>
      </c>
      <c r="E949" t="inlineStr">
        <is>
          <t>MRO-08</t>
        </is>
      </c>
      <c r="F949" s="17" t="n">
        <v>45704</v>
      </c>
      <c r="G949" s="17" t="n">
        <v>45712</v>
      </c>
      <c r="H949" s="18" t="n">
        <v>97</v>
      </c>
      <c r="I949" s="19" t="n">
        <v>7.53</v>
      </c>
      <c r="J949" s="19" t="n">
        <v>7.2</v>
      </c>
      <c r="K949" s="20" t="n">
        <v>0</v>
      </c>
      <c r="L949" s="20" t="n">
        <v>0</v>
      </c>
      <c r="M949" s="18" t="n">
        <v>97</v>
      </c>
      <c r="N949" s="18" t="n">
        <v>97</v>
      </c>
      <c r="O949" s="18" t="n">
        <v>0</v>
      </c>
      <c r="P949" s="17" t="n">
        <v>45710</v>
      </c>
      <c r="Q949" s="17" t="n">
        <v>45710</v>
      </c>
      <c r="R949" s="17" t="n">
        <v>45710</v>
      </c>
      <c r="S949" s="19">
        <f>H949*I949</f>
        <v/>
      </c>
      <c r="T949" s="19">
        <f>H949*J949</f>
        <v/>
      </c>
      <c r="U949">
        <f>IF(AND(K949=0,G949&lt;=Assumptions!$C$6),1,0)</f>
        <v/>
      </c>
      <c r="V949">
        <f>IF(U949=1,IF(M949&gt;0,IF(P949&lt;=G949+Assumptions!$C$7,1,0),0),0)</f>
        <v/>
      </c>
      <c r="W949">
        <f>IF(AND(U949=1,M949&gt;=H949*(1-Assumptions!$C$8)),1,0)</f>
        <v/>
      </c>
      <c r="X949">
        <f>IF(AND(U949=1,N949&gt;=H949*(1-Assumptions!$C$8)),1,0)</f>
        <v/>
      </c>
      <c r="Y949">
        <f>IF(ISNUMBER(Q949),1,0)</f>
        <v/>
      </c>
      <c r="Z949">
        <f>IF(AND(K949=0,L949=0,Y949=0),1,0)</f>
        <v/>
      </c>
      <c r="AA949">
        <f>IF(AND(Z949=1,G949&lt;Assumptions!$C$6),1,0)</f>
        <v/>
      </c>
      <c r="AB949">
        <f>IF(U949=0,"",IF(Y949=1,MAX(0,Q949-G949),IF(L949=1,MAX(0,R949-G949),MAX(0,Assumptions!$C$6-G949))))</f>
        <v/>
      </c>
      <c r="AC949">
        <f>IF(Y949=1,Q949-F949,"")</f>
        <v/>
      </c>
      <c r="AD949">
        <f>IF(Y949=1,AC949^2,"")</f>
        <v/>
      </c>
      <c r="AE949" s="19">
        <f>IF(Z949=1,(H949-M949)*I949,0)</f>
        <v/>
      </c>
      <c r="AF949">
        <f>IF(G949&lt;EDATE(Assumptions!$C$6,-12)+1,"prior_12m","last_12m")</f>
        <v/>
      </c>
      <c r="AG949" s="21">
        <f>DATE(YEAR(G949),MONTH(G949),1)</f>
        <v/>
      </c>
    </row>
    <row r="950">
      <c r="A950" t="inlineStr">
        <is>
          <t>SPO-00524-3</t>
        </is>
      </c>
      <c r="B950" t="inlineStr">
        <is>
          <t>SPO-00524</t>
        </is>
      </c>
      <c r="C950" t="inlineStr">
        <is>
          <t>SUP-06</t>
        </is>
      </c>
      <c r="D950" t="inlineStr">
        <is>
          <t>MRO</t>
        </is>
      </c>
      <c r="E950" t="inlineStr">
        <is>
          <t>MRO-02</t>
        </is>
      </c>
      <c r="F950" s="17" t="n">
        <v>45704</v>
      </c>
      <c r="G950" s="17" t="n">
        <v>45712</v>
      </c>
      <c r="H950" s="18" t="n">
        <v>55</v>
      </c>
      <c r="I950" s="19" t="n">
        <v>41.75</v>
      </c>
      <c r="J950" s="19" t="n">
        <v>41</v>
      </c>
      <c r="K950" s="20" t="n">
        <v>0</v>
      </c>
      <c r="L950" s="20" t="n">
        <v>0</v>
      </c>
      <c r="M950" s="18" t="n">
        <v>55</v>
      </c>
      <c r="N950" s="18" t="n">
        <v>55</v>
      </c>
      <c r="O950" s="18" t="n">
        <v>0</v>
      </c>
      <c r="P950" s="17" t="n">
        <v>45710</v>
      </c>
      <c r="Q950" s="17" t="n">
        <v>45710</v>
      </c>
      <c r="R950" s="17" t="n">
        <v>45710</v>
      </c>
      <c r="S950" s="19">
        <f>H950*I950</f>
        <v/>
      </c>
      <c r="T950" s="19">
        <f>H950*J950</f>
        <v/>
      </c>
      <c r="U950">
        <f>IF(AND(K950=0,G950&lt;=Assumptions!$C$6),1,0)</f>
        <v/>
      </c>
      <c r="V950">
        <f>IF(U950=1,IF(M950&gt;0,IF(P950&lt;=G950+Assumptions!$C$7,1,0),0),0)</f>
        <v/>
      </c>
      <c r="W950">
        <f>IF(AND(U950=1,M950&gt;=H950*(1-Assumptions!$C$8)),1,0)</f>
        <v/>
      </c>
      <c r="X950">
        <f>IF(AND(U950=1,N950&gt;=H950*(1-Assumptions!$C$8)),1,0)</f>
        <v/>
      </c>
      <c r="Y950">
        <f>IF(ISNUMBER(Q950),1,0)</f>
        <v/>
      </c>
      <c r="Z950">
        <f>IF(AND(K950=0,L950=0,Y950=0),1,0)</f>
        <v/>
      </c>
      <c r="AA950">
        <f>IF(AND(Z950=1,G950&lt;Assumptions!$C$6),1,0)</f>
        <v/>
      </c>
      <c r="AB950">
        <f>IF(U950=0,"",IF(Y950=1,MAX(0,Q950-G950),IF(L950=1,MAX(0,R950-G950),MAX(0,Assumptions!$C$6-G950))))</f>
        <v/>
      </c>
      <c r="AC950">
        <f>IF(Y950=1,Q950-F950,"")</f>
        <v/>
      </c>
      <c r="AD950">
        <f>IF(Y950=1,AC950^2,"")</f>
        <v/>
      </c>
      <c r="AE950" s="19">
        <f>IF(Z950=1,(H950-M950)*I950,0)</f>
        <v/>
      </c>
      <c r="AF950">
        <f>IF(G950&lt;EDATE(Assumptions!$C$6,-12)+1,"prior_12m","last_12m")</f>
        <v/>
      </c>
      <c r="AG950" s="21">
        <f>DATE(YEAR(G950),MONTH(G950),1)</f>
        <v/>
      </c>
    </row>
    <row r="951">
      <c r="A951" t="inlineStr">
        <is>
          <t>SPO-00524-4</t>
        </is>
      </c>
      <c r="B951" t="inlineStr">
        <is>
          <t>SPO-00524</t>
        </is>
      </c>
      <c r="C951" t="inlineStr">
        <is>
          <t>SUP-06</t>
        </is>
      </c>
      <c r="D951" t="inlineStr">
        <is>
          <t>MRO</t>
        </is>
      </c>
      <c r="E951" t="inlineStr">
        <is>
          <t>MRO-01</t>
        </is>
      </c>
      <c r="F951" s="17" t="n">
        <v>45704</v>
      </c>
      <c r="G951" s="17" t="n">
        <v>45712</v>
      </c>
      <c r="H951" s="18" t="n">
        <v>33</v>
      </c>
      <c r="I951" s="19" t="n">
        <v>52.75</v>
      </c>
      <c r="J951" s="19" t="n">
        <v>52</v>
      </c>
      <c r="K951" s="20" t="n">
        <v>0</v>
      </c>
      <c r="L951" s="20" t="n">
        <v>0</v>
      </c>
      <c r="M951" s="18" t="n">
        <v>33</v>
      </c>
      <c r="N951" s="18" t="n">
        <v>33</v>
      </c>
      <c r="O951" s="18" t="n">
        <v>0</v>
      </c>
      <c r="P951" s="17" t="n">
        <v>45709</v>
      </c>
      <c r="Q951" s="17" t="n">
        <v>45709</v>
      </c>
      <c r="R951" s="17" t="n">
        <v>45709</v>
      </c>
      <c r="S951" s="19">
        <f>H951*I951</f>
        <v/>
      </c>
      <c r="T951" s="19">
        <f>H951*J951</f>
        <v/>
      </c>
      <c r="U951">
        <f>IF(AND(K951=0,G951&lt;=Assumptions!$C$6),1,0)</f>
        <v/>
      </c>
      <c r="V951">
        <f>IF(U951=1,IF(M951&gt;0,IF(P951&lt;=G951+Assumptions!$C$7,1,0),0),0)</f>
        <v/>
      </c>
      <c r="W951">
        <f>IF(AND(U951=1,M951&gt;=H951*(1-Assumptions!$C$8)),1,0)</f>
        <v/>
      </c>
      <c r="X951">
        <f>IF(AND(U951=1,N951&gt;=H951*(1-Assumptions!$C$8)),1,0)</f>
        <v/>
      </c>
      <c r="Y951">
        <f>IF(ISNUMBER(Q951),1,0)</f>
        <v/>
      </c>
      <c r="Z951">
        <f>IF(AND(K951=0,L951=0,Y951=0),1,0)</f>
        <v/>
      </c>
      <c r="AA951">
        <f>IF(AND(Z951=1,G951&lt;Assumptions!$C$6),1,0)</f>
        <v/>
      </c>
      <c r="AB951">
        <f>IF(U951=0,"",IF(Y951=1,MAX(0,Q951-G951),IF(L951=1,MAX(0,R951-G951),MAX(0,Assumptions!$C$6-G951))))</f>
        <v/>
      </c>
      <c r="AC951">
        <f>IF(Y951=1,Q951-F951,"")</f>
        <v/>
      </c>
      <c r="AD951">
        <f>IF(Y951=1,AC951^2,"")</f>
        <v/>
      </c>
      <c r="AE951" s="19">
        <f>IF(Z951=1,(H951-M951)*I951,0)</f>
        <v/>
      </c>
      <c r="AF951">
        <f>IF(G951&lt;EDATE(Assumptions!$C$6,-12)+1,"prior_12m","last_12m")</f>
        <v/>
      </c>
      <c r="AG951" s="21">
        <f>DATE(YEAR(G951),MONTH(G951),1)</f>
        <v/>
      </c>
    </row>
    <row r="952">
      <c r="A952" t="inlineStr">
        <is>
          <t>SPO-00525-1</t>
        </is>
      </c>
      <c r="B952" t="inlineStr">
        <is>
          <t>SPO-00525</t>
        </is>
      </c>
      <c r="C952" t="inlineStr">
        <is>
          <t>SUP-04</t>
        </is>
      </c>
      <c r="D952" t="inlineStr">
        <is>
          <t>FLEET</t>
        </is>
      </c>
      <c r="E952" t="inlineStr">
        <is>
          <t>FLEET-08</t>
        </is>
      </c>
      <c r="F952" s="17" t="n">
        <v>45704</v>
      </c>
      <c r="G952" s="17" t="n">
        <v>45717</v>
      </c>
      <c r="H952" s="18" t="n">
        <v>179</v>
      </c>
      <c r="I952" s="19" t="n">
        <v>6.53</v>
      </c>
      <c r="J952" s="19" t="n">
        <v>6.4</v>
      </c>
      <c r="K952" s="20" t="n">
        <v>0</v>
      </c>
      <c r="L952" s="20" t="n">
        <v>0</v>
      </c>
      <c r="M952" s="18" t="n">
        <v>179</v>
      </c>
      <c r="N952" s="18" t="n">
        <v>179</v>
      </c>
      <c r="O952" s="18" t="n">
        <v>0</v>
      </c>
      <c r="P952" s="17" t="n">
        <v>45705</v>
      </c>
      <c r="Q952" s="17" t="n">
        <v>45705</v>
      </c>
      <c r="R952" s="17" t="n">
        <v>45705</v>
      </c>
      <c r="S952" s="19">
        <f>H952*I952</f>
        <v/>
      </c>
      <c r="T952" s="19">
        <f>H952*J952</f>
        <v/>
      </c>
      <c r="U952">
        <f>IF(AND(K952=0,G952&lt;=Assumptions!$C$6),1,0)</f>
        <v/>
      </c>
      <c r="V952">
        <f>IF(U952=1,IF(M952&gt;0,IF(P952&lt;=G952+Assumptions!$C$7,1,0),0),0)</f>
        <v/>
      </c>
      <c r="W952">
        <f>IF(AND(U952=1,M952&gt;=H952*(1-Assumptions!$C$8)),1,0)</f>
        <v/>
      </c>
      <c r="X952">
        <f>IF(AND(U952=1,N952&gt;=H952*(1-Assumptions!$C$8)),1,0)</f>
        <v/>
      </c>
      <c r="Y952">
        <f>IF(ISNUMBER(Q952),1,0)</f>
        <v/>
      </c>
      <c r="Z952">
        <f>IF(AND(K952=0,L952=0,Y952=0),1,0)</f>
        <v/>
      </c>
      <c r="AA952">
        <f>IF(AND(Z952=1,G952&lt;Assumptions!$C$6),1,0)</f>
        <v/>
      </c>
      <c r="AB952">
        <f>IF(U952=0,"",IF(Y952=1,MAX(0,Q952-G952),IF(L952=1,MAX(0,R952-G952),MAX(0,Assumptions!$C$6-G952))))</f>
        <v/>
      </c>
      <c r="AC952">
        <f>IF(Y952=1,Q952-F952,"")</f>
        <v/>
      </c>
      <c r="AD952">
        <f>IF(Y952=1,AC952^2,"")</f>
        <v/>
      </c>
      <c r="AE952" s="19">
        <f>IF(Z952=1,(H952-M952)*I952,0)</f>
        <v/>
      </c>
      <c r="AF952">
        <f>IF(G952&lt;EDATE(Assumptions!$C$6,-12)+1,"prior_12m","last_12m")</f>
        <v/>
      </c>
      <c r="AG952" s="21">
        <f>DATE(YEAR(G952),MONTH(G952),1)</f>
        <v/>
      </c>
    </row>
    <row r="953">
      <c r="A953" t="inlineStr">
        <is>
          <t>SPO-00525-2</t>
        </is>
      </c>
      <c r="B953" t="inlineStr">
        <is>
          <t>SPO-00525</t>
        </is>
      </c>
      <c r="C953" t="inlineStr">
        <is>
          <t>SUP-04</t>
        </is>
      </c>
      <c r="D953" t="inlineStr">
        <is>
          <t>FLEET</t>
        </is>
      </c>
      <c r="E953" t="inlineStr">
        <is>
          <t>FLEET-06</t>
        </is>
      </c>
      <c r="F953" s="17" t="n">
        <v>45704</v>
      </c>
      <c r="G953" s="17" t="n">
        <v>45717</v>
      </c>
      <c r="H953" s="18" t="n">
        <v>23</v>
      </c>
      <c r="I953" s="19" t="n">
        <v>32.95</v>
      </c>
      <c r="J953" s="19" t="n">
        <v>33</v>
      </c>
      <c r="K953" s="20" t="n">
        <v>0</v>
      </c>
      <c r="L953" s="20" t="n">
        <v>0</v>
      </c>
      <c r="M953" s="18" t="n">
        <v>23</v>
      </c>
      <c r="N953" s="18" t="n">
        <v>0</v>
      </c>
      <c r="O953" s="18" t="n">
        <v>0</v>
      </c>
      <c r="P953" s="17" t="n">
        <v>45721</v>
      </c>
      <c r="Q953" s="17" t="n">
        <v>45721</v>
      </c>
      <c r="R953" s="17" t="n">
        <v>45721</v>
      </c>
      <c r="S953" s="19">
        <f>H953*I953</f>
        <v/>
      </c>
      <c r="T953" s="19">
        <f>H953*J953</f>
        <v/>
      </c>
      <c r="U953">
        <f>IF(AND(K953=0,G953&lt;=Assumptions!$C$6),1,0)</f>
        <v/>
      </c>
      <c r="V953">
        <f>IF(U953=1,IF(M953&gt;0,IF(P953&lt;=G953+Assumptions!$C$7,1,0),0),0)</f>
        <v/>
      </c>
      <c r="W953">
        <f>IF(AND(U953=1,M953&gt;=H953*(1-Assumptions!$C$8)),1,0)</f>
        <v/>
      </c>
      <c r="X953">
        <f>IF(AND(U953=1,N953&gt;=H953*(1-Assumptions!$C$8)),1,0)</f>
        <v/>
      </c>
      <c r="Y953">
        <f>IF(ISNUMBER(Q953),1,0)</f>
        <v/>
      </c>
      <c r="Z953">
        <f>IF(AND(K953=0,L953=0,Y953=0),1,0)</f>
        <v/>
      </c>
      <c r="AA953">
        <f>IF(AND(Z953=1,G953&lt;Assumptions!$C$6),1,0)</f>
        <v/>
      </c>
      <c r="AB953">
        <f>IF(U953=0,"",IF(Y953=1,MAX(0,Q953-G953),IF(L953=1,MAX(0,R953-G953),MAX(0,Assumptions!$C$6-G953))))</f>
        <v/>
      </c>
      <c r="AC953">
        <f>IF(Y953=1,Q953-F953,"")</f>
        <v/>
      </c>
      <c r="AD953">
        <f>IF(Y953=1,AC953^2,"")</f>
        <v/>
      </c>
      <c r="AE953" s="19">
        <f>IF(Z953=1,(H953-M953)*I953,0)</f>
        <v/>
      </c>
      <c r="AF953">
        <f>IF(G953&lt;EDATE(Assumptions!$C$6,-12)+1,"prior_12m","last_12m")</f>
        <v/>
      </c>
      <c r="AG953" s="21">
        <f>DATE(YEAR(G953),MONTH(G953),1)</f>
        <v/>
      </c>
    </row>
    <row r="954">
      <c r="A954" t="inlineStr">
        <is>
          <t>SPO-00526-1</t>
        </is>
      </c>
      <c r="B954" t="inlineStr">
        <is>
          <t>SPO-00526</t>
        </is>
      </c>
      <c r="C954" t="inlineStr">
        <is>
          <t>SUP-01</t>
        </is>
      </c>
      <c r="D954" t="inlineStr">
        <is>
          <t>ELEC</t>
        </is>
      </c>
      <c r="E954" t="inlineStr">
        <is>
          <t>ELEC-03</t>
        </is>
      </c>
      <c r="F954" s="17" t="n">
        <v>45705</v>
      </c>
      <c r="G954" s="17" t="n">
        <v>45723</v>
      </c>
      <c r="H954" s="18" t="n">
        <v>27</v>
      </c>
      <c r="I954" s="19" t="n">
        <v>99.77</v>
      </c>
      <c r="J954" s="19" t="n">
        <v>96</v>
      </c>
      <c r="K954" s="20" t="n">
        <v>0</v>
      </c>
      <c r="L954" s="20" t="n">
        <v>0</v>
      </c>
      <c r="M954" s="18" t="n">
        <v>27</v>
      </c>
      <c r="N954" s="18" t="n">
        <v>27</v>
      </c>
      <c r="O954" s="18" t="n">
        <v>0</v>
      </c>
      <c r="P954" s="17" t="n">
        <v>45720</v>
      </c>
      <c r="Q954" s="17" t="n">
        <v>45720</v>
      </c>
      <c r="R954" s="17" t="n">
        <v>45720</v>
      </c>
      <c r="S954" s="19">
        <f>H954*I954</f>
        <v/>
      </c>
      <c r="T954" s="19">
        <f>H954*J954</f>
        <v/>
      </c>
      <c r="U954">
        <f>IF(AND(K954=0,G954&lt;=Assumptions!$C$6),1,0)</f>
        <v/>
      </c>
      <c r="V954">
        <f>IF(U954=1,IF(M954&gt;0,IF(P954&lt;=G954+Assumptions!$C$7,1,0),0),0)</f>
        <v/>
      </c>
      <c r="W954">
        <f>IF(AND(U954=1,M954&gt;=H954*(1-Assumptions!$C$8)),1,0)</f>
        <v/>
      </c>
      <c r="X954">
        <f>IF(AND(U954=1,N954&gt;=H954*(1-Assumptions!$C$8)),1,0)</f>
        <v/>
      </c>
      <c r="Y954">
        <f>IF(ISNUMBER(Q954),1,0)</f>
        <v/>
      </c>
      <c r="Z954">
        <f>IF(AND(K954=0,L954=0,Y954=0),1,0)</f>
        <v/>
      </c>
      <c r="AA954">
        <f>IF(AND(Z954=1,G954&lt;Assumptions!$C$6),1,0)</f>
        <v/>
      </c>
      <c r="AB954">
        <f>IF(U954=0,"",IF(Y954=1,MAX(0,Q954-G954),IF(L954=1,MAX(0,R954-G954),MAX(0,Assumptions!$C$6-G954))))</f>
        <v/>
      </c>
      <c r="AC954">
        <f>IF(Y954=1,Q954-F954,"")</f>
        <v/>
      </c>
      <c r="AD954">
        <f>IF(Y954=1,AC954^2,"")</f>
        <v/>
      </c>
      <c r="AE954" s="19">
        <f>IF(Z954=1,(H954-M954)*I954,0)</f>
        <v/>
      </c>
      <c r="AF954">
        <f>IF(G954&lt;EDATE(Assumptions!$C$6,-12)+1,"prior_12m","last_12m")</f>
        <v/>
      </c>
      <c r="AG954" s="21">
        <f>DATE(YEAR(G954),MONTH(G954),1)</f>
        <v/>
      </c>
    </row>
    <row r="955">
      <c r="A955" t="inlineStr">
        <is>
          <t>SPO-00527-1</t>
        </is>
      </c>
      <c r="B955" t="inlineStr">
        <is>
          <t>SPO-00527</t>
        </is>
      </c>
      <c r="C955" t="inlineStr">
        <is>
          <t>SUP-01</t>
        </is>
      </c>
      <c r="D955" t="inlineStr">
        <is>
          <t>ELEC</t>
        </is>
      </c>
      <c r="E955" t="inlineStr">
        <is>
          <t>ELEC-04</t>
        </is>
      </c>
      <c r="F955" s="17" t="n">
        <v>45705</v>
      </c>
      <c r="G955" s="17" t="n">
        <v>45723</v>
      </c>
      <c r="H955" s="18" t="n">
        <v>113</v>
      </c>
      <c r="I955" s="19" t="n">
        <v>71.95999999999999</v>
      </c>
      <c r="J955" s="19" t="n">
        <v>72</v>
      </c>
      <c r="K955" s="20" t="n">
        <v>0</v>
      </c>
      <c r="L955" s="20" t="n">
        <v>0</v>
      </c>
      <c r="M955" s="18" t="n">
        <v>113</v>
      </c>
      <c r="N955" s="18" t="n">
        <v>113</v>
      </c>
      <c r="O955" s="18" t="n">
        <v>0</v>
      </c>
      <c r="P955" s="17" t="n">
        <v>45719</v>
      </c>
      <c r="Q955" s="17" t="n">
        <v>45719</v>
      </c>
      <c r="R955" s="17" t="n">
        <v>45719</v>
      </c>
      <c r="S955" s="19">
        <f>H955*I955</f>
        <v/>
      </c>
      <c r="T955" s="19">
        <f>H955*J955</f>
        <v/>
      </c>
      <c r="U955">
        <f>IF(AND(K955=0,G955&lt;=Assumptions!$C$6),1,0)</f>
        <v/>
      </c>
      <c r="V955">
        <f>IF(U955=1,IF(M955&gt;0,IF(P955&lt;=G955+Assumptions!$C$7,1,0),0),0)</f>
        <v/>
      </c>
      <c r="W955">
        <f>IF(AND(U955=1,M955&gt;=H955*(1-Assumptions!$C$8)),1,0)</f>
        <v/>
      </c>
      <c r="X955">
        <f>IF(AND(U955=1,N955&gt;=H955*(1-Assumptions!$C$8)),1,0)</f>
        <v/>
      </c>
      <c r="Y955">
        <f>IF(ISNUMBER(Q955),1,0)</f>
        <v/>
      </c>
      <c r="Z955">
        <f>IF(AND(K955=0,L955=0,Y955=0),1,0)</f>
        <v/>
      </c>
      <c r="AA955">
        <f>IF(AND(Z955=1,G955&lt;Assumptions!$C$6),1,0)</f>
        <v/>
      </c>
      <c r="AB955">
        <f>IF(U955=0,"",IF(Y955=1,MAX(0,Q955-G955),IF(L955=1,MAX(0,R955-G955),MAX(0,Assumptions!$C$6-G955))))</f>
        <v/>
      </c>
      <c r="AC955">
        <f>IF(Y955=1,Q955-F955,"")</f>
        <v/>
      </c>
      <c r="AD955">
        <f>IF(Y955=1,AC955^2,"")</f>
        <v/>
      </c>
      <c r="AE955" s="19">
        <f>IF(Z955=1,(H955-M955)*I955,0)</f>
        <v/>
      </c>
      <c r="AF955">
        <f>IF(G955&lt;EDATE(Assumptions!$C$6,-12)+1,"prior_12m","last_12m")</f>
        <v/>
      </c>
      <c r="AG955" s="21">
        <f>DATE(YEAR(G955),MONTH(G955),1)</f>
        <v/>
      </c>
    </row>
    <row r="956">
      <c r="A956" t="inlineStr">
        <is>
          <t>SPO-00528-1</t>
        </is>
      </c>
      <c r="B956" t="inlineStr">
        <is>
          <t>SPO-00528</t>
        </is>
      </c>
      <c r="C956" t="inlineStr">
        <is>
          <t>SUP-05</t>
        </is>
      </c>
      <c r="D956" t="inlineStr">
        <is>
          <t>FLEET</t>
        </is>
      </c>
      <c r="E956" t="inlineStr">
        <is>
          <t>FLEET-03</t>
        </is>
      </c>
      <c r="F956" s="17" t="n">
        <v>45705</v>
      </c>
      <c r="G956" s="17" t="n">
        <v>45719</v>
      </c>
      <c r="H956" s="18" t="n">
        <v>39</v>
      </c>
      <c r="I956" s="19" t="n">
        <v>21.91</v>
      </c>
      <c r="J956" s="19" t="n">
        <v>21</v>
      </c>
      <c r="K956" s="20" t="n">
        <v>0</v>
      </c>
      <c r="L956" s="20" t="n">
        <v>0</v>
      </c>
      <c r="M956" s="18" t="n">
        <v>39</v>
      </c>
      <c r="N956" s="18" t="n">
        <v>39</v>
      </c>
      <c r="O956" s="18" t="n">
        <v>0</v>
      </c>
      <c r="P956" s="17" t="n">
        <v>45716</v>
      </c>
      <c r="Q956" s="17" t="n">
        <v>45716</v>
      </c>
      <c r="R956" s="17" t="n">
        <v>45716</v>
      </c>
      <c r="S956" s="19">
        <f>H956*I956</f>
        <v/>
      </c>
      <c r="T956" s="19">
        <f>H956*J956</f>
        <v/>
      </c>
      <c r="U956">
        <f>IF(AND(K956=0,G956&lt;=Assumptions!$C$6),1,0)</f>
        <v/>
      </c>
      <c r="V956">
        <f>IF(U956=1,IF(M956&gt;0,IF(P956&lt;=G956+Assumptions!$C$7,1,0),0),0)</f>
        <v/>
      </c>
      <c r="W956">
        <f>IF(AND(U956=1,M956&gt;=H956*(1-Assumptions!$C$8)),1,0)</f>
        <v/>
      </c>
      <c r="X956">
        <f>IF(AND(U956=1,N956&gt;=H956*(1-Assumptions!$C$8)),1,0)</f>
        <v/>
      </c>
      <c r="Y956">
        <f>IF(ISNUMBER(Q956),1,0)</f>
        <v/>
      </c>
      <c r="Z956">
        <f>IF(AND(K956=0,L956=0,Y956=0),1,0)</f>
        <v/>
      </c>
      <c r="AA956">
        <f>IF(AND(Z956=1,G956&lt;Assumptions!$C$6),1,0)</f>
        <v/>
      </c>
      <c r="AB956">
        <f>IF(U956=0,"",IF(Y956=1,MAX(0,Q956-G956),IF(L956=1,MAX(0,R956-G956),MAX(0,Assumptions!$C$6-G956))))</f>
        <v/>
      </c>
      <c r="AC956">
        <f>IF(Y956=1,Q956-F956,"")</f>
        <v/>
      </c>
      <c r="AD956">
        <f>IF(Y956=1,AC956^2,"")</f>
        <v/>
      </c>
      <c r="AE956" s="19">
        <f>IF(Z956=1,(H956-M956)*I956,0)</f>
        <v/>
      </c>
      <c r="AF956">
        <f>IF(G956&lt;EDATE(Assumptions!$C$6,-12)+1,"prior_12m","last_12m")</f>
        <v/>
      </c>
      <c r="AG956" s="21">
        <f>DATE(YEAR(G956),MONTH(G956),1)</f>
        <v/>
      </c>
    </row>
    <row r="957">
      <c r="A957" t="inlineStr">
        <is>
          <t>SPO-00529-1</t>
        </is>
      </c>
      <c r="B957" t="inlineStr">
        <is>
          <t>SPO-00529</t>
        </is>
      </c>
      <c r="C957" t="inlineStr">
        <is>
          <t>SUP-07</t>
        </is>
      </c>
      <c r="D957" t="inlineStr">
        <is>
          <t>MRO</t>
        </is>
      </c>
      <c r="E957" t="inlineStr">
        <is>
          <t>MRO-05</t>
        </is>
      </c>
      <c r="F957" s="17" t="n">
        <v>45705</v>
      </c>
      <c r="G957" s="17" t="n">
        <v>45715</v>
      </c>
      <c r="H957" s="18" t="n">
        <v>46</v>
      </c>
      <c r="I957" s="19" t="n">
        <v>36.65</v>
      </c>
      <c r="J957" s="19" t="n">
        <v>36</v>
      </c>
      <c r="K957" s="20" t="n">
        <v>0</v>
      </c>
      <c r="L957" s="20" t="n">
        <v>1</v>
      </c>
      <c r="M957" s="18" t="n">
        <v>31</v>
      </c>
      <c r="N957" s="18" t="n">
        <v>31</v>
      </c>
      <c r="O957" s="18" t="n">
        <v>0</v>
      </c>
      <c r="P957" s="17" t="n">
        <v>45710</v>
      </c>
      <c r="Q957" s="17" t="n"/>
      <c r="R957" s="17" t="n">
        <v>45710</v>
      </c>
      <c r="S957" s="19">
        <f>H957*I957</f>
        <v/>
      </c>
      <c r="T957" s="19">
        <f>H957*J957</f>
        <v/>
      </c>
      <c r="U957">
        <f>IF(AND(K957=0,G957&lt;=Assumptions!$C$6),1,0)</f>
        <v/>
      </c>
      <c r="V957">
        <f>IF(U957=1,IF(M957&gt;0,IF(P957&lt;=G957+Assumptions!$C$7,1,0),0),0)</f>
        <v/>
      </c>
      <c r="W957">
        <f>IF(AND(U957=1,M957&gt;=H957*(1-Assumptions!$C$8)),1,0)</f>
        <v/>
      </c>
      <c r="X957">
        <f>IF(AND(U957=1,N957&gt;=H957*(1-Assumptions!$C$8)),1,0)</f>
        <v/>
      </c>
      <c r="Y957">
        <f>IF(ISNUMBER(Q957),1,0)</f>
        <v/>
      </c>
      <c r="Z957">
        <f>IF(AND(K957=0,L957=0,Y957=0),1,0)</f>
        <v/>
      </c>
      <c r="AA957">
        <f>IF(AND(Z957=1,G957&lt;Assumptions!$C$6),1,0)</f>
        <v/>
      </c>
      <c r="AB957">
        <f>IF(U957=0,"",IF(Y957=1,MAX(0,Q957-G957),IF(L957=1,MAX(0,R957-G957),MAX(0,Assumptions!$C$6-G957))))</f>
        <v/>
      </c>
      <c r="AC957">
        <f>IF(Y957=1,Q957-F957,"")</f>
        <v/>
      </c>
      <c r="AD957">
        <f>IF(Y957=1,AC957^2,"")</f>
        <v/>
      </c>
      <c r="AE957" s="19">
        <f>IF(Z957=1,(H957-M957)*I957,0)</f>
        <v/>
      </c>
      <c r="AF957">
        <f>IF(G957&lt;EDATE(Assumptions!$C$6,-12)+1,"prior_12m","last_12m")</f>
        <v/>
      </c>
      <c r="AG957" s="21">
        <f>DATE(YEAR(G957),MONTH(G957),1)</f>
        <v/>
      </c>
    </row>
    <row r="958">
      <c r="A958" t="inlineStr">
        <is>
          <t>SPO-00530-1</t>
        </is>
      </c>
      <c r="B958" t="inlineStr">
        <is>
          <t>SPO-00530</t>
        </is>
      </c>
      <c r="C958" t="inlineStr">
        <is>
          <t>SUP-06</t>
        </is>
      </c>
      <c r="D958" t="inlineStr">
        <is>
          <t>MRO</t>
        </is>
      </c>
      <c r="E958" t="inlineStr">
        <is>
          <t>MRO-02</t>
        </is>
      </c>
      <c r="F958" s="17" t="n">
        <v>45705</v>
      </c>
      <c r="G958" s="17" t="n">
        <v>45713</v>
      </c>
      <c r="H958" s="18" t="n">
        <v>16</v>
      </c>
      <c r="I958" s="19" t="n">
        <v>41.09</v>
      </c>
      <c r="J958" s="19" t="n">
        <v>41</v>
      </c>
      <c r="K958" s="20" t="n">
        <v>0</v>
      </c>
      <c r="L958" s="20" t="n">
        <v>0</v>
      </c>
      <c r="M958" s="18" t="n">
        <v>16</v>
      </c>
      <c r="N958" s="18" t="n">
        <v>16</v>
      </c>
      <c r="O958" s="18" t="n">
        <v>0</v>
      </c>
      <c r="P958" s="17" t="n">
        <v>45711</v>
      </c>
      <c r="Q958" s="17" t="n">
        <v>45711</v>
      </c>
      <c r="R958" s="17" t="n">
        <v>45711</v>
      </c>
      <c r="S958" s="19">
        <f>H958*I958</f>
        <v/>
      </c>
      <c r="T958" s="19">
        <f>H958*J958</f>
        <v/>
      </c>
      <c r="U958">
        <f>IF(AND(K958=0,G958&lt;=Assumptions!$C$6),1,0)</f>
        <v/>
      </c>
      <c r="V958">
        <f>IF(U958=1,IF(M958&gt;0,IF(P958&lt;=G958+Assumptions!$C$7,1,0),0),0)</f>
        <v/>
      </c>
      <c r="W958">
        <f>IF(AND(U958=1,M958&gt;=H958*(1-Assumptions!$C$8)),1,0)</f>
        <v/>
      </c>
      <c r="X958">
        <f>IF(AND(U958=1,N958&gt;=H958*(1-Assumptions!$C$8)),1,0)</f>
        <v/>
      </c>
      <c r="Y958">
        <f>IF(ISNUMBER(Q958),1,0)</f>
        <v/>
      </c>
      <c r="Z958">
        <f>IF(AND(K958=0,L958=0,Y958=0),1,0)</f>
        <v/>
      </c>
      <c r="AA958">
        <f>IF(AND(Z958=1,G958&lt;Assumptions!$C$6),1,0)</f>
        <v/>
      </c>
      <c r="AB958">
        <f>IF(U958=0,"",IF(Y958=1,MAX(0,Q958-G958),IF(L958=1,MAX(0,R958-G958),MAX(0,Assumptions!$C$6-G958))))</f>
        <v/>
      </c>
      <c r="AC958">
        <f>IF(Y958=1,Q958-F958,"")</f>
        <v/>
      </c>
      <c r="AD958">
        <f>IF(Y958=1,AC958^2,"")</f>
        <v/>
      </c>
      <c r="AE958" s="19">
        <f>IF(Z958=1,(H958-M958)*I958,0)</f>
        <v/>
      </c>
      <c r="AF958">
        <f>IF(G958&lt;EDATE(Assumptions!$C$6,-12)+1,"prior_12m","last_12m")</f>
        <v/>
      </c>
      <c r="AG958" s="21">
        <f>DATE(YEAR(G958),MONTH(G958),1)</f>
        <v/>
      </c>
    </row>
    <row r="959">
      <c r="A959" t="inlineStr">
        <is>
          <t>SPO-00530-2</t>
        </is>
      </c>
      <c r="B959" t="inlineStr">
        <is>
          <t>SPO-00530</t>
        </is>
      </c>
      <c r="C959" t="inlineStr">
        <is>
          <t>SUP-06</t>
        </is>
      </c>
      <c r="D959" t="inlineStr">
        <is>
          <t>MRO</t>
        </is>
      </c>
      <c r="E959" t="inlineStr">
        <is>
          <t>MRO-08</t>
        </is>
      </c>
      <c r="F959" s="17" t="n">
        <v>45705</v>
      </c>
      <c r="G959" s="17" t="n">
        <v>45713</v>
      </c>
      <c r="H959" s="18" t="n">
        <v>267</v>
      </c>
      <c r="I959" s="19" t="n">
        <v>7.17</v>
      </c>
      <c r="J959" s="19" t="n">
        <v>7.2</v>
      </c>
      <c r="K959" s="20" t="n">
        <v>0</v>
      </c>
      <c r="L959" s="20" t="n">
        <v>0</v>
      </c>
      <c r="M959" s="18" t="n">
        <v>267</v>
      </c>
      <c r="N959" s="18" t="n">
        <v>267</v>
      </c>
      <c r="O959" s="18" t="n">
        <v>0</v>
      </c>
      <c r="P959" s="17" t="n">
        <v>45710</v>
      </c>
      <c r="Q959" s="17" t="n">
        <v>45710</v>
      </c>
      <c r="R959" s="17" t="n">
        <v>45710</v>
      </c>
      <c r="S959" s="19">
        <f>H959*I959</f>
        <v/>
      </c>
      <c r="T959" s="19">
        <f>H959*J959</f>
        <v/>
      </c>
      <c r="U959">
        <f>IF(AND(K959=0,G959&lt;=Assumptions!$C$6),1,0)</f>
        <v/>
      </c>
      <c r="V959">
        <f>IF(U959=1,IF(M959&gt;0,IF(P959&lt;=G959+Assumptions!$C$7,1,0),0),0)</f>
        <v/>
      </c>
      <c r="W959">
        <f>IF(AND(U959=1,M959&gt;=H959*(1-Assumptions!$C$8)),1,0)</f>
        <v/>
      </c>
      <c r="X959">
        <f>IF(AND(U959=1,N959&gt;=H959*(1-Assumptions!$C$8)),1,0)</f>
        <v/>
      </c>
      <c r="Y959">
        <f>IF(ISNUMBER(Q959),1,0)</f>
        <v/>
      </c>
      <c r="Z959">
        <f>IF(AND(K959=0,L959=0,Y959=0),1,0)</f>
        <v/>
      </c>
      <c r="AA959">
        <f>IF(AND(Z959=1,G959&lt;Assumptions!$C$6),1,0)</f>
        <v/>
      </c>
      <c r="AB959">
        <f>IF(U959=0,"",IF(Y959=1,MAX(0,Q959-G959),IF(L959=1,MAX(0,R959-G959),MAX(0,Assumptions!$C$6-G959))))</f>
        <v/>
      </c>
      <c r="AC959">
        <f>IF(Y959=1,Q959-F959,"")</f>
        <v/>
      </c>
      <c r="AD959">
        <f>IF(Y959=1,AC959^2,"")</f>
        <v/>
      </c>
      <c r="AE959" s="19">
        <f>IF(Z959=1,(H959-M959)*I959,0)</f>
        <v/>
      </c>
      <c r="AF959">
        <f>IF(G959&lt;EDATE(Assumptions!$C$6,-12)+1,"prior_12m","last_12m")</f>
        <v/>
      </c>
      <c r="AG959" s="21">
        <f>DATE(YEAR(G959),MONTH(G959),1)</f>
        <v/>
      </c>
    </row>
    <row r="960">
      <c r="A960" t="inlineStr">
        <is>
          <t>SPO-00530-3</t>
        </is>
      </c>
      <c r="B960" t="inlineStr">
        <is>
          <t>SPO-00530</t>
        </is>
      </c>
      <c r="C960" t="inlineStr">
        <is>
          <t>SUP-06</t>
        </is>
      </c>
      <c r="D960" t="inlineStr">
        <is>
          <t>MRO</t>
        </is>
      </c>
      <c r="E960" t="inlineStr">
        <is>
          <t>MRO-07</t>
        </is>
      </c>
      <c r="F960" s="17" t="n">
        <v>45705</v>
      </c>
      <c r="G960" s="17" t="n">
        <v>45713</v>
      </c>
      <c r="H960" s="18" t="n">
        <v>190</v>
      </c>
      <c r="I960" s="19" t="n">
        <v>13.92</v>
      </c>
      <c r="J960" s="19" t="n">
        <v>14</v>
      </c>
      <c r="K960" s="20" t="n">
        <v>0</v>
      </c>
      <c r="L960" s="20" t="n">
        <v>0</v>
      </c>
      <c r="M960" s="18" t="n">
        <v>190</v>
      </c>
      <c r="N960" s="18" t="n">
        <v>190</v>
      </c>
      <c r="O960" s="18" t="n">
        <v>0</v>
      </c>
      <c r="P960" s="17" t="n">
        <v>45711</v>
      </c>
      <c r="Q960" s="17" t="n">
        <v>45711</v>
      </c>
      <c r="R960" s="17" t="n">
        <v>45711</v>
      </c>
      <c r="S960" s="19">
        <f>H960*I960</f>
        <v/>
      </c>
      <c r="T960" s="19">
        <f>H960*J960</f>
        <v/>
      </c>
      <c r="U960">
        <f>IF(AND(K960=0,G960&lt;=Assumptions!$C$6),1,0)</f>
        <v/>
      </c>
      <c r="V960">
        <f>IF(U960=1,IF(M960&gt;0,IF(P960&lt;=G960+Assumptions!$C$7,1,0),0),0)</f>
        <v/>
      </c>
      <c r="W960">
        <f>IF(AND(U960=1,M960&gt;=H960*(1-Assumptions!$C$8)),1,0)</f>
        <v/>
      </c>
      <c r="X960">
        <f>IF(AND(U960=1,N960&gt;=H960*(1-Assumptions!$C$8)),1,0)</f>
        <v/>
      </c>
      <c r="Y960">
        <f>IF(ISNUMBER(Q960),1,0)</f>
        <v/>
      </c>
      <c r="Z960">
        <f>IF(AND(K960=0,L960=0,Y960=0),1,0)</f>
        <v/>
      </c>
      <c r="AA960">
        <f>IF(AND(Z960=1,G960&lt;Assumptions!$C$6),1,0)</f>
        <v/>
      </c>
      <c r="AB960">
        <f>IF(U960=0,"",IF(Y960=1,MAX(0,Q960-G960),IF(L960=1,MAX(0,R960-G960),MAX(0,Assumptions!$C$6-G960))))</f>
        <v/>
      </c>
      <c r="AC960">
        <f>IF(Y960=1,Q960-F960,"")</f>
        <v/>
      </c>
      <c r="AD960">
        <f>IF(Y960=1,AC960^2,"")</f>
        <v/>
      </c>
      <c r="AE960" s="19">
        <f>IF(Z960=1,(H960-M960)*I960,0)</f>
        <v/>
      </c>
      <c r="AF960">
        <f>IF(G960&lt;EDATE(Assumptions!$C$6,-12)+1,"prior_12m","last_12m")</f>
        <v/>
      </c>
      <c r="AG960" s="21">
        <f>DATE(YEAR(G960),MONTH(G960),1)</f>
        <v/>
      </c>
    </row>
    <row r="961">
      <c r="A961" t="inlineStr">
        <is>
          <t>SPO-00531-1</t>
        </is>
      </c>
      <c r="B961" t="inlineStr">
        <is>
          <t>SPO-00531</t>
        </is>
      </c>
      <c r="C961" t="inlineStr">
        <is>
          <t>SUP-11</t>
        </is>
      </c>
      <c r="D961" t="inlineStr">
        <is>
          <t>PPE</t>
        </is>
      </c>
      <c r="E961" t="inlineStr">
        <is>
          <t>PPE-08</t>
        </is>
      </c>
      <c r="F961" s="17" t="n">
        <v>45706</v>
      </c>
      <c r="G961" s="17" t="n">
        <v>45718</v>
      </c>
      <c r="H961" s="18" t="n">
        <v>13</v>
      </c>
      <c r="I961" s="19" t="n">
        <v>66.14</v>
      </c>
      <c r="J961" s="19" t="n">
        <v>64</v>
      </c>
      <c r="K961" s="20" t="n">
        <v>0</v>
      </c>
      <c r="L961" s="20" t="n">
        <v>0</v>
      </c>
      <c r="M961" s="18" t="n">
        <v>13</v>
      </c>
      <c r="N961" s="18" t="n">
        <v>13</v>
      </c>
      <c r="O961" s="18" t="n">
        <v>0</v>
      </c>
      <c r="P961" s="17" t="n">
        <v>45714</v>
      </c>
      <c r="Q961" s="17" t="n">
        <v>45714</v>
      </c>
      <c r="R961" s="17" t="n">
        <v>45714</v>
      </c>
      <c r="S961" s="19">
        <f>H961*I961</f>
        <v/>
      </c>
      <c r="T961" s="19">
        <f>H961*J961</f>
        <v/>
      </c>
      <c r="U961">
        <f>IF(AND(K961=0,G961&lt;=Assumptions!$C$6),1,0)</f>
        <v/>
      </c>
      <c r="V961">
        <f>IF(U961=1,IF(M961&gt;0,IF(P961&lt;=G961+Assumptions!$C$7,1,0),0),0)</f>
        <v/>
      </c>
      <c r="W961">
        <f>IF(AND(U961=1,M961&gt;=H961*(1-Assumptions!$C$8)),1,0)</f>
        <v/>
      </c>
      <c r="X961">
        <f>IF(AND(U961=1,N961&gt;=H961*(1-Assumptions!$C$8)),1,0)</f>
        <v/>
      </c>
      <c r="Y961">
        <f>IF(ISNUMBER(Q961),1,0)</f>
        <v/>
      </c>
      <c r="Z961">
        <f>IF(AND(K961=0,L961=0,Y961=0),1,0)</f>
        <v/>
      </c>
      <c r="AA961">
        <f>IF(AND(Z961=1,G961&lt;Assumptions!$C$6),1,0)</f>
        <v/>
      </c>
      <c r="AB961">
        <f>IF(U961=0,"",IF(Y961=1,MAX(0,Q961-G961),IF(L961=1,MAX(0,R961-G961),MAX(0,Assumptions!$C$6-G961))))</f>
        <v/>
      </c>
      <c r="AC961">
        <f>IF(Y961=1,Q961-F961,"")</f>
        <v/>
      </c>
      <c r="AD961">
        <f>IF(Y961=1,AC961^2,"")</f>
        <v/>
      </c>
      <c r="AE961" s="19">
        <f>IF(Z961=1,(H961-M961)*I961,0)</f>
        <v/>
      </c>
      <c r="AF961">
        <f>IF(G961&lt;EDATE(Assumptions!$C$6,-12)+1,"prior_12m","last_12m")</f>
        <v/>
      </c>
      <c r="AG961" s="21">
        <f>DATE(YEAR(G961),MONTH(G961),1)</f>
        <v/>
      </c>
    </row>
    <row r="962">
      <c r="A962" t="inlineStr">
        <is>
          <t>SPO-00532-1</t>
        </is>
      </c>
      <c r="B962" t="inlineStr">
        <is>
          <t>SPO-00532</t>
        </is>
      </c>
      <c r="C962" t="inlineStr">
        <is>
          <t>SUP-01</t>
        </is>
      </c>
      <c r="D962" t="inlineStr">
        <is>
          <t>ELEC</t>
        </is>
      </c>
      <c r="E962" t="inlineStr">
        <is>
          <t>ELEC-07</t>
        </is>
      </c>
      <c r="F962" s="17" t="n">
        <v>45706</v>
      </c>
      <c r="G962" s="17" t="n">
        <v>45724</v>
      </c>
      <c r="H962" s="18" t="n">
        <v>275</v>
      </c>
      <c r="I962" s="19" t="n">
        <v>10.54</v>
      </c>
      <c r="J962" s="19" t="n">
        <v>9.800000000000001</v>
      </c>
      <c r="K962" s="20" t="n">
        <v>0</v>
      </c>
      <c r="L962" s="20" t="n">
        <v>0</v>
      </c>
      <c r="M962" s="18" t="n">
        <v>275</v>
      </c>
      <c r="N962" s="18" t="n">
        <v>275</v>
      </c>
      <c r="O962" s="18" t="n">
        <v>0</v>
      </c>
      <c r="P962" s="17" t="n">
        <v>45720</v>
      </c>
      <c r="Q962" s="17" t="n">
        <v>45720</v>
      </c>
      <c r="R962" s="17" t="n">
        <v>45720</v>
      </c>
      <c r="S962" s="19">
        <f>H962*I962</f>
        <v/>
      </c>
      <c r="T962" s="19">
        <f>H962*J962</f>
        <v/>
      </c>
      <c r="U962">
        <f>IF(AND(K962=0,G962&lt;=Assumptions!$C$6),1,0)</f>
        <v/>
      </c>
      <c r="V962">
        <f>IF(U962=1,IF(M962&gt;0,IF(P962&lt;=G962+Assumptions!$C$7,1,0),0),0)</f>
        <v/>
      </c>
      <c r="W962">
        <f>IF(AND(U962=1,M962&gt;=H962*(1-Assumptions!$C$8)),1,0)</f>
        <v/>
      </c>
      <c r="X962">
        <f>IF(AND(U962=1,N962&gt;=H962*(1-Assumptions!$C$8)),1,0)</f>
        <v/>
      </c>
      <c r="Y962">
        <f>IF(ISNUMBER(Q962),1,0)</f>
        <v/>
      </c>
      <c r="Z962">
        <f>IF(AND(K962=0,L962=0,Y962=0),1,0)</f>
        <v/>
      </c>
      <c r="AA962">
        <f>IF(AND(Z962=1,G962&lt;Assumptions!$C$6),1,0)</f>
        <v/>
      </c>
      <c r="AB962">
        <f>IF(U962=0,"",IF(Y962=1,MAX(0,Q962-G962),IF(L962=1,MAX(0,R962-G962),MAX(0,Assumptions!$C$6-G962))))</f>
        <v/>
      </c>
      <c r="AC962">
        <f>IF(Y962=1,Q962-F962,"")</f>
        <v/>
      </c>
      <c r="AD962">
        <f>IF(Y962=1,AC962^2,"")</f>
        <v/>
      </c>
      <c r="AE962" s="19">
        <f>IF(Z962=1,(H962-M962)*I962,0)</f>
        <v/>
      </c>
      <c r="AF962">
        <f>IF(G962&lt;EDATE(Assumptions!$C$6,-12)+1,"prior_12m","last_12m")</f>
        <v/>
      </c>
      <c r="AG962" s="21">
        <f>DATE(YEAR(G962),MONTH(G962),1)</f>
        <v/>
      </c>
    </row>
    <row r="963">
      <c r="A963" t="inlineStr">
        <is>
          <t>SPO-00533-1</t>
        </is>
      </c>
      <c r="B963" t="inlineStr">
        <is>
          <t>SPO-00533</t>
        </is>
      </c>
      <c r="C963" t="inlineStr">
        <is>
          <t>SUP-06</t>
        </is>
      </c>
      <c r="D963" t="inlineStr">
        <is>
          <t>MRO</t>
        </is>
      </c>
      <c r="E963" t="inlineStr">
        <is>
          <t>MRO-05</t>
        </is>
      </c>
      <c r="F963" s="17" t="n">
        <v>45706</v>
      </c>
      <c r="G963" s="17" t="n">
        <v>45714</v>
      </c>
      <c r="H963" s="18" t="n">
        <v>71</v>
      </c>
      <c r="I963" s="19" t="n">
        <v>36.22</v>
      </c>
      <c r="J963" s="19" t="n">
        <v>36</v>
      </c>
      <c r="K963" s="20" t="n">
        <v>0</v>
      </c>
      <c r="L963" s="20" t="n">
        <v>0</v>
      </c>
      <c r="M963" s="18" t="n">
        <v>71</v>
      </c>
      <c r="N963" s="18" t="n">
        <v>71</v>
      </c>
      <c r="O963" s="18" t="n">
        <v>0</v>
      </c>
      <c r="P963" s="17" t="n">
        <v>45714</v>
      </c>
      <c r="Q963" s="17" t="n">
        <v>45714</v>
      </c>
      <c r="R963" s="17" t="n">
        <v>45714</v>
      </c>
      <c r="S963" s="19">
        <f>H963*I963</f>
        <v/>
      </c>
      <c r="T963" s="19">
        <f>H963*J963</f>
        <v/>
      </c>
      <c r="U963">
        <f>IF(AND(K963=0,G963&lt;=Assumptions!$C$6),1,0)</f>
        <v/>
      </c>
      <c r="V963">
        <f>IF(U963=1,IF(M963&gt;0,IF(P963&lt;=G963+Assumptions!$C$7,1,0),0),0)</f>
        <v/>
      </c>
      <c r="W963">
        <f>IF(AND(U963=1,M963&gt;=H963*(1-Assumptions!$C$8)),1,0)</f>
        <v/>
      </c>
      <c r="X963">
        <f>IF(AND(U963=1,N963&gt;=H963*(1-Assumptions!$C$8)),1,0)</f>
        <v/>
      </c>
      <c r="Y963">
        <f>IF(ISNUMBER(Q963),1,0)</f>
        <v/>
      </c>
      <c r="Z963">
        <f>IF(AND(K963=0,L963=0,Y963=0),1,0)</f>
        <v/>
      </c>
      <c r="AA963">
        <f>IF(AND(Z963=1,G963&lt;Assumptions!$C$6),1,0)</f>
        <v/>
      </c>
      <c r="AB963">
        <f>IF(U963=0,"",IF(Y963=1,MAX(0,Q963-G963),IF(L963=1,MAX(0,R963-G963),MAX(0,Assumptions!$C$6-G963))))</f>
        <v/>
      </c>
      <c r="AC963">
        <f>IF(Y963=1,Q963-F963,"")</f>
        <v/>
      </c>
      <c r="AD963">
        <f>IF(Y963=1,AC963^2,"")</f>
        <v/>
      </c>
      <c r="AE963" s="19">
        <f>IF(Z963=1,(H963-M963)*I963,0)</f>
        <v/>
      </c>
      <c r="AF963">
        <f>IF(G963&lt;EDATE(Assumptions!$C$6,-12)+1,"prior_12m","last_12m")</f>
        <v/>
      </c>
      <c r="AG963" s="21">
        <f>DATE(YEAR(G963),MONTH(G963),1)</f>
        <v/>
      </c>
    </row>
    <row r="964">
      <c r="A964" t="inlineStr">
        <is>
          <t>SPO-00533-2</t>
        </is>
      </c>
      <c r="B964" t="inlineStr">
        <is>
          <t>SPO-00533</t>
        </is>
      </c>
      <c r="C964" t="inlineStr">
        <is>
          <t>SUP-06</t>
        </is>
      </c>
      <c r="D964" t="inlineStr">
        <is>
          <t>MRO</t>
        </is>
      </c>
      <c r="E964" t="inlineStr">
        <is>
          <t>MRO-04</t>
        </is>
      </c>
      <c r="F964" s="17" t="n">
        <v>45706</v>
      </c>
      <c r="G964" s="17" t="n">
        <v>45714</v>
      </c>
      <c r="H964" s="18" t="n">
        <v>26</v>
      </c>
      <c r="I964" s="19" t="n">
        <v>58.4</v>
      </c>
      <c r="J964" s="19" t="n">
        <v>58</v>
      </c>
      <c r="K964" s="20" t="n">
        <v>0</v>
      </c>
      <c r="L964" s="20" t="n">
        <v>0</v>
      </c>
      <c r="M964" s="18" t="n">
        <v>26</v>
      </c>
      <c r="N964" s="18" t="n">
        <v>26</v>
      </c>
      <c r="O964" s="18" t="n">
        <v>0</v>
      </c>
      <c r="P964" s="17" t="n">
        <v>45712</v>
      </c>
      <c r="Q964" s="17" t="n">
        <v>45712</v>
      </c>
      <c r="R964" s="17" t="n">
        <v>45712</v>
      </c>
      <c r="S964" s="19">
        <f>H964*I964</f>
        <v/>
      </c>
      <c r="T964" s="19">
        <f>H964*J964</f>
        <v/>
      </c>
      <c r="U964">
        <f>IF(AND(K964=0,G964&lt;=Assumptions!$C$6),1,0)</f>
        <v/>
      </c>
      <c r="V964">
        <f>IF(U964=1,IF(M964&gt;0,IF(P964&lt;=G964+Assumptions!$C$7,1,0),0),0)</f>
        <v/>
      </c>
      <c r="W964">
        <f>IF(AND(U964=1,M964&gt;=H964*(1-Assumptions!$C$8)),1,0)</f>
        <v/>
      </c>
      <c r="X964">
        <f>IF(AND(U964=1,N964&gt;=H964*(1-Assumptions!$C$8)),1,0)</f>
        <v/>
      </c>
      <c r="Y964">
        <f>IF(ISNUMBER(Q964),1,0)</f>
        <v/>
      </c>
      <c r="Z964">
        <f>IF(AND(K964=0,L964=0,Y964=0),1,0)</f>
        <v/>
      </c>
      <c r="AA964">
        <f>IF(AND(Z964=1,G964&lt;Assumptions!$C$6),1,0)</f>
        <v/>
      </c>
      <c r="AB964">
        <f>IF(U964=0,"",IF(Y964=1,MAX(0,Q964-G964),IF(L964=1,MAX(0,R964-G964),MAX(0,Assumptions!$C$6-G964))))</f>
        <v/>
      </c>
      <c r="AC964">
        <f>IF(Y964=1,Q964-F964,"")</f>
        <v/>
      </c>
      <c r="AD964">
        <f>IF(Y964=1,AC964^2,"")</f>
        <v/>
      </c>
      <c r="AE964" s="19">
        <f>IF(Z964=1,(H964-M964)*I964,0)</f>
        <v/>
      </c>
      <c r="AF964">
        <f>IF(G964&lt;EDATE(Assumptions!$C$6,-12)+1,"prior_12m","last_12m")</f>
        <v/>
      </c>
      <c r="AG964" s="21">
        <f>DATE(YEAR(G964),MONTH(G964),1)</f>
        <v/>
      </c>
    </row>
    <row r="965">
      <c r="A965" t="inlineStr">
        <is>
          <t>SPO-00533-3</t>
        </is>
      </c>
      <c r="B965" t="inlineStr">
        <is>
          <t>SPO-00533</t>
        </is>
      </c>
      <c r="C965" t="inlineStr">
        <is>
          <t>SUP-06</t>
        </is>
      </c>
      <c r="D965" t="inlineStr">
        <is>
          <t>MRO</t>
        </is>
      </c>
      <c r="E965" t="inlineStr">
        <is>
          <t>MRO-08</t>
        </is>
      </c>
      <c r="F965" s="17" t="n">
        <v>45706</v>
      </c>
      <c r="G965" s="17" t="n">
        <v>45714</v>
      </c>
      <c r="H965" s="18" t="n">
        <v>309</v>
      </c>
      <c r="I965" s="19" t="n">
        <v>7.42</v>
      </c>
      <c r="J965" s="19" t="n">
        <v>7.2</v>
      </c>
      <c r="K965" s="20" t="n">
        <v>0</v>
      </c>
      <c r="L965" s="20" t="n">
        <v>0</v>
      </c>
      <c r="M965" s="18" t="n">
        <v>309</v>
      </c>
      <c r="N965" s="18" t="n">
        <v>309</v>
      </c>
      <c r="O965" s="18" t="n">
        <v>0</v>
      </c>
      <c r="P965" s="17" t="n">
        <v>45713</v>
      </c>
      <c r="Q965" s="17" t="n">
        <v>45713</v>
      </c>
      <c r="R965" s="17" t="n">
        <v>45713</v>
      </c>
      <c r="S965" s="19">
        <f>H965*I965</f>
        <v/>
      </c>
      <c r="T965" s="19">
        <f>H965*J965</f>
        <v/>
      </c>
      <c r="U965">
        <f>IF(AND(K965=0,G965&lt;=Assumptions!$C$6),1,0)</f>
        <v/>
      </c>
      <c r="V965">
        <f>IF(U965=1,IF(M965&gt;0,IF(P965&lt;=G965+Assumptions!$C$7,1,0),0),0)</f>
        <v/>
      </c>
      <c r="W965">
        <f>IF(AND(U965=1,M965&gt;=H965*(1-Assumptions!$C$8)),1,0)</f>
        <v/>
      </c>
      <c r="X965">
        <f>IF(AND(U965=1,N965&gt;=H965*(1-Assumptions!$C$8)),1,0)</f>
        <v/>
      </c>
      <c r="Y965">
        <f>IF(ISNUMBER(Q965),1,0)</f>
        <v/>
      </c>
      <c r="Z965">
        <f>IF(AND(K965=0,L965=0,Y965=0),1,0)</f>
        <v/>
      </c>
      <c r="AA965">
        <f>IF(AND(Z965=1,G965&lt;Assumptions!$C$6),1,0)</f>
        <v/>
      </c>
      <c r="AB965">
        <f>IF(U965=0,"",IF(Y965=1,MAX(0,Q965-G965),IF(L965=1,MAX(0,R965-G965),MAX(0,Assumptions!$C$6-G965))))</f>
        <v/>
      </c>
      <c r="AC965">
        <f>IF(Y965=1,Q965-F965,"")</f>
        <v/>
      </c>
      <c r="AD965">
        <f>IF(Y965=1,AC965^2,"")</f>
        <v/>
      </c>
      <c r="AE965" s="19">
        <f>IF(Z965=1,(H965-M965)*I965,0)</f>
        <v/>
      </c>
      <c r="AF965">
        <f>IF(G965&lt;EDATE(Assumptions!$C$6,-12)+1,"prior_12m","last_12m")</f>
        <v/>
      </c>
      <c r="AG965" s="21">
        <f>DATE(YEAR(G965),MONTH(G965),1)</f>
        <v/>
      </c>
    </row>
    <row r="966">
      <c r="A966" t="inlineStr">
        <is>
          <t>SPO-00534-1</t>
        </is>
      </c>
      <c r="B966" t="inlineStr">
        <is>
          <t>SPO-00534</t>
        </is>
      </c>
      <c r="C966" t="inlineStr">
        <is>
          <t>SUP-10</t>
        </is>
      </c>
      <c r="D966" t="inlineStr">
        <is>
          <t>PPE</t>
        </is>
      </c>
      <c r="E966" t="inlineStr">
        <is>
          <t>PPE-08</t>
        </is>
      </c>
      <c r="F966" s="17" t="n">
        <v>45706</v>
      </c>
      <c r="G966" s="17" t="n">
        <v>45719</v>
      </c>
      <c r="H966" s="18" t="n">
        <v>19</v>
      </c>
      <c r="I966" s="19" t="n">
        <v>65.03</v>
      </c>
      <c r="J966" s="19" t="n">
        <v>64</v>
      </c>
      <c r="K966" s="20" t="n">
        <v>0</v>
      </c>
      <c r="L966" s="20" t="n">
        <v>0</v>
      </c>
      <c r="M966" s="18" t="n">
        <v>19</v>
      </c>
      <c r="N966" s="18" t="n">
        <v>19</v>
      </c>
      <c r="O966" s="18" t="n">
        <v>1</v>
      </c>
      <c r="P966" s="17" t="n">
        <v>45715</v>
      </c>
      <c r="Q966" s="17" t="n">
        <v>45715</v>
      </c>
      <c r="R966" s="17" t="n">
        <v>45715</v>
      </c>
      <c r="S966" s="19">
        <f>H966*I966</f>
        <v/>
      </c>
      <c r="T966" s="19">
        <f>H966*J966</f>
        <v/>
      </c>
      <c r="U966">
        <f>IF(AND(K966=0,G966&lt;=Assumptions!$C$6),1,0)</f>
        <v/>
      </c>
      <c r="V966">
        <f>IF(U966=1,IF(M966&gt;0,IF(P966&lt;=G966+Assumptions!$C$7,1,0),0),0)</f>
        <v/>
      </c>
      <c r="W966">
        <f>IF(AND(U966=1,M966&gt;=H966*(1-Assumptions!$C$8)),1,0)</f>
        <v/>
      </c>
      <c r="X966">
        <f>IF(AND(U966=1,N966&gt;=H966*(1-Assumptions!$C$8)),1,0)</f>
        <v/>
      </c>
      <c r="Y966">
        <f>IF(ISNUMBER(Q966),1,0)</f>
        <v/>
      </c>
      <c r="Z966">
        <f>IF(AND(K966=0,L966=0,Y966=0),1,0)</f>
        <v/>
      </c>
      <c r="AA966">
        <f>IF(AND(Z966=1,G966&lt;Assumptions!$C$6),1,0)</f>
        <v/>
      </c>
      <c r="AB966">
        <f>IF(U966=0,"",IF(Y966=1,MAX(0,Q966-G966),IF(L966=1,MAX(0,R966-G966),MAX(0,Assumptions!$C$6-G966))))</f>
        <v/>
      </c>
      <c r="AC966">
        <f>IF(Y966=1,Q966-F966,"")</f>
        <v/>
      </c>
      <c r="AD966">
        <f>IF(Y966=1,AC966^2,"")</f>
        <v/>
      </c>
      <c r="AE966" s="19">
        <f>IF(Z966=1,(H966-M966)*I966,0)</f>
        <v/>
      </c>
      <c r="AF966">
        <f>IF(G966&lt;EDATE(Assumptions!$C$6,-12)+1,"prior_12m","last_12m")</f>
        <v/>
      </c>
      <c r="AG966" s="21">
        <f>DATE(YEAR(G966),MONTH(G966),1)</f>
        <v/>
      </c>
    </row>
    <row r="967">
      <c r="A967" t="inlineStr">
        <is>
          <t>SPO-00534-2</t>
        </is>
      </c>
      <c r="B967" t="inlineStr">
        <is>
          <t>SPO-00534</t>
        </is>
      </c>
      <c r="C967" t="inlineStr">
        <is>
          <t>SUP-10</t>
        </is>
      </c>
      <c r="D967" t="inlineStr">
        <is>
          <t>PPE</t>
        </is>
      </c>
      <c r="E967" t="inlineStr">
        <is>
          <t>PPE-01</t>
        </is>
      </c>
      <c r="F967" s="17" t="n">
        <v>45706</v>
      </c>
      <c r="G967" s="17" t="n">
        <v>45719</v>
      </c>
      <c r="H967" s="18" t="n">
        <v>302</v>
      </c>
      <c r="I967" s="19" t="n">
        <v>4.69</v>
      </c>
      <c r="J967" s="19" t="n">
        <v>4.8</v>
      </c>
      <c r="K967" s="20" t="n">
        <v>0</v>
      </c>
      <c r="L967" s="20" t="n">
        <v>0</v>
      </c>
      <c r="M967" s="18" t="n">
        <v>302</v>
      </c>
      <c r="N967" s="18" t="n">
        <v>302</v>
      </c>
      <c r="O967" s="18" t="n">
        <v>0</v>
      </c>
      <c r="P967" s="17" t="n">
        <v>45716</v>
      </c>
      <c r="Q967" s="17" t="n">
        <v>45716</v>
      </c>
      <c r="R967" s="17" t="n">
        <v>45716</v>
      </c>
      <c r="S967" s="19">
        <f>H967*I967</f>
        <v/>
      </c>
      <c r="T967" s="19">
        <f>H967*J967</f>
        <v/>
      </c>
      <c r="U967">
        <f>IF(AND(K967=0,G967&lt;=Assumptions!$C$6),1,0)</f>
        <v/>
      </c>
      <c r="V967">
        <f>IF(U967=1,IF(M967&gt;0,IF(P967&lt;=G967+Assumptions!$C$7,1,0),0),0)</f>
        <v/>
      </c>
      <c r="W967">
        <f>IF(AND(U967=1,M967&gt;=H967*(1-Assumptions!$C$8)),1,0)</f>
        <v/>
      </c>
      <c r="X967">
        <f>IF(AND(U967=1,N967&gt;=H967*(1-Assumptions!$C$8)),1,0)</f>
        <v/>
      </c>
      <c r="Y967">
        <f>IF(ISNUMBER(Q967),1,0)</f>
        <v/>
      </c>
      <c r="Z967">
        <f>IF(AND(K967=0,L967=0,Y967=0),1,0)</f>
        <v/>
      </c>
      <c r="AA967">
        <f>IF(AND(Z967=1,G967&lt;Assumptions!$C$6),1,0)</f>
        <v/>
      </c>
      <c r="AB967">
        <f>IF(U967=0,"",IF(Y967=1,MAX(0,Q967-G967),IF(L967=1,MAX(0,R967-G967),MAX(0,Assumptions!$C$6-G967))))</f>
        <v/>
      </c>
      <c r="AC967">
        <f>IF(Y967=1,Q967-F967,"")</f>
        <v/>
      </c>
      <c r="AD967">
        <f>IF(Y967=1,AC967^2,"")</f>
        <v/>
      </c>
      <c r="AE967" s="19">
        <f>IF(Z967=1,(H967-M967)*I967,0)</f>
        <v/>
      </c>
      <c r="AF967">
        <f>IF(G967&lt;EDATE(Assumptions!$C$6,-12)+1,"prior_12m","last_12m")</f>
        <v/>
      </c>
      <c r="AG967" s="21">
        <f>DATE(YEAR(G967),MONTH(G967),1)</f>
        <v/>
      </c>
    </row>
    <row r="968">
      <c r="A968" t="inlineStr">
        <is>
          <t>SPO-00535-1</t>
        </is>
      </c>
      <c r="B968" t="inlineStr">
        <is>
          <t>SPO-00535</t>
        </is>
      </c>
      <c r="C968" t="inlineStr">
        <is>
          <t>SUP-01</t>
        </is>
      </c>
      <c r="D968" t="inlineStr">
        <is>
          <t>ELEC</t>
        </is>
      </c>
      <c r="E968" t="inlineStr">
        <is>
          <t>ELEC-06</t>
        </is>
      </c>
      <c r="F968" s="17" t="n">
        <v>45707</v>
      </c>
      <c r="G968" s="17" t="n">
        <v>45725</v>
      </c>
      <c r="H968" s="18" t="n">
        <v>4</v>
      </c>
      <c r="I968" s="19" t="n">
        <v>150.4</v>
      </c>
      <c r="J968" s="19" t="n">
        <v>145</v>
      </c>
      <c r="K968" s="20" t="n">
        <v>0</v>
      </c>
      <c r="L968" s="20" t="n">
        <v>0</v>
      </c>
      <c r="M968" s="18" t="n">
        <v>4</v>
      </c>
      <c r="N968" s="18" t="n">
        <v>4</v>
      </c>
      <c r="O968" s="18" t="n">
        <v>0</v>
      </c>
      <c r="P968" s="17" t="n">
        <v>45721</v>
      </c>
      <c r="Q968" s="17" t="n">
        <v>45721</v>
      </c>
      <c r="R968" s="17" t="n">
        <v>45721</v>
      </c>
      <c r="S968" s="19">
        <f>H968*I968</f>
        <v/>
      </c>
      <c r="T968" s="19">
        <f>H968*J968</f>
        <v/>
      </c>
      <c r="U968">
        <f>IF(AND(K968=0,G968&lt;=Assumptions!$C$6),1,0)</f>
        <v/>
      </c>
      <c r="V968">
        <f>IF(U968=1,IF(M968&gt;0,IF(P968&lt;=G968+Assumptions!$C$7,1,0),0),0)</f>
        <v/>
      </c>
      <c r="W968">
        <f>IF(AND(U968=1,M968&gt;=H968*(1-Assumptions!$C$8)),1,0)</f>
        <v/>
      </c>
      <c r="X968">
        <f>IF(AND(U968=1,N968&gt;=H968*(1-Assumptions!$C$8)),1,0)</f>
        <v/>
      </c>
      <c r="Y968">
        <f>IF(ISNUMBER(Q968),1,0)</f>
        <v/>
      </c>
      <c r="Z968">
        <f>IF(AND(K968=0,L968=0,Y968=0),1,0)</f>
        <v/>
      </c>
      <c r="AA968">
        <f>IF(AND(Z968=1,G968&lt;Assumptions!$C$6),1,0)</f>
        <v/>
      </c>
      <c r="AB968">
        <f>IF(U968=0,"",IF(Y968=1,MAX(0,Q968-G968),IF(L968=1,MAX(0,R968-G968),MAX(0,Assumptions!$C$6-G968))))</f>
        <v/>
      </c>
      <c r="AC968">
        <f>IF(Y968=1,Q968-F968,"")</f>
        <v/>
      </c>
      <c r="AD968">
        <f>IF(Y968=1,AC968^2,"")</f>
        <v/>
      </c>
      <c r="AE968" s="19">
        <f>IF(Z968=1,(H968-M968)*I968,0)</f>
        <v/>
      </c>
      <c r="AF968">
        <f>IF(G968&lt;EDATE(Assumptions!$C$6,-12)+1,"prior_12m","last_12m")</f>
        <v/>
      </c>
      <c r="AG968" s="21">
        <f>DATE(YEAR(G968),MONTH(G968),1)</f>
        <v/>
      </c>
    </row>
    <row r="969">
      <c r="A969" t="inlineStr">
        <is>
          <t>SPO-00535-2</t>
        </is>
      </c>
      <c r="B969" t="inlineStr">
        <is>
          <t>SPO-00535</t>
        </is>
      </c>
      <c r="C969" t="inlineStr">
        <is>
          <t>SUP-01</t>
        </is>
      </c>
      <c r="D969" t="inlineStr">
        <is>
          <t>ELEC</t>
        </is>
      </c>
      <c r="E969" t="inlineStr">
        <is>
          <t>ELEC-01</t>
        </is>
      </c>
      <c r="F969" s="17" t="n">
        <v>45707</v>
      </c>
      <c r="G969" s="17" t="n">
        <v>45725</v>
      </c>
      <c r="H969" s="18" t="n">
        <v>26</v>
      </c>
      <c r="I969" s="19" t="n">
        <v>36.76</v>
      </c>
      <c r="J969" s="19" t="n">
        <v>38</v>
      </c>
      <c r="K969" s="20" t="n">
        <v>0</v>
      </c>
      <c r="L969" s="20" t="n">
        <v>0</v>
      </c>
      <c r="M969" s="18" t="n">
        <v>26</v>
      </c>
      <c r="N969" s="18" t="n">
        <v>26</v>
      </c>
      <c r="O969" s="18" t="n">
        <v>0</v>
      </c>
      <c r="P969" s="17" t="n">
        <v>45724</v>
      </c>
      <c r="Q969" s="17" t="n">
        <v>45724</v>
      </c>
      <c r="R969" s="17" t="n">
        <v>45724</v>
      </c>
      <c r="S969" s="19">
        <f>H969*I969</f>
        <v/>
      </c>
      <c r="T969" s="19">
        <f>H969*J969</f>
        <v/>
      </c>
      <c r="U969">
        <f>IF(AND(K969=0,G969&lt;=Assumptions!$C$6),1,0)</f>
        <v/>
      </c>
      <c r="V969">
        <f>IF(U969=1,IF(M969&gt;0,IF(P969&lt;=G969+Assumptions!$C$7,1,0),0),0)</f>
        <v/>
      </c>
      <c r="W969">
        <f>IF(AND(U969=1,M969&gt;=H969*(1-Assumptions!$C$8)),1,0)</f>
        <v/>
      </c>
      <c r="X969">
        <f>IF(AND(U969=1,N969&gt;=H969*(1-Assumptions!$C$8)),1,0)</f>
        <v/>
      </c>
      <c r="Y969">
        <f>IF(ISNUMBER(Q969),1,0)</f>
        <v/>
      </c>
      <c r="Z969">
        <f>IF(AND(K969=0,L969=0,Y969=0),1,0)</f>
        <v/>
      </c>
      <c r="AA969">
        <f>IF(AND(Z969=1,G969&lt;Assumptions!$C$6),1,0)</f>
        <v/>
      </c>
      <c r="AB969">
        <f>IF(U969=0,"",IF(Y969=1,MAX(0,Q969-G969),IF(L969=1,MAX(0,R969-G969),MAX(0,Assumptions!$C$6-G969))))</f>
        <v/>
      </c>
      <c r="AC969">
        <f>IF(Y969=1,Q969-F969,"")</f>
        <v/>
      </c>
      <c r="AD969">
        <f>IF(Y969=1,AC969^2,"")</f>
        <v/>
      </c>
      <c r="AE969" s="19">
        <f>IF(Z969=1,(H969-M969)*I969,0)</f>
        <v/>
      </c>
      <c r="AF969">
        <f>IF(G969&lt;EDATE(Assumptions!$C$6,-12)+1,"prior_12m","last_12m")</f>
        <v/>
      </c>
      <c r="AG969" s="21">
        <f>DATE(YEAR(G969),MONTH(G969),1)</f>
        <v/>
      </c>
    </row>
    <row r="970">
      <c r="A970" t="inlineStr">
        <is>
          <t>SPO-00535-3</t>
        </is>
      </c>
      <c r="B970" t="inlineStr">
        <is>
          <t>SPO-00535</t>
        </is>
      </c>
      <c r="C970" t="inlineStr">
        <is>
          <t>SUP-01</t>
        </is>
      </c>
      <c r="D970" t="inlineStr">
        <is>
          <t>ELEC</t>
        </is>
      </c>
      <c r="E970" t="inlineStr">
        <is>
          <t>ELEC-04</t>
        </is>
      </c>
      <c r="F970" s="17" t="n">
        <v>45707</v>
      </c>
      <c r="G970" s="17" t="n">
        <v>45725</v>
      </c>
      <c r="H970" s="18" t="n">
        <v>79</v>
      </c>
      <c r="I970" s="19" t="n">
        <v>71.81999999999999</v>
      </c>
      <c r="J970" s="19" t="n">
        <v>72</v>
      </c>
      <c r="K970" s="20" t="n">
        <v>0</v>
      </c>
      <c r="L970" s="20" t="n">
        <v>0</v>
      </c>
      <c r="M970" s="18" t="n">
        <v>79</v>
      </c>
      <c r="N970" s="18" t="n">
        <v>79</v>
      </c>
      <c r="O970" s="18" t="n">
        <v>0</v>
      </c>
      <c r="P970" s="17" t="n">
        <v>45723</v>
      </c>
      <c r="Q970" s="17" t="n">
        <v>45723</v>
      </c>
      <c r="R970" s="17" t="n">
        <v>45723</v>
      </c>
      <c r="S970" s="19">
        <f>H970*I970</f>
        <v/>
      </c>
      <c r="T970" s="19">
        <f>H970*J970</f>
        <v/>
      </c>
      <c r="U970">
        <f>IF(AND(K970=0,G970&lt;=Assumptions!$C$6),1,0)</f>
        <v/>
      </c>
      <c r="V970">
        <f>IF(U970=1,IF(M970&gt;0,IF(P970&lt;=G970+Assumptions!$C$7,1,0),0),0)</f>
        <v/>
      </c>
      <c r="W970">
        <f>IF(AND(U970=1,M970&gt;=H970*(1-Assumptions!$C$8)),1,0)</f>
        <v/>
      </c>
      <c r="X970">
        <f>IF(AND(U970=1,N970&gt;=H970*(1-Assumptions!$C$8)),1,0)</f>
        <v/>
      </c>
      <c r="Y970">
        <f>IF(ISNUMBER(Q970),1,0)</f>
        <v/>
      </c>
      <c r="Z970">
        <f>IF(AND(K970=0,L970=0,Y970=0),1,0)</f>
        <v/>
      </c>
      <c r="AA970">
        <f>IF(AND(Z970=1,G970&lt;Assumptions!$C$6),1,0)</f>
        <v/>
      </c>
      <c r="AB970">
        <f>IF(U970=0,"",IF(Y970=1,MAX(0,Q970-G970),IF(L970=1,MAX(0,R970-G970),MAX(0,Assumptions!$C$6-G970))))</f>
        <v/>
      </c>
      <c r="AC970">
        <f>IF(Y970=1,Q970-F970,"")</f>
        <v/>
      </c>
      <c r="AD970">
        <f>IF(Y970=1,AC970^2,"")</f>
        <v/>
      </c>
      <c r="AE970" s="19">
        <f>IF(Z970=1,(H970-M970)*I970,0)</f>
        <v/>
      </c>
      <c r="AF970">
        <f>IF(G970&lt;EDATE(Assumptions!$C$6,-12)+1,"prior_12m","last_12m")</f>
        <v/>
      </c>
      <c r="AG970" s="21">
        <f>DATE(YEAR(G970),MONTH(G970),1)</f>
        <v/>
      </c>
    </row>
    <row r="971">
      <c r="A971" t="inlineStr">
        <is>
          <t>SPO-00536-1</t>
        </is>
      </c>
      <c r="B971" t="inlineStr">
        <is>
          <t>SPO-00536</t>
        </is>
      </c>
      <c r="C971" t="inlineStr">
        <is>
          <t>SUP-01</t>
        </is>
      </c>
      <c r="D971" t="inlineStr">
        <is>
          <t>ELEC</t>
        </is>
      </c>
      <c r="E971" t="inlineStr">
        <is>
          <t>ELEC-05</t>
        </is>
      </c>
      <c r="F971" s="17" t="n">
        <v>45707</v>
      </c>
      <c r="G971" s="17" t="n">
        <v>45725</v>
      </c>
      <c r="H971" s="18" t="n">
        <v>121</v>
      </c>
      <c r="I971" s="19" t="n">
        <v>11.32</v>
      </c>
      <c r="J971" s="19" t="n">
        <v>11.5</v>
      </c>
      <c r="K971" s="20" t="n">
        <v>0</v>
      </c>
      <c r="L971" s="20" t="n">
        <v>0</v>
      </c>
      <c r="M971" s="18" t="n">
        <v>121</v>
      </c>
      <c r="N971" s="18" t="n">
        <v>121</v>
      </c>
      <c r="O971" s="18" t="n">
        <v>0</v>
      </c>
      <c r="P971" s="17" t="n">
        <v>45723</v>
      </c>
      <c r="Q971" s="17" t="n">
        <v>45723</v>
      </c>
      <c r="R971" s="17" t="n">
        <v>45723</v>
      </c>
      <c r="S971" s="19">
        <f>H971*I971</f>
        <v/>
      </c>
      <c r="T971" s="19">
        <f>H971*J971</f>
        <v/>
      </c>
      <c r="U971">
        <f>IF(AND(K971=0,G971&lt;=Assumptions!$C$6),1,0)</f>
        <v/>
      </c>
      <c r="V971">
        <f>IF(U971=1,IF(M971&gt;0,IF(P971&lt;=G971+Assumptions!$C$7,1,0),0),0)</f>
        <v/>
      </c>
      <c r="W971">
        <f>IF(AND(U971=1,M971&gt;=H971*(1-Assumptions!$C$8)),1,0)</f>
        <v/>
      </c>
      <c r="X971">
        <f>IF(AND(U971=1,N971&gt;=H971*(1-Assumptions!$C$8)),1,0)</f>
        <v/>
      </c>
      <c r="Y971">
        <f>IF(ISNUMBER(Q971),1,0)</f>
        <v/>
      </c>
      <c r="Z971">
        <f>IF(AND(K971=0,L971=0,Y971=0),1,0)</f>
        <v/>
      </c>
      <c r="AA971">
        <f>IF(AND(Z971=1,G971&lt;Assumptions!$C$6),1,0)</f>
        <v/>
      </c>
      <c r="AB971">
        <f>IF(U971=0,"",IF(Y971=1,MAX(0,Q971-G971),IF(L971=1,MAX(0,R971-G971),MAX(0,Assumptions!$C$6-G971))))</f>
        <v/>
      </c>
      <c r="AC971">
        <f>IF(Y971=1,Q971-F971,"")</f>
        <v/>
      </c>
      <c r="AD971">
        <f>IF(Y971=1,AC971^2,"")</f>
        <v/>
      </c>
      <c r="AE971" s="19">
        <f>IF(Z971=1,(H971-M971)*I971,0)</f>
        <v/>
      </c>
      <c r="AF971">
        <f>IF(G971&lt;EDATE(Assumptions!$C$6,-12)+1,"prior_12m","last_12m")</f>
        <v/>
      </c>
      <c r="AG971" s="21">
        <f>DATE(YEAR(G971),MONTH(G971),1)</f>
        <v/>
      </c>
    </row>
    <row r="972">
      <c r="A972" t="inlineStr">
        <is>
          <t>SPO-00536-2</t>
        </is>
      </c>
      <c r="B972" t="inlineStr">
        <is>
          <t>SPO-00536</t>
        </is>
      </c>
      <c r="C972" t="inlineStr">
        <is>
          <t>SUP-01</t>
        </is>
      </c>
      <c r="D972" t="inlineStr">
        <is>
          <t>ELEC</t>
        </is>
      </c>
      <c r="E972" t="inlineStr">
        <is>
          <t>ELEC-07</t>
        </is>
      </c>
      <c r="F972" s="17" t="n">
        <v>45707</v>
      </c>
      <c r="G972" s="17" t="n">
        <v>45725</v>
      </c>
      <c r="H972" s="18" t="n">
        <v>368</v>
      </c>
      <c r="I972" s="19" t="n">
        <v>9.84</v>
      </c>
      <c r="J972" s="19" t="n">
        <v>9.800000000000001</v>
      </c>
      <c r="K972" s="20" t="n">
        <v>0</v>
      </c>
      <c r="L972" s="20" t="n">
        <v>0</v>
      </c>
      <c r="M972" s="18" t="n">
        <v>368</v>
      </c>
      <c r="N972" s="18" t="n">
        <v>368</v>
      </c>
      <c r="O972" s="18" t="n">
        <v>0</v>
      </c>
      <c r="P972" s="17" t="n">
        <v>45723</v>
      </c>
      <c r="Q972" s="17" t="n">
        <v>45723</v>
      </c>
      <c r="R972" s="17" t="n">
        <v>45723</v>
      </c>
      <c r="S972" s="19">
        <f>H972*I972</f>
        <v/>
      </c>
      <c r="T972" s="19">
        <f>H972*J972</f>
        <v/>
      </c>
      <c r="U972">
        <f>IF(AND(K972=0,G972&lt;=Assumptions!$C$6),1,0)</f>
        <v/>
      </c>
      <c r="V972">
        <f>IF(U972=1,IF(M972&gt;0,IF(P972&lt;=G972+Assumptions!$C$7,1,0),0),0)</f>
        <v/>
      </c>
      <c r="W972">
        <f>IF(AND(U972=1,M972&gt;=H972*(1-Assumptions!$C$8)),1,0)</f>
        <v/>
      </c>
      <c r="X972">
        <f>IF(AND(U972=1,N972&gt;=H972*(1-Assumptions!$C$8)),1,0)</f>
        <v/>
      </c>
      <c r="Y972">
        <f>IF(ISNUMBER(Q972),1,0)</f>
        <v/>
      </c>
      <c r="Z972">
        <f>IF(AND(K972=0,L972=0,Y972=0),1,0)</f>
        <v/>
      </c>
      <c r="AA972">
        <f>IF(AND(Z972=1,G972&lt;Assumptions!$C$6),1,0)</f>
        <v/>
      </c>
      <c r="AB972">
        <f>IF(U972=0,"",IF(Y972=1,MAX(0,Q972-G972),IF(L972=1,MAX(0,R972-G972),MAX(0,Assumptions!$C$6-G972))))</f>
        <v/>
      </c>
      <c r="AC972">
        <f>IF(Y972=1,Q972-F972,"")</f>
        <v/>
      </c>
      <c r="AD972">
        <f>IF(Y972=1,AC972^2,"")</f>
        <v/>
      </c>
      <c r="AE972" s="19">
        <f>IF(Z972=1,(H972-M972)*I972,0)</f>
        <v/>
      </c>
      <c r="AF972">
        <f>IF(G972&lt;EDATE(Assumptions!$C$6,-12)+1,"prior_12m","last_12m")</f>
        <v/>
      </c>
      <c r="AG972" s="21">
        <f>DATE(YEAR(G972),MONTH(G972),1)</f>
        <v/>
      </c>
    </row>
    <row r="973">
      <c r="A973" t="inlineStr">
        <is>
          <t>SPO-00537-1</t>
        </is>
      </c>
      <c r="B973" t="inlineStr">
        <is>
          <t>SPO-00537</t>
        </is>
      </c>
      <c r="C973" t="inlineStr">
        <is>
          <t>SUP-01</t>
        </is>
      </c>
      <c r="D973" t="inlineStr">
        <is>
          <t>ELEC</t>
        </is>
      </c>
      <c r="E973" t="inlineStr">
        <is>
          <t>ELEC-02</t>
        </is>
      </c>
      <c r="F973" s="17" t="n">
        <v>45707</v>
      </c>
      <c r="G973" s="17" t="n">
        <v>45725</v>
      </c>
      <c r="H973" s="18" t="n">
        <v>568</v>
      </c>
      <c r="I973" s="19" t="n">
        <v>4.46</v>
      </c>
      <c r="J973" s="19" t="n">
        <v>4.2</v>
      </c>
      <c r="K973" s="20" t="n">
        <v>0</v>
      </c>
      <c r="L973" s="20" t="n">
        <v>0</v>
      </c>
      <c r="M973" s="18" t="n">
        <v>568</v>
      </c>
      <c r="N973" s="18" t="n">
        <v>568</v>
      </c>
      <c r="O973" s="18" t="n">
        <v>0</v>
      </c>
      <c r="P973" s="17" t="n">
        <v>45718</v>
      </c>
      <c r="Q973" s="17" t="n">
        <v>45718</v>
      </c>
      <c r="R973" s="17" t="n">
        <v>45718</v>
      </c>
      <c r="S973" s="19">
        <f>H973*I973</f>
        <v/>
      </c>
      <c r="T973" s="19">
        <f>H973*J973</f>
        <v/>
      </c>
      <c r="U973">
        <f>IF(AND(K973=0,G973&lt;=Assumptions!$C$6),1,0)</f>
        <v/>
      </c>
      <c r="V973">
        <f>IF(U973=1,IF(M973&gt;0,IF(P973&lt;=G973+Assumptions!$C$7,1,0),0),0)</f>
        <v/>
      </c>
      <c r="W973">
        <f>IF(AND(U973=1,M973&gt;=H973*(1-Assumptions!$C$8)),1,0)</f>
        <v/>
      </c>
      <c r="X973">
        <f>IF(AND(U973=1,N973&gt;=H973*(1-Assumptions!$C$8)),1,0)</f>
        <v/>
      </c>
      <c r="Y973">
        <f>IF(ISNUMBER(Q973),1,0)</f>
        <v/>
      </c>
      <c r="Z973">
        <f>IF(AND(K973=0,L973=0,Y973=0),1,0)</f>
        <v/>
      </c>
      <c r="AA973">
        <f>IF(AND(Z973=1,G973&lt;Assumptions!$C$6),1,0)</f>
        <v/>
      </c>
      <c r="AB973">
        <f>IF(U973=0,"",IF(Y973=1,MAX(0,Q973-G973),IF(L973=1,MAX(0,R973-G973),MAX(0,Assumptions!$C$6-G973))))</f>
        <v/>
      </c>
      <c r="AC973">
        <f>IF(Y973=1,Q973-F973,"")</f>
        <v/>
      </c>
      <c r="AD973">
        <f>IF(Y973=1,AC973^2,"")</f>
        <v/>
      </c>
      <c r="AE973" s="19">
        <f>IF(Z973=1,(H973-M973)*I973,0)</f>
        <v/>
      </c>
      <c r="AF973">
        <f>IF(G973&lt;EDATE(Assumptions!$C$6,-12)+1,"prior_12m","last_12m")</f>
        <v/>
      </c>
      <c r="AG973" s="21">
        <f>DATE(YEAR(G973),MONTH(G973),1)</f>
        <v/>
      </c>
    </row>
    <row r="974">
      <c r="A974" t="inlineStr">
        <is>
          <t>SPO-00537-2</t>
        </is>
      </c>
      <c r="B974" t="inlineStr">
        <is>
          <t>SPO-00537</t>
        </is>
      </c>
      <c r="C974" t="inlineStr">
        <is>
          <t>SUP-01</t>
        </is>
      </c>
      <c r="D974" t="inlineStr">
        <is>
          <t>ELEC</t>
        </is>
      </c>
      <c r="E974" t="inlineStr">
        <is>
          <t>ELEC-04</t>
        </is>
      </c>
      <c r="F974" s="17" t="n">
        <v>45707</v>
      </c>
      <c r="G974" s="17" t="n">
        <v>45725</v>
      </c>
      <c r="H974" s="18" t="n">
        <v>46</v>
      </c>
      <c r="I974" s="19" t="n">
        <v>72.97</v>
      </c>
      <c r="J974" s="19" t="n">
        <v>72</v>
      </c>
      <c r="K974" s="20" t="n">
        <v>0</v>
      </c>
      <c r="L974" s="20" t="n">
        <v>0</v>
      </c>
      <c r="M974" s="18" t="n">
        <v>46</v>
      </c>
      <c r="N974" s="18" t="n">
        <v>46</v>
      </c>
      <c r="O974" s="18" t="n">
        <v>0</v>
      </c>
      <c r="P974" s="17" t="n">
        <v>45722</v>
      </c>
      <c r="Q974" s="17" t="n">
        <v>45722</v>
      </c>
      <c r="R974" s="17" t="n">
        <v>45722</v>
      </c>
      <c r="S974" s="19">
        <f>H974*I974</f>
        <v/>
      </c>
      <c r="T974" s="19">
        <f>H974*J974</f>
        <v/>
      </c>
      <c r="U974">
        <f>IF(AND(K974=0,G974&lt;=Assumptions!$C$6),1,0)</f>
        <v/>
      </c>
      <c r="V974">
        <f>IF(U974=1,IF(M974&gt;0,IF(P974&lt;=G974+Assumptions!$C$7,1,0),0),0)</f>
        <v/>
      </c>
      <c r="W974">
        <f>IF(AND(U974=1,M974&gt;=H974*(1-Assumptions!$C$8)),1,0)</f>
        <v/>
      </c>
      <c r="X974">
        <f>IF(AND(U974=1,N974&gt;=H974*(1-Assumptions!$C$8)),1,0)</f>
        <v/>
      </c>
      <c r="Y974">
        <f>IF(ISNUMBER(Q974),1,0)</f>
        <v/>
      </c>
      <c r="Z974">
        <f>IF(AND(K974=0,L974=0,Y974=0),1,0)</f>
        <v/>
      </c>
      <c r="AA974">
        <f>IF(AND(Z974=1,G974&lt;Assumptions!$C$6),1,0)</f>
        <v/>
      </c>
      <c r="AB974">
        <f>IF(U974=0,"",IF(Y974=1,MAX(0,Q974-G974),IF(L974=1,MAX(0,R974-G974),MAX(0,Assumptions!$C$6-G974))))</f>
        <v/>
      </c>
      <c r="AC974">
        <f>IF(Y974=1,Q974-F974,"")</f>
        <v/>
      </c>
      <c r="AD974">
        <f>IF(Y974=1,AC974^2,"")</f>
        <v/>
      </c>
      <c r="AE974" s="19">
        <f>IF(Z974=1,(H974-M974)*I974,0)</f>
        <v/>
      </c>
      <c r="AF974">
        <f>IF(G974&lt;EDATE(Assumptions!$C$6,-12)+1,"prior_12m","last_12m")</f>
        <v/>
      </c>
      <c r="AG974" s="21">
        <f>DATE(YEAR(G974),MONTH(G974),1)</f>
        <v/>
      </c>
    </row>
    <row r="975">
      <c r="A975" t="inlineStr">
        <is>
          <t>SPO-00538-1</t>
        </is>
      </c>
      <c r="B975" t="inlineStr">
        <is>
          <t>SPO-00538</t>
        </is>
      </c>
      <c r="C975" t="inlineStr">
        <is>
          <t>SUP-05</t>
        </is>
      </c>
      <c r="D975" t="inlineStr">
        <is>
          <t>FLEET</t>
        </is>
      </c>
      <c r="E975" t="inlineStr">
        <is>
          <t>FLEET-02</t>
        </is>
      </c>
      <c r="F975" s="17" t="n">
        <v>45707</v>
      </c>
      <c r="G975" s="17" t="n">
        <v>45721</v>
      </c>
      <c r="H975" s="18" t="n">
        <v>206</v>
      </c>
      <c r="I975" s="19" t="n">
        <v>7.68</v>
      </c>
      <c r="J975" s="19" t="n">
        <v>7.5</v>
      </c>
      <c r="K975" s="20" t="n">
        <v>0</v>
      </c>
      <c r="L975" s="20" t="n">
        <v>0</v>
      </c>
      <c r="M975" s="18" t="n">
        <v>206</v>
      </c>
      <c r="N975" s="18" t="n">
        <v>206</v>
      </c>
      <c r="O975" s="18" t="n">
        <v>0</v>
      </c>
      <c r="P975" s="17" t="n">
        <v>45717</v>
      </c>
      <c r="Q975" s="17" t="n">
        <v>45717</v>
      </c>
      <c r="R975" s="17" t="n">
        <v>45717</v>
      </c>
      <c r="S975" s="19">
        <f>H975*I975</f>
        <v/>
      </c>
      <c r="T975" s="19">
        <f>H975*J975</f>
        <v/>
      </c>
      <c r="U975">
        <f>IF(AND(K975=0,G975&lt;=Assumptions!$C$6),1,0)</f>
        <v/>
      </c>
      <c r="V975">
        <f>IF(U975=1,IF(M975&gt;0,IF(P975&lt;=G975+Assumptions!$C$7,1,0),0),0)</f>
        <v/>
      </c>
      <c r="W975">
        <f>IF(AND(U975=1,M975&gt;=H975*(1-Assumptions!$C$8)),1,0)</f>
        <v/>
      </c>
      <c r="X975">
        <f>IF(AND(U975=1,N975&gt;=H975*(1-Assumptions!$C$8)),1,0)</f>
        <v/>
      </c>
      <c r="Y975">
        <f>IF(ISNUMBER(Q975),1,0)</f>
        <v/>
      </c>
      <c r="Z975">
        <f>IF(AND(K975=0,L975=0,Y975=0),1,0)</f>
        <v/>
      </c>
      <c r="AA975">
        <f>IF(AND(Z975=1,G975&lt;Assumptions!$C$6),1,0)</f>
        <v/>
      </c>
      <c r="AB975">
        <f>IF(U975=0,"",IF(Y975=1,MAX(0,Q975-G975),IF(L975=1,MAX(0,R975-G975),MAX(0,Assumptions!$C$6-G975))))</f>
        <v/>
      </c>
      <c r="AC975">
        <f>IF(Y975=1,Q975-F975,"")</f>
        <v/>
      </c>
      <c r="AD975">
        <f>IF(Y975=1,AC975^2,"")</f>
        <v/>
      </c>
      <c r="AE975" s="19">
        <f>IF(Z975=1,(H975-M975)*I975,0)</f>
        <v/>
      </c>
      <c r="AF975">
        <f>IF(G975&lt;EDATE(Assumptions!$C$6,-12)+1,"prior_12m","last_12m")</f>
        <v/>
      </c>
      <c r="AG975" s="21">
        <f>DATE(YEAR(G975),MONTH(G975),1)</f>
        <v/>
      </c>
    </row>
    <row r="976">
      <c r="A976" t="inlineStr">
        <is>
          <t>SPO-00538-2</t>
        </is>
      </c>
      <c r="B976" t="inlineStr">
        <is>
          <t>SPO-00538</t>
        </is>
      </c>
      <c r="C976" t="inlineStr">
        <is>
          <t>SUP-05</t>
        </is>
      </c>
      <c r="D976" t="inlineStr">
        <is>
          <t>FLEET</t>
        </is>
      </c>
      <c r="E976" t="inlineStr">
        <is>
          <t>FLEET-07</t>
        </is>
      </c>
      <c r="F976" s="17" t="n">
        <v>45707</v>
      </c>
      <c r="G976" s="17" t="n">
        <v>45721</v>
      </c>
      <c r="H976" s="18" t="n">
        <v>10</v>
      </c>
      <c r="I976" s="19" t="n">
        <v>123.85</v>
      </c>
      <c r="J976" s="19" t="n">
        <v>118</v>
      </c>
      <c r="K976" s="20" t="n">
        <v>0</v>
      </c>
      <c r="L976" s="20" t="n">
        <v>0</v>
      </c>
      <c r="M976" s="18" t="n">
        <v>10</v>
      </c>
      <c r="N976" s="18" t="n">
        <v>10</v>
      </c>
      <c r="O976" s="18" t="n">
        <v>0</v>
      </c>
      <c r="P976" s="17" t="n">
        <v>45719</v>
      </c>
      <c r="Q976" s="17" t="n">
        <v>45719</v>
      </c>
      <c r="R976" s="17" t="n">
        <v>45719</v>
      </c>
      <c r="S976" s="19">
        <f>H976*I976</f>
        <v/>
      </c>
      <c r="T976" s="19">
        <f>H976*J976</f>
        <v/>
      </c>
      <c r="U976">
        <f>IF(AND(K976=0,G976&lt;=Assumptions!$C$6),1,0)</f>
        <v/>
      </c>
      <c r="V976">
        <f>IF(U976=1,IF(M976&gt;0,IF(P976&lt;=G976+Assumptions!$C$7,1,0),0),0)</f>
        <v/>
      </c>
      <c r="W976">
        <f>IF(AND(U976=1,M976&gt;=H976*(1-Assumptions!$C$8)),1,0)</f>
        <v/>
      </c>
      <c r="X976">
        <f>IF(AND(U976=1,N976&gt;=H976*(1-Assumptions!$C$8)),1,0)</f>
        <v/>
      </c>
      <c r="Y976">
        <f>IF(ISNUMBER(Q976),1,0)</f>
        <v/>
      </c>
      <c r="Z976">
        <f>IF(AND(K976=0,L976=0,Y976=0),1,0)</f>
        <v/>
      </c>
      <c r="AA976">
        <f>IF(AND(Z976=1,G976&lt;Assumptions!$C$6),1,0)</f>
        <v/>
      </c>
      <c r="AB976">
        <f>IF(U976=0,"",IF(Y976=1,MAX(0,Q976-G976),IF(L976=1,MAX(0,R976-G976),MAX(0,Assumptions!$C$6-G976))))</f>
        <v/>
      </c>
      <c r="AC976">
        <f>IF(Y976=1,Q976-F976,"")</f>
        <v/>
      </c>
      <c r="AD976">
        <f>IF(Y976=1,AC976^2,"")</f>
        <v/>
      </c>
      <c r="AE976" s="19">
        <f>IF(Z976=1,(H976-M976)*I976,0)</f>
        <v/>
      </c>
      <c r="AF976">
        <f>IF(G976&lt;EDATE(Assumptions!$C$6,-12)+1,"prior_12m","last_12m")</f>
        <v/>
      </c>
      <c r="AG976" s="21">
        <f>DATE(YEAR(G976),MONTH(G976),1)</f>
        <v/>
      </c>
    </row>
    <row r="977">
      <c r="A977" t="inlineStr">
        <is>
          <t>SPO-00538-3</t>
        </is>
      </c>
      <c r="B977" t="inlineStr">
        <is>
          <t>SPO-00538</t>
        </is>
      </c>
      <c r="C977" t="inlineStr">
        <is>
          <t>SUP-05</t>
        </is>
      </c>
      <c r="D977" t="inlineStr">
        <is>
          <t>FLEET</t>
        </is>
      </c>
      <c r="E977" t="inlineStr">
        <is>
          <t>FLEET-06</t>
        </is>
      </c>
      <c r="F977" s="17" t="n">
        <v>45707</v>
      </c>
      <c r="G977" s="17" t="n">
        <v>45721</v>
      </c>
      <c r="H977" s="18" t="n">
        <v>35</v>
      </c>
      <c r="I977" s="19" t="n">
        <v>32.8</v>
      </c>
      <c r="J977" s="19" t="n">
        <v>33</v>
      </c>
      <c r="K977" s="20" t="n">
        <v>0</v>
      </c>
      <c r="L977" s="20" t="n">
        <v>0</v>
      </c>
      <c r="M977" s="18" t="n">
        <v>35</v>
      </c>
      <c r="N977" s="18" t="n">
        <v>35</v>
      </c>
      <c r="O977" s="18" t="n">
        <v>0</v>
      </c>
      <c r="P977" s="17" t="n">
        <v>45717</v>
      </c>
      <c r="Q977" s="17" t="n">
        <v>45717</v>
      </c>
      <c r="R977" s="17" t="n">
        <v>45717</v>
      </c>
      <c r="S977" s="19">
        <f>H977*I977</f>
        <v/>
      </c>
      <c r="T977" s="19">
        <f>H977*J977</f>
        <v/>
      </c>
      <c r="U977">
        <f>IF(AND(K977=0,G977&lt;=Assumptions!$C$6),1,0)</f>
        <v/>
      </c>
      <c r="V977">
        <f>IF(U977=1,IF(M977&gt;0,IF(P977&lt;=G977+Assumptions!$C$7,1,0),0),0)</f>
        <v/>
      </c>
      <c r="W977">
        <f>IF(AND(U977=1,M977&gt;=H977*(1-Assumptions!$C$8)),1,0)</f>
        <v/>
      </c>
      <c r="X977">
        <f>IF(AND(U977=1,N977&gt;=H977*(1-Assumptions!$C$8)),1,0)</f>
        <v/>
      </c>
      <c r="Y977">
        <f>IF(ISNUMBER(Q977),1,0)</f>
        <v/>
      </c>
      <c r="Z977">
        <f>IF(AND(K977=0,L977=0,Y977=0),1,0)</f>
        <v/>
      </c>
      <c r="AA977">
        <f>IF(AND(Z977=1,G977&lt;Assumptions!$C$6),1,0)</f>
        <v/>
      </c>
      <c r="AB977">
        <f>IF(U977=0,"",IF(Y977=1,MAX(0,Q977-G977),IF(L977=1,MAX(0,R977-G977),MAX(0,Assumptions!$C$6-G977))))</f>
        <v/>
      </c>
      <c r="AC977">
        <f>IF(Y977=1,Q977-F977,"")</f>
        <v/>
      </c>
      <c r="AD977">
        <f>IF(Y977=1,AC977^2,"")</f>
        <v/>
      </c>
      <c r="AE977" s="19">
        <f>IF(Z977=1,(H977-M977)*I977,0)</f>
        <v/>
      </c>
      <c r="AF977">
        <f>IF(G977&lt;EDATE(Assumptions!$C$6,-12)+1,"prior_12m","last_12m")</f>
        <v/>
      </c>
      <c r="AG977" s="21">
        <f>DATE(YEAR(G977),MONTH(G977),1)</f>
        <v/>
      </c>
    </row>
    <row r="978">
      <c r="A978" t="inlineStr">
        <is>
          <t>SPO-00539-1</t>
        </is>
      </c>
      <c r="B978" t="inlineStr">
        <is>
          <t>SPO-00539</t>
        </is>
      </c>
      <c r="C978" t="inlineStr">
        <is>
          <t>SUP-01</t>
        </is>
      </c>
      <c r="D978" t="inlineStr">
        <is>
          <t>ELEC</t>
        </is>
      </c>
      <c r="E978" t="inlineStr">
        <is>
          <t>ELEC-04</t>
        </is>
      </c>
      <c r="F978" s="17" t="n">
        <v>45707</v>
      </c>
      <c r="G978" s="17" t="n">
        <v>45725</v>
      </c>
      <c r="H978" s="18" t="n">
        <v>22</v>
      </c>
      <c r="I978" s="19" t="n">
        <v>72.81999999999999</v>
      </c>
      <c r="J978" s="19" t="n">
        <v>72</v>
      </c>
      <c r="K978" s="20" t="n">
        <v>0</v>
      </c>
      <c r="L978" s="20" t="n">
        <v>0</v>
      </c>
      <c r="M978" s="18" t="n">
        <v>22</v>
      </c>
      <c r="N978" s="18" t="n">
        <v>22</v>
      </c>
      <c r="O978" s="18" t="n">
        <v>0</v>
      </c>
      <c r="P978" s="17" t="n">
        <v>45719</v>
      </c>
      <c r="Q978" s="17" t="n">
        <v>45719</v>
      </c>
      <c r="R978" s="17" t="n">
        <v>45719</v>
      </c>
      <c r="S978" s="19">
        <f>H978*I978</f>
        <v/>
      </c>
      <c r="T978" s="19">
        <f>H978*J978</f>
        <v/>
      </c>
      <c r="U978">
        <f>IF(AND(K978=0,G978&lt;=Assumptions!$C$6),1,0)</f>
        <v/>
      </c>
      <c r="V978">
        <f>IF(U978=1,IF(M978&gt;0,IF(P978&lt;=G978+Assumptions!$C$7,1,0),0),0)</f>
        <v/>
      </c>
      <c r="W978">
        <f>IF(AND(U978=1,M978&gt;=H978*(1-Assumptions!$C$8)),1,0)</f>
        <v/>
      </c>
      <c r="X978">
        <f>IF(AND(U978=1,N978&gt;=H978*(1-Assumptions!$C$8)),1,0)</f>
        <v/>
      </c>
      <c r="Y978">
        <f>IF(ISNUMBER(Q978),1,0)</f>
        <v/>
      </c>
      <c r="Z978">
        <f>IF(AND(K978=0,L978=0,Y978=0),1,0)</f>
        <v/>
      </c>
      <c r="AA978">
        <f>IF(AND(Z978=1,G978&lt;Assumptions!$C$6),1,0)</f>
        <v/>
      </c>
      <c r="AB978">
        <f>IF(U978=0,"",IF(Y978=1,MAX(0,Q978-G978),IF(L978=1,MAX(0,R978-G978),MAX(0,Assumptions!$C$6-G978))))</f>
        <v/>
      </c>
      <c r="AC978">
        <f>IF(Y978=1,Q978-F978,"")</f>
        <v/>
      </c>
      <c r="AD978">
        <f>IF(Y978=1,AC978^2,"")</f>
        <v/>
      </c>
      <c r="AE978" s="19">
        <f>IF(Z978=1,(H978-M978)*I978,0)</f>
        <v/>
      </c>
      <c r="AF978">
        <f>IF(G978&lt;EDATE(Assumptions!$C$6,-12)+1,"prior_12m","last_12m")</f>
        <v/>
      </c>
      <c r="AG978" s="21">
        <f>DATE(YEAR(G978),MONTH(G978),1)</f>
        <v/>
      </c>
    </row>
    <row r="979">
      <c r="A979" t="inlineStr">
        <is>
          <t>SPO-00539-2</t>
        </is>
      </c>
      <c r="B979" t="inlineStr">
        <is>
          <t>SPO-00539</t>
        </is>
      </c>
      <c r="C979" t="inlineStr">
        <is>
          <t>SUP-01</t>
        </is>
      </c>
      <c r="D979" t="inlineStr">
        <is>
          <t>ELEC</t>
        </is>
      </c>
      <c r="E979" t="inlineStr">
        <is>
          <t>ELEC-07</t>
        </is>
      </c>
      <c r="F979" s="17" t="n">
        <v>45707</v>
      </c>
      <c r="G979" s="17" t="n">
        <v>45725</v>
      </c>
      <c r="H979" s="18" t="n">
        <v>164</v>
      </c>
      <c r="I979" s="19" t="n">
        <v>9.960000000000001</v>
      </c>
      <c r="J979" s="19" t="n">
        <v>9.800000000000001</v>
      </c>
      <c r="K979" s="20" t="n">
        <v>0</v>
      </c>
      <c r="L979" s="20" t="n">
        <v>0</v>
      </c>
      <c r="M979" s="18" t="n">
        <v>164</v>
      </c>
      <c r="N979" s="18" t="n">
        <v>164</v>
      </c>
      <c r="O979" s="18" t="n">
        <v>0</v>
      </c>
      <c r="P979" s="17" t="n">
        <v>45719</v>
      </c>
      <c r="Q979" s="17" t="n">
        <v>45719</v>
      </c>
      <c r="R979" s="17" t="n">
        <v>45719</v>
      </c>
      <c r="S979" s="19">
        <f>H979*I979</f>
        <v/>
      </c>
      <c r="T979" s="19">
        <f>H979*J979</f>
        <v/>
      </c>
      <c r="U979">
        <f>IF(AND(K979=0,G979&lt;=Assumptions!$C$6),1,0)</f>
        <v/>
      </c>
      <c r="V979">
        <f>IF(U979=1,IF(M979&gt;0,IF(P979&lt;=G979+Assumptions!$C$7,1,0),0),0)</f>
        <v/>
      </c>
      <c r="W979">
        <f>IF(AND(U979=1,M979&gt;=H979*(1-Assumptions!$C$8)),1,0)</f>
        <v/>
      </c>
      <c r="X979">
        <f>IF(AND(U979=1,N979&gt;=H979*(1-Assumptions!$C$8)),1,0)</f>
        <v/>
      </c>
      <c r="Y979">
        <f>IF(ISNUMBER(Q979),1,0)</f>
        <v/>
      </c>
      <c r="Z979">
        <f>IF(AND(K979=0,L979=0,Y979=0),1,0)</f>
        <v/>
      </c>
      <c r="AA979">
        <f>IF(AND(Z979=1,G979&lt;Assumptions!$C$6),1,0)</f>
        <v/>
      </c>
      <c r="AB979">
        <f>IF(U979=0,"",IF(Y979=1,MAX(0,Q979-G979),IF(L979=1,MAX(0,R979-G979),MAX(0,Assumptions!$C$6-G979))))</f>
        <v/>
      </c>
      <c r="AC979">
        <f>IF(Y979=1,Q979-F979,"")</f>
        <v/>
      </c>
      <c r="AD979">
        <f>IF(Y979=1,AC979^2,"")</f>
        <v/>
      </c>
      <c r="AE979" s="19">
        <f>IF(Z979=1,(H979-M979)*I979,0)</f>
        <v/>
      </c>
      <c r="AF979">
        <f>IF(G979&lt;EDATE(Assumptions!$C$6,-12)+1,"prior_12m","last_12m")</f>
        <v/>
      </c>
      <c r="AG979" s="21">
        <f>DATE(YEAR(G979),MONTH(G979),1)</f>
        <v/>
      </c>
    </row>
    <row r="980">
      <c r="A980" t="inlineStr">
        <is>
          <t>SPO-00540-1</t>
        </is>
      </c>
      <c r="B980" t="inlineStr">
        <is>
          <t>SPO-00540</t>
        </is>
      </c>
      <c r="C980" t="inlineStr">
        <is>
          <t>SUP-08</t>
        </is>
      </c>
      <c r="D980" t="inlineStr">
        <is>
          <t>PPE</t>
        </is>
      </c>
      <c r="E980" t="inlineStr">
        <is>
          <t>PPE-05</t>
        </is>
      </c>
      <c r="F980" s="17" t="n">
        <v>45708</v>
      </c>
      <c r="G980" s="17" t="n">
        <v>45719</v>
      </c>
      <c r="H980" s="18" t="n">
        <v>197</v>
      </c>
      <c r="I980" s="19" t="n">
        <v>11.02</v>
      </c>
      <c r="J980" s="19" t="n">
        <v>11</v>
      </c>
      <c r="K980" s="20" t="n">
        <v>0</v>
      </c>
      <c r="L980" s="20" t="n">
        <v>0</v>
      </c>
      <c r="M980" s="18" t="n">
        <v>197</v>
      </c>
      <c r="N980" s="18" t="n">
        <v>197</v>
      </c>
      <c r="O980" s="18" t="n">
        <v>0</v>
      </c>
      <c r="P980" s="17" t="n">
        <v>45716</v>
      </c>
      <c r="Q980" s="17" t="n">
        <v>45716</v>
      </c>
      <c r="R980" s="17" t="n">
        <v>45716</v>
      </c>
      <c r="S980" s="19">
        <f>H980*I980</f>
        <v/>
      </c>
      <c r="T980" s="19">
        <f>H980*J980</f>
        <v/>
      </c>
      <c r="U980">
        <f>IF(AND(K980=0,G980&lt;=Assumptions!$C$6),1,0)</f>
        <v/>
      </c>
      <c r="V980">
        <f>IF(U980=1,IF(M980&gt;0,IF(P980&lt;=G980+Assumptions!$C$7,1,0),0),0)</f>
        <v/>
      </c>
      <c r="W980">
        <f>IF(AND(U980=1,M980&gt;=H980*(1-Assumptions!$C$8)),1,0)</f>
        <v/>
      </c>
      <c r="X980">
        <f>IF(AND(U980=1,N980&gt;=H980*(1-Assumptions!$C$8)),1,0)</f>
        <v/>
      </c>
      <c r="Y980">
        <f>IF(ISNUMBER(Q980),1,0)</f>
        <v/>
      </c>
      <c r="Z980">
        <f>IF(AND(K980=0,L980=0,Y980=0),1,0)</f>
        <v/>
      </c>
      <c r="AA980">
        <f>IF(AND(Z980=1,G980&lt;Assumptions!$C$6),1,0)</f>
        <v/>
      </c>
      <c r="AB980">
        <f>IF(U980=0,"",IF(Y980=1,MAX(0,Q980-G980),IF(L980=1,MAX(0,R980-G980),MAX(0,Assumptions!$C$6-G980))))</f>
        <v/>
      </c>
      <c r="AC980">
        <f>IF(Y980=1,Q980-F980,"")</f>
        <v/>
      </c>
      <c r="AD980">
        <f>IF(Y980=1,AC980^2,"")</f>
        <v/>
      </c>
      <c r="AE980" s="19">
        <f>IF(Z980=1,(H980-M980)*I980,0)</f>
        <v/>
      </c>
      <c r="AF980">
        <f>IF(G980&lt;EDATE(Assumptions!$C$6,-12)+1,"prior_12m","last_12m")</f>
        <v/>
      </c>
      <c r="AG980" s="21">
        <f>DATE(YEAR(G980),MONTH(G980),1)</f>
        <v/>
      </c>
    </row>
    <row r="981">
      <c r="A981" t="inlineStr">
        <is>
          <t>SPO-00541-1</t>
        </is>
      </c>
      <c r="B981" t="inlineStr">
        <is>
          <t>SPO-00541</t>
        </is>
      </c>
      <c r="C981" t="inlineStr">
        <is>
          <t>SUP-07</t>
        </is>
      </c>
      <c r="D981" t="inlineStr">
        <is>
          <t>MRO</t>
        </is>
      </c>
      <c r="E981" t="inlineStr">
        <is>
          <t>MRO-02</t>
        </is>
      </c>
      <c r="F981" s="17" t="n">
        <v>45708</v>
      </c>
      <c r="G981" s="17" t="n">
        <v>45718</v>
      </c>
      <c r="H981" s="18" t="n">
        <v>21</v>
      </c>
      <c r="I981" s="19" t="n">
        <v>39.94</v>
      </c>
      <c r="J981" s="19" t="n">
        <v>41</v>
      </c>
      <c r="K981" s="20" t="n">
        <v>0</v>
      </c>
      <c r="L981" s="20" t="n">
        <v>0</v>
      </c>
      <c r="M981" s="18" t="n">
        <v>21</v>
      </c>
      <c r="N981" s="18" t="n">
        <v>11</v>
      </c>
      <c r="O981" s="18" t="n">
        <v>0</v>
      </c>
      <c r="P981" s="17" t="n">
        <v>45712</v>
      </c>
      <c r="Q981" s="17" t="n">
        <v>45732</v>
      </c>
      <c r="R981" s="17" t="n">
        <v>45732</v>
      </c>
      <c r="S981" s="19">
        <f>H981*I981</f>
        <v/>
      </c>
      <c r="T981" s="19">
        <f>H981*J981</f>
        <v/>
      </c>
      <c r="U981">
        <f>IF(AND(K981=0,G981&lt;=Assumptions!$C$6),1,0)</f>
        <v/>
      </c>
      <c r="V981">
        <f>IF(U981=1,IF(M981&gt;0,IF(P981&lt;=G981+Assumptions!$C$7,1,0),0),0)</f>
        <v/>
      </c>
      <c r="W981">
        <f>IF(AND(U981=1,M981&gt;=H981*(1-Assumptions!$C$8)),1,0)</f>
        <v/>
      </c>
      <c r="X981">
        <f>IF(AND(U981=1,N981&gt;=H981*(1-Assumptions!$C$8)),1,0)</f>
        <v/>
      </c>
      <c r="Y981">
        <f>IF(ISNUMBER(Q981),1,0)</f>
        <v/>
      </c>
      <c r="Z981">
        <f>IF(AND(K981=0,L981=0,Y981=0),1,0)</f>
        <v/>
      </c>
      <c r="AA981">
        <f>IF(AND(Z981=1,G981&lt;Assumptions!$C$6),1,0)</f>
        <v/>
      </c>
      <c r="AB981">
        <f>IF(U981=0,"",IF(Y981=1,MAX(0,Q981-G981),IF(L981=1,MAX(0,R981-G981),MAX(0,Assumptions!$C$6-G981))))</f>
        <v/>
      </c>
      <c r="AC981">
        <f>IF(Y981=1,Q981-F981,"")</f>
        <v/>
      </c>
      <c r="AD981">
        <f>IF(Y981=1,AC981^2,"")</f>
        <v/>
      </c>
      <c r="AE981" s="19">
        <f>IF(Z981=1,(H981-M981)*I981,0)</f>
        <v/>
      </c>
      <c r="AF981">
        <f>IF(G981&lt;EDATE(Assumptions!$C$6,-12)+1,"prior_12m","last_12m")</f>
        <v/>
      </c>
      <c r="AG981" s="21">
        <f>DATE(YEAR(G981),MONTH(G981),1)</f>
        <v/>
      </c>
    </row>
    <row r="982">
      <c r="A982" t="inlineStr">
        <is>
          <t>SPO-00541-2</t>
        </is>
      </c>
      <c r="B982" t="inlineStr">
        <is>
          <t>SPO-00541</t>
        </is>
      </c>
      <c r="C982" t="inlineStr">
        <is>
          <t>SUP-07</t>
        </is>
      </c>
      <c r="D982" t="inlineStr">
        <is>
          <t>MRO</t>
        </is>
      </c>
      <c r="E982" t="inlineStr">
        <is>
          <t>MRO-04</t>
        </is>
      </c>
      <c r="F982" s="17" t="n">
        <v>45708</v>
      </c>
      <c r="G982" s="17" t="n">
        <v>45718</v>
      </c>
      <c r="H982" s="18" t="n">
        <v>71</v>
      </c>
      <c r="I982" s="19" t="n">
        <v>62.65</v>
      </c>
      <c r="J982" s="19" t="n">
        <v>58</v>
      </c>
      <c r="K982" s="20" t="n">
        <v>0</v>
      </c>
      <c r="L982" s="20" t="n">
        <v>0</v>
      </c>
      <c r="M982" s="18" t="n">
        <v>71</v>
      </c>
      <c r="N982" s="18" t="n">
        <v>71</v>
      </c>
      <c r="O982" s="18" t="n">
        <v>0</v>
      </c>
      <c r="P982" s="17" t="n">
        <v>45717</v>
      </c>
      <c r="Q982" s="17" t="n">
        <v>45717</v>
      </c>
      <c r="R982" s="17" t="n">
        <v>45717</v>
      </c>
      <c r="S982" s="19">
        <f>H982*I982</f>
        <v/>
      </c>
      <c r="T982" s="19">
        <f>H982*J982</f>
        <v/>
      </c>
      <c r="U982">
        <f>IF(AND(K982=0,G982&lt;=Assumptions!$C$6),1,0)</f>
        <v/>
      </c>
      <c r="V982">
        <f>IF(U982=1,IF(M982&gt;0,IF(P982&lt;=G982+Assumptions!$C$7,1,0),0),0)</f>
        <v/>
      </c>
      <c r="W982">
        <f>IF(AND(U982=1,M982&gt;=H982*(1-Assumptions!$C$8)),1,0)</f>
        <v/>
      </c>
      <c r="X982">
        <f>IF(AND(U982=1,N982&gt;=H982*(1-Assumptions!$C$8)),1,0)</f>
        <v/>
      </c>
      <c r="Y982">
        <f>IF(ISNUMBER(Q982),1,0)</f>
        <v/>
      </c>
      <c r="Z982">
        <f>IF(AND(K982=0,L982=0,Y982=0),1,0)</f>
        <v/>
      </c>
      <c r="AA982">
        <f>IF(AND(Z982=1,G982&lt;Assumptions!$C$6),1,0)</f>
        <v/>
      </c>
      <c r="AB982">
        <f>IF(U982=0,"",IF(Y982=1,MAX(0,Q982-G982),IF(L982=1,MAX(0,R982-G982),MAX(0,Assumptions!$C$6-G982))))</f>
        <v/>
      </c>
      <c r="AC982">
        <f>IF(Y982=1,Q982-F982,"")</f>
        <v/>
      </c>
      <c r="AD982">
        <f>IF(Y982=1,AC982^2,"")</f>
        <v/>
      </c>
      <c r="AE982" s="19">
        <f>IF(Z982=1,(H982-M982)*I982,0)</f>
        <v/>
      </c>
      <c r="AF982">
        <f>IF(G982&lt;EDATE(Assumptions!$C$6,-12)+1,"prior_12m","last_12m")</f>
        <v/>
      </c>
      <c r="AG982" s="21">
        <f>DATE(YEAR(G982),MONTH(G982),1)</f>
        <v/>
      </c>
    </row>
    <row r="983">
      <c r="A983" t="inlineStr">
        <is>
          <t>SPO-00542-1</t>
        </is>
      </c>
      <c r="B983" t="inlineStr">
        <is>
          <t>SPO-00542</t>
        </is>
      </c>
      <c r="C983" t="inlineStr">
        <is>
          <t>SUP-06</t>
        </is>
      </c>
      <c r="D983" t="inlineStr">
        <is>
          <t>MRO</t>
        </is>
      </c>
      <c r="E983" t="inlineStr">
        <is>
          <t>MRO-04</t>
        </is>
      </c>
      <c r="F983" s="17" t="n">
        <v>45708</v>
      </c>
      <c r="G983" s="17" t="n">
        <v>45716</v>
      </c>
      <c r="H983" s="18" t="n">
        <v>20</v>
      </c>
      <c r="I983" s="19" t="n">
        <v>59.81</v>
      </c>
      <c r="J983" s="19" t="n">
        <v>58</v>
      </c>
      <c r="K983" s="20" t="n">
        <v>0</v>
      </c>
      <c r="L983" s="20" t="n">
        <v>0</v>
      </c>
      <c r="M983" s="18" t="n">
        <v>20</v>
      </c>
      <c r="N983" s="18" t="n">
        <v>20</v>
      </c>
      <c r="O983" s="18" t="n">
        <v>0</v>
      </c>
      <c r="P983" s="17" t="n">
        <v>45714</v>
      </c>
      <c r="Q983" s="17" t="n">
        <v>45714</v>
      </c>
      <c r="R983" s="17" t="n">
        <v>45714</v>
      </c>
      <c r="S983" s="19">
        <f>H983*I983</f>
        <v/>
      </c>
      <c r="T983" s="19">
        <f>H983*J983</f>
        <v/>
      </c>
      <c r="U983">
        <f>IF(AND(K983=0,G983&lt;=Assumptions!$C$6),1,0)</f>
        <v/>
      </c>
      <c r="V983">
        <f>IF(U983=1,IF(M983&gt;0,IF(P983&lt;=G983+Assumptions!$C$7,1,0),0),0)</f>
        <v/>
      </c>
      <c r="W983">
        <f>IF(AND(U983=1,M983&gt;=H983*(1-Assumptions!$C$8)),1,0)</f>
        <v/>
      </c>
      <c r="X983">
        <f>IF(AND(U983=1,N983&gt;=H983*(1-Assumptions!$C$8)),1,0)</f>
        <v/>
      </c>
      <c r="Y983">
        <f>IF(ISNUMBER(Q983),1,0)</f>
        <v/>
      </c>
      <c r="Z983">
        <f>IF(AND(K983=0,L983=0,Y983=0),1,0)</f>
        <v/>
      </c>
      <c r="AA983">
        <f>IF(AND(Z983=1,G983&lt;Assumptions!$C$6),1,0)</f>
        <v/>
      </c>
      <c r="AB983">
        <f>IF(U983=0,"",IF(Y983=1,MAX(0,Q983-G983),IF(L983=1,MAX(0,R983-G983),MAX(0,Assumptions!$C$6-G983))))</f>
        <v/>
      </c>
      <c r="AC983">
        <f>IF(Y983=1,Q983-F983,"")</f>
        <v/>
      </c>
      <c r="AD983">
        <f>IF(Y983=1,AC983^2,"")</f>
        <v/>
      </c>
      <c r="AE983" s="19">
        <f>IF(Z983=1,(H983-M983)*I983,0)</f>
        <v/>
      </c>
      <c r="AF983">
        <f>IF(G983&lt;EDATE(Assumptions!$C$6,-12)+1,"prior_12m","last_12m")</f>
        <v/>
      </c>
      <c r="AG983" s="21">
        <f>DATE(YEAR(G983),MONTH(G983),1)</f>
        <v/>
      </c>
    </row>
    <row r="984">
      <c r="A984" t="inlineStr">
        <is>
          <t>SPO-00542-2</t>
        </is>
      </c>
      <c r="B984" t="inlineStr">
        <is>
          <t>SPO-00542</t>
        </is>
      </c>
      <c r="C984" t="inlineStr">
        <is>
          <t>SUP-06</t>
        </is>
      </c>
      <c r="D984" t="inlineStr">
        <is>
          <t>MRO</t>
        </is>
      </c>
      <c r="E984" t="inlineStr">
        <is>
          <t>MRO-01</t>
        </is>
      </c>
      <c r="F984" s="17" t="n">
        <v>45708</v>
      </c>
      <c r="G984" s="17" t="n">
        <v>45716</v>
      </c>
      <c r="H984" s="18" t="n">
        <v>55</v>
      </c>
      <c r="I984" s="19" t="n">
        <v>47.34</v>
      </c>
      <c r="J984" s="19" t="n">
        <v>52</v>
      </c>
      <c r="K984" s="20" t="n">
        <v>0</v>
      </c>
      <c r="L984" s="20" t="n">
        <v>0</v>
      </c>
      <c r="M984" s="18" t="n">
        <v>55</v>
      </c>
      <c r="N984" s="18" t="n">
        <v>55</v>
      </c>
      <c r="O984" s="18" t="n">
        <v>0</v>
      </c>
      <c r="P984" s="17" t="n">
        <v>45716</v>
      </c>
      <c r="Q984" s="17" t="n">
        <v>45716</v>
      </c>
      <c r="R984" s="17" t="n">
        <v>45716</v>
      </c>
      <c r="S984" s="19">
        <f>H984*I984</f>
        <v/>
      </c>
      <c r="T984" s="19">
        <f>H984*J984</f>
        <v/>
      </c>
      <c r="U984">
        <f>IF(AND(K984=0,G984&lt;=Assumptions!$C$6),1,0)</f>
        <v/>
      </c>
      <c r="V984">
        <f>IF(U984=1,IF(M984&gt;0,IF(P984&lt;=G984+Assumptions!$C$7,1,0),0),0)</f>
        <v/>
      </c>
      <c r="W984">
        <f>IF(AND(U984=1,M984&gt;=H984*(1-Assumptions!$C$8)),1,0)</f>
        <v/>
      </c>
      <c r="X984">
        <f>IF(AND(U984=1,N984&gt;=H984*(1-Assumptions!$C$8)),1,0)</f>
        <v/>
      </c>
      <c r="Y984">
        <f>IF(ISNUMBER(Q984),1,0)</f>
        <v/>
      </c>
      <c r="Z984">
        <f>IF(AND(K984=0,L984=0,Y984=0),1,0)</f>
        <v/>
      </c>
      <c r="AA984">
        <f>IF(AND(Z984=1,G984&lt;Assumptions!$C$6),1,0)</f>
        <v/>
      </c>
      <c r="AB984">
        <f>IF(U984=0,"",IF(Y984=1,MAX(0,Q984-G984),IF(L984=1,MAX(0,R984-G984),MAX(0,Assumptions!$C$6-G984))))</f>
        <v/>
      </c>
      <c r="AC984">
        <f>IF(Y984=1,Q984-F984,"")</f>
        <v/>
      </c>
      <c r="AD984">
        <f>IF(Y984=1,AC984^2,"")</f>
        <v/>
      </c>
      <c r="AE984" s="19">
        <f>IF(Z984=1,(H984-M984)*I984,0)</f>
        <v/>
      </c>
      <c r="AF984">
        <f>IF(G984&lt;EDATE(Assumptions!$C$6,-12)+1,"prior_12m","last_12m")</f>
        <v/>
      </c>
      <c r="AG984" s="21">
        <f>DATE(YEAR(G984),MONTH(G984),1)</f>
        <v/>
      </c>
    </row>
    <row r="985">
      <c r="A985" t="inlineStr">
        <is>
          <t>SPO-00543-1</t>
        </is>
      </c>
      <c r="B985" t="inlineStr">
        <is>
          <t>SPO-00543</t>
        </is>
      </c>
      <c r="C985" t="inlineStr">
        <is>
          <t>SUP-02</t>
        </is>
      </c>
      <c r="D985" t="inlineStr">
        <is>
          <t>ELEC</t>
        </is>
      </c>
      <c r="E985" t="inlineStr">
        <is>
          <t>ELEC-05</t>
        </is>
      </c>
      <c r="F985" s="17" t="n">
        <v>45708</v>
      </c>
      <c r="G985" s="17" t="n">
        <v>45724</v>
      </c>
      <c r="H985" s="18" t="n">
        <v>63</v>
      </c>
      <c r="I985" s="19" t="n">
        <v>11.47</v>
      </c>
      <c r="J985" s="19" t="n">
        <v>11.5</v>
      </c>
      <c r="K985" s="20" t="n">
        <v>0</v>
      </c>
      <c r="L985" s="20" t="n">
        <v>0</v>
      </c>
      <c r="M985" s="18" t="n">
        <v>63</v>
      </c>
      <c r="N985" s="18" t="n">
        <v>63</v>
      </c>
      <c r="O985" s="18" t="n">
        <v>0</v>
      </c>
      <c r="P985" s="17" t="n">
        <v>45721</v>
      </c>
      <c r="Q985" s="17" t="n">
        <v>45721</v>
      </c>
      <c r="R985" s="17" t="n">
        <v>45721</v>
      </c>
      <c r="S985" s="19">
        <f>H985*I985</f>
        <v/>
      </c>
      <c r="T985" s="19">
        <f>H985*J985</f>
        <v/>
      </c>
      <c r="U985">
        <f>IF(AND(K985=0,G985&lt;=Assumptions!$C$6),1,0)</f>
        <v/>
      </c>
      <c r="V985">
        <f>IF(U985=1,IF(M985&gt;0,IF(P985&lt;=G985+Assumptions!$C$7,1,0),0),0)</f>
        <v/>
      </c>
      <c r="W985">
        <f>IF(AND(U985=1,M985&gt;=H985*(1-Assumptions!$C$8)),1,0)</f>
        <v/>
      </c>
      <c r="X985">
        <f>IF(AND(U985=1,N985&gt;=H985*(1-Assumptions!$C$8)),1,0)</f>
        <v/>
      </c>
      <c r="Y985">
        <f>IF(ISNUMBER(Q985),1,0)</f>
        <v/>
      </c>
      <c r="Z985">
        <f>IF(AND(K985=0,L985=0,Y985=0),1,0)</f>
        <v/>
      </c>
      <c r="AA985">
        <f>IF(AND(Z985=1,G985&lt;Assumptions!$C$6),1,0)</f>
        <v/>
      </c>
      <c r="AB985">
        <f>IF(U985=0,"",IF(Y985=1,MAX(0,Q985-G985),IF(L985=1,MAX(0,R985-G985),MAX(0,Assumptions!$C$6-G985))))</f>
        <v/>
      </c>
      <c r="AC985">
        <f>IF(Y985=1,Q985-F985,"")</f>
        <v/>
      </c>
      <c r="AD985">
        <f>IF(Y985=1,AC985^2,"")</f>
        <v/>
      </c>
      <c r="AE985" s="19">
        <f>IF(Z985=1,(H985-M985)*I985,0)</f>
        <v/>
      </c>
      <c r="AF985">
        <f>IF(G985&lt;EDATE(Assumptions!$C$6,-12)+1,"prior_12m","last_12m")</f>
        <v/>
      </c>
      <c r="AG985" s="21">
        <f>DATE(YEAR(G985),MONTH(G985),1)</f>
        <v/>
      </c>
    </row>
    <row r="986">
      <c r="A986" t="inlineStr">
        <is>
          <t>SPO-00544-1</t>
        </is>
      </c>
      <c r="B986" t="inlineStr">
        <is>
          <t>SPO-00544</t>
        </is>
      </c>
      <c r="C986" t="inlineStr">
        <is>
          <t>SUP-08</t>
        </is>
      </c>
      <c r="D986" t="inlineStr">
        <is>
          <t>PPE</t>
        </is>
      </c>
      <c r="E986" t="inlineStr">
        <is>
          <t>PPE-06</t>
        </is>
      </c>
      <c r="F986" s="17" t="n">
        <v>45708</v>
      </c>
      <c r="G986" s="17" t="n">
        <v>45719</v>
      </c>
      <c r="H986" s="18" t="n">
        <v>19</v>
      </c>
      <c r="I986" s="19" t="n">
        <v>113.7</v>
      </c>
      <c r="J986" s="19" t="n">
        <v>115</v>
      </c>
      <c r="K986" s="20" t="n">
        <v>0</v>
      </c>
      <c r="L986" s="20" t="n">
        <v>0</v>
      </c>
      <c r="M986" s="18" t="n">
        <v>19</v>
      </c>
      <c r="N986" s="18" t="n">
        <v>19</v>
      </c>
      <c r="O986" s="18" t="n">
        <v>0</v>
      </c>
      <c r="P986" s="17" t="n">
        <v>45716</v>
      </c>
      <c r="Q986" s="17" t="n">
        <v>45716</v>
      </c>
      <c r="R986" s="17" t="n">
        <v>45716</v>
      </c>
      <c r="S986" s="19">
        <f>H986*I986</f>
        <v/>
      </c>
      <c r="T986" s="19">
        <f>H986*J986</f>
        <v/>
      </c>
      <c r="U986">
        <f>IF(AND(K986=0,G986&lt;=Assumptions!$C$6),1,0)</f>
        <v/>
      </c>
      <c r="V986">
        <f>IF(U986=1,IF(M986&gt;0,IF(P986&lt;=G986+Assumptions!$C$7,1,0),0),0)</f>
        <v/>
      </c>
      <c r="W986">
        <f>IF(AND(U986=1,M986&gt;=H986*(1-Assumptions!$C$8)),1,0)</f>
        <v/>
      </c>
      <c r="X986">
        <f>IF(AND(U986=1,N986&gt;=H986*(1-Assumptions!$C$8)),1,0)</f>
        <v/>
      </c>
      <c r="Y986">
        <f>IF(ISNUMBER(Q986),1,0)</f>
        <v/>
      </c>
      <c r="Z986">
        <f>IF(AND(K986=0,L986=0,Y986=0),1,0)</f>
        <v/>
      </c>
      <c r="AA986">
        <f>IF(AND(Z986=1,G986&lt;Assumptions!$C$6),1,0)</f>
        <v/>
      </c>
      <c r="AB986">
        <f>IF(U986=0,"",IF(Y986=1,MAX(0,Q986-G986),IF(L986=1,MAX(0,R986-G986),MAX(0,Assumptions!$C$6-G986))))</f>
        <v/>
      </c>
      <c r="AC986">
        <f>IF(Y986=1,Q986-F986,"")</f>
        <v/>
      </c>
      <c r="AD986">
        <f>IF(Y986=1,AC986^2,"")</f>
        <v/>
      </c>
      <c r="AE986" s="19">
        <f>IF(Z986=1,(H986-M986)*I986,0)</f>
        <v/>
      </c>
      <c r="AF986">
        <f>IF(G986&lt;EDATE(Assumptions!$C$6,-12)+1,"prior_12m","last_12m")</f>
        <v/>
      </c>
      <c r="AG986" s="21">
        <f>DATE(YEAR(G986),MONTH(G986),1)</f>
        <v/>
      </c>
    </row>
    <row r="987">
      <c r="A987" t="inlineStr">
        <is>
          <t>SPO-00544-2</t>
        </is>
      </c>
      <c r="B987" t="inlineStr">
        <is>
          <t>SPO-00544</t>
        </is>
      </c>
      <c r="C987" t="inlineStr">
        <is>
          <t>SUP-08</t>
        </is>
      </c>
      <c r="D987" t="inlineStr">
        <is>
          <t>PPE</t>
        </is>
      </c>
      <c r="E987" t="inlineStr">
        <is>
          <t>PPE-07</t>
        </is>
      </c>
      <c r="F987" s="17" t="n">
        <v>45708</v>
      </c>
      <c r="G987" s="17" t="n">
        <v>45719</v>
      </c>
      <c r="H987" s="18" t="n">
        <v>16</v>
      </c>
      <c r="I987" s="19" t="n">
        <v>30.98</v>
      </c>
      <c r="J987" s="19" t="n">
        <v>31</v>
      </c>
      <c r="K987" s="20" t="n">
        <v>0</v>
      </c>
      <c r="L987" s="20" t="n">
        <v>0</v>
      </c>
      <c r="M987" s="18" t="n">
        <v>16</v>
      </c>
      <c r="N987" s="18" t="n">
        <v>16</v>
      </c>
      <c r="O987" s="18" t="n">
        <v>0</v>
      </c>
      <c r="P987" s="17" t="n">
        <v>45716</v>
      </c>
      <c r="Q987" s="17" t="n">
        <v>45716</v>
      </c>
      <c r="R987" s="17" t="n">
        <v>45716</v>
      </c>
      <c r="S987" s="19">
        <f>H987*I987</f>
        <v/>
      </c>
      <c r="T987" s="19">
        <f>H987*J987</f>
        <v/>
      </c>
      <c r="U987">
        <f>IF(AND(K987=0,G987&lt;=Assumptions!$C$6),1,0)</f>
        <v/>
      </c>
      <c r="V987">
        <f>IF(U987=1,IF(M987&gt;0,IF(P987&lt;=G987+Assumptions!$C$7,1,0),0),0)</f>
        <v/>
      </c>
      <c r="W987">
        <f>IF(AND(U987=1,M987&gt;=H987*(1-Assumptions!$C$8)),1,0)</f>
        <v/>
      </c>
      <c r="X987">
        <f>IF(AND(U987=1,N987&gt;=H987*(1-Assumptions!$C$8)),1,0)</f>
        <v/>
      </c>
      <c r="Y987">
        <f>IF(ISNUMBER(Q987),1,0)</f>
        <v/>
      </c>
      <c r="Z987">
        <f>IF(AND(K987=0,L987=0,Y987=0),1,0)</f>
        <v/>
      </c>
      <c r="AA987">
        <f>IF(AND(Z987=1,G987&lt;Assumptions!$C$6),1,0)</f>
        <v/>
      </c>
      <c r="AB987">
        <f>IF(U987=0,"",IF(Y987=1,MAX(0,Q987-G987),IF(L987=1,MAX(0,R987-G987),MAX(0,Assumptions!$C$6-G987))))</f>
        <v/>
      </c>
      <c r="AC987">
        <f>IF(Y987=1,Q987-F987,"")</f>
        <v/>
      </c>
      <c r="AD987">
        <f>IF(Y987=1,AC987^2,"")</f>
        <v/>
      </c>
      <c r="AE987" s="19">
        <f>IF(Z987=1,(H987-M987)*I987,0)</f>
        <v/>
      </c>
      <c r="AF987">
        <f>IF(G987&lt;EDATE(Assumptions!$C$6,-12)+1,"prior_12m","last_12m")</f>
        <v/>
      </c>
      <c r="AG987" s="21">
        <f>DATE(YEAR(G987),MONTH(G987),1)</f>
        <v/>
      </c>
    </row>
    <row r="988">
      <c r="A988" t="inlineStr">
        <is>
          <t>SPO-00545-1</t>
        </is>
      </c>
      <c r="B988" t="inlineStr">
        <is>
          <t>SPO-00545</t>
        </is>
      </c>
      <c r="C988" t="inlineStr">
        <is>
          <t>SUP-05</t>
        </is>
      </c>
      <c r="D988" t="inlineStr">
        <is>
          <t>FLEET</t>
        </is>
      </c>
      <c r="E988" t="inlineStr">
        <is>
          <t>FLEET-01</t>
        </is>
      </c>
      <c r="F988" s="17" t="n">
        <v>45709</v>
      </c>
      <c r="G988" s="17" t="n">
        <v>45723</v>
      </c>
      <c r="H988" s="18" t="n">
        <v>71</v>
      </c>
      <c r="I988" s="19" t="n">
        <v>62.71</v>
      </c>
      <c r="J988" s="19" t="n">
        <v>64</v>
      </c>
      <c r="K988" s="20" t="n">
        <v>0</v>
      </c>
      <c r="L988" s="20" t="n">
        <v>0</v>
      </c>
      <c r="M988" s="18" t="n">
        <v>71</v>
      </c>
      <c r="N988" s="18" t="n">
        <v>71</v>
      </c>
      <c r="O988" s="18" t="n">
        <v>0</v>
      </c>
      <c r="P988" s="17" t="n">
        <v>45721</v>
      </c>
      <c r="Q988" s="17" t="n">
        <v>45721</v>
      </c>
      <c r="R988" s="17" t="n">
        <v>45721</v>
      </c>
      <c r="S988" s="19">
        <f>H988*I988</f>
        <v/>
      </c>
      <c r="T988" s="19">
        <f>H988*J988</f>
        <v/>
      </c>
      <c r="U988">
        <f>IF(AND(K988=0,G988&lt;=Assumptions!$C$6),1,0)</f>
        <v/>
      </c>
      <c r="V988">
        <f>IF(U988=1,IF(M988&gt;0,IF(P988&lt;=G988+Assumptions!$C$7,1,0),0),0)</f>
        <v/>
      </c>
      <c r="W988">
        <f>IF(AND(U988=1,M988&gt;=H988*(1-Assumptions!$C$8)),1,0)</f>
        <v/>
      </c>
      <c r="X988">
        <f>IF(AND(U988=1,N988&gt;=H988*(1-Assumptions!$C$8)),1,0)</f>
        <v/>
      </c>
      <c r="Y988">
        <f>IF(ISNUMBER(Q988),1,0)</f>
        <v/>
      </c>
      <c r="Z988">
        <f>IF(AND(K988=0,L988=0,Y988=0),1,0)</f>
        <v/>
      </c>
      <c r="AA988">
        <f>IF(AND(Z988=1,G988&lt;Assumptions!$C$6),1,0)</f>
        <v/>
      </c>
      <c r="AB988">
        <f>IF(U988=0,"",IF(Y988=1,MAX(0,Q988-G988),IF(L988=1,MAX(0,R988-G988),MAX(0,Assumptions!$C$6-G988))))</f>
        <v/>
      </c>
      <c r="AC988">
        <f>IF(Y988=1,Q988-F988,"")</f>
        <v/>
      </c>
      <c r="AD988">
        <f>IF(Y988=1,AC988^2,"")</f>
        <v/>
      </c>
      <c r="AE988" s="19">
        <f>IF(Z988=1,(H988-M988)*I988,0)</f>
        <v/>
      </c>
      <c r="AF988">
        <f>IF(G988&lt;EDATE(Assumptions!$C$6,-12)+1,"prior_12m","last_12m")</f>
        <v/>
      </c>
      <c r="AG988" s="21">
        <f>DATE(YEAR(G988),MONTH(G988),1)</f>
        <v/>
      </c>
    </row>
    <row r="989">
      <c r="A989" t="inlineStr">
        <is>
          <t>SPO-00546-1</t>
        </is>
      </c>
      <c r="B989" t="inlineStr">
        <is>
          <t>SPO-00546</t>
        </is>
      </c>
      <c r="C989" t="inlineStr">
        <is>
          <t>SUP-12</t>
        </is>
      </c>
      <c r="D989" t="inlineStr">
        <is>
          <t>IT</t>
        </is>
      </c>
      <c r="E989" t="inlineStr">
        <is>
          <t>IT-05</t>
        </is>
      </c>
      <c r="F989" s="17" t="n">
        <v>45709</v>
      </c>
      <c r="G989" s="17" t="n">
        <v>45719</v>
      </c>
      <c r="H989" s="18" t="n">
        <v>1</v>
      </c>
      <c r="I989" s="19" t="n">
        <v>703.01</v>
      </c>
      <c r="J989" s="19" t="n">
        <v>640</v>
      </c>
      <c r="K989" s="20" t="n">
        <v>0</v>
      </c>
      <c r="L989" s="20" t="n">
        <v>0</v>
      </c>
      <c r="M989" s="18" t="n">
        <v>1</v>
      </c>
      <c r="N989" s="18" t="n">
        <v>1</v>
      </c>
      <c r="O989" s="18" t="n">
        <v>0</v>
      </c>
      <c r="P989" s="17" t="n">
        <v>45718</v>
      </c>
      <c r="Q989" s="17" t="n">
        <v>45718</v>
      </c>
      <c r="R989" s="17" t="n">
        <v>45718</v>
      </c>
      <c r="S989" s="19">
        <f>H989*I989</f>
        <v/>
      </c>
      <c r="T989" s="19">
        <f>H989*J989</f>
        <v/>
      </c>
      <c r="U989">
        <f>IF(AND(K989=0,G989&lt;=Assumptions!$C$6),1,0)</f>
        <v/>
      </c>
      <c r="V989">
        <f>IF(U989=1,IF(M989&gt;0,IF(P989&lt;=G989+Assumptions!$C$7,1,0),0),0)</f>
        <v/>
      </c>
      <c r="W989">
        <f>IF(AND(U989=1,M989&gt;=H989*(1-Assumptions!$C$8)),1,0)</f>
        <v/>
      </c>
      <c r="X989">
        <f>IF(AND(U989=1,N989&gt;=H989*(1-Assumptions!$C$8)),1,0)</f>
        <v/>
      </c>
      <c r="Y989">
        <f>IF(ISNUMBER(Q989),1,0)</f>
        <v/>
      </c>
      <c r="Z989">
        <f>IF(AND(K989=0,L989=0,Y989=0),1,0)</f>
        <v/>
      </c>
      <c r="AA989">
        <f>IF(AND(Z989=1,G989&lt;Assumptions!$C$6),1,0)</f>
        <v/>
      </c>
      <c r="AB989">
        <f>IF(U989=0,"",IF(Y989=1,MAX(0,Q989-G989),IF(L989=1,MAX(0,R989-G989),MAX(0,Assumptions!$C$6-G989))))</f>
        <v/>
      </c>
      <c r="AC989">
        <f>IF(Y989=1,Q989-F989,"")</f>
        <v/>
      </c>
      <c r="AD989">
        <f>IF(Y989=1,AC989^2,"")</f>
        <v/>
      </c>
      <c r="AE989" s="19">
        <f>IF(Z989=1,(H989-M989)*I989,0)</f>
        <v/>
      </c>
      <c r="AF989">
        <f>IF(G989&lt;EDATE(Assumptions!$C$6,-12)+1,"prior_12m","last_12m")</f>
        <v/>
      </c>
      <c r="AG989" s="21">
        <f>DATE(YEAR(G989),MONTH(G989),1)</f>
        <v/>
      </c>
    </row>
    <row r="990">
      <c r="A990" t="inlineStr">
        <is>
          <t>SPO-00546-2</t>
        </is>
      </c>
      <c r="B990" t="inlineStr">
        <is>
          <t>SPO-00546</t>
        </is>
      </c>
      <c r="C990" t="inlineStr">
        <is>
          <t>SUP-12</t>
        </is>
      </c>
      <c r="D990" t="inlineStr">
        <is>
          <t>IT</t>
        </is>
      </c>
      <c r="E990" t="inlineStr">
        <is>
          <t>IT-08</t>
        </is>
      </c>
      <c r="F990" s="17" t="n">
        <v>45709</v>
      </c>
      <c r="G990" s="17" t="n">
        <v>45719</v>
      </c>
      <c r="H990" s="18" t="n">
        <v>5</v>
      </c>
      <c r="I990" s="19" t="n">
        <v>272.08</v>
      </c>
      <c r="J990" s="19" t="n">
        <v>245</v>
      </c>
      <c r="K990" s="20" t="n">
        <v>0</v>
      </c>
      <c r="L990" s="20" t="n">
        <v>0</v>
      </c>
      <c r="M990" s="18" t="n">
        <v>5</v>
      </c>
      <c r="N990" s="18" t="n">
        <v>5</v>
      </c>
      <c r="O990" s="18" t="n">
        <v>0</v>
      </c>
      <c r="P990" s="17" t="n">
        <v>45713</v>
      </c>
      <c r="Q990" s="17" t="n">
        <v>45713</v>
      </c>
      <c r="R990" s="17" t="n">
        <v>45713</v>
      </c>
      <c r="S990" s="19">
        <f>H990*I990</f>
        <v/>
      </c>
      <c r="T990" s="19">
        <f>H990*J990</f>
        <v/>
      </c>
      <c r="U990">
        <f>IF(AND(K990=0,G990&lt;=Assumptions!$C$6),1,0)</f>
        <v/>
      </c>
      <c r="V990">
        <f>IF(U990=1,IF(M990&gt;0,IF(P990&lt;=G990+Assumptions!$C$7,1,0),0),0)</f>
        <v/>
      </c>
      <c r="W990">
        <f>IF(AND(U990=1,M990&gt;=H990*(1-Assumptions!$C$8)),1,0)</f>
        <v/>
      </c>
      <c r="X990">
        <f>IF(AND(U990=1,N990&gt;=H990*(1-Assumptions!$C$8)),1,0)</f>
        <v/>
      </c>
      <c r="Y990">
        <f>IF(ISNUMBER(Q990),1,0)</f>
        <v/>
      </c>
      <c r="Z990">
        <f>IF(AND(K990=0,L990=0,Y990=0),1,0)</f>
        <v/>
      </c>
      <c r="AA990">
        <f>IF(AND(Z990=1,G990&lt;Assumptions!$C$6),1,0)</f>
        <v/>
      </c>
      <c r="AB990">
        <f>IF(U990=0,"",IF(Y990=1,MAX(0,Q990-G990),IF(L990=1,MAX(0,R990-G990),MAX(0,Assumptions!$C$6-G990))))</f>
        <v/>
      </c>
      <c r="AC990">
        <f>IF(Y990=1,Q990-F990,"")</f>
        <v/>
      </c>
      <c r="AD990">
        <f>IF(Y990=1,AC990^2,"")</f>
        <v/>
      </c>
      <c r="AE990" s="19">
        <f>IF(Z990=1,(H990-M990)*I990,0)</f>
        <v/>
      </c>
      <c r="AF990">
        <f>IF(G990&lt;EDATE(Assumptions!$C$6,-12)+1,"prior_12m","last_12m")</f>
        <v/>
      </c>
      <c r="AG990" s="21">
        <f>DATE(YEAR(G990),MONTH(G990),1)</f>
        <v/>
      </c>
    </row>
    <row r="991">
      <c r="A991" t="inlineStr">
        <is>
          <t>SPO-00547-1</t>
        </is>
      </c>
      <c r="B991" t="inlineStr">
        <is>
          <t>SPO-00547</t>
        </is>
      </c>
      <c r="C991" t="inlineStr">
        <is>
          <t>SUP-04</t>
        </is>
      </c>
      <c r="D991" t="inlineStr">
        <is>
          <t>FLEET</t>
        </is>
      </c>
      <c r="E991" t="inlineStr">
        <is>
          <t>FLEET-04</t>
        </is>
      </c>
      <c r="F991" s="17" t="n">
        <v>45709</v>
      </c>
      <c r="G991" s="17" t="n">
        <v>45722</v>
      </c>
      <c r="H991" s="18" t="n">
        <v>231</v>
      </c>
      <c r="I991" s="19" t="n">
        <v>8.27</v>
      </c>
      <c r="J991" s="19" t="n">
        <v>9</v>
      </c>
      <c r="K991" s="20" t="n">
        <v>0</v>
      </c>
      <c r="L991" s="20" t="n">
        <v>0</v>
      </c>
      <c r="M991" s="18" t="n">
        <v>231</v>
      </c>
      <c r="N991" s="18" t="n">
        <v>0</v>
      </c>
      <c r="O991" s="18" t="n">
        <v>0</v>
      </c>
      <c r="P991" s="17" t="n">
        <v>45724</v>
      </c>
      <c r="Q991" s="17" t="n">
        <v>45724</v>
      </c>
      <c r="R991" s="17" t="n">
        <v>45724</v>
      </c>
      <c r="S991" s="19">
        <f>H991*I991</f>
        <v/>
      </c>
      <c r="T991" s="19">
        <f>H991*J991</f>
        <v/>
      </c>
      <c r="U991">
        <f>IF(AND(K991=0,G991&lt;=Assumptions!$C$6),1,0)</f>
        <v/>
      </c>
      <c r="V991">
        <f>IF(U991=1,IF(M991&gt;0,IF(P991&lt;=G991+Assumptions!$C$7,1,0),0),0)</f>
        <v/>
      </c>
      <c r="W991">
        <f>IF(AND(U991=1,M991&gt;=H991*(1-Assumptions!$C$8)),1,0)</f>
        <v/>
      </c>
      <c r="X991">
        <f>IF(AND(U991=1,N991&gt;=H991*(1-Assumptions!$C$8)),1,0)</f>
        <v/>
      </c>
      <c r="Y991">
        <f>IF(ISNUMBER(Q991),1,0)</f>
        <v/>
      </c>
      <c r="Z991">
        <f>IF(AND(K991=0,L991=0,Y991=0),1,0)</f>
        <v/>
      </c>
      <c r="AA991">
        <f>IF(AND(Z991=1,G991&lt;Assumptions!$C$6),1,0)</f>
        <v/>
      </c>
      <c r="AB991">
        <f>IF(U991=0,"",IF(Y991=1,MAX(0,Q991-G991),IF(L991=1,MAX(0,R991-G991),MAX(0,Assumptions!$C$6-G991))))</f>
        <v/>
      </c>
      <c r="AC991">
        <f>IF(Y991=1,Q991-F991,"")</f>
        <v/>
      </c>
      <c r="AD991">
        <f>IF(Y991=1,AC991^2,"")</f>
        <v/>
      </c>
      <c r="AE991" s="19">
        <f>IF(Z991=1,(H991-M991)*I991,0)</f>
        <v/>
      </c>
      <c r="AF991">
        <f>IF(G991&lt;EDATE(Assumptions!$C$6,-12)+1,"prior_12m","last_12m")</f>
        <v/>
      </c>
      <c r="AG991" s="21">
        <f>DATE(YEAR(G991),MONTH(G991),1)</f>
        <v/>
      </c>
    </row>
    <row r="992">
      <c r="A992" t="inlineStr">
        <is>
          <t>SPO-00547-2</t>
        </is>
      </c>
      <c r="B992" t="inlineStr">
        <is>
          <t>SPO-00547</t>
        </is>
      </c>
      <c r="C992" t="inlineStr">
        <is>
          <t>SUP-04</t>
        </is>
      </c>
      <c r="D992" t="inlineStr">
        <is>
          <t>FLEET</t>
        </is>
      </c>
      <c r="E992" t="inlineStr">
        <is>
          <t>FLEET-03</t>
        </is>
      </c>
      <c r="F992" s="17" t="n">
        <v>45709</v>
      </c>
      <c r="G992" s="17" t="n">
        <v>45722</v>
      </c>
      <c r="H992" s="18" t="n">
        <v>75</v>
      </c>
      <c r="I992" s="19" t="n">
        <v>19.86</v>
      </c>
      <c r="J992" s="19" t="n">
        <v>21</v>
      </c>
      <c r="K992" s="20" t="n">
        <v>0</v>
      </c>
      <c r="L992" s="20" t="n">
        <v>0</v>
      </c>
      <c r="M992" s="18" t="n">
        <v>75</v>
      </c>
      <c r="N992" s="18" t="n">
        <v>0</v>
      </c>
      <c r="O992" s="18" t="n">
        <v>0</v>
      </c>
      <c r="P992" s="17" t="n">
        <v>45725</v>
      </c>
      <c r="Q992" s="17" t="n">
        <v>45725</v>
      </c>
      <c r="R992" s="17" t="n">
        <v>45725</v>
      </c>
      <c r="S992" s="19">
        <f>H992*I992</f>
        <v/>
      </c>
      <c r="T992" s="19">
        <f>H992*J992</f>
        <v/>
      </c>
      <c r="U992">
        <f>IF(AND(K992=0,G992&lt;=Assumptions!$C$6),1,0)</f>
        <v/>
      </c>
      <c r="V992">
        <f>IF(U992=1,IF(M992&gt;0,IF(P992&lt;=G992+Assumptions!$C$7,1,0),0),0)</f>
        <v/>
      </c>
      <c r="W992">
        <f>IF(AND(U992=1,M992&gt;=H992*(1-Assumptions!$C$8)),1,0)</f>
        <v/>
      </c>
      <c r="X992">
        <f>IF(AND(U992=1,N992&gt;=H992*(1-Assumptions!$C$8)),1,0)</f>
        <v/>
      </c>
      <c r="Y992">
        <f>IF(ISNUMBER(Q992),1,0)</f>
        <v/>
      </c>
      <c r="Z992">
        <f>IF(AND(K992=0,L992=0,Y992=0),1,0)</f>
        <v/>
      </c>
      <c r="AA992">
        <f>IF(AND(Z992=1,G992&lt;Assumptions!$C$6),1,0)</f>
        <v/>
      </c>
      <c r="AB992">
        <f>IF(U992=0,"",IF(Y992=1,MAX(0,Q992-G992),IF(L992=1,MAX(0,R992-G992),MAX(0,Assumptions!$C$6-G992))))</f>
        <v/>
      </c>
      <c r="AC992">
        <f>IF(Y992=1,Q992-F992,"")</f>
        <v/>
      </c>
      <c r="AD992">
        <f>IF(Y992=1,AC992^2,"")</f>
        <v/>
      </c>
      <c r="AE992" s="19">
        <f>IF(Z992=1,(H992-M992)*I992,0)</f>
        <v/>
      </c>
      <c r="AF992">
        <f>IF(G992&lt;EDATE(Assumptions!$C$6,-12)+1,"prior_12m","last_12m")</f>
        <v/>
      </c>
      <c r="AG992" s="21">
        <f>DATE(YEAR(G992),MONTH(G992),1)</f>
        <v/>
      </c>
    </row>
    <row r="993">
      <c r="A993" t="inlineStr">
        <is>
          <t>SPO-00547-3</t>
        </is>
      </c>
      <c r="B993" t="inlineStr">
        <is>
          <t>SPO-00547</t>
        </is>
      </c>
      <c r="C993" t="inlineStr">
        <is>
          <t>SUP-04</t>
        </is>
      </c>
      <c r="D993" t="inlineStr">
        <is>
          <t>FLEET</t>
        </is>
      </c>
      <c r="E993" t="inlineStr">
        <is>
          <t>FLEET-01</t>
        </is>
      </c>
      <c r="F993" s="17" t="n">
        <v>45709</v>
      </c>
      <c r="G993" s="17" t="n">
        <v>45722</v>
      </c>
      <c r="H993" s="18" t="n">
        <v>27</v>
      </c>
      <c r="I993" s="19" t="n">
        <v>62.81</v>
      </c>
      <c r="J993" s="19" t="n">
        <v>64</v>
      </c>
      <c r="K993" s="20" t="n">
        <v>1</v>
      </c>
      <c r="L993" s="20" t="n">
        <v>0</v>
      </c>
      <c r="M993" s="18" t="n">
        <v>0</v>
      </c>
      <c r="N993" s="18" t="n">
        <v>0</v>
      </c>
      <c r="O993" s="18" t="n">
        <v>0</v>
      </c>
      <c r="P993" s="17" t="n"/>
      <c r="Q993" s="17" t="n"/>
      <c r="R993" s="17" t="n"/>
      <c r="S993" s="19">
        <f>H993*I993</f>
        <v/>
      </c>
      <c r="T993" s="19">
        <f>H993*J993</f>
        <v/>
      </c>
      <c r="U993">
        <f>IF(AND(K993=0,G993&lt;=Assumptions!$C$6),1,0)</f>
        <v/>
      </c>
      <c r="V993">
        <f>IF(U993=1,IF(M993&gt;0,IF(P993&lt;=G993+Assumptions!$C$7,1,0),0),0)</f>
        <v/>
      </c>
      <c r="W993">
        <f>IF(AND(U993=1,M993&gt;=H993*(1-Assumptions!$C$8)),1,0)</f>
        <v/>
      </c>
      <c r="X993">
        <f>IF(AND(U993=1,N993&gt;=H993*(1-Assumptions!$C$8)),1,0)</f>
        <v/>
      </c>
      <c r="Y993">
        <f>IF(ISNUMBER(Q993),1,0)</f>
        <v/>
      </c>
      <c r="Z993">
        <f>IF(AND(K993=0,L993=0,Y993=0),1,0)</f>
        <v/>
      </c>
      <c r="AA993">
        <f>IF(AND(Z993=1,G993&lt;Assumptions!$C$6),1,0)</f>
        <v/>
      </c>
      <c r="AB993">
        <f>IF(U993=0,"",IF(Y993=1,MAX(0,Q993-G993),IF(L993=1,MAX(0,R993-G993),MAX(0,Assumptions!$C$6-G993))))</f>
        <v/>
      </c>
      <c r="AC993">
        <f>IF(Y993=1,Q993-F993,"")</f>
        <v/>
      </c>
      <c r="AD993">
        <f>IF(Y993=1,AC993^2,"")</f>
        <v/>
      </c>
      <c r="AE993" s="19">
        <f>IF(Z993=1,(H993-M993)*I993,0)</f>
        <v/>
      </c>
      <c r="AF993">
        <f>IF(G993&lt;EDATE(Assumptions!$C$6,-12)+1,"prior_12m","last_12m")</f>
        <v/>
      </c>
      <c r="AG993" s="21">
        <f>DATE(YEAR(G993),MONTH(G993),1)</f>
        <v/>
      </c>
    </row>
    <row r="994">
      <c r="A994" t="inlineStr">
        <is>
          <t>SPO-00548-1</t>
        </is>
      </c>
      <c r="B994" t="inlineStr">
        <is>
          <t>SPO-00548</t>
        </is>
      </c>
      <c r="C994" t="inlineStr">
        <is>
          <t>SUP-02</t>
        </is>
      </c>
      <c r="D994" t="inlineStr">
        <is>
          <t>ELEC</t>
        </is>
      </c>
      <c r="E994" t="inlineStr">
        <is>
          <t>ELEC-01</t>
        </is>
      </c>
      <c r="F994" s="17" t="n">
        <v>45709</v>
      </c>
      <c r="G994" s="17" t="n">
        <v>45725</v>
      </c>
      <c r="H994" s="18" t="n">
        <v>75</v>
      </c>
      <c r="I994" s="19" t="n">
        <v>38.55</v>
      </c>
      <c r="J994" s="19" t="n">
        <v>38</v>
      </c>
      <c r="K994" s="20" t="n">
        <v>0</v>
      </c>
      <c r="L994" s="20" t="n">
        <v>0</v>
      </c>
      <c r="M994" s="18" t="n">
        <v>75</v>
      </c>
      <c r="N994" s="18" t="n">
        <v>75</v>
      </c>
      <c r="O994" s="18" t="n">
        <v>0</v>
      </c>
      <c r="P994" s="17" t="n">
        <v>45721</v>
      </c>
      <c r="Q994" s="17" t="n">
        <v>45721</v>
      </c>
      <c r="R994" s="17" t="n">
        <v>45721</v>
      </c>
      <c r="S994" s="19">
        <f>H994*I994</f>
        <v/>
      </c>
      <c r="T994" s="19">
        <f>H994*J994</f>
        <v/>
      </c>
      <c r="U994">
        <f>IF(AND(K994=0,G994&lt;=Assumptions!$C$6),1,0)</f>
        <v/>
      </c>
      <c r="V994">
        <f>IF(U994=1,IF(M994&gt;0,IF(P994&lt;=G994+Assumptions!$C$7,1,0),0),0)</f>
        <v/>
      </c>
      <c r="W994">
        <f>IF(AND(U994=1,M994&gt;=H994*(1-Assumptions!$C$8)),1,0)</f>
        <v/>
      </c>
      <c r="X994">
        <f>IF(AND(U994=1,N994&gt;=H994*(1-Assumptions!$C$8)),1,0)</f>
        <v/>
      </c>
      <c r="Y994">
        <f>IF(ISNUMBER(Q994),1,0)</f>
        <v/>
      </c>
      <c r="Z994">
        <f>IF(AND(K994=0,L994=0,Y994=0),1,0)</f>
        <v/>
      </c>
      <c r="AA994">
        <f>IF(AND(Z994=1,G994&lt;Assumptions!$C$6),1,0)</f>
        <v/>
      </c>
      <c r="AB994">
        <f>IF(U994=0,"",IF(Y994=1,MAX(0,Q994-G994),IF(L994=1,MAX(0,R994-G994),MAX(0,Assumptions!$C$6-G994))))</f>
        <v/>
      </c>
      <c r="AC994">
        <f>IF(Y994=1,Q994-F994,"")</f>
        <v/>
      </c>
      <c r="AD994">
        <f>IF(Y994=1,AC994^2,"")</f>
        <v/>
      </c>
      <c r="AE994" s="19">
        <f>IF(Z994=1,(H994-M994)*I994,0)</f>
        <v/>
      </c>
      <c r="AF994">
        <f>IF(G994&lt;EDATE(Assumptions!$C$6,-12)+1,"prior_12m","last_12m")</f>
        <v/>
      </c>
      <c r="AG994" s="21">
        <f>DATE(YEAR(G994),MONTH(G994),1)</f>
        <v/>
      </c>
    </row>
    <row r="995">
      <c r="A995" t="inlineStr">
        <is>
          <t>SPO-00549-1</t>
        </is>
      </c>
      <c r="B995" t="inlineStr">
        <is>
          <t>SPO-00549</t>
        </is>
      </c>
      <c r="C995" t="inlineStr">
        <is>
          <t>SUP-08</t>
        </is>
      </c>
      <c r="D995" t="inlineStr">
        <is>
          <t>PPE</t>
        </is>
      </c>
      <c r="E995" t="inlineStr">
        <is>
          <t>PPE-08</t>
        </is>
      </c>
      <c r="F995" s="17" t="n">
        <v>45710</v>
      </c>
      <c r="G995" s="17" t="n">
        <v>45721</v>
      </c>
      <c r="H995" s="18" t="n">
        <v>6</v>
      </c>
      <c r="I995" s="19" t="n">
        <v>64.58</v>
      </c>
      <c r="J995" s="19" t="n">
        <v>64</v>
      </c>
      <c r="K995" s="20" t="n">
        <v>0</v>
      </c>
      <c r="L995" s="20" t="n">
        <v>0</v>
      </c>
      <c r="M995" s="18" t="n">
        <v>6</v>
      </c>
      <c r="N995" s="18" t="n">
        <v>6</v>
      </c>
      <c r="O995" s="18" t="n">
        <v>0</v>
      </c>
      <c r="P995" s="17" t="n">
        <v>45718</v>
      </c>
      <c r="Q995" s="17" t="n">
        <v>45718</v>
      </c>
      <c r="R995" s="17" t="n">
        <v>45718</v>
      </c>
      <c r="S995" s="19">
        <f>H995*I995</f>
        <v/>
      </c>
      <c r="T995" s="19">
        <f>H995*J995</f>
        <v/>
      </c>
      <c r="U995">
        <f>IF(AND(K995=0,G995&lt;=Assumptions!$C$6),1,0)</f>
        <v/>
      </c>
      <c r="V995">
        <f>IF(U995=1,IF(M995&gt;0,IF(P995&lt;=G995+Assumptions!$C$7,1,0),0),0)</f>
        <v/>
      </c>
      <c r="W995">
        <f>IF(AND(U995=1,M995&gt;=H995*(1-Assumptions!$C$8)),1,0)</f>
        <v/>
      </c>
      <c r="X995">
        <f>IF(AND(U995=1,N995&gt;=H995*(1-Assumptions!$C$8)),1,0)</f>
        <v/>
      </c>
      <c r="Y995">
        <f>IF(ISNUMBER(Q995),1,0)</f>
        <v/>
      </c>
      <c r="Z995">
        <f>IF(AND(K995=0,L995=0,Y995=0),1,0)</f>
        <v/>
      </c>
      <c r="AA995">
        <f>IF(AND(Z995=1,G995&lt;Assumptions!$C$6),1,0)</f>
        <v/>
      </c>
      <c r="AB995">
        <f>IF(U995=0,"",IF(Y995=1,MAX(0,Q995-G995),IF(L995=1,MAX(0,R995-G995),MAX(0,Assumptions!$C$6-G995))))</f>
        <v/>
      </c>
      <c r="AC995">
        <f>IF(Y995=1,Q995-F995,"")</f>
        <v/>
      </c>
      <c r="AD995">
        <f>IF(Y995=1,AC995^2,"")</f>
        <v/>
      </c>
      <c r="AE995" s="19">
        <f>IF(Z995=1,(H995-M995)*I995,0)</f>
        <v/>
      </c>
      <c r="AF995">
        <f>IF(G995&lt;EDATE(Assumptions!$C$6,-12)+1,"prior_12m","last_12m")</f>
        <v/>
      </c>
      <c r="AG995" s="21">
        <f>DATE(YEAR(G995),MONTH(G995),1)</f>
        <v/>
      </c>
    </row>
    <row r="996">
      <c r="A996" t="inlineStr">
        <is>
          <t>SPO-00550-1</t>
        </is>
      </c>
      <c r="B996" t="inlineStr">
        <is>
          <t>SPO-00550</t>
        </is>
      </c>
      <c r="C996" t="inlineStr">
        <is>
          <t>SUP-13</t>
        </is>
      </c>
      <c r="D996" t="inlineStr">
        <is>
          <t>IT</t>
        </is>
      </c>
      <c r="E996" t="inlineStr">
        <is>
          <t>IT-02</t>
        </is>
      </c>
      <c r="F996" s="17" t="n">
        <v>45710</v>
      </c>
      <c r="G996" s="17" t="n">
        <v>45721</v>
      </c>
      <c r="H996" s="18" t="n">
        <v>15</v>
      </c>
      <c r="I996" s="19" t="n">
        <v>167.32</v>
      </c>
      <c r="J996" s="19" t="n">
        <v>162</v>
      </c>
      <c r="K996" s="20" t="n">
        <v>0</v>
      </c>
      <c r="L996" s="20" t="n">
        <v>0</v>
      </c>
      <c r="M996" s="18" t="n">
        <v>15</v>
      </c>
      <c r="N996" s="18" t="n">
        <v>15</v>
      </c>
      <c r="O996" s="18" t="n">
        <v>0</v>
      </c>
      <c r="P996" s="17" t="n">
        <v>45720</v>
      </c>
      <c r="Q996" s="17" t="n">
        <v>45720</v>
      </c>
      <c r="R996" s="17" t="n">
        <v>45720</v>
      </c>
      <c r="S996" s="19">
        <f>H996*I996</f>
        <v/>
      </c>
      <c r="T996" s="19">
        <f>H996*J996</f>
        <v/>
      </c>
      <c r="U996">
        <f>IF(AND(K996=0,G996&lt;=Assumptions!$C$6),1,0)</f>
        <v/>
      </c>
      <c r="V996">
        <f>IF(U996=1,IF(M996&gt;0,IF(P996&lt;=G996+Assumptions!$C$7,1,0),0),0)</f>
        <v/>
      </c>
      <c r="W996">
        <f>IF(AND(U996=1,M996&gt;=H996*(1-Assumptions!$C$8)),1,0)</f>
        <v/>
      </c>
      <c r="X996">
        <f>IF(AND(U996=1,N996&gt;=H996*(1-Assumptions!$C$8)),1,0)</f>
        <v/>
      </c>
      <c r="Y996">
        <f>IF(ISNUMBER(Q996),1,0)</f>
        <v/>
      </c>
      <c r="Z996">
        <f>IF(AND(K996=0,L996=0,Y996=0),1,0)</f>
        <v/>
      </c>
      <c r="AA996">
        <f>IF(AND(Z996=1,G996&lt;Assumptions!$C$6),1,0)</f>
        <v/>
      </c>
      <c r="AB996">
        <f>IF(U996=0,"",IF(Y996=1,MAX(0,Q996-G996),IF(L996=1,MAX(0,R996-G996),MAX(0,Assumptions!$C$6-G996))))</f>
        <v/>
      </c>
      <c r="AC996">
        <f>IF(Y996=1,Q996-F996,"")</f>
        <v/>
      </c>
      <c r="AD996">
        <f>IF(Y996=1,AC996^2,"")</f>
        <v/>
      </c>
      <c r="AE996" s="19">
        <f>IF(Z996=1,(H996-M996)*I996,0)</f>
        <v/>
      </c>
      <c r="AF996">
        <f>IF(G996&lt;EDATE(Assumptions!$C$6,-12)+1,"prior_12m","last_12m")</f>
        <v/>
      </c>
      <c r="AG996" s="21">
        <f>DATE(YEAR(G996),MONTH(G996),1)</f>
        <v/>
      </c>
    </row>
    <row r="997">
      <c r="A997" t="inlineStr">
        <is>
          <t>SPO-00550-2</t>
        </is>
      </c>
      <c r="B997" t="inlineStr">
        <is>
          <t>SPO-00550</t>
        </is>
      </c>
      <c r="C997" t="inlineStr">
        <is>
          <t>SUP-13</t>
        </is>
      </c>
      <c r="D997" t="inlineStr">
        <is>
          <t>IT</t>
        </is>
      </c>
      <c r="E997" t="inlineStr">
        <is>
          <t>IT-04</t>
        </is>
      </c>
      <c r="F997" s="17" t="n">
        <v>45710</v>
      </c>
      <c r="G997" s="17" t="n">
        <v>45721</v>
      </c>
      <c r="H997" s="18" t="n">
        <v>99</v>
      </c>
      <c r="I997" s="19" t="n">
        <v>12.11</v>
      </c>
      <c r="J997" s="19" t="n">
        <v>12</v>
      </c>
      <c r="K997" s="20" t="n">
        <v>0</v>
      </c>
      <c r="L997" s="20" t="n">
        <v>0</v>
      </c>
      <c r="M997" s="18" t="n">
        <v>99</v>
      </c>
      <c r="N997" s="18" t="n">
        <v>99</v>
      </c>
      <c r="O997" s="18" t="n">
        <v>0</v>
      </c>
      <c r="P997" s="17" t="n">
        <v>45717</v>
      </c>
      <c r="Q997" s="17" t="n">
        <v>45717</v>
      </c>
      <c r="R997" s="17" t="n">
        <v>45717</v>
      </c>
      <c r="S997" s="19">
        <f>H997*I997</f>
        <v/>
      </c>
      <c r="T997" s="19">
        <f>H997*J997</f>
        <v/>
      </c>
      <c r="U997">
        <f>IF(AND(K997=0,G997&lt;=Assumptions!$C$6),1,0)</f>
        <v/>
      </c>
      <c r="V997">
        <f>IF(U997=1,IF(M997&gt;0,IF(P997&lt;=G997+Assumptions!$C$7,1,0),0),0)</f>
        <v/>
      </c>
      <c r="W997">
        <f>IF(AND(U997=1,M997&gt;=H997*(1-Assumptions!$C$8)),1,0)</f>
        <v/>
      </c>
      <c r="X997">
        <f>IF(AND(U997=1,N997&gt;=H997*(1-Assumptions!$C$8)),1,0)</f>
        <v/>
      </c>
      <c r="Y997">
        <f>IF(ISNUMBER(Q997),1,0)</f>
        <v/>
      </c>
      <c r="Z997">
        <f>IF(AND(K997=0,L997=0,Y997=0),1,0)</f>
        <v/>
      </c>
      <c r="AA997">
        <f>IF(AND(Z997=1,G997&lt;Assumptions!$C$6),1,0)</f>
        <v/>
      </c>
      <c r="AB997">
        <f>IF(U997=0,"",IF(Y997=1,MAX(0,Q997-G997),IF(L997=1,MAX(0,R997-G997),MAX(0,Assumptions!$C$6-G997))))</f>
        <v/>
      </c>
      <c r="AC997">
        <f>IF(Y997=1,Q997-F997,"")</f>
        <v/>
      </c>
      <c r="AD997">
        <f>IF(Y997=1,AC997^2,"")</f>
        <v/>
      </c>
      <c r="AE997" s="19">
        <f>IF(Z997=1,(H997-M997)*I997,0)</f>
        <v/>
      </c>
      <c r="AF997">
        <f>IF(G997&lt;EDATE(Assumptions!$C$6,-12)+1,"prior_12m","last_12m")</f>
        <v/>
      </c>
      <c r="AG997" s="21">
        <f>DATE(YEAR(G997),MONTH(G997),1)</f>
        <v/>
      </c>
    </row>
    <row r="998">
      <c r="A998" t="inlineStr">
        <is>
          <t>SPO-00550-3</t>
        </is>
      </c>
      <c r="B998" t="inlineStr">
        <is>
          <t>SPO-00550</t>
        </is>
      </c>
      <c r="C998" t="inlineStr">
        <is>
          <t>SUP-13</t>
        </is>
      </c>
      <c r="D998" t="inlineStr">
        <is>
          <t>IT</t>
        </is>
      </c>
      <c r="E998" t="inlineStr">
        <is>
          <t>IT-08</t>
        </is>
      </c>
      <c r="F998" s="17" t="n">
        <v>45710</v>
      </c>
      <c r="G998" s="17" t="n">
        <v>45721</v>
      </c>
      <c r="H998" s="18" t="n">
        <v>6</v>
      </c>
      <c r="I998" s="19" t="n">
        <v>248.14</v>
      </c>
      <c r="J998" s="19" t="n">
        <v>245</v>
      </c>
      <c r="K998" s="20" t="n">
        <v>0</v>
      </c>
      <c r="L998" s="20" t="n">
        <v>0</v>
      </c>
      <c r="M998" s="18" t="n">
        <v>6</v>
      </c>
      <c r="N998" s="18" t="n">
        <v>6</v>
      </c>
      <c r="O998" s="18" t="n">
        <v>0</v>
      </c>
      <c r="P998" s="17" t="n">
        <v>45716</v>
      </c>
      <c r="Q998" s="17" t="n">
        <v>45716</v>
      </c>
      <c r="R998" s="17" t="n">
        <v>45716</v>
      </c>
      <c r="S998" s="19">
        <f>H998*I998</f>
        <v/>
      </c>
      <c r="T998" s="19">
        <f>H998*J998</f>
        <v/>
      </c>
      <c r="U998">
        <f>IF(AND(K998=0,G998&lt;=Assumptions!$C$6),1,0)</f>
        <v/>
      </c>
      <c r="V998">
        <f>IF(U998=1,IF(M998&gt;0,IF(P998&lt;=G998+Assumptions!$C$7,1,0),0),0)</f>
        <v/>
      </c>
      <c r="W998">
        <f>IF(AND(U998=1,M998&gt;=H998*(1-Assumptions!$C$8)),1,0)</f>
        <v/>
      </c>
      <c r="X998">
        <f>IF(AND(U998=1,N998&gt;=H998*(1-Assumptions!$C$8)),1,0)</f>
        <v/>
      </c>
      <c r="Y998">
        <f>IF(ISNUMBER(Q998),1,0)</f>
        <v/>
      </c>
      <c r="Z998">
        <f>IF(AND(K998=0,L998=0,Y998=0),1,0)</f>
        <v/>
      </c>
      <c r="AA998">
        <f>IF(AND(Z998=1,G998&lt;Assumptions!$C$6),1,0)</f>
        <v/>
      </c>
      <c r="AB998">
        <f>IF(U998=0,"",IF(Y998=1,MAX(0,Q998-G998),IF(L998=1,MAX(0,R998-G998),MAX(0,Assumptions!$C$6-G998))))</f>
        <v/>
      </c>
      <c r="AC998">
        <f>IF(Y998=1,Q998-F998,"")</f>
        <v/>
      </c>
      <c r="AD998">
        <f>IF(Y998=1,AC998^2,"")</f>
        <v/>
      </c>
      <c r="AE998" s="19">
        <f>IF(Z998=1,(H998-M998)*I998,0)</f>
        <v/>
      </c>
      <c r="AF998">
        <f>IF(G998&lt;EDATE(Assumptions!$C$6,-12)+1,"prior_12m","last_12m")</f>
        <v/>
      </c>
      <c r="AG998" s="21">
        <f>DATE(YEAR(G998),MONTH(G998),1)</f>
        <v/>
      </c>
    </row>
    <row r="999">
      <c r="A999" t="inlineStr">
        <is>
          <t>SPO-00551-1</t>
        </is>
      </c>
      <c r="B999" t="inlineStr">
        <is>
          <t>SPO-00551</t>
        </is>
      </c>
      <c r="C999" t="inlineStr">
        <is>
          <t>SUP-06</t>
        </is>
      </c>
      <c r="D999" t="inlineStr">
        <is>
          <t>MRO</t>
        </is>
      </c>
      <c r="E999" t="inlineStr">
        <is>
          <t>MRO-04</t>
        </is>
      </c>
      <c r="F999" s="17" t="n">
        <v>45711</v>
      </c>
      <c r="G999" s="17" t="n">
        <v>45719</v>
      </c>
      <c r="H999" s="18" t="n">
        <v>15</v>
      </c>
      <c r="I999" s="19" t="n">
        <v>58.32</v>
      </c>
      <c r="J999" s="19" t="n">
        <v>58</v>
      </c>
      <c r="K999" s="20" t="n">
        <v>0</v>
      </c>
      <c r="L999" s="20" t="n">
        <v>0</v>
      </c>
      <c r="M999" s="18" t="n">
        <v>15</v>
      </c>
      <c r="N999" s="18" t="n">
        <v>15</v>
      </c>
      <c r="O999" s="18" t="n">
        <v>0</v>
      </c>
      <c r="P999" s="17" t="n">
        <v>45717</v>
      </c>
      <c r="Q999" s="17" t="n">
        <v>45717</v>
      </c>
      <c r="R999" s="17" t="n">
        <v>45717</v>
      </c>
      <c r="S999" s="19">
        <f>H999*I999</f>
        <v/>
      </c>
      <c r="T999" s="19">
        <f>H999*J999</f>
        <v/>
      </c>
      <c r="U999">
        <f>IF(AND(K999=0,G999&lt;=Assumptions!$C$6),1,0)</f>
        <v/>
      </c>
      <c r="V999">
        <f>IF(U999=1,IF(M999&gt;0,IF(P999&lt;=G999+Assumptions!$C$7,1,0),0),0)</f>
        <v/>
      </c>
      <c r="W999">
        <f>IF(AND(U999=1,M999&gt;=H999*(1-Assumptions!$C$8)),1,0)</f>
        <v/>
      </c>
      <c r="X999">
        <f>IF(AND(U999=1,N999&gt;=H999*(1-Assumptions!$C$8)),1,0)</f>
        <v/>
      </c>
      <c r="Y999">
        <f>IF(ISNUMBER(Q999),1,0)</f>
        <v/>
      </c>
      <c r="Z999">
        <f>IF(AND(K999=0,L999=0,Y999=0),1,0)</f>
        <v/>
      </c>
      <c r="AA999">
        <f>IF(AND(Z999=1,G999&lt;Assumptions!$C$6),1,0)</f>
        <v/>
      </c>
      <c r="AB999">
        <f>IF(U999=0,"",IF(Y999=1,MAX(0,Q999-G999),IF(L999=1,MAX(0,R999-G999),MAX(0,Assumptions!$C$6-G999))))</f>
        <v/>
      </c>
      <c r="AC999">
        <f>IF(Y999=1,Q999-F999,"")</f>
        <v/>
      </c>
      <c r="AD999">
        <f>IF(Y999=1,AC999^2,"")</f>
        <v/>
      </c>
      <c r="AE999" s="19">
        <f>IF(Z999=1,(H999-M999)*I999,0)</f>
        <v/>
      </c>
      <c r="AF999">
        <f>IF(G999&lt;EDATE(Assumptions!$C$6,-12)+1,"prior_12m","last_12m")</f>
        <v/>
      </c>
      <c r="AG999" s="21">
        <f>DATE(YEAR(G999),MONTH(G999),1)</f>
        <v/>
      </c>
    </row>
    <row r="1000">
      <c r="A1000" t="inlineStr">
        <is>
          <t>SPO-00551-2</t>
        </is>
      </c>
      <c r="B1000" t="inlineStr">
        <is>
          <t>SPO-00551</t>
        </is>
      </c>
      <c r="C1000" t="inlineStr">
        <is>
          <t>SUP-06</t>
        </is>
      </c>
      <c r="D1000" t="inlineStr">
        <is>
          <t>MRO</t>
        </is>
      </c>
      <c r="E1000" t="inlineStr">
        <is>
          <t>MRO-05</t>
        </is>
      </c>
      <c r="F1000" s="17" t="n">
        <v>45711</v>
      </c>
      <c r="G1000" s="17" t="n">
        <v>45719</v>
      </c>
      <c r="H1000" s="18" t="n">
        <v>174</v>
      </c>
      <c r="I1000" s="19" t="n">
        <v>36.04</v>
      </c>
      <c r="J1000" s="19" t="n">
        <v>36</v>
      </c>
      <c r="K1000" s="20" t="n">
        <v>0</v>
      </c>
      <c r="L1000" s="20" t="n">
        <v>0</v>
      </c>
      <c r="M1000" s="18" t="n">
        <v>174</v>
      </c>
      <c r="N1000" s="18" t="n">
        <v>174</v>
      </c>
      <c r="O1000" s="18" t="n">
        <v>0</v>
      </c>
      <c r="P1000" s="17" t="n">
        <v>45719</v>
      </c>
      <c r="Q1000" s="17" t="n">
        <v>45719</v>
      </c>
      <c r="R1000" s="17" t="n">
        <v>45719</v>
      </c>
      <c r="S1000" s="19">
        <f>H1000*I1000</f>
        <v/>
      </c>
      <c r="T1000" s="19">
        <f>H1000*J1000</f>
        <v/>
      </c>
      <c r="U1000">
        <f>IF(AND(K1000=0,G1000&lt;=Assumptions!$C$6),1,0)</f>
        <v/>
      </c>
      <c r="V1000">
        <f>IF(U1000=1,IF(M1000&gt;0,IF(P1000&lt;=G1000+Assumptions!$C$7,1,0),0),0)</f>
        <v/>
      </c>
      <c r="W1000">
        <f>IF(AND(U1000=1,M1000&gt;=H1000*(1-Assumptions!$C$8)),1,0)</f>
        <v/>
      </c>
      <c r="X1000">
        <f>IF(AND(U1000=1,N1000&gt;=H1000*(1-Assumptions!$C$8)),1,0)</f>
        <v/>
      </c>
      <c r="Y1000">
        <f>IF(ISNUMBER(Q1000),1,0)</f>
        <v/>
      </c>
      <c r="Z1000">
        <f>IF(AND(K1000=0,L1000=0,Y1000=0),1,0)</f>
        <v/>
      </c>
      <c r="AA1000">
        <f>IF(AND(Z1000=1,G1000&lt;Assumptions!$C$6),1,0)</f>
        <v/>
      </c>
      <c r="AB1000">
        <f>IF(U1000=0,"",IF(Y1000=1,MAX(0,Q1000-G1000),IF(L1000=1,MAX(0,R1000-G1000),MAX(0,Assumptions!$C$6-G1000))))</f>
        <v/>
      </c>
      <c r="AC1000">
        <f>IF(Y1000=1,Q1000-F1000,"")</f>
        <v/>
      </c>
      <c r="AD1000">
        <f>IF(Y1000=1,AC1000^2,"")</f>
        <v/>
      </c>
      <c r="AE1000" s="19">
        <f>IF(Z1000=1,(H1000-M1000)*I1000,0)</f>
        <v/>
      </c>
      <c r="AF1000">
        <f>IF(G1000&lt;EDATE(Assumptions!$C$6,-12)+1,"prior_12m","last_12m")</f>
        <v/>
      </c>
      <c r="AG1000" s="21">
        <f>DATE(YEAR(G1000),MONTH(G1000),1)</f>
        <v/>
      </c>
    </row>
    <row r="1001">
      <c r="A1001" t="inlineStr">
        <is>
          <t>SPO-00551-3</t>
        </is>
      </c>
      <c r="B1001" t="inlineStr">
        <is>
          <t>SPO-00551</t>
        </is>
      </c>
      <c r="C1001" t="inlineStr">
        <is>
          <t>SUP-06</t>
        </is>
      </c>
      <c r="D1001" t="inlineStr">
        <is>
          <t>MRO</t>
        </is>
      </c>
      <c r="E1001" t="inlineStr">
        <is>
          <t>MRO-01</t>
        </is>
      </c>
      <c r="F1001" s="17" t="n">
        <v>45711</v>
      </c>
      <c r="G1001" s="17" t="n">
        <v>45719</v>
      </c>
      <c r="H1001" s="18" t="n">
        <v>65</v>
      </c>
      <c r="I1001" s="19" t="n">
        <v>51.75</v>
      </c>
      <c r="J1001" s="19" t="n">
        <v>52</v>
      </c>
      <c r="K1001" s="20" t="n">
        <v>0</v>
      </c>
      <c r="L1001" s="20" t="n">
        <v>0</v>
      </c>
      <c r="M1001" s="18" t="n">
        <v>65</v>
      </c>
      <c r="N1001" s="18" t="n">
        <v>65</v>
      </c>
      <c r="O1001" s="18" t="n">
        <v>0</v>
      </c>
      <c r="P1001" s="17" t="n">
        <v>45716</v>
      </c>
      <c r="Q1001" s="17" t="n">
        <v>45716</v>
      </c>
      <c r="R1001" s="17" t="n">
        <v>45716</v>
      </c>
      <c r="S1001" s="19">
        <f>H1001*I1001</f>
        <v/>
      </c>
      <c r="T1001" s="19">
        <f>H1001*J1001</f>
        <v/>
      </c>
      <c r="U1001">
        <f>IF(AND(K1001=0,G1001&lt;=Assumptions!$C$6),1,0)</f>
        <v/>
      </c>
      <c r="V1001">
        <f>IF(U1001=1,IF(M1001&gt;0,IF(P1001&lt;=G1001+Assumptions!$C$7,1,0),0),0)</f>
        <v/>
      </c>
      <c r="W1001">
        <f>IF(AND(U1001=1,M1001&gt;=H1001*(1-Assumptions!$C$8)),1,0)</f>
        <v/>
      </c>
      <c r="X1001">
        <f>IF(AND(U1001=1,N1001&gt;=H1001*(1-Assumptions!$C$8)),1,0)</f>
        <v/>
      </c>
      <c r="Y1001">
        <f>IF(ISNUMBER(Q1001),1,0)</f>
        <v/>
      </c>
      <c r="Z1001">
        <f>IF(AND(K1001=0,L1001=0,Y1001=0),1,0)</f>
        <v/>
      </c>
      <c r="AA1001">
        <f>IF(AND(Z1001=1,G1001&lt;Assumptions!$C$6),1,0)</f>
        <v/>
      </c>
      <c r="AB1001">
        <f>IF(U1001=0,"",IF(Y1001=1,MAX(0,Q1001-G1001),IF(L1001=1,MAX(0,R1001-G1001),MAX(0,Assumptions!$C$6-G1001))))</f>
        <v/>
      </c>
      <c r="AC1001">
        <f>IF(Y1001=1,Q1001-F1001,"")</f>
        <v/>
      </c>
      <c r="AD1001">
        <f>IF(Y1001=1,AC1001^2,"")</f>
        <v/>
      </c>
      <c r="AE1001" s="19">
        <f>IF(Z1001=1,(H1001-M1001)*I1001,0)</f>
        <v/>
      </c>
      <c r="AF1001">
        <f>IF(G1001&lt;EDATE(Assumptions!$C$6,-12)+1,"prior_12m","last_12m")</f>
        <v/>
      </c>
      <c r="AG1001" s="21">
        <f>DATE(YEAR(G1001),MONTH(G1001),1)</f>
        <v/>
      </c>
    </row>
    <row r="1002">
      <c r="A1002" t="inlineStr">
        <is>
          <t>SPO-00551-4</t>
        </is>
      </c>
      <c r="B1002" t="inlineStr">
        <is>
          <t>SPO-00551</t>
        </is>
      </c>
      <c r="C1002" t="inlineStr">
        <is>
          <t>SUP-06</t>
        </is>
      </c>
      <c r="D1002" t="inlineStr">
        <is>
          <t>MRO</t>
        </is>
      </c>
      <c r="E1002" t="inlineStr">
        <is>
          <t>MRO-07</t>
        </is>
      </c>
      <c r="F1002" s="17" t="n">
        <v>45711</v>
      </c>
      <c r="G1002" s="17" t="n">
        <v>45719</v>
      </c>
      <c r="H1002" s="18" t="n">
        <v>63</v>
      </c>
      <c r="I1002" s="19" t="n">
        <v>14.15</v>
      </c>
      <c r="J1002" s="19" t="n">
        <v>14</v>
      </c>
      <c r="K1002" s="20" t="n">
        <v>0</v>
      </c>
      <c r="L1002" s="20" t="n">
        <v>0</v>
      </c>
      <c r="M1002" s="18" t="n">
        <v>63</v>
      </c>
      <c r="N1002" s="18" t="n">
        <v>63</v>
      </c>
      <c r="O1002" s="18" t="n">
        <v>0</v>
      </c>
      <c r="P1002" s="17" t="n">
        <v>45718</v>
      </c>
      <c r="Q1002" s="17" t="n">
        <v>45718</v>
      </c>
      <c r="R1002" s="17" t="n">
        <v>45718</v>
      </c>
      <c r="S1002" s="19">
        <f>H1002*I1002</f>
        <v/>
      </c>
      <c r="T1002" s="19">
        <f>H1002*J1002</f>
        <v/>
      </c>
      <c r="U1002">
        <f>IF(AND(K1002=0,G1002&lt;=Assumptions!$C$6),1,0)</f>
        <v/>
      </c>
      <c r="V1002">
        <f>IF(U1002=1,IF(M1002&gt;0,IF(P1002&lt;=G1002+Assumptions!$C$7,1,0),0),0)</f>
        <v/>
      </c>
      <c r="W1002">
        <f>IF(AND(U1002=1,M1002&gt;=H1002*(1-Assumptions!$C$8)),1,0)</f>
        <v/>
      </c>
      <c r="X1002">
        <f>IF(AND(U1002=1,N1002&gt;=H1002*(1-Assumptions!$C$8)),1,0)</f>
        <v/>
      </c>
      <c r="Y1002">
        <f>IF(ISNUMBER(Q1002),1,0)</f>
        <v/>
      </c>
      <c r="Z1002">
        <f>IF(AND(K1002=0,L1002=0,Y1002=0),1,0)</f>
        <v/>
      </c>
      <c r="AA1002">
        <f>IF(AND(Z1002=1,G1002&lt;Assumptions!$C$6),1,0)</f>
        <v/>
      </c>
      <c r="AB1002">
        <f>IF(U1002=0,"",IF(Y1002=1,MAX(0,Q1002-G1002),IF(L1002=1,MAX(0,R1002-G1002),MAX(0,Assumptions!$C$6-G1002))))</f>
        <v/>
      </c>
      <c r="AC1002">
        <f>IF(Y1002=1,Q1002-F1002,"")</f>
        <v/>
      </c>
      <c r="AD1002">
        <f>IF(Y1002=1,AC1002^2,"")</f>
        <v/>
      </c>
      <c r="AE1002" s="19">
        <f>IF(Z1002=1,(H1002-M1002)*I1002,0)</f>
        <v/>
      </c>
      <c r="AF1002">
        <f>IF(G1002&lt;EDATE(Assumptions!$C$6,-12)+1,"prior_12m","last_12m")</f>
        <v/>
      </c>
      <c r="AG1002" s="21">
        <f>DATE(YEAR(G1002),MONTH(G1002),1)</f>
        <v/>
      </c>
    </row>
    <row r="1003">
      <c r="A1003" t="inlineStr">
        <is>
          <t>SPO-00552-1</t>
        </is>
      </c>
      <c r="B1003" t="inlineStr">
        <is>
          <t>SPO-00552</t>
        </is>
      </c>
      <c r="C1003" t="inlineStr">
        <is>
          <t>SUP-05</t>
        </is>
      </c>
      <c r="D1003" t="inlineStr">
        <is>
          <t>FLEET</t>
        </is>
      </c>
      <c r="E1003" t="inlineStr">
        <is>
          <t>FLEET-03</t>
        </is>
      </c>
      <c r="F1003" s="17" t="n">
        <v>45711</v>
      </c>
      <c r="G1003" s="17" t="n">
        <v>45725</v>
      </c>
      <c r="H1003" s="18" t="n">
        <v>89</v>
      </c>
      <c r="I1003" s="19" t="n">
        <v>20.9</v>
      </c>
      <c r="J1003" s="19" t="n">
        <v>21</v>
      </c>
      <c r="K1003" s="20" t="n">
        <v>0</v>
      </c>
      <c r="L1003" s="20" t="n">
        <v>0</v>
      </c>
      <c r="M1003" s="18" t="n">
        <v>89</v>
      </c>
      <c r="N1003" s="18" t="n">
        <v>89</v>
      </c>
      <c r="O1003" s="18" t="n">
        <v>0</v>
      </c>
      <c r="P1003" s="17" t="n">
        <v>45719</v>
      </c>
      <c r="Q1003" s="17" t="n">
        <v>45719</v>
      </c>
      <c r="R1003" s="17" t="n">
        <v>45719</v>
      </c>
      <c r="S1003" s="19">
        <f>H1003*I1003</f>
        <v/>
      </c>
      <c r="T1003" s="19">
        <f>H1003*J1003</f>
        <v/>
      </c>
      <c r="U1003">
        <f>IF(AND(K1003=0,G1003&lt;=Assumptions!$C$6),1,0)</f>
        <v/>
      </c>
      <c r="V1003">
        <f>IF(U1003=1,IF(M1003&gt;0,IF(P1003&lt;=G1003+Assumptions!$C$7,1,0),0),0)</f>
        <v/>
      </c>
      <c r="W1003">
        <f>IF(AND(U1003=1,M1003&gt;=H1003*(1-Assumptions!$C$8)),1,0)</f>
        <v/>
      </c>
      <c r="X1003">
        <f>IF(AND(U1003=1,N1003&gt;=H1003*(1-Assumptions!$C$8)),1,0)</f>
        <v/>
      </c>
      <c r="Y1003">
        <f>IF(ISNUMBER(Q1003),1,0)</f>
        <v/>
      </c>
      <c r="Z1003">
        <f>IF(AND(K1003=0,L1003=0,Y1003=0),1,0)</f>
        <v/>
      </c>
      <c r="AA1003">
        <f>IF(AND(Z1003=1,G1003&lt;Assumptions!$C$6),1,0)</f>
        <v/>
      </c>
      <c r="AB1003">
        <f>IF(U1003=0,"",IF(Y1003=1,MAX(0,Q1003-G1003),IF(L1003=1,MAX(0,R1003-G1003),MAX(0,Assumptions!$C$6-G1003))))</f>
        <v/>
      </c>
      <c r="AC1003">
        <f>IF(Y1003=1,Q1003-F1003,"")</f>
        <v/>
      </c>
      <c r="AD1003">
        <f>IF(Y1003=1,AC1003^2,"")</f>
        <v/>
      </c>
      <c r="AE1003" s="19">
        <f>IF(Z1003=1,(H1003-M1003)*I1003,0)</f>
        <v/>
      </c>
      <c r="AF1003">
        <f>IF(G1003&lt;EDATE(Assumptions!$C$6,-12)+1,"prior_12m","last_12m")</f>
        <v/>
      </c>
      <c r="AG1003" s="21">
        <f>DATE(YEAR(G1003),MONTH(G1003),1)</f>
        <v/>
      </c>
    </row>
    <row r="1004">
      <c r="A1004" t="inlineStr">
        <is>
          <t>SPO-00553-1</t>
        </is>
      </c>
      <c r="B1004" t="inlineStr">
        <is>
          <t>SPO-00553</t>
        </is>
      </c>
      <c r="C1004" t="inlineStr">
        <is>
          <t>SUP-12</t>
        </is>
      </c>
      <c r="D1004" t="inlineStr">
        <is>
          <t>IT</t>
        </is>
      </c>
      <c r="E1004" t="inlineStr">
        <is>
          <t>IT-03</t>
        </is>
      </c>
      <c r="F1004" s="17" t="n">
        <v>45711</v>
      </c>
      <c r="G1004" s="17" t="n">
        <v>45721</v>
      </c>
      <c r="H1004" s="18" t="n">
        <v>61</v>
      </c>
      <c r="I1004" s="19" t="n">
        <v>44.74</v>
      </c>
      <c r="J1004" s="19" t="n">
        <v>38</v>
      </c>
      <c r="K1004" s="20" t="n">
        <v>0</v>
      </c>
      <c r="L1004" s="20" t="n">
        <v>0</v>
      </c>
      <c r="M1004" s="18" t="n">
        <v>61</v>
      </c>
      <c r="N1004" s="18" t="n">
        <v>61</v>
      </c>
      <c r="O1004" s="18" t="n">
        <v>0</v>
      </c>
      <c r="P1004" s="17" t="n">
        <v>45719</v>
      </c>
      <c r="Q1004" s="17" t="n">
        <v>45719</v>
      </c>
      <c r="R1004" s="17" t="n">
        <v>45719</v>
      </c>
      <c r="S1004" s="19">
        <f>H1004*I1004</f>
        <v/>
      </c>
      <c r="T1004" s="19">
        <f>H1004*J1004</f>
        <v/>
      </c>
      <c r="U1004">
        <f>IF(AND(K1004=0,G1004&lt;=Assumptions!$C$6),1,0)</f>
        <v/>
      </c>
      <c r="V1004">
        <f>IF(U1004=1,IF(M1004&gt;0,IF(P1004&lt;=G1004+Assumptions!$C$7,1,0),0),0)</f>
        <v/>
      </c>
      <c r="W1004">
        <f>IF(AND(U1004=1,M1004&gt;=H1004*(1-Assumptions!$C$8)),1,0)</f>
        <v/>
      </c>
      <c r="X1004">
        <f>IF(AND(U1004=1,N1004&gt;=H1004*(1-Assumptions!$C$8)),1,0)</f>
        <v/>
      </c>
      <c r="Y1004">
        <f>IF(ISNUMBER(Q1004),1,0)</f>
        <v/>
      </c>
      <c r="Z1004">
        <f>IF(AND(K1004=0,L1004=0,Y1004=0),1,0)</f>
        <v/>
      </c>
      <c r="AA1004">
        <f>IF(AND(Z1004=1,G1004&lt;Assumptions!$C$6),1,0)</f>
        <v/>
      </c>
      <c r="AB1004">
        <f>IF(U1004=0,"",IF(Y1004=1,MAX(0,Q1004-G1004),IF(L1004=1,MAX(0,R1004-G1004),MAX(0,Assumptions!$C$6-G1004))))</f>
        <v/>
      </c>
      <c r="AC1004">
        <f>IF(Y1004=1,Q1004-F1004,"")</f>
        <v/>
      </c>
      <c r="AD1004">
        <f>IF(Y1004=1,AC1004^2,"")</f>
        <v/>
      </c>
      <c r="AE1004" s="19">
        <f>IF(Z1004=1,(H1004-M1004)*I1004,0)</f>
        <v/>
      </c>
      <c r="AF1004">
        <f>IF(G1004&lt;EDATE(Assumptions!$C$6,-12)+1,"prior_12m","last_12m")</f>
        <v/>
      </c>
      <c r="AG1004" s="21">
        <f>DATE(YEAR(G1004),MONTH(G1004),1)</f>
        <v/>
      </c>
    </row>
    <row r="1005">
      <c r="A1005" t="inlineStr">
        <is>
          <t>SPO-00553-2</t>
        </is>
      </c>
      <c r="B1005" t="inlineStr">
        <is>
          <t>SPO-00553</t>
        </is>
      </c>
      <c r="C1005" t="inlineStr">
        <is>
          <t>SUP-12</t>
        </is>
      </c>
      <c r="D1005" t="inlineStr">
        <is>
          <t>IT</t>
        </is>
      </c>
      <c r="E1005" t="inlineStr">
        <is>
          <t>IT-02</t>
        </is>
      </c>
      <c r="F1005" s="17" t="n">
        <v>45711</v>
      </c>
      <c r="G1005" s="17" t="n">
        <v>45721</v>
      </c>
      <c r="H1005" s="18" t="n">
        <v>14</v>
      </c>
      <c r="I1005" s="19" t="n">
        <v>187.27</v>
      </c>
      <c r="J1005" s="19" t="n">
        <v>162</v>
      </c>
      <c r="K1005" s="20" t="n">
        <v>0</v>
      </c>
      <c r="L1005" s="20" t="n">
        <v>0</v>
      </c>
      <c r="M1005" s="18" t="n">
        <v>14</v>
      </c>
      <c r="N1005" s="18" t="n">
        <v>14</v>
      </c>
      <c r="O1005" s="18" t="n">
        <v>0</v>
      </c>
      <c r="P1005" s="17" t="n">
        <v>45721</v>
      </c>
      <c r="Q1005" s="17" t="n">
        <v>45721</v>
      </c>
      <c r="R1005" s="17" t="n">
        <v>45721</v>
      </c>
      <c r="S1005" s="19">
        <f>H1005*I1005</f>
        <v/>
      </c>
      <c r="T1005" s="19">
        <f>H1005*J1005</f>
        <v/>
      </c>
      <c r="U1005">
        <f>IF(AND(K1005=0,G1005&lt;=Assumptions!$C$6),1,0)</f>
        <v/>
      </c>
      <c r="V1005">
        <f>IF(U1005=1,IF(M1005&gt;0,IF(P1005&lt;=G1005+Assumptions!$C$7,1,0),0),0)</f>
        <v/>
      </c>
      <c r="W1005">
        <f>IF(AND(U1005=1,M1005&gt;=H1005*(1-Assumptions!$C$8)),1,0)</f>
        <v/>
      </c>
      <c r="X1005">
        <f>IF(AND(U1005=1,N1005&gt;=H1005*(1-Assumptions!$C$8)),1,0)</f>
        <v/>
      </c>
      <c r="Y1005">
        <f>IF(ISNUMBER(Q1005),1,0)</f>
        <v/>
      </c>
      <c r="Z1005">
        <f>IF(AND(K1005=0,L1005=0,Y1005=0),1,0)</f>
        <v/>
      </c>
      <c r="AA1005">
        <f>IF(AND(Z1005=1,G1005&lt;Assumptions!$C$6),1,0)</f>
        <v/>
      </c>
      <c r="AB1005">
        <f>IF(U1005=0,"",IF(Y1005=1,MAX(0,Q1005-G1005),IF(L1005=1,MAX(0,R1005-G1005),MAX(0,Assumptions!$C$6-G1005))))</f>
        <v/>
      </c>
      <c r="AC1005">
        <f>IF(Y1005=1,Q1005-F1005,"")</f>
        <v/>
      </c>
      <c r="AD1005">
        <f>IF(Y1005=1,AC1005^2,"")</f>
        <v/>
      </c>
      <c r="AE1005" s="19">
        <f>IF(Z1005=1,(H1005-M1005)*I1005,0)</f>
        <v/>
      </c>
      <c r="AF1005">
        <f>IF(G1005&lt;EDATE(Assumptions!$C$6,-12)+1,"prior_12m","last_12m")</f>
        <v/>
      </c>
      <c r="AG1005" s="21">
        <f>DATE(YEAR(G1005),MONTH(G1005),1)</f>
        <v/>
      </c>
    </row>
    <row r="1006">
      <c r="A1006" t="inlineStr">
        <is>
          <t>SPO-00554-1</t>
        </is>
      </c>
      <c r="B1006" t="inlineStr">
        <is>
          <t>SPO-00554</t>
        </is>
      </c>
      <c r="C1006" t="inlineStr">
        <is>
          <t>SUP-01</t>
        </is>
      </c>
      <c r="D1006" t="inlineStr">
        <is>
          <t>ELEC</t>
        </is>
      </c>
      <c r="E1006" t="inlineStr">
        <is>
          <t>ELEC-07</t>
        </is>
      </c>
      <c r="F1006" s="17" t="n">
        <v>45711</v>
      </c>
      <c r="G1006" s="17" t="n">
        <v>45729</v>
      </c>
      <c r="H1006" s="18" t="n">
        <v>324</v>
      </c>
      <c r="I1006" s="19" t="n">
        <v>9.84</v>
      </c>
      <c r="J1006" s="19" t="n">
        <v>9.800000000000001</v>
      </c>
      <c r="K1006" s="20" t="n">
        <v>0</v>
      </c>
      <c r="L1006" s="20" t="n">
        <v>0</v>
      </c>
      <c r="M1006" s="18" t="n">
        <v>324</v>
      </c>
      <c r="N1006" s="18" t="n">
        <v>324</v>
      </c>
      <c r="O1006" s="18" t="n">
        <v>0</v>
      </c>
      <c r="P1006" s="17" t="n">
        <v>45725</v>
      </c>
      <c r="Q1006" s="17" t="n">
        <v>45725</v>
      </c>
      <c r="R1006" s="17" t="n">
        <v>45725</v>
      </c>
      <c r="S1006" s="19">
        <f>H1006*I1006</f>
        <v/>
      </c>
      <c r="T1006" s="19">
        <f>H1006*J1006</f>
        <v/>
      </c>
      <c r="U1006">
        <f>IF(AND(K1006=0,G1006&lt;=Assumptions!$C$6),1,0)</f>
        <v/>
      </c>
      <c r="V1006">
        <f>IF(U1006=1,IF(M1006&gt;0,IF(P1006&lt;=G1006+Assumptions!$C$7,1,0),0),0)</f>
        <v/>
      </c>
      <c r="W1006">
        <f>IF(AND(U1006=1,M1006&gt;=H1006*(1-Assumptions!$C$8)),1,0)</f>
        <v/>
      </c>
      <c r="X1006">
        <f>IF(AND(U1006=1,N1006&gt;=H1006*(1-Assumptions!$C$8)),1,0)</f>
        <v/>
      </c>
      <c r="Y1006">
        <f>IF(ISNUMBER(Q1006),1,0)</f>
        <v/>
      </c>
      <c r="Z1006">
        <f>IF(AND(K1006=0,L1006=0,Y1006=0),1,0)</f>
        <v/>
      </c>
      <c r="AA1006">
        <f>IF(AND(Z1006=1,G1006&lt;Assumptions!$C$6),1,0)</f>
        <v/>
      </c>
      <c r="AB1006">
        <f>IF(U1006=0,"",IF(Y1006=1,MAX(0,Q1006-G1006),IF(L1006=1,MAX(0,R1006-G1006),MAX(0,Assumptions!$C$6-G1006))))</f>
        <v/>
      </c>
      <c r="AC1006">
        <f>IF(Y1006=1,Q1006-F1006,"")</f>
        <v/>
      </c>
      <c r="AD1006">
        <f>IF(Y1006=1,AC1006^2,"")</f>
        <v/>
      </c>
      <c r="AE1006" s="19">
        <f>IF(Z1006=1,(H1006-M1006)*I1006,0)</f>
        <v/>
      </c>
      <c r="AF1006">
        <f>IF(G1006&lt;EDATE(Assumptions!$C$6,-12)+1,"prior_12m","last_12m")</f>
        <v/>
      </c>
      <c r="AG1006" s="21">
        <f>DATE(YEAR(G1006),MONTH(G1006),1)</f>
        <v/>
      </c>
    </row>
    <row r="1007">
      <c r="A1007" t="inlineStr">
        <is>
          <t>SPO-00554-2</t>
        </is>
      </c>
      <c r="B1007" t="inlineStr">
        <is>
          <t>SPO-00554</t>
        </is>
      </c>
      <c r="C1007" t="inlineStr">
        <is>
          <t>SUP-01</t>
        </is>
      </c>
      <c r="D1007" t="inlineStr">
        <is>
          <t>ELEC</t>
        </is>
      </c>
      <c r="E1007" t="inlineStr">
        <is>
          <t>ELEC-01</t>
        </is>
      </c>
      <c r="F1007" s="17" t="n">
        <v>45711</v>
      </c>
      <c r="G1007" s="17" t="n">
        <v>45729</v>
      </c>
      <c r="H1007" s="18" t="n">
        <v>89</v>
      </c>
      <c r="I1007" s="19" t="n">
        <v>37.03</v>
      </c>
      <c r="J1007" s="19" t="n">
        <v>38</v>
      </c>
      <c r="K1007" s="20" t="n">
        <v>0</v>
      </c>
      <c r="L1007" s="20" t="n">
        <v>0</v>
      </c>
      <c r="M1007" s="18" t="n">
        <v>89</v>
      </c>
      <c r="N1007" s="18" t="n">
        <v>89</v>
      </c>
      <c r="O1007" s="18" t="n">
        <v>0</v>
      </c>
      <c r="P1007" s="17" t="n">
        <v>45725</v>
      </c>
      <c r="Q1007" s="17" t="n">
        <v>45725</v>
      </c>
      <c r="R1007" s="17" t="n">
        <v>45725</v>
      </c>
      <c r="S1007" s="19">
        <f>H1007*I1007</f>
        <v/>
      </c>
      <c r="T1007" s="19">
        <f>H1007*J1007</f>
        <v/>
      </c>
      <c r="U1007">
        <f>IF(AND(K1007=0,G1007&lt;=Assumptions!$C$6),1,0)</f>
        <v/>
      </c>
      <c r="V1007">
        <f>IF(U1007=1,IF(M1007&gt;0,IF(P1007&lt;=G1007+Assumptions!$C$7,1,0),0),0)</f>
        <v/>
      </c>
      <c r="W1007">
        <f>IF(AND(U1007=1,M1007&gt;=H1007*(1-Assumptions!$C$8)),1,0)</f>
        <v/>
      </c>
      <c r="X1007">
        <f>IF(AND(U1007=1,N1007&gt;=H1007*(1-Assumptions!$C$8)),1,0)</f>
        <v/>
      </c>
      <c r="Y1007">
        <f>IF(ISNUMBER(Q1007),1,0)</f>
        <v/>
      </c>
      <c r="Z1007">
        <f>IF(AND(K1007=0,L1007=0,Y1007=0),1,0)</f>
        <v/>
      </c>
      <c r="AA1007">
        <f>IF(AND(Z1007=1,G1007&lt;Assumptions!$C$6),1,0)</f>
        <v/>
      </c>
      <c r="AB1007">
        <f>IF(U1007=0,"",IF(Y1007=1,MAX(0,Q1007-G1007),IF(L1007=1,MAX(0,R1007-G1007),MAX(0,Assumptions!$C$6-G1007))))</f>
        <v/>
      </c>
      <c r="AC1007">
        <f>IF(Y1007=1,Q1007-F1007,"")</f>
        <v/>
      </c>
      <c r="AD1007">
        <f>IF(Y1007=1,AC1007^2,"")</f>
        <v/>
      </c>
      <c r="AE1007" s="19">
        <f>IF(Z1007=1,(H1007-M1007)*I1007,0)</f>
        <v/>
      </c>
      <c r="AF1007">
        <f>IF(G1007&lt;EDATE(Assumptions!$C$6,-12)+1,"prior_12m","last_12m")</f>
        <v/>
      </c>
      <c r="AG1007" s="21">
        <f>DATE(YEAR(G1007),MONTH(G1007),1)</f>
        <v/>
      </c>
    </row>
    <row r="1008">
      <c r="A1008" t="inlineStr">
        <is>
          <t>SPO-00554-3</t>
        </is>
      </c>
      <c r="B1008" t="inlineStr">
        <is>
          <t>SPO-00554</t>
        </is>
      </c>
      <c r="C1008" t="inlineStr">
        <is>
          <t>SUP-01</t>
        </is>
      </c>
      <c r="D1008" t="inlineStr">
        <is>
          <t>ELEC</t>
        </is>
      </c>
      <c r="E1008" t="inlineStr">
        <is>
          <t>ELEC-03</t>
        </is>
      </c>
      <c r="F1008" s="17" t="n">
        <v>45711</v>
      </c>
      <c r="G1008" s="17" t="n">
        <v>45729</v>
      </c>
      <c r="H1008" s="18" t="n">
        <v>44</v>
      </c>
      <c r="I1008" s="19" t="n">
        <v>95.11</v>
      </c>
      <c r="J1008" s="19" t="n">
        <v>96</v>
      </c>
      <c r="K1008" s="20" t="n">
        <v>0</v>
      </c>
      <c r="L1008" s="20" t="n">
        <v>0</v>
      </c>
      <c r="M1008" s="18" t="n">
        <v>44</v>
      </c>
      <c r="N1008" s="18" t="n">
        <v>44</v>
      </c>
      <c r="O1008" s="18" t="n">
        <v>0</v>
      </c>
      <c r="P1008" s="17" t="n">
        <v>45729</v>
      </c>
      <c r="Q1008" s="17" t="n">
        <v>45729</v>
      </c>
      <c r="R1008" s="17" t="n">
        <v>45729</v>
      </c>
      <c r="S1008" s="19">
        <f>H1008*I1008</f>
        <v/>
      </c>
      <c r="T1008" s="19">
        <f>H1008*J1008</f>
        <v/>
      </c>
      <c r="U1008">
        <f>IF(AND(K1008=0,G1008&lt;=Assumptions!$C$6),1,0)</f>
        <v/>
      </c>
      <c r="V1008">
        <f>IF(U1008=1,IF(M1008&gt;0,IF(P1008&lt;=G1008+Assumptions!$C$7,1,0),0),0)</f>
        <v/>
      </c>
      <c r="W1008">
        <f>IF(AND(U1008=1,M1008&gt;=H1008*(1-Assumptions!$C$8)),1,0)</f>
        <v/>
      </c>
      <c r="X1008">
        <f>IF(AND(U1008=1,N1008&gt;=H1008*(1-Assumptions!$C$8)),1,0)</f>
        <v/>
      </c>
      <c r="Y1008">
        <f>IF(ISNUMBER(Q1008),1,0)</f>
        <v/>
      </c>
      <c r="Z1008">
        <f>IF(AND(K1008=0,L1008=0,Y1008=0),1,0)</f>
        <v/>
      </c>
      <c r="AA1008">
        <f>IF(AND(Z1008=1,G1008&lt;Assumptions!$C$6),1,0)</f>
        <v/>
      </c>
      <c r="AB1008">
        <f>IF(U1008=0,"",IF(Y1008=1,MAX(0,Q1008-G1008),IF(L1008=1,MAX(0,R1008-G1008),MAX(0,Assumptions!$C$6-G1008))))</f>
        <v/>
      </c>
      <c r="AC1008">
        <f>IF(Y1008=1,Q1008-F1008,"")</f>
        <v/>
      </c>
      <c r="AD1008">
        <f>IF(Y1008=1,AC1008^2,"")</f>
        <v/>
      </c>
      <c r="AE1008" s="19">
        <f>IF(Z1008=1,(H1008-M1008)*I1008,0)</f>
        <v/>
      </c>
      <c r="AF1008">
        <f>IF(G1008&lt;EDATE(Assumptions!$C$6,-12)+1,"prior_12m","last_12m")</f>
        <v/>
      </c>
      <c r="AG1008" s="21">
        <f>DATE(YEAR(G1008),MONTH(G1008),1)</f>
        <v/>
      </c>
    </row>
    <row r="1009">
      <c r="A1009" t="inlineStr">
        <is>
          <t>SPO-00555-1</t>
        </is>
      </c>
      <c r="B1009" t="inlineStr">
        <is>
          <t>SPO-00555</t>
        </is>
      </c>
      <c r="C1009" t="inlineStr">
        <is>
          <t>SUP-01</t>
        </is>
      </c>
      <c r="D1009" t="inlineStr">
        <is>
          <t>ELEC</t>
        </is>
      </c>
      <c r="E1009" t="inlineStr">
        <is>
          <t>ELEC-01</t>
        </is>
      </c>
      <c r="F1009" s="17" t="n">
        <v>45711</v>
      </c>
      <c r="G1009" s="17" t="n">
        <v>45729</v>
      </c>
      <c r="H1009" s="18" t="n">
        <v>41</v>
      </c>
      <c r="I1009" s="19" t="n">
        <v>38.33</v>
      </c>
      <c r="J1009" s="19" t="n">
        <v>38</v>
      </c>
      <c r="K1009" s="20" t="n">
        <v>0</v>
      </c>
      <c r="L1009" s="20" t="n">
        <v>0</v>
      </c>
      <c r="M1009" s="18" t="n">
        <v>41</v>
      </c>
      <c r="N1009" s="18" t="n">
        <v>41</v>
      </c>
      <c r="O1009" s="18" t="n">
        <v>0</v>
      </c>
      <c r="P1009" s="17" t="n">
        <v>45723</v>
      </c>
      <c r="Q1009" s="17" t="n">
        <v>45723</v>
      </c>
      <c r="R1009" s="17" t="n">
        <v>45723</v>
      </c>
      <c r="S1009" s="19">
        <f>H1009*I1009</f>
        <v/>
      </c>
      <c r="T1009" s="19">
        <f>H1009*J1009</f>
        <v/>
      </c>
      <c r="U1009">
        <f>IF(AND(K1009=0,G1009&lt;=Assumptions!$C$6),1,0)</f>
        <v/>
      </c>
      <c r="V1009">
        <f>IF(U1009=1,IF(M1009&gt;0,IF(P1009&lt;=G1009+Assumptions!$C$7,1,0),0),0)</f>
        <v/>
      </c>
      <c r="W1009">
        <f>IF(AND(U1009=1,M1009&gt;=H1009*(1-Assumptions!$C$8)),1,0)</f>
        <v/>
      </c>
      <c r="X1009">
        <f>IF(AND(U1009=1,N1009&gt;=H1009*(1-Assumptions!$C$8)),1,0)</f>
        <v/>
      </c>
      <c r="Y1009">
        <f>IF(ISNUMBER(Q1009),1,0)</f>
        <v/>
      </c>
      <c r="Z1009">
        <f>IF(AND(K1009=0,L1009=0,Y1009=0),1,0)</f>
        <v/>
      </c>
      <c r="AA1009">
        <f>IF(AND(Z1009=1,G1009&lt;Assumptions!$C$6),1,0)</f>
        <v/>
      </c>
      <c r="AB1009">
        <f>IF(U1009=0,"",IF(Y1009=1,MAX(0,Q1009-G1009),IF(L1009=1,MAX(0,R1009-G1009),MAX(0,Assumptions!$C$6-G1009))))</f>
        <v/>
      </c>
      <c r="AC1009">
        <f>IF(Y1009=1,Q1009-F1009,"")</f>
        <v/>
      </c>
      <c r="AD1009">
        <f>IF(Y1009=1,AC1009^2,"")</f>
        <v/>
      </c>
      <c r="AE1009" s="19">
        <f>IF(Z1009=1,(H1009-M1009)*I1009,0)</f>
        <v/>
      </c>
      <c r="AF1009">
        <f>IF(G1009&lt;EDATE(Assumptions!$C$6,-12)+1,"prior_12m","last_12m")</f>
        <v/>
      </c>
      <c r="AG1009" s="21">
        <f>DATE(YEAR(G1009),MONTH(G1009),1)</f>
        <v/>
      </c>
    </row>
    <row r="1010">
      <c r="A1010" t="inlineStr">
        <is>
          <t>SPO-00556-1</t>
        </is>
      </c>
      <c r="B1010" t="inlineStr">
        <is>
          <t>SPO-00556</t>
        </is>
      </c>
      <c r="C1010" t="inlineStr">
        <is>
          <t>SUP-12</t>
        </is>
      </c>
      <c r="D1010" t="inlineStr">
        <is>
          <t>IT</t>
        </is>
      </c>
      <c r="E1010" t="inlineStr">
        <is>
          <t>IT-08</t>
        </is>
      </c>
      <c r="F1010" s="17" t="n">
        <v>45712</v>
      </c>
      <c r="G1010" s="17" t="n">
        <v>45722</v>
      </c>
      <c r="H1010" s="18" t="n">
        <v>9</v>
      </c>
      <c r="I1010" s="19" t="n">
        <v>280.85</v>
      </c>
      <c r="J1010" s="19" t="n">
        <v>245</v>
      </c>
      <c r="K1010" s="20" t="n">
        <v>0</v>
      </c>
      <c r="L1010" s="20" t="n">
        <v>0</v>
      </c>
      <c r="M1010" s="18" t="n">
        <v>9</v>
      </c>
      <c r="N1010" s="18" t="n">
        <v>9</v>
      </c>
      <c r="O1010" s="18" t="n">
        <v>0</v>
      </c>
      <c r="P1010" s="17" t="n">
        <v>45720</v>
      </c>
      <c r="Q1010" s="17" t="n">
        <v>45720</v>
      </c>
      <c r="R1010" s="17" t="n">
        <v>45720</v>
      </c>
      <c r="S1010" s="19">
        <f>H1010*I1010</f>
        <v/>
      </c>
      <c r="T1010" s="19">
        <f>H1010*J1010</f>
        <v/>
      </c>
      <c r="U1010">
        <f>IF(AND(K1010=0,G1010&lt;=Assumptions!$C$6),1,0)</f>
        <v/>
      </c>
      <c r="V1010">
        <f>IF(U1010=1,IF(M1010&gt;0,IF(P1010&lt;=G1010+Assumptions!$C$7,1,0),0),0)</f>
        <v/>
      </c>
      <c r="W1010">
        <f>IF(AND(U1010=1,M1010&gt;=H1010*(1-Assumptions!$C$8)),1,0)</f>
        <v/>
      </c>
      <c r="X1010">
        <f>IF(AND(U1010=1,N1010&gt;=H1010*(1-Assumptions!$C$8)),1,0)</f>
        <v/>
      </c>
      <c r="Y1010">
        <f>IF(ISNUMBER(Q1010),1,0)</f>
        <v/>
      </c>
      <c r="Z1010">
        <f>IF(AND(K1010=0,L1010=0,Y1010=0),1,0)</f>
        <v/>
      </c>
      <c r="AA1010">
        <f>IF(AND(Z1010=1,G1010&lt;Assumptions!$C$6),1,0)</f>
        <v/>
      </c>
      <c r="AB1010">
        <f>IF(U1010=0,"",IF(Y1010=1,MAX(0,Q1010-G1010),IF(L1010=1,MAX(0,R1010-G1010),MAX(0,Assumptions!$C$6-G1010))))</f>
        <v/>
      </c>
      <c r="AC1010">
        <f>IF(Y1010=1,Q1010-F1010,"")</f>
        <v/>
      </c>
      <c r="AD1010">
        <f>IF(Y1010=1,AC1010^2,"")</f>
        <v/>
      </c>
      <c r="AE1010" s="19">
        <f>IF(Z1010=1,(H1010-M1010)*I1010,0)</f>
        <v/>
      </c>
      <c r="AF1010">
        <f>IF(G1010&lt;EDATE(Assumptions!$C$6,-12)+1,"prior_12m","last_12m")</f>
        <v/>
      </c>
      <c r="AG1010" s="21">
        <f>DATE(YEAR(G1010),MONTH(G1010),1)</f>
        <v/>
      </c>
    </row>
    <row r="1011">
      <c r="A1011" t="inlineStr">
        <is>
          <t>SPO-00556-2</t>
        </is>
      </c>
      <c r="B1011" t="inlineStr">
        <is>
          <t>SPO-00556</t>
        </is>
      </c>
      <c r="C1011" t="inlineStr">
        <is>
          <t>SUP-12</t>
        </is>
      </c>
      <c r="D1011" t="inlineStr">
        <is>
          <t>IT</t>
        </is>
      </c>
      <c r="E1011" t="inlineStr">
        <is>
          <t>IT-02</t>
        </is>
      </c>
      <c r="F1011" s="17" t="n">
        <v>45712</v>
      </c>
      <c r="G1011" s="17" t="n">
        <v>45722</v>
      </c>
      <c r="H1011" s="18" t="n">
        <v>6</v>
      </c>
      <c r="I1011" s="19" t="n">
        <v>184.32</v>
      </c>
      <c r="J1011" s="19" t="n">
        <v>162</v>
      </c>
      <c r="K1011" s="20" t="n">
        <v>0</v>
      </c>
      <c r="L1011" s="20" t="n">
        <v>0</v>
      </c>
      <c r="M1011" s="18" t="n">
        <v>6</v>
      </c>
      <c r="N1011" s="18" t="n">
        <v>6</v>
      </c>
      <c r="O1011" s="18" t="n">
        <v>0</v>
      </c>
      <c r="P1011" s="17" t="n">
        <v>45716</v>
      </c>
      <c r="Q1011" s="17" t="n">
        <v>45716</v>
      </c>
      <c r="R1011" s="17" t="n">
        <v>45716</v>
      </c>
      <c r="S1011" s="19">
        <f>H1011*I1011</f>
        <v/>
      </c>
      <c r="T1011" s="19">
        <f>H1011*J1011</f>
        <v/>
      </c>
      <c r="U1011">
        <f>IF(AND(K1011=0,G1011&lt;=Assumptions!$C$6),1,0)</f>
        <v/>
      </c>
      <c r="V1011">
        <f>IF(U1011=1,IF(M1011&gt;0,IF(P1011&lt;=G1011+Assumptions!$C$7,1,0),0),0)</f>
        <v/>
      </c>
      <c r="W1011">
        <f>IF(AND(U1011=1,M1011&gt;=H1011*(1-Assumptions!$C$8)),1,0)</f>
        <v/>
      </c>
      <c r="X1011">
        <f>IF(AND(U1011=1,N1011&gt;=H1011*(1-Assumptions!$C$8)),1,0)</f>
        <v/>
      </c>
      <c r="Y1011">
        <f>IF(ISNUMBER(Q1011),1,0)</f>
        <v/>
      </c>
      <c r="Z1011">
        <f>IF(AND(K1011=0,L1011=0,Y1011=0),1,0)</f>
        <v/>
      </c>
      <c r="AA1011">
        <f>IF(AND(Z1011=1,G1011&lt;Assumptions!$C$6),1,0)</f>
        <v/>
      </c>
      <c r="AB1011">
        <f>IF(U1011=0,"",IF(Y1011=1,MAX(0,Q1011-G1011),IF(L1011=1,MAX(0,R1011-G1011),MAX(0,Assumptions!$C$6-G1011))))</f>
        <v/>
      </c>
      <c r="AC1011">
        <f>IF(Y1011=1,Q1011-F1011,"")</f>
        <v/>
      </c>
      <c r="AD1011">
        <f>IF(Y1011=1,AC1011^2,"")</f>
        <v/>
      </c>
      <c r="AE1011" s="19">
        <f>IF(Z1011=1,(H1011-M1011)*I1011,0)</f>
        <v/>
      </c>
      <c r="AF1011">
        <f>IF(G1011&lt;EDATE(Assumptions!$C$6,-12)+1,"prior_12m","last_12m")</f>
        <v/>
      </c>
      <c r="AG1011" s="21">
        <f>DATE(YEAR(G1011),MONTH(G1011),1)</f>
        <v/>
      </c>
    </row>
    <row r="1012">
      <c r="A1012" t="inlineStr">
        <is>
          <t>SPO-00557-1</t>
        </is>
      </c>
      <c r="B1012" t="inlineStr">
        <is>
          <t>SPO-00557</t>
        </is>
      </c>
      <c r="C1012" t="inlineStr">
        <is>
          <t>SUP-01</t>
        </is>
      </c>
      <c r="D1012" t="inlineStr">
        <is>
          <t>ELEC</t>
        </is>
      </c>
      <c r="E1012" t="inlineStr">
        <is>
          <t>ELEC-05</t>
        </is>
      </c>
      <c r="F1012" s="17" t="n">
        <v>45712</v>
      </c>
      <c r="G1012" s="17" t="n">
        <v>45730</v>
      </c>
      <c r="H1012" s="18" t="n">
        <v>245</v>
      </c>
      <c r="I1012" s="19" t="n">
        <v>11.47</v>
      </c>
      <c r="J1012" s="19" t="n">
        <v>11.5</v>
      </c>
      <c r="K1012" s="20" t="n">
        <v>0</v>
      </c>
      <c r="L1012" s="20" t="n">
        <v>0</v>
      </c>
      <c r="M1012" s="18" t="n">
        <v>245</v>
      </c>
      <c r="N1012" s="18" t="n">
        <v>245</v>
      </c>
      <c r="O1012" s="18" t="n">
        <v>0</v>
      </c>
      <c r="P1012" s="17" t="n">
        <v>45727</v>
      </c>
      <c r="Q1012" s="17" t="n">
        <v>45727</v>
      </c>
      <c r="R1012" s="17" t="n">
        <v>45727</v>
      </c>
      <c r="S1012" s="19">
        <f>H1012*I1012</f>
        <v/>
      </c>
      <c r="T1012" s="19">
        <f>H1012*J1012</f>
        <v/>
      </c>
      <c r="U1012">
        <f>IF(AND(K1012=0,G1012&lt;=Assumptions!$C$6),1,0)</f>
        <v/>
      </c>
      <c r="V1012">
        <f>IF(U1012=1,IF(M1012&gt;0,IF(P1012&lt;=G1012+Assumptions!$C$7,1,0),0),0)</f>
        <v/>
      </c>
      <c r="W1012">
        <f>IF(AND(U1012=1,M1012&gt;=H1012*(1-Assumptions!$C$8)),1,0)</f>
        <v/>
      </c>
      <c r="X1012">
        <f>IF(AND(U1012=1,N1012&gt;=H1012*(1-Assumptions!$C$8)),1,0)</f>
        <v/>
      </c>
      <c r="Y1012">
        <f>IF(ISNUMBER(Q1012),1,0)</f>
        <v/>
      </c>
      <c r="Z1012">
        <f>IF(AND(K1012=0,L1012=0,Y1012=0),1,0)</f>
        <v/>
      </c>
      <c r="AA1012">
        <f>IF(AND(Z1012=1,G1012&lt;Assumptions!$C$6),1,0)</f>
        <v/>
      </c>
      <c r="AB1012">
        <f>IF(U1012=0,"",IF(Y1012=1,MAX(0,Q1012-G1012),IF(L1012=1,MAX(0,R1012-G1012),MAX(0,Assumptions!$C$6-G1012))))</f>
        <v/>
      </c>
      <c r="AC1012">
        <f>IF(Y1012=1,Q1012-F1012,"")</f>
        <v/>
      </c>
      <c r="AD1012">
        <f>IF(Y1012=1,AC1012^2,"")</f>
        <v/>
      </c>
      <c r="AE1012" s="19">
        <f>IF(Z1012=1,(H1012-M1012)*I1012,0)</f>
        <v/>
      </c>
      <c r="AF1012">
        <f>IF(G1012&lt;EDATE(Assumptions!$C$6,-12)+1,"prior_12m","last_12m")</f>
        <v/>
      </c>
      <c r="AG1012" s="21">
        <f>DATE(YEAR(G1012),MONTH(G1012),1)</f>
        <v/>
      </c>
    </row>
    <row r="1013">
      <c r="A1013" t="inlineStr">
        <is>
          <t>SPO-00557-2</t>
        </is>
      </c>
      <c r="B1013" t="inlineStr">
        <is>
          <t>SPO-00557</t>
        </is>
      </c>
      <c r="C1013" t="inlineStr">
        <is>
          <t>SUP-01</t>
        </is>
      </c>
      <c r="D1013" t="inlineStr">
        <is>
          <t>ELEC</t>
        </is>
      </c>
      <c r="E1013" t="inlineStr">
        <is>
          <t>ELEC-04</t>
        </is>
      </c>
      <c r="F1013" s="17" t="n">
        <v>45712</v>
      </c>
      <c r="G1013" s="17" t="n">
        <v>45730</v>
      </c>
      <c r="H1013" s="18" t="n">
        <v>26</v>
      </c>
      <c r="I1013" s="19" t="n">
        <v>72.92</v>
      </c>
      <c r="J1013" s="19" t="n">
        <v>72</v>
      </c>
      <c r="K1013" s="20" t="n">
        <v>0</v>
      </c>
      <c r="L1013" s="20" t="n">
        <v>0</v>
      </c>
      <c r="M1013" s="18" t="n">
        <v>26</v>
      </c>
      <c r="N1013" s="18" t="n">
        <v>26</v>
      </c>
      <c r="O1013" s="18" t="n">
        <v>4</v>
      </c>
      <c r="P1013" s="17" t="n">
        <v>45726</v>
      </c>
      <c r="Q1013" s="17" t="n">
        <v>45726</v>
      </c>
      <c r="R1013" s="17" t="n">
        <v>45726</v>
      </c>
      <c r="S1013" s="19">
        <f>H1013*I1013</f>
        <v/>
      </c>
      <c r="T1013" s="19">
        <f>H1013*J1013</f>
        <v/>
      </c>
      <c r="U1013">
        <f>IF(AND(K1013=0,G1013&lt;=Assumptions!$C$6),1,0)</f>
        <v/>
      </c>
      <c r="V1013">
        <f>IF(U1013=1,IF(M1013&gt;0,IF(P1013&lt;=G1013+Assumptions!$C$7,1,0),0),0)</f>
        <v/>
      </c>
      <c r="W1013">
        <f>IF(AND(U1013=1,M1013&gt;=H1013*(1-Assumptions!$C$8)),1,0)</f>
        <v/>
      </c>
      <c r="X1013">
        <f>IF(AND(U1013=1,N1013&gt;=H1013*(1-Assumptions!$C$8)),1,0)</f>
        <v/>
      </c>
      <c r="Y1013">
        <f>IF(ISNUMBER(Q1013),1,0)</f>
        <v/>
      </c>
      <c r="Z1013">
        <f>IF(AND(K1013=0,L1013=0,Y1013=0),1,0)</f>
        <v/>
      </c>
      <c r="AA1013">
        <f>IF(AND(Z1013=1,G1013&lt;Assumptions!$C$6),1,0)</f>
        <v/>
      </c>
      <c r="AB1013">
        <f>IF(U1013=0,"",IF(Y1013=1,MAX(0,Q1013-G1013),IF(L1013=1,MAX(0,R1013-G1013),MAX(0,Assumptions!$C$6-G1013))))</f>
        <v/>
      </c>
      <c r="AC1013">
        <f>IF(Y1013=1,Q1013-F1013,"")</f>
        <v/>
      </c>
      <c r="AD1013">
        <f>IF(Y1013=1,AC1013^2,"")</f>
        <v/>
      </c>
      <c r="AE1013" s="19">
        <f>IF(Z1013=1,(H1013-M1013)*I1013,0)</f>
        <v/>
      </c>
      <c r="AF1013">
        <f>IF(G1013&lt;EDATE(Assumptions!$C$6,-12)+1,"prior_12m","last_12m")</f>
        <v/>
      </c>
      <c r="AG1013" s="21">
        <f>DATE(YEAR(G1013),MONTH(G1013),1)</f>
        <v/>
      </c>
    </row>
    <row r="1014">
      <c r="A1014" t="inlineStr">
        <is>
          <t>SPO-00558-1</t>
        </is>
      </c>
      <c r="B1014" t="inlineStr">
        <is>
          <t>SPO-00558</t>
        </is>
      </c>
      <c r="C1014" t="inlineStr">
        <is>
          <t>SUP-01</t>
        </is>
      </c>
      <c r="D1014" t="inlineStr">
        <is>
          <t>ELEC</t>
        </is>
      </c>
      <c r="E1014" t="inlineStr">
        <is>
          <t>ELEC-01</t>
        </is>
      </c>
      <c r="F1014" s="17" t="n">
        <v>45712</v>
      </c>
      <c r="G1014" s="17" t="n">
        <v>45730</v>
      </c>
      <c r="H1014" s="18" t="n">
        <v>88</v>
      </c>
      <c r="I1014" s="19" t="n">
        <v>36.26</v>
      </c>
      <c r="J1014" s="19" t="n">
        <v>38</v>
      </c>
      <c r="K1014" s="20" t="n">
        <v>0</v>
      </c>
      <c r="L1014" s="20" t="n">
        <v>0</v>
      </c>
      <c r="M1014" s="18" t="n">
        <v>88</v>
      </c>
      <c r="N1014" s="18" t="n">
        <v>88</v>
      </c>
      <c r="O1014" s="18" t="n">
        <v>0</v>
      </c>
      <c r="P1014" s="17" t="n">
        <v>45728</v>
      </c>
      <c r="Q1014" s="17" t="n">
        <v>45728</v>
      </c>
      <c r="R1014" s="17" t="n">
        <v>45728</v>
      </c>
      <c r="S1014" s="19">
        <f>H1014*I1014</f>
        <v/>
      </c>
      <c r="T1014" s="19">
        <f>H1014*J1014</f>
        <v/>
      </c>
      <c r="U1014">
        <f>IF(AND(K1014=0,G1014&lt;=Assumptions!$C$6),1,0)</f>
        <v/>
      </c>
      <c r="V1014">
        <f>IF(U1014=1,IF(M1014&gt;0,IF(P1014&lt;=G1014+Assumptions!$C$7,1,0),0),0)</f>
        <v/>
      </c>
      <c r="W1014">
        <f>IF(AND(U1014=1,M1014&gt;=H1014*(1-Assumptions!$C$8)),1,0)</f>
        <v/>
      </c>
      <c r="X1014">
        <f>IF(AND(U1014=1,N1014&gt;=H1014*(1-Assumptions!$C$8)),1,0)</f>
        <v/>
      </c>
      <c r="Y1014">
        <f>IF(ISNUMBER(Q1014),1,0)</f>
        <v/>
      </c>
      <c r="Z1014">
        <f>IF(AND(K1014=0,L1014=0,Y1014=0),1,0)</f>
        <v/>
      </c>
      <c r="AA1014">
        <f>IF(AND(Z1014=1,G1014&lt;Assumptions!$C$6),1,0)</f>
        <v/>
      </c>
      <c r="AB1014">
        <f>IF(U1014=0,"",IF(Y1014=1,MAX(0,Q1014-G1014),IF(L1014=1,MAX(0,R1014-G1014),MAX(0,Assumptions!$C$6-G1014))))</f>
        <v/>
      </c>
      <c r="AC1014">
        <f>IF(Y1014=1,Q1014-F1014,"")</f>
        <v/>
      </c>
      <c r="AD1014">
        <f>IF(Y1014=1,AC1014^2,"")</f>
        <v/>
      </c>
      <c r="AE1014" s="19">
        <f>IF(Z1014=1,(H1014-M1014)*I1014,0)</f>
        <v/>
      </c>
      <c r="AF1014">
        <f>IF(G1014&lt;EDATE(Assumptions!$C$6,-12)+1,"prior_12m","last_12m")</f>
        <v/>
      </c>
      <c r="AG1014" s="21">
        <f>DATE(YEAR(G1014),MONTH(G1014),1)</f>
        <v/>
      </c>
    </row>
    <row r="1015">
      <c r="A1015" t="inlineStr">
        <is>
          <t>SPO-00559-1</t>
        </is>
      </c>
      <c r="B1015" t="inlineStr">
        <is>
          <t>SPO-00559</t>
        </is>
      </c>
      <c r="C1015" t="inlineStr">
        <is>
          <t>SUP-02</t>
        </is>
      </c>
      <c r="D1015" t="inlineStr">
        <is>
          <t>ELEC</t>
        </is>
      </c>
      <c r="E1015" t="inlineStr">
        <is>
          <t>ELEC-08</t>
        </is>
      </c>
      <c r="F1015" s="17" t="n">
        <v>45713</v>
      </c>
      <c r="G1015" s="17" t="n">
        <v>45729</v>
      </c>
      <c r="H1015" s="18" t="n">
        <v>101</v>
      </c>
      <c r="I1015" s="19" t="n">
        <v>18.53</v>
      </c>
      <c r="J1015" s="19" t="n">
        <v>18</v>
      </c>
      <c r="K1015" s="20" t="n">
        <v>0</v>
      </c>
      <c r="L1015" s="20" t="n">
        <v>0</v>
      </c>
      <c r="M1015" s="18" t="n">
        <v>101</v>
      </c>
      <c r="N1015" s="18" t="n">
        <v>101</v>
      </c>
      <c r="O1015" s="18" t="n">
        <v>0</v>
      </c>
      <c r="P1015" s="17" t="n">
        <v>45725</v>
      </c>
      <c r="Q1015" s="17" t="n">
        <v>45725</v>
      </c>
      <c r="R1015" s="17" t="n">
        <v>45725</v>
      </c>
      <c r="S1015" s="19">
        <f>H1015*I1015</f>
        <v/>
      </c>
      <c r="T1015" s="19">
        <f>H1015*J1015</f>
        <v/>
      </c>
      <c r="U1015">
        <f>IF(AND(K1015=0,G1015&lt;=Assumptions!$C$6),1,0)</f>
        <v/>
      </c>
      <c r="V1015">
        <f>IF(U1015=1,IF(M1015&gt;0,IF(P1015&lt;=G1015+Assumptions!$C$7,1,0),0),0)</f>
        <v/>
      </c>
      <c r="W1015">
        <f>IF(AND(U1015=1,M1015&gt;=H1015*(1-Assumptions!$C$8)),1,0)</f>
        <v/>
      </c>
      <c r="X1015">
        <f>IF(AND(U1015=1,N1015&gt;=H1015*(1-Assumptions!$C$8)),1,0)</f>
        <v/>
      </c>
      <c r="Y1015">
        <f>IF(ISNUMBER(Q1015),1,0)</f>
        <v/>
      </c>
      <c r="Z1015">
        <f>IF(AND(K1015=0,L1015=0,Y1015=0),1,0)</f>
        <v/>
      </c>
      <c r="AA1015">
        <f>IF(AND(Z1015=1,G1015&lt;Assumptions!$C$6),1,0)</f>
        <v/>
      </c>
      <c r="AB1015">
        <f>IF(U1015=0,"",IF(Y1015=1,MAX(0,Q1015-G1015),IF(L1015=1,MAX(0,R1015-G1015),MAX(0,Assumptions!$C$6-G1015))))</f>
        <v/>
      </c>
      <c r="AC1015">
        <f>IF(Y1015=1,Q1015-F1015,"")</f>
        <v/>
      </c>
      <c r="AD1015">
        <f>IF(Y1015=1,AC1015^2,"")</f>
        <v/>
      </c>
      <c r="AE1015" s="19">
        <f>IF(Z1015=1,(H1015-M1015)*I1015,0)</f>
        <v/>
      </c>
      <c r="AF1015">
        <f>IF(G1015&lt;EDATE(Assumptions!$C$6,-12)+1,"prior_12m","last_12m")</f>
        <v/>
      </c>
      <c r="AG1015" s="21">
        <f>DATE(YEAR(G1015),MONTH(G1015),1)</f>
        <v/>
      </c>
    </row>
    <row r="1016">
      <c r="A1016" t="inlineStr">
        <is>
          <t>SPO-00559-2</t>
        </is>
      </c>
      <c r="B1016" t="inlineStr">
        <is>
          <t>SPO-00559</t>
        </is>
      </c>
      <c r="C1016" t="inlineStr">
        <is>
          <t>SUP-02</t>
        </is>
      </c>
      <c r="D1016" t="inlineStr">
        <is>
          <t>ELEC</t>
        </is>
      </c>
      <c r="E1016" t="inlineStr">
        <is>
          <t>ELEC-06</t>
        </is>
      </c>
      <c r="F1016" s="17" t="n">
        <v>45713</v>
      </c>
      <c r="G1016" s="17" t="n">
        <v>45729</v>
      </c>
      <c r="H1016" s="18" t="n">
        <v>5</v>
      </c>
      <c r="I1016" s="19" t="n">
        <v>151.05</v>
      </c>
      <c r="J1016" s="19" t="n">
        <v>145</v>
      </c>
      <c r="K1016" s="20" t="n">
        <v>0</v>
      </c>
      <c r="L1016" s="20" t="n">
        <v>0</v>
      </c>
      <c r="M1016" s="18" t="n">
        <v>5</v>
      </c>
      <c r="N1016" s="18" t="n">
        <v>5</v>
      </c>
      <c r="O1016" s="18" t="n">
        <v>0</v>
      </c>
      <c r="P1016" s="17" t="n">
        <v>45729</v>
      </c>
      <c r="Q1016" s="17" t="n">
        <v>45729</v>
      </c>
      <c r="R1016" s="17" t="n">
        <v>45729</v>
      </c>
      <c r="S1016" s="19">
        <f>H1016*I1016</f>
        <v/>
      </c>
      <c r="T1016" s="19">
        <f>H1016*J1016</f>
        <v/>
      </c>
      <c r="U1016">
        <f>IF(AND(K1016=0,G1016&lt;=Assumptions!$C$6),1,0)</f>
        <v/>
      </c>
      <c r="V1016">
        <f>IF(U1016=1,IF(M1016&gt;0,IF(P1016&lt;=G1016+Assumptions!$C$7,1,0),0),0)</f>
        <v/>
      </c>
      <c r="W1016">
        <f>IF(AND(U1016=1,M1016&gt;=H1016*(1-Assumptions!$C$8)),1,0)</f>
        <v/>
      </c>
      <c r="X1016">
        <f>IF(AND(U1016=1,N1016&gt;=H1016*(1-Assumptions!$C$8)),1,0)</f>
        <v/>
      </c>
      <c r="Y1016">
        <f>IF(ISNUMBER(Q1016),1,0)</f>
        <v/>
      </c>
      <c r="Z1016">
        <f>IF(AND(K1016=0,L1016=0,Y1016=0),1,0)</f>
        <v/>
      </c>
      <c r="AA1016">
        <f>IF(AND(Z1016=1,G1016&lt;Assumptions!$C$6),1,0)</f>
        <v/>
      </c>
      <c r="AB1016">
        <f>IF(U1016=0,"",IF(Y1016=1,MAX(0,Q1016-G1016),IF(L1016=1,MAX(0,R1016-G1016),MAX(0,Assumptions!$C$6-G1016))))</f>
        <v/>
      </c>
      <c r="AC1016">
        <f>IF(Y1016=1,Q1016-F1016,"")</f>
        <v/>
      </c>
      <c r="AD1016">
        <f>IF(Y1016=1,AC1016^2,"")</f>
        <v/>
      </c>
      <c r="AE1016" s="19">
        <f>IF(Z1016=1,(H1016-M1016)*I1016,0)</f>
        <v/>
      </c>
      <c r="AF1016">
        <f>IF(G1016&lt;EDATE(Assumptions!$C$6,-12)+1,"prior_12m","last_12m")</f>
        <v/>
      </c>
      <c r="AG1016" s="21">
        <f>DATE(YEAR(G1016),MONTH(G1016),1)</f>
        <v/>
      </c>
    </row>
    <row r="1017">
      <c r="A1017" t="inlineStr">
        <is>
          <t>SPO-00560-1</t>
        </is>
      </c>
      <c r="B1017" t="inlineStr">
        <is>
          <t>SPO-00560</t>
        </is>
      </c>
      <c r="C1017" t="inlineStr">
        <is>
          <t>SUP-05</t>
        </is>
      </c>
      <c r="D1017" t="inlineStr">
        <is>
          <t>FLEET</t>
        </is>
      </c>
      <c r="E1017" t="inlineStr">
        <is>
          <t>FLEET-02</t>
        </is>
      </c>
      <c r="F1017" s="17" t="n">
        <v>45713</v>
      </c>
      <c r="G1017" s="17" t="n">
        <v>45727</v>
      </c>
      <c r="H1017" s="18" t="n">
        <v>83</v>
      </c>
      <c r="I1017" s="19" t="n">
        <v>7.84</v>
      </c>
      <c r="J1017" s="19" t="n">
        <v>7.5</v>
      </c>
      <c r="K1017" s="20" t="n">
        <v>0</v>
      </c>
      <c r="L1017" s="20" t="n">
        <v>0</v>
      </c>
      <c r="M1017" s="18" t="n">
        <v>83</v>
      </c>
      <c r="N1017" s="18" t="n">
        <v>83</v>
      </c>
      <c r="O1017" s="18" t="n">
        <v>0</v>
      </c>
      <c r="P1017" s="17" t="n">
        <v>45721</v>
      </c>
      <c r="Q1017" s="17" t="n">
        <v>45721</v>
      </c>
      <c r="R1017" s="17" t="n">
        <v>45721</v>
      </c>
      <c r="S1017" s="19">
        <f>H1017*I1017</f>
        <v/>
      </c>
      <c r="T1017" s="19">
        <f>H1017*J1017</f>
        <v/>
      </c>
      <c r="U1017">
        <f>IF(AND(K1017=0,G1017&lt;=Assumptions!$C$6),1,0)</f>
        <v/>
      </c>
      <c r="V1017">
        <f>IF(U1017=1,IF(M1017&gt;0,IF(P1017&lt;=G1017+Assumptions!$C$7,1,0),0),0)</f>
        <v/>
      </c>
      <c r="W1017">
        <f>IF(AND(U1017=1,M1017&gt;=H1017*(1-Assumptions!$C$8)),1,0)</f>
        <v/>
      </c>
      <c r="X1017">
        <f>IF(AND(U1017=1,N1017&gt;=H1017*(1-Assumptions!$C$8)),1,0)</f>
        <v/>
      </c>
      <c r="Y1017">
        <f>IF(ISNUMBER(Q1017),1,0)</f>
        <v/>
      </c>
      <c r="Z1017">
        <f>IF(AND(K1017=0,L1017=0,Y1017=0),1,0)</f>
        <v/>
      </c>
      <c r="AA1017">
        <f>IF(AND(Z1017=1,G1017&lt;Assumptions!$C$6),1,0)</f>
        <v/>
      </c>
      <c r="AB1017">
        <f>IF(U1017=0,"",IF(Y1017=1,MAX(0,Q1017-G1017),IF(L1017=1,MAX(0,R1017-G1017),MAX(0,Assumptions!$C$6-G1017))))</f>
        <v/>
      </c>
      <c r="AC1017">
        <f>IF(Y1017=1,Q1017-F1017,"")</f>
        <v/>
      </c>
      <c r="AD1017">
        <f>IF(Y1017=1,AC1017^2,"")</f>
        <v/>
      </c>
      <c r="AE1017" s="19">
        <f>IF(Z1017=1,(H1017-M1017)*I1017,0)</f>
        <v/>
      </c>
      <c r="AF1017">
        <f>IF(G1017&lt;EDATE(Assumptions!$C$6,-12)+1,"prior_12m","last_12m")</f>
        <v/>
      </c>
      <c r="AG1017" s="21">
        <f>DATE(YEAR(G1017),MONTH(G1017),1)</f>
        <v/>
      </c>
    </row>
    <row r="1018">
      <c r="A1018" t="inlineStr">
        <is>
          <t>SPO-00560-2</t>
        </is>
      </c>
      <c r="B1018" t="inlineStr">
        <is>
          <t>SPO-00560</t>
        </is>
      </c>
      <c r="C1018" t="inlineStr">
        <is>
          <t>SUP-05</t>
        </is>
      </c>
      <c r="D1018" t="inlineStr">
        <is>
          <t>FLEET</t>
        </is>
      </c>
      <c r="E1018" t="inlineStr">
        <is>
          <t>FLEET-06</t>
        </is>
      </c>
      <c r="F1018" s="17" t="n">
        <v>45713</v>
      </c>
      <c r="G1018" s="17" t="n">
        <v>45727</v>
      </c>
      <c r="H1018" s="18" t="n">
        <v>57</v>
      </c>
      <c r="I1018" s="19" t="n">
        <v>34.3</v>
      </c>
      <c r="J1018" s="19" t="n">
        <v>33</v>
      </c>
      <c r="K1018" s="20" t="n">
        <v>0</v>
      </c>
      <c r="L1018" s="20" t="n">
        <v>0</v>
      </c>
      <c r="M1018" s="18" t="n">
        <v>57</v>
      </c>
      <c r="N1018" s="18" t="n">
        <v>57</v>
      </c>
      <c r="O1018" s="18" t="n">
        <v>0</v>
      </c>
      <c r="P1018" s="17" t="n">
        <v>45726</v>
      </c>
      <c r="Q1018" s="17" t="n">
        <v>45726</v>
      </c>
      <c r="R1018" s="17" t="n">
        <v>45726</v>
      </c>
      <c r="S1018" s="19">
        <f>H1018*I1018</f>
        <v/>
      </c>
      <c r="T1018" s="19">
        <f>H1018*J1018</f>
        <v/>
      </c>
      <c r="U1018">
        <f>IF(AND(K1018=0,G1018&lt;=Assumptions!$C$6),1,0)</f>
        <v/>
      </c>
      <c r="V1018">
        <f>IF(U1018=1,IF(M1018&gt;0,IF(P1018&lt;=G1018+Assumptions!$C$7,1,0),0),0)</f>
        <v/>
      </c>
      <c r="W1018">
        <f>IF(AND(U1018=1,M1018&gt;=H1018*(1-Assumptions!$C$8)),1,0)</f>
        <v/>
      </c>
      <c r="X1018">
        <f>IF(AND(U1018=1,N1018&gt;=H1018*(1-Assumptions!$C$8)),1,0)</f>
        <v/>
      </c>
      <c r="Y1018">
        <f>IF(ISNUMBER(Q1018),1,0)</f>
        <v/>
      </c>
      <c r="Z1018">
        <f>IF(AND(K1018=0,L1018=0,Y1018=0),1,0)</f>
        <v/>
      </c>
      <c r="AA1018">
        <f>IF(AND(Z1018=1,G1018&lt;Assumptions!$C$6),1,0)</f>
        <v/>
      </c>
      <c r="AB1018">
        <f>IF(U1018=0,"",IF(Y1018=1,MAX(0,Q1018-G1018),IF(L1018=1,MAX(0,R1018-G1018),MAX(0,Assumptions!$C$6-G1018))))</f>
        <v/>
      </c>
      <c r="AC1018">
        <f>IF(Y1018=1,Q1018-F1018,"")</f>
        <v/>
      </c>
      <c r="AD1018">
        <f>IF(Y1018=1,AC1018^2,"")</f>
        <v/>
      </c>
      <c r="AE1018" s="19">
        <f>IF(Z1018=1,(H1018-M1018)*I1018,0)</f>
        <v/>
      </c>
      <c r="AF1018">
        <f>IF(G1018&lt;EDATE(Assumptions!$C$6,-12)+1,"prior_12m","last_12m")</f>
        <v/>
      </c>
      <c r="AG1018" s="21">
        <f>DATE(YEAR(G1018),MONTH(G1018),1)</f>
        <v/>
      </c>
    </row>
    <row r="1019">
      <c r="A1019" t="inlineStr">
        <is>
          <t>SPO-00561-1</t>
        </is>
      </c>
      <c r="B1019" t="inlineStr">
        <is>
          <t>SPO-00561</t>
        </is>
      </c>
      <c r="C1019" t="inlineStr">
        <is>
          <t>SUP-12</t>
        </is>
      </c>
      <c r="D1019" t="inlineStr">
        <is>
          <t>IT</t>
        </is>
      </c>
      <c r="E1019" t="inlineStr">
        <is>
          <t>IT-01</t>
        </is>
      </c>
      <c r="F1019" s="17" t="n">
        <v>45713</v>
      </c>
      <c r="G1019" s="17" t="n">
        <v>45723</v>
      </c>
      <c r="H1019" s="18" t="n">
        <v>6</v>
      </c>
      <c r="I1019" s="19" t="n">
        <v>207.81</v>
      </c>
      <c r="J1019" s="19" t="n">
        <v>189</v>
      </c>
      <c r="K1019" s="20" t="n">
        <v>0</v>
      </c>
      <c r="L1019" s="20" t="n">
        <v>0</v>
      </c>
      <c r="M1019" s="18" t="n">
        <v>6</v>
      </c>
      <c r="N1019" s="18" t="n">
        <v>6</v>
      </c>
      <c r="O1019" s="18" t="n">
        <v>0</v>
      </c>
      <c r="P1019" s="17" t="n">
        <v>45720</v>
      </c>
      <c r="Q1019" s="17" t="n">
        <v>45720</v>
      </c>
      <c r="R1019" s="17" t="n">
        <v>45720</v>
      </c>
      <c r="S1019" s="19">
        <f>H1019*I1019</f>
        <v/>
      </c>
      <c r="T1019" s="19">
        <f>H1019*J1019</f>
        <v/>
      </c>
      <c r="U1019">
        <f>IF(AND(K1019=0,G1019&lt;=Assumptions!$C$6),1,0)</f>
        <v/>
      </c>
      <c r="V1019">
        <f>IF(U1019=1,IF(M1019&gt;0,IF(P1019&lt;=G1019+Assumptions!$C$7,1,0),0),0)</f>
        <v/>
      </c>
      <c r="W1019">
        <f>IF(AND(U1019=1,M1019&gt;=H1019*(1-Assumptions!$C$8)),1,0)</f>
        <v/>
      </c>
      <c r="X1019">
        <f>IF(AND(U1019=1,N1019&gt;=H1019*(1-Assumptions!$C$8)),1,0)</f>
        <v/>
      </c>
      <c r="Y1019">
        <f>IF(ISNUMBER(Q1019),1,0)</f>
        <v/>
      </c>
      <c r="Z1019">
        <f>IF(AND(K1019=0,L1019=0,Y1019=0),1,0)</f>
        <v/>
      </c>
      <c r="AA1019">
        <f>IF(AND(Z1019=1,G1019&lt;Assumptions!$C$6),1,0)</f>
        <v/>
      </c>
      <c r="AB1019">
        <f>IF(U1019=0,"",IF(Y1019=1,MAX(0,Q1019-G1019),IF(L1019=1,MAX(0,R1019-G1019),MAX(0,Assumptions!$C$6-G1019))))</f>
        <v/>
      </c>
      <c r="AC1019">
        <f>IF(Y1019=1,Q1019-F1019,"")</f>
        <v/>
      </c>
      <c r="AD1019">
        <f>IF(Y1019=1,AC1019^2,"")</f>
        <v/>
      </c>
      <c r="AE1019" s="19">
        <f>IF(Z1019=1,(H1019-M1019)*I1019,0)</f>
        <v/>
      </c>
      <c r="AF1019">
        <f>IF(G1019&lt;EDATE(Assumptions!$C$6,-12)+1,"prior_12m","last_12m")</f>
        <v/>
      </c>
      <c r="AG1019" s="21">
        <f>DATE(YEAR(G1019),MONTH(G1019),1)</f>
        <v/>
      </c>
    </row>
    <row r="1020">
      <c r="A1020" t="inlineStr">
        <is>
          <t>SPO-00561-2</t>
        </is>
      </c>
      <c r="B1020" t="inlineStr">
        <is>
          <t>SPO-00561</t>
        </is>
      </c>
      <c r="C1020" t="inlineStr">
        <is>
          <t>SUP-12</t>
        </is>
      </c>
      <c r="D1020" t="inlineStr">
        <is>
          <t>IT</t>
        </is>
      </c>
      <c r="E1020" t="inlineStr">
        <is>
          <t>IT-07</t>
        </is>
      </c>
      <c r="F1020" s="17" t="n">
        <v>45713</v>
      </c>
      <c r="G1020" s="17" t="n">
        <v>45723</v>
      </c>
      <c r="H1020" s="18" t="n">
        <v>11</v>
      </c>
      <c r="I1020" s="19" t="n">
        <v>84.51000000000001</v>
      </c>
      <c r="J1020" s="19" t="n">
        <v>74</v>
      </c>
      <c r="K1020" s="20" t="n">
        <v>1</v>
      </c>
      <c r="L1020" s="20" t="n">
        <v>0</v>
      </c>
      <c r="M1020" s="18" t="n">
        <v>0</v>
      </c>
      <c r="N1020" s="18" t="n">
        <v>0</v>
      </c>
      <c r="O1020" s="18" t="n">
        <v>0</v>
      </c>
      <c r="P1020" s="17" t="n"/>
      <c r="Q1020" s="17" t="n"/>
      <c r="R1020" s="17" t="n"/>
      <c r="S1020" s="19">
        <f>H1020*I1020</f>
        <v/>
      </c>
      <c r="T1020" s="19">
        <f>H1020*J1020</f>
        <v/>
      </c>
      <c r="U1020">
        <f>IF(AND(K1020=0,G1020&lt;=Assumptions!$C$6),1,0)</f>
        <v/>
      </c>
      <c r="V1020">
        <f>IF(U1020=1,IF(M1020&gt;0,IF(P1020&lt;=G1020+Assumptions!$C$7,1,0),0),0)</f>
        <v/>
      </c>
      <c r="W1020">
        <f>IF(AND(U1020=1,M1020&gt;=H1020*(1-Assumptions!$C$8)),1,0)</f>
        <v/>
      </c>
      <c r="X1020">
        <f>IF(AND(U1020=1,N1020&gt;=H1020*(1-Assumptions!$C$8)),1,0)</f>
        <v/>
      </c>
      <c r="Y1020">
        <f>IF(ISNUMBER(Q1020),1,0)</f>
        <v/>
      </c>
      <c r="Z1020">
        <f>IF(AND(K1020=0,L1020=0,Y1020=0),1,0)</f>
        <v/>
      </c>
      <c r="AA1020">
        <f>IF(AND(Z1020=1,G1020&lt;Assumptions!$C$6),1,0)</f>
        <v/>
      </c>
      <c r="AB1020">
        <f>IF(U1020=0,"",IF(Y1020=1,MAX(0,Q1020-G1020),IF(L1020=1,MAX(0,R1020-G1020),MAX(0,Assumptions!$C$6-G1020))))</f>
        <v/>
      </c>
      <c r="AC1020">
        <f>IF(Y1020=1,Q1020-F1020,"")</f>
        <v/>
      </c>
      <c r="AD1020">
        <f>IF(Y1020=1,AC1020^2,"")</f>
        <v/>
      </c>
      <c r="AE1020" s="19">
        <f>IF(Z1020=1,(H1020-M1020)*I1020,0)</f>
        <v/>
      </c>
      <c r="AF1020">
        <f>IF(G1020&lt;EDATE(Assumptions!$C$6,-12)+1,"prior_12m","last_12m")</f>
        <v/>
      </c>
      <c r="AG1020" s="21">
        <f>DATE(YEAR(G1020),MONTH(G1020),1)</f>
        <v/>
      </c>
    </row>
    <row r="1021">
      <c r="A1021" t="inlineStr">
        <is>
          <t>SPO-00562-1</t>
        </is>
      </c>
      <c r="B1021" t="inlineStr">
        <is>
          <t>SPO-00562</t>
        </is>
      </c>
      <c r="C1021" t="inlineStr">
        <is>
          <t>SUP-06</t>
        </is>
      </c>
      <c r="D1021" t="inlineStr">
        <is>
          <t>MRO</t>
        </is>
      </c>
      <c r="E1021" t="inlineStr">
        <is>
          <t>MRO-03</t>
        </is>
      </c>
      <c r="F1021" s="17" t="n">
        <v>45713</v>
      </c>
      <c r="G1021" s="17" t="n">
        <v>45721</v>
      </c>
      <c r="H1021" s="18" t="n">
        <v>306</v>
      </c>
      <c r="I1021" s="19" t="n">
        <v>8.859999999999999</v>
      </c>
      <c r="J1021" s="19" t="n">
        <v>8.9</v>
      </c>
      <c r="K1021" s="20" t="n">
        <v>0</v>
      </c>
      <c r="L1021" s="20" t="n">
        <v>0</v>
      </c>
      <c r="M1021" s="18" t="n">
        <v>306</v>
      </c>
      <c r="N1021" s="18" t="n">
        <v>306</v>
      </c>
      <c r="O1021" s="18" t="n">
        <v>0</v>
      </c>
      <c r="P1021" s="17" t="n">
        <v>45719</v>
      </c>
      <c r="Q1021" s="17" t="n">
        <v>45719</v>
      </c>
      <c r="R1021" s="17" t="n">
        <v>45719</v>
      </c>
      <c r="S1021" s="19">
        <f>H1021*I1021</f>
        <v/>
      </c>
      <c r="T1021" s="19">
        <f>H1021*J1021</f>
        <v/>
      </c>
      <c r="U1021">
        <f>IF(AND(K1021=0,G1021&lt;=Assumptions!$C$6),1,0)</f>
        <v/>
      </c>
      <c r="V1021">
        <f>IF(U1021=1,IF(M1021&gt;0,IF(P1021&lt;=G1021+Assumptions!$C$7,1,0),0),0)</f>
        <v/>
      </c>
      <c r="W1021">
        <f>IF(AND(U1021=1,M1021&gt;=H1021*(1-Assumptions!$C$8)),1,0)</f>
        <v/>
      </c>
      <c r="X1021">
        <f>IF(AND(U1021=1,N1021&gt;=H1021*(1-Assumptions!$C$8)),1,0)</f>
        <v/>
      </c>
      <c r="Y1021">
        <f>IF(ISNUMBER(Q1021),1,0)</f>
        <v/>
      </c>
      <c r="Z1021">
        <f>IF(AND(K1021=0,L1021=0,Y1021=0),1,0)</f>
        <v/>
      </c>
      <c r="AA1021">
        <f>IF(AND(Z1021=1,G1021&lt;Assumptions!$C$6),1,0)</f>
        <v/>
      </c>
      <c r="AB1021">
        <f>IF(U1021=0,"",IF(Y1021=1,MAX(0,Q1021-G1021),IF(L1021=1,MAX(0,R1021-G1021),MAX(0,Assumptions!$C$6-G1021))))</f>
        <v/>
      </c>
      <c r="AC1021">
        <f>IF(Y1021=1,Q1021-F1021,"")</f>
        <v/>
      </c>
      <c r="AD1021">
        <f>IF(Y1021=1,AC1021^2,"")</f>
        <v/>
      </c>
      <c r="AE1021" s="19">
        <f>IF(Z1021=1,(H1021-M1021)*I1021,0)</f>
        <v/>
      </c>
      <c r="AF1021">
        <f>IF(G1021&lt;EDATE(Assumptions!$C$6,-12)+1,"prior_12m","last_12m")</f>
        <v/>
      </c>
      <c r="AG1021" s="21">
        <f>DATE(YEAR(G1021),MONTH(G1021),1)</f>
        <v/>
      </c>
    </row>
    <row r="1022">
      <c r="A1022" t="inlineStr">
        <is>
          <t>SPO-00563-1</t>
        </is>
      </c>
      <c r="B1022" t="inlineStr">
        <is>
          <t>SPO-00563</t>
        </is>
      </c>
      <c r="C1022" t="inlineStr">
        <is>
          <t>SUP-12</t>
        </is>
      </c>
      <c r="D1022" t="inlineStr">
        <is>
          <t>IT</t>
        </is>
      </c>
      <c r="E1022" t="inlineStr">
        <is>
          <t>IT-05</t>
        </is>
      </c>
      <c r="F1022" s="17" t="n">
        <v>45713</v>
      </c>
      <c r="G1022" s="17" t="n">
        <v>45723</v>
      </c>
      <c r="H1022" s="18" t="n">
        <v>2</v>
      </c>
      <c r="I1022" s="19" t="n">
        <v>753</v>
      </c>
      <c r="J1022" s="19" t="n">
        <v>640</v>
      </c>
      <c r="K1022" s="20" t="n">
        <v>0</v>
      </c>
      <c r="L1022" s="20" t="n">
        <v>0</v>
      </c>
      <c r="M1022" s="18" t="n">
        <v>2</v>
      </c>
      <c r="N1022" s="18" t="n">
        <v>2</v>
      </c>
      <c r="O1022" s="18" t="n">
        <v>0</v>
      </c>
      <c r="P1022" s="17" t="n">
        <v>45721</v>
      </c>
      <c r="Q1022" s="17" t="n">
        <v>45721</v>
      </c>
      <c r="R1022" s="17" t="n">
        <v>45721</v>
      </c>
      <c r="S1022" s="19">
        <f>H1022*I1022</f>
        <v/>
      </c>
      <c r="T1022" s="19">
        <f>H1022*J1022</f>
        <v/>
      </c>
      <c r="U1022">
        <f>IF(AND(K1022=0,G1022&lt;=Assumptions!$C$6),1,0)</f>
        <v/>
      </c>
      <c r="V1022">
        <f>IF(U1022=1,IF(M1022&gt;0,IF(P1022&lt;=G1022+Assumptions!$C$7,1,0),0),0)</f>
        <v/>
      </c>
      <c r="W1022">
        <f>IF(AND(U1022=1,M1022&gt;=H1022*(1-Assumptions!$C$8)),1,0)</f>
        <v/>
      </c>
      <c r="X1022">
        <f>IF(AND(U1022=1,N1022&gt;=H1022*(1-Assumptions!$C$8)),1,0)</f>
        <v/>
      </c>
      <c r="Y1022">
        <f>IF(ISNUMBER(Q1022),1,0)</f>
        <v/>
      </c>
      <c r="Z1022">
        <f>IF(AND(K1022=0,L1022=0,Y1022=0),1,0)</f>
        <v/>
      </c>
      <c r="AA1022">
        <f>IF(AND(Z1022=1,G1022&lt;Assumptions!$C$6),1,0)</f>
        <v/>
      </c>
      <c r="AB1022">
        <f>IF(U1022=0,"",IF(Y1022=1,MAX(0,Q1022-G1022),IF(L1022=1,MAX(0,R1022-G1022),MAX(0,Assumptions!$C$6-G1022))))</f>
        <v/>
      </c>
      <c r="AC1022">
        <f>IF(Y1022=1,Q1022-F1022,"")</f>
        <v/>
      </c>
      <c r="AD1022">
        <f>IF(Y1022=1,AC1022^2,"")</f>
        <v/>
      </c>
      <c r="AE1022" s="19">
        <f>IF(Z1022=1,(H1022-M1022)*I1022,0)</f>
        <v/>
      </c>
      <c r="AF1022">
        <f>IF(G1022&lt;EDATE(Assumptions!$C$6,-12)+1,"prior_12m","last_12m")</f>
        <v/>
      </c>
      <c r="AG1022" s="21">
        <f>DATE(YEAR(G1022),MONTH(G1022),1)</f>
        <v/>
      </c>
    </row>
    <row r="1023">
      <c r="A1023" t="inlineStr">
        <is>
          <t>SPO-00563-2</t>
        </is>
      </c>
      <c r="B1023" t="inlineStr">
        <is>
          <t>SPO-00563</t>
        </is>
      </c>
      <c r="C1023" t="inlineStr">
        <is>
          <t>SUP-12</t>
        </is>
      </c>
      <c r="D1023" t="inlineStr">
        <is>
          <t>IT</t>
        </is>
      </c>
      <c r="E1023" t="inlineStr">
        <is>
          <t>IT-02</t>
        </is>
      </c>
      <c r="F1023" s="17" t="n">
        <v>45713</v>
      </c>
      <c r="G1023" s="17" t="n">
        <v>45723</v>
      </c>
      <c r="H1023" s="18" t="n">
        <v>7</v>
      </c>
      <c r="I1023" s="19" t="n">
        <v>185.95</v>
      </c>
      <c r="J1023" s="19" t="n">
        <v>162</v>
      </c>
      <c r="K1023" s="20" t="n">
        <v>0</v>
      </c>
      <c r="L1023" s="20" t="n">
        <v>0</v>
      </c>
      <c r="M1023" s="18" t="n">
        <v>7</v>
      </c>
      <c r="N1023" s="18" t="n">
        <v>7</v>
      </c>
      <c r="O1023" s="18" t="n">
        <v>0</v>
      </c>
      <c r="P1023" s="17" t="n">
        <v>45718</v>
      </c>
      <c r="Q1023" s="17" t="n">
        <v>45718</v>
      </c>
      <c r="R1023" s="17" t="n">
        <v>45718</v>
      </c>
      <c r="S1023" s="19">
        <f>H1023*I1023</f>
        <v/>
      </c>
      <c r="T1023" s="19">
        <f>H1023*J1023</f>
        <v/>
      </c>
      <c r="U1023">
        <f>IF(AND(K1023=0,G1023&lt;=Assumptions!$C$6),1,0)</f>
        <v/>
      </c>
      <c r="V1023">
        <f>IF(U1023=1,IF(M1023&gt;0,IF(P1023&lt;=G1023+Assumptions!$C$7,1,0),0),0)</f>
        <v/>
      </c>
      <c r="W1023">
        <f>IF(AND(U1023=1,M1023&gt;=H1023*(1-Assumptions!$C$8)),1,0)</f>
        <v/>
      </c>
      <c r="X1023">
        <f>IF(AND(U1023=1,N1023&gt;=H1023*(1-Assumptions!$C$8)),1,0)</f>
        <v/>
      </c>
      <c r="Y1023">
        <f>IF(ISNUMBER(Q1023),1,0)</f>
        <v/>
      </c>
      <c r="Z1023">
        <f>IF(AND(K1023=0,L1023=0,Y1023=0),1,0)</f>
        <v/>
      </c>
      <c r="AA1023">
        <f>IF(AND(Z1023=1,G1023&lt;Assumptions!$C$6),1,0)</f>
        <v/>
      </c>
      <c r="AB1023">
        <f>IF(U1023=0,"",IF(Y1023=1,MAX(0,Q1023-G1023),IF(L1023=1,MAX(0,R1023-G1023),MAX(0,Assumptions!$C$6-G1023))))</f>
        <v/>
      </c>
      <c r="AC1023">
        <f>IF(Y1023=1,Q1023-F1023,"")</f>
        <v/>
      </c>
      <c r="AD1023">
        <f>IF(Y1023=1,AC1023^2,"")</f>
        <v/>
      </c>
      <c r="AE1023" s="19">
        <f>IF(Z1023=1,(H1023-M1023)*I1023,0)</f>
        <v/>
      </c>
      <c r="AF1023">
        <f>IF(G1023&lt;EDATE(Assumptions!$C$6,-12)+1,"prior_12m","last_12m")</f>
        <v/>
      </c>
      <c r="AG1023" s="21">
        <f>DATE(YEAR(G1023),MONTH(G1023),1)</f>
        <v/>
      </c>
    </row>
    <row r="1024">
      <c r="A1024" t="inlineStr">
        <is>
          <t>SPO-00564-1</t>
        </is>
      </c>
      <c r="B1024" t="inlineStr">
        <is>
          <t>SPO-00564</t>
        </is>
      </c>
      <c r="C1024" t="inlineStr">
        <is>
          <t>SUP-01</t>
        </is>
      </c>
      <c r="D1024" t="inlineStr">
        <is>
          <t>ELEC</t>
        </is>
      </c>
      <c r="E1024" t="inlineStr">
        <is>
          <t>ELEC-05</t>
        </is>
      </c>
      <c r="F1024" s="17" t="n">
        <v>45713</v>
      </c>
      <c r="G1024" s="17" t="n">
        <v>45731</v>
      </c>
      <c r="H1024" s="18" t="n">
        <v>164</v>
      </c>
      <c r="I1024" s="19" t="n">
        <v>11.74</v>
      </c>
      <c r="J1024" s="19" t="n">
        <v>11.5</v>
      </c>
      <c r="K1024" s="20" t="n">
        <v>0</v>
      </c>
      <c r="L1024" s="20" t="n">
        <v>0</v>
      </c>
      <c r="M1024" s="18" t="n">
        <v>164</v>
      </c>
      <c r="N1024" s="18" t="n">
        <v>164</v>
      </c>
      <c r="O1024" s="18" t="n">
        <v>0</v>
      </c>
      <c r="P1024" s="17" t="n">
        <v>45727</v>
      </c>
      <c r="Q1024" s="17" t="n">
        <v>45727</v>
      </c>
      <c r="R1024" s="17" t="n">
        <v>45727</v>
      </c>
      <c r="S1024" s="19">
        <f>H1024*I1024</f>
        <v/>
      </c>
      <c r="T1024" s="19">
        <f>H1024*J1024</f>
        <v/>
      </c>
      <c r="U1024">
        <f>IF(AND(K1024=0,G1024&lt;=Assumptions!$C$6),1,0)</f>
        <v/>
      </c>
      <c r="V1024">
        <f>IF(U1024=1,IF(M1024&gt;0,IF(P1024&lt;=G1024+Assumptions!$C$7,1,0),0),0)</f>
        <v/>
      </c>
      <c r="W1024">
        <f>IF(AND(U1024=1,M1024&gt;=H1024*(1-Assumptions!$C$8)),1,0)</f>
        <v/>
      </c>
      <c r="X1024">
        <f>IF(AND(U1024=1,N1024&gt;=H1024*(1-Assumptions!$C$8)),1,0)</f>
        <v/>
      </c>
      <c r="Y1024">
        <f>IF(ISNUMBER(Q1024),1,0)</f>
        <v/>
      </c>
      <c r="Z1024">
        <f>IF(AND(K1024=0,L1024=0,Y1024=0),1,0)</f>
        <v/>
      </c>
      <c r="AA1024">
        <f>IF(AND(Z1024=1,G1024&lt;Assumptions!$C$6),1,0)</f>
        <v/>
      </c>
      <c r="AB1024">
        <f>IF(U1024=0,"",IF(Y1024=1,MAX(0,Q1024-G1024),IF(L1024=1,MAX(0,R1024-G1024),MAX(0,Assumptions!$C$6-G1024))))</f>
        <v/>
      </c>
      <c r="AC1024">
        <f>IF(Y1024=1,Q1024-F1024,"")</f>
        <v/>
      </c>
      <c r="AD1024">
        <f>IF(Y1024=1,AC1024^2,"")</f>
        <v/>
      </c>
      <c r="AE1024" s="19">
        <f>IF(Z1024=1,(H1024-M1024)*I1024,0)</f>
        <v/>
      </c>
      <c r="AF1024">
        <f>IF(G1024&lt;EDATE(Assumptions!$C$6,-12)+1,"prior_12m","last_12m")</f>
        <v/>
      </c>
      <c r="AG1024" s="21">
        <f>DATE(YEAR(G1024),MONTH(G1024),1)</f>
        <v/>
      </c>
    </row>
    <row r="1025">
      <c r="A1025" t="inlineStr">
        <is>
          <t>SPO-00565-1</t>
        </is>
      </c>
      <c r="B1025" t="inlineStr">
        <is>
          <t>SPO-00565</t>
        </is>
      </c>
      <c r="C1025" t="inlineStr">
        <is>
          <t>SUP-05</t>
        </is>
      </c>
      <c r="D1025" t="inlineStr">
        <is>
          <t>FLEET</t>
        </is>
      </c>
      <c r="E1025" t="inlineStr">
        <is>
          <t>FLEET-01</t>
        </is>
      </c>
      <c r="F1025" s="17" t="n">
        <v>45714</v>
      </c>
      <c r="G1025" s="17" t="n">
        <v>45728</v>
      </c>
      <c r="H1025" s="18" t="n">
        <v>16</v>
      </c>
      <c r="I1025" s="19" t="n">
        <v>64.72</v>
      </c>
      <c r="J1025" s="19" t="n">
        <v>64</v>
      </c>
      <c r="K1025" s="20" t="n">
        <v>0</v>
      </c>
      <c r="L1025" s="20" t="n">
        <v>0</v>
      </c>
      <c r="M1025" s="18" t="n">
        <v>16</v>
      </c>
      <c r="N1025" s="18" t="n">
        <v>16</v>
      </c>
      <c r="O1025" s="18" t="n">
        <v>0</v>
      </c>
      <c r="P1025" s="17" t="n">
        <v>45725</v>
      </c>
      <c r="Q1025" s="17" t="n">
        <v>45725</v>
      </c>
      <c r="R1025" s="17" t="n">
        <v>45725</v>
      </c>
      <c r="S1025" s="19">
        <f>H1025*I1025</f>
        <v/>
      </c>
      <c r="T1025" s="19">
        <f>H1025*J1025</f>
        <v/>
      </c>
      <c r="U1025">
        <f>IF(AND(K1025=0,G1025&lt;=Assumptions!$C$6),1,0)</f>
        <v/>
      </c>
      <c r="V1025">
        <f>IF(U1025=1,IF(M1025&gt;0,IF(P1025&lt;=G1025+Assumptions!$C$7,1,0),0),0)</f>
        <v/>
      </c>
      <c r="W1025">
        <f>IF(AND(U1025=1,M1025&gt;=H1025*(1-Assumptions!$C$8)),1,0)</f>
        <v/>
      </c>
      <c r="X1025">
        <f>IF(AND(U1025=1,N1025&gt;=H1025*(1-Assumptions!$C$8)),1,0)</f>
        <v/>
      </c>
      <c r="Y1025">
        <f>IF(ISNUMBER(Q1025),1,0)</f>
        <v/>
      </c>
      <c r="Z1025">
        <f>IF(AND(K1025=0,L1025=0,Y1025=0),1,0)</f>
        <v/>
      </c>
      <c r="AA1025">
        <f>IF(AND(Z1025=1,G1025&lt;Assumptions!$C$6),1,0)</f>
        <v/>
      </c>
      <c r="AB1025">
        <f>IF(U1025=0,"",IF(Y1025=1,MAX(0,Q1025-G1025),IF(L1025=1,MAX(0,R1025-G1025),MAX(0,Assumptions!$C$6-G1025))))</f>
        <v/>
      </c>
      <c r="AC1025">
        <f>IF(Y1025=1,Q1025-F1025,"")</f>
        <v/>
      </c>
      <c r="AD1025">
        <f>IF(Y1025=1,AC1025^2,"")</f>
        <v/>
      </c>
      <c r="AE1025" s="19">
        <f>IF(Z1025=1,(H1025-M1025)*I1025,0)</f>
        <v/>
      </c>
      <c r="AF1025">
        <f>IF(G1025&lt;EDATE(Assumptions!$C$6,-12)+1,"prior_12m","last_12m")</f>
        <v/>
      </c>
      <c r="AG1025" s="21">
        <f>DATE(YEAR(G1025),MONTH(G1025),1)</f>
        <v/>
      </c>
    </row>
    <row r="1026">
      <c r="A1026" t="inlineStr">
        <is>
          <t>SPO-00565-2</t>
        </is>
      </c>
      <c r="B1026" t="inlineStr">
        <is>
          <t>SPO-00565</t>
        </is>
      </c>
      <c r="C1026" t="inlineStr">
        <is>
          <t>SUP-05</t>
        </is>
      </c>
      <c r="D1026" t="inlineStr">
        <is>
          <t>FLEET</t>
        </is>
      </c>
      <c r="E1026" t="inlineStr">
        <is>
          <t>FLEET-08</t>
        </is>
      </c>
      <c r="F1026" s="17" t="n">
        <v>45714</v>
      </c>
      <c r="G1026" s="17" t="n">
        <v>45728</v>
      </c>
      <c r="H1026" s="18" t="n">
        <v>226</v>
      </c>
      <c r="I1026" s="19" t="n">
        <v>6.7</v>
      </c>
      <c r="J1026" s="19" t="n">
        <v>6.4</v>
      </c>
      <c r="K1026" s="20" t="n">
        <v>0</v>
      </c>
      <c r="L1026" s="20" t="n">
        <v>0</v>
      </c>
      <c r="M1026" s="18" t="n">
        <v>226</v>
      </c>
      <c r="N1026" s="18" t="n">
        <v>226</v>
      </c>
      <c r="O1026" s="18" t="n">
        <v>0</v>
      </c>
      <c r="P1026" s="17" t="n">
        <v>45726</v>
      </c>
      <c r="Q1026" s="17" t="n">
        <v>45726</v>
      </c>
      <c r="R1026" s="17" t="n">
        <v>45726</v>
      </c>
      <c r="S1026" s="19">
        <f>H1026*I1026</f>
        <v/>
      </c>
      <c r="T1026" s="19">
        <f>H1026*J1026</f>
        <v/>
      </c>
      <c r="U1026">
        <f>IF(AND(K1026=0,G1026&lt;=Assumptions!$C$6),1,0)</f>
        <v/>
      </c>
      <c r="V1026">
        <f>IF(U1026=1,IF(M1026&gt;0,IF(P1026&lt;=G1026+Assumptions!$C$7,1,0),0),0)</f>
        <v/>
      </c>
      <c r="W1026">
        <f>IF(AND(U1026=1,M1026&gt;=H1026*(1-Assumptions!$C$8)),1,0)</f>
        <v/>
      </c>
      <c r="X1026">
        <f>IF(AND(U1026=1,N1026&gt;=H1026*(1-Assumptions!$C$8)),1,0)</f>
        <v/>
      </c>
      <c r="Y1026">
        <f>IF(ISNUMBER(Q1026),1,0)</f>
        <v/>
      </c>
      <c r="Z1026">
        <f>IF(AND(K1026=0,L1026=0,Y1026=0),1,0)</f>
        <v/>
      </c>
      <c r="AA1026">
        <f>IF(AND(Z1026=1,G1026&lt;Assumptions!$C$6),1,0)</f>
        <v/>
      </c>
      <c r="AB1026">
        <f>IF(U1026=0,"",IF(Y1026=1,MAX(0,Q1026-G1026),IF(L1026=1,MAX(0,R1026-G1026),MAX(0,Assumptions!$C$6-G1026))))</f>
        <v/>
      </c>
      <c r="AC1026">
        <f>IF(Y1026=1,Q1026-F1026,"")</f>
        <v/>
      </c>
      <c r="AD1026">
        <f>IF(Y1026=1,AC1026^2,"")</f>
        <v/>
      </c>
      <c r="AE1026" s="19">
        <f>IF(Z1026=1,(H1026-M1026)*I1026,0)</f>
        <v/>
      </c>
      <c r="AF1026">
        <f>IF(G1026&lt;EDATE(Assumptions!$C$6,-12)+1,"prior_12m","last_12m")</f>
        <v/>
      </c>
      <c r="AG1026" s="21">
        <f>DATE(YEAR(G1026),MONTH(G1026),1)</f>
        <v/>
      </c>
    </row>
    <row r="1027">
      <c r="A1027" t="inlineStr">
        <is>
          <t>SPO-00566-1</t>
        </is>
      </c>
      <c r="B1027" t="inlineStr">
        <is>
          <t>SPO-00566</t>
        </is>
      </c>
      <c r="C1027" t="inlineStr">
        <is>
          <t>SUP-12</t>
        </is>
      </c>
      <c r="D1027" t="inlineStr">
        <is>
          <t>IT</t>
        </is>
      </c>
      <c r="E1027" t="inlineStr">
        <is>
          <t>IT-08</t>
        </is>
      </c>
      <c r="F1027" s="17" t="n">
        <v>45714</v>
      </c>
      <c r="G1027" s="17" t="n">
        <v>45724</v>
      </c>
      <c r="H1027" s="18" t="n">
        <v>2</v>
      </c>
      <c r="I1027" s="19" t="n">
        <v>286.09</v>
      </c>
      <c r="J1027" s="19" t="n">
        <v>245</v>
      </c>
      <c r="K1027" s="20" t="n">
        <v>0</v>
      </c>
      <c r="L1027" s="20" t="n">
        <v>0</v>
      </c>
      <c r="M1027" s="18" t="n">
        <v>2</v>
      </c>
      <c r="N1027" s="18" t="n">
        <v>2</v>
      </c>
      <c r="O1027" s="18" t="n">
        <v>0</v>
      </c>
      <c r="P1027" s="17" t="n">
        <v>45718</v>
      </c>
      <c r="Q1027" s="17" t="n">
        <v>45718</v>
      </c>
      <c r="R1027" s="17" t="n">
        <v>45718</v>
      </c>
      <c r="S1027" s="19">
        <f>H1027*I1027</f>
        <v/>
      </c>
      <c r="T1027" s="19">
        <f>H1027*J1027</f>
        <v/>
      </c>
      <c r="U1027">
        <f>IF(AND(K1027=0,G1027&lt;=Assumptions!$C$6),1,0)</f>
        <v/>
      </c>
      <c r="V1027">
        <f>IF(U1027=1,IF(M1027&gt;0,IF(P1027&lt;=G1027+Assumptions!$C$7,1,0),0),0)</f>
        <v/>
      </c>
      <c r="W1027">
        <f>IF(AND(U1027=1,M1027&gt;=H1027*(1-Assumptions!$C$8)),1,0)</f>
        <v/>
      </c>
      <c r="X1027">
        <f>IF(AND(U1027=1,N1027&gt;=H1027*(1-Assumptions!$C$8)),1,0)</f>
        <v/>
      </c>
      <c r="Y1027">
        <f>IF(ISNUMBER(Q1027),1,0)</f>
        <v/>
      </c>
      <c r="Z1027">
        <f>IF(AND(K1027=0,L1027=0,Y1027=0),1,0)</f>
        <v/>
      </c>
      <c r="AA1027">
        <f>IF(AND(Z1027=1,G1027&lt;Assumptions!$C$6),1,0)</f>
        <v/>
      </c>
      <c r="AB1027">
        <f>IF(U1027=0,"",IF(Y1027=1,MAX(0,Q1027-G1027),IF(L1027=1,MAX(0,R1027-G1027),MAX(0,Assumptions!$C$6-G1027))))</f>
        <v/>
      </c>
      <c r="AC1027">
        <f>IF(Y1027=1,Q1027-F1027,"")</f>
        <v/>
      </c>
      <c r="AD1027">
        <f>IF(Y1027=1,AC1027^2,"")</f>
        <v/>
      </c>
      <c r="AE1027" s="19">
        <f>IF(Z1027=1,(H1027-M1027)*I1027,0)</f>
        <v/>
      </c>
      <c r="AF1027">
        <f>IF(G1027&lt;EDATE(Assumptions!$C$6,-12)+1,"prior_12m","last_12m")</f>
        <v/>
      </c>
      <c r="AG1027" s="21">
        <f>DATE(YEAR(G1027),MONTH(G1027),1)</f>
        <v/>
      </c>
    </row>
    <row r="1028">
      <c r="A1028" t="inlineStr">
        <is>
          <t>SPO-00566-2</t>
        </is>
      </c>
      <c r="B1028" t="inlineStr">
        <is>
          <t>SPO-00566</t>
        </is>
      </c>
      <c r="C1028" t="inlineStr">
        <is>
          <t>SUP-12</t>
        </is>
      </c>
      <c r="D1028" t="inlineStr">
        <is>
          <t>IT</t>
        </is>
      </c>
      <c r="E1028" t="inlineStr">
        <is>
          <t>IT-05</t>
        </is>
      </c>
      <c r="F1028" s="17" t="n">
        <v>45714</v>
      </c>
      <c r="G1028" s="17" t="n">
        <v>45724</v>
      </c>
      <c r="H1028" s="18" t="n">
        <v>2</v>
      </c>
      <c r="I1028" s="19" t="n">
        <v>736.9400000000001</v>
      </c>
      <c r="J1028" s="19" t="n">
        <v>640</v>
      </c>
      <c r="K1028" s="20" t="n">
        <v>0</v>
      </c>
      <c r="L1028" s="20" t="n">
        <v>0</v>
      </c>
      <c r="M1028" s="18" t="n">
        <v>2</v>
      </c>
      <c r="N1028" s="18" t="n">
        <v>2</v>
      </c>
      <c r="O1028" s="18" t="n">
        <v>0</v>
      </c>
      <c r="P1028" s="17" t="n">
        <v>45720</v>
      </c>
      <c r="Q1028" s="17" t="n">
        <v>45720</v>
      </c>
      <c r="R1028" s="17" t="n">
        <v>45720</v>
      </c>
      <c r="S1028" s="19">
        <f>H1028*I1028</f>
        <v/>
      </c>
      <c r="T1028" s="19">
        <f>H1028*J1028</f>
        <v/>
      </c>
      <c r="U1028">
        <f>IF(AND(K1028=0,G1028&lt;=Assumptions!$C$6),1,0)</f>
        <v/>
      </c>
      <c r="V1028">
        <f>IF(U1028=1,IF(M1028&gt;0,IF(P1028&lt;=G1028+Assumptions!$C$7,1,0),0),0)</f>
        <v/>
      </c>
      <c r="W1028">
        <f>IF(AND(U1028=1,M1028&gt;=H1028*(1-Assumptions!$C$8)),1,0)</f>
        <v/>
      </c>
      <c r="X1028">
        <f>IF(AND(U1028=1,N1028&gt;=H1028*(1-Assumptions!$C$8)),1,0)</f>
        <v/>
      </c>
      <c r="Y1028">
        <f>IF(ISNUMBER(Q1028),1,0)</f>
        <v/>
      </c>
      <c r="Z1028">
        <f>IF(AND(K1028=0,L1028=0,Y1028=0),1,0)</f>
        <v/>
      </c>
      <c r="AA1028">
        <f>IF(AND(Z1028=1,G1028&lt;Assumptions!$C$6),1,0)</f>
        <v/>
      </c>
      <c r="AB1028">
        <f>IF(U1028=0,"",IF(Y1028=1,MAX(0,Q1028-G1028),IF(L1028=1,MAX(0,R1028-G1028),MAX(0,Assumptions!$C$6-G1028))))</f>
        <v/>
      </c>
      <c r="AC1028">
        <f>IF(Y1028=1,Q1028-F1028,"")</f>
        <v/>
      </c>
      <c r="AD1028">
        <f>IF(Y1028=1,AC1028^2,"")</f>
        <v/>
      </c>
      <c r="AE1028" s="19">
        <f>IF(Z1028=1,(H1028-M1028)*I1028,0)</f>
        <v/>
      </c>
      <c r="AF1028">
        <f>IF(G1028&lt;EDATE(Assumptions!$C$6,-12)+1,"prior_12m","last_12m")</f>
        <v/>
      </c>
      <c r="AG1028" s="21">
        <f>DATE(YEAR(G1028),MONTH(G1028),1)</f>
        <v/>
      </c>
    </row>
    <row r="1029">
      <c r="A1029" t="inlineStr">
        <is>
          <t>SPO-00566-3</t>
        </is>
      </c>
      <c r="B1029" t="inlineStr">
        <is>
          <t>SPO-00566</t>
        </is>
      </c>
      <c r="C1029" t="inlineStr">
        <is>
          <t>SUP-12</t>
        </is>
      </c>
      <c r="D1029" t="inlineStr">
        <is>
          <t>IT</t>
        </is>
      </c>
      <c r="E1029" t="inlineStr">
        <is>
          <t>IT-06</t>
        </is>
      </c>
      <c r="F1029" s="17" t="n">
        <v>45714</v>
      </c>
      <c r="G1029" s="17" t="n">
        <v>45724</v>
      </c>
      <c r="H1029" s="18" t="n">
        <v>18</v>
      </c>
      <c r="I1029" s="19" t="n">
        <v>100.21</v>
      </c>
      <c r="J1029" s="19" t="n">
        <v>89</v>
      </c>
      <c r="K1029" s="20" t="n">
        <v>0</v>
      </c>
      <c r="L1029" s="20" t="n">
        <v>0</v>
      </c>
      <c r="M1029" s="18" t="n">
        <v>18</v>
      </c>
      <c r="N1029" s="18" t="n">
        <v>18</v>
      </c>
      <c r="O1029" s="18" t="n">
        <v>0</v>
      </c>
      <c r="P1029" s="17" t="n">
        <v>45720</v>
      </c>
      <c r="Q1029" s="17" t="n">
        <v>45720</v>
      </c>
      <c r="R1029" s="17" t="n">
        <v>45720</v>
      </c>
      <c r="S1029" s="19">
        <f>H1029*I1029</f>
        <v/>
      </c>
      <c r="T1029" s="19">
        <f>H1029*J1029</f>
        <v/>
      </c>
      <c r="U1029">
        <f>IF(AND(K1029=0,G1029&lt;=Assumptions!$C$6),1,0)</f>
        <v/>
      </c>
      <c r="V1029">
        <f>IF(U1029=1,IF(M1029&gt;0,IF(P1029&lt;=G1029+Assumptions!$C$7,1,0),0),0)</f>
        <v/>
      </c>
      <c r="W1029">
        <f>IF(AND(U1029=1,M1029&gt;=H1029*(1-Assumptions!$C$8)),1,0)</f>
        <v/>
      </c>
      <c r="X1029">
        <f>IF(AND(U1029=1,N1029&gt;=H1029*(1-Assumptions!$C$8)),1,0)</f>
        <v/>
      </c>
      <c r="Y1029">
        <f>IF(ISNUMBER(Q1029),1,0)</f>
        <v/>
      </c>
      <c r="Z1029">
        <f>IF(AND(K1029=0,L1029=0,Y1029=0),1,0)</f>
        <v/>
      </c>
      <c r="AA1029">
        <f>IF(AND(Z1029=1,G1029&lt;Assumptions!$C$6),1,0)</f>
        <v/>
      </c>
      <c r="AB1029">
        <f>IF(U1029=0,"",IF(Y1029=1,MAX(0,Q1029-G1029),IF(L1029=1,MAX(0,R1029-G1029),MAX(0,Assumptions!$C$6-G1029))))</f>
        <v/>
      </c>
      <c r="AC1029">
        <f>IF(Y1029=1,Q1029-F1029,"")</f>
        <v/>
      </c>
      <c r="AD1029">
        <f>IF(Y1029=1,AC1029^2,"")</f>
        <v/>
      </c>
      <c r="AE1029" s="19">
        <f>IF(Z1029=1,(H1029-M1029)*I1029,0)</f>
        <v/>
      </c>
      <c r="AF1029">
        <f>IF(G1029&lt;EDATE(Assumptions!$C$6,-12)+1,"prior_12m","last_12m")</f>
        <v/>
      </c>
      <c r="AG1029" s="21">
        <f>DATE(YEAR(G1029),MONTH(G1029),1)</f>
        <v/>
      </c>
    </row>
    <row r="1030">
      <c r="A1030" t="inlineStr">
        <is>
          <t>SPO-00566-4</t>
        </is>
      </c>
      <c r="B1030" t="inlineStr">
        <is>
          <t>SPO-00566</t>
        </is>
      </c>
      <c r="C1030" t="inlineStr">
        <is>
          <t>SUP-12</t>
        </is>
      </c>
      <c r="D1030" t="inlineStr">
        <is>
          <t>IT</t>
        </is>
      </c>
      <c r="E1030" t="inlineStr">
        <is>
          <t>IT-01</t>
        </is>
      </c>
      <c r="F1030" s="17" t="n">
        <v>45714</v>
      </c>
      <c r="G1030" s="17" t="n">
        <v>45724</v>
      </c>
      <c r="H1030" s="18" t="n">
        <v>14</v>
      </c>
      <c r="I1030" s="19" t="n">
        <v>210.28</v>
      </c>
      <c r="J1030" s="19" t="n">
        <v>189</v>
      </c>
      <c r="K1030" s="20" t="n">
        <v>0</v>
      </c>
      <c r="L1030" s="20" t="n">
        <v>0</v>
      </c>
      <c r="M1030" s="18" t="n">
        <v>14</v>
      </c>
      <c r="N1030" s="18" t="n">
        <v>8</v>
      </c>
      <c r="O1030" s="18" t="n">
        <v>0</v>
      </c>
      <c r="P1030" s="17" t="n">
        <v>45718</v>
      </c>
      <c r="Q1030" s="17" t="n">
        <v>45726</v>
      </c>
      <c r="R1030" s="17" t="n">
        <v>45726</v>
      </c>
      <c r="S1030" s="19">
        <f>H1030*I1030</f>
        <v/>
      </c>
      <c r="T1030" s="19">
        <f>H1030*J1030</f>
        <v/>
      </c>
      <c r="U1030">
        <f>IF(AND(K1030=0,G1030&lt;=Assumptions!$C$6),1,0)</f>
        <v/>
      </c>
      <c r="V1030">
        <f>IF(U1030=1,IF(M1030&gt;0,IF(P1030&lt;=G1030+Assumptions!$C$7,1,0),0),0)</f>
        <v/>
      </c>
      <c r="W1030">
        <f>IF(AND(U1030=1,M1030&gt;=H1030*(1-Assumptions!$C$8)),1,0)</f>
        <v/>
      </c>
      <c r="X1030">
        <f>IF(AND(U1030=1,N1030&gt;=H1030*(1-Assumptions!$C$8)),1,0)</f>
        <v/>
      </c>
      <c r="Y1030">
        <f>IF(ISNUMBER(Q1030),1,0)</f>
        <v/>
      </c>
      <c r="Z1030">
        <f>IF(AND(K1030=0,L1030=0,Y1030=0),1,0)</f>
        <v/>
      </c>
      <c r="AA1030">
        <f>IF(AND(Z1030=1,G1030&lt;Assumptions!$C$6),1,0)</f>
        <v/>
      </c>
      <c r="AB1030">
        <f>IF(U1030=0,"",IF(Y1030=1,MAX(0,Q1030-G1030),IF(L1030=1,MAX(0,R1030-G1030),MAX(0,Assumptions!$C$6-G1030))))</f>
        <v/>
      </c>
      <c r="AC1030">
        <f>IF(Y1030=1,Q1030-F1030,"")</f>
        <v/>
      </c>
      <c r="AD1030">
        <f>IF(Y1030=1,AC1030^2,"")</f>
        <v/>
      </c>
      <c r="AE1030" s="19">
        <f>IF(Z1030=1,(H1030-M1030)*I1030,0)</f>
        <v/>
      </c>
      <c r="AF1030">
        <f>IF(G1030&lt;EDATE(Assumptions!$C$6,-12)+1,"prior_12m","last_12m")</f>
        <v/>
      </c>
      <c r="AG1030" s="21">
        <f>DATE(YEAR(G1030),MONTH(G1030),1)</f>
        <v/>
      </c>
    </row>
    <row r="1031">
      <c r="A1031" t="inlineStr">
        <is>
          <t>SPO-00567-1</t>
        </is>
      </c>
      <c r="B1031" t="inlineStr">
        <is>
          <t>SPO-00567</t>
        </is>
      </c>
      <c r="C1031" t="inlineStr">
        <is>
          <t>SUP-12</t>
        </is>
      </c>
      <c r="D1031" t="inlineStr">
        <is>
          <t>IT</t>
        </is>
      </c>
      <c r="E1031" t="inlineStr">
        <is>
          <t>IT-07</t>
        </is>
      </c>
      <c r="F1031" s="17" t="n">
        <v>45714</v>
      </c>
      <c r="G1031" s="17" t="n">
        <v>45724</v>
      </c>
      <c r="H1031" s="18" t="n">
        <v>18</v>
      </c>
      <c r="I1031" s="19" t="n">
        <v>80.91</v>
      </c>
      <c r="J1031" s="19" t="n">
        <v>74</v>
      </c>
      <c r="K1031" s="20" t="n">
        <v>0</v>
      </c>
      <c r="L1031" s="20" t="n">
        <v>0</v>
      </c>
      <c r="M1031" s="18" t="n">
        <v>18</v>
      </c>
      <c r="N1031" s="18" t="n">
        <v>18</v>
      </c>
      <c r="O1031" s="18" t="n">
        <v>0</v>
      </c>
      <c r="P1031" s="17" t="n">
        <v>45718</v>
      </c>
      <c r="Q1031" s="17" t="n">
        <v>45718</v>
      </c>
      <c r="R1031" s="17" t="n">
        <v>45718</v>
      </c>
      <c r="S1031" s="19">
        <f>H1031*I1031</f>
        <v/>
      </c>
      <c r="T1031" s="19">
        <f>H1031*J1031</f>
        <v/>
      </c>
      <c r="U1031">
        <f>IF(AND(K1031=0,G1031&lt;=Assumptions!$C$6),1,0)</f>
        <v/>
      </c>
      <c r="V1031">
        <f>IF(U1031=1,IF(M1031&gt;0,IF(P1031&lt;=G1031+Assumptions!$C$7,1,0),0),0)</f>
        <v/>
      </c>
      <c r="W1031">
        <f>IF(AND(U1031=1,M1031&gt;=H1031*(1-Assumptions!$C$8)),1,0)</f>
        <v/>
      </c>
      <c r="X1031">
        <f>IF(AND(U1031=1,N1031&gt;=H1031*(1-Assumptions!$C$8)),1,0)</f>
        <v/>
      </c>
      <c r="Y1031">
        <f>IF(ISNUMBER(Q1031),1,0)</f>
        <v/>
      </c>
      <c r="Z1031">
        <f>IF(AND(K1031=0,L1031=0,Y1031=0),1,0)</f>
        <v/>
      </c>
      <c r="AA1031">
        <f>IF(AND(Z1031=1,G1031&lt;Assumptions!$C$6),1,0)</f>
        <v/>
      </c>
      <c r="AB1031">
        <f>IF(U1031=0,"",IF(Y1031=1,MAX(0,Q1031-G1031),IF(L1031=1,MAX(0,R1031-G1031),MAX(0,Assumptions!$C$6-G1031))))</f>
        <v/>
      </c>
      <c r="AC1031">
        <f>IF(Y1031=1,Q1031-F1031,"")</f>
        <v/>
      </c>
      <c r="AD1031">
        <f>IF(Y1031=1,AC1031^2,"")</f>
        <v/>
      </c>
      <c r="AE1031" s="19">
        <f>IF(Z1031=1,(H1031-M1031)*I1031,0)</f>
        <v/>
      </c>
      <c r="AF1031">
        <f>IF(G1031&lt;EDATE(Assumptions!$C$6,-12)+1,"prior_12m","last_12m")</f>
        <v/>
      </c>
      <c r="AG1031" s="21">
        <f>DATE(YEAR(G1031),MONTH(G1031),1)</f>
        <v/>
      </c>
    </row>
    <row r="1032">
      <c r="A1032" t="inlineStr">
        <is>
          <t>SPO-00567-2</t>
        </is>
      </c>
      <c r="B1032" t="inlineStr">
        <is>
          <t>SPO-00567</t>
        </is>
      </c>
      <c r="C1032" t="inlineStr">
        <is>
          <t>SUP-12</t>
        </is>
      </c>
      <c r="D1032" t="inlineStr">
        <is>
          <t>IT</t>
        </is>
      </c>
      <c r="E1032" t="inlineStr">
        <is>
          <t>IT-05</t>
        </is>
      </c>
      <c r="F1032" s="17" t="n">
        <v>45714</v>
      </c>
      <c r="G1032" s="17" t="n">
        <v>45724</v>
      </c>
      <c r="H1032" s="18" t="n">
        <v>2</v>
      </c>
      <c r="I1032" s="19" t="n">
        <v>726.8</v>
      </c>
      <c r="J1032" s="19" t="n">
        <v>640</v>
      </c>
      <c r="K1032" s="20" t="n">
        <v>0</v>
      </c>
      <c r="L1032" s="20" t="n">
        <v>0</v>
      </c>
      <c r="M1032" s="18" t="n">
        <v>2</v>
      </c>
      <c r="N1032" s="18" t="n">
        <v>2</v>
      </c>
      <c r="O1032" s="18" t="n">
        <v>0</v>
      </c>
      <c r="P1032" s="17" t="n">
        <v>45717</v>
      </c>
      <c r="Q1032" s="17" t="n">
        <v>45717</v>
      </c>
      <c r="R1032" s="17" t="n">
        <v>45717</v>
      </c>
      <c r="S1032" s="19">
        <f>H1032*I1032</f>
        <v/>
      </c>
      <c r="T1032" s="19">
        <f>H1032*J1032</f>
        <v/>
      </c>
      <c r="U1032">
        <f>IF(AND(K1032=0,G1032&lt;=Assumptions!$C$6),1,0)</f>
        <v/>
      </c>
      <c r="V1032">
        <f>IF(U1032=1,IF(M1032&gt;0,IF(P1032&lt;=G1032+Assumptions!$C$7,1,0),0),0)</f>
        <v/>
      </c>
      <c r="W1032">
        <f>IF(AND(U1032=1,M1032&gt;=H1032*(1-Assumptions!$C$8)),1,0)</f>
        <v/>
      </c>
      <c r="X1032">
        <f>IF(AND(U1032=1,N1032&gt;=H1032*(1-Assumptions!$C$8)),1,0)</f>
        <v/>
      </c>
      <c r="Y1032">
        <f>IF(ISNUMBER(Q1032),1,0)</f>
        <v/>
      </c>
      <c r="Z1032">
        <f>IF(AND(K1032=0,L1032=0,Y1032=0),1,0)</f>
        <v/>
      </c>
      <c r="AA1032">
        <f>IF(AND(Z1032=1,G1032&lt;Assumptions!$C$6),1,0)</f>
        <v/>
      </c>
      <c r="AB1032">
        <f>IF(U1032=0,"",IF(Y1032=1,MAX(0,Q1032-G1032),IF(L1032=1,MAX(0,R1032-G1032),MAX(0,Assumptions!$C$6-G1032))))</f>
        <v/>
      </c>
      <c r="AC1032">
        <f>IF(Y1032=1,Q1032-F1032,"")</f>
        <v/>
      </c>
      <c r="AD1032">
        <f>IF(Y1032=1,AC1032^2,"")</f>
        <v/>
      </c>
      <c r="AE1032" s="19">
        <f>IF(Z1032=1,(H1032-M1032)*I1032,0)</f>
        <v/>
      </c>
      <c r="AF1032">
        <f>IF(G1032&lt;EDATE(Assumptions!$C$6,-12)+1,"prior_12m","last_12m")</f>
        <v/>
      </c>
      <c r="AG1032" s="21">
        <f>DATE(YEAR(G1032),MONTH(G1032),1)</f>
        <v/>
      </c>
    </row>
    <row r="1033">
      <c r="A1033" t="inlineStr">
        <is>
          <t>SPO-00568-1</t>
        </is>
      </c>
      <c r="B1033" t="inlineStr">
        <is>
          <t>SPO-00568</t>
        </is>
      </c>
      <c r="C1033" t="inlineStr">
        <is>
          <t>SUP-12</t>
        </is>
      </c>
      <c r="D1033" t="inlineStr">
        <is>
          <t>IT</t>
        </is>
      </c>
      <c r="E1033" t="inlineStr">
        <is>
          <t>IT-08</t>
        </is>
      </c>
      <c r="F1033" s="17" t="n">
        <v>45714</v>
      </c>
      <c r="G1033" s="17" t="n">
        <v>45724</v>
      </c>
      <c r="H1033" s="18" t="n">
        <v>9</v>
      </c>
      <c r="I1033" s="19" t="n">
        <v>282.43</v>
      </c>
      <c r="J1033" s="19" t="n">
        <v>245</v>
      </c>
      <c r="K1033" s="20" t="n">
        <v>0</v>
      </c>
      <c r="L1033" s="20" t="n">
        <v>0</v>
      </c>
      <c r="M1033" s="18" t="n">
        <v>9</v>
      </c>
      <c r="N1033" s="18" t="n">
        <v>9</v>
      </c>
      <c r="O1033" s="18" t="n">
        <v>0</v>
      </c>
      <c r="P1033" s="17" t="n">
        <v>45719</v>
      </c>
      <c r="Q1033" s="17" t="n">
        <v>45719</v>
      </c>
      <c r="R1033" s="17" t="n">
        <v>45719</v>
      </c>
      <c r="S1033" s="19">
        <f>H1033*I1033</f>
        <v/>
      </c>
      <c r="T1033" s="19">
        <f>H1033*J1033</f>
        <v/>
      </c>
      <c r="U1033">
        <f>IF(AND(K1033=0,G1033&lt;=Assumptions!$C$6),1,0)</f>
        <v/>
      </c>
      <c r="V1033">
        <f>IF(U1033=1,IF(M1033&gt;0,IF(P1033&lt;=G1033+Assumptions!$C$7,1,0),0),0)</f>
        <v/>
      </c>
      <c r="W1033">
        <f>IF(AND(U1033=1,M1033&gt;=H1033*(1-Assumptions!$C$8)),1,0)</f>
        <v/>
      </c>
      <c r="X1033">
        <f>IF(AND(U1033=1,N1033&gt;=H1033*(1-Assumptions!$C$8)),1,0)</f>
        <v/>
      </c>
      <c r="Y1033">
        <f>IF(ISNUMBER(Q1033),1,0)</f>
        <v/>
      </c>
      <c r="Z1033">
        <f>IF(AND(K1033=0,L1033=0,Y1033=0),1,0)</f>
        <v/>
      </c>
      <c r="AA1033">
        <f>IF(AND(Z1033=1,G1033&lt;Assumptions!$C$6),1,0)</f>
        <v/>
      </c>
      <c r="AB1033">
        <f>IF(U1033=0,"",IF(Y1033=1,MAX(0,Q1033-G1033),IF(L1033=1,MAX(0,R1033-G1033),MAX(0,Assumptions!$C$6-G1033))))</f>
        <v/>
      </c>
      <c r="AC1033">
        <f>IF(Y1033=1,Q1033-F1033,"")</f>
        <v/>
      </c>
      <c r="AD1033">
        <f>IF(Y1033=1,AC1033^2,"")</f>
        <v/>
      </c>
      <c r="AE1033" s="19">
        <f>IF(Z1033=1,(H1033-M1033)*I1033,0)</f>
        <v/>
      </c>
      <c r="AF1033">
        <f>IF(G1033&lt;EDATE(Assumptions!$C$6,-12)+1,"prior_12m","last_12m")</f>
        <v/>
      </c>
      <c r="AG1033" s="21">
        <f>DATE(YEAR(G1033),MONTH(G1033),1)</f>
        <v/>
      </c>
    </row>
    <row r="1034">
      <c r="A1034" t="inlineStr">
        <is>
          <t>SPO-00568-2</t>
        </is>
      </c>
      <c r="B1034" t="inlineStr">
        <is>
          <t>SPO-00568</t>
        </is>
      </c>
      <c r="C1034" t="inlineStr">
        <is>
          <t>SUP-12</t>
        </is>
      </c>
      <c r="D1034" t="inlineStr">
        <is>
          <t>IT</t>
        </is>
      </c>
      <c r="E1034" t="inlineStr">
        <is>
          <t>IT-03</t>
        </is>
      </c>
      <c r="F1034" s="17" t="n">
        <v>45714</v>
      </c>
      <c r="G1034" s="17" t="n">
        <v>45724</v>
      </c>
      <c r="H1034" s="18" t="n">
        <v>31</v>
      </c>
      <c r="I1034" s="19" t="n">
        <v>42.93</v>
      </c>
      <c r="J1034" s="19" t="n">
        <v>38</v>
      </c>
      <c r="K1034" s="20" t="n">
        <v>0</v>
      </c>
      <c r="L1034" s="20" t="n">
        <v>0</v>
      </c>
      <c r="M1034" s="18" t="n">
        <v>31</v>
      </c>
      <c r="N1034" s="18" t="n">
        <v>31</v>
      </c>
      <c r="O1034" s="18" t="n">
        <v>0</v>
      </c>
      <c r="P1034" s="17" t="n">
        <v>45721</v>
      </c>
      <c r="Q1034" s="17" t="n">
        <v>45721</v>
      </c>
      <c r="R1034" s="17" t="n">
        <v>45721</v>
      </c>
      <c r="S1034" s="19">
        <f>H1034*I1034</f>
        <v/>
      </c>
      <c r="T1034" s="19">
        <f>H1034*J1034</f>
        <v/>
      </c>
      <c r="U1034">
        <f>IF(AND(K1034=0,G1034&lt;=Assumptions!$C$6),1,0)</f>
        <v/>
      </c>
      <c r="V1034">
        <f>IF(U1034=1,IF(M1034&gt;0,IF(P1034&lt;=G1034+Assumptions!$C$7,1,0),0),0)</f>
        <v/>
      </c>
      <c r="W1034">
        <f>IF(AND(U1034=1,M1034&gt;=H1034*(1-Assumptions!$C$8)),1,0)</f>
        <v/>
      </c>
      <c r="X1034">
        <f>IF(AND(U1034=1,N1034&gt;=H1034*(1-Assumptions!$C$8)),1,0)</f>
        <v/>
      </c>
      <c r="Y1034">
        <f>IF(ISNUMBER(Q1034),1,0)</f>
        <v/>
      </c>
      <c r="Z1034">
        <f>IF(AND(K1034=0,L1034=0,Y1034=0),1,0)</f>
        <v/>
      </c>
      <c r="AA1034">
        <f>IF(AND(Z1034=1,G1034&lt;Assumptions!$C$6),1,0)</f>
        <v/>
      </c>
      <c r="AB1034">
        <f>IF(U1034=0,"",IF(Y1034=1,MAX(0,Q1034-G1034),IF(L1034=1,MAX(0,R1034-G1034),MAX(0,Assumptions!$C$6-G1034))))</f>
        <v/>
      </c>
      <c r="AC1034">
        <f>IF(Y1034=1,Q1034-F1034,"")</f>
        <v/>
      </c>
      <c r="AD1034">
        <f>IF(Y1034=1,AC1034^2,"")</f>
        <v/>
      </c>
      <c r="AE1034" s="19">
        <f>IF(Z1034=1,(H1034-M1034)*I1034,0)</f>
        <v/>
      </c>
      <c r="AF1034">
        <f>IF(G1034&lt;EDATE(Assumptions!$C$6,-12)+1,"prior_12m","last_12m")</f>
        <v/>
      </c>
      <c r="AG1034" s="21">
        <f>DATE(YEAR(G1034),MONTH(G1034),1)</f>
        <v/>
      </c>
    </row>
    <row r="1035">
      <c r="A1035" t="inlineStr">
        <is>
          <t>SPO-00568-3</t>
        </is>
      </c>
      <c r="B1035" t="inlineStr">
        <is>
          <t>SPO-00568</t>
        </is>
      </c>
      <c r="C1035" t="inlineStr">
        <is>
          <t>SUP-12</t>
        </is>
      </c>
      <c r="D1035" t="inlineStr">
        <is>
          <t>IT</t>
        </is>
      </c>
      <c r="E1035" t="inlineStr">
        <is>
          <t>IT-01</t>
        </is>
      </c>
      <c r="F1035" s="17" t="n">
        <v>45714</v>
      </c>
      <c r="G1035" s="17" t="n">
        <v>45724</v>
      </c>
      <c r="H1035" s="18" t="n">
        <v>15</v>
      </c>
      <c r="I1035" s="19" t="n">
        <v>216.52</v>
      </c>
      <c r="J1035" s="19" t="n">
        <v>189</v>
      </c>
      <c r="K1035" s="20" t="n">
        <v>0</v>
      </c>
      <c r="L1035" s="20" t="n">
        <v>0</v>
      </c>
      <c r="M1035" s="18" t="n">
        <v>15</v>
      </c>
      <c r="N1035" s="18" t="n">
        <v>15</v>
      </c>
      <c r="O1035" s="18" t="n">
        <v>0</v>
      </c>
      <c r="P1035" s="17" t="n">
        <v>45722</v>
      </c>
      <c r="Q1035" s="17" t="n">
        <v>45722</v>
      </c>
      <c r="R1035" s="17" t="n">
        <v>45722</v>
      </c>
      <c r="S1035" s="19">
        <f>H1035*I1035</f>
        <v/>
      </c>
      <c r="T1035" s="19">
        <f>H1035*J1035</f>
        <v/>
      </c>
      <c r="U1035">
        <f>IF(AND(K1035=0,G1035&lt;=Assumptions!$C$6),1,0)</f>
        <v/>
      </c>
      <c r="V1035">
        <f>IF(U1035=1,IF(M1035&gt;0,IF(P1035&lt;=G1035+Assumptions!$C$7,1,0),0),0)</f>
        <v/>
      </c>
      <c r="W1035">
        <f>IF(AND(U1035=1,M1035&gt;=H1035*(1-Assumptions!$C$8)),1,0)</f>
        <v/>
      </c>
      <c r="X1035">
        <f>IF(AND(U1035=1,N1035&gt;=H1035*(1-Assumptions!$C$8)),1,0)</f>
        <v/>
      </c>
      <c r="Y1035">
        <f>IF(ISNUMBER(Q1035),1,0)</f>
        <v/>
      </c>
      <c r="Z1035">
        <f>IF(AND(K1035=0,L1035=0,Y1035=0),1,0)</f>
        <v/>
      </c>
      <c r="AA1035">
        <f>IF(AND(Z1035=1,G1035&lt;Assumptions!$C$6),1,0)</f>
        <v/>
      </c>
      <c r="AB1035">
        <f>IF(U1035=0,"",IF(Y1035=1,MAX(0,Q1035-G1035),IF(L1035=1,MAX(0,R1035-G1035),MAX(0,Assumptions!$C$6-G1035))))</f>
        <v/>
      </c>
      <c r="AC1035">
        <f>IF(Y1035=1,Q1035-F1035,"")</f>
        <v/>
      </c>
      <c r="AD1035">
        <f>IF(Y1035=1,AC1035^2,"")</f>
        <v/>
      </c>
      <c r="AE1035" s="19">
        <f>IF(Z1035=1,(H1035-M1035)*I1035,0)</f>
        <v/>
      </c>
      <c r="AF1035">
        <f>IF(G1035&lt;EDATE(Assumptions!$C$6,-12)+1,"prior_12m","last_12m")</f>
        <v/>
      </c>
      <c r="AG1035" s="21">
        <f>DATE(YEAR(G1035),MONTH(G1035),1)</f>
        <v/>
      </c>
    </row>
    <row r="1036">
      <c r="A1036" t="inlineStr">
        <is>
          <t>SPO-00568-4</t>
        </is>
      </c>
      <c r="B1036" t="inlineStr">
        <is>
          <t>SPO-00568</t>
        </is>
      </c>
      <c r="C1036" t="inlineStr">
        <is>
          <t>SUP-12</t>
        </is>
      </c>
      <c r="D1036" t="inlineStr">
        <is>
          <t>IT</t>
        </is>
      </c>
      <c r="E1036" t="inlineStr">
        <is>
          <t>IT-05</t>
        </is>
      </c>
      <c r="F1036" s="17" t="n">
        <v>45714</v>
      </c>
      <c r="G1036" s="17" t="n">
        <v>45724</v>
      </c>
      <c r="H1036" s="18" t="n">
        <v>2</v>
      </c>
      <c r="I1036" s="19" t="n">
        <v>710.13</v>
      </c>
      <c r="J1036" s="19" t="n">
        <v>640</v>
      </c>
      <c r="K1036" s="20" t="n">
        <v>0</v>
      </c>
      <c r="L1036" s="20" t="n">
        <v>0</v>
      </c>
      <c r="M1036" s="18" t="n">
        <v>2</v>
      </c>
      <c r="N1036" s="18" t="n">
        <v>2</v>
      </c>
      <c r="O1036" s="18" t="n">
        <v>0</v>
      </c>
      <c r="P1036" s="17" t="n">
        <v>45723</v>
      </c>
      <c r="Q1036" s="17" t="n">
        <v>45723</v>
      </c>
      <c r="R1036" s="17" t="n">
        <v>45723</v>
      </c>
      <c r="S1036" s="19">
        <f>H1036*I1036</f>
        <v/>
      </c>
      <c r="T1036" s="19">
        <f>H1036*J1036</f>
        <v/>
      </c>
      <c r="U1036">
        <f>IF(AND(K1036=0,G1036&lt;=Assumptions!$C$6),1,0)</f>
        <v/>
      </c>
      <c r="V1036">
        <f>IF(U1036=1,IF(M1036&gt;0,IF(P1036&lt;=G1036+Assumptions!$C$7,1,0),0),0)</f>
        <v/>
      </c>
      <c r="W1036">
        <f>IF(AND(U1036=1,M1036&gt;=H1036*(1-Assumptions!$C$8)),1,0)</f>
        <v/>
      </c>
      <c r="X1036">
        <f>IF(AND(U1036=1,N1036&gt;=H1036*(1-Assumptions!$C$8)),1,0)</f>
        <v/>
      </c>
      <c r="Y1036">
        <f>IF(ISNUMBER(Q1036),1,0)</f>
        <v/>
      </c>
      <c r="Z1036">
        <f>IF(AND(K1036=0,L1036=0,Y1036=0),1,0)</f>
        <v/>
      </c>
      <c r="AA1036">
        <f>IF(AND(Z1036=1,G1036&lt;Assumptions!$C$6),1,0)</f>
        <v/>
      </c>
      <c r="AB1036">
        <f>IF(U1036=0,"",IF(Y1036=1,MAX(0,Q1036-G1036),IF(L1036=1,MAX(0,R1036-G1036),MAX(0,Assumptions!$C$6-G1036))))</f>
        <v/>
      </c>
      <c r="AC1036">
        <f>IF(Y1036=1,Q1036-F1036,"")</f>
        <v/>
      </c>
      <c r="AD1036">
        <f>IF(Y1036=1,AC1036^2,"")</f>
        <v/>
      </c>
      <c r="AE1036" s="19">
        <f>IF(Z1036=1,(H1036-M1036)*I1036,0)</f>
        <v/>
      </c>
      <c r="AF1036">
        <f>IF(G1036&lt;EDATE(Assumptions!$C$6,-12)+1,"prior_12m","last_12m")</f>
        <v/>
      </c>
      <c r="AG1036" s="21">
        <f>DATE(YEAR(G1036),MONTH(G1036),1)</f>
        <v/>
      </c>
    </row>
    <row r="1037">
      <c r="A1037" t="inlineStr">
        <is>
          <t>SPO-00569-1</t>
        </is>
      </c>
      <c r="B1037" t="inlineStr">
        <is>
          <t>SPO-00569</t>
        </is>
      </c>
      <c r="C1037" t="inlineStr">
        <is>
          <t>SUP-14</t>
        </is>
      </c>
      <c r="D1037" t="inlineStr">
        <is>
          <t>FLEET</t>
        </is>
      </c>
      <c r="E1037" t="inlineStr">
        <is>
          <t>FLEET-01</t>
        </is>
      </c>
      <c r="F1037" s="17" t="n">
        <v>45714</v>
      </c>
      <c r="G1037" s="17" t="n">
        <v>45728</v>
      </c>
      <c r="H1037" s="18" t="n">
        <v>31</v>
      </c>
      <c r="I1037" s="19" t="n">
        <v>63.2</v>
      </c>
      <c r="J1037" s="19" t="n">
        <v>64</v>
      </c>
      <c r="K1037" s="20" t="n">
        <v>0</v>
      </c>
      <c r="L1037" s="20" t="n">
        <v>0</v>
      </c>
      <c r="M1037" s="18" t="n">
        <v>31</v>
      </c>
      <c r="N1037" s="18" t="n">
        <v>31</v>
      </c>
      <c r="O1037" s="18" t="n">
        <v>0</v>
      </c>
      <c r="P1037" s="17" t="n">
        <v>45721</v>
      </c>
      <c r="Q1037" s="17" t="n">
        <v>45721</v>
      </c>
      <c r="R1037" s="17" t="n">
        <v>45721</v>
      </c>
      <c r="S1037" s="19">
        <f>H1037*I1037</f>
        <v/>
      </c>
      <c r="T1037" s="19">
        <f>H1037*J1037</f>
        <v/>
      </c>
      <c r="U1037">
        <f>IF(AND(K1037=0,G1037&lt;=Assumptions!$C$6),1,0)</f>
        <v/>
      </c>
      <c r="V1037">
        <f>IF(U1037=1,IF(M1037&gt;0,IF(P1037&lt;=G1037+Assumptions!$C$7,1,0),0),0)</f>
        <v/>
      </c>
      <c r="W1037">
        <f>IF(AND(U1037=1,M1037&gt;=H1037*(1-Assumptions!$C$8)),1,0)</f>
        <v/>
      </c>
      <c r="X1037">
        <f>IF(AND(U1037=1,N1037&gt;=H1037*(1-Assumptions!$C$8)),1,0)</f>
        <v/>
      </c>
      <c r="Y1037">
        <f>IF(ISNUMBER(Q1037),1,0)</f>
        <v/>
      </c>
      <c r="Z1037">
        <f>IF(AND(K1037=0,L1037=0,Y1037=0),1,0)</f>
        <v/>
      </c>
      <c r="AA1037">
        <f>IF(AND(Z1037=1,G1037&lt;Assumptions!$C$6),1,0)</f>
        <v/>
      </c>
      <c r="AB1037">
        <f>IF(U1037=0,"",IF(Y1037=1,MAX(0,Q1037-G1037),IF(L1037=1,MAX(0,R1037-G1037),MAX(0,Assumptions!$C$6-G1037))))</f>
        <v/>
      </c>
      <c r="AC1037">
        <f>IF(Y1037=1,Q1037-F1037,"")</f>
        <v/>
      </c>
      <c r="AD1037">
        <f>IF(Y1037=1,AC1037^2,"")</f>
        <v/>
      </c>
      <c r="AE1037" s="19">
        <f>IF(Z1037=1,(H1037-M1037)*I1037,0)</f>
        <v/>
      </c>
      <c r="AF1037">
        <f>IF(G1037&lt;EDATE(Assumptions!$C$6,-12)+1,"prior_12m","last_12m")</f>
        <v/>
      </c>
      <c r="AG1037" s="21">
        <f>DATE(YEAR(G1037),MONTH(G1037),1)</f>
        <v/>
      </c>
    </row>
    <row r="1038">
      <c r="A1038" t="inlineStr">
        <is>
          <t>SPO-00569-2</t>
        </is>
      </c>
      <c r="B1038" t="inlineStr">
        <is>
          <t>SPO-00569</t>
        </is>
      </c>
      <c r="C1038" t="inlineStr">
        <is>
          <t>SUP-14</t>
        </is>
      </c>
      <c r="D1038" t="inlineStr">
        <is>
          <t>FLEET</t>
        </is>
      </c>
      <c r="E1038" t="inlineStr">
        <is>
          <t>FLEET-02</t>
        </is>
      </c>
      <c r="F1038" s="17" t="n">
        <v>45714</v>
      </c>
      <c r="G1038" s="17" t="n">
        <v>45728</v>
      </c>
      <c r="H1038" s="18" t="n">
        <v>388</v>
      </c>
      <c r="I1038" s="19" t="n">
        <v>7.39</v>
      </c>
      <c r="J1038" s="19" t="n">
        <v>7.5</v>
      </c>
      <c r="K1038" s="20" t="n">
        <v>0</v>
      </c>
      <c r="L1038" s="20" t="n">
        <v>0</v>
      </c>
      <c r="M1038" s="18" t="n">
        <v>388</v>
      </c>
      <c r="N1038" s="18" t="n">
        <v>0</v>
      </c>
      <c r="O1038" s="18" t="n">
        <v>55</v>
      </c>
      <c r="P1038" s="17" t="n">
        <v>45729</v>
      </c>
      <c r="Q1038" s="17" t="n">
        <v>45729</v>
      </c>
      <c r="R1038" s="17" t="n">
        <v>45729</v>
      </c>
      <c r="S1038" s="19">
        <f>H1038*I1038</f>
        <v/>
      </c>
      <c r="T1038" s="19">
        <f>H1038*J1038</f>
        <v/>
      </c>
      <c r="U1038">
        <f>IF(AND(K1038=0,G1038&lt;=Assumptions!$C$6),1,0)</f>
        <v/>
      </c>
      <c r="V1038">
        <f>IF(U1038=1,IF(M1038&gt;0,IF(P1038&lt;=G1038+Assumptions!$C$7,1,0),0),0)</f>
        <v/>
      </c>
      <c r="W1038">
        <f>IF(AND(U1038=1,M1038&gt;=H1038*(1-Assumptions!$C$8)),1,0)</f>
        <v/>
      </c>
      <c r="X1038">
        <f>IF(AND(U1038=1,N1038&gt;=H1038*(1-Assumptions!$C$8)),1,0)</f>
        <v/>
      </c>
      <c r="Y1038">
        <f>IF(ISNUMBER(Q1038),1,0)</f>
        <v/>
      </c>
      <c r="Z1038">
        <f>IF(AND(K1038=0,L1038=0,Y1038=0),1,0)</f>
        <v/>
      </c>
      <c r="AA1038">
        <f>IF(AND(Z1038=1,G1038&lt;Assumptions!$C$6),1,0)</f>
        <v/>
      </c>
      <c r="AB1038">
        <f>IF(U1038=0,"",IF(Y1038=1,MAX(0,Q1038-G1038),IF(L1038=1,MAX(0,R1038-G1038),MAX(0,Assumptions!$C$6-G1038))))</f>
        <v/>
      </c>
      <c r="AC1038">
        <f>IF(Y1038=1,Q1038-F1038,"")</f>
        <v/>
      </c>
      <c r="AD1038">
        <f>IF(Y1038=1,AC1038^2,"")</f>
        <v/>
      </c>
      <c r="AE1038" s="19">
        <f>IF(Z1038=1,(H1038-M1038)*I1038,0)</f>
        <v/>
      </c>
      <c r="AF1038">
        <f>IF(G1038&lt;EDATE(Assumptions!$C$6,-12)+1,"prior_12m","last_12m")</f>
        <v/>
      </c>
      <c r="AG1038" s="21">
        <f>DATE(YEAR(G1038),MONTH(G1038),1)</f>
        <v/>
      </c>
    </row>
    <row r="1039">
      <c r="A1039" t="inlineStr">
        <is>
          <t>SPO-00570-1</t>
        </is>
      </c>
      <c r="B1039" t="inlineStr">
        <is>
          <t>SPO-00570</t>
        </is>
      </c>
      <c r="C1039" t="inlineStr">
        <is>
          <t>SUP-04</t>
        </is>
      </c>
      <c r="D1039" t="inlineStr">
        <is>
          <t>FLEET</t>
        </is>
      </c>
      <c r="E1039" t="inlineStr">
        <is>
          <t>FLEET-02</t>
        </is>
      </c>
      <c r="F1039" s="17" t="n">
        <v>45714</v>
      </c>
      <c r="G1039" s="17" t="n">
        <v>45727</v>
      </c>
      <c r="H1039" s="18" t="n">
        <v>365</v>
      </c>
      <c r="I1039" s="19" t="n">
        <v>7.31</v>
      </c>
      <c r="J1039" s="19" t="n">
        <v>7.5</v>
      </c>
      <c r="K1039" s="20" t="n">
        <v>0</v>
      </c>
      <c r="L1039" s="20" t="n">
        <v>0</v>
      </c>
      <c r="M1039" s="18" t="n">
        <v>365</v>
      </c>
      <c r="N1039" s="18" t="n">
        <v>365</v>
      </c>
      <c r="O1039" s="18" t="n">
        <v>47</v>
      </c>
      <c r="P1039" s="17" t="n">
        <v>45720</v>
      </c>
      <c r="Q1039" s="17" t="n">
        <v>45720</v>
      </c>
      <c r="R1039" s="17" t="n">
        <v>45720</v>
      </c>
      <c r="S1039" s="19">
        <f>H1039*I1039</f>
        <v/>
      </c>
      <c r="T1039" s="19">
        <f>H1039*J1039</f>
        <v/>
      </c>
      <c r="U1039">
        <f>IF(AND(K1039=0,G1039&lt;=Assumptions!$C$6),1,0)</f>
        <v/>
      </c>
      <c r="V1039">
        <f>IF(U1039=1,IF(M1039&gt;0,IF(P1039&lt;=G1039+Assumptions!$C$7,1,0),0),0)</f>
        <v/>
      </c>
      <c r="W1039">
        <f>IF(AND(U1039=1,M1039&gt;=H1039*(1-Assumptions!$C$8)),1,0)</f>
        <v/>
      </c>
      <c r="X1039">
        <f>IF(AND(U1039=1,N1039&gt;=H1039*(1-Assumptions!$C$8)),1,0)</f>
        <v/>
      </c>
      <c r="Y1039">
        <f>IF(ISNUMBER(Q1039),1,0)</f>
        <v/>
      </c>
      <c r="Z1039">
        <f>IF(AND(K1039=0,L1039=0,Y1039=0),1,0)</f>
        <v/>
      </c>
      <c r="AA1039">
        <f>IF(AND(Z1039=1,G1039&lt;Assumptions!$C$6),1,0)</f>
        <v/>
      </c>
      <c r="AB1039">
        <f>IF(U1039=0,"",IF(Y1039=1,MAX(0,Q1039-G1039),IF(L1039=1,MAX(0,R1039-G1039),MAX(0,Assumptions!$C$6-G1039))))</f>
        <v/>
      </c>
      <c r="AC1039">
        <f>IF(Y1039=1,Q1039-F1039,"")</f>
        <v/>
      </c>
      <c r="AD1039">
        <f>IF(Y1039=1,AC1039^2,"")</f>
        <v/>
      </c>
      <c r="AE1039" s="19">
        <f>IF(Z1039=1,(H1039-M1039)*I1039,0)</f>
        <v/>
      </c>
      <c r="AF1039">
        <f>IF(G1039&lt;EDATE(Assumptions!$C$6,-12)+1,"prior_12m","last_12m")</f>
        <v/>
      </c>
      <c r="AG1039" s="21">
        <f>DATE(YEAR(G1039),MONTH(G1039),1)</f>
        <v/>
      </c>
    </row>
    <row r="1040">
      <c r="A1040" t="inlineStr">
        <is>
          <t>SPO-00570-2</t>
        </is>
      </c>
      <c r="B1040" t="inlineStr">
        <is>
          <t>SPO-00570</t>
        </is>
      </c>
      <c r="C1040" t="inlineStr">
        <is>
          <t>SUP-04</t>
        </is>
      </c>
      <c r="D1040" t="inlineStr">
        <is>
          <t>FLEET</t>
        </is>
      </c>
      <c r="E1040" t="inlineStr">
        <is>
          <t>FLEET-04</t>
        </is>
      </c>
      <c r="F1040" s="17" t="n">
        <v>45714</v>
      </c>
      <c r="G1040" s="17" t="n">
        <v>45727</v>
      </c>
      <c r="H1040" s="18" t="n">
        <v>36</v>
      </c>
      <c r="I1040" s="19" t="n">
        <v>9.130000000000001</v>
      </c>
      <c r="J1040" s="19" t="n">
        <v>9</v>
      </c>
      <c r="K1040" s="20" t="n">
        <v>0</v>
      </c>
      <c r="L1040" s="20" t="n">
        <v>0</v>
      </c>
      <c r="M1040" s="18" t="n">
        <v>36</v>
      </c>
      <c r="N1040" s="18" t="n">
        <v>36</v>
      </c>
      <c r="O1040" s="18" t="n">
        <v>0</v>
      </c>
      <c r="P1040" s="17" t="n">
        <v>45716</v>
      </c>
      <c r="Q1040" s="17" t="n">
        <v>45716</v>
      </c>
      <c r="R1040" s="17" t="n">
        <v>45716</v>
      </c>
      <c r="S1040" s="19">
        <f>H1040*I1040</f>
        <v/>
      </c>
      <c r="T1040" s="19">
        <f>H1040*J1040</f>
        <v/>
      </c>
      <c r="U1040">
        <f>IF(AND(K1040=0,G1040&lt;=Assumptions!$C$6),1,0)</f>
        <v/>
      </c>
      <c r="V1040">
        <f>IF(U1040=1,IF(M1040&gt;0,IF(P1040&lt;=G1040+Assumptions!$C$7,1,0),0),0)</f>
        <v/>
      </c>
      <c r="W1040">
        <f>IF(AND(U1040=1,M1040&gt;=H1040*(1-Assumptions!$C$8)),1,0)</f>
        <v/>
      </c>
      <c r="X1040">
        <f>IF(AND(U1040=1,N1040&gt;=H1040*(1-Assumptions!$C$8)),1,0)</f>
        <v/>
      </c>
      <c r="Y1040">
        <f>IF(ISNUMBER(Q1040),1,0)</f>
        <v/>
      </c>
      <c r="Z1040">
        <f>IF(AND(K1040=0,L1040=0,Y1040=0),1,0)</f>
        <v/>
      </c>
      <c r="AA1040">
        <f>IF(AND(Z1040=1,G1040&lt;Assumptions!$C$6),1,0)</f>
        <v/>
      </c>
      <c r="AB1040">
        <f>IF(U1040=0,"",IF(Y1040=1,MAX(0,Q1040-G1040),IF(L1040=1,MAX(0,R1040-G1040),MAX(0,Assumptions!$C$6-G1040))))</f>
        <v/>
      </c>
      <c r="AC1040">
        <f>IF(Y1040=1,Q1040-F1040,"")</f>
        <v/>
      </c>
      <c r="AD1040">
        <f>IF(Y1040=1,AC1040^2,"")</f>
        <v/>
      </c>
      <c r="AE1040" s="19">
        <f>IF(Z1040=1,(H1040-M1040)*I1040,0)</f>
        <v/>
      </c>
      <c r="AF1040">
        <f>IF(G1040&lt;EDATE(Assumptions!$C$6,-12)+1,"prior_12m","last_12m")</f>
        <v/>
      </c>
      <c r="AG1040" s="21">
        <f>DATE(YEAR(G1040),MONTH(G1040),1)</f>
        <v/>
      </c>
    </row>
    <row r="1041">
      <c r="A1041" t="inlineStr">
        <is>
          <t>SPO-00570-3</t>
        </is>
      </c>
      <c r="B1041" t="inlineStr">
        <is>
          <t>SPO-00570</t>
        </is>
      </c>
      <c r="C1041" t="inlineStr">
        <is>
          <t>SUP-04</t>
        </is>
      </c>
      <c r="D1041" t="inlineStr">
        <is>
          <t>FLEET</t>
        </is>
      </c>
      <c r="E1041" t="inlineStr">
        <is>
          <t>FLEET-05</t>
        </is>
      </c>
      <c r="F1041" s="17" t="n">
        <v>45714</v>
      </c>
      <c r="G1041" s="17" t="n">
        <v>45727</v>
      </c>
      <c r="H1041" s="18" t="n">
        <v>6</v>
      </c>
      <c r="I1041" s="19" t="n">
        <v>165.67</v>
      </c>
      <c r="J1041" s="19" t="n">
        <v>168</v>
      </c>
      <c r="K1041" s="20" t="n">
        <v>0</v>
      </c>
      <c r="L1041" s="20" t="n">
        <v>1</v>
      </c>
      <c r="M1041" s="18" t="n">
        <v>3</v>
      </c>
      <c r="N1041" s="18" t="n">
        <v>3</v>
      </c>
      <c r="O1041" s="18" t="n">
        <v>0</v>
      </c>
      <c r="P1041" s="17" t="n">
        <v>45717</v>
      </c>
      <c r="Q1041" s="17" t="n"/>
      <c r="R1041" s="17" t="n">
        <v>45717</v>
      </c>
      <c r="S1041" s="19">
        <f>H1041*I1041</f>
        <v/>
      </c>
      <c r="T1041" s="19">
        <f>H1041*J1041</f>
        <v/>
      </c>
      <c r="U1041">
        <f>IF(AND(K1041=0,G1041&lt;=Assumptions!$C$6),1,0)</f>
        <v/>
      </c>
      <c r="V1041">
        <f>IF(U1041=1,IF(M1041&gt;0,IF(P1041&lt;=G1041+Assumptions!$C$7,1,0),0),0)</f>
        <v/>
      </c>
      <c r="W1041">
        <f>IF(AND(U1041=1,M1041&gt;=H1041*(1-Assumptions!$C$8)),1,0)</f>
        <v/>
      </c>
      <c r="X1041">
        <f>IF(AND(U1041=1,N1041&gt;=H1041*(1-Assumptions!$C$8)),1,0)</f>
        <v/>
      </c>
      <c r="Y1041">
        <f>IF(ISNUMBER(Q1041),1,0)</f>
        <v/>
      </c>
      <c r="Z1041">
        <f>IF(AND(K1041=0,L1041=0,Y1041=0),1,0)</f>
        <v/>
      </c>
      <c r="AA1041">
        <f>IF(AND(Z1041=1,G1041&lt;Assumptions!$C$6),1,0)</f>
        <v/>
      </c>
      <c r="AB1041">
        <f>IF(U1041=0,"",IF(Y1041=1,MAX(0,Q1041-G1041),IF(L1041=1,MAX(0,R1041-G1041),MAX(0,Assumptions!$C$6-G1041))))</f>
        <v/>
      </c>
      <c r="AC1041">
        <f>IF(Y1041=1,Q1041-F1041,"")</f>
        <v/>
      </c>
      <c r="AD1041">
        <f>IF(Y1041=1,AC1041^2,"")</f>
        <v/>
      </c>
      <c r="AE1041" s="19">
        <f>IF(Z1041=1,(H1041-M1041)*I1041,0)</f>
        <v/>
      </c>
      <c r="AF1041">
        <f>IF(G1041&lt;EDATE(Assumptions!$C$6,-12)+1,"prior_12m","last_12m")</f>
        <v/>
      </c>
      <c r="AG1041" s="21">
        <f>DATE(YEAR(G1041),MONTH(G1041),1)</f>
        <v/>
      </c>
    </row>
    <row r="1042">
      <c r="A1042" t="inlineStr">
        <is>
          <t>SPO-00571-1</t>
        </is>
      </c>
      <c r="B1042" t="inlineStr">
        <is>
          <t>SPO-00571</t>
        </is>
      </c>
      <c r="C1042" t="inlineStr">
        <is>
          <t>SUP-12</t>
        </is>
      </c>
      <c r="D1042" t="inlineStr">
        <is>
          <t>IT</t>
        </is>
      </c>
      <c r="E1042" t="inlineStr">
        <is>
          <t>IT-04</t>
        </is>
      </c>
      <c r="F1042" s="17" t="n">
        <v>45714</v>
      </c>
      <c r="G1042" s="17" t="n">
        <v>45724</v>
      </c>
      <c r="H1042" s="18" t="n">
        <v>181</v>
      </c>
      <c r="I1042" s="19" t="n">
        <v>14.13</v>
      </c>
      <c r="J1042" s="19" t="n">
        <v>12</v>
      </c>
      <c r="K1042" s="20" t="n">
        <v>0</v>
      </c>
      <c r="L1042" s="20" t="n">
        <v>0</v>
      </c>
      <c r="M1042" s="18" t="n">
        <v>181</v>
      </c>
      <c r="N1042" s="18" t="n">
        <v>181</v>
      </c>
      <c r="O1042" s="18" t="n">
        <v>0</v>
      </c>
      <c r="P1042" s="17" t="n">
        <v>45717</v>
      </c>
      <c r="Q1042" s="17" t="n">
        <v>45717</v>
      </c>
      <c r="R1042" s="17" t="n">
        <v>45717</v>
      </c>
      <c r="S1042" s="19">
        <f>H1042*I1042</f>
        <v/>
      </c>
      <c r="T1042" s="19">
        <f>H1042*J1042</f>
        <v/>
      </c>
      <c r="U1042">
        <f>IF(AND(K1042=0,G1042&lt;=Assumptions!$C$6),1,0)</f>
        <v/>
      </c>
      <c r="V1042">
        <f>IF(U1042=1,IF(M1042&gt;0,IF(P1042&lt;=G1042+Assumptions!$C$7,1,0),0),0)</f>
        <v/>
      </c>
      <c r="W1042">
        <f>IF(AND(U1042=1,M1042&gt;=H1042*(1-Assumptions!$C$8)),1,0)</f>
        <v/>
      </c>
      <c r="X1042">
        <f>IF(AND(U1042=1,N1042&gt;=H1042*(1-Assumptions!$C$8)),1,0)</f>
        <v/>
      </c>
      <c r="Y1042">
        <f>IF(ISNUMBER(Q1042),1,0)</f>
        <v/>
      </c>
      <c r="Z1042">
        <f>IF(AND(K1042=0,L1042=0,Y1042=0),1,0)</f>
        <v/>
      </c>
      <c r="AA1042">
        <f>IF(AND(Z1042=1,G1042&lt;Assumptions!$C$6),1,0)</f>
        <v/>
      </c>
      <c r="AB1042">
        <f>IF(U1042=0,"",IF(Y1042=1,MAX(0,Q1042-G1042),IF(L1042=1,MAX(0,R1042-G1042),MAX(0,Assumptions!$C$6-G1042))))</f>
        <v/>
      </c>
      <c r="AC1042">
        <f>IF(Y1042=1,Q1042-F1042,"")</f>
        <v/>
      </c>
      <c r="AD1042">
        <f>IF(Y1042=1,AC1042^2,"")</f>
        <v/>
      </c>
      <c r="AE1042" s="19">
        <f>IF(Z1042=1,(H1042-M1042)*I1042,0)</f>
        <v/>
      </c>
      <c r="AF1042">
        <f>IF(G1042&lt;EDATE(Assumptions!$C$6,-12)+1,"prior_12m","last_12m")</f>
        <v/>
      </c>
      <c r="AG1042" s="21">
        <f>DATE(YEAR(G1042),MONTH(G1042),1)</f>
        <v/>
      </c>
    </row>
    <row r="1043">
      <c r="A1043" t="inlineStr">
        <is>
          <t>SPO-00571-2</t>
        </is>
      </c>
      <c r="B1043" t="inlineStr">
        <is>
          <t>SPO-00571</t>
        </is>
      </c>
      <c r="C1043" t="inlineStr">
        <is>
          <t>SUP-12</t>
        </is>
      </c>
      <c r="D1043" t="inlineStr">
        <is>
          <t>IT</t>
        </is>
      </c>
      <c r="E1043" t="inlineStr">
        <is>
          <t>IT-02</t>
        </is>
      </c>
      <c r="F1043" s="17" t="n">
        <v>45714</v>
      </c>
      <c r="G1043" s="17" t="n">
        <v>45724</v>
      </c>
      <c r="H1043" s="18" t="n">
        <v>38</v>
      </c>
      <c r="I1043" s="19" t="n">
        <v>181.12</v>
      </c>
      <c r="J1043" s="19" t="n">
        <v>162</v>
      </c>
      <c r="K1043" s="20" t="n">
        <v>0</v>
      </c>
      <c r="L1043" s="20" t="n">
        <v>0</v>
      </c>
      <c r="M1043" s="18" t="n">
        <v>38</v>
      </c>
      <c r="N1043" s="18" t="n">
        <v>38</v>
      </c>
      <c r="O1043" s="18" t="n">
        <v>0</v>
      </c>
      <c r="P1043" s="17" t="n">
        <v>45721</v>
      </c>
      <c r="Q1043" s="17" t="n">
        <v>45721</v>
      </c>
      <c r="R1043" s="17" t="n">
        <v>45721</v>
      </c>
      <c r="S1043" s="19">
        <f>H1043*I1043</f>
        <v/>
      </c>
      <c r="T1043" s="19">
        <f>H1043*J1043</f>
        <v/>
      </c>
      <c r="U1043">
        <f>IF(AND(K1043=0,G1043&lt;=Assumptions!$C$6),1,0)</f>
        <v/>
      </c>
      <c r="V1043">
        <f>IF(U1043=1,IF(M1043&gt;0,IF(P1043&lt;=G1043+Assumptions!$C$7,1,0),0),0)</f>
        <v/>
      </c>
      <c r="W1043">
        <f>IF(AND(U1043=1,M1043&gt;=H1043*(1-Assumptions!$C$8)),1,0)</f>
        <v/>
      </c>
      <c r="X1043">
        <f>IF(AND(U1043=1,N1043&gt;=H1043*(1-Assumptions!$C$8)),1,0)</f>
        <v/>
      </c>
      <c r="Y1043">
        <f>IF(ISNUMBER(Q1043),1,0)</f>
        <v/>
      </c>
      <c r="Z1043">
        <f>IF(AND(K1043=0,L1043=0,Y1043=0),1,0)</f>
        <v/>
      </c>
      <c r="AA1043">
        <f>IF(AND(Z1043=1,G1043&lt;Assumptions!$C$6),1,0)</f>
        <v/>
      </c>
      <c r="AB1043">
        <f>IF(U1043=0,"",IF(Y1043=1,MAX(0,Q1043-G1043),IF(L1043=1,MAX(0,R1043-G1043),MAX(0,Assumptions!$C$6-G1043))))</f>
        <v/>
      </c>
      <c r="AC1043">
        <f>IF(Y1043=1,Q1043-F1043,"")</f>
        <v/>
      </c>
      <c r="AD1043">
        <f>IF(Y1043=1,AC1043^2,"")</f>
        <v/>
      </c>
      <c r="AE1043" s="19">
        <f>IF(Z1043=1,(H1043-M1043)*I1043,0)</f>
        <v/>
      </c>
      <c r="AF1043">
        <f>IF(G1043&lt;EDATE(Assumptions!$C$6,-12)+1,"prior_12m","last_12m")</f>
        <v/>
      </c>
      <c r="AG1043" s="21">
        <f>DATE(YEAR(G1043),MONTH(G1043),1)</f>
        <v/>
      </c>
    </row>
    <row r="1044">
      <c r="A1044" t="inlineStr">
        <is>
          <t>SPO-00571-3</t>
        </is>
      </c>
      <c r="B1044" t="inlineStr">
        <is>
          <t>SPO-00571</t>
        </is>
      </c>
      <c r="C1044" t="inlineStr">
        <is>
          <t>SUP-12</t>
        </is>
      </c>
      <c r="D1044" t="inlineStr">
        <is>
          <t>IT</t>
        </is>
      </c>
      <c r="E1044" t="inlineStr">
        <is>
          <t>IT-03</t>
        </is>
      </c>
      <c r="F1044" s="17" t="n">
        <v>45714</v>
      </c>
      <c r="G1044" s="17" t="n">
        <v>45724</v>
      </c>
      <c r="H1044" s="18" t="n">
        <v>23</v>
      </c>
      <c r="I1044" s="19" t="n">
        <v>41.33</v>
      </c>
      <c r="J1044" s="19" t="n">
        <v>38</v>
      </c>
      <c r="K1044" s="20" t="n">
        <v>0</v>
      </c>
      <c r="L1044" s="20" t="n">
        <v>0</v>
      </c>
      <c r="M1044" s="18" t="n">
        <v>23</v>
      </c>
      <c r="N1044" s="18" t="n">
        <v>23</v>
      </c>
      <c r="O1044" s="18" t="n">
        <v>0</v>
      </c>
      <c r="P1044" s="17" t="n">
        <v>45721</v>
      </c>
      <c r="Q1044" s="17" t="n">
        <v>45721</v>
      </c>
      <c r="R1044" s="17" t="n">
        <v>45721</v>
      </c>
      <c r="S1044" s="19">
        <f>H1044*I1044</f>
        <v/>
      </c>
      <c r="T1044" s="19">
        <f>H1044*J1044</f>
        <v/>
      </c>
      <c r="U1044">
        <f>IF(AND(K1044=0,G1044&lt;=Assumptions!$C$6),1,0)</f>
        <v/>
      </c>
      <c r="V1044">
        <f>IF(U1044=1,IF(M1044&gt;0,IF(P1044&lt;=G1044+Assumptions!$C$7,1,0),0),0)</f>
        <v/>
      </c>
      <c r="W1044">
        <f>IF(AND(U1044=1,M1044&gt;=H1044*(1-Assumptions!$C$8)),1,0)</f>
        <v/>
      </c>
      <c r="X1044">
        <f>IF(AND(U1044=1,N1044&gt;=H1044*(1-Assumptions!$C$8)),1,0)</f>
        <v/>
      </c>
      <c r="Y1044">
        <f>IF(ISNUMBER(Q1044),1,0)</f>
        <v/>
      </c>
      <c r="Z1044">
        <f>IF(AND(K1044=0,L1044=0,Y1044=0),1,0)</f>
        <v/>
      </c>
      <c r="AA1044">
        <f>IF(AND(Z1044=1,G1044&lt;Assumptions!$C$6),1,0)</f>
        <v/>
      </c>
      <c r="AB1044">
        <f>IF(U1044=0,"",IF(Y1044=1,MAX(0,Q1044-G1044),IF(L1044=1,MAX(0,R1044-G1044),MAX(0,Assumptions!$C$6-G1044))))</f>
        <v/>
      </c>
      <c r="AC1044">
        <f>IF(Y1044=1,Q1044-F1044,"")</f>
        <v/>
      </c>
      <c r="AD1044">
        <f>IF(Y1044=1,AC1044^2,"")</f>
        <v/>
      </c>
      <c r="AE1044" s="19">
        <f>IF(Z1044=1,(H1044-M1044)*I1044,0)</f>
        <v/>
      </c>
      <c r="AF1044">
        <f>IF(G1044&lt;EDATE(Assumptions!$C$6,-12)+1,"prior_12m","last_12m")</f>
        <v/>
      </c>
      <c r="AG1044" s="21">
        <f>DATE(YEAR(G1044),MONTH(G1044),1)</f>
        <v/>
      </c>
    </row>
    <row r="1045">
      <c r="A1045" t="inlineStr">
        <is>
          <t>SPO-00571-4</t>
        </is>
      </c>
      <c r="B1045" t="inlineStr">
        <is>
          <t>SPO-00571</t>
        </is>
      </c>
      <c r="C1045" t="inlineStr">
        <is>
          <t>SUP-12</t>
        </is>
      </c>
      <c r="D1045" t="inlineStr">
        <is>
          <t>IT</t>
        </is>
      </c>
      <c r="E1045" t="inlineStr">
        <is>
          <t>IT-08</t>
        </is>
      </c>
      <c r="F1045" s="17" t="n">
        <v>45714</v>
      </c>
      <c r="G1045" s="17" t="n">
        <v>45724</v>
      </c>
      <c r="H1045" s="18" t="n">
        <v>17</v>
      </c>
      <c r="I1045" s="19" t="n">
        <v>285.33</v>
      </c>
      <c r="J1045" s="19" t="n">
        <v>245</v>
      </c>
      <c r="K1045" s="20" t="n">
        <v>0</v>
      </c>
      <c r="L1045" s="20" t="n">
        <v>0</v>
      </c>
      <c r="M1045" s="18" t="n">
        <v>17</v>
      </c>
      <c r="N1045" s="18" t="n">
        <v>17</v>
      </c>
      <c r="O1045" s="18" t="n">
        <v>0</v>
      </c>
      <c r="P1045" s="17" t="n">
        <v>45718</v>
      </c>
      <c r="Q1045" s="17" t="n">
        <v>45718</v>
      </c>
      <c r="R1045" s="17" t="n">
        <v>45718</v>
      </c>
      <c r="S1045" s="19">
        <f>H1045*I1045</f>
        <v/>
      </c>
      <c r="T1045" s="19">
        <f>H1045*J1045</f>
        <v/>
      </c>
      <c r="U1045">
        <f>IF(AND(K1045=0,G1045&lt;=Assumptions!$C$6),1,0)</f>
        <v/>
      </c>
      <c r="V1045">
        <f>IF(U1045=1,IF(M1045&gt;0,IF(P1045&lt;=G1045+Assumptions!$C$7,1,0),0),0)</f>
        <v/>
      </c>
      <c r="W1045">
        <f>IF(AND(U1045=1,M1045&gt;=H1045*(1-Assumptions!$C$8)),1,0)</f>
        <v/>
      </c>
      <c r="X1045">
        <f>IF(AND(U1045=1,N1045&gt;=H1045*(1-Assumptions!$C$8)),1,0)</f>
        <v/>
      </c>
      <c r="Y1045">
        <f>IF(ISNUMBER(Q1045),1,0)</f>
        <v/>
      </c>
      <c r="Z1045">
        <f>IF(AND(K1045=0,L1045=0,Y1045=0),1,0)</f>
        <v/>
      </c>
      <c r="AA1045">
        <f>IF(AND(Z1045=1,G1045&lt;Assumptions!$C$6),1,0)</f>
        <v/>
      </c>
      <c r="AB1045">
        <f>IF(U1045=0,"",IF(Y1045=1,MAX(0,Q1045-G1045),IF(L1045=1,MAX(0,R1045-G1045),MAX(0,Assumptions!$C$6-G1045))))</f>
        <v/>
      </c>
      <c r="AC1045">
        <f>IF(Y1045=1,Q1045-F1045,"")</f>
        <v/>
      </c>
      <c r="AD1045">
        <f>IF(Y1045=1,AC1045^2,"")</f>
        <v/>
      </c>
      <c r="AE1045" s="19">
        <f>IF(Z1045=1,(H1045-M1045)*I1045,0)</f>
        <v/>
      </c>
      <c r="AF1045">
        <f>IF(G1045&lt;EDATE(Assumptions!$C$6,-12)+1,"prior_12m","last_12m")</f>
        <v/>
      </c>
      <c r="AG1045" s="21">
        <f>DATE(YEAR(G1045),MONTH(G1045),1)</f>
        <v/>
      </c>
    </row>
    <row r="1046">
      <c r="A1046" t="inlineStr">
        <is>
          <t>SPO-00572-1</t>
        </is>
      </c>
      <c r="B1046" t="inlineStr">
        <is>
          <t>SPO-00572</t>
        </is>
      </c>
      <c r="C1046" t="inlineStr">
        <is>
          <t>SUP-01</t>
        </is>
      </c>
      <c r="D1046" t="inlineStr">
        <is>
          <t>ELEC</t>
        </is>
      </c>
      <c r="E1046" t="inlineStr">
        <is>
          <t>ELEC-07</t>
        </is>
      </c>
      <c r="F1046" s="17" t="n">
        <v>45715</v>
      </c>
      <c r="G1046" s="17" t="n">
        <v>45733</v>
      </c>
      <c r="H1046" s="18" t="n">
        <v>305</v>
      </c>
      <c r="I1046" s="19" t="n">
        <v>10.17</v>
      </c>
      <c r="J1046" s="19" t="n">
        <v>9.800000000000001</v>
      </c>
      <c r="K1046" s="20" t="n">
        <v>0</v>
      </c>
      <c r="L1046" s="20" t="n">
        <v>0</v>
      </c>
      <c r="M1046" s="18" t="n">
        <v>305</v>
      </c>
      <c r="N1046" s="18" t="n">
        <v>305</v>
      </c>
      <c r="O1046" s="18" t="n">
        <v>0</v>
      </c>
      <c r="P1046" s="17" t="n">
        <v>45730</v>
      </c>
      <c r="Q1046" s="17" t="n">
        <v>45730</v>
      </c>
      <c r="R1046" s="17" t="n">
        <v>45730</v>
      </c>
      <c r="S1046" s="19">
        <f>H1046*I1046</f>
        <v/>
      </c>
      <c r="T1046" s="19">
        <f>H1046*J1046</f>
        <v/>
      </c>
      <c r="U1046">
        <f>IF(AND(K1046=0,G1046&lt;=Assumptions!$C$6),1,0)</f>
        <v/>
      </c>
      <c r="V1046">
        <f>IF(U1046=1,IF(M1046&gt;0,IF(P1046&lt;=G1046+Assumptions!$C$7,1,0),0),0)</f>
        <v/>
      </c>
      <c r="W1046">
        <f>IF(AND(U1046=1,M1046&gt;=H1046*(1-Assumptions!$C$8)),1,0)</f>
        <v/>
      </c>
      <c r="X1046">
        <f>IF(AND(U1046=1,N1046&gt;=H1046*(1-Assumptions!$C$8)),1,0)</f>
        <v/>
      </c>
      <c r="Y1046">
        <f>IF(ISNUMBER(Q1046),1,0)</f>
        <v/>
      </c>
      <c r="Z1046">
        <f>IF(AND(K1046=0,L1046=0,Y1046=0),1,0)</f>
        <v/>
      </c>
      <c r="AA1046">
        <f>IF(AND(Z1046=1,G1046&lt;Assumptions!$C$6),1,0)</f>
        <v/>
      </c>
      <c r="AB1046">
        <f>IF(U1046=0,"",IF(Y1046=1,MAX(0,Q1046-G1046),IF(L1046=1,MAX(0,R1046-G1046),MAX(0,Assumptions!$C$6-G1046))))</f>
        <v/>
      </c>
      <c r="AC1046">
        <f>IF(Y1046=1,Q1046-F1046,"")</f>
        <v/>
      </c>
      <c r="AD1046">
        <f>IF(Y1046=1,AC1046^2,"")</f>
        <v/>
      </c>
      <c r="AE1046" s="19">
        <f>IF(Z1046=1,(H1046-M1046)*I1046,0)</f>
        <v/>
      </c>
      <c r="AF1046">
        <f>IF(G1046&lt;EDATE(Assumptions!$C$6,-12)+1,"prior_12m","last_12m")</f>
        <v/>
      </c>
      <c r="AG1046" s="21">
        <f>DATE(YEAR(G1046),MONTH(G1046),1)</f>
        <v/>
      </c>
    </row>
    <row r="1047">
      <c r="A1047" t="inlineStr">
        <is>
          <t>SPO-00572-2</t>
        </is>
      </c>
      <c r="B1047" t="inlineStr">
        <is>
          <t>SPO-00572</t>
        </is>
      </c>
      <c r="C1047" t="inlineStr">
        <is>
          <t>SUP-01</t>
        </is>
      </c>
      <c r="D1047" t="inlineStr">
        <is>
          <t>ELEC</t>
        </is>
      </c>
      <c r="E1047" t="inlineStr">
        <is>
          <t>ELEC-08</t>
        </is>
      </c>
      <c r="F1047" s="17" t="n">
        <v>45715</v>
      </c>
      <c r="G1047" s="17" t="n">
        <v>45733</v>
      </c>
      <c r="H1047" s="18" t="n">
        <v>81</v>
      </c>
      <c r="I1047" s="19" t="n">
        <v>18.15</v>
      </c>
      <c r="J1047" s="19" t="n">
        <v>18</v>
      </c>
      <c r="K1047" s="20" t="n">
        <v>0</v>
      </c>
      <c r="L1047" s="20" t="n">
        <v>0</v>
      </c>
      <c r="M1047" s="18" t="n">
        <v>81</v>
      </c>
      <c r="N1047" s="18" t="n">
        <v>81</v>
      </c>
      <c r="O1047" s="18" t="n">
        <v>0</v>
      </c>
      <c r="P1047" s="17" t="n">
        <v>45729</v>
      </c>
      <c r="Q1047" s="17" t="n">
        <v>45729</v>
      </c>
      <c r="R1047" s="17" t="n">
        <v>45729</v>
      </c>
      <c r="S1047" s="19">
        <f>H1047*I1047</f>
        <v/>
      </c>
      <c r="T1047" s="19">
        <f>H1047*J1047</f>
        <v/>
      </c>
      <c r="U1047">
        <f>IF(AND(K1047=0,G1047&lt;=Assumptions!$C$6),1,0)</f>
        <v/>
      </c>
      <c r="V1047">
        <f>IF(U1047=1,IF(M1047&gt;0,IF(P1047&lt;=G1047+Assumptions!$C$7,1,0),0),0)</f>
        <v/>
      </c>
      <c r="W1047">
        <f>IF(AND(U1047=1,M1047&gt;=H1047*(1-Assumptions!$C$8)),1,0)</f>
        <v/>
      </c>
      <c r="X1047">
        <f>IF(AND(U1047=1,N1047&gt;=H1047*(1-Assumptions!$C$8)),1,0)</f>
        <v/>
      </c>
      <c r="Y1047">
        <f>IF(ISNUMBER(Q1047),1,0)</f>
        <v/>
      </c>
      <c r="Z1047">
        <f>IF(AND(K1047=0,L1047=0,Y1047=0),1,0)</f>
        <v/>
      </c>
      <c r="AA1047">
        <f>IF(AND(Z1047=1,G1047&lt;Assumptions!$C$6),1,0)</f>
        <v/>
      </c>
      <c r="AB1047">
        <f>IF(U1047=0,"",IF(Y1047=1,MAX(0,Q1047-G1047),IF(L1047=1,MAX(0,R1047-G1047),MAX(0,Assumptions!$C$6-G1047))))</f>
        <v/>
      </c>
      <c r="AC1047">
        <f>IF(Y1047=1,Q1047-F1047,"")</f>
        <v/>
      </c>
      <c r="AD1047">
        <f>IF(Y1047=1,AC1047^2,"")</f>
        <v/>
      </c>
      <c r="AE1047" s="19">
        <f>IF(Z1047=1,(H1047-M1047)*I1047,0)</f>
        <v/>
      </c>
      <c r="AF1047">
        <f>IF(G1047&lt;EDATE(Assumptions!$C$6,-12)+1,"prior_12m","last_12m")</f>
        <v/>
      </c>
      <c r="AG1047" s="21">
        <f>DATE(YEAR(G1047),MONTH(G1047),1)</f>
        <v/>
      </c>
    </row>
    <row r="1048">
      <c r="A1048" t="inlineStr">
        <is>
          <t>SPO-00573-1</t>
        </is>
      </c>
      <c r="B1048" t="inlineStr">
        <is>
          <t>SPO-00573</t>
        </is>
      </c>
      <c r="C1048" t="inlineStr">
        <is>
          <t>SUP-01</t>
        </is>
      </c>
      <c r="D1048" t="inlineStr">
        <is>
          <t>ELEC</t>
        </is>
      </c>
      <c r="E1048" t="inlineStr">
        <is>
          <t>ELEC-01</t>
        </is>
      </c>
      <c r="F1048" s="17" t="n">
        <v>45715</v>
      </c>
      <c r="G1048" s="17" t="n">
        <v>45733</v>
      </c>
      <c r="H1048" s="18" t="n">
        <v>79</v>
      </c>
      <c r="I1048" s="19" t="n">
        <v>38.09</v>
      </c>
      <c r="J1048" s="19" t="n">
        <v>38</v>
      </c>
      <c r="K1048" s="20" t="n">
        <v>1</v>
      </c>
      <c r="L1048" s="20" t="n">
        <v>0</v>
      </c>
      <c r="M1048" s="18" t="n">
        <v>0</v>
      </c>
      <c r="N1048" s="18" t="n">
        <v>0</v>
      </c>
      <c r="O1048" s="18" t="n">
        <v>0</v>
      </c>
      <c r="P1048" s="17" t="n"/>
      <c r="Q1048" s="17" t="n"/>
      <c r="R1048" s="17" t="n"/>
      <c r="S1048" s="19">
        <f>H1048*I1048</f>
        <v/>
      </c>
      <c r="T1048" s="19">
        <f>H1048*J1048</f>
        <v/>
      </c>
      <c r="U1048">
        <f>IF(AND(K1048=0,G1048&lt;=Assumptions!$C$6),1,0)</f>
        <v/>
      </c>
      <c r="V1048">
        <f>IF(U1048=1,IF(M1048&gt;0,IF(P1048&lt;=G1048+Assumptions!$C$7,1,0),0),0)</f>
        <v/>
      </c>
      <c r="W1048">
        <f>IF(AND(U1048=1,M1048&gt;=H1048*(1-Assumptions!$C$8)),1,0)</f>
        <v/>
      </c>
      <c r="X1048">
        <f>IF(AND(U1048=1,N1048&gt;=H1048*(1-Assumptions!$C$8)),1,0)</f>
        <v/>
      </c>
      <c r="Y1048">
        <f>IF(ISNUMBER(Q1048),1,0)</f>
        <v/>
      </c>
      <c r="Z1048">
        <f>IF(AND(K1048=0,L1048=0,Y1048=0),1,0)</f>
        <v/>
      </c>
      <c r="AA1048">
        <f>IF(AND(Z1048=1,G1048&lt;Assumptions!$C$6),1,0)</f>
        <v/>
      </c>
      <c r="AB1048">
        <f>IF(U1048=0,"",IF(Y1048=1,MAX(0,Q1048-G1048),IF(L1048=1,MAX(0,R1048-G1048),MAX(0,Assumptions!$C$6-G1048))))</f>
        <v/>
      </c>
      <c r="AC1048">
        <f>IF(Y1048=1,Q1048-F1048,"")</f>
        <v/>
      </c>
      <c r="AD1048">
        <f>IF(Y1048=1,AC1048^2,"")</f>
        <v/>
      </c>
      <c r="AE1048" s="19">
        <f>IF(Z1048=1,(H1048-M1048)*I1048,0)</f>
        <v/>
      </c>
      <c r="AF1048">
        <f>IF(G1048&lt;EDATE(Assumptions!$C$6,-12)+1,"prior_12m","last_12m")</f>
        <v/>
      </c>
      <c r="AG1048" s="21">
        <f>DATE(YEAR(G1048),MONTH(G1048),1)</f>
        <v/>
      </c>
    </row>
    <row r="1049">
      <c r="A1049" t="inlineStr">
        <is>
          <t>SPO-00574-1</t>
        </is>
      </c>
      <c r="B1049" t="inlineStr">
        <is>
          <t>SPO-00574</t>
        </is>
      </c>
      <c r="C1049" t="inlineStr">
        <is>
          <t>SUP-14</t>
        </is>
      </c>
      <c r="D1049" t="inlineStr">
        <is>
          <t>FLEET</t>
        </is>
      </c>
      <c r="E1049" t="inlineStr">
        <is>
          <t>FLEET-07</t>
        </is>
      </c>
      <c r="F1049" s="17" t="n">
        <v>45715</v>
      </c>
      <c r="G1049" s="17" t="n">
        <v>45729</v>
      </c>
      <c r="H1049" s="18" t="n">
        <v>16</v>
      </c>
      <c r="I1049" s="19" t="n">
        <v>115.19</v>
      </c>
      <c r="J1049" s="19" t="n">
        <v>118</v>
      </c>
      <c r="K1049" s="20" t="n">
        <v>0</v>
      </c>
      <c r="L1049" s="20" t="n">
        <v>0</v>
      </c>
      <c r="M1049" s="18" t="n">
        <v>16</v>
      </c>
      <c r="N1049" s="18" t="n">
        <v>16</v>
      </c>
      <c r="O1049" s="18" t="n">
        <v>0</v>
      </c>
      <c r="P1049" s="17" t="n">
        <v>45722</v>
      </c>
      <c r="Q1049" s="17" t="n">
        <v>45722</v>
      </c>
      <c r="R1049" s="17" t="n">
        <v>45722</v>
      </c>
      <c r="S1049" s="19">
        <f>H1049*I1049</f>
        <v/>
      </c>
      <c r="T1049" s="19">
        <f>H1049*J1049</f>
        <v/>
      </c>
      <c r="U1049">
        <f>IF(AND(K1049=0,G1049&lt;=Assumptions!$C$6),1,0)</f>
        <v/>
      </c>
      <c r="V1049">
        <f>IF(U1049=1,IF(M1049&gt;0,IF(P1049&lt;=G1049+Assumptions!$C$7,1,0),0),0)</f>
        <v/>
      </c>
      <c r="W1049">
        <f>IF(AND(U1049=1,M1049&gt;=H1049*(1-Assumptions!$C$8)),1,0)</f>
        <v/>
      </c>
      <c r="X1049">
        <f>IF(AND(U1049=1,N1049&gt;=H1049*(1-Assumptions!$C$8)),1,0)</f>
        <v/>
      </c>
      <c r="Y1049">
        <f>IF(ISNUMBER(Q1049),1,0)</f>
        <v/>
      </c>
      <c r="Z1049">
        <f>IF(AND(K1049=0,L1049=0,Y1049=0),1,0)</f>
        <v/>
      </c>
      <c r="AA1049">
        <f>IF(AND(Z1049=1,G1049&lt;Assumptions!$C$6),1,0)</f>
        <v/>
      </c>
      <c r="AB1049">
        <f>IF(U1049=0,"",IF(Y1049=1,MAX(0,Q1049-G1049),IF(L1049=1,MAX(0,R1049-G1049),MAX(0,Assumptions!$C$6-G1049))))</f>
        <v/>
      </c>
      <c r="AC1049">
        <f>IF(Y1049=1,Q1049-F1049,"")</f>
        <v/>
      </c>
      <c r="AD1049">
        <f>IF(Y1049=1,AC1049^2,"")</f>
        <v/>
      </c>
      <c r="AE1049" s="19">
        <f>IF(Z1049=1,(H1049-M1049)*I1049,0)</f>
        <v/>
      </c>
      <c r="AF1049">
        <f>IF(G1049&lt;EDATE(Assumptions!$C$6,-12)+1,"prior_12m","last_12m")</f>
        <v/>
      </c>
      <c r="AG1049" s="21">
        <f>DATE(YEAR(G1049),MONTH(G1049),1)</f>
        <v/>
      </c>
    </row>
    <row r="1050">
      <c r="A1050" t="inlineStr">
        <is>
          <t>SPO-00574-2</t>
        </is>
      </c>
      <c r="B1050" t="inlineStr">
        <is>
          <t>SPO-00574</t>
        </is>
      </c>
      <c r="C1050" t="inlineStr">
        <is>
          <t>SUP-14</t>
        </is>
      </c>
      <c r="D1050" t="inlineStr">
        <is>
          <t>FLEET</t>
        </is>
      </c>
      <c r="E1050" t="inlineStr">
        <is>
          <t>FLEET-08</t>
        </is>
      </c>
      <c r="F1050" s="17" t="n">
        <v>45715</v>
      </c>
      <c r="G1050" s="17" t="n">
        <v>45729</v>
      </c>
      <c r="H1050" s="18" t="n">
        <v>119</v>
      </c>
      <c r="I1050" s="19" t="n">
        <v>6.54</v>
      </c>
      <c r="J1050" s="19" t="n">
        <v>6.4</v>
      </c>
      <c r="K1050" s="20" t="n">
        <v>0</v>
      </c>
      <c r="L1050" s="20" t="n">
        <v>0</v>
      </c>
      <c r="M1050" s="18" t="n">
        <v>119</v>
      </c>
      <c r="N1050" s="18" t="n">
        <v>119</v>
      </c>
      <c r="O1050" s="18" t="n">
        <v>0</v>
      </c>
      <c r="P1050" s="17" t="n">
        <v>45728</v>
      </c>
      <c r="Q1050" s="17" t="n">
        <v>45728</v>
      </c>
      <c r="R1050" s="17" t="n">
        <v>45728</v>
      </c>
      <c r="S1050" s="19">
        <f>H1050*I1050</f>
        <v/>
      </c>
      <c r="T1050" s="19">
        <f>H1050*J1050</f>
        <v/>
      </c>
      <c r="U1050">
        <f>IF(AND(K1050=0,G1050&lt;=Assumptions!$C$6),1,0)</f>
        <v/>
      </c>
      <c r="V1050">
        <f>IF(U1050=1,IF(M1050&gt;0,IF(P1050&lt;=G1050+Assumptions!$C$7,1,0),0),0)</f>
        <v/>
      </c>
      <c r="W1050">
        <f>IF(AND(U1050=1,M1050&gt;=H1050*(1-Assumptions!$C$8)),1,0)</f>
        <v/>
      </c>
      <c r="X1050">
        <f>IF(AND(U1050=1,N1050&gt;=H1050*(1-Assumptions!$C$8)),1,0)</f>
        <v/>
      </c>
      <c r="Y1050">
        <f>IF(ISNUMBER(Q1050),1,0)</f>
        <v/>
      </c>
      <c r="Z1050">
        <f>IF(AND(K1050=0,L1050=0,Y1050=0),1,0)</f>
        <v/>
      </c>
      <c r="AA1050">
        <f>IF(AND(Z1050=1,G1050&lt;Assumptions!$C$6),1,0)</f>
        <v/>
      </c>
      <c r="AB1050">
        <f>IF(U1050=0,"",IF(Y1050=1,MAX(0,Q1050-G1050),IF(L1050=1,MAX(0,R1050-G1050),MAX(0,Assumptions!$C$6-G1050))))</f>
        <v/>
      </c>
      <c r="AC1050">
        <f>IF(Y1050=1,Q1050-F1050,"")</f>
        <v/>
      </c>
      <c r="AD1050">
        <f>IF(Y1050=1,AC1050^2,"")</f>
        <v/>
      </c>
      <c r="AE1050" s="19">
        <f>IF(Z1050=1,(H1050-M1050)*I1050,0)</f>
        <v/>
      </c>
      <c r="AF1050">
        <f>IF(G1050&lt;EDATE(Assumptions!$C$6,-12)+1,"prior_12m","last_12m")</f>
        <v/>
      </c>
      <c r="AG1050" s="21">
        <f>DATE(YEAR(G1050),MONTH(G1050),1)</f>
        <v/>
      </c>
    </row>
    <row r="1051">
      <c r="A1051" t="inlineStr">
        <is>
          <t>SPO-00575-1</t>
        </is>
      </c>
      <c r="B1051" t="inlineStr">
        <is>
          <t>SPO-00575</t>
        </is>
      </c>
      <c r="C1051" t="inlineStr">
        <is>
          <t>SUP-08</t>
        </is>
      </c>
      <c r="D1051" t="inlineStr">
        <is>
          <t>MRO</t>
        </is>
      </c>
      <c r="E1051" t="inlineStr">
        <is>
          <t>MRO-07</t>
        </is>
      </c>
      <c r="F1051" s="17" t="n">
        <v>45715</v>
      </c>
      <c r="G1051" s="17" t="n">
        <v>45726</v>
      </c>
      <c r="H1051" s="18" t="n">
        <v>205</v>
      </c>
      <c r="I1051" s="19" t="n">
        <v>13.97</v>
      </c>
      <c r="J1051" s="19" t="n">
        <v>14</v>
      </c>
      <c r="K1051" s="20" t="n">
        <v>0</v>
      </c>
      <c r="L1051" s="20" t="n">
        <v>0</v>
      </c>
      <c r="M1051" s="18" t="n">
        <v>205</v>
      </c>
      <c r="N1051" s="18" t="n">
        <v>205</v>
      </c>
      <c r="O1051" s="18" t="n">
        <v>0</v>
      </c>
      <c r="P1051" s="17" t="n">
        <v>45721</v>
      </c>
      <c r="Q1051" s="17" t="n">
        <v>45721</v>
      </c>
      <c r="R1051" s="17" t="n">
        <v>45721</v>
      </c>
      <c r="S1051" s="19">
        <f>H1051*I1051</f>
        <v/>
      </c>
      <c r="T1051" s="19">
        <f>H1051*J1051</f>
        <v/>
      </c>
      <c r="U1051">
        <f>IF(AND(K1051=0,G1051&lt;=Assumptions!$C$6),1,0)</f>
        <v/>
      </c>
      <c r="V1051">
        <f>IF(U1051=1,IF(M1051&gt;0,IF(P1051&lt;=G1051+Assumptions!$C$7,1,0),0),0)</f>
        <v/>
      </c>
      <c r="W1051">
        <f>IF(AND(U1051=1,M1051&gt;=H1051*(1-Assumptions!$C$8)),1,0)</f>
        <v/>
      </c>
      <c r="X1051">
        <f>IF(AND(U1051=1,N1051&gt;=H1051*(1-Assumptions!$C$8)),1,0)</f>
        <v/>
      </c>
      <c r="Y1051">
        <f>IF(ISNUMBER(Q1051),1,0)</f>
        <v/>
      </c>
      <c r="Z1051">
        <f>IF(AND(K1051=0,L1051=0,Y1051=0),1,0)</f>
        <v/>
      </c>
      <c r="AA1051">
        <f>IF(AND(Z1051=1,G1051&lt;Assumptions!$C$6),1,0)</f>
        <v/>
      </c>
      <c r="AB1051">
        <f>IF(U1051=0,"",IF(Y1051=1,MAX(0,Q1051-G1051),IF(L1051=1,MAX(0,R1051-G1051),MAX(0,Assumptions!$C$6-G1051))))</f>
        <v/>
      </c>
      <c r="AC1051">
        <f>IF(Y1051=1,Q1051-F1051,"")</f>
        <v/>
      </c>
      <c r="AD1051">
        <f>IF(Y1051=1,AC1051^2,"")</f>
        <v/>
      </c>
      <c r="AE1051" s="19">
        <f>IF(Z1051=1,(H1051-M1051)*I1051,0)</f>
        <v/>
      </c>
      <c r="AF1051">
        <f>IF(G1051&lt;EDATE(Assumptions!$C$6,-12)+1,"prior_12m","last_12m")</f>
        <v/>
      </c>
      <c r="AG1051" s="21">
        <f>DATE(YEAR(G1051),MONTH(G1051),1)</f>
        <v/>
      </c>
    </row>
    <row r="1052">
      <c r="A1052" t="inlineStr">
        <is>
          <t>SPO-00576-1</t>
        </is>
      </c>
      <c r="B1052" t="inlineStr">
        <is>
          <t>SPO-00576</t>
        </is>
      </c>
      <c r="C1052" t="inlineStr">
        <is>
          <t>SUP-01</t>
        </is>
      </c>
      <c r="D1052" t="inlineStr">
        <is>
          <t>ELEC</t>
        </is>
      </c>
      <c r="E1052" t="inlineStr">
        <is>
          <t>ELEC-04</t>
        </is>
      </c>
      <c r="F1052" s="17" t="n">
        <v>45715</v>
      </c>
      <c r="G1052" s="17" t="n">
        <v>45733</v>
      </c>
      <c r="H1052" s="18" t="n">
        <v>35</v>
      </c>
      <c r="I1052" s="19" t="n">
        <v>74.01000000000001</v>
      </c>
      <c r="J1052" s="19" t="n">
        <v>72</v>
      </c>
      <c r="K1052" s="20" t="n">
        <v>0</v>
      </c>
      <c r="L1052" s="20" t="n">
        <v>0</v>
      </c>
      <c r="M1052" s="18" t="n">
        <v>35</v>
      </c>
      <c r="N1052" s="18" t="n">
        <v>35</v>
      </c>
      <c r="O1052" s="18" t="n">
        <v>0</v>
      </c>
      <c r="P1052" s="17" t="n">
        <v>45730</v>
      </c>
      <c r="Q1052" s="17" t="n">
        <v>45730</v>
      </c>
      <c r="R1052" s="17" t="n">
        <v>45730</v>
      </c>
      <c r="S1052" s="19">
        <f>H1052*I1052</f>
        <v/>
      </c>
      <c r="T1052" s="19">
        <f>H1052*J1052</f>
        <v/>
      </c>
      <c r="U1052">
        <f>IF(AND(K1052=0,G1052&lt;=Assumptions!$C$6),1,0)</f>
        <v/>
      </c>
      <c r="V1052">
        <f>IF(U1052=1,IF(M1052&gt;0,IF(P1052&lt;=G1052+Assumptions!$C$7,1,0),0),0)</f>
        <v/>
      </c>
      <c r="W1052">
        <f>IF(AND(U1052=1,M1052&gt;=H1052*(1-Assumptions!$C$8)),1,0)</f>
        <v/>
      </c>
      <c r="X1052">
        <f>IF(AND(U1052=1,N1052&gt;=H1052*(1-Assumptions!$C$8)),1,0)</f>
        <v/>
      </c>
      <c r="Y1052">
        <f>IF(ISNUMBER(Q1052),1,0)</f>
        <v/>
      </c>
      <c r="Z1052">
        <f>IF(AND(K1052=0,L1052=0,Y1052=0),1,0)</f>
        <v/>
      </c>
      <c r="AA1052">
        <f>IF(AND(Z1052=1,G1052&lt;Assumptions!$C$6),1,0)</f>
        <v/>
      </c>
      <c r="AB1052">
        <f>IF(U1052=0,"",IF(Y1052=1,MAX(0,Q1052-G1052),IF(L1052=1,MAX(0,R1052-G1052),MAX(0,Assumptions!$C$6-G1052))))</f>
        <v/>
      </c>
      <c r="AC1052">
        <f>IF(Y1052=1,Q1052-F1052,"")</f>
        <v/>
      </c>
      <c r="AD1052">
        <f>IF(Y1052=1,AC1052^2,"")</f>
        <v/>
      </c>
      <c r="AE1052" s="19">
        <f>IF(Z1052=1,(H1052-M1052)*I1052,0)</f>
        <v/>
      </c>
      <c r="AF1052">
        <f>IF(G1052&lt;EDATE(Assumptions!$C$6,-12)+1,"prior_12m","last_12m")</f>
        <v/>
      </c>
      <c r="AG1052" s="21">
        <f>DATE(YEAR(G1052),MONTH(G1052),1)</f>
        <v/>
      </c>
    </row>
    <row r="1053">
      <c r="A1053" t="inlineStr">
        <is>
          <t>SPO-00577-1</t>
        </is>
      </c>
      <c r="B1053" t="inlineStr">
        <is>
          <t>SPO-00577</t>
        </is>
      </c>
      <c r="C1053" t="inlineStr">
        <is>
          <t>SUP-12</t>
        </is>
      </c>
      <c r="D1053" t="inlineStr">
        <is>
          <t>IT</t>
        </is>
      </c>
      <c r="E1053" t="inlineStr">
        <is>
          <t>IT-03</t>
        </is>
      </c>
      <c r="F1053" s="17" t="n">
        <v>45716</v>
      </c>
      <c r="G1053" s="17" t="n">
        <v>45726</v>
      </c>
      <c r="H1053" s="18" t="n">
        <v>21</v>
      </c>
      <c r="I1053" s="19" t="n">
        <v>43.31</v>
      </c>
      <c r="J1053" s="19" t="n">
        <v>38</v>
      </c>
      <c r="K1053" s="20" t="n">
        <v>0</v>
      </c>
      <c r="L1053" s="20" t="n">
        <v>0</v>
      </c>
      <c r="M1053" s="18" t="n">
        <v>21</v>
      </c>
      <c r="N1053" s="18" t="n">
        <v>21</v>
      </c>
      <c r="O1053" s="18" t="n">
        <v>0</v>
      </c>
      <c r="P1053" s="17" t="n">
        <v>45721</v>
      </c>
      <c r="Q1053" s="17" t="n">
        <v>45721</v>
      </c>
      <c r="R1053" s="17" t="n">
        <v>45721</v>
      </c>
      <c r="S1053" s="19">
        <f>H1053*I1053</f>
        <v/>
      </c>
      <c r="T1053" s="19">
        <f>H1053*J1053</f>
        <v/>
      </c>
      <c r="U1053">
        <f>IF(AND(K1053=0,G1053&lt;=Assumptions!$C$6),1,0)</f>
        <v/>
      </c>
      <c r="V1053">
        <f>IF(U1053=1,IF(M1053&gt;0,IF(P1053&lt;=G1053+Assumptions!$C$7,1,0),0),0)</f>
        <v/>
      </c>
      <c r="W1053">
        <f>IF(AND(U1053=1,M1053&gt;=H1053*(1-Assumptions!$C$8)),1,0)</f>
        <v/>
      </c>
      <c r="X1053">
        <f>IF(AND(U1053=1,N1053&gt;=H1053*(1-Assumptions!$C$8)),1,0)</f>
        <v/>
      </c>
      <c r="Y1053">
        <f>IF(ISNUMBER(Q1053),1,0)</f>
        <v/>
      </c>
      <c r="Z1053">
        <f>IF(AND(K1053=0,L1053=0,Y1053=0),1,0)</f>
        <v/>
      </c>
      <c r="AA1053">
        <f>IF(AND(Z1053=1,G1053&lt;Assumptions!$C$6),1,0)</f>
        <v/>
      </c>
      <c r="AB1053">
        <f>IF(U1053=0,"",IF(Y1053=1,MAX(0,Q1053-G1053),IF(L1053=1,MAX(0,R1053-G1053),MAX(0,Assumptions!$C$6-G1053))))</f>
        <v/>
      </c>
      <c r="AC1053">
        <f>IF(Y1053=1,Q1053-F1053,"")</f>
        <v/>
      </c>
      <c r="AD1053">
        <f>IF(Y1053=1,AC1053^2,"")</f>
        <v/>
      </c>
      <c r="AE1053" s="19">
        <f>IF(Z1053=1,(H1053-M1053)*I1053,0)</f>
        <v/>
      </c>
      <c r="AF1053">
        <f>IF(G1053&lt;EDATE(Assumptions!$C$6,-12)+1,"prior_12m","last_12m")</f>
        <v/>
      </c>
      <c r="AG1053" s="21">
        <f>DATE(YEAR(G1053),MONTH(G1053),1)</f>
        <v/>
      </c>
    </row>
    <row r="1054">
      <c r="A1054" t="inlineStr">
        <is>
          <t>SPO-00578-1</t>
        </is>
      </c>
      <c r="B1054" t="inlineStr">
        <is>
          <t>SPO-00578</t>
        </is>
      </c>
      <c r="C1054" t="inlineStr">
        <is>
          <t>SUP-04</t>
        </is>
      </c>
      <c r="D1054" t="inlineStr">
        <is>
          <t>FLEET</t>
        </is>
      </c>
      <c r="E1054" t="inlineStr">
        <is>
          <t>FLEET-02</t>
        </is>
      </c>
      <c r="F1054" s="17" t="n">
        <v>45716</v>
      </c>
      <c r="G1054" s="17" t="n">
        <v>45729</v>
      </c>
      <c r="H1054" s="18" t="n">
        <v>170</v>
      </c>
      <c r="I1054" s="19" t="n">
        <v>7.52</v>
      </c>
      <c r="J1054" s="19" t="n">
        <v>7.5</v>
      </c>
      <c r="K1054" s="20" t="n">
        <v>0</v>
      </c>
      <c r="L1054" s="20" t="n">
        <v>0</v>
      </c>
      <c r="M1054" s="18" t="n">
        <v>170</v>
      </c>
      <c r="N1054" s="18" t="n">
        <v>170</v>
      </c>
      <c r="O1054" s="18" t="n">
        <v>0</v>
      </c>
      <c r="P1054" s="17" t="n">
        <v>45727</v>
      </c>
      <c r="Q1054" s="17" t="n">
        <v>45727</v>
      </c>
      <c r="R1054" s="17" t="n">
        <v>45727</v>
      </c>
      <c r="S1054" s="19">
        <f>H1054*I1054</f>
        <v/>
      </c>
      <c r="T1054" s="19">
        <f>H1054*J1054</f>
        <v/>
      </c>
      <c r="U1054">
        <f>IF(AND(K1054=0,G1054&lt;=Assumptions!$C$6),1,0)</f>
        <v/>
      </c>
      <c r="V1054">
        <f>IF(U1054=1,IF(M1054&gt;0,IF(P1054&lt;=G1054+Assumptions!$C$7,1,0),0),0)</f>
        <v/>
      </c>
      <c r="W1054">
        <f>IF(AND(U1054=1,M1054&gt;=H1054*(1-Assumptions!$C$8)),1,0)</f>
        <v/>
      </c>
      <c r="X1054">
        <f>IF(AND(U1054=1,N1054&gt;=H1054*(1-Assumptions!$C$8)),1,0)</f>
        <v/>
      </c>
      <c r="Y1054">
        <f>IF(ISNUMBER(Q1054),1,0)</f>
        <v/>
      </c>
      <c r="Z1054">
        <f>IF(AND(K1054=0,L1054=0,Y1054=0),1,0)</f>
        <v/>
      </c>
      <c r="AA1054">
        <f>IF(AND(Z1054=1,G1054&lt;Assumptions!$C$6),1,0)</f>
        <v/>
      </c>
      <c r="AB1054">
        <f>IF(U1054=0,"",IF(Y1054=1,MAX(0,Q1054-G1054),IF(L1054=1,MAX(0,R1054-G1054),MAX(0,Assumptions!$C$6-G1054))))</f>
        <v/>
      </c>
      <c r="AC1054">
        <f>IF(Y1054=1,Q1054-F1054,"")</f>
        <v/>
      </c>
      <c r="AD1054">
        <f>IF(Y1054=1,AC1054^2,"")</f>
        <v/>
      </c>
      <c r="AE1054" s="19">
        <f>IF(Z1054=1,(H1054-M1054)*I1054,0)</f>
        <v/>
      </c>
      <c r="AF1054">
        <f>IF(G1054&lt;EDATE(Assumptions!$C$6,-12)+1,"prior_12m","last_12m")</f>
        <v/>
      </c>
      <c r="AG1054" s="21">
        <f>DATE(YEAR(G1054),MONTH(G1054),1)</f>
        <v/>
      </c>
    </row>
    <row r="1055">
      <c r="A1055" t="inlineStr">
        <is>
          <t>SPO-00579-1</t>
        </is>
      </c>
      <c r="B1055" t="inlineStr">
        <is>
          <t>SPO-00579</t>
        </is>
      </c>
      <c r="C1055" t="inlineStr">
        <is>
          <t>SUP-05</t>
        </is>
      </c>
      <c r="D1055" t="inlineStr">
        <is>
          <t>FLEET</t>
        </is>
      </c>
      <c r="E1055" t="inlineStr">
        <is>
          <t>FLEET-01</t>
        </is>
      </c>
      <c r="F1055" s="17" t="n">
        <v>45717</v>
      </c>
      <c r="G1055" s="17" t="n">
        <v>45731</v>
      </c>
      <c r="H1055" s="18" t="n">
        <v>55</v>
      </c>
      <c r="I1055" s="19" t="n">
        <v>69.20999999999999</v>
      </c>
      <c r="J1055" s="19" t="n">
        <v>64</v>
      </c>
      <c r="K1055" s="20" t="n">
        <v>0</v>
      </c>
      <c r="L1055" s="20" t="n">
        <v>0</v>
      </c>
      <c r="M1055" s="18" t="n">
        <v>55</v>
      </c>
      <c r="N1055" s="18" t="n">
        <v>0</v>
      </c>
      <c r="O1055" s="18" t="n">
        <v>0</v>
      </c>
      <c r="P1055" s="17" t="n">
        <v>45732</v>
      </c>
      <c r="Q1055" s="17" t="n">
        <v>45732</v>
      </c>
      <c r="R1055" s="17" t="n">
        <v>45732</v>
      </c>
      <c r="S1055" s="19">
        <f>H1055*I1055</f>
        <v/>
      </c>
      <c r="T1055" s="19">
        <f>H1055*J1055</f>
        <v/>
      </c>
      <c r="U1055">
        <f>IF(AND(K1055=0,G1055&lt;=Assumptions!$C$6),1,0)</f>
        <v/>
      </c>
      <c r="V1055">
        <f>IF(U1055=1,IF(M1055&gt;0,IF(P1055&lt;=G1055+Assumptions!$C$7,1,0),0),0)</f>
        <v/>
      </c>
      <c r="W1055">
        <f>IF(AND(U1055=1,M1055&gt;=H1055*(1-Assumptions!$C$8)),1,0)</f>
        <v/>
      </c>
      <c r="X1055">
        <f>IF(AND(U1055=1,N1055&gt;=H1055*(1-Assumptions!$C$8)),1,0)</f>
        <v/>
      </c>
      <c r="Y1055">
        <f>IF(ISNUMBER(Q1055),1,0)</f>
        <v/>
      </c>
      <c r="Z1055">
        <f>IF(AND(K1055=0,L1055=0,Y1055=0),1,0)</f>
        <v/>
      </c>
      <c r="AA1055">
        <f>IF(AND(Z1055=1,G1055&lt;Assumptions!$C$6),1,0)</f>
        <v/>
      </c>
      <c r="AB1055">
        <f>IF(U1055=0,"",IF(Y1055=1,MAX(0,Q1055-G1055),IF(L1055=1,MAX(0,R1055-G1055),MAX(0,Assumptions!$C$6-G1055))))</f>
        <v/>
      </c>
      <c r="AC1055">
        <f>IF(Y1055=1,Q1055-F1055,"")</f>
        <v/>
      </c>
      <c r="AD1055">
        <f>IF(Y1055=1,AC1055^2,"")</f>
        <v/>
      </c>
      <c r="AE1055" s="19">
        <f>IF(Z1055=1,(H1055-M1055)*I1055,0)</f>
        <v/>
      </c>
      <c r="AF1055">
        <f>IF(G1055&lt;EDATE(Assumptions!$C$6,-12)+1,"prior_12m","last_12m")</f>
        <v/>
      </c>
      <c r="AG1055" s="21">
        <f>DATE(YEAR(G1055),MONTH(G1055),1)</f>
        <v/>
      </c>
    </row>
    <row r="1056">
      <c r="A1056" t="inlineStr">
        <is>
          <t>SPO-00579-2</t>
        </is>
      </c>
      <c r="B1056" t="inlineStr">
        <is>
          <t>SPO-00579</t>
        </is>
      </c>
      <c r="C1056" t="inlineStr">
        <is>
          <t>SUP-05</t>
        </is>
      </c>
      <c r="D1056" t="inlineStr">
        <is>
          <t>FLEET</t>
        </is>
      </c>
      <c r="E1056" t="inlineStr">
        <is>
          <t>FLEET-06</t>
        </is>
      </c>
      <c r="F1056" s="17" t="n">
        <v>45717</v>
      </c>
      <c r="G1056" s="17" t="n">
        <v>45731</v>
      </c>
      <c r="H1056" s="18" t="n">
        <v>55</v>
      </c>
      <c r="I1056" s="19" t="n">
        <v>34.08</v>
      </c>
      <c r="J1056" s="19" t="n">
        <v>33</v>
      </c>
      <c r="K1056" s="20" t="n">
        <v>0</v>
      </c>
      <c r="L1056" s="20" t="n">
        <v>0</v>
      </c>
      <c r="M1056" s="18" t="n">
        <v>55</v>
      </c>
      <c r="N1056" s="18" t="n">
        <v>55</v>
      </c>
      <c r="O1056" s="18" t="n">
        <v>0</v>
      </c>
      <c r="P1056" s="17" t="n">
        <v>45729</v>
      </c>
      <c r="Q1056" s="17" t="n">
        <v>45729</v>
      </c>
      <c r="R1056" s="17" t="n">
        <v>45729</v>
      </c>
      <c r="S1056" s="19">
        <f>H1056*I1056</f>
        <v/>
      </c>
      <c r="T1056" s="19">
        <f>H1056*J1056</f>
        <v/>
      </c>
      <c r="U1056">
        <f>IF(AND(K1056=0,G1056&lt;=Assumptions!$C$6),1,0)</f>
        <v/>
      </c>
      <c r="V1056">
        <f>IF(U1056=1,IF(M1056&gt;0,IF(P1056&lt;=G1056+Assumptions!$C$7,1,0),0),0)</f>
        <v/>
      </c>
      <c r="W1056">
        <f>IF(AND(U1056=1,M1056&gt;=H1056*(1-Assumptions!$C$8)),1,0)</f>
        <v/>
      </c>
      <c r="X1056">
        <f>IF(AND(U1056=1,N1056&gt;=H1056*(1-Assumptions!$C$8)),1,0)</f>
        <v/>
      </c>
      <c r="Y1056">
        <f>IF(ISNUMBER(Q1056),1,0)</f>
        <v/>
      </c>
      <c r="Z1056">
        <f>IF(AND(K1056=0,L1056=0,Y1056=0),1,0)</f>
        <v/>
      </c>
      <c r="AA1056">
        <f>IF(AND(Z1056=1,G1056&lt;Assumptions!$C$6),1,0)</f>
        <v/>
      </c>
      <c r="AB1056">
        <f>IF(U1056=0,"",IF(Y1056=1,MAX(0,Q1056-G1056),IF(L1056=1,MAX(0,R1056-G1056),MAX(0,Assumptions!$C$6-G1056))))</f>
        <v/>
      </c>
      <c r="AC1056">
        <f>IF(Y1056=1,Q1056-F1056,"")</f>
        <v/>
      </c>
      <c r="AD1056">
        <f>IF(Y1056=1,AC1056^2,"")</f>
        <v/>
      </c>
      <c r="AE1056" s="19">
        <f>IF(Z1056=1,(H1056-M1056)*I1056,0)</f>
        <v/>
      </c>
      <c r="AF1056">
        <f>IF(G1056&lt;EDATE(Assumptions!$C$6,-12)+1,"prior_12m","last_12m")</f>
        <v/>
      </c>
      <c r="AG1056" s="21">
        <f>DATE(YEAR(G1056),MONTH(G1056),1)</f>
        <v/>
      </c>
    </row>
    <row r="1057">
      <c r="A1057" t="inlineStr">
        <is>
          <t>SPO-00579-3</t>
        </is>
      </c>
      <c r="B1057" t="inlineStr">
        <is>
          <t>SPO-00579</t>
        </is>
      </c>
      <c r="C1057" t="inlineStr">
        <is>
          <t>SUP-05</t>
        </is>
      </c>
      <c r="D1057" t="inlineStr">
        <is>
          <t>FLEET</t>
        </is>
      </c>
      <c r="E1057" t="inlineStr">
        <is>
          <t>FLEET-07</t>
        </is>
      </c>
      <c r="F1057" s="17" t="n">
        <v>45717</v>
      </c>
      <c r="G1057" s="17" t="n">
        <v>45731</v>
      </c>
      <c r="H1057" s="18" t="n">
        <v>14</v>
      </c>
      <c r="I1057" s="19" t="n">
        <v>113.79</v>
      </c>
      <c r="J1057" s="19" t="n">
        <v>118</v>
      </c>
      <c r="K1057" s="20" t="n">
        <v>1</v>
      </c>
      <c r="L1057" s="20" t="n">
        <v>0</v>
      </c>
      <c r="M1057" s="18" t="n">
        <v>0</v>
      </c>
      <c r="N1057" s="18" t="n">
        <v>0</v>
      </c>
      <c r="O1057" s="18" t="n">
        <v>0</v>
      </c>
      <c r="P1057" s="17" t="n"/>
      <c r="Q1057" s="17" t="n"/>
      <c r="R1057" s="17" t="n"/>
      <c r="S1057" s="19">
        <f>H1057*I1057</f>
        <v/>
      </c>
      <c r="T1057" s="19">
        <f>H1057*J1057</f>
        <v/>
      </c>
      <c r="U1057">
        <f>IF(AND(K1057=0,G1057&lt;=Assumptions!$C$6),1,0)</f>
        <v/>
      </c>
      <c r="V1057">
        <f>IF(U1057=1,IF(M1057&gt;0,IF(P1057&lt;=G1057+Assumptions!$C$7,1,0),0),0)</f>
        <v/>
      </c>
      <c r="W1057">
        <f>IF(AND(U1057=1,M1057&gt;=H1057*(1-Assumptions!$C$8)),1,0)</f>
        <v/>
      </c>
      <c r="X1057">
        <f>IF(AND(U1057=1,N1057&gt;=H1057*(1-Assumptions!$C$8)),1,0)</f>
        <v/>
      </c>
      <c r="Y1057">
        <f>IF(ISNUMBER(Q1057),1,0)</f>
        <v/>
      </c>
      <c r="Z1057">
        <f>IF(AND(K1057=0,L1057=0,Y1057=0),1,0)</f>
        <v/>
      </c>
      <c r="AA1057">
        <f>IF(AND(Z1057=1,G1057&lt;Assumptions!$C$6),1,0)</f>
        <v/>
      </c>
      <c r="AB1057">
        <f>IF(U1057=0,"",IF(Y1057=1,MAX(0,Q1057-G1057),IF(L1057=1,MAX(0,R1057-G1057),MAX(0,Assumptions!$C$6-G1057))))</f>
        <v/>
      </c>
      <c r="AC1057">
        <f>IF(Y1057=1,Q1057-F1057,"")</f>
        <v/>
      </c>
      <c r="AD1057">
        <f>IF(Y1057=1,AC1057^2,"")</f>
        <v/>
      </c>
      <c r="AE1057" s="19">
        <f>IF(Z1057=1,(H1057-M1057)*I1057,0)</f>
        <v/>
      </c>
      <c r="AF1057">
        <f>IF(G1057&lt;EDATE(Assumptions!$C$6,-12)+1,"prior_12m","last_12m")</f>
        <v/>
      </c>
      <c r="AG1057" s="21">
        <f>DATE(YEAR(G1057),MONTH(G1057),1)</f>
        <v/>
      </c>
    </row>
    <row r="1058">
      <c r="A1058" t="inlineStr">
        <is>
          <t>SPO-00580-1</t>
        </is>
      </c>
      <c r="B1058" t="inlineStr">
        <is>
          <t>SPO-00580</t>
        </is>
      </c>
      <c r="C1058" t="inlineStr">
        <is>
          <t>SUP-01</t>
        </is>
      </c>
      <c r="D1058" t="inlineStr">
        <is>
          <t>ELEC</t>
        </is>
      </c>
      <c r="E1058" t="inlineStr">
        <is>
          <t>ELEC-08</t>
        </is>
      </c>
      <c r="F1058" s="17" t="n">
        <v>45717</v>
      </c>
      <c r="G1058" s="17" t="n">
        <v>45735</v>
      </c>
      <c r="H1058" s="18" t="n">
        <v>113</v>
      </c>
      <c r="I1058" s="19" t="n">
        <v>18.33</v>
      </c>
      <c r="J1058" s="19" t="n">
        <v>18</v>
      </c>
      <c r="K1058" s="20" t="n">
        <v>0</v>
      </c>
      <c r="L1058" s="20" t="n">
        <v>0</v>
      </c>
      <c r="M1058" s="18" t="n">
        <v>113</v>
      </c>
      <c r="N1058" s="18" t="n">
        <v>113</v>
      </c>
      <c r="O1058" s="18" t="n">
        <v>0</v>
      </c>
      <c r="P1058" s="17" t="n">
        <v>45733</v>
      </c>
      <c r="Q1058" s="17" t="n">
        <v>45733</v>
      </c>
      <c r="R1058" s="17" t="n">
        <v>45733</v>
      </c>
      <c r="S1058" s="19">
        <f>H1058*I1058</f>
        <v/>
      </c>
      <c r="T1058" s="19">
        <f>H1058*J1058</f>
        <v/>
      </c>
      <c r="U1058">
        <f>IF(AND(K1058=0,G1058&lt;=Assumptions!$C$6),1,0)</f>
        <v/>
      </c>
      <c r="V1058">
        <f>IF(U1058=1,IF(M1058&gt;0,IF(P1058&lt;=G1058+Assumptions!$C$7,1,0),0),0)</f>
        <v/>
      </c>
      <c r="W1058">
        <f>IF(AND(U1058=1,M1058&gt;=H1058*(1-Assumptions!$C$8)),1,0)</f>
        <v/>
      </c>
      <c r="X1058">
        <f>IF(AND(U1058=1,N1058&gt;=H1058*(1-Assumptions!$C$8)),1,0)</f>
        <v/>
      </c>
      <c r="Y1058">
        <f>IF(ISNUMBER(Q1058),1,0)</f>
        <v/>
      </c>
      <c r="Z1058">
        <f>IF(AND(K1058=0,L1058=0,Y1058=0),1,0)</f>
        <v/>
      </c>
      <c r="AA1058">
        <f>IF(AND(Z1058=1,G1058&lt;Assumptions!$C$6),1,0)</f>
        <v/>
      </c>
      <c r="AB1058">
        <f>IF(U1058=0,"",IF(Y1058=1,MAX(0,Q1058-G1058),IF(L1058=1,MAX(0,R1058-G1058),MAX(0,Assumptions!$C$6-G1058))))</f>
        <v/>
      </c>
      <c r="AC1058">
        <f>IF(Y1058=1,Q1058-F1058,"")</f>
        <v/>
      </c>
      <c r="AD1058">
        <f>IF(Y1058=1,AC1058^2,"")</f>
        <v/>
      </c>
      <c r="AE1058" s="19">
        <f>IF(Z1058=1,(H1058-M1058)*I1058,0)</f>
        <v/>
      </c>
      <c r="AF1058">
        <f>IF(G1058&lt;EDATE(Assumptions!$C$6,-12)+1,"prior_12m","last_12m")</f>
        <v/>
      </c>
      <c r="AG1058" s="21">
        <f>DATE(YEAR(G1058),MONTH(G1058),1)</f>
        <v/>
      </c>
    </row>
    <row r="1059">
      <c r="A1059" t="inlineStr">
        <is>
          <t>SPO-00581-1</t>
        </is>
      </c>
      <c r="B1059" t="inlineStr">
        <is>
          <t>SPO-00581</t>
        </is>
      </c>
      <c r="C1059" t="inlineStr">
        <is>
          <t>SUP-06</t>
        </is>
      </c>
      <c r="D1059" t="inlineStr">
        <is>
          <t>MRO</t>
        </is>
      </c>
      <c r="E1059" t="inlineStr">
        <is>
          <t>MRO-02</t>
        </is>
      </c>
      <c r="F1059" s="17" t="n">
        <v>45717</v>
      </c>
      <c r="G1059" s="17" t="n">
        <v>45725</v>
      </c>
      <c r="H1059" s="18" t="n">
        <v>37</v>
      </c>
      <c r="I1059" s="19" t="n">
        <v>41.17</v>
      </c>
      <c r="J1059" s="19" t="n">
        <v>41</v>
      </c>
      <c r="K1059" s="20" t="n">
        <v>0</v>
      </c>
      <c r="L1059" s="20" t="n">
        <v>0</v>
      </c>
      <c r="M1059" s="18" t="n">
        <v>37</v>
      </c>
      <c r="N1059" s="18" t="n">
        <v>37</v>
      </c>
      <c r="O1059" s="18" t="n">
        <v>0</v>
      </c>
      <c r="P1059" s="17" t="n">
        <v>45725</v>
      </c>
      <c r="Q1059" s="17" t="n">
        <v>45725</v>
      </c>
      <c r="R1059" s="17" t="n">
        <v>45725</v>
      </c>
      <c r="S1059" s="19">
        <f>H1059*I1059</f>
        <v/>
      </c>
      <c r="T1059" s="19">
        <f>H1059*J1059</f>
        <v/>
      </c>
      <c r="U1059">
        <f>IF(AND(K1059=0,G1059&lt;=Assumptions!$C$6),1,0)</f>
        <v/>
      </c>
      <c r="V1059">
        <f>IF(U1059=1,IF(M1059&gt;0,IF(P1059&lt;=G1059+Assumptions!$C$7,1,0),0),0)</f>
        <v/>
      </c>
      <c r="W1059">
        <f>IF(AND(U1059=1,M1059&gt;=H1059*(1-Assumptions!$C$8)),1,0)</f>
        <v/>
      </c>
      <c r="X1059">
        <f>IF(AND(U1059=1,N1059&gt;=H1059*(1-Assumptions!$C$8)),1,0)</f>
        <v/>
      </c>
      <c r="Y1059">
        <f>IF(ISNUMBER(Q1059),1,0)</f>
        <v/>
      </c>
      <c r="Z1059">
        <f>IF(AND(K1059=0,L1059=0,Y1059=0),1,0)</f>
        <v/>
      </c>
      <c r="AA1059">
        <f>IF(AND(Z1059=1,G1059&lt;Assumptions!$C$6),1,0)</f>
        <v/>
      </c>
      <c r="AB1059">
        <f>IF(U1059=0,"",IF(Y1059=1,MAX(0,Q1059-G1059),IF(L1059=1,MAX(0,R1059-G1059),MAX(0,Assumptions!$C$6-G1059))))</f>
        <v/>
      </c>
      <c r="AC1059">
        <f>IF(Y1059=1,Q1059-F1059,"")</f>
        <v/>
      </c>
      <c r="AD1059">
        <f>IF(Y1059=1,AC1059^2,"")</f>
        <v/>
      </c>
      <c r="AE1059" s="19">
        <f>IF(Z1059=1,(H1059-M1059)*I1059,0)</f>
        <v/>
      </c>
      <c r="AF1059">
        <f>IF(G1059&lt;EDATE(Assumptions!$C$6,-12)+1,"prior_12m","last_12m")</f>
        <v/>
      </c>
      <c r="AG1059" s="21">
        <f>DATE(YEAR(G1059),MONTH(G1059),1)</f>
        <v/>
      </c>
    </row>
    <row r="1060">
      <c r="A1060" t="inlineStr">
        <is>
          <t>SPO-00582-1</t>
        </is>
      </c>
      <c r="B1060" t="inlineStr">
        <is>
          <t>SPO-00582</t>
        </is>
      </c>
      <c r="C1060" t="inlineStr">
        <is>
          <t>SUP-01</t>
        </is>
      </c>
      <c r="D1060" t="inlineStr">
        <is>
          <t>ELEC</t>
        </is>
      </c>
      <c r="E1060" t="inlineStr">
        <is>
          <t>ELEC-01</t>
        </is>
      </c>
      <c r="F1060" s="17" t="n">
        <v>45717</v>
      </c>
      <c r="G1060" s="17" t="n">
        <v>45735</v>
      </c>
      <c r="H1060" s="18" t="n">
        <v>24</v>
      </c>
      <c r="I1060" s="19" t="n">
        <v>38.14</v>
      </c>
      <c r="J1060" s="19" t="n">
        <v>38</v>
      </c>
      <c r="K1060" s="20" t="n">
        <v>0</v>
      </c>
      <c r="L1060" s="20" t="n">
        <v>0</v>
      </c>
      <c r="M1060" s="18" t="n">
        <v>24</v>
      </c>
      <c r="N1060" s="18" t="n">
        <v>24</v>
      </c>
      <c r="O1060" s="18" t="n">
        <v>0</v>
      </c>
      <c r="P1060" s="17" t="n">
        <v>45732</v>
      </c>
      <c r="Q1060" s="17" t="n">
        <v>45732</v>
      </c>
      <c r="R1060" s="17" t="n">
        <v>45732</v>
      </c>
      <c r="S1060" s="19">
        <f>H1060*I1060</f>
        <v/>
      </c>
      <c r="T1060" s="19">
        <f>H1060*J1060</f>
        <v/>
      </c>
      <c r="U1060">
        <f>IF(AND(K1060=0,G1060&lt;=Assumptions!$C$6),1,0)</f>
        <v/>
      </c>
      <c r="V1060">
        <f>IF(U1060=1,IF(M1060&gt;0,IF(P1060&lt;=G1060+Assumptions!$C$7,1,0),0),0)</f>
        <v/>
      </c>
      <c r="W1060">
        <f>IF(AND(U1060=1,M1060&gt;=H1060*(1-Assumptions!$C$8)),1,0)</f>
        <v/>
      </c>
      <c r="X1060">
        <f>IF(AND(U1060=1,N1060&gt;=H1060*(1-Assumptions!$C$8)),1,0)</f>
        <v/>
      </c>
      <c r="Y1060">
        <f>IF(ISNUMBER(Q1060),1,0)</f>
        <v/>
      </c>
      <c r="Z1060">
        <f>IF(AND(K1060=0,L1060=0,Y1060=0),1,0)</f>
        <v/>
      </c>
      <c r="AA1060">
        <f>IF(AND(Z1060=1,G1060&lt;Assumptions!$C$6),1,0)</f>
        <v/>
      </c>
      <c r="AB1060">
        <f>IF(U1060=0,"",IF(Y1060=1,MAX(0,Q1060-G1060),IF(L1060=1,MAX(0,R1060-G1060),MAX(0,Assumptions!$C$6-G1060))))</f>
        <v/>
      </c>
      <c r="AC1060">
        <f>IF(Y1060=1,Q1060-F1060,"")</f>
        <v/>
      </c>
      <c r="AD1060">
        <f>IF(Y1060=1,AC1060^2,"")</f>
        <v/>
      </c>
      <c r="AE1060" s="19">
        <f>IF(Z1060=1,(H1060-M1060)*I1060,0)</f>
        <v/>
      </c>
      <c r="AF1060">
        <f>IF(G1060&lt;EDATE(Assumptions!$C$6,-12)+1,"prior_12m","last_12m")</f>
        <v/>
      </c>
      <c r="AG1060" s="21">
        <f>DATE(YEAR(G1060),MONTH(G1060),1)</f>
        <v/>
      </c>
    </row>
    <row r="1061">
      <c r="A1061" t="inlineStr">
        <is>
          <t>SPO-00583-1</t>
        </is>
      </c>
      <c r="B1061" t="inlineStr">
        <is>
          <t>SPO-00583</t>
        </is>
      </c>
      <c r="C1061" t="inlineStr">
        <is>
          <t>SUP-02</t>
        </is>
      </c>
      <c r="D1061" t="inlineStr">
        <is>
          <t>ELEC</t>
        </is>
      </c>
      <c r="E1061" t="inlineStr">
        <is>
          <t>ELEC-08</t>
        </is>
      </c>
      <c r="F1061" s="17" t="n">
        <v>45717</v>
      </c>
      <c r="G1061" s="17" t="n">
        <v>45733</v>
      </c>
      <c r="H1061" s="18" t="n">
        <v>64</v>
      </c>
      <c r="I1061" s="19" t="n">
        <v>18.46</v>
      </c>
      <c r="J1061" s="19" t="n">
        <v>18</v>
      </c>
      <c r="K1061" s="20" t="n">
        <v>0</v>
      </c>
      <c r="L1061" s="20" t="n">
        <v>0</v>
      </c>
      <c r="M1061" s="18" t="n">
        <v>64</v>
      </c>
      <c r="N1061" s="18" t="n">
        <v>64</v>
      </c>
      <c r="O1061" s="18" t="n">
        <v>0</v>
      </c>
      <c r="P1061" s="17" t="n">
        <v>45731</v>
      </c>
      <c r="Q1061" s="17" t="n">
        <v>45731</v>
      </c>
      <c r="R1061" s="17" t="n">
        <v>45731</v>
      </c>
      <c r="S1061" s="19">
        <f>H1061*I1061</f>
        <v/>
      </c>
      <c r="T1061" s="19">
        <f>H1061*J1061</f>
        <v/>
      </c>
      <c r="U1061">
        <f>IF(AND(K1061=0,G1061&lt;=Assumptions!$C$6),1,0)</f>
        <v/>
      </c>
      <c r="V1061">
        <f>IF(U1061=1,IF(M1061&gt;0,IF(P1061&lt;=G1061+Assumptions!$C$7,1,0),0),0)</f>
        <v/>
      </c>
      <c r="W1061">
        <f>IF(AND(U1061=1,M1061&gt;=H1061*(1-Assumptions!$C$8)),1,0)</f>
        <v/>
      </c>
      <c r="X1061">
        <f>IF(AND(U1061=1,N1061&gt;=H1061*(1-Assumptions!$C$8)),1,0)</f>
        <v/>
      </c>
      <c r="Y1061">
        <f>IF(ISNUMBER(Q1061),1,0)</f>
        <v/>
      </c>
      <c r="Z1061">
        <f>IF(AND(K1061=0,L1061=0,Y1061=0),1,0)</f>
        <v/>
      </c>
      <c r="AA1061">
        <f>IF(AND(Z1061=1,G1061&lt;Assumptions!$C$6),1,0)</f>
        <v/>
      </c>
      <c r="AB1061">
        <f>IF(U1061=0,"",IF(Y1061=1,MAX(0,Q1061-G1061),IF(L1061=1,MAX(0,R1061-G1061),MAX(0,Assumptions!$C$6-G1061))))</f>
        <v/>
      </c>
      <c r="AC1061">
        <f>IF(Y1061=1,Q1061-F1061,"")</f>
        <v/>
      </c>
      <c r="AD1061">
        <f>IF(Y1061=1,AC1061^2,"")</f>
        <v/>
      </c>
      <c r="AE1061" s="19">
        <f>IF(Z1061=1,(H1061-M1061)*I1061,0)</f>
        <v/>
      </c>
      <c r="AF1061">
        <f>IF(G1061&lt;EDATE(Assumptions!$C$6,-12)+1,"prior_12m","last_12m")</f>
        <v/>
      </c>
      <c r="AG1061" s="21">
        <f>DATE(YEAR(G1061),MONTH(G1061),1)</f>
        <v/>
      </c>
    </row>
    <row r="1062">
      <c r="A1062" t="inlineStr">
        <is>
          <t>SPO-00584-1</t>
        </is>
      </c>
      <c r="B1062" t="inlineStr">
        <is>
          <t>SPO-00584</t>
        </is>
      </c>
      <c r="C1062" t="inlineStr">
        <is>
          <t>SUP-07</t>
        </is>
      </c>
      <c r="D1062" t="inlineStr">
        <is>
          <t>MRO</t>
        </is>
      </c>
      <c r="E1062" t="inlineStr">
        <is>
          <t>MRO-08</t>
        </is>
      </c>
      <c r="F1062" s="17" t="n">
        <v>45718</v>
      </c>
      <c r="G1062" s="17" t="n">
        <v>45728</v>
      </c>
      <c r="H1062" s="18" t="n">
        <v>248</v>
      </c>
      <c r="I1062" s="19" t="n">
        <v>7.05</v>
      </c>
      <c r="J1062" s="19" t="n">
        <v>7.2</v>
      </c>
      <c r="K1062" s="20" t="n">
        <v>0</v>
      </c>
      <c r="L1062" s="20" t="n">
        <v>1</v>
      </c>
      <c r="M1062" s="18" t="n">
        <v>127</v>
      </c>
      <c r="N1062" s="18" t="n">
        <v>127</v>
      </c>
      <c r="O1062" s="18" t="n">
        <v>0</v>
      </c>
      <c r="P1062" s="17" t="n">
        <v>45725</v>
      </c>
      <c r="Q1062" s="17" t="n"/>
      <c r="R1062" s="17" t="n">
        <v>45725</v>
      </c>
      <c r="S1062" s="19">
        <f>H1062*I1062</f>
        <v/>
      </c>
      <c r="T1062" s="19">
        <f>H1062*J1062</f>
        <v/>
      </c>
      <c r="U1062">
        <f>IF(AND(K1062=0,G1062&lt;=Assumptions!$C$6),1,0)</f>
        <v/>
      </c>
      <c r="V1062">
        <f>IF(U1062=1,IF(M1062&gt;0,IF(P1062&lt;=G1062+Assumptions!$C$7,1,0),0),0)</f>
        <v/>
      </c>
      <c r="W1062">
        <f>IF(AND(U1062=1,M1062&gt;=H1062*(1-Assumptions!$C$8)),1,0)</f>
        <v/>
      </c>
      <c r="X1062">
        <f>IF(AND(U1062=1,N1062&gt;=H1062*(1-Assumptions!$C$8)),1,0)</f>
        <v/>
      </c>
      <c r="Y1062">
        <f>IF(ISNUMBER(Q1062),1,0)</f>
        <v/>
      </c>
      <c r="Z1062">
        <f>IF(AND(K1062=0,L1062=0,Y1062=0),1,0)</f>
        <v/>
      </c>
      <c r="AA1062">
        <f>IF(AND(Z1062=1,G1062&lt;Assumptions!$C$6),1,0)</f>
        <v/>
      </c>
      <c r="AB1062">
        <f>IF(U1062=0,"",IF(Y1062=1,MAX(0,Q1062-G1062),IF(L1062=1,MAX(0,R1062-G1062),MAX(0,Assumptions!$C$6-G1062))))</f>
        <v/>
      </c>
      <c r="AC1062">
        <f>IF(Y1062=1,Q1062-F1062,"")</f>
        <v/>
      </c>
      <c r="AD1062">
        <f>IF(Y1062=1,AC1062^2,"")</f>
        <v/>
      </c>
      <c r="AE1062" s="19">
        <f>IF(Z1062=1,(H1062-M1062)*I1062,0)</f>
        <v/>
      </c>
      <c r="AF1062">
        <f>IF(G1062&lt;EDATE(Assumptions!$C$6,-12)+1,"prior_12m","last_12m")</f>
        <v/>
      </c>
      <c r="AG1062" s="21">
        <f>DATE(YEAR(G1062),MONTH(G1062),1)</f>
        <v/>
      </c>
    </row>
    <row r="1063">
      <c r="A1063" t="inlineStr">
        <is>
          <t>SPO-00584-2</t>
        </is>
      </c>
      <c r="B1063" t="inlineStr">
        <is>
          <t>SPO-00584</t>
        </is>
      </c>
      <c r="C1063" t="inlineStr">
        <is>
          <t>SUP-07</t>
        </is>
      </c>
      <c r="D1063" t="inlineStr">
        <is>
          <t>MRO</t>
        </is>
      </c>
      <c r="E1063" t="inlineStr">
        <is>
          <t>MRO-02</t>
        </is>
      </c>
      <c r="F1063" s="17" t="n">
        <v>45718</v>
      </c>
      <c r="G1063" s="17" t="n">
        <v>45728</v>
      </c>
      <c r="H1063" s="18" t="n">
        <v>38</v>
      </c>
      <c r="I1063" s="19" t="n">
        <v>40.51</v>
      </c>
      <c r="J1063" s="19" t="n">
        <v>41</v>
      </c>
      <c r="K1063" s="20" t="n">
        <v>0</v>
      </c>
      <c r="L1063" s="20" t="n">
        <v>1</v>
      </c>
      <c r="M1063" s="18" t="n">
        <v>18</v>
      </c>
      <c r="N1063" s="18" t="n">
        <v>18</v>
      </c>
      <c r="O1063" s="18" t="n">
        <v>0</v>
      </c>
      <c r="P1063" s="17" t="n">
        <v>45725</v>
      </c>
      <c r="Q1063" s="17" t="n"/>
      <c r="R1063" s="17" t="n">
        <v>45725</v>
      </c>
      <c r="S1063" s="19">
        <f>H1063*I1063</f>
        <v/>
      </c>
      <c r="T1063" s="19">
        <f>H1063*J1063</f>
        <v/>
      </c>
      <c r="U1063">
        <f>IF(AND(K1063=0,G1063&lt;=Assumptions!$C$6),1,0)</f>
        <v/>
      </c>
      <c r="V1063">
        <f>IF(U1063=1,IF(M1063&gt;0,IF(P1063&lt;=G1063+Assumptions!$C$7,1,0),0),0)</f>
        <v/>
      </c>
      <c r="W1063">
        <f>IF(AND(U1063=1,M1063&gt;=H1063*(1-Assumptions!$C$8)),1,0)</f>
        <v/>
      </c>
      <c r="X1063">
        <f>IF(AND(U1063=1,N1063&gt;=H1063*(1-Assumptions!$C$8)),1,0)</f>
        <v/>
      </c>
      <c r="Y1063">
        <f>IF(ISNUMBER(Q1063),1,0)</f>
        <v/>
      </c>
      <c r="Z1063">
        <f>IF(AND(K1063=0,L1063=0,Y1063=0),1,0)</f>
        <v/>
      </c>
      <c r="AA1063">
        <f>IF(AND(Z1063=1,G1063&lt;Assumptions!$C$6),1,0)</f>
        <v/>
      </c>
      <c r="AB1063">
        <f>IF(U1063=0,"",IF(Y1063=1,MAX(0,Q1063-G1063),IF(L1063=1,MAX(0,R1063-G1063),MAX(0,Assumptions!$C$6-G1063))))</f>
        <v/>
      </c>
      <c r="AC1063">
        <f>IF(Y1063=1,Q1063-F1063,"")</f>
        <v/>
      </c>
      <c r="AD1063">
        <f>IF(Y1063=1,AC1063^2,"")</f>
        <v/>
      </c>
      <c r="AE1063" s="19">
        <f>IF(Z1063=1,(H1063-M1063)*I1063,0)</f>
        <v/>
      </c>
      <c r="AF1063">
        <f>IF(G1063&lt;EDATE(Assumptions!$C$6,-12)+1,"prior_12m","last_12m")</f>
        <v/>
      </c>
      <c r="AG1063" s="21">
        <f>DATE(YEAR(G1063),MONTH(G1063),1)</f>
        <v/>
      </c>
    </row>
    <row r="1064">
      <c r="A1064" t="inlineStr">
        <is>
          <t>SPO-00585-1</t>
        </is>
      </c>
      <c r="B1064" t="inlineStr">
        <is>
          <t>SPO-00585</t>
        </is>
      </c>
      <c r="C1064" t="inlineStr">
        <is>
          <t>SUP-04</t>
        </is>
      </c>
      <c r="D1064" t="inlineStr">
        <is>
          <t>FLEET</t>
        </is>
      </c>
      <c r="E1064" t="inlineStr">
        <is>
          <t>FLEET-02</t>
        </is>
      </c>
      <c r="F1064" s="17" t="n">
        <v>45718</v>
      </c>
      <c r="G1064" s="17" t="n">
        <v>45731</v>
      </c>
      <c r="H1064" s="18" t="n">
        <v>81</v>
      </c>
      <c r="I1064" s="19" t="n">
        <v>7.23</v>
      </c>
      <c r="J1064" s="19" t="n">
        <v>7.5</v>
      </c>
      <c r="K1064" s="20" t="n">
        <v>0</v>
      </c>
      <c r="L1064" s="20" t="n">
        <v>0</v>
      </c>
      <c r="M1064" s="18" t="n">
        <v>81</v>
      </c>
      <c r="N1064" s="18" t="n">
        <v>81</v>
      </c>
      <c r="O1064" s="18" t="n">
        <v>0</v>
      </c>
      <c r="P1064" s="17" t="n">
        <v>45722</v>
      </c>
      <c r="Q1064" s="17" t="n">
        <v>45722</v>
      </c>
      <c r="R1064" s="17" t="n">
        <v>45722</v>
      </c>
      <c r="S1064" s="19">
        <f>H1064*I1064</f>
        <v/>
      </c>
      <c r="T1064" s="19">
        <f>H1064*J1064</f>
        <v/>
      </c>
      <c r="U1064">
        <f>IF(AND(K1064=0,G1064&lt;=Assumptions!$C$6),1,0)</f>
        <v/>
      </c>
      <c r="V1064">
        <f>IF(U1064=1,IF(M1064&gt;0,IF(P1064&lt;=G1064+Assumptions!$C$7,1,0),0),0)</f>
        <v/>
      </c>
      <c r="W1064">
        <f>IF(AND(U1064=1,M1064&gt;=H1064*(1-Assumptions!$C$8)),1,0)</f>
        <v/>
      </c>
      <c r="X1064">
        <f>IF(AND(U1064=1,N1064&gt;=H1064*(1-Assumptions!$C$8)),1,0)</f>
        <v/>
      </c>
      <c r="Y1064">
        <f>IF(ISNUMBER(Q1064),1,0)</f>
        <v/>
      </c>
      <c r="Z1064">
        <f>IF(AND(K1064=0,L1064=0,Y1064=0),1,0)</f>
        <v/>
      </c>
      <c r="AA1064">
        <f>IF(AND(Z1064=1,G1064&lt;Assumptions!$C$6),1,0)</f>
        <v/>
      </c>
      <c r="AB1064">
        <f>IF(U1064=0,"",IF(Y1064=1,MAX(0,Q1064-G1064),IF(L1064=1,MAX(0,R1064-G1064),MAX(0,Assumptions!$C$6-G1064))))</f>
        <v/>
      </c>
      <c r="AC1064">
        <f>IF(Y1064=1,Q1064-F1064,"")</f>
        <v/>
      </c>
      <c r="AD1064">
        <f>IF(Y1064=1,AC1064^2,"")</f>
        <v/>
      </c>
      <c r="AE1064" s="19">
        <f>IF(Z1064=1,(H1064-M1064)*I1064,0)</f>
        <v/>
      </c>
      <c r="AF1064">
        <f>IF(G1064&lt;EDATE(Assumptions!$C$6,-12)+1,"prior_12m","last_12m")</f>
        <v/>
      </c>
      <c r="AG1064" s="21">
        <f>DATE(YEAR(G1064),MONTH(G1064),1)</f>
        <v/>
      </c>
    </row>
    <row r="1065">
      <c r="A1065" t="inlineStr">
        <is>
          <t>SPO-00585-2</t>
        </is>
      </c>
      <c r="B1065" t="inlineStr">
        <is>
          <t>SPO-00585</t>
        </is>
      </c>
      <c r="C1065" t="inlineStr">
        <is>
          <t>SUP-04</t>
        </is>
      </c>
      <c r="D1065" t="inlineStr">
        <is>
          <t>FLEET</t>
        </is>
      </c>
      <c r="E1065" t="inlineStr">
        <is>
          <t>FLEET-08</t>
        </is>
      </c>
      <c r="F1065" s="17" t="n">
        <v>45718</v>
      </c>
      <c r="G1065" s="17" t="n">
        <v>45731</v>
      </c>
      <c r="H1065" s="18" t="n">
        <v>267</v>
      </c>
      <c r="I1065" s="19" t="n">
        <v>6.21</v>
      </c>
      <c r="J1065" s="19" t="n">
        <v>6.4</v>
      </c>
      <c r="K1065" s="20" t="n">
        <v>0</v>
      </c>
      <c r="L1065" s="20" t="n">
        <v>0</v>
      </c>
      <c r="M1065" s="18" t="n">
        <v>267</v>
      </c>
      <c r="N1065" s="18" t="n">
        <v>267</v>
      </c>
      <c r="O1065" s="18" t="n">
        <v>0</v>
      </c>
      <c r="P1065" s="17" t="n">
        <v>45720</v>
      </c>
      <c r="Q1065" s="17" t="n">
        <v>45720</v>
      </c>
      <c r="R1065" s="17" t="n">
        <v>45720</v>
      </c>
      <c r="S1065" s="19">
        <f>H1065*I1065</f>
        <v/>
      </c>
      <c r="T1065" s="19">
        <f>H1065*J1065</f>
        <v/>
      </c>
      <c r="U1065">
        <f>IF(AND(K1065=0,G1065&lt;=Assumptions!$C$6),1,0)</f>
        <v/>
      </c>
      <c r="V1065">
        <f>IF(U1065=1,IF(M1065&gt;0,IF(P1065&lt;=G1065+Assumptions!$C$7,1,0),0),0)</f>
        <v/>
      </c>
      <c r="W1065">
        <f>IF(AND(U1065=1,M1065&gt;=H1065*(1-Assumptions!$C$8)),1,0)</f>
        <v/>
      </c>
      <c r="X1065">
        <f>IF(AND(U1065=1,N1065&gt;=H1065*(1-Assumptions!$C$8)),1,0)</f>
        <v/>
      </c>
      <c r="Y1065">
        <f>IF(ISNUMBER(Q1065),1,0)</f>
        <v/>
      </c>
      <c r="Z1065">
        <f>IF(AND(K1065=0,L1065=0,Y1065=0),1,0)</f>
        <v/>
      </c>
      <c r="AA1065">
        <f>IF(AND(Z1065=1,G1065&lt;Assumptions!$C$6),1,0)</f>
        <v/>
      </c>
      <c r="AB1065">
        <f>IF(U1065=0,"",IF(Y1065=1,MAX(0,Q1065-G1065),IF(L1065=1,MAX(0,R1065-G1065),MAX(0,Assumptions!$C$6-G1065))))</f>
        <v/>
      </c>
      <c r="AC1065">
        <f>IF(Y1065=1,Q1065-F1065,"")</f>
        <v/>
      </c>
      <c r="AD1065">
        <f>IF(Y1065=1,AC1065^2,"")</f>
        <v/>
      </c>
      <c r="AE1065" s="19">
        <f>IF(Z1065=1,(H1065-M1065)*I1065,0)</f>
        <v/>
      </c>
      <c r="AF1065">
        <f>IF(G1065&lt;EDATE(Assumptions!$C$6,-12)+1,"prior_12m","last_12m")</f>
        <v/>
      </c>
      <c r="AG1065" s="21">
        <f>DATE(YEAR(G1065),MONTH(G1065),1)</f>
        <v/>
      </c>
    </row>
    <row r="1066">
      <c r="A1066" t="inlineStr">
        <is>
          <t>SPO-00586-1</t>
        </is>
      </c>
      <c r="B1066" t="inlineStr">
        <is>
          <t>SPO-00586</t>
        </is>
      </c>
      <c r="C1066" t="inlineStr">
        <is>
          <t>SUP-12</t>
        </is>
      </c>
      <c r="D1066" t="inlineStr">
        <is>
          <t>IT</t>
        </is>
      </c>
      <c r="E1066" t="inlineStr">
        <is>
          <t>IT-02</t>
        </is>
      </c>
      <c r="F1066" s="17" t="n">
        <v>45718</v>
      </c>
      <c r="G1066" s="17" t="n">
        <v>45728</v>
      </c>
      <c r="H1066" s="18" t="n">
        <v>5</v>
      </c>
      <c r="I1066" s="19" t="n">
        <v>176.75</v>
      </c>
      <c r="J1066" s="19" t="n">
        <v>162</v>
      </c>
      <c r="K1066" s="20" t="n">
        <v>0</v>
      </c>
      <c r="L1066" s="20" t="n">
        <v>0</v>
      </c>
      <c r="M1066" s="18" t="n">
        <v>5</v>
      </c>
      <c r="N1066" s="18" t="n">
        <v>5</v>
      </c>
      <c r="O1066" s="18" t="n">
        <v>0</v>
      </c>
      <c r="P1066" s="17" t="n">
        <v>45721</v>
      </c>
      <c r="Q1066" s="17" t="n">
        <v>45721</v>
      </c>
      <c r="R1066" s="17" t="n">
        <v>45721</v>
      </c>
      <c r="S1066" s="19">
        <f>H1066*I1066</f>
        <v/>
      </c>
      <c r="T1066" s="19">
        <f>H1066*J1066</f>
        <v/>
      </c>
      <c r="U1066">
        <f>IF(AND(K1066=0,G1066&lt;=Assumptions!$C$6),1,0)</f>
        <v/>
      </c>
      <c r="V1066">
        <f>IF(U1066=1,IF(M1066&gt;0,IF(P1066&lt;=G1066+Assumptions!$C$7,1,0),0),0)</f>
        <v/>
      </c>
      <c r="W1066">
        <f>IF(AND(U1066=1,M1066&gt;=H1066*(1-Assumptions!$C$8)),1,0)</f>
        <v/>
      </c>
      <c r="X1066">
        <f>IF(AND(U1066=1,N1066&gt;=H1066*(1-Assumptions!$C$8)),1,0)</f>
        <v/>
      </c>
      <c r="Y1066">
        <f>IF(ISNUMBER(Q1066),1,0)</f>
        <v/>
      </c>
      <c r="Z1066">
        <f>IF(AND(K1066=0,L1066=0,Y1066=0),1,0)</f>
        <v/>
      </c>
      <c r="AA1066">
        <f>IF(AND(Z1066=1,G1066&lt;Assumptions!$C$6),1,0)</f>
        <v/>
      </c>
      <c r="AB1066">
        <f>IF(U1066=0,"",IF(Y1066=1,MAX(0,Q1066-G1066),IF(L1066=1,MAX(0,R1066-G1066),MAX(0,Assumptions!$C$6-G1066))))</f>
        <v/>
      </c>
      <c r="AC1066">
        <f>IF(Y1066=1,Q1066-F1066,"")</f>
        <v/>
      </c>
      <c r="AD1066">
        <f>IF(Y1066=1,AC1066^2,"")</f>
        <v/>
      </c>
      <c r="AE1066" s="19">
        <f>IF(Z1066=1,(H1066-M1066)*I1066,0)</f>
        <v/>
      </c>
      <c r="AF1066">
        <f>IF(G1066&lt;EDATE(Assumptions!$C$6,-12)+1,"prior_12m","last_12m")</f>
        <v/>
      </c>
      <c r="AG1066" s="21">
        <f>DATE(YEAR(G1066),MONTH(G1066),1)</f>
        <v/>
      </c>
    </row>
    <row r="1067">
      <c r="A1067" t="inlineStr">
        <is>
          <t>SPO-00586-2</t>
        </is>
      </c>
      <c r="B1067" t="inlineStr">
        <is>
          <t>SPO-00586</t>
        </is>
      </c>
      <c r="C1067" t="inlineStr">
        <is>
          <t>SUP-12</t>
        </is>
      </c>
      <c r="D1067" t="inlineStr">
        <is>
          <t>IT</t>
        </is>
      </c>
      <c r="E1067" t="inlineStr">
        <is>
          <t>IT-08</t>
        </is>
      </c>
      <c r="F1067" s="17" t="n">
        <v>45718</v>
      </c>
      <c r="G1067" s="17" t="n">
        <v>45728</v>
      </c>
      <c r="H1067" s="18" t="n">
        <v>10</v>
      </c>
      <c r="I1067" s="19" t="n">
        <v>278.95</v>
      </c>
      <c r="J1067" s="19" t="n">
        <v>245</v>
      </c>
      <c r="K1067" s="20" t="n">
        <v>0</v>
      </c>
      <c r="L1067" s="20" t="n">
        <v>0</v>
      </c>
      <c r="M1067" s="18" t="n">
        <v>10</v>
      </c>
      <c r="N1067" s="18" t="n">
        <v>10</v>
      </c>
      <c r="O1067" s="18" t="n">
        <v>0</v>
      </c>
      <c r="P1067" s="17" t="n">
        <v>45723</v>
      </c>
      <c r="Q1067" s="17" t="n">
        <v>45723</v>
      </c>
      <c r="R1067" s="17" t="n">
        <v>45723</v>
      </c>
      <c r="S1067" s="19">
        <f>H1067*I1067</f>
        <v/>
      </c>
      <c r="T1067" s="19">
        <f>H1067*J1067</f>
        <v/>
      </c>
      <c r="U1067">
        <f>IF(AND(K1067=0,G1067&lt;=Assumptions!$C$6),1,0)</f>
        <v/>
      </c>
      <c r="V1067">
        <f>IF(U1067=1,IF(M1067&gt;0,IF(P1067&lt;=G1067+Assumptions!$C$7,1,0),0),0)</f>
        <v/>
      </c>
      <c r="W1067">
        <f>IF(AND(U1067=1,M1067&gt;=H1067*(1-Assumptions!$C$8)),1,0)</f>
        <v/>
      </c>
      <c r="X1067">
        <f>IF(AND(U1067=1,N1067&gt;=H1067*(1-Assumptions!$C$8)),1,0)</f>
        <v/>
      </c>
      <c r="Y1067">
        <f>IF(ISNUMBER(Q1067),1,0)</f>
        <v/>
      </c>
      <c r="Z1067">
        <f>IF(AND(K1067=0,L1067=0,Y1067=0),1,0)</f>
        <v/>
      </c>
      <c r="AA1067">
        <f>IF(AND(Z1067=1,G1067&lt;Assumptions!$C$6),1,0)</f>
        <v/>
      </c>
      <c r="AB1067">
        <f>IF(U1067=0,"",IF(Y1067=1,MAX(0,Q1067-G1067),IF(L1067=1,MAX(0,R1067-G1067),MAX(0,Assumptions!$C$6-G1067))))</f>
        <v/>
      </c>
      <c r="AC1067">
        <f>IF(Y1067=1,Q1067-F1067,"")</f>
        <v/>
      </c>
      <c r="AD1067">
        <f>IF(Y1067=1,AC1067^2,"")</f>
        <v/>
      </c>
      <c r="AE1067" s="19">
        <f>IF(Z1067=1,(H1067-M1067)*I1067,0)</f>
        <v/>
      </c>
      <c r="AF1067">
        <f>IF(G1067&lt;EDATE(Assumptions!$C$6,-12)+1,"prior_12m","last_12m")</f>
        <v/>
      </c>
      <c r="AG1067" s="21">
        <f>DATE(YEAR(G1067),MONTH(G1067),1)</f>
        <v/>
      </c>
    </row>
    <row r="1068">
      <c r="A1068" t="inlineStr">
        <is>
          <t>SPO-00587-1</t>
        </is>
      </c>
      <c r="B1068" t="inlineStr">
        <is>
          <t>SPO-00587</t>
        </is>
      </c>
      <c r="C1068" t="inlineStr">
        <is>
          <t>SUP-01</t>
        </is>
      </c>
      <c r="D1068" t="inlineStr">
        <is>
          <t>ELEC</t>
        </is>
      </c>
      <c r="E1068" t="inlineStr">
        <is>
          <t>ELEC-03</t>
        </is>
      </c>
      <c r="F1068" s="17" t="n">
        <v>45718</v>
      </c>
      <c r="G1068" s="17" t="n">
        <v>45736</v>
      </c>
      <c r="H1068" s="18" t="n">
        <v>34</v>
      </c>
      <c r="I1068" s="19" t="n">
        <v>97.18000000000001</v>
      </c>
      <c r="J1068" s="19" t="n">
        <v>96</v>
      </c>
      <c r="K1068" s="20" t="n">
        <v>0</v>
      </c>
      <c r="L1068" s="20" t="n">
        <v>0</v>
      </c>
      <c r="M1068" s="18" t="n">
        <v>34</v>
      </c>
      <c r="N1068" s="18" t="n">
        <v>34</v>
      </c>
      <c r="O1068" s="18" t="n">
        <v>0</v>
      </c>
      <c r="P1068" s="17" t="n">
        <v>45731</v>
      </c>
      <c r="Q1068" s="17" t="n">
        <v>45731</v>
      </c>
      <c r="R1068" s="17" t="n">
        <v>45731</v>
      </c>
      <c r="S1068" s="19">
        <f>H1068*I1068</f>
        <v/>
      </c>
      <c r="T1068" s="19">
        <f>H1068*J1068</f>
        <v/>
      </c>
      <c r="U1068">
        <f>IF(AND(K1068=0,G1068&lt;=Assumptions!$C$6),1,0)</f>
        <v/>
      </c>
      <c r="V1068">
        <f>IF(U1068=1,IF(M1068&gt;0,IF(P1068&lt;=G1068+Assumptions!$C$7,1,0),0),0)</f>
        <v/>
      </c>
      <c r="W1068">
        <f>IF(AND(U1068=1,M1068&gt;=H1068*(1-Assumptions!$C$8)),1,0)</f>
        <v/>
      </c>
      <c r="X1068">
        <f>IF(AND(U1068=1,N1068&gt;=H1068*(1-Assumptions!$C$8)),1,0)</f>
        <v/>
      </c>
      <c r="Y1068">
        <f>IF(ISNUMBER(Q1068),1,0)</f>
        <v/>
      </c>
      <c r="Z1068">
        <f>IF(AND(K1068=0,L1068=0,Y1068=0),1,0)</f>
        <v/>
      </c>
      <c r="AA1068">
        <f>IF(AND(Z1068=1,G1068&lt;Assumptions!$C$6),1,0)</f>
        <v/>
      </c>
      <c r="AB1068">
        <f>IF(U1068=0,"",IF(Y1068=1,MAX(0,Q1068-G1068),IF(L1068=1,MAX(0,R1068-G1068),MAX(0,Assumptions!$C$6-G1068))))</f>
        <v/>
      </c>
      <c r="AC1068">
        <f>IF(Y1068=1,Q1068-F1068,"")</f>
        <v/>
      </c>
      <c r="AD1068">
        <f>IF(Y1068=1,AC1068^2,"")</f>
        <v/>
      </c>
      <c r="AE1068" s="19">
        <f>IF(Z1068=1,(H1068-M1068)*I1068,0)</f>
        <v/>
      </c>
      <c r="AF1068">
        <f>IF(G1068&lt;EDATE(Assumptions!$C$6,-12)+1,"prior_12m","last_12m")</f>
        <v/>
      </c>
      <c r="AG1068" s="21">
        <f>DATE(YEAR(G1068),MONTH(G1068),1)</f>
        <v/>
      </c>
    </row>
    <row r="1069">
      <c r="A1069" t="inlineStr">
        <is>
          <t>SPO-00588-1</t>
        </is>
      </c>
      <c r="B1069" t="inlineStr">
        <is>
          <t>SPO-00588</t>
        </is>
      </c>
      <c r="C1069" t="inlineStr">
        <is>
          <t>SUP-06</t>
        </is>
      </c>
      <c r="D1069" t="inlineStr">
        <is>
          <t>MRO</t>
        </is>
      </c>
      <c r="E1069" t="inlineStr">
        <is>
          <t>MRO-07</t>
        </is>
      </c>
      <c r="F1069" s="17" t="n">
        <v>45718</v>
      </c>
      <c r="G1069" s="17" t="n">
        <v>45726</v>
      </c>
      <c r="H1069" s="18" t="n">
        <v>94</v>
      </c>
      <c r="I1069" s="19" t="n">
        <v>13.82</v>
      </c>
      <c r="J1069" s="19" t="n">
        <v>14</v>
      </c>
      <c r="K1069" s="20" t="n">
        <v>0</v>
      </c>
      <c r="L1069" s="20" t="n">
        <v>0</v>
      </c>
      <c r="M1069" s="18" t="n">
        <v>94</v>
      </c>
      <c r="N1069" s="18" t="n">
        <v>94</v>
      </c>
      <c r="O1069" s="18" t="n">
        <v>0</v>
      </c>
      <c r="P1069" s="17" t="n">
        <v>45724</v>
      </c>
      <c r="Q1069" s="17" t="n">
        <v>45724</v>
      </c>
      <c r="R1069" s="17" t="n">
        <v>45724</v>
      </c>
      <c r="S1069" s="19">
        <f>H1069*I1069</f>
        <v/>
      </c>
      <c r="T1069" s="19">
        <f>H1069*J1069</f>
        <v/>
      </c>
      <c r="U1069">
        <f>IF(AND(K1069=0,G1069&lt;=Assumptions!$C$6),1,0)</f>
        <v/>
      </c>
      <c r="V1069">
        <f>IF(U1069=1,IF(M1069&gt;0,IF(P1069&lt;=G1069+Assumptions!$C$7,1,0),0),0)</f>
        <v/>
      </c>
      <c r="W1069">
        <f>IF(AND(U1069=1,M1069&gt;=H1069*(1-Assumptions!$C$8)),1,0)</f>
        <v/>
      </c>
      <c r="X1069">
        <f>IF(AND(U1069=1,N1069&gt;=H1069*(1-Assumptions!$C$8)),1,0)</f>
        <v/>
      </c>
      <c r="Y1069">
        <f>IF(ISNUMBER(Q1069),1,0)</f>
        <v/>
      </c>
      <c r="Z1069">
        <f>IF(AND(K1069=0,L1069=0,Y1069=0),1,0)</f>
        <v/>
      </c>
      <c r="AA1069">
        <f>IF(AND(Z1069=1,G1069&lt;Assumptions!$C$6),1,0)</f>
        <v/>
      </c>
      <c r="AB1069">
        <f>IF(U1069=0,"",IF(Y1069=1,MAX(0,Q1069-G1069),IF(L1069=1,MAX(0,R1069-G1069),MAX(0,Assumptions!$C$6-G1069))))</f>
        <v/>
      </c>
      <c r="AC1069">
        <f>IF(Y1069=1,Q1069-F1069,"")</f>
        <v/>
      </c>
      <c r="AD1069">
        <f>IF(Y1069=1,AC1069^2,"")</f>
        <v/>
      </c>
      <c r="AE1069" s="19">
        <f>IF(Z1069=1,(H1069-M1069)*I1069,0)</f>
        <v/>
      </c>
      <c r="AF1069">
        <f>IF(G1069&lt;EDATE(Assumptions!$C$6,-12)+1,"prior_12m","last_12m")</f>
        <v/>
      </c>
      <c r="AG1069" s="21">
        <f>DATE(YEAR(G1069),MONTH(G1069),1)</f>
        <v/>
      </c>
    </row>
    <row r="1070">
      <c r="A1070" t="inlineStr">
        <is>
          <t>SPO-00588-2</t>
        </is>
      </c>
      <c r="B1070" t="inlineStr">
        <is>
          <t>SPO-00588</t>
        </is>
      </c>
      <c r="C1070" t="inlineStr">
        <is>
          <t>SUP-06</t>
        </is>
      </c>
      <c r="D1070" t="inlineStr">
        <is>
          <t>MRO</t>
        </is>
      </c>
      <c r="E1070" t="inlineStr">
        <is>
          <t>MRO-02</t>
        </is>
      </c>
      <c r="F1070" s="17" t="n">
        <v>45718</v>
      </c>
      <c r="G1070" s="17" t="n">
        <v>45726</v>
      </c>
      <c r="H1070" s="18" t="n">
        <v>17</v>
      </c>
      <c r="I1070" s="19" t="n">
        <v>40.33</v>
      </c>
      <c r="J1070" s="19" t="n">
        <v>41</v>
      </c>
      <c r="K1070" s="20" t="n">
        <v>0</v>
      </c>
      <c r="L1070" s="20" t="n">
        <v>0</v>
      </c>
      <c r="M1070" s="18" t="n">
        <v>17</v>
      </c>
      <c r="N1070" s="18" t="n">
        <v>17</v>
      </c>
      <c r="O1070" s="18" t="n">
        <v>0</v>
      </c>
      <c r="P1070" s="17" t="n">
        <v>45725</v>
      </c>
      <c r="Q1070" s="17" t="n">
        <v>45725</v>
      </c>
      <c r="R1070" s="17" t="n">
        <v>45725</v>
      </c>
      <c r="S1070" s="19">
        <f>H1070*I1070</f>
        <v/>
      </c>
      <c r="T1070" s="19">
        <f>H1070*J1070</f>
        <v/>
      </c>
      <c r="U1070">
        <f>IF(AND(K1070=0,G1070&lt;=Assumptions!$C$6),1,0)</f>
        <v/>
      </c>
      <c r="V1070">
        <f>IF(U1070=1,IF(M1070&gt;0,IF(P1070&lt;=G1070+Assumptions!$C$7,1,0),0),0)</f>
        <v/>
      </c>
      <c r="W1070">
        <f>IF(AND(U1070=1,M1070&gt;=H1070*(1-Assumptions!$C$8)),1,0)</f>
        <v/>
      </c>
      <c r="X1070">
        <f>IF(AND(U1070=1,N1070&gt;=H1070*(1-Assumptions!$C$8)),1,0)</f>
        <v/>
      </c>
      <c r="Y1070">
        <f>IF(ISNUMBER(Q1070),1,0)</f>
        <v/>
      </c>
      <c r="Z1070">
        <f>IF(AND(K1070=0,L1070=0,Y1070=0),1,0)</f>
        <v/>
      </c>
      <c r="AA1070">
        <f>IF(AND(Z1070=1,G1070&lt;Assumptions!$C$6),1,0)</f>
        <v/>
      </c>
      <c r="AB1070">
        <f>IF(U1070=0,"",IF(Y1070=1,MAX(0,Q1070-G1070),IF(L1070=1,MAX(0,R1070-G1070),MAX(0,Assumptions!$C$6-G1070))))</f>
        <v/>
      </c>
      <c r="AC1070">
        <f>IF(Y1070=1,Q1070-F1070,"")</f>
        <v/>
      </c>
      <c r="AD1070">
        <f>IF(Y1070=1,AC1070^2,"")</f>
        <v/>
      </c>
      <c r="AE1070" s="19">
        <f>IF(Z1070=1,(H1070-M1070)*I1070,0)</f>
        <v/>
      </c>
      <c r="AF1070">
        <f>IF(G1070&lt;EDATE(Assumptions!$C$6,-12)+1,"prior_12m","last_12m")</f>
        <v/>
      </c>
      <c r="AG1070" s="21">
        <f>DATE(YEAR(G1070),MONTH(G1070),1)</f>
        <v/>
      </c>
    </row>
    <row r="1071">
      <c r="A1071" t="inlineStr">
        <is>
          <t>SPO-00589-1</t>
        </is>
      </c>
      <c r="B1071" t="inlineStr">
        <is>
          <t>SPO-00589</t>
        </is>
      </c>
      <c r="C1071" t="inlineStr">
        <is>
          <t>SUP-01</t>
        </is>
      </c>
      <c r="D1071" t="inlineStr">
        <is>
          <t>ELEC</t>
        </is>
      </c>
      <c r="E1071" t="inlineStr">
        <is>
          <t>ELEC-03</t>
        </is>
      </c>
      <c r="F1071" s="17" t="n">
        <v>45719</v>
      </c>
      <c r="G1071" s="17" t="n">
        <v>45737</v>
      </c>
      <c r="H1071" s="18" t="n">
        <v>50</v>
      </c>
      <c r="I1071" s="19" t="n">
        <v>100.87</v>
      </c>
      <c r="J1071" s="19" t="n">
        <v>96</v>
      </c>
      <c r="K1071" s="20" t="n">
        <v>0</v>
      </c>
      <c r="L1071" s="20" t="n">
        <v>0</v>
      </c>
      <c r="M1071" s="18" t="n">
        <v>50</v>
      </c>
      <c r="N1071" s="18" t="n">
        <v>50</v>
      </c>
      <c r="O1071" s="18" t="n">
        <v>0</v>
      </c>
      <c r="P1071" s="17" t="n">
        <v>45732</v>
      </c>
      <c r="Q1071" s="17" t="n">
        <v>45732</v>
      </c>
      <c r="R1071" s="17" t="n">
        <v>45732</v>
      </c>
      <c r="S1071" s="19">
        <f>H1071*I1071</f>
        <v/>
      </c>
      <c r="T1071" s="19">
        <f>H1071*J1071</f>
        <v/>
      </c>
      <c r="U1071">
        <f>IF(AND(K1071=0,G1071&lt;=Assumptions!$C$6),1,0)</f>
        <v/>
      </c>
      <c r="V1071">
        <f>IF(U1071=1,IF(M1071&gt;0,IF(P1071&lt;=G1071+Assumptions!$C$7,1,0),0),0)</f>
        <v/>
      </c>
      <c r="W1071">
        <f>IF(AND(U1071=1,M1071&gt;=H1071*(1-Assumptions!$C$8)),1,0)</f>
        <v/>
      </c>
      <c r="X1071">
        <f>IF(AND(U1071=1,N1071&gt;=H1071*(1-Assumptions!$C$8)),1,0)</f>
        <v/>
      </c>
      <c r="Y1071">
        <f>IF(ISNUMBER(Q1071),1,0)</f>
        <v/>
      </c>
      <c r="Z1071">
        <f>IF(AND(K1071=0,L1071=0,Y1071=0),1,0)</f>
        <v/>
      </c>
      <c r="AA1071">
        <f>IF(AND(Z1071=1,G1071&lt;Assumptions!$C$6),1,0)</f>
        <v/>
      </c>
      <c r="AB1071">
        <f>IF(U1071=0,"",IF(Y1071=1,MAX(0,Q1071-G1071),IF(L1071=1,MAX(0,R1071-G1071),MAX(0,Assumptions!$C$6-G1071))))</f>
        <v/>
      </c>
      <c r="AC1071">
        <f>IF(Y1071=1,Q1071-F1071,"")</f>
        <v/>
      </c>
      <c r="AD1071">
        <f>IF(Y1071=1,AC1071^2,"")</f>
        <v/>
      </c>
      <c r="AE1071" s="19">
        <f>IF(Z1071=1,(H1071-M1071)*I1071,0)</f>
        <v/>
      </c>
      <c r="AF1071">
        <f>IF(G1071&lt;EDATE(Assumptions!$C$6,-12)+1,"prior_12m","last_12m")</f>
        <v/>
      </c>
      <c r="AG1071" s="21">
        <f>DATE(YEAR(G1071),MONTH(G1071),1)</f>
        <v/>
      </c>
    </row>
    <row r="1072">
      <c r="A1072" t="inlineStr">
        <is>
          <t>SPO-00590-1</t>
        </is>
      </c>
      <c r="B1072" t="inlineStr">
        <is>
          <t>SPO-00590</t>
        </is>
      </c>
      <c r="C1072" t="inlineStr">
        <is>
          <t>SUP-09</t>
        </is>
      </c>
      <c r="D1072" t="inlineStr">
        <is>
          <t>CHEM</t>
        </is>
      </c>
      <c r="E1072" t="inlineStr">
        <is>
          <t>CHEM-03</t>
        </is>
      </c>
      <c r="F1072" s="17" t="n">
        <v>45720</v>
      </c>
      <c r="G1072" s="17" t="n">
        <v>45734</v>
      </c>
      <c r="H1072" s="18" t="n">
        <v>3</v>
      </c>
      <c r="I1072" s="19" t="n">
        <v>273.36</v>
      </c>
      <c r="J1072" s="19" t="n">
        <v>265</v>
      </c>
      <c r="K1072" s="20" t="n">
        <v>0</v>
      </c>
      <c r="L1072" s="20" t="n">
        <v>0</v>
      </c>
      <c r="M1072" s="18" t="n">
        <v>3</v>
      </c>
      <c r="N1072" s="18" t="n">
        <v>3</v>
      </c>
      <c r="O1072" s="18" t="n">
        <v>0</v>
      </c>
      <c r="P1072" s="17" t="n">
        <v>45731</v>
      </c>
      <c r="Q1072" s="17" t="n">
        <v>45731</v>
      </c>
      <c r="R1072" s="17" t="n">
        <v>45731</v>
      </c>
      <c r="S1072" s="19">
        <f>H1072*I1072</f>
        <v/>
      </c>
      <c r="T1072" s="19">
        <f>H1072*J1072</f>
        <v/>
      </c>
      <c r="U1072">
        <f>IF(AND(K1072=0,G1072&lt;=Assumptions!$C$6),1,0)</f>
        <v/>
      </c>
      <c r="V1072">
        <f>IF(U1072=1,IF(M1072&gt;0,IF(P1072&lt;=G1072+Assumptions!$C$7,1,0),0),0)</f>
        <v/>
      </c>
      <c r="W1072">
        <f>IF(AND(U1072=1,M1072&gt;=H1072*(1-Assumptions!$C$8)),1,0)</f>
        <v/>
      </c>
      <c r="X1072">
        <f>IF(AND(U1072=1,N1072&gt;=H1072*(1-Assumptions!$C$8)),1,0)</f>
        <v/>
      </c>
      <c r="Y1072">
        <f>IF(ISNUMBER(Q1072),1,0)</f>
        <v/>
      </c>
      <c r="Z1072">
        <f>IF(AND(K1072=0,L1072=0,Y1072=0),1,0)</f>
        <v/>
      </c>
      <c r="AA1072">
        <f>IF(AND(Z1072=1,G1072&lt;Assumptions!$C$6),1,0)</f>
        <v/>
      </c>
      <c r="AB1072">
        <f>IF(U1072=0,"",IF(Y1072=1,MAX(0,Q1072-G1072),IF(L1072=1,MAX(0,R1072-G1072),MAX(0,Assumptions!$C$6-G1072))))</f>
        <v/>
      </c>
      <c r="AC1072">
        <f>IF(Y1072=1,Q1072-F1072,"")</f>
        <v/>
      </c>
      <c r="AD1072">
        <f>IF(Y1072=1,AC1072^2,"")</f>
        <v/>
      </c>
      <c r="AE1072" s="19">
        <f>IF(Z1072=1,(H1072-M1072)*I1072,0)</f>
        <v/>
      </c>
      <c r="AF1072">
        <f>IF(G1072&lt;EDATE(Assumptions!$C$6,-12)+1,"prior_12m","last_12m")</f>
        <v/>
      </c>
      <c r="AG1072" s="21">
        <f>DATE(YEAR(G1072),MONTH(G1072),1)</f>
        <v/>
      </c>
    </row>
    <row r="1073">
      <c r="A1073" t="inlineStr">
        <is>
          <t>SPO-00590-2</t>
        </is>
      </c>
      <c r="B1073" t="inlineStr">
        <is>
          <t>SPO-00590</t>
        </is>
      </c>
      <c r="C1073" t="inlineStr">
        <is>
          <t>SUP-09</t>
        </is>
      </c>
      <c r="D1073" t="inlineStr">
        <is>
          <t>CHEM</t>
        </is>
      </c>
      <c r="E1073" t="inlineStr">
        <is>
          <t>CHEM-04</t>
        </is>
      </c>
      <c r="F1073" s="17" t="n">
        <v>45720</v>
      </c>
      <c r="G1073" s="17" t="n">
        <v>45734</v>
      </c>
      <c r="H1073" s="18" t="n">
        <v>1</v>
      </c>
      <c r="I1073" s="19" t="n">
        <v>868.74</v>
      </c>
      <c r="J1073" s="19" t="n">
        <v>820</v>
      </c>
      <c r="K1073" s="20" t="n">
        <v>0</v>
      </c>
      <c r="L1073" s="20" t="n">
        <v>0</v>
      </c>
      <c r="M1073" s="18" t="n">
        <v>1</v>
      </c>
      <c r="N1073" s="18" t="n">
        <v>1</v>
      </c>
      <c r="O1073" s="18" t="n">
        <v>0</v>
      </c>
      <c r="P1073" s="17" t="n">
        <v>45733</v>
      </c>
      <c r="Q1073" s="17" t="n">
        <v>45733</v>
      </c>
      <c r="R1073" s="17" t="n">
        <v>45733</v>
      </c>
      <c r="S1073" s="19">
        <f>H1073*I1073</f>
        <v/>
      </c>
      <c r="T1073" s="19">
        <f>H1073*J1073</f>
        <v/>
      </c>
      <c r="U1073">
        <f>IF(AND(K1073=0,G1073&lt;=Assumptions!$C$6),1,0)</f>
        <v/>
      </c>
      <c r="V1073">
        <f>IF(U1073=1,IF(M1073&gt;0,IF(P1073&lt;=G1073+Assumptions!$C$7,1,0),0),0)</f>
        <v/>
      </c>
      <c r="W1073">
        <f>IF(AND(U1073=1,M1073&gt;=H1073*(1-Assumptions!$C$8)),1,0)</f>
        <v/>
      </c>
      <c r="X1073">
        <f>IF(AND(U1073=1,N1073&gt;=H1073*(1-Assumptions!$C$8)),1,0)</f>
        <v/>
      </c>
      <c r="Y1073">
        <f>IF(ISNUMBER(Q1073),1,0)</f>
        <v/>
      </c>
      <c r="Z1073">
        <f>IF(AND(K1073=0,L1073=0,Y1073=0),1,0)</f>
        <v/>
      </c>
      <c r="AA1073">
        <f>IF(AND(Z1073=1,G1073&lt;Assumptions!$C$6),1,0)</f>
        <v/>
      </c>
      <c r="AB1073">
        <f>IF(U1073=0,"",IF(Y1073=1,MAX(0,Q1073-G1073),IF(L1073=1,MAX(0,R1073-G1073),MAX(0,Assumptions!$C$6-G1073))))</f>
        <v/>
      </c>
      <c r="AC1073">
        <f>IF(Y1073=1,Q1073-F1073,"")</f>
        <v/>
      </c>
      <c r="AD1073">
        <f>IF(Y1073=1,AC1073^2,"")</f>
        <v/>
      </c>
      <c r="AE1073" s="19">
        <f>IF(Z1073=1,(H1073-M1073)*I1073,0)</f>
        <v/>
      </c>
      <c r="AF1073">
        <f>IF(G1073&lt;EDATE(Assumptions!$C$6,-12)+1,"prior_12m","last_12m")</f>
        <v/>
      </c>
      <c r="AG1073" s="21">
        <f>DATE(YEAR(G1073),MONTH(G1073),1)</f>
        <v/>
      </c>
    </row>
    <row r="1074">
      <c r="A1074" t="inlineStr">
        <is>
          <t>SPO-00590-3</t>
        </is>
      </c>
      <c r="B1074" t="inlineStr">
        <is>
          <t>SPO-00590</t>
        </is>
      </c>
      <c r="C1074" t="inlineStr">
        <is>
          <t>SUP-09</t>
        </is>
      </c>
      <c r="D1074" t="inlineStr">
        <is>
          <t>CHEM</t>
        </is>
      </c>
      <c r="E1074" t="inlineStr">
        <is>
          <t>CHEM-05</t>
        </is>
      </c>
      <c r="F1074" s="17" t="n">
        <v>45720</v>
      </c>
      <c r="G1074" s="17" t="n">
        <v>45734</v>
      </c>
      <c r="H1074" s="18" t="n">
        <v>1</v>
      </c>
      <c r="I1074" s="19" t="n">
        <v>974.1799999999999</v>
      </c>
      <c r="J1074" s="19" t="n">
        <v>930</v>
      </c>
      <c r="K1074" s="20" t="n">
        <v>0</v>
      </c>
      <c r="L1074" s="20" t="n">
        <v>0</v>
      </c>
      <c r="M1074" s="18" t="n">
        <v>1</v>
      </c>
      <c r="N1074" s="18" t="n">
        <v>1</v>
      </c>
      <c r="O1074" s="18" t="n">
        <v>0</v>
      </c>
      <c r="P1074" s="17" t="n">
        <v>45732</v>
      </c>
      <c r="Q1074" s="17" t="n">
        <v>45732</v>
      </c>
      <c r="R1074" s="17" t="n">
        <v>45732</v>
      </c>
      <c r="S1074" s="19">
        <f>H1074*I1074</f>
        <v/>
      </c>
      <c r="T1074" s="19">
        <f>H1074*J1074</f>
        <v/>
      </c>
      <c r="U1074">
        <f>IF(AND(K1074=0,G1074&lt;=Assumptions!$C$6),1,0)</f>
        <v/>
      </c>
      <c r="V1074">
        <f>IF(U1074=1,IF(M1074&gt;0,IF(P1074&lt;=G1074+Assumptions!$C$7,1,0),0),0)</f>
        <v/>
      </c>
      <c r="W1074">
        <f>IF(AND(U1074=1,M1074&gt;=H1074*(1-Assumptions!$C$8)),1,0)</f>
        <v/>
      </c>
      <c r="X1074">
        <f>IF(AND(U1074=1,N1074&gt;=H1074*(1-Assumptions!$C$8)),1,0)</f>
        <v/>
      </c>
      <c r="Y1074">
        <f>IF(ISNUMBER(Q1074),1,0)</f>
        <v/>
      </c>
      <c r="Z1074">
        <f>IF(AND(K1074=0,L1074=0,Y1074=0),1,0)</f>
        <v/>
      </c>
      <c r="AA1074">
        <f>IF(AND(Z1074=1,G1074&lt;Assumptions!$C$6),1,0)</f>
        <v/>
      </c>
      <c r="AB1074">
        <f>IF(U1074=0,"",IF(Y1074=1,MAX(0,Q1074-G1074),IF(L1074=1,MAX(0,R1074-G1074),MAX(0,Assumptions!$C$6-G1074))))</f>
        <v/>
      </c>
      <c r="AC1074">
        <f>IF(Y1074=1,Q1074-F1074,"")</f>
        <v/>
      </c>
      <c r="AD1074">
        <f>IF(Y1074=1,AC1074^2,"")</f>
        <v/>
      </c>
      <c r="AE1074" s="19">
        <f>IF(Z1074=1,(H1074-M1074)*I1074,0)</f>
        <v/>
      </c>
      <c r="AF1074">
        <f>IF(G1074&lt;EDATE(Assumptions!$C$6,-12)+1,"prior_12m","last_12m")</f>
        <v/>
      </c>
      <c r="AG1074" s="21">
        <f>DATE(YEAR(G1074),MONTH(G1074),1)</f>
        <v/>
      </c>
    </row>
    <row r="1075">
      <c r="A1075" t="inlineStr">
        <is>
          <t>SPO-00591-1</t>
        </is>
      </c>
      <c r="B1075" t="inlineStr">
        <is>
          <t>SPO-00591</t>
        </is>
      </c>
      <c r="C1075" t="inlineStr">
        <is>
          <t>SUP-01</t>
        </is>
      </c>
      <c r="D1075" t="inlineStr">
        <is>
          <t>ELEC</t>
        </is>
      </c>
      <c r="E1075" t="inlineStr">
        <is>
          <t>ELEC-04</t>
        </is>
      </c>
      <c r="F1075" s="17" t="n">
        <v>45721</v>
      </c>
      <c r="G1075" s="17" t="n">
        <v>45739</v>
      </c>
      <c r="H1075" s="18" t="n">
        <v>24</v>
      </c>
      <c r="I1075" s="19" t="n">
        <v>74.37</v>
      </c>
      <c r="J1075" s="19" t="n">
        <v>72</v>
      </c>
      <c r="K1075" s="20" t="n">
        <v>0</v>
      </c>
      <c r="L1075" s="20" t="n">
        <v>0</v>
      </c>
      <c r="M1075" s="18" t="n">
        <v>24</v>
      </c>
      <c r="N1075" s="18" t="n">
        <v>24</v>
      </c>
      <c r="O1075" s="18" t="n">
        <v>0</v>
      </c>
      <c r="P1075" s="17" t="n">
        <v>45735</v>
      </c>
      <c r="Q1075" s="17" t="n">
        <v>45735</v>
      </c>
      <c r="R1075" s="17" t="n">
        <v>45735</v>
      </c>
      <c r="S1075" s="19">
        <f>H1075*I1075</f>
        <v/>
      </c>
      <c r="T1075" s="19">
        <f>H1075*J1075</f>
        <v/>
      </c>
      <c r="U1075">
        <f>IF(AND(K1075=0,G1075&lt;=Assumptions!$C$6),1,0)</f>
        <v/>
      </c>
      <c r="V1075">
        <f>IF(U1075=1,IF(M1075&gt;0,IF(P1075&lt;=G1075+Assumptions!$C$7,1,0),0),0)</f>
        <v/>
      </c>
      <c r="W1075">
        <f>IF(AND(U1075=1,M1075&gt;=H1075*(1-Assumptions!$C$8)),1,0)</f>
        <v/>
      </c>
      <c r="X1075">
        <f>IF(AND(U1075=1,N1075&gt;=H1075*(1-Assumptions!$C$8)),1,0)</f>
        <v/>
      </c>
      <c r="Y1075">
        <f>IF(ISNUMBER(Q1075),1,0)</f>
        <v/>
      </c>
      <c r="Z1075">
        <f>IF(AND(K1075=0,L1075=0,Y1075=0),1,0)</f>
        <v/>
      </c>
      <c r="AA1075">
        <f>IF(AND(Z1075=1,G1075&lt;Assumptions!$C$6),1,0)</f>
        <v/>
      </c>
      <c r="AB1075">
        <f>IF(U1075=0,"",IF(Y1075=1,MAX(0,Q1075-G1075),IF(L1075=1,MAX(0,R1075-G1075),MAX(0,Assumptions!$C$6-G1075))))</f>
        <v/>
      </c>
      <c r="AC1075">
        <f>IF(Y1075=1,Q1075-F1075,"")</f>
        <v/>
      </c>
      <c r="AD1075">
        <f>IF(Y1075=1,AC1075^2,"")</f>
        <v/>
      </c>
      <c r="AE1075" s="19">
        <f>IF(Z1075=1,(H1075-M1075)*I1075,0)</f>
        <v/>
      </c>
      <c r="AF1075">
        <f>IF(G1075&lt;EDATE(Assumptions!$C$6,-12)+1,"prior_12m","last_12m")</f>
        <v/>
      </c>
      <c r="AG1075" s="21">
        <f>DATE(YEAR(G1075),MONTH(G1075),1)</f>
        <v/>
      </c>
    </row>
    <row r="1076">
      <c r="A1076" t="inlineStr">
        <is>
          <t>SPO-00591-2</t>
        </is>
      </c>
      <c r="B1076" t="inlineStr">
        <is>
          <t>SPO-00591</t>
        </is>
      </c>
      <c r="C1076" t="inlineStr">
        <is>
          <t>SUP-01</t>
        </is>
      </c>
      <c r="D1076" t="inlineStr">
        <is>
          <t>ELEC</t>
        </is>
      </c>
      <c r="E1076" t="inlineStr">
        <is>
          <t>ELEC-08</t>
        </is>
      </c>
      <c r="F1076" s="17" t="n">
        <v>45721</v>
      </c>
      <c r="G1076" s="17" t="n">
        <v>45739</v>
      </c>
      <c r="H1076" s="18" t="n">
        <v>78</v>
      </c>
      <c r="I1076" s="19" t="n">
        <v>17.73</v>
      </c>
      <c r="J1076" s="19" t="n">
        <v>18</v>
      </c>
      <c r="K1076" s="20" t="n">
        <v>0</v>
      </c>
      <c r="L1076" s="20" t="n">
        <v>0</v>
      </c>
      <c r="M1076" s="18" t="n">
        <v>78</v>
      </c>
      <c r="N1076" s="18" t="n">
        <v>78</v>
      </c>
      <c r="O1076" s="18" t="n">
        <v>0</v>
      </c>
      <c r="P1076" s="17" t="n">
        <v>45735</v>
      </c>
      <c r="Q1076" s="17" t="n">
        <v>45735</v>
      </c>
      <c r="R1076" s="17" t="n">
        <v>45735</v>
      </c>
      <c r="S1076" s="19">
        <f>H1076*I1076</f>
        <v/>
      </c>
      <c r="T1076" s="19">
        <f>H1076*J1076</f>
        <v/>
      </c>
      <c r="U1076">
        <f>IF(AND(K1076=0,G1076&lt;=Assumptions!$C$6),1,0)</f>
        <v/>
      </c>
      <c r="V1076">
        <f>IF(U1076=1,IF(M1076&gt;0,IF(P1076&lt;=G1076+Assumptions!$C$7,1,0),0),0)</f>
        <v/>
      </c>
      <c r="W1076">
        <f>IF(AND(U1076=1,M1076&gt;=H1076*(1-Assumptions!$C$8)),1,0)</f>
        <v/>
      </c>
      <c r="X1076">
        <f>IF(AND(U1076=1,N1076&gt;=H1076*(1-Assumptions!$C$8)),1,0)</f>
        <v/>
      </c>
      <c r="Y1076">
        <f>IF(ISNUMBER(Q1076),1,0)</f>
        <v/>
      </c>
      <c r="Z1076">
        <f>IF(AND(K1076=0,L1076=0,Y1076=0),1,0)</f>
        <v/>
      </c>
      <c r="AA1076">
        <f>IF(AND(Z1076=1,G1076&lt;Assumptions!$C$6),1,0)</f>
        <v/>
      </c>
      <c r="AB1076">
        <f>IF(U1076=0,"",IF(Y1076=1,MAX(0,Q1076-G1076),IF(L1076=1,MAX(0,R1076-G1076),MAX(0,Assumptions!$C$6-G1076))))</f>
        <v/>
      </c>
      <c r="AC1076">
        <f>IF(Y1076=1,Q1076-F1076,"")</f>
        <v/>
      </c>
      <c r="AD1076">
        <f>IF(Y1076=1,AC1076^2,"")</f>
        <v/>
      </c>
      <c r="AE1076" s="19">
        <f>IF(Z1076=1,(H1076-M1076)*I1076,0)</f>
        <v/>
      </c>
      <c r="AF1076">
        <f>IF(G1076&lt;EDATE(Assumptions!$C$6,-12)+1,"prior_12m","last_12m")</f>
        <v/>
      </c>
      <c r="AG1076" s="21">
        <f>DATE(YEAR(G1076),MONTH(G1076),1)</f>
        <v/>
      </c>
    </row>
    <row r="1077">
      <c r="A1077" t="inlineStr">
        <is>
          <t>SPO-00591-3</t>
        </is>
      </c>
      <c r="B1077" t="inlineStr">
        <is>
          <t>SPO-00591</t>
        </is>
      </c>
      <c r="C1077" t="inlineStr">
        <is>
          <t>SUP-01</t>
        </is>
      </c>
      <c r="D1077" t="inlineStr">
        <is>
          <t>ELEC</t>
        </is>
      </c>
      <c r="E1077" t="inlineStr">
        <is>
          <t>ELEC-01</t>
        </is>
      </c>
      <c r="F1077" s="17" t="n">
        <v>45721</v>
      </c>
      <c r="G1077" s="17" t="n">
        <v>45739</v>
      </c>
      <c r="H1077" s="18" t="n">
        <v>123</v>
      </c>
      <c r="I1077" s="19" t="n">
        <v>37.3</v>
      </c>
      <c r="J1077" s="19" t="n">
        <v>38</v>
      </c>
      <c r="K1077" s="20" t="n">
        <v>0</v>
      </c>
      <c r="L1077" s="20" t="n">
        <v>0</v>
      </c>
      <c r="M1077" s="18" t="n">
        <v>123</v>
      </c>
      <c r="N1077" s="18" t="n">
        <v>123</v>
      </c>
      <c r="O1077" s="18" t="n">
        <v>0</v>
      </c>
      <c r="P1077" s="17" t="n">
        <v>45738</v>
      </c>
      <c r="Q1077" s="17" t="n">
        <v>45738</v>
      </c>
      <c r="R1077" s="17" t="n">
        <v>45738</v>
      </c>
      <c r="S1077" s="19">
        <f>H1077*I1077</f>
        <v/>
      </c>
      <c r="T1077" s="19">
        <f>H1077*J1077</f>
        <v/>
      </c>
      <c r="U1077">
        <f>IF(AND(K1077=0,G1077&lt;=Assumptions!$C$6),1,0)</f>
        <v/>
      </c>
      <c r="V1077">
        <f>IF(U1077=1,IF(M1077&gt;0,IF(P1077&lt;=G1077+Assumptions!$C$7,1,0),0),0)</f>
        <v/>
      </c>
      <c r="W1077">
        <f>IF(AND(U1077=1,M1077&gt;=H1077*(1-Assumptions!$C$8)),1,0)</f>
        <v/>
      </c>
      <c r="X1077">
        <f>IF(AND(U1077=1,N1077&gt;=H1077*(1-Assumptions!$C$8)),1,0)</f>
        <v/>
      </c>
      <c r="Y1077">
        <f>IF(ISNUMBER(Q1077),1,0)</f>
        <v/>
      </c>
      <c r="Z1077">
        <f>IF(AND(K1077=0,L1077=0,Y1077=0),1,0)</f>
        <v/>
      </c>
      <c r="AA1077">
        <f>IF(AND(Z1077=1,G1077&lt;Assumptions!$C$6),1,0)</f>
        <v/>
      </c>
      <c r="AB1077">
        <f>IF(U1077=0,"",IF(Y1077=1,MAX(0,Q1077-G1077),IF(L1077=1,MAX(0,R1077-G1077),MAX(0,Assumptions!$C$6-G1077))))</f>
        <v/>
      </c>
      <c r="AC1077">
        <f>IF(Y1077=1,Q1077-F1077,"")</f>
        <v/>
      </c>
      <c r="AD1077">
        <f>IF(Y1077=1,AC1077^2,"")</f>
        <v/>
      </c>
      <c r="AE1077" s="19">
        <f>IF(Z1077=1,(H1077-M1077)*I1077,0)</f>
        <v/>
      </c>
      <c r="AF1077">
        <f>IF(G1077&lt;EDATE(Assumptions!$C$6,-12)+1,"prior_12m","last_12m")</f>
        <v/>
      </c>
      <c r="AG1077" s="21">
        <f>DATE(YEAR(G1077),MONTH(G1077),1)</f>
        <v/>
      </c>
    </row>
    <row r="1078">
      <c r="A1078" t="inlineStr">
        <is>
          <t>SPO-00592-1</t>
        </is>
      </c>
      <c r="B1078" t="inlineStr">
        <is>
          <t>SPO-00592</t>
        </is>
      </c>
      <c r="C1078" t="inlineStr">
        <is>
          <t>SUP-04</t>
        </is>
      </c>
      <c r="D1078" t="inlineStr">
        <is>
          <t>FLEET</t>
        </is>
      </c>
      <c r="E1078" t="inlineStr">
        <is>
          <t>FLEET-01</t>
        </is>
      </c>
      <c r="F1078" s="17" t="n">
        <v>45721</v>
      </c>
      <c r="G1078" s="17" t="n">
        <v>45734</v>
      </c>
      <c r="H1078" s="18" t="n">
        <v>10</v>
      </c>
      <c r="I1078" s="19" t="n">
        <v>65.13</v>
      </c>
      <c r="J1078" s="19" t="n">
        <v>64</v>
      </c>
      <c r="K1078" s="20" t="n">
        <v>0</v>
      </c>
      <c r="L1078" s="20" t="n">
        <v>0</v>
      </c>
      <c r="M1078" s="18" t="n">
        <v>10</v>
      </c>
      <c r="N1078" s="18" t="n">
        <v>10</v>
      </c>
      <c r="O1078" s="18" t="n">
        <v>0</v>
      </c>
      <c r="P1078" s="17" t="n">
        <v>45722</v>
      </c>
      <c r="Q1078" s="17" t="n">
        <v>45722</v>
      </c>
      <c r="R1078" s="17" t="n">
        <v>45722</v>
      </c>
      <c r="S1078" s="19">
        <f>H1078*I1078</f>
        <v/>
      </c>
      <c r="T1078" s="19">
        <f>H1078*J1078</f>
        <v/>
      </c>
      <c r="U1078">
        <f>IF(AND(K1078=0,G1078&lt;=Assumptions!$C$6),1,0)</f>
        <v/>
      </c>
      <c r="V1078">
        <f>IF(U1078=1,IF(M1078&gt;0,IF(P1078&lt;=G1078+Assumptions!$C$7,1,0),0),0)</f>
        <v/>
      </c>
      <c r="W1078">
        <f>IF(AND(U1078=1,M1078&gt;=H1078*(1-Assumptions!$C$8)),1,0)</f>
        <v/>
      </c>
      <c r="X1078">
        <f>IF(AND(U1078=1,N1078&gt;=H1078*(1-Assumptions!$C$8)),1,0)</f>
        <v/>
      </c>
      <c r="Y1078">
        <f>IF(ISNUMBER(Q1078),1,0)</f>
        <v/>
      </c>
      <c r="Z1078">
        <f>IF(AND(K1078=0,L1078=0,Y1078=0),1,0)</f>
        <v/>
      </c>
      <c r="AA1078">
        <f>IF(AND(Z1078=1,G1078&lt;Assumptions!$C$6),1,0)</f>
        <v/>
      </c>
      <c r="AB1078">
        <f>IF(U1078=0,"",IF(Y1078=1,MAX(0,Q1078-G1078),IF(L1078=1,MAX(0,R1078-G1078),MAX(0,Assumptions!$C$6-G1078))))</f>
        <v/>
      </c>
      <c r="AC1078">
        <f>IF(Y1078=1,Q1078-F1078,"")</f>
        <v/>
      </c>
      <c r="AD1078">
        <f>IF(Y1078=1,AC1078^2,"")</f>
        <v/>
      </c>
      <c r="AE1078" s="19">
        <f>IF(Z1078=1,(H1078-M1078)*I1078,0)</f>
        <v/>
      </c>
      <c r="AF1078">
        <f>IF(G1078&lt;EDATE(Assumptions!$C$6,-12)+1,"prior_12m","last_12m")</f>
        <v/>
      </c>
      <c r="AG1078" s="21">
        <f>DATE(YEAR(G1078),MONTH(G1078),1)</f>
        <v/>
      </c>
    </row>
    <row r="1079">
      <c r="A1079" t="inlineStr">
        <is>
          <t>SPO-00592-2</t>
        </is>
      </c>
      <c r="B1079" t="inlineStr">
        <is>
          <t>SPO-00592</t>
        </is>
      </c>
      <c r="C1079" t="inlineStr">
        <is>
          <t>SUP-04</t>
        </is>
      </c>
      <c r="D1079" t="inlineStr">
        <is>
          <t>FLEET</t>
        </is>
      </c>
      <c r="E1079" t="inlineStr">
        <is>
          <t>FLEET-04</t>
        </is>
      </c>
      <c r="F1079" s="17" t="n">
        <v>45721</v>
      </c>
      <c r="G1079" s="17" t="n">
        <v>45734</v>
      </c>
      <c r="H1079" s="18" t="n">
        <v>88</v>
      </c>
      <c r="I1079" s="19" t="n">
        <v>8.81</v>
      </c>
      <c r="J1079" s="19" t="n">
        <v>9</v>
      </c>
      <c r="K1079" s="20" t="n">
        <v>0</v>
      </c>
      <c r="L1079" s="20" t="n">
        <v>0</v>
      </c>
      <c r="M1079" s="18" t="n">
        <v>88</v>
      </c>
      <c r="N1079" s="18" t="n">
        <v>0</v>
      </c>
      <c r="O1079" s="18" t="n">
        <v>0</v>
      </c>
      <c r="P1079" s="17" t="n">
        <v>45735</v>
      </c>
      <c r="Q1079" s="17" t="n">
        <v>45735</v>
      </c>
      <c r="R1079" s="17" t="n">
        <v>45735</v>
      </c>
      <c r="S1079" s="19">
        <f>H1079*I1079</f>
        <v/>
      </c>
      <c r="T1079" s="19">
        <f>H1079*J1079</f>
        <v/>
      </c>
      <c r="U1079">
        <f>IF(AND(K1079=0,G1079&lt;=Assumptions!$C$6),1,0)</f>
        <v/>
      </c>
      <c r="V1079">
        <f>IF(U1079=1,IF(M1079&gt;0,IF(P1079&lt;=G1079+Assumptions!$C$7,1,0),0),0)</f>
        <v/>
      </c>
      <c r="W1079">
        <f>IF(AND(U1079=1,M1079&gt;=H1079*(1-Assumptions!$C$8)),1,0)</f>
        <v/>
      </c>
      <c r="X1079">
        <f>IF(AND(U1079=1,N1079&gt;=H1079*(1-Assumptions!$C$8)),1,0)</f>
        <v/>
      </c>
      <c r="Y1079">
        <f>IF(ISNUMBER(Q1079),1,0)</f>
        <v/>
      </c>
      <c r="Z1079">
        <f>IF(AND(K1079=0,L1079=0,Y1079=0),1,0)</f>
        <v/>
      </c>
      <c r="AA1079">
        <f>IF(AND(Z1079=1,G1079&lt;Assumptions!$C$6),1,0)</f>
        <v/>
      </c>
      <c r="AB1079">
        <f>IF(U1079=0,"",IF(Y1079=1,MAX(0,Q1079-G1079),IF(L1079=1,MAX(0,R1079-G1079),MAX(0,Assumptions!$C$6-G1079))))</f>
        <v/>
      </c>
      <c r="AC1079">
        <f>IF(Y1079=1,Q1079-F1079,"")</f>
        <v/>
      </c>
      <c r="AD1079">
        <f>IF(Y1079=1,AC1079^2,"")</f>
        <v/>
      </c>
      <c r="AE1079" s="19">
        <f>IF(Z1079=1,(H1079-M1079)*I1079,0)</f>
        <v/>
      </c>
      <c r="AF1079">
        <f>IF(G1079&lt;EDATE(Assumptions!$C$6,-12)+1,"prior_12m","last_12m")</f>
        <v/>
      </c>
      <c r="AG1079" s="21">
        <f>DATE(YEAR(G1079),MONTH(G1079),1)</f>
        <v/>
      </c>
    </row>
    <row r="1080">
      <c r="A1080" t="inlineStr">
        <is>
          <t>SPO-00592-3</t>
        </is>
      </c>
      <c r="B1080" t="inlineStr">
        <is>
          <t>SPO-00592</t>
        </is>
      </c>
      <c r="C1080" t="inlineStr">
        <is>
          <t>SUP-04</t>
        </is>
      </c>
      <c r="D1080" t="inlineStr">
        <is>
          <t>FLEET</t>
        </is>
      </c>
      <c r="E1080" t="inlineStr">
        <is>
          <t>FLEET-05</t>
        </is>
      </c>
      <c r="F1080" s="17" t="n">
        <v>45721</v>
      </c>
      <c r="G1080" s="17" t="n">
        <v>45734</v>
      </c>
      <c r="H1080" s="18" t="n">
        <v>13</v>
      </c>
      <c r="I1080" s="19" t="n">
        <v>168.22</v>
      </c>
      <c r="J1080" s="19" t="n">
        <v>168</v>
      </c>
      <c r="K1080" s="20" t="n">
        <v>0</v>
      </c>
      <c r="L1080" s="20" t="n">
        <v>0</v>
      </c>
      <c r="M1080" s="18" t="n">
        <v>13</v>
      </c>
      <c r="N1080" s="18" t="n">
        <v>0</v>
      </c>
      <c r="O1080" s="18" t="n">
        <v>0</v>
      </c>
      <c r="P1080" s="17" t="n">
        <v>45736</v>
      </c>
      <c r="Q1080" s="17" t="n">
        <v>45736</v>
      </c>
      <c r="R1080" s="17" t="n">
        <v>45736</v>
      </c>
      <c r="S1080" s="19">
        <f>H1080*I1080</f>
        <v/>
      </c>
      <c r="T1080" s="19">
        <f>H1080*J1080</f>
        <v/>
      </c>
      <c r="U1080">
        <f>IF(AND(K1080=0,G1080&lt;=Assumptions!$C$6),1,0)</f>
        <v/>
      </c>
      <c r="V1080">
        <f>IF(U1080=1,IF(M1080&gt;0,IF(P1080&lt;=G1080+Assumptions!$C$7,1,0),0),0)</f>
        <v/>
      </c>
      <c r="W1080">
        <f>IF(AND(U1080=1,M1080&gt;=H1080*(1-Assumptions!$C$8)),1,0)</f>
        <v/>
      </c>
      <c r="X1080">
        <f>IF(AND(U1080=1,N1080&gt;=H1080*(1-Assumptions!$C$8)),1,0)</f>
        <v/>
      </c>
      <c r="Y1080">
        <f>IF(ISNUMBER(Q1080),1,0)</f>
        <v/>
      </c>
      <c r="Z1080">
        <f>IF(AND(K1080=0,L1080=0,Y1080=0),1,0)</f>
        <v/>
      </c>
      <c r="AA1080">
        <f>IF(AND(Z1080=1,G1080&lt;Assumptions!$C$6),1,0)</f>
        <v/>
      </c>
      <c r="AB1080">
        <f>IF(U1080=0,"",IF(Y1080=1,MAX(0,Q1080-G1080),IF(L1080=1,MAX(0,R1080-G1080),MAX(0,Assumptions!$C$6-G1080))))</f>
        <v/>
      </c>
      <c r="AC1080">
        <f>IF(Y1080=1,Q1080-F1080,"")</f>
        <v/>
      </c>
      <c r="AD1080">
        <f>IF(Y1080=1,AC1080^2,"")</f>
        <v/>
      </c>
      <c r="AE1080" s="19">
        <f>IF(Z1080=1,(H1080-M1080)*I1080,0)</f>
        <v/>
      </c>
      <c r="AF1080">
        <f>IF(G1080&lt;EDATE(Assumptions!$C$6,-12)+1,"prior_12m","last_12m")</f>
        <v/>
      </c>
      <c r="AG1080" s="21">
        <f>DATE(YEAR(G1080),MONTH(G1080),1)</f>
        <v/>
      </c>
    </row>
    <row r="1081">
      <c r="A1081" t="inlineStr">
        <is>
          <t>SPO-00592-4</t>
        </is>
      </c>
      <c r="B1081" t="inlineStr">
        <is>
          <t>SPO-00592</t>
        </is>
      </c>
      <c r="C1081" t="inlineStr">
        <is>
          <t>SUP-04</t>
        </is>
      </c>
      <c r="D1081" t="inlineStr">
        <is>
          <t>FLEET</t>
        </is>
      </c>
      <c r="E1081" t="inlineStr">
        <is>
          <t>FLEET-06</t>
        </is>
      </c>
      <c r="F1081" s="17" t="n">
        <v>45721</v>
      </c>
      <c r="G1081" s="17" t="n">
        <v>45734</v>
      </c>
      <c r="H1081" s="18" t="n">
        <v>37</v>
      </c>
      <c r="I1081" s="19" t="n">
        <v>31.99</v>
      </c>
      <c r="J1081" s="19" t="n">
        <v>33</v>
      </c>
      <c r="K1081" s="20" t="n">
        <v>0</v>
      </c>
      <c r="L1081" s="20" t="n">
        <v>0</v>
      </c>
      <c r="M1081" s="18" t="n">
        <v>37</v>
      </c>
      <c r="N1081" s="18" t="n">
        <v>0</v>
      </c>
      <c r="O1081" s="18" t="n">
        <v>0</v>
      </c>
      <c r="P1081" s="17" t="n">
        <v>45740</v>
      </c>
      <c r="Q1081" s="17" t="n">
        <v>45740</v>
      </c>
      <c r="R1081" s="17" t="n">
        <v>45740</v>
      </c>
      <c r="S1081" s="19">
        <f>H1081*I1081</f>
        <v/>
      </c>
      <c r="T1081" s="19">
        <f>H1081*J1081</f>
        <v/>
      </c>
      <c r="U1081">
        <f>IF(AND(K1081=0,G1081&lt;=Assumptions!$C$6),1,0)</f>
        <v/>
      </c>
      <c r="V1081">
        <f>IF(U1081=1,IF(M1081&gt;0,IF(P1081&lt;=G1081+Assumptions!$C$7,1,0),0),0)</f>
        <v/>
      </c>
      <c r="W1081">
        <f>IF(AND(U1081=1,M1081&gt;=H1081*(1-Assumptions!$C$8)),1,0)</f>
        <v/>
      </c>
      <c r="X1081">
        <f>IF(AND(U1081=1,N1081&gt;=H1081*(1-Assumptions!$C$8)),1,0)</f>
        <v/>
      </c>
      <c r="Y1081">
        <f>IF(ISNUMBER(Q1081),1,0)</f>
        <v/>
      </c>
      <c r="Z1081">
        <f>IF(AND(K1081=0,L1081=0,Y1081=0),1,0)</f>
        <v/>
      </c>
      <c r="AA1081">
        <f>IF(AND(Z1081=1,G1081&lt;Assumptions!$C$6),1,0)</f>
        <v/>
      </c>
      <c r="AB1081">
        <f>IF(U1081=0,"",IF(Y1081=1,MAX(0,Q1081-G1081),IF(L1081=1,MAX(0,R1081-G1081),MAX(0,Assumptions!$C$6-G1081))))</f>
        <v/>
      </c>
      <c r="AC1081">
        <f>IF(Y1081=1,Q1081-F1081,"")</f>
        <v/>
      </c>
      <c r="AD1081">
        <f>IF(Y1081=1,AC1081^2,"")</f>
        <v/>
      </c>
      <c r="AE1081" s="19">
        <f>IF(Z1081=1,(H1081-M1081)*I1081,0)</f>
        <v/>
      </c>
      <c r="AF1081">
        <f>IF(G1081&lt;EDATE(Assumptions!$C$6,-12)+1,"prior_12m","last_12m")</f>
        <v/>
      </c>
      <c r="AG1081" s="21">
        <f>DATE(YEAR(G1081),MONTH(G1081),1)</f>
        <v/>
      </c>
    </row>
    <row r="1082">
      <c r="A1082" t="inlineStr">
        <is>
          <t>SPO-00593-1</t>
        </is>
      </c>
      <c r="B1082" t="inlineStr">
        <is>
          <t>SPO-00593</t>
        </is>
      </c>
      <c r="C1082" t="inlineStr">
        <is>
          <t>SUP-10</t>
        </is>
      </c>
      <c r="D1082" t="inlineStr">
        <is>
          <t>PPE</t>
        </is>
      </c>
      <c r="E1082" t="inlineStr">
        <is>
          <t>PPE-01</t>
        </is>
      </c>
      <c r="F1082" s="17" t="n">
        <v>45722</v>
      </c>
      <c r="G1082" s="17" t="n">
        <v>45735</v>
      </c>
      <c r="H1082" s="18" t="n">
        <v>441</v>
      </c>
      <c r="I1082" s="19" t="n">
        <v>4.46</v>
      </c>
      <c r="J1082" s="19" t="n">
        <v>4.8</v>
      </c>
      <c r="K1082" s="20" t="n">
        <v>0</v>
      </c>
      <c r="L1082" s="20" t="n">
        <v>0</v>
      </c>
      <c r="M1082" s="18" t="n">
        <v>441</v>
      </c>
      <c r="N1082" s="18" t="n">
        <v>441</v>
      </c>
      <c r="O1082" s="18" t="n">
        <v>0</v>
      </c>
      <c r="P1082" s="17" t="n">
        <v>45730</v>
      </c>
      <c r="Q1082" s="17" t="n">
        <v>45730</v>
      </c>
      <c r="R1082" s="17" t="n">
        <v>45730</v>
      </c>
      <c r="S1082" s="19">
        <f>H1082*I1082</f>
        <v/>
      </c>
      <c r="T1082" s="19">
        <f>H1082*J1082</f>
        <v/>
      </c>
      <c r="U1082">
        <f>IF(AND(K1082=0,G1082&lt;=Assumptions!$C$6),1,0)</f>
        <v/>
      </c>
      <c r="V1082">
        <f>IF(U1082=1,IF(M1082&gt;0,IF(P1082&lt;=G1082+Assumptions!$C$7,1,0),0),0)</f>
        <v/>
      </c>
      <c r="W1082">
        <f>IF(AND(U1082=1,M1082&gt;=H1082*(1-Assumptions!$C$8)),1,0)</f>
        <v/>
      </c>
      <c r="X1082">
        <f>IF(AND(U1082=1,N1082&gt;=H1082*(1-Assumptions!$C$8)),1,0)</f>
        <v/>
      </c>
      <c r="Y1082">
        <f>IF(ISNUMBER(Q1082),1,0)</f>
        <v/>
      </c>
      <c r="Z1082">
        <f>IF(AND(K1082=0,L1082=0,Y1082=0),1,0)</f>
        <v/>
      </c>
      <c r="AA1082">
        <f>IF(AND(Z1082=1,G1082&lt;Assumptions!$C$6),1,0)</f>
        <v/>
      </c>
      <c r="AB1082">
        <f>IF(U1082=0,"",IF(Y1082=1,MAX(0,Q1082-G1082),IF(L1082=1,MAX(0,R1082-G1082),MAX(0,Assumptions!$C$6-G1082))))</f>
        <v/>
      </c>
      <c r="AC1082">
        <f>IF(Y1082=1,Q1082-F1082,"")</f>
        <v/>
      </c>
      <c r="AD1082">
        <f>IF(Y1082=1,AC1082^2,"")</f>
        <v/>
      </c>
      <c r="AE1082" s="19">
        <f>IF(Z1082=1,(H1082-M1082)*I1082,0)</f>
        <v/>
      </c>
      <c r="AF1082">
        <f>IF(G1082&lt;EDATE(Assumptions!$C$6,-12)+1,"prior_12m","last_12m")</f>
        <v/>
      </c>
      <c r="AG1082" s="21">
        <f>DATE(YEAR(G1082),MONTH(G1082),1)</f>
        <v/>
      </c>
    </row>
    <row r="1083">
      <c r="A1083" t="inlineStr">
        <is>
          <t>SPO-00593-2</t>
        </is>
      </c>
      <c r="B1083" t="inlineStr">
        <is>
          <t>SPO-00593</t>
        </is>
      </c>
      <c r="C1083" t="inlineStr">
        <is>
          <t>SUP-10</t>
        </is>
      </c>
      <c r="D1083" t="inlineStr">
        <is>
          <t>PPE</t>
        </is>
      </c>
      <c r="E1083" t="inlineStr">
        <is>
          <t>PPE-04</t>
        </is>
      </c>
      <c r="F1083" s="17" t="n">
        <v>45722</v>
      </c>
      <c r="G1083" s="17" t="n">
        <v>45735</v>
      </c>
      <c r="H1083" s="18" t="n">
        <v>78</v>
      </c>
      <c r="I1083" s="19" t="n">
        <v>25.06</v>
      </c>
      <c r="J1083" s="19" t="n">
        <v>26</v>
      </c>
      <c r="K1083" s="20" t="n">
        <v>0</v>
      </c>
      <c r="L1083" s="20" t="n">
        <v>0</v>
      </c>
      <c r="M1083" s="18" t="n">
        <v>78</v>
      </c>
      <c r="N1083" s="18" t="n">
        <v>78</v>
      </c>
      <c r="O1083" s="18" t="n">
        <v>0</v>
      </c>
      <c r="P1083" s="17" t="n">
        <v>45733</v>
      </c>
      <c r="Q1083" s="17" t="n">
        <v>45733</v>
      </c>
      <c r="R1083" s="17" t="n">
        <v>45733</v>
      </c>
      <c r="S1083" s="19">
        <f>H1083*I1083</f>
        <v/>
      </c>
      <c r="T1083" s="19">
        <f>H1083*J1083</f>
        <v/>
      </c>
      <c r="U1083">
        <f>IF(AND(K1083=0,G1083&lt;=Assumptions!$C$6),1,0)</f>
        <v/>
      </c>
      <c r="V1083">
        <f>IF(U1083=1,IF(M1083&gt;0,IF(P1083&lt;=G1083+Assumptions!$C$7,1,0),0),0)</f>
        <v/>
      </c>
      <c r="W1083">
        <f>IF(AND(U1083=1,M1083&gt;=H1083*(1-Assumptions!$C$8)),1,0)</f>
        <v/>
      </c>
      <c r="X1083">
        <f>IF(AND(U1083=1,N1083&gt;=H1083*(1-Assumptions!$C$8)),1,0)</f>
        <v/>
      </c>
      <c r="Y1083">
        <f>IF(ISNUMBER(Q1083),1,0)</f>
        <v/>
      </c>
      <c r="Z1083">
        <f>IF(AND(K1083=0,L1083=0,Y1083=0),1,0)</f>
        <v/>
      </c>
      <c r="AA1083">
        <f>IF(AND(Z1083=1,G1083&lt;Assumptions!$C$6),1,0)</f>
        <v/>
      </c>
      <c r="AB1083">
        <f>IF(U1083=0,"",IF(Y1083=1,MAX(0,Q1083-G1083),IF(L1083=1,MAX(0,R1083-G1083),MAX(0,Assumptions!$C$6-G1083))))</f>
        <v/>
      </c>
      <c r="AC1083">
        <f>IF(Y1083=1,Q1083-F1083,"")</f>
        <v/>
      </c>
      <c r="AD1083">
        <f>IF(Y1083=1,AC1083^2,"")</f>
        <v/>
      </c>
      <c r="AE1083" s="19">
        <f>IF(Z1083=1,(H1083-M1083)*I1083,0)</f>
        <v/>
      </c>
      <c r="AF1083">
        <f>IF(G1083&lt;EDATE(Assumptions!$C$6,-12)+1,"prior_12m","last_12m")</f>
        <v/>
      </c>
      <c r="AG1083" s="21">
        <f>DATE(YEAR(G1083),MONTH(G1083),1)</f>
        <v/>
      </c>
    </row>
    <row r="1084">
      <c r="A1084" t="inlineStr">
        <is>
          <t>SPO-00594-1</t>
        </is>
      </c>
      <c r="B1084" t="inlineStr">
        <is>
          <t>SPO-00594</t>
        </is>
      </c>
      <c r="C1084" t="inlineStr">
        <is>
          <t>SUP-06</t>
        </is>
      </c>
      <c r="D1084" t="inlineStr">
        <is>
          <t>MRO</t>
        </is>
      </c>
      <c r="E1084" t="inlineStr">
        <is>
          <t>MRO-02</t>
        </is>
      </c>
      <c r="F1084" s="17" t="n">
        <v>45722</v>
      </c>
      <c r="G1084" s="17" t="n">
        <v>45730</v>
      </c>
      <c r="H1084" s="18" t="n">
        <v>43</v>
      </c>
      <c r="I1084" s="19" t="n">
        <v>40.84</v>
      </c>
      <c r="J1084" s="19" t="n">
        <v>41</v>
      </c>
      <c r="K1084" s="20" t="n">
        <v>0</v>
      </c>
      <c r="L1084" s="20" t="n">
        <v>0</v>
      </c>
      <c r="M1084" s="18" t="n">
        <v>43</v>
      </c>
      <c r="N1084" s="18" t="n">
        <v>43</v>
      </c>
      <c r="O1084" s="18" t="n">
        <v>0</v>
      </c>
      <c r="P1084" s="17" t="n">
        <v>45727</v>
      </c>
      <c r="Q1084" s="17" t="n">
        <v>45727</v>
      </c>
      <c r="R1084" s="17" t="n">
        <v>45727</v>
      </c>
      <c r="S1084" s="19">
        <f>H1084*I1084</f>
        <v/>
      </c>
      <c r="T1084" s="19">
        <f>H1084*J1084</f>
        <v/>
      </c>
      <c r="U1084">
        <f>IF(AND(K1084=0,G1084&lt;=Assumptions!$C$6),1,0)</f>
        <v/>
      </c>
      <c r="V1084">
        <f>IF(U1084=1,IF(M1084&gt;0,IF(P1084&lt;=G1084+Assumptions!$C$7,1,0),0),0)</f>
        <v/>
      </c>
      <c r="W1084">
        <f>IF(AND(U1084=1,M1084&gt;=H1084*(1-Assumptions!$C$8)),1,0)</f>
        <v/>
      </c>
      <c r="X1084">
        <f>IF(AND(U1084=1,N1084&gt;=H1084*(1-Assumptions!$C$8)),1,0)</f>
        <v/>
      </c>
      <c r="Y1084">
        <f>IF(ISNUMBER(Q1084),1,0)</f>
        <v/>
      </c>
      <c r="Z1084">
        <f>IF(AND(K1084=0,L1084=0,Y1084=0),1,0)</f>
        <v/>
      </c>
      <c r="AA1084">
        <f>IF(AND(Z1084=1,G1084&lt;Assumptions!$C$6),1,0)</f>
        <v/>
      </c>
      <c r="AB1084">
        <f>IF(U1084=0,"",IF(Y1084=1,MAX(0,Q1084-G1084),IF(L1084=1,MAX(0,R1084-G1084),MAX(0,Assumptions!$C$6-G1084))))</f>
        <v/>
      </c>
      <c r="AC1084">
        <f>IF(Y1084=1,Q1084-F1084,"")</f>
        <v/>
      </c>
      <c r="AD1084">
        <f>IF(Y1084=1,AC1084^2,"")</f>
        <v/>
      </c>
      <c r="AE1084" s="19">
        <f>IF(Z1084=1,(H1084-M1084)*I1084,0)</f>
        <v/>
      </c>
      <c r="AF1084">
        <f>IF(G1084&lt;EDATE(Assumptions!$C$6,-12)+1,"prior_12m","last_12m")</f>
        <v/>
      </c>
      <c r="AG1084" s="21">
        <f>DATE(YEAR(G1084),MONTH(G1084),1)</f>
        <v/>
      </c>
    </row>
    <row r="1085">
      <c r="A1085" t="inlineStr">
        <is>
          <t>SPO-00595-1</t>
        </is>
      </c>
      <c r="B1085" t="inlineStr">
        <is>
          <t>SPO-00595</t>
        </is>
      </c>
      <c r="C1085" t="inlineStr">
        <is>
          <t>SUP-11</t>
        </is>
      </c>
      <c r="D1085" t="inlineStr">
        <is>
          <t>PPE</t>
        </is>
      </c>
      <c r="E1085" t="inlineStr">
        <is>
          <t>PPE-06</t>
        </is>
      </c>
      <c r="F1085" s="17" t="n">
        <v>45722</v>
      </c>
      <c r="G1085" s="17" t="n">
        <v>45734</v>
      </c>
      <c r="H1085" s="18" t="n">
        <v>5</v>
      </c>
      <c r="I1085" s="19" t="n">
        <v>119.95</v>
      </c>
      <c r="J1085" s="19" t="n">
        <v>115</v>
      </c>
      <c r="K1085" s="20" t="n">
        <v>0</v>
      </c>
      <c r="L1085" s="20" t="n">
        <v>0</v>
      </c>
      <c r="M1085" s="18" t="n">
        <v>5</v>
      </c>
      <c r="N1085" s="18" t="n">
        <v>5</v>
      </c>
      <c r="O1085" s="18" t="n">
        <v>0</v>
      </c>
      <c r="P1085" s="17" t="n">
        <v>45731</v>
      </c>
      <c r="Q1085" s="17" t="n">
        <v>45731</v>
      </c>
      <c r="R1085" s="17" t="n">
        <v>45731</v>
      </c>
      <c r="S1085" s="19">
        <f>H1085*I1085</f>
        <v/>
      </c>
      <c r="T1085" s="19">
        <f>H1085*J1085</f>
        <v/>
      </c>
      <c r="U1085">
        <f>IF(AND(K1085=0,G1085&lt;=Assumptions!$C$6),1,0)</f>
        <v/>
      </c>
      <c r="V1085">
        <f>IF(U1085=1,IF(M1085&gt;0,IF(P1085&lt;=G1085+Assumptions!$C$7,1,0),0),0)</f>
        <v/>
      </c>
      <c r="W1085">
        <f>IF(AND(U1085=1,M1085&gt;=H1085*(1-Assumptions!$C$8)),1,0)</f>
        <v/>
      </c>
      <c r="X1085">
        <f>IF(AND(U1085=1,N1085&gt;=H1085*(1-Assumptions!$C$8)),1,0)</f>
        <v/>
      </c>
      <c r="Y1085">
        <f>IF(ISNUMBER(Q1085),1,0)</f>
        <v/>
      </c>
      <c r="Z1085">
        <f>IF(AND(K1085=0,L1085=0,Y1085=0),1,0)</f>
        <v/>
      </c>
      <c r="AA1085">
        <f>IF(AND(Z1085=1,G1085&lt;Assumptions!$C$6),1,0)</f>
        <v/>
      </c>
      <c r="AB1085">
        <f>IF(U1085=0,"",IF(Y1085=1,MAX(0,Q1085-G1085),IF(L1085=1,MAX(0,R1085-G1085),MAX(0,Assumptions!$C$6-G1085))))</f>
        <v/>
      </c>
      <c r="AC1085">
        <f>IF(Y1085=1,Q1085-F1085,"")</f>
        <v/>
      </c>
      <c r="AD1085">
        <f>IF(Y1085=1,AC1085^2,"")</f>
        <v/>
      </c>
      <c r="AE1085" s="19">
        <f>IF(Z1085=1,(H1085-M1085)*I1085,0)</f>
        <v/>
      </c>
      <c r="AF1085">
        <f>IF(G1085&lt;EDATE(Assumptions!$C$6,-12)+1,"prior_12m","last_12m")</f>
        <v/>
      </c>
      <c r="AG1085" s="21">
        <f>DATE(YEAR(G1085),MONTH(G1085),1)</f>
        <v/>
      </c>
    </row>
    <row r="1086">
      <c r="A1086" t="inlineStr">
        <is>
          <t>SPO-00595-2</t>
        </is>
      </c>
      <c r="B1086" t="inlineStr">
        <is>
          <t>SPO-00595</t>
        </is>
      </c>
      <c r="C1086" t="inlineStr">
        <is>
          <t>SUP-11</t>
        </is>
      </c>
      <c r="D1086" t="inlineStr">
        <is>
          <t>PPE</t>
        </is>
      </c>
      <c r="E1086" t="inlineStr">
        <is>
          <t>PPE-03</t>
        </is>
      </c>
      <c r="F1086" s="17" t="n">
        <v>45722</v>
      </c>
      <c r="G1086" s="17" t="n">
        <v>45734</v>
      </c>
      <c r="H1086" s="18" t="n">
        <v>58</v>
      </c>
      <c r="I1086" s="19" t="n">
        <v>22.26</v>
      </c>
      <c r="J1086" s="19" t="n">
        <v>21</v>
      </c>
      <c r="K1086" s="20" t="n">
        <v>0</v>
      </c>
      <c r="L1086" s="20" t="n">
        <v>0</v>
      </c>
      <c r="M1086" s="18" t="n">
        <v>58</v>
      </c>
      <c r="N1086" s="18" t="n">
        <v>58</v>
      </c>
      <c r="O1086" s="18" t="n">
        <v>0</v>
      </c>
      <c r="P1086" s="17" t="n">
        <v>45731</v>
      </c>
      <c r="Q1086" s="17" t="n">
        <v>45731</v>
      </c>
      <c r="R1086" s="17" t="n">
        <v>45731</v>
      </c>
      <c r="S1086" s="19">
        <f>H1086*I1086</f>
        <v/>
      </c>
      <c r="T1086" s="19">
        <f>H1086*J1086</f>
        <v/>
      </c>
      <c r="U1086">
        <f>IF(AND(K1086=0,G1086&lt;=Assumptions!$C$6),1,0)</f>
        <v/>
      </c>
      <c r="V1086">
        <f>IF(U1086=1,IF(M1086&gt;0,IF(P1086&lt;=G1086+Assumptions!$C$7,1,0),0),0)</f>
        <v/>
      </c>
      <c r="W1086">
        <f>IF(AND(U1086=1,M1086&gt;=H1086*(1-Assumptions!$C$8)),1,0)</f>
        <v/>
      </c>
      <c r="X1086">
        <f>IF(AND(U1086=1,N1086&gt;=H1086*(1-Assumptions!$C$8)),1,0)</f>
        <v/>
      </c>
      <c r="Y1086">
        <f>IF(ISNUMBER(Q1086),1,0)</f>
        <v/>
      </c>
      <c r="Z1086">
        <f>IF(AND(K1086=0,L1086=0,Y1086=0),1,0)</f>
        <v/>
      </c>
      <c r="AA1086">
        <f>IF(AND(Z1086=1,G1086&lt;Assumptions!$C$6),1,0)</f>
        <v/>
      </c>
      <c r="AB1086">
        <f>IF(U1086=0,"",IF(Y1086=1,MAX(0,Q1086-G1086),IF(L1086=1,MAX(0,R1086-G1086),MAX(0,Assumptions!$C$6-G1086))))</f>
        <v/>
      </c>
      <c r="AC1086">
        <f>IF(Y1086=1,Q1086-F1086,"")</f>
        <v/>
      </c>
      <c r="AD1086">
        <f>IF(Y1086=1,AC1086^2,"")</f>
        <v/>
      </c>
      <c r="AE1086" s="19">
        <f>IF(Z1086=1,(H1086-M1086)*I1086,0)</f>
        <v/>
      </c>
      <c r="AF1086">
        <f>IF(G1086&lt;EDATE(Assumptions!$C$6,-12)+1,"prior_12m","last_12m")</f>
        <v/>
      </c>
      <c r="AG1086" s="21">
        <f>DATE(YEAR(G1086),MONTH(G1086),1)</f>
        <v/>
      </c>
    </row>
    <row r="1087">
      <c r="A1087" t="inlineStr">
        <is>
          <t>SPO-00596-1</t>
        </is>
      </c>
      <c r="B1087" t="inlineStr">
        <is>
          <t>SPO-00596</t>
        </is>
      </c>
      <c r="C1087" t="inlineStr">
        <is>
          <t>SUP-11</t>
        </is>
      </c>
      <c r="D1087" t="inlineStr">
        <is>
          <t>PPE</t>
        </is>
      </c>
      <c r="E1087" t="inlineStr">
        <is>
          <t>PPE-07</t>
        </is>
      </c>
      <c r="F1087" s="17" t="n">
        <v>45722</v>
      </c>
      <c r="G1087" s="17" t="n">
        <v>45734</v>
      </c>
      <c r="H1087" s="18" t="n">
        <v>102</v>
      </c>
      <c r="I1087" s="19" t="n">
        <v>30.95</v>
      </c>
      <c r="J1087" s="19" t="n">
        <v>31</v>
      </c>
      <c r="K1087" s="20" t="n">
        <v>0</v>
      </c>
      <c r="L1087" s="20" t="n">
        <v>0</v>
      </c>
      <c r="M1087" s="18" t="n">
        <v>102</v>
      </c>
      <c r="N1087" s="18" t="n">
        <v>102</v>
      </c>
      <c r="O1087" s="18" t="n">
        <v>0</v>
      </c>
      <c r="P1087" s="17" t="n">
        <v>45731</v>
      </c>
      <c r="Q1087" s="17" t="n">
        <v>45731</v>
      </c>
      <c r="R1087" s="17" t="n">
        <v>45731</v>
      </c>
      <c r="S1087" s="19">
        <f>H1087*I1087</f>
        <v/>
      </c>
      <c r="T1087" s="19">
        <f>H1087*J1087</f>
        <v/>
      </c>
      <c r="U1087">
        <f>IF(AND(K1087=0,G1087&lt;=Assumptions!$C$6),1,0)</f>
        <v/>
      </c>
      <c r="V1087">
        <f>IF(U1087=1,IF(M1087&gt;0,IF(P1087&lt;=G1087+Assumptions!$C$7,1,0),0),0)</f>
        <v/>
      </c>
      <c r="W1087">
        <f>IF(AND(U1087=1,M1087&gt;=H1087*(1-Assumptions!$C$8)),1,0)</f>
        <v/>
      </c>
      <c r="X1087">
        <f>IF(AND(U1087=1,N1087&gt;=H1087*(1-Assumptions!$C$8)),1,0)</f>
        <v/>
      </c>
      <c r="Y1087">
        <f>IF(ISNUMBER(Q1087),1,0)</f>
        <v/>
      </c>
      <c r="Z1087">
        <f>IF(AND(K1087=0,L1087=0,Y1087=0),1,0)</f>
        <v/>
      </c>
      <c r="AA1087">
        <f>IF(AND(Z1087=1,G1087&lt;Assumptions!$C$6),1,0)</f>
        <v/>
      </c>
      <c r="AB1087">
        <f>IF(U1087=0,"",IF(Y1087=1,MAX(0,Q1087-G1087),IF(L1087=1,MAX(0,R1087-G1087),MAX(0,Assumptions!$C$6-G1087))))</f>
        <v/>
      </c>
      <c r="AC1087">
        <f>IF(Y1087=1,Q1087-F1087,"")</f>
        <v/>
      </c>
      <c r="AD1087">
        <f>IF(Y1087=1,AC1087^2,"")</f>
        <v/>
      </c>
      <c r="AE1087" s="19">
        <f>IF(Z1087=1,(H1087-M1087)*I1087,0)</f>
        <v/>
      </c>
      <c r="AF1087">
        <f>IF(G1087&lt;EDATE(Assumptions!$C$6,-12)+1,"prior_12m","last_12m")</f>
        <v/>
      </c>
      <c r="AG1087" s="21">
        <f>DATE(YEAR(G1087),MONTH(G1087),1)</f>
        <v/>
      </c>
    </row>
    <row r="1088">
      <c r="A1088" t="inlineStr">
        <is>
          <t>SPO-00597-1</t>
        </is>
      </c>
      <c r="B1088" t="inlineStr">
        <is>
          <t>SPO-00597</t>
        </is>
      </c>
      <c r="C1088" t="inlineStr">
        <is>
          <t>SUP-01</t>
        </is>
      </c>
      <c r="D1088" t="inlineStr">
        <is>
          <t>ELEC</t>
        </is>
      </c>
      <c r="E1088" t="inlineStr">
        <is>
          <t>ELEC-03</t>
        </is>
      </c>
      <c r="F1088" s="17" t="n">
        <v>45723</v>
      </c>
      <c r="G1088" s="17" t="n">
        <v>45741</v>
      </c>
      <c r="H1088" s="18" t="n">
        <v>17</v>
      </c>
      <c r="I1088" s="19" t="n">
        <v>96.72</v>
      </c>
      <c r="J1088" s="19" t="n">
        <v>96</v>
      </c>
      <c r="K1088" s="20" t="n">
        <v>0</v>
      </c>
      <c r="L1088" s="20" t="n">
        <v>0</v>
      </c>
      <c r="M1088" s="18" t="n">
        <v>17</v>
      </c>
      <c r="N1088" s="18" t="n">
        <v>17</v>
      </c>
      <c r="O1088" s="18" t="n">
        <v>0</v>
      </c>
      <c r="P1088" s="17" t="n">
        <v>45736</v>
      </c>
      <c r="Q1088" s="17" t="n">
        <v>45736</v>
      </c>
      <c r="R1088" s="17" t="n">
        <v>45736</v>
      </c>
      <c r="S1088" s="19">
        <f>H1088*I1088</f>
        <v/>
      </c>
      <c r="T1088" s="19">
        <f>H1088*J1088</f>
        <v/>
      </c>
      <c r="U1088">
        <f>IF(AND(K1088=0,G1088&lt;=Assumptions!$C$6),1,0)</f>
        <v/>
      </c>
      <c r="V1088">
        <f>IF(U1088=1,IF(M1088&gt;0,IF(P1088&lt;=G1088+Assumptions!$C$7,1,0),0),0)</f>
        <v/>
      </c>
      <c r="W1088">
        <f>IF(AND(U1088=1,M1088&gt;=H1088*(1-Assumptions!$C$8)),1,0)</f>
        <v/>
      </c>
      <c r="X1088">
        <f>IF(AND(U1088=1,N1088&gt;=H1088*(1-Assumptions!$C$8)),1,0)</f>
        <v/>
      </c>
      <c r="Y1088">
        <f>IF(ISNUMBER(Q1088),1,0)</f>
        <v/>
      </c>
      <c r="Z1088">
        <f>IF(AND(K1088=0,L1088=0,Y1088=0),1,0)</f>
        <v/>
      </c>
      <c r="AA1088">
        <f>IF(AND(Z1088=1,G1088&lt;Assumptions!$C$6),1,0)</f>
        <v/>
      </c>
      <c r="AB1088">
        <f>IF(U1088=0,"",IF(Y1088=1,MAX(0,Q1088-G1088),IF(L1088=1,MAX(0,R1088-G1088),MAX(0,Assumptions!$C$6-G1088))))</f>
        <v/>
      </c>
      <c r="AC1088">
        <f>IF(Y1088=1,Q1088-F1088,"")</f>
        <v/>
      </c>
      <c r="AD1088">
        <f>IF(Y1088=1,AC1088^2,"")</f>
        <v/>
      </c>
      <c r="AE1088" s="19">
        <f>IF(Z1088=1,(H1088-M1088)*I1088,0)</f>
        <v/>
      </c>
      <c r="AF1088">
        <f>IF(G1088&lt;EDATE(Assumptions!$C$6,-12)+1,"prior_12m","last_12m")</f>
        <v/>
      </c>
      <c r="AG1088" s="21">
        <f>DATE(YEAR(G1088),MONTH(G1088),1)</f>
        <v/>
      </c>
    </row>
    <row r="1089">
      <c r="A1089" t="inlineStr">
        <is>
          <t>SPO-00598-1</t>
        </is>
      </c>
      <c r="B1089" t="inlineStr">
        <is>
          <t>SPO-00598</t>
        </is>
      </c>
      <c r="C1089" t="inlineStr">
        <is>
          <t>SUP-02</t>
        </is>
      </c>
      <c r="D1089" t="inlineStr">
        <is>
          <t>ELEC</t>
        </is>
      </c>
      <c r="E1089" t="inlineStr">
        <is>
          <t>ELEC-02</t>
        </is>
      </c>
      <c r="F1089" s="17" t="n">
        <v>45723</v>
      </c>
      <c r="G1089" s="17" t="n">
        <v>45739</v>
      </c>
      <c r="H1089" s="18" t="n">
        <v>152</v>
      </c>
      <c r="I1089" s="19" t="n">
        <v>4.28</v>
      </c>
      <c r="J1089" s="19" t="n">
        <v>4.2</v>
      </c>
      <c r="K1089" s="20" t="n">
        <v>0</v>
      </c>
      <c r="L1089" s="20" t="n">
        <v>0</v>
      </c>
      <c r="M1089" s="18" t="n">
        <v>152</v>
      </c>
      <c r="N1089" s="18" t="n">
        <v>152</v>
      </c>
      <c r="O1089" s="18" t="n">
        <v>0</v>
      </c>
      <c r="P1089" s="17" t="n">
        <v>45734</v>
      </c>
      <c r="Q1089" s="17" t="n">
        <v>45734</v>
      </c>
      <c r="R1089" s="17" t="n">
        <v>45734</v>
      </c>
      <c r="S1089" s="19">
        <f>H1089*I1089</f>
        <v/>
      </c>
      <c r="T1089" s="19">
        <f>H1089*J1089</f>
        <v/>
      </c>
      <c r="U1089">
        <f>IF(AND(K1089=0,G1089&lt;=Assumptions!$C$6),1,0)</f>
        <v/>
      </c>
      <c r="V1089">
        <f>IF(U1089=1,IF(M1089&gt;0,IF(P1089&lt;=G1089+Assumptions!$C$7,1,0),0),0)</f>
        <v/>
      </c>
      <c r="W1089">
        <f>IF(AND(U1089=1,M1089&gt;=H1089*(1-Assumptions!$C$8)),1,0)</f>
        <v/>
      </c>
      <c r="X1089">
        <f>IF(AND(U1089=1,N1089&gt;=H1089*(1-Assumptions!$C$8)),1,0)</f>
        <v/>
      </c>
      <c r="Y1089">
        <f>IF(ISNUMBER(Q1089),1,0)</f>
        <v/>
      </c>
      <c r="Z1089">
        <f>IF(AND(K1089=0,L1089=0,Y1089=0),1,0)</f>
        <v/>
      </c>
      <c r="AA1089">
        <f>IF(AND(Z1089=1,G1089&lt;Assumptions!$C$6),1,0)</f>
        <v/>
      </c>
      <c r="AB1089">
        <f>IF(U1089=0,"",IF(Y1089=1,MAX(0,Q1089-G1089),IF(L1089=1,MAX(0,R1089-G1089),MAX(0,Assumptions!$C$6-G1089))))</f>
        <v/>
      </c>
      <c r="AC1089">
        <f>IF(Y1089=1,Q1089-F1089,"")</f>
        <v/>
      </c>
      <c r="AD1089">
        <f>IF(Y1089=1,AC1089^2,"")</f>
        <v/>
      </c>
      <c r="AE1089" s="19">
        <f>IF(Z1089=1,(H1089-M1089)*I1089,0)</f>
        <v/>
      </c>
      <c r="AF1089">
        <f>IF(G1089&lt;EDATE(Assumptions!$C$6,-12)+1,"prior_12m","last_12m")</f>
        <v/>
      </c>
      <c r="AG1089" s="21">
        <f>DATE(YEAR(G1089),MONTH(G1089),1)</f>
        <v/>
      </c>
    </row>
    <row r="1090">
      <c r="A1090" t="inlineStr">
        <is>
          <t>SPO-00598-2</t>
        </is>
      </c>
      <c r="B1090" t="inlineStr">
        <is>
          <t>SPO-00598</t>
        </is>
      </c>
      <c r="C1090" t="inlineStr">
        <is>
          <t>SUP-02</t>
        </is>
      </c>
      <c r="D1090" t="inlineStr">
        <is>
          <t>ELEC</t>
        </is>
      </c>
      <c r="E1090" t="inlineStr">
        <is>
          <t>ELEC-04</t>
        </is>
      </c>
      <c r="F1090" s="17" t="n">
        <v>45723</v>
      </c>
      <c r="G1090" s="17" t="n">
        <v>45739</v>
      </c>
      <c r="H1090" s="18" t="n">
        <v>21</v>
      </c>
      <c r="I1090" s="19" t="n">
        <v>72.84999999999999</v>
      </c>
      <c r="J1090" s="19" t="n">
        <v>72</v>
      </c>
      <c r="K1090" s="20" t="n">
        <v>0</v>
      </c>
      <c r="L1090" s="20" t="n">
        <v>0</v>
      </c>
      <c r="M1090" s="18" t="n">
        <v>21</v>
      </c>
      <c r="N1090" s="18" t="n">
        <v>21</v>
      </c>
      <c r="O1090" s="18" t="n">
        <v>0</v>
      </c>
      <c r="P1090" s="17" t="n">
        <v>45738</v>
      </c>
      <c r="Q1090" s="17" t="n">
        <v>45738</v>
      </c>
      <c r="R1090" s="17" t="n">
        <v>45738</v>
      </c>
      <c r="S1090" s="19">
        <f>H1090*I1090</f>
        <v/>
      </c>
      <c r="T1090" s="19">
        <f>H1090*J1090</f>
        <v/>
      </c>
      <c r="U1090">
        <f>IF(AND(K1090=0,G1090&lt;=Assumptions!$C$6),1,0)</f>
        <v/>
      </c>
      <c r="V1090">
        <f>IF(U1090=1,IF(M1090&gt;0,IF(P1090&lt;=G1090+Assumptions!$C$7,1,0),0),0)</f>
        <v/>
      </c>
      <c r="W1090">
        <f>IF(AND(U1090=1,M1090&gt;=H1090*(1-Assumptions!$C$8)),1,0)</f>
        <v/>
      </c>
      <c r="X1090">
        <f>IF(AND(U1090=1,N1090&gt;=H1090*(1-Assumptions!$C$8)),1,0)</f>
        <v/>
      </c>
      <c r="Y1090">
        <f>IF(ISNUMBER(Q1090),1,0)</f>
        <v/>
      </c>
      <c r="Z1090">
        <f>IF(AND(K1090=0,L1090=0,Y1090=0),1,0)</f>
        <v/>
      </c>
      <c r="AA1090">
        <f>IF(AND(Z1090=1,G1090&lt;Assumptions!$C$6),1,0)</f>
        <v/>
      </c>
      <c r="AB1090">
        <f>IF(U1090=0,"",IF(Y1090=1,MAX(0,Q1090-G1090),IF(L1090=1,MAX(0,R1090-G1090),MAX(0,Assumptions!$C$6-G1090))))</f>
        <v/>
      </c>
      <c r="AC1090">
        <f>IF(Y1090=1,Q1090-F1090,"")</f>
        <v/>
      </c>
      <c r="AD1090">
        <f>IF(Y1090=1,AC1090^2,"")</f>
        <v/>
      </c>
      <c r="AE1090" s="19">
        <f>IF(Z1090=1,(H1090-M1090)*I1090,0)</f>
        <v/>
      </c>
      <c r="AF1090">
        <f>IF(G1090&lt;EDATE(Assumptions!$C$6,-12)+1,"prior_12m","last_12m")</f>
        <v/>
      </c>
      <c r="AG1090" s="21">
        <f>DATE(YEAR(G1090),MONTH(G1090),1)</f>
        <v/>
      </c>
    </row>
    <row r="1091">
      <c r="A1091" t="inlineStr">
        <is>
          <t>SPO-00599-1</t>
        </is>
      </c>
      <c r="B1091" t="inlineStr">
        <is>
          <t>SPO-00599</t>
        </is>
      </c>
      <c r="C1091" t="inlineStr">
        <is>
          <t>SUP-08</t>
        </is>
      </c>
      <c r="D1091" t="inlineStr">
        <is>
          <t>MRO</t>
        </is>
      </c>
      <c r="E1091" t="inlineStr">
        <is>
          <t>MRO-06</t>
        </is>
      </c>
      <c r="F1091" s="17" t="n">
        <v>45723</v>
      </c>
      <c r="G1091" s="17" t="n">
        <v>45734</v>
      </c>
      <c r="H1091" s="18" t="n">
        <v>430</v>
      </c>
      <c r="I1091" s="19" t="n">
        <v>5.87</v>
      </c>
      <c r="J1091" s="19" t="n">
        <v>6.1</v>
      </c>
      <c r="K1091" s="20" t="n">
        <v>0</v>
      </c>
      <c r="L1091" s="20" t="n">
        <v>0</v>
      </c>
      <c r="M1091" s="18" t="n">
        <v>430</v>
      </c>
      <c r="N1091" s="18" t="n">
        <v>430</v>
      </c>
      <c r="O1091" s="18" t="n">
        <v>0</v>
      </c>
      <c r="P1091" s="17" t="n">
        <v>45729</v>
      </c>
      <c r="Q1091" s="17" t="n">
        <v>45729</v>
      </c>
      <c r="R1091" s="17" t="n">
        <v>45729</v>
      </c>
      <c r="S1091" s="19">
        <f>H1091*I1091</f>
        <v/>
      </c>
      <c r="T1091" s="19">
        <f>H1091*J1091</f>
        <v/>
      </c>
      <c r="U1091">
        <f>IF(AND(K1091=0,G1091&lt;=Assumptions!$C$6),1,0)</f>
        <v/>
      </c>
      <c r="V1091">
        <f>IF(U1091=1,IF(M1091&gt;0,IF(P1091&lt;=G1091+Assumptions!$C$7,1,0),0),0)</f>
        <v/>
      </c>
      <c r="W1091">
        <f>IF(AND(U1091=1,M1091&gt;=H1091*(1-Assumptions!$C$8)),1,0)</f>
        <v/>
      </c>
      <c r="X1091">
        <f>IF(AND(U1091=1,N1091&gt;=H1091*(1-Assumptions!$C$8)),1,0)</f>
        <v/>
      </c>
      <c r="Y1091">
        <f>IF(ISNUMBER(Q1091),1,0)</f>
        <v/>
      </c>
      <c r="Z1091">
        <f>IF(AND(K1091=0,L1091=0,Y1091=0),1,0)</f>
        <v/>
      </c>
      <c r="AA1091">
        <f>IF(AND(Z1091=1,G1091&lt;Assumptions!$C$6),1,0)</f>
        <v/>
      </c>
      <c r="AB1091">
        <f>IF(U1091=0,"",IF(Y1091=1,MAX(0,Q1091-G1091),IF(L1091=1,MAX(0,R1091-G1091),MAX(0,Assumptions!$C$6-G1091))))</f>
        <v/>
      </c>
      <c r="AC1091">
        <f>IF(Y1091=1,Q1091-F1091,"")</f>
        <v/>
      </c>
      <c r="AD1091">
        <f>IF(Y1091=1,AC1091^2,"")</f>
        <v/>
      </c>
      <c r="AE1091" s="19">
        <f>IF(Z1091=1,(H1091-M1091)*I1091,0)</f>
        <v/>
      </c>
      <c r="AF1091">
        <f>IF(G1091&lt;EDATE(Assumptions!$C$6,-12)+1,"prior_12m","last_12m")</f>
        <v/>
      </c>
      <c r="AG1091" s="21">
        <f>DATE(YEAR(G1091),MONTH(G1091),1)</f>
        <v/>
      </c>
    </row>
    <row r="1092">
      <c r="A1092" t="inlineStr">
        <is>
          <t>SPO-00599-2</t>
        </is>
      </c>
      <c r="B1092" t="inlineStr">
        <is>
          <t>SPO-00599</t>
        </is>
      </c>
      <c r="C1092" t="inlineStr">
        <is>
          <t>SUP-08</t>
        </is>
      </c>
      <c r="D1092" t="inlineStr">
        <is>
          <t>MRO</t>
        </is>
      </c>
      <c r="E1092" t="inlineStr">
        <is>
          <t>MRO-03</t>
        </is>
      </c>
      <c r="F1092" s="17" t="n">
        <v>45723</v>
      </c>
      <c r="G1092" s="17" t="n">
        <v>45734</v>
      </c>
      <c r="H1092" s="18" t="n">
        <v>102</v>
      </c>
      <c r="I1092" s="19" t="n">
        <v>8.859999999999999</v>
      </c>
      <c r="J1092" s="19" t="n">
        <v>8.9</v>
      </c>
      <c r="K1092" s="20" t="n">
        <v>0</v>
      </c>
      <c r="L1092" s="20" t="n">
        <v>0</v>
      </c>
      <c r="M1092" s="18" t="n">
        <v>102</v>
      </c>
      <c r="N1092" s="18" t="n">
        <v>102</v>
      </c>
      <c r="O1092" s="18" t="n">
        <v>0</v>
      </c>
      <c r="P1092" s="17" t="n">
        <v>45730</v>
      </c>
      <c r="Q1092" s="17" t="n">
        <v>45730</v>
      </c>
      <c r="R1092" s="17" t="n">
        <v>45730</v>
      </c>
      <c r="S1092" s="19">
        <f>H1092*I1092</f>
        <v/>
      </c>
      <c r="T1092" s="19">
        <f>H1092*J1092</f>
        <v/>
      </c>
      <c r="U1092">
        <f>IF(AND(K1092=0,G1092&lt;=Assumptions!$C$6),1,0)</f>
        <v/>
      </c>
      <c r="V1092">
        <f>IF(U1092=1,IF(M1092&gt;0,IF(P1092&lt;=G1092+Assumptions!$C$7,1,0),0),0)</f>
        <v/>
      </c>
      <c r="W1092">
        <f>IF(AND(U1092=1,M1092&gt;=H1092*(1-Assumptions!$C$8)),1,0)</f>
        <v/>
      </c>
      <c r="X1092">
        <f>IF(AND(U1092=1,N1092&gt;=H1092*(1-Assumptions!$C$8)),1,0)</f>
        <v/>
      </c>
      <c r="Y1092">
        <f>IF(ISNUMBER(Q1092),1,0)</f>
        <v/>
      </c>
      <c r="Z1092">
        <f>IF(AND(K1092=0,L1092=0,Y1092=0),1,0)</f>
        <v/>
      </c>
      <c r="AA1092">
        <f>IF(AND(Z1092=1,G1092&lt;Assumptions!$C$6),1,0)</f>
        <v/>
      </c>
      <c r="AB1092">
        <f>IF(U1092=0,"",IF(Y1092=1,MAX(0,Q1092-G1092),IF(L1092=1,MAX(0,R1092-G1092),MAX(0,Assumptions!$C$6-G1092))))</f>
        <v/>
      </c>
      <c r="AC1092">
        <f>IF(Y1092=1,Q1092-F1092,"")</f>
        <v/>
      </c>
      <c r="AD1092">
        <f>IF(Y1092=1,AC1092^2,"")</f>
        <v/>
      </c>
      <c r="AE1092" s="19">
        <f>IF(Z1092=1,(H1092-M1092)*I1092,0)</f>
        <v/>
      </c>
      <c r="AF1092">
        <f>IF(G1092&lt;EDATE(Assumptions!$C$6,-12)+1,"prior_12m","last_12m")</f>
        <v/>
      </c>
      <c r="AG1092" s="21">
        <f>DATE(YEAR(G1092),MONTH(G1092),1)</f>
        <v/>
      </c>
    </row>
    <row r="1093">
      <c r="A1093" t="inlineStr">
        <is>
          <t>SPO-00600-1</t>
        </is>
      </c>
      <c r="B1093" t="inlineStr">
        <is>
          <t>SPO-00600</t>
        </is>
      </c>
      <c r="C1093" t="inlineStr">
        <is>
          <t>SUP-12</t>
        </is>
      </c>
      <c r="D1093" t="inlineStr">
        <is>
          <t>IT</t>
        </is>
      </c>
      <c r="E1093" t="inlineStr">
        <is>
          <t>IT-01</t>
        </is>
      </c>
      <c r="F1093" s="17" t="n">
        <v>45724</v>
      </c>
      <c r="G1093" s="17" t="n">
        <v>45734</v>
      </c>
      <c r="H1093" s="18" t="n">
        <v>6</v>
      </c>
      <c r="I1093" s="19" t="n">
        <v>212.51</v>
      </c>
      <c r="J1093" s="19" t="n">
        <v>189</v>
      </c>
      <c r="K1093" s="20" t="n">
        <v>0</v>
      </c>
      <c r="L1093" s="20" t="n">
        <v>0</v>
      </c>
      <c r="M1093" s="18" t="n">
        <v>6</v>
      </c>
      <c r="N1093" s="18" t="n">
        <v>0</v>
      </c>
      <c r="O1093" s="18" t="n">
        <v>0</v>
      </c>
      <c r="P1093" s="17" t="n">
        <v>45735</v>
      </c>
      <c r="Q1093" s="17" t="n">
        <v>45735</v>
      </c>
      <c r="R1093" s="17" t="n">
        <v>45735</v>
      </c>
      <c r="S1093" s="19">
        <f>H1093*I1093</f>
        <v/>
      </c>
      <c r="T1093" s="19">
        <f>H1093*J1093</f>
        <v/>
      </c>
      <c r="U1093">
        <f>IF(AND(K1093=0,G1093&lt;=Assumptions!$C$6),1,0)</f>
        <v/>
      </c>
      <c r="V1093">
        <f>IF(U1093=1,IF(M1093&gt;0,IF(P1093&lt;=G1093+Assumptions!$C$7,1,0),0),0)</f>
        <v/>
      </c>
      <c r="W1093">
        <f>IF(AND(U1093=1,M1093&gt;=H1093*(1-Assumptions!$C$8)),1,0)</f>
        <v/>
      </c>
      <c r="X1093">
        <f>IF(AND(U1093=1,N1093&gt;=H1093*(1-Assumptions!$C$8)),1,0)</f>
        <v/>
      </c>
      <c r="Y1093">
        <f>IF(ISNUMBER(Q1093),1,0)</f>
        <v/>
      </c>
      <c r="Z1093">
        <f>IF(AND(K1093=0,L1093=0,Y1093=0),1,0)</f>
        <v/>
      </c>
      <c r="AA1093">
        <f>IF(AND(Z1093=1,G1093&lt;Assumptions!$C$6),1,0)</f>
        <v/>
      </c>
      <c r="AB1093">
        <f>IF(U1093=0,"",IF(Y1093=1,MAX(0,Q1093-G1093),IF(L1093=1,MAX(0,R1093-G1093),MAX(0,Assumptions!$C$6-G1093))))</f>
        <v/>
      </c>
      <c r="AC1093">
        <f>IF(Y1093=1,Q1093-F1093,"")</f>
        <v/>
      </c>
      <c r="AD1093">
        <f>IF(Y1093=1,AC1093^2,"")</f>
        <v/>
      </c>
      <c r="AE1093" s="19">
        <f>IF(Z1093=1,(H1093-M1093)*I1093,0)</f>
        <v/>
      </c>
      <c r="AF1093">
        <f>IF(G1093&lt;EDATE(Assumptions!$C$6,-12)+1,"prior_12m","last_12m")</f>
        <v/>
      </c>
      <c r="AG1093" s="21">
        <f>DATE(YEAR(G1093),MONTH(G1093),1)</f>
        <v/>
      </c>
    </row>
    <row r="1094">
      <c r="A1094" t="inlineStr">
        <is>
          <t>SPO-00601-1</t>
        </is>
      </c>
      <c r="B1094" t="inlineStr">
        <is>
          <t>SPO-00601</t>
        </is>
      </c>
      <c r="C1094" t="inlineStr">
        <is>
          <t>SUP-06</t>
        </is>
      </c>
      <c r="D1094" t="inlineStr">
        <is>
          <t>MRO</t>
        </is>
      </c>
      <c r="E1094" t="inlineStr">
        <is>
          <t>MRO-04</t>
        </is>
      </c>
      <c r="F1094" s="17" t="n">
        <v>45725</v>
      </c>
      <c r="G1094" s="17" t="n">
        <v>45733</v>
      </c>
      <c r="H1094" s="18" t="n">
        <v>26</v>
      </c>
      <c r="I1094" s="19" t="n">
        <v>58.14</v>
      </c>
      <c r="J1094" s="19" t="n">
        <v>58</v>
      </c>
      <c r="K1094" s="20" t="n">
        <v>0</v>
      </c>
      <c r="L1094" s="20" t="n">
        <v>0</v>
      </c>
      <c r="M1094" s="18" t="n">
        <v>26</v>
      </c>
      <c r="N1094" s="18" t="n">
        <v>26</v>
      </c>
      <c r="O1094" s="18" t="n">
        <v>0</v>
      </c>
      <c r="P1094" s="17" t="n">
        <v>45731</v>
      </c>
      <c r="Q1094" s="17" t="n">
        <v>45731</v>
      </c>
      <c r="R1094" s="17" t="n">
        <v>45731</v>
      </c>
      <c r="S1094" s="19">
        <f>H1094*I1094</f>
        <v/>
      </c>
      <c r="T1094" s="19">
        <f>H1094*J1094</f>
        <v/>
      </c>
      <c r="U1094">
        <f>IF(AND(K1094=0,G1094&lt;=Assumptions!$C$6),1,0)</f>
        <v/>
      </c>
      <c r="V1094">
        <f>IF(U1094=1,IF(M1094&gt;0,IF(P1094&lt;=G1094+Assumptions!$C$7,1,0),0),0)</f>
        <v/>
      </c>
      <c r="W1094">
        <f>IF(AND(U1094=1,M1094&gt;=H1094*(1-Assumptions!$C$8)),1,0)</f>
        <v/>
      </c>
      <c r="X1094">
        <f>IF(AND(U1094=1,N1094&gt;=H1094*(1-Assumptions!$C$8)),1,0)</f>
        <v/>
      </c>
      <c r="Y1094">
        <f>IF(ISNUMBER(Q1094),1,0)</f>
        <v/>
      </c>
      <c r="Z1094">
        <f>IF(AND(K1094=0,L1094=0,Y1094=0),1,0)</f>
        <v/>
      </c>
      <c r="AA1094">
        <f>IF(AND(Z1094=1,G1094&lt;Assumptions!$C$6),1,0)</f>
        <v/>
      </c>
      <c r="AB1094">
        <f>IF(U1094=0,"",IF(Y1094=1,MAX(0,Q1094-G1094),IF(L1094=1,MAX(0,R1094-G1094),MAX(0,Assumptions!$C$6-G1094))))</f>
        <v/>
      </c>
      <c r="AC1094">
        <f>IF(Y1094=1,Q1094-F1094,"")</f>
        <v/>
      </c>
      <c r="AD1094">
        <f>IF(Y1094=1,AC1094^2,"")</f>
        <v/>
      </c>
      <c r="AE1094" s="19">
        <f>IF(Z1094=1,(H1094-M1094)*I1094,0)</f>
        <v/>
      </c>
      <c r="AF1094">
        <f>IF(G1094&lt;EDATE(Assumptions!$C$6,-12)+1,"prior_12m","last_12m")</f>
        <v/>
      </c>
      <c r="AG1094" s="21">
        <f>DATE(YEAR(G1094),MONTH(G1094),1)</f>
        <v/>
      </c>
    </row>
    <row r="1095">
      <c r="A1095" t="inlineStr">
        <is>
          <t>SPO-00602-1</t>
        </is>
      </c>
      <c r="B1095" t="inlineStr">
        <is>
          <t>SPO-00602</t>
        </is>
      </c>
      <c r="C1095" t="inlineStr">
        <is>
          <t>SUP-14</t>
        </is>
      </c>
      <c r="D1095" t="inlineStr">
        <is>
          <t>FLEET</t>
        </is>
      </c>
      <c r="E1095" t="inlineStr">
        <is>
          <t>FLEET-08</t>
        </is>
      </c>
      <c r="F1095" s="17" t="n">
        <v>45725</v>
      </c>
      <c r="G1095" s="17" t="n">
        <v>45739</v>
      </c>
      <c r="H1095" s="18" t="n">
        <v>182</v>
      </c>
      <c r="I1095" s="19" t="n">
        <v>6.53</v>
      </c>
      <c r="J1095" s="19" t="n">
        <v>6.4</v>
      </c>
      <c r="K1095" s="20" t="n">
        <v>0</v>
      </c>
      <c r="L1095" s="20" t="n">
        <v>0</v>
      </c>
      <c r="M1095" s="18" t="n">
        <v>182</v>
      </c>
      <c r="N1095" s="18" t="n">
        <v>182</v>
      </c>
      <c r="O1095" s="18" t="n">
        <v>0</v>
      </c>
      <c r="P1095" s="17" t="n">
        <v>45733</v>
      </c>
      <c r="Q1095" s="17" t="n">
        <v>45733</v>
      </c>
      <c r="R1095" s="17" t="n">
        <v>45733</v>
      </c>
      <c r="S1095" s="19">
        <f>H1095*I1095</f>
        <v/>
      </c>
      <c r="T1095" s="19">
        <f>H1095*J1095</f>
        <v/>
      </c>
      <c r="U1095">
        <f>IF(AND(K1095=0,G1095&lt;=Assumptions!$C$6),1,0)</f>
        <v/>
      </c>
      <c r="V1095">
        <f>IF(U1095=1,IF(M1095&gt;0,IF(P1095&lt;=G1095+Assumptions!$C$7,1,0),0),0)</f>
        <v/>
      </c>
      <c r="W1095">
        <f>IF(AND(U1095=1,M1095&gt;=H1095*(1-Assumptions!$C$8)),1,0)</f>
        <v/>
      </c>
      <c r="X1095">
        <f>IF(AND(U1095=1,N1095&gt;=H1095*(1-Assumptions!$C$8)),1,0)</f>
        <v/>
      </c>
      <c r="Y1095">
        <f>IF(ISNUMBER(Q1095),1,0)</f>
        <v/>
      </c>
      <c r="Z1095">
        <f>IF(AND(K1095=0,L1095=0,Y1095=0),1,0)</f>
        <v/>
      </c>
      <c r="AA1095">
        <f>IF(AND(Z1095=1,G1095&lt;Assumptions!$C$6),1,0)</f>
        <v/>
      </c>
      <c r="AB1095">
        <f>IF(U1095=0,"",IF(Y1095=1,MAX(0,Q1095-G1095),IF(L1095=1,MAX(0,R1095-G1095),MAX(0,Assumptions!$C$6-G1095))))</f>
        <v/>
      </c>
      <c r="AC1095">
        <f>IF(Y1095=1,Q1095-F1095,"")</f>
        <v/>
      </c>
      <c r="AD1095">
        <f>IF(Y1095=1,AC1095^2,"")</f>
        <v/>
      </c>
      <c r="AE1095" s="19">
        <f>IF(Z1095=1,(H1095-M1095)*I1095,0)</f>
        <v/>
      </c>
      <c r="AF1095">
        <f>IF(G1095&lt;EDATE(Assumptions!$C$6,-12)+1,"prior_12m","last_12m")</f>
        <v/>
      </c>
      <c r="AG1095" s="21">
        <f>DATE(YEAR(G1095),MONTH(G1095),1)</f>
        <v/>
      </c>
    </row>
    <row r="1096">
      <c r="A1096" t="inlineStr">
        <is>
          <t>SPO-00603-1</t>
        </is>
      </c>
      <c r="B1096" t="inlineStr">
        <is>
          <t>SPO-00603</t>
        </is>
      </c>
      <c r="C1096" t="inlineStr">
        <is>
          <t>SUP-12</t>
        </is>
      </c>
      <c r="D1096" t="inlineStr">
        <is>
          <t>IT</t>
        </is>
      </c>
      <c r="E1096" t="inlineStr">
        <is>
          <t>IT-08</t>
        </is>
      </c>
      <c r="F1096" s="17" t="n">
        <v>45726</v>
      </c>
      <c r="G1096" s="17" t="n">
        <v>45736</v>
      </c>
      <c r="H1096" s="18" t="n">
        <v>5</v>
      </c>
      <c r="I1096" s="19" t="n">
        <v>272.06</v>
      </c>
      <c r="J1096" s="19" t="n">
        <v>245</v>
      </c>
      <c r="K1096" s="20" t="n">
        <v>0</v>
      </c>
      <c r="L1096" s="20" t="n">
        <v>0</v>
      </c>
      <c r="M1096" s="18" t="n">
        <v>5</v>
      </c>
      <c r="N1096" s="18" t="n">
        <v>5</v>
      </c>
      <c r="O1096" s="18" t="n">
        <v>0</v>
      </c>
      <c r="P1096" s="17" t="n">
        <v>45731</v>
      </c>
      <c r="Q1096" s="17" t="n">
        <v>45731</v>
      </c>
      <c r="R1096" s="17" t="n">
        <v>45731</v>
      </c>
      <c r="S1096" s="19">
        <f>H1096*I1096</f>
        <v/>
      </c>
      <c r="T1096" s="19">
        <f>H1096*J1096</f>
        <v/>
      </c>
      <c r="U1096">
        <f>IF(AND(K1096=0,G1096&lt;=Assumptions!$C$6),1,0)</f>
        <v/>
      </c>
      <c r="V1096">
        <f>IF(U1096=1,IF(M1096&gt;0,IF(P1096&lt;=G1096+Assumptions!$C$7,1,0),0),0)</f>
        <v/>
      </c>
      <c r="W1096">
        <f>IF(AND(U1096=1,M1096&gt;=H1096*(1-Assumptions!$C$8)),1,0)</f>
        <v/>
      </c>
      <c r="X1096">
        <f>IF(AND(U1096=1,N1096&gt;=H1096*(1-Assumptions!$C$8)),1,0)</f>
        <v/>
      </c>
      <c r="Y1096">
        <f>IF(ISNUMBER(Q1096),1,0)</f>
        <v/>
      </c>
      <c r="Z1096">
        <f>IF(AND(K1096=0,L1096=0,Y1096=0),1,0)</f>
        <v/>
      </c>
      <c r="AA1096">
        <f>IF(AND(Z1096=1,G1096&lt;Assumptions!$C$6),1,0)</f>
        <v/>
      </c>
      <c r="AB1096">
        <f>IF(U1096=0,"",IF(Y1096=1,MAX(0,Q1096-G1096),IF(L1096=1,MAX(0,R1096-G1096),MAX(0,Assumptions!$C$6-G1096))))</f>
        <v/>
      </c>
      <c r="AC1096">
        <f>IF(Y1096=1,Q1096-F1096,"")</f>
        <v/>
      </c>
      <c r="AD1096">
        <f>IF(Y1096=1,AC1096^2,"")</f>
        <v/>
      </c>
      <c r="AE1096" s="19">
        <f>IF(Z1096=1,(H1096-M1096)*I1096,0)</f>
        <v/>
      </c>
      <c r="AF1096">
        <f>IF(G1096&lt;EDATE(Assumptions!$C$6,-12)+1,"prior_12m","last_12m")</f>
        <v/>
      </c>
      <c r="AG1096" s="21">
        <f>DATE(YEAR(G1096),MONTH(G1096),1)</f>
        <v/>
      </c>
    </row>
    <row r="1097">
      <c r="A1097" t="inlineStr">
        <is>
          <t>SPO-00604-1</t>
        </is>
      </c>
      <c r="B1097" t="inlineStr">
        <is>
          <t>SPO-00604</t>
        </is>
      </c>
      <c r="C1097" t="inlineStr">
        <is>
          <t>SUP-04</t>
        </is>
      </c>
      <c r="D1097" t="inlineStr">
        <is>
          <t>FLEET</t>
        </is>
      </c>
      <c r="E1097" t="inlineStr">
        <is>
          <t>FLEET-05</t>
        </is>
      </c>
      <c r="F1097" s="17" t="n">
        <v>45726</v>
      </c>
      <c r="G1097" s="17" t="n">
        <v>45739</v>
      </c>
      <c r="H1097" s="18" t="n">
        <v>4</v>
      </c>
      <c r="I1097" s="19" t="n">
        <v>167.05</v>
      </c>
      <c r="J1097" s="19" t="n">
        <v>168</v>
      </c>
      <c r="K1097" s="20" t="n">
        <v>0</v>
      </c>
      <c r="L1097" s="20" t="n">
        <v>0</v>
      </c>
      <c r="M1097" s="18" t="n">
        <v>4</v>
      </c>
      <c r="N1097" s="18" t="n">
        <v>4</v>
      </c>
      <c r="O1097" s="18" t="n">
        <v>0</v>
      </c>
      <c r="P1097" s="17" t="n">
        <v>45736</v>
      </c>
      <c r="Q1097" s="17" t="n">
        <v>45736</v>
      </c>
      <c r="R1097" s="17" t="n">
        <v>45736</v>
      </c>
      <c r="S1097" s="19">
        <f>H1097*I1097</f>
        <v/>
      </c>
      <c r="T1097" s="19">
        <f>H1097*J1097</f>
        <v/>
      </c>
      <c r="U1097">
        <f>IF(AND(K1097=0,G1097&lt;=Assumptions!$C$6),1,0)</f>
        <v/>
      </c>
      <c r="V1097">
        <f>IF(U1097=1,IF(M1097&gt;0,IF(P1097&lt;=G1097+Assumptions!$C$7,1,0),0),0)</f>
        <v/>
      </c>
      <c r="W1097">
        <f>IF(AND(U1097=1,M1097&gt;=H1097*(1-Assumptions!$C$8)),1,0)</f>
        <v/>
      </c>
      <c r="X1097">
        <f>IF(AND(U1097=1,N1097&gt;=H1097*(1-Assumptions!$C$8)),1,0)</f>
        <v/>
      </c>
      <c r="Y1097">
        <f>IF(ISNUMBER(Q1097),1,0)</f>
        <v/>
      </c>
      <c r="Z1097">
        <f>IF(AND(K1097=0,L1097=0,Y1097=0),1,0)</f>
        <v/>
      </c>
      <c r="AA1097">
        <f>IF(AND(Z1097=1,G1097&lt;Assumptions!$C$6),1,0)</f>
        <v/>
      </c>
      <c r="AB1097">
        <f>IF(U1097=0,"",IF(Y1097=1,MAX(0,Q1097-G1097),IF(L1097=1,MAX(0,R1097-G1097),MAX(0,Assumptions!$C$6-G1097))))</f>
        <v/>
      </c>
      <c r="AC1097">
        <f>IF(Y1097=1,Q1097-F1097,"")</f>
        <v/>
      </c>
      <c r="AD1097">
        <f>IF(Y1097=1,AC1097^2,"")</f>
        <v/>
      </c>
      <c r="AE1097" s="19">
        <f>IF(Z1097=1,(H1097-M1097)*I1097,0)</f>
        <v/>
      </c>
      <c r="AF1097">
        <f>IF(G1097&lt;EDATE(Assumptions!$C$6,-12)+1,"prior_12m","last_12m")</f>
        <v/>
      </c>
      <c r="AG1097" s="21">
        <f>DATE(YEAR(G1097),MONTH(G1097),1)</f>
        <v/>
      </c>
    </row>
    <row r="1098">
      <c r="A1098" t="inlineStr">
        <is>
          <t>SPO-00605-1</t>
        </is>
      </c>
      <c r="B1098" t="inlineStr">
        <is>
          <t>SPO-00605</t>
        </is>
      </c>
      <c r="C1098" t="inlineStr">
        <is>
          <t>SUP-11</t>
        </is>
      </c>
      <c r="D1098" t="inlineStr">
        <is>
          <t>PPE</t>
        </is>
      </c>
      <c r="E1098" t="inlineStr">
        <is>
          <t>PPE-05</t>
        </is>
      </c>
      <c r="F1098" s="17" t="n">
        <v>45726</v>
      </c>
      <c r="G1098" s="17" t="n">
        <v>45738</v>
      </c>
      <c r="H1098" s="18" t="n">
        <v>53</v>
      </c>
      <c r="I1098" s="19" t="n">
        <v>11.22</v>
      </c>
      <c r="J1098" s="19" t="n">
        <v>11</v>
      </c>
      <c r="K1098" s="20" t="n">
        <v>0</v>
      </c>
      <c r="L1098" s="20" t="n">
        <v>0</v>
      </c>
      <c r="M1098" s="18" t="n">
        <v>53</v>
      </c>
      <c r="N1098" s="18" t="n">
        <v>53</v>
      </c>
      <c r="O1098" s="18" t="n">
        <v>0</v>
      </c>
      <c r="P1098" s="17" t="n">
        <v>45738</v>
      </c>
      <c r="Q1098" s="17" t="n">
        <v>45738</v>
      </c>
      <c r="R1098" s="17" t="n">
        <v>45738</v>
      </c>
      <c r="S1098" s="19">
        <f>H1098*I1098</f>
        <v/>
      </c>
      <c r="T1098" s="19">
        <f>H1098*J1098</f>
        <v/>
      </c>
      <c r="U1098">
        <f>IF(AND(K1098=0,G1098&lt;=Assumptions!$C$6),1,0)</f>
        <v/>
      </c>
      <c r="V1098">
        <f>IF(U1098=1,IF(M1098&gt;0,IF(P1098&lt;=G1098+Assumptions!$C$7,1,0),0),0)</f>
        <v/>
      </c>
      <c r="W1098">
        <f>IF(AND(U1098=1,M1098&gt;=H1098*(1-Assumptions!$C$8)),1,0)</f>
        <v/>
      </c>
      <c r="X1098">
        <f>IF(AND(U1098=1,N1098&gt;=H1098*(1-Assumptions!$C$8)),1,0)</f>
        <v/>
      </c>
      <c r="Y1098">
        <f>IF(ISNUMBER(Q1098),1,0)</f>
        <v/>
      </c>
      <c r="Z1098">
        <f>IF(AND(K1098=0,L1098=0,Y1098=0),1,0)</f>
        <v/>
      </c>
      <c r="AA1098">
        <f>IF(AND(Z1098=1,G1098&lt;Assumptions!$C$6),1,0)</f>
        <v/>
      </c>
      <c r="AB1098">
        <f>IF(U1098=0,"",IF(Y1098=1,MAX(0,Q1098-G1098),IF(L1098=1,MAX(0,R1098-G1098),MAX(0,Assumptions!$C$6-G1098))))</f>
        <v/>
      </c>
      <c r="AC1098">
        <f>IF(Y1098=1,Q1098-F1098,"")</f>
        <v/>
      </c>
      <c r="AD1098">
        <f>IF(Y1098=1,AC1098^2,"")</f>
        <v/>
      </c>
      <c r="AE1098" s="19">
        <f>IF(Z1098=1,(H1098-M1098)*I1098,0)</f>
        <v/>
      </c>
      <c r="AF1098">
        <f>IF(G1098&lt;EDATE(Assumptions!$C$6,-12)+1,"prior_12m","last_12m")</f>
        <v/>
      </c>
      <c r="AG1098" s="21">
        <f>DATE(YEAR(G1098),MONTH(G1098),1)</f>
        <v/>
      </c>
    </row>
    <row r="1099">
      <c r="A1099" t="inlineStr">
        <is>
          <t>SPO-00606-1</t>
        </is>
      </c>
      <c r="B1099" t="inlineStr">
        <is>
          <t>SPO-00606</t>
        </is>
      </c>
      <c r="C1099" t="inlineStr">
        <is>
          <t>SUP-12</t>
        </is>
      </c>
      <c r="D1099" t="inlineStr">
        <is>
          <t>IT</t>
        </is>
      </c>
      <c r="E1099" t="inlineStr">
        <is>
          <t>IT-08</t>
        </is>
      </c>
      <c r="F1099" s="17" t="n">
        <v>45726</v>
      </c>
      <c r="G1099" s="17" t="n">
        <v>45736</v>
      </c>
      <c r="H1099" s="18" t="n">
        <v>4</v>
      </c>
      <c r="I1099" s="19" t="n">
        <v>279.61</v>
      </c>
      <c r="J1099" s="19" t="n">
        <v>245</v>
      </c>
      <c r="K1099" s="20" t="n">
        <v>0</v>
      </c>
      <c r="L1099" s="20" t="n">
        <v>0</v>
      </c>
      <c r="M1099" s="18" t="n">
        <v>4</v>
      </c>
      <c r="N1099" s="18" t="n">
        <v>4</v>
      </c>
      <c r="O1099" s="18" t="n">
        <v>0</v>
      </c>
      <c r="P1099" s="17" t="n">
        <v>45731</v>
      </c>
      <c r="Q1099" s="17" t="n">
        <v>45731</v>
      </c>
      <c r="R1099" s="17" t="n">
        <v>45731</v>
      </c>
      <c r="S1099" s="19">
        <f>H1099*I1099</f>
        <v/>
      </c>
      <c r="T1099" s="19">
        <f>H1099*J1099</f>
        <v/>
      </c>
      <c r="U1099">
        <f>IF(AND(K1099=0,G1099&lt;=Assumptions!$C$6),1,0)</f>
        <v/>
      </c>
      <c r="V1099">
        <f>IF(U1099=1,IF(M1099&gt;0,IF(P1099&lt;=G1099+Assumptions!$C$7,1,0),0),0)</f>
        <v/>
      </c>
      <c r="W1099">
        <f>IF(AND(U1099=1,M1099&gt;=H1099*(1-Assumptions!$C$8)),1,0)</f>
        <v/>
      </c>
      <c r="X1099">
        <f>IF(AND(U1099=1,N1099&gt;=H1099*(1-Assumptions!$C$8)),1,0)</f>
        <v/>
      </c>
      <c r="Y1099">
        <f>IF(ISNUMBER(Q1099),1,0)</f>
        <v/>
      </c>
      <c r="Z1099">
        <f>IF(AND(K1099=0,L1099=0,Y1099=0),1,0)</f>
        <v/>
      </c>
      <c r="AA1099">
        <f>IF(AND(Z1099=1,G1099&lt;Assumptions!$C$6),1,0)</f>
        <v/>
      </c>
      <c r="AB1099">
        <f>IF(U1099=0,"",IF(Y1099=1,MAX(0,Q1099-G1099),IF(L1099=1,MAX(0,R1099-G1099),MAX(0,Assumptions!$C$6-G1099))))</f>
        <v/>
      </c>
      <c r="AC1099">
        <f>IF(Y1099=1,Q1099-F1099,"")</f>
        <v/>
      </c>
      <c r="AD1099">
        <f>IF(Y1099=1,AC1099^2,"")</f>
        <v/>
      </c>
      <c r="AE1099" s="19">
        <f>IF(Z1099=1,(H1099-M1099)*I1099,0)</f>
        <v/>
      </c>
      <c r="AF1099">
        <f>IF(G1099&lt;EDATE(Assumptions!$C$6,-12)+1,"prior_12m","last_12m")</f>
        <v/>
      </c>
      <c r="AG1099" s="21">
        <f>DATE(YEAR(G1099),MONTH(G1099),1)</f>
        <v/>
      </c>
    </row>
    <row r="1100">
      <c r="A1100" t="inlineStr">
        <is>
          <t>SPO-00606-2</t>
        </is>
      </c>
      <c r="B1100" t="inlineStr">
        <is>
          <t>SPO-00606</t>
        </is>
      </c>
      <c r="C1100" t="inlineStr">
        <is>
          <t>SUP-12</t>
        </is>
      </c>
      <c r="D1100" t="inlineStr">
        <is>
          <t>IT</t>
        </is>
      </c>
      <c r="E1100" t="inlineStr">
        <is>
          <t>IT-01</t>
        </is>
      </c>
      <c r="F1100" s="17" t="n">
        <v>45726</v>
      </c>
      <c r="G1100" s="17" t="n">
        <v>45736</v>
      </c>
      <c r="H1100" s="18" t="n">
        <v>5</v>
      </c>
      <c r="I1100" s="19" t="n">
        <v>213.11</v>
      </c>
      <c r="J1100" s="19" t="n">
        <v>189</v>
      </c>
      <c r="K1100" s="20" t="n">
        <v>0</v>
      </c>
      <c r="L1100" s="20" t="n">
        <v>0</v>
      </c>
      <c r="M1100" s="18" t="n">
        <v>5</v>
      </c>
      <c r="N1100" s="18" t="n">
        <v>3</v>
      </c>
      <c r="O1100" s="18" t="n">
        <v>0</v>
      </c>
      <c r="P1100" s="17" t="n">
        <v>45733</v>
      </c>
      <c r="Q1100" s="17" t="n">
        <v>45739</v>
      </c>
      <c r="R1100" s="17" t="n">
        <v>45739</v>
      </c>
      <c r="S1100" s="19">
        <f>H1100*I1100</f>
        <v/>
      </c>
      <c r="T1100" s="19">
        <f>H1100*J1100</f>
        <v/>
      </c>
      <c r="U1100">
        <f>IF(AND(K1100=0,G1100&lt;=Assumptions!$C$6),1,0)</f>
        <v/>
      </c>
      <c r="V1100">
        <f>IF(U1100=1,IF(M1100&gt;0,IF(P1100&lt;=G1100+Assumptions!$C$7,1,0),0),0)</f>
        <v/>
      </c>
      <c r="W1100">
        <f>IF(AND(U1100=1,M1100&gt;=H1100*(1-Assumptions!$C$8)),1,0)</f>
        <v/>
      </c>
      <c r="X1100">
        <f>IF(AND(U1100=1,N1100&gt;=H1100*(1-Assumptions!$C$8)),1,0)</f>
        <v/>
      </c>
      <c r="Y1100">
        <f>IF(ISNUMBER(Q1100),1,0)</f>
        <v/>
      </c>
      <c r="Z1100">
        <f>IF(AND(K1100=0,L1100=0,Y1100=0),1,0)</f>
        <v/>
      </c>
      <c r="AA1100">
        <f>IF(AND(Z1100=1,G1100&lt;Assumptions!$C$6),1,0)</f>
        <v/>
      </c>
      <c r="AB1100">
        <f>IF(U1100=0,"",IF(Y1100=1,MAX(0,Q1100-G1100),IF(L1100=1,MAX(0,R1100-G1100),MAX(0,Assumptions!$C$6-G1100))))</f>
        <v/>
      </c>
      <c r="AC1100">
        <f>IF(Y1100=1,Q1100-F1100,"")</f>
        <v/>
      </c>
      <c r="AD1100">
        <f>IF(Y1100=1,AC1100^2,"")</f>
        <v/>
      </c>
      <c r="AE1100" s="19">
        <f>IF(Z1100=1,(H1100-M1100)*I1100,0)</f>
        <v/>
      </c>
      <c r="AF1100">
        <f>IF(G1100&lt;EDATE(Assumptions!$C$6,-12)+1,"prior_12m","last_12m")</f>
        <v/>
      </c>
      <c r="AG1100" s="21">
        <f>DATE(YEAR(G1100),MONTH(G1100),1)</f>
        <v/>
      </c>
    </row>
    <row r="1101">
      <c r="A1101" t="inlineStr">
        <is>
          <t>SPO-00606-3</t>
        </is>
      </c>
      <c r="B1101" t="inlineStr">
        <is>
          <t>SPO-00606</t>
        </is>
      </c>
      <c r="C1101" t="inlineStr">
        <is>
          <t>SUP-12</t>
        </is>
      </c>
      <c r="D1101" t="inlineStr">
        <is>
          <t>IT</t>
        </is>
      </c>
      <c r="E1101" t="inlineStr">
        <is>
          <t>IT-03</t>
        </is>
      </c>
      <c r="F1101" s="17" t="n">
        <v>45726</v>
      </c>
      <c r="G1101" s="17" t="n">
        <v>45736</v>
      </c>
      <c r="H1101" s="18" t="n">
        <v>30</v>
      </c>
      <c r="I1101" s="19" t="n">
        <v>41.71</v>
      </c>
      <c r="J1101" s="19" t="n">
        <v>38</v>
      </c>
      <c r="K1101" s="20" t="n">
        <v>0</v>
      </c>
      <c r="L1101" s="20" t="n">
        <v>0</v>
      </c>
      <c r="M1101" s="18" t="n">
        <v>30</v>
      </c>
      <c r="N1101" s="18" t="n">
        <v>0</v>
      </c>
      <c r="O1101" s="18" t="n">
        <v>0</v>
      </c>
      <c r="P1101" s="17" t="n">
        <v>45738</v>
      </c>
      <c r="Q1101" s="17" t="n">
        <v>45738</v>
      </c>
      <c r="R1101" s="17" t="n">
        <v>45738</v>
      </c>
      <c r="S1101" s="19">
        <f>H1101*I1101</f>
        <v/>
      </c>
      <c r="T1101" s="19">
        <f>H1101*J1101</f>
        <v/>
      </c>
      <c r="U1101">
        <f>IF(AND(K1101=0,G1101&lt;=Assumptions!$C$6),1,0)</f>
        <v/>
      </c>
      <c r="V1101">
        <f>IF(U1101=1,IF(M1101&gt;0,IF(P1101&lt;=G1101+Assumptions!$C$7,1,0),0),0)</f>
        <v/>
      </c>
      <c r="W1101">
        <f>IF(AND(U1101=1,M1101&gt;=H1101*(1-Assumptions!$C$8)),1,0)</f>
        <v/>
      </c>
      <c r="X1101">
        <f>IF(AND(U1101=1,N1101&gt;=H1101*(1-Assumptions!$C$8)),1,0)</f>
        <v/>
      </c>
      <c r="Y1101">
        <f>IF(ISNUMBER(Q1101),1,0)</f>
        <v/>
      </c>
      <c r="Z1101">
        <f>IF(AND(K1101=0,L1101=0,Y1101=0),1,0)</f>
        <v/>
      </c>
      <c r="AA1101">
        <f>IF(AND(Z1101=1,G1101&lt;Assumptions!$C$6),1,0)</f>
        <v/>
      </c>
      <c r="AB1101">
        <f>IF(U1101=0,"",IF(Y1101=1,MAX(0,Q1101-G1101),IF(L1101=1,MAX(0,R1101-G1101),MAX(0,Assumptions!$C$6-G1101))))</f>
        <v/>
      </c>
      <c r="AC1101">
        <f>IF(Y1101=1,Q1101-F1101,"")</f>
        <v/>
      </c>
      <c r="AD1101">
        <f>IF(Y1101=1,AC1101^2,"")</f>
        <v/>
      </c>
      <c r="AE1101" s="19">
        <f>IF(Z1101=1,(H1101-M1101)*I1101,0)</f>
        <v/>
      </c>
      <c r="AF1101">
        <f>IF(G1101&lt;EDATE(Assumptions!$C$6,-12)+1,"prior_12m","last_12m")</f>
        <v/>
      </c>
      <c r="AG1101" s="21">
        <f>DATE(YEAR(G1101),MONTH(G1101),1)</f>
        <v/>
      </c>
    </row>
    <row r="1102">
      <c r="A1102" t="inlineStr">
        <is>
          <t>SPO-00607-1</t>
        </is>
      </c>
      <c r="B1102" t="inlineStr">
        <is>
          <t>SPO-00607</t>
        </is>
      </c>
      <c r="C1102" t="inlineStr">
        <is>
          <t>SUP-01</t>
        </is>
      </c>
      <c r="D1102" t="inlineStr">
        <is>
          <t>ELEC</t>
        </is>
      </c>
      <c r="E1102" t="inlineStr">
        <is>
          <t>ELEC-05</t>
        </is>
      </c>
      <c r="F1102" s="17" t="n">
        <v>45727</v>
      </c>
      <c r="G1102" s="17" t="n">
        <v>45745</v>
      </c>
      <c r="H1102" s="18" t="n">
        <v>448</v>
      </c>
      <c r="I1102" s="19" t="n">
        <v>10.82</v>
      </c>
      <c r="J1102" s="19" t="n">
        <v>11.5</v>
      </c>
      <c r="K1102" s="20" t="n">
        <v>0</v>
      </c>
      <c r="L1102" s="20" t="n">
        <v>0</v>
      </c>
      <c r="M1102" s="18" t="n">
        <v>448</v>
      </c>
      <c r="N1102" s="18" t="n">
        <v>448</v>
      </c>
      <c r="O1102" s="18" t="n">
        <v>0</v>
      </c>
      <c r="P1102" s="17" t="n">
        <v>45744</v>
      </c>
      <c r="Q1102" s="17" t="n">
        <v>45744</v>
      </c>
      <c r="R1102" s="17" t="n">
        <v>45744</v>
      </c>
      <c r="S1102" s="19">
        <f>H1102*I1102</f>
        <v/>
      </c>
      <c r="T1102" s="19">
        <f>H1102*J1102</f>
        <v/>
      </c>
      <c r="U1102">
        <f>IF(AND(K1102=0,G1102&lt;=Assumptions!$C$6),1,0)</f>
        <v/>
      </c>
      <c r="V1102">
        <f>IF(U1102=1,IF(M1102&gt;0,IF(P1102&lt;=G1102+Assumptions!$C$7,1,0),0),0)</f>
        <v/>
      </c>
      <c r="W1102">
        <f>IF(AND(U1102=1,M1102&gt;=H1102*(1-Assumptions!$C$8)),1,0)</f>
        <v/>
      </c>
      <c r="X1102">
        <f>IF(AND(U1102=1,N1102&gt;=H1102*(1-Assumptions!$C$8)),1,0)</f>
        <v/>
      </c>
      <c r="Y1102">
        <f>IF(ISNUMBER(Q1102),1,0)</f>
        <v/>
      </c>
      <c r="Z1102">
        <f>IF(AND(K1102=0,L1102=0,Y1102=0),1,0)</f>
        <v/>
      </c>
      <c r="AA1102">
        <f>IF(AND(Z1102=1,G1102&lt;Assumptions!$C$6),1,0)</f>
        <v/>
      </c>
      <c r="AB1102">
        <f>IF(U1102=0,"",IF(Y1102=1,MAX(0,Q1102-G1102),IF(L1102=1,MAX(0,R1102-G1102),MAX(0,Assumptions!$C$6-G1102))))</f>
        <v/>
      </c>
      <c r="AC1102">
        <f>IF(Y1102=1,Q1102-F1102,"")</f>
        <v/>
      </c>
      <c r="AD1102">
        <f>IF(Y1102=1,AC1102^2,"")</f>
        <v/>
      </c>
      <c r="AE1102" s="19">
        <f>IF(Z1102=1,(H1102-M1102)*I1102,0)</f>
        <v/>
      </c>
      <c r="AF1102">
        <f>IF(G1102&lt;EDATE(Assumptions!$C$6,-12)+1,"prior_12m","last_12m")</f>
        <v/>
      </c>
      <c r="AG1102" s="21">
        <f>DATE(YEAR(G1102),MONTH(G1102),1)</f>
        <v/>
      </c>
    </row>
    <row r="1103">
      <c r="A1103" t="inlineStr">
        <is>
          <t>SPO-00607-2</t>
        </is>
      </c>
      <c r="B1103" t="inlineStr">
        <is>
          <t>SPO-00607</t>
        </is>
      </c>
      <c r="C1103" t="inlineStr">
        <is>
          <t>SUP-01</t>
        </is>
      </c>
      <c r="D1103" t="inlineStr">
        <is>
          <t>ELEC</t>
        </is>
      </c>
      <c r="E1103" t="inlineStr">
        <is>
          <t>ELEC-02</t>
        </is>
      </c>
      <c r="F1103" s="17" t="n">
        <v>45727</v>
      </c>
      <c r="G1103" s="17" t="n">
        <v>45745</v>
      </c>
      <c r="H1103" s="18" t="n">
        <v>344</v>
      </c>
      <c r="I1103" s="19" t="n">
        <v>4.31</v>
      </c>
      <c r="J1103" s="19" t="n">
        <v>4.2</v>
      </c>
      <c r="K1103" s="20" t="n">
        <v>0</v>
      </c>
      <c r="L1103" s="20" t="n">
        <v>0</v>
      </c>
      <c r="M1103" s="18" t="n">
        <v>344</v>
      </c>
      <c r="N1103" s="18" t="n">
        <v>0</v>
      </c>
      <c r="O1103" s="18" t="n">
        <v>0</v>
      </c>
      <c r="P1103" s="17" t="n">
        <v>45747</v>
      </c>
      <c r="Q1103" s="17" t="n">
        <v>45747</v>
      </c>
      <c r="R1103" s="17" t="n">
        <v>45747</v>
      </c>
      <c r="S1103" s="19">
        <f>H1103*I1103</f>
        <v/>
      </c>
      <c r="T1103" s="19">
        <f>H1103*J1103</f>
        <v/>
      </c>
      <c r="U1103">
        <f>IF(AND(K1103=0,G1103&lt;=Assumptions!$C$6),1,0)</f>
        <v/>
      </c>
      <c r="V1103">
        <f>IF(U1103=1,IF(M1103&gt;0,IF(P1103&lt;=G1103+Assumptions!$C$7,1,0),0),0)</f>
        <v/>
      </c>
      <c r="W1103">
        <f>IF(AND(U1103=1,M1103&gt;=H1103*(1-Assumptions!$C$8)),1,0)</f>
        <v/>
      </c>
      <c r="X1103">
        <f>IF(AND(U1103=1,N1103&gt;=H1103*(1-Assumptions!$C$8)),1,0)</f>
        <v/>
      </c>
      <c r="Y1103">
        <f>IF(ISNUMBER(Q1103),1,0)</f>
        <v/>
      </c>
      <c r="Z1103">
        <f>IF(AND(K1103=0,L1103=0,Y1103=0),1,0)</f>
        <v/>
      </c>
      <c r="AA1103">
        <f>IF(AND(Z1103=1,G1103&lt;Assumptions!$C$6),1,0)</f>
        <v/>
      </c>
      <c r="AB1103">
        <f>IF(U1103=0,"",IF(Y1103=1,MAX(0,Q1103-G1103),IF(L1103=1,MAX(0,R1103-G1103),MAX(0,Assumptions!$C$6-G1103))))</f>
        <v/>
      </c>
      <c r="AC1103">
        <f>IF(Y1103=1,Q1103-F1103,"")</f>
        <v/>
      </c>
      <c r="AD1103">
        <f>IF(Y1103=1,AC1103^2,"")</f>
        <v/>
      </c>
      <c r="AE1103" s="19">
        <f>IF(Z1103=1,(H1103-M1103)*I1103,0)</f>
        <v/>
      </c>
      <c r="AF1103">
        <f>IF(G1103&lt;EDATE(Assumptions!$C$6,-12)+1,"prior_12m","last_12m")</f>
        <v/>
      </c>
      <c r="AG1103" s="21">
        <f>DATE(YEAR(G1103),MONTH(G1103),1)</f>
        <v/>
      </c>
    </row>
    <row r="1104">
      <c r="A1104" t="inlineStr">
        <is>
          <t>SPO-00607-3</t>
        </is>
      </c>
      <c r="B1104" t="inlineStr">
        <is>
          <t>SPO-00607</t>
        </is>
      </c>
      <c r="C1104" t="inlineStr">
        <is>
          <t>SUP-01</t>
        </is>
      </c>
      <c r="D1104" t="inlineStr">
        <is>
          <t>ELEC</t>
        </is>
      </c>
      <c r="E1104" t="inlineStr">
        <is>
          <t>ELEC-07</t>
        </is>
      </c>
      <c r="F1104" s="17" t="n">
        <v>45727</v>
      </c>
      <c r="G1104" s="17" t="n">
        <v>45745</v>
      </c>
      <c r="H1104" s="18" t="n">
        <v>267</v>
      </c>
      <c r="I1104" s="19" t="n">
        <v>9.890000000000001</v>
      </c>
      <c r="J1104" s="19" t="n">
        <v>9.800000000000001</v>
      </c>
      <c r="K1104" s="20" t="n">
        <v>0</v>
      </c>
      <c r="L1104" s="20" t="n">
        <v>0</v>
      </c>
      <c r="M1104" s="18" t="n">
        <v>267</v>
      </c>
      <c r="N1104" s="18" t="n">
        <v>267</v>
      </c>
      <c r="O1104" s="18" t="n">
        <v>0</v>
      </c>
      <c r="P1104" s="17" t="n">
        <v>45743</v>
      </c>
      <c r="Q1104" s="17" t="n">
        <v>45743</v>
      </c>
      <c r="R1104" s="17" t="n">
        <v>45743</v>
      </c>
      <c r="S1104" s="19">
        <f>H1104*I1104</f>
        <v/>
      </c>
      <c r="T1104" s="19">
        <f>H1104*J1104</f>
        <v/>
      </c>
      <c r="U1104">
        <f>IF(AND(K1104=0,G1104&lt;=Assumptions!$C$6),1,0)</f>
        <v/>
      </c>
      <c r="V1104">
        <f>IF(U1104=1,IF(M1104&gt;0,IF(P1104&lt;=G1104+Assumptions!$C$7,1,0),0),0)</f>
        <v/>
      </c>
      <c r="W1104">
        <f>IF(AND(U1104=1,M1104&gt;=H1104*(1-Assumptions!$C$8)),1,0)</f>
        <v/>
      </c>
      <c r="X1104">
        <f>IF(AND(U1104=1,N1104&gt;=H1104*(1-Assumptions!$C$8)),1,0)</f>
        <v/>
      </c>
      <c r="Y1104">
        <f>IF(ISNUMBER(Q1104),1,0)</f>
        <v/>
      </c>
      <c r="Z1104">
        <f>IF(AND(K1104=0,L1104=0,Y1104=0),1,0)</f>
        <v/>
      </c>
      <c r="AA1104">
        <f>IF(AND(Z1104=1,G1104&lt;Assumptions!$C$6),1,0)</f>
        <v/>
      </c>
      <c r="AB1104">
        <f>IF(U1104=0,"",IF(Y1104=1,MAX(0,Q1104-G1104),IF(L1104=1,MAX(0,R1104-G1104),MAX(0,Assumptions!$C$6-G1104))))</f>
        <v/>
      </c>
      <c r="AC1104">
        <f>IF(Y1104=1,Q1104-F1104,"")</f>
        <v/>
      </c>
      <c r="AD1104">
        <f>IF(Y1104=1,AC1104^2,"")</f>
        <v/>
      </c>
      <c r="AE1104" s="19">
        <f>IF(Z1104=1,(H1104-M1104)*I1104,0)</f>
        <v/>
      </c>
      <c r="AF1104">
        <f>IF(G1104&lt;EDATE(Assumptions!$C$6,-12)+1,"prior_12m","last_12m")</f>
        <v/>
      </c>
      <c r="AG1104" s="21">
        <f>DATE(YEAR(G1104),MONTH(G1104),1)</f>
        <v/>
      </c>
    </row>
    <row r="1105">
      <c r="A1105" t="inlineStr">
        <is>
          <t>SPO-00607-4</t>
        </is>
      </c>
      <c r="B1105" t="inlineStr">
        <is>
          <t>SPO-00607</t>
        </is>
      </c>
      <c r="C1105" t="inlineStr">
        <is>
          <t>SUP-01</t>
        </is>
      </c>
      <c r="D1105" t="inlineStr">
        <is>
          <t>ELEC</t>
        </is>
      </c>
      <c r="E1105" t="inlineStr">
        <is>
          <t>ELEC-03</t>
        </is>
      </c>
      <c r="F1105" s="17" t="n">
        <v>45727</v>
      </c>
      <c r="G1105" s="17" t="n">
        <v>45745</v>
      </c>
      <c r="H1105" s="18" t="n">
        <v>19</v>
      </c>
      <c r="I1105" s="19" t="n">
        <v>96.29000000000001</v>
      </c>
      <c r="J1105" s="19" t="n">
        <v>96</v>
      </c>
      <c r="K1105" s="20" t="n">
        <v>0</v>
      </c>
      <c r="L1105" s="20" t="n">
        <v>0</v>
      </c>
      <c r="M1105" s="18" t="n">
        <v>19</v>
      </c>
      <c r="N1105" s="18" t="n">
        <v>0</v>
      </c>
      <c r="O1105" s="18" t="n">
        <v>0</v>
      </c>
      <c r="P1105" s="17" t="n">
        <v>45746</v>
      </c>
      <c r="Q1105" s="17" t="n">
        <v>45746</v>
      </c>
      <c r="R1105" s="17" t="n">
        <v>45746</v>
      </c>
      <c r="S1105" s="19">
        <f>H1105*I1105</f>
        <v/>
      </c>
      <c r="T1105" s="19">
        <f>H1105*J1105</f>
        <v/>
      </c>
      <c r="U1105">
        <f>IF(AND(K1105=0,G1105&lt;=Assumptions!$C$6),1,0)</f>
        <v/>
      </c>
      <c r="V1105">
        <f>IF(U1105=1,IF(M1105&gt;0,IF(P1105&lt;=G1105+Assumptions!$C$7,1,0),0),0)</f>
        <v/>
      </c>
      <c r="W1105">
        <f>IF(AND(U1105=1,M1105&gt;=H1105*(1-Assumptions!$C$8)),1,0)</f>
        <v/>
      </c>
      <c r="X1105">
        <f>IF(AND(U1105=1,N1105&gt;=H1105*(1-Assumptions!$C$8)),1,0)</f>
        <v/>
      </c>
      <c r="Y1105">
        <f>IF(ISNUMBER(Q1105),1,0)</f>
        <v/>
      </c>
      <c r="Z1105">
        <f>IF(AND(K1105=0,L1105=0,Y1105=0),1,0)</f>
        <v/>
      </c>
      <c r="AA1105">
        <f>IF(AND(Z1105=1,G1105&lt;Assumptions!$C$6),1,0)</f>
        <v/>
      </c>
      <c r="AB1105">
        <f>IF(U1105=0,"",IF(Y1105=1,MAX(0,Q1105-G1105),IF(L1105=1,MAX(0,R1105-G1105),MAX(0,Assumptions!$C$6-G1105))))</f>
        <v/>
      </c>
      <c r="AC1105">
        <f>IF(Y1105=1,Q1105-F1105,"")</f>
        <v/>
      </c>
      <c r="AD1105">
        <f>IF(Y1105=1,AC1105^2,"")</f>
        <v/>
      </c>
      <c r="AE1105" s="19">
        <f>IF(Z1105=1,(H1105-M1105)*I1105,0)</f>
        <v/>
      </c>
      <c r="AF1105">
        <f>IF(G1105&lt;EDATE(Assumptions!$C$6,-12)+1,"prior_12m","last_12m")</f>
        <v/>
      </c>
      <c r="AG1105" s="21">
        <f>DATE(YEAR(G1105),MONTH(G1105),1)</f>
        <v/>
      </c>
    </row>
    <row r="1106">
      <c r="A1106" t="inlineStr">
        <is>
          <t>SPO-00608-1</t>
        </is>
      </c>
      <c r="B1106" t="inlineStr">
        <is>
          <t>SPO-00608</t>
        </is>
      </c>
      <c r="C1106" t="inlineStr">
        <is>
          <t>SUP-01</t>
        </is>
      </c>
      <c r="D1106" t="inlineStr">
        <is>
          <t>ELEC</t>
        </is>
      </c>
      <c r="E1106" t="inlineStr">
        <is>
          <t>ELEC-02</t>
        </is>
      </c>
      <c r="F1106" s="17" t="n">
        <v>45727</v>
      </c>
      <c r="G1106" s="17" t="n">
        <v>45745</v>
      </c>
      <c r="H1106" s="18" t="n">
        <v>747</v>
      </c>
      <c r="I1106" s="19" t="n">
        <v>4.2</v>
      </c>
      <c r="J1106" s="19" t="n">
        <v>4.2</v>
      </c>
      <c r="K1106" s="20" t="n">
        <v>0</v>
      </c>
      <c r="L1106" s="20" t="n">
        <v>0</v>
      </c>
      <c r="M1106" s="18" t="n">
        <v>747</v>
      </c>
      <c r="N1106" s="18" t="n">
        <v>747</v>
      </c>
      <c r="O1106" s="18" t="n">
        <v>0</v>
      </c>
      <c r="P1106" s="17" t="n">
        <v>45744</v>
      </c>
      <c r="Q1106" s="17" t="n">
        <v>45744</v>
      </c>
      <c r="R1106" s="17" t="n">
        <v>45744</v>
      </c>
      <c r="S1106" s="19">
        <f>H1106*I1106</f>
        <v/>
      </c>
      <c r="T1106" s="19">
        <f>H1106*J1106</f>
        <v/>
      </c>
      <c r="U1106">
        <f>IF(AND(K1106=0,G1106&lt;=Assumptions!$C$6),1,0)</f>
        <v/>
      </c>
      <c r="V1106">
        <f>IF(U1106=1,IF(M1106&gt;0,IF(P1106&lt;=G1106+Assumptions!$C$7,1,0),0),0)</f>
        <v/>
      </c>
      <c r="W1106">
        <f>IF(AND(U1106=1,M1106&gt;=H1106*(1-Assumptions!$C$8)),1,0)</f>
        <v/>
      </c>
      <c r="X1106">
        <f>IF(AND(U1106=1,N1106&gt;=H1106*(1-Assumptions!$C$8)),1,0)</f>
        <v/>
      </c>
      <c r="Y1106">
        <f>IF(ISNUMBER(Q1106),1,0)</f>
        <v/>
      </c>
      <c r="Z1106">
        <f>IF(AND(K1106=0,L1106=0,Y1106=0),1,0)</f>
        <v/>
      </c>
      <c r="AA1106">
        <f>IF(AND(Z1106=1,G1106&lt;Assumptions!$C$6),1,0)</f>
        <v/>
      </c>
      <c r="AB1106">
        <f>IF(U1106=0,"",IF(Y1106=1,MAX(0,Q1106-G1106),IF(L1106=1,MAX(0,R1106-G1106),MAX(0,Assumptions!$C$6-G1106))))</f>
        <v/>
      </c>
      <c r="AC1106">
        <f>IF(Y1106=1,Q1106-F1106,"")</f>
        <v/>
      </c>
      <c r="AD1106">
        <f>IF(Y1106=1,AC1106^2,"")</f>
        <v/>
      </c>
      <c r="AE1106" s="19">
        <f>IF(Z1106=1,(H1106-M1106)*I1106,0)</f>
        <v/>
      </c>
      <c r="AF1106">
        <f>IF(G1106&lt;EDATE(Assumptions!$C$6,-12)+1,"prior_12m","last_12m")</f>
        <v/>
      </c>
      <c r="AG1106" s="21">
        <f>DATE(YEAR(G1106),MONTH(G1106),1)</f>
        <v/>
      </c>
    </row>
    <row r="1107">
      <c r="A1107" t="inlineStr">
        <is>
          <t>SPO-00608-2</t>
        </is>
      </c>
      <c r="B1107" t="inlineStr">
        <is>
          <t>SPO-00608</t>
        </is>
      </c>
      <c r="C1107" t="inlineStr">
        <is>
          <t>SUP-01</t>
        </is>
      </c>
      <c r="D1107" t="inlineStr">
        <is>
          <t>ELEC</t>
        </is>
      </c>
      <c r="E1107" t="inlineStr">
        <is>
          <t>ELEC-05</t>
        </is>
      </c>
      <c r="F1107" s="17" t="n">
        <v>45727</v>
      </c>
      <c r="G1107" s="17" t="n">
        <v>45745</v>
      </c>
      <c r="H1107" s="18" t="n">
        <v>196</v>
      </c>
      <c r="I1107" s="19" t="n">
        <v>11.17</v>
      </c>
      <c r="J1107" s="19" t="n">
        <v>11.5</v>
      </c>
      <c r="K1107" s="20" t="n">
        <v>0</v>
      </c>
      <c r="L1107" s="20" t="n">
        <v>0</v>
      </c>
      <c r="M1107" s="18" t="n">
        <v>196</v>
      </c>
      <c r="N1107" s="18" t="n">
        <v>196</v>
      </c>
      <c r="O1107" s="18" t="n">
        <v>0</v>
      </c>
      <c r="P1107" s="17" t="n">
        <v>45741</v>
      </c>
      <c r="Q1107" s="17" t="n">
        <v>45741</v>
      </c>
      <c r="R1107" s="17" t="n">
        <v>45741</v>
      </c>
      <c r="S1107" s="19">
        <f>H1107*I1107</f>
        <v/>
      </c>
      <c r="T1107" s="19">
        <f>H1107*J1107</f>
        <v/>
      </c>
      <c r="U1107">
        <f>IF(AND(K1107=0,G1107&lt;=Assumptions!$C$6),1,0)</f>
        <v/>
      </c>
      <c r="V1107">
        <f>IF(U1107=1,IF(M1107&gt;0,IF(P1107&lt;=G1107+Assumptions!$C$7,1,0),0),0)</f>
        <v/>
      </c>
      <c r="W1107">
        <f>IF(AND(U1107=1,M1107&gt;=H1107*(1-Assumptions!$C$8)),1,0)</f>
        <v/>
      </c>
      <c r="X1107">
        <f>IF(AND(U1107=1,N1107&gt;=H1107*(1-Assumptions!$C$8)),1,0)</f>
        <v/>
      </c>
      <c r="Y1107">
        <f>IF(ISNUMBER(Q1107),1,0)</f>
        <v/>
      </c>
      <c r="Z1107">
        <f>IF(AND(K1107=0,L1107=0,Y1107=0),1,0)</f>
        <v/>
      </c>
      <c r="AA1107">
        <f>IF(AND(Z1107=1,G1107&lt;Assumptions!$C$6),1,0)</f>
        <v/>
      </c>
      <c r="AB1107">
        <f>IF(U1107=0,"",IF(Y1107=1,MAX(0,Q1107-G1107),IF(L1107=1,MAX(0,R1107-G1107),MAX(0,Assumptions!$C$6-G1107))))</f>
        <v/>
      </c>
      <c r="AC1107">
        <f>IF(Y1107=1,Q1107-F1107,"")</f>
        <v/>
      </c>
      <c r="AD1107">
        <f>IF(Y1107=1,AC1107^2,"")</f>
        <v/>
      </c>
      <c r="AE1107" s="19">
        <f>IF(Z1107=1,(H1107-M1107)*I1107,0)</f>
        <v/>
      </c>
      <c r="AF1107">
        <f>IF(G1107&lt;EDATE(Assumptions!$C$6,-12)+1,"prior_12m","last_12m")</f>
        <v/>
      </c>
      <c r="AG1107" s="21">
        <f>DATE(YEAR(G1107),MONTH(G1107),1)</f>
        <v/>
      </c>
    </row>
    <row r="1108">
      <c r="A1108" t="inlineStr">
        <is>
          <t>SPO-00609-1</t>
        </is>
      </c>
      <c r="B1108" t="inlineStr">
        <is>
          <t>SPO-00609</t>
        </is>
      </c>
      <c r="C1108" t="inlineStr">
        <is>
          <t>SUP-02</t>
        </is>
      </c>
      <c r="D1108" t="inlineStr">
        <is>
          <t>ELEC</t>
        </is>
      </c>
      <c r="E1108" t="inlineStr">
        <is>
          <t>ELEC-05</t>
        </is>
      </c>
      <c r="F1108" s="17" t="n">
        <v>45727</v>
      </c>
      <c r="G1108" s="17" t="n">
        <v>45743</v>
      </c>
      <c r="H1108" s="18" t="n">
        <v>325</v>
      </c>
      <c r="I1108" s="19" t="n">
        <v>11.77</v>
      </c>
      <c r="J1108" s="19" t="n">
        <v>11.5</v>
      </c>
      <c r="K1108" s="20" t="n">
        <v>0</v>
      </c>
      <c r="L1108" s="20" t="n">
        <v>0</v>
      </c>
      <c r="M1108" s="18" t="n">
        <v>325</v>
      </c>
      <c r="N1108" s="18" t="n">
        <v>325</v>
      </c>
      <c r="O1108" s="18" t="n">
        <v>0</v>
      </c>
      <c r="P1108" s="17" t="n">
        <v>45738</v>
      </c>
      <c r="Q1108" s="17" t="n">
        <v>45738</v>
      </c>
      <c r="R1108" s="17" t="n">
        <v>45738</v>
      </c>
      <c r="S1108" s="19">
        <f>H1108*I1108</f>
        <v/>
      </c>
      <c r="T1108" s="19">
        <f>H1108*J1108</f>
        <v/>
      </c>
      <c r="U1108">
        <f>IF(AND(K1108=0,G1108&lt;=Assumptions!$C$6),1,0)</f>
        <v/>
      </c>
      <c r="V1108">
        <f>IF(U1108=1,IF(M1108&gt;0,IF(P1108&lt;=G1108+Assumptions!$C$7,1,0),0),0)</f>
        <v/>
      </c>
      <c r="W1108">
        <f>IF(AND(U1108=1,M1108&gt;=H1108*(1-Assumptions!$C$8)),1,0)</f>
        <v/>
      </c>
      <c r="X1108">
        <f>IF(AND(U1108=1,N1108&gt;=H1108*(1-Assumptions!$C$8)),1,0)</f>
        <v/>
      </c>
      <c r="Y1108">
        <f>IF(ISNUMBER(Q1108),1,0)</f>
        <v/>
      </c>
      <c r="Z1108">
        <f>IF(AND(K1108=0,L1108=0,Y1108=0),1,0)</f>
        <v/>
      </c>
      <c r="AA1108">
        <f>IF(AND(Z1108=1,G1108&lt;Assumptions!$C$6),1,0)</f>
        <v/>
      </c>
      <c r="AB1108">
        <f>IF(U1108=0,"",IF(Y1108=1,MAX(0,Q1108-G1108),IF(L1108=1,MAX(0,R1108-G1108),MAX(0,Assumptions!$C$6-G1108))))</f>
        <v/>
      </c>
      <c r="AC1108">
        <f>IF(Y1108=1,Q1108-F1108,"")</f>
        <v/>
      </c>
      <c r="AD1108">
        <f>IF(Y1108=1,AC1108^2,"")</f>
        <v/>
      </c>
      <c r="AE1108" s="19">
        <f>IF(Z1108=1,(H1108-M1108)*I1108,0)</f>
        <v/>
      </c>
      <c r="AF1108">
        <f>IF(G1108&lt;EDATE(Assumptions!$C$6,-12)+1,"prior_12m","last_12m")</f>
        <v/>
      </c>
      <c r="AG1108" s="21">
        <f>DATE(YEAR(G1108),MONTH(G1108),1)</f>
        <v/>
      </c>
    </row>
    <row r="1109">
      <c r="A1109" t="inlineStr">
        <is>
          <t>SPO-00609-2</t>
        </is>
      </c>
      <c r="B1109" t="inlineStr">
        <is>
          <t>SPO-00609</t>
        </is>
      </c>
      <c r="C1109" t="inlineStr">
        <is>
          <t>SUP-02</t>
        </is>
      </c>
      <c r="D1109" t="inlineStr">
        <is>
          <t>ELEC</t>
        </is>
      </c>
      <c r="E1109" t="inlineStr">
        <is>
          <t>ELEC-08</t>
        </is>
      </c>
      <c r="F1109" s="17" t="n">
        <v>45727</v>
      </c>
      <c r="G1109" s="17" t="n">
        <v>45743</v>
      </c>
      <c r="H1109" s="18" t="n">
        <v>86</v>
      </c>
      <c r="I1109" s="19" t="n">
        <v>18.74</v>
      </c>
      <c r="J1109" s="19" t="n">
        <v>18</v>
      </c>
      <c r="K1109" s="20" t="n">
        <v>0</v>
      </c>
      <c r="L1109" s="20" t="n">
        <v>0</v>
      </c>
      <c r="M1109" s="18" t="n">
        <v>86</v>
      </c>
      <c r="N1109" s="18" t="n">
        <v>86</v>
      </c>
      <c r="O1109" s="18" t="n">
        <v>0</v>
      </c>
      <c r="P1109" s="17" t="n">
        <v>45742</v>
      </c>
      <c r="Q1109" s="17" t="n">
        <v>45742</v>
      </c>
      <c r="R1109" s="17" t="n">
        <v>45742</v>
      </c>
      <c r="S1109" s="19">
        <f>H1109*I1109</f>
        <v/>
      </c>
      <c r="T1109" s="19">
        <f>H1109*J1109</f>
        <v/>
      </c>
      <c r="U1109">
        <f>IF(AND(K1109=0,G1109&lt;=Assumptions!$C$6),1,0)</f>
        <v/>
      </c>
      <c r="V1109">
        <f>IF(U1109=1,IF(M1109&gt;0,IF(P1109&lt;=G1109+Assumptions!$C$7,1,0),0),0)</f>
        <v/>
      </c>
      <c r="W1109">
        <f>IF(AND(U1109=1,M1109&gt;=H1109*(1-Assumptions!$C$8)),1,0)</f>
        <v/>
      </c>
      <c r="X1109">
        <f>IF(AND(U1109=1,N1109&gt;=H1109*(1-Assumptions!$C$8)),1,0)</f>
        <v/>
      </c>
      <c r="Y1109">
        <f>IF(ISNUMBER(Q1109),1,0)</f>
        <v/>
      </c>
      <c r="Z1109">
        <f>IF(AND(K1109=0,L1109=0,Y1109=0),1,0)</f>
        <v/>
      </c>
      <c r="AA1109">
        <f>IF(AND(Z1109=1,G1109&lt;Assumptions!$C$6),1,0)</f>
        <v/>
      </c>
      <c r="AB1109">
        <f>IF(U1109=0,"",IF(Y1109=1,MAX(0,Q1109-G1109),IF(L1109=1,MAX(0,R1109-G1109),MAX(0,Assumptions!$C$6-G1109))))</f>
        <v/>
      </c>
      <c r="AC1109">
        <f>IF(Y1109=1,Q1109-F1109,"")</f>
        <v/>
      </c>
      <c r="AD1109">
        <f>IF(Y1109=1,AC1109^2,"")</f>
        <v/>
      </c>
      <c r="AE1109" s="19">
        <f>IF(Z1109=1,(H1109-M1109)*I1109,0)</f>
        <v/>
      </c>
      <c r="AF1109">
        <f>IF(G1109&lt;EDATE(Assumptions!$C$6,-12)+1,"prior_12m","last_12m")</f>
        <v/>
      </c>
      <c r="AG1109" s="21">
        <f>DATE(YEAR(G1109),MONTH(G1109),1)</f>
        <v/>
      </c>
    </row>
    <row r="1110">
      <c r="A1110" t="inlineStr">
        <is>
          <t>SPO-00610-1</t>
        </is>
      </c>
      <c r="B1110" t="inlineStr">
        <is>
          <t>SPO-00610</t>
        </is>
      </c>
      <c r="C1110" t="inlineStr">
        <is>
          <t>SUP-08</t>
        </is>
      </c>
      <c r="D1110" t="inlineStr">
        <is>
          <t>MRO</t>
        </is>
      </c>
      <c r="E1110" t="inlineStr">
        <is>
          <t>MRO-08</t>
        </is>
      </c>
      <c r="F1110" s="17" t="n">
        <v>45727</v>
      </c>
      <c r="G1110" s="17" t="n">
        <v>45738</v>
      </c>
      <c r="H1110" s="18" t="n">
        <v>146</v>
      </c>
      <c r="I1110" s="19" t="n">
        <v>7.35</v>
      </c>
      <c r="J1110" s="19" t="n">
        <v>7.2</v>
      </c>
      <c r="K1110" s="20" t="n">
        <v>0</v>
      </c>
      <c r="L1110" s="20" t="n">
        <v>0</v>
      </c>
      <c r="M1110" s="18" t="n">
        <v>146</v>
      </c>
      <c r="N1110" s="18" t="n">
        <v>146</v>
      </c>
      <c r="O1110" s="18" t="n">
        <v>0</v>
      </c>
      <c r="P1110" s="17" t="n">
        <v>45734</v>
      </c>
      <c r="Q1110" s="17" t="n">
        <v>45734</v>
      </c>
      <c r="R1110" s="17" t="n">
        <v>45734</v>
      </c>
      <c r="S1110" s="19">
        <f>H1110*I1110</f>
        <v/>
      </c>
      <c r="T1110" s="19">
        <f>H1110*J1110</f>
        <v/>
      </c>
      <c r="U1110">
        <f>IF(AND(K1110=0,G1110&lt;=Assumptions!$C$6),1,0)</f>
        <v/>
      </c>
      <c r="V1110">
        <f>IF(U1110=1,IF(M1110&gt;0,IF(P1110&lt;=G1110+Assumptions!$C$7,1,0),0),0)</f>
        <v/>
      </c>
      <c r="W1110">
        <f>IF(AND(U1110=1,M1110&gt;=H1110*(1-Assumptions!$C$8)),1,0)</f>
        <v/>
      </c>
      <c r="X1110">
        <f>IF(AND(U1110=1,N1110&gt;=H1110*(1-Assumptions!$C$8)),1,0)</f>
        <v/>
      </c>
      <c r="Y1110">
        <f>IF(ISNUMBER(Q1110),1,0)</f>
        <v/>
      </c>
      <c r="Z1110">
        <f>IF(AND(K1110=0,L1110=0,Y1110=0),1,0)</f>
        <v/>
      </c>
      <c r="AA1110">
        <f>IF(AND(Z1110=1,G1110&lt;Assumptions!$C$6),1,0)</f>
        <v/>
      </c>
      <c r="AB1110">
        <f>IF(U1110=0,"",IF(Y1110=1,MAX(0,Q1110-G1110),IF(L1110=1,MAX(0,R1110-G1110),MAX(0,Assumptions!$C$6-G1110))))</f>
        <v/>
      </c>
      <c r="AC1110">
        <f>IF(Y1110=1,Q1110-F1110,"")</f>
        <v/>
      </c>
      <c r="AD1110">
        <f>IF(Y1110=1,AC1110^2,"")</f>
        <v/>
      </c>
      <c r="AE1110" s="19">
        <f>IF(Z1110=1,(H1110-M1110)*I1110,0)</f>
        <v/>
      </c>
      <c r="AF1110">
        <f>IF(G1110&lt;EDATE(Assumptions!$C$6,-12)+1,"prior_12m","last_12m")</f>
        <v/>
      </c>
      <c r="AG1110" s="21">
        <f>DATE(YEAR(G1110),MONTH(G1110),1)</f>
        <v/>
      </c>
    </row>
    <row r="1111">
      <c r="A1111" t="inlineStr">
        <is>
          <t>SPO-00611-1</t>
        </is>
      </c>
      <c r="B1111" t="inlineStr">
        <is>
          <t>SPO-00611</t>
        </is>
      </c>
      <c r="C1111" t="inlineStr">
        <is>
          <t>SUP-11</t>
        </is>
      </c>
      <c r="D1111" t="inlineStr">
        <is>
          <t>PPE</t>
        </is>
      </c>
      <c r="E1111" t="inlineStr">
        <is>
          <t>PPE-05</t>
        </is>
      </c>
      <c r="F1111" s="17" t="n">
        <v>45727</v>
      </c>
      <c r="G1111" s="17" t="n">
        <v>45739</v>
      </c>
      <c r="H1111" s="18" t="n">
        <v>147</v>
      </c>
      <c r="I1111" s="19" t="n">
        <v>10.71</v>
      </c>
      <c r="J1111" s="19" t="n">
        <v>11</v>
      </c>
      <c r="K1111" s="20" t="n">
        <v>0</v>
      </c>
      <c r="L1111" s="20" t="n">
        <v>0</v>
      </c>
      <c r="M1111" s="18" t="n">
        <v>147</v>
      </c>
      <c r="N1111" s="18" t="n">
        <v>147</v>
      </c>
      <c r="O1111" s="18" t="n">
        <v>0</v>
      </c>
      <c r="P1111" s="17" t="n">
        <v>45738</v>
      </c>
      <c r="Q1111" s="17" t="n">
        <v>45738</v>
      </c>
      <c r="R1111" s="17" t="n">
        <v>45738</v>
      </c>
      <c r="S1111" s="19">
        <f>H1111*I1111</f>
        <v/>
      </c>
      <c r="T1111" s="19">
        <f>H1111*J1111</f>
        <v/>
      </c>
      <c r="U1111">
        <f>IF(AND(K1111=0,G1111&lt;=Assumptions!$C$6),1,0)</f>
        <v/>
      </c>
      <c r="V1111">
        <f>IF(U1111=1,IF(M1111&gt;0,IF(P1111&lt;=G1111+Assumptions!$C$7,1,0),0),0)</f>
        <v/>
      </c>
      <c r="W1111">
        <f>IF(AND(U1111=1,M1111&gt;=H1111*(1-Assumptions!$C$8)),1,0)</f>
        <v/>
      </c>
      <c r="X1111">
        <f>IF(AND(U1111=1,N1111&gt;=H1111*(1-Assumptions!$C$8)),1,0)</f>
        <v/>
      </c>
      <c r="Y1111">
        <f>IF(ISNUMBER(Q1111),1,0)</f>
        <v/>
      </c>
      <c r="Z1111">
        <f>IF(AND(K1111=0,L1111=0,Y1111=0),1,0)</f>
        <v/>
      </c>
      <c r="AA1111">
        <f>IF(AND(Z1111=1,G1111&lt;Assumptions!$C$6),1,0)</f>
        <v/>
      </c>
      <c r="AB1111">
        <f>IF(U1111=0,"",IF(Y1111=1,MAX(0,Q1111-G1111),IF(L1111=1,MAX(0,R1111-G1111),MAX(0,Assumptions!$C$6-G1111))))</f>
        <v/>
      </c>
      <c r="AC1111">
        <f>IF(Y1111=1,Q1111-F1111,"")</f>
        <v/>
      </c>
      <c r="AD1111">
        <f>IF(Y1111=1,AC1111^2,"")</f>
        <v/>
      </c>
      <c r="AE1111" s="19">
        <f>IF(Z1111=1,(H1111-M1111)*I1111,0)</f>
        <v/>
      </c>
      <c r="AF1111">
        <f>IF(G1111&lt;EDATE(Assumptions!$C$6,-12)+1,"prior_12m","last_12m")</f>
        <v/>
      </c>
      <c r="AG1111" s="21">
        <f>DATE(YEAR(G1111),MONTH(G1111),1)</f>
        <v/>
      </c>
    </row>
    <row r="1112">
      <c r="A1112" t="inlineStr">
        <is>
          <t>SPO-00611-2</t>
        </is>
      </c>
      <c r="B1112" t="inlineStr">
        <is>
          <t>SPO-00611</t>
        </is>
      </c>
      <c r="C1112" t="inlineStr">
        <is>
          <t>SUP-11</t>
        </is>
      </c>
      <c r="D1112" t="inlineStr">
        <is>
          <t>PPE</t>
        </is>
      </c>
      <c r="E1112" t="inlineStr">
        <is>
          <t>PPE-04</t>
        </is>
      </c>
      <c r="F1112" s="17" t="n">
        <v>45727</v>
      </c>
      <c r="G1112" s="17" t="n">
        <v>45739</v>
      </c>
      <c r="H1112" s="18" t="n">
        <v>61</v>
      </c>
      <c r="I1112" s="19" t="n">
        <v>26.99</v>
      </c>
      <c r="J1112" s="19" t="n">
        <v>26</v>
      </c>
      <c r="K1112" s="20" t="n">
        <v>0</v>
      </c>
      <c r="L1112" s="20" t="n">
        <v>0</v>
      </c>
      <c r="M1112" s="18" t="n">
        <v>61</v>
      </c>
      <c r="N1112" s="18" t="n">
        <v>61</v>
      </c>
      <c r="O1112" s="18" t="n">
        <v>0</v>
      </c>
      <c r="P1112" s="17" t="n">
        <v>45735</v>
      </c>
      <c r="Q1112" s="17" t="n">
        <v>45735</v>
      </c>
      <c r="R1112" s="17" t="n">
        <v>45735</v>
      </c>
      <c r="S1112" s="19">
        <f>H1112*I1112</f>
        <v/>
      </c>
      <c r="T1112" s="19">
        <f>H1112*J1112</f>
        <v/>
      </c>
      <c r="U1112">
        <f>IF(AND(K1112=0,G1112&lt;=Assumptions!$C$6),1,0)</f>
        <v/>
      </c>
      <c r="V1112">
        <f>IF(U1112=1,IF(M1112&gt;0,IF(P1112&lt;=G1112+Assumptions!$C$7,1,0),0),0)</f>
        <v/>
      </c>
      <c r="W1112">
        <f>IF(AND(U1112=1,M1112&gt;=H1112*(1-Assumptions!$C$8)),1,0)</f>
        <v/>
      </c>
      <c r="X1112">
        <f>IF(AND(U1112=1,N1112&gt;=H1112*(1-Assumptions!$C$8)),1,0)</f>
        <v/>
      </c>
      <c r="Y1112">
        <f>IF(ISNUMBER(Q1112),1,0)</f>
        <v/>
      </c>
      <c r="Z1112">
        <f>IF(AND(K1112=0,L1112=0,Y1112=0),1,0)</f>
        <v/>
      </c>
      <c r="AA1112">
        <f>IF(AND(Z1112=1,G1112&lt;Assumptions!$C$6),1,0)</f>
        <v/>
      </c>
      <c r="AB1112">
        <f>IF(U1112=0,"",IF(Y1112=1,MAX(0,Q1112-G1112),IF(L1112=1,MAX(0,R1112-G1112),MAX(0,Assumptions!$C$6-G1112))))</f>
        <v/>
      </c>
      <c r="AC1112">
        <f>IF(Y1112=1,Q1112-F1112,"")</f>
        <v/>
      </c>
      <c r="AD1112">
        <f>IF(Y1112=1,AC1112^2,"")</f>
        <v/>
      </c>
      <c r="AE1112" s="19">
        <f>IF(Z1112=1,(H1112-M1112)*I1112,0)</f>
        <v/>
      </c>
      <c r="AF1112">
        <f>IF(G1112&lt;EDATE(Assumptions!$C$6,-12)+1,"prior_12m","last_12m")</f>
        <v/>
      </c>
      <c r="AG1112" s="21">
        <f>DATE(YEAR(G1112),MONTH(G1112),1)</f>
        <v/>
      </c>
    </row>
    <row r="1113">
      <c r="A1113" t="inlineStr">
        <is>
          <t>SPO-00611-3</t>
        </is>
      </c>
      <c r="B1113" t="inlineStr">
        <is>
          <t>SPO-00611</t>
        </is>
      </c>
      <c r="C1113" t="inlineStr">
        <is>
          <t>SUP-11</t>
        </is>
      </c>
      <c r="D1113" t="inlineStr">
        <is>
          <t>PPE</t>
        </is>
      </c>
      <c r="E1113" t="inlineStr">
        <is>
          <t>PPE-06</t>
        </is>
      </c>
      <c r="F1113" s="17" t="n">
        <v>45727</v>
      </c>
      <c r="G1113" s="17" t="n">
        <v>45739</v>
      </c>
      <c r="H1113" s="18" t="n">
        <v>11</v>
      </c>
      <c r="I1113" s="19" t="n">
        <v>121.04</v>
      </c>
      <c r="J1113" s="19" t="n">
        <v>115</v>
      </c>
      <c r="K1113" s="20" t="n">
        <v>0</v>
      </c>
      <c r="L1113" s="20" t="n">
        <v>0</v>
      </c>
      <c r="M1113" s="18" t="n">
        <v>11</v>
      </c>
      <c r="N1113" s="18" t="n">
        <v>11</v>
      </c>
      <c r="O1113" s="18" t="n">
        <v>0</v>
      </c>
      <c r="P1113" s="17" t="n">
        <v>45737</v>
      </c>
      <c r="Q1113" s="17" t="n">
        <v>45737</v>
      </c>
      <c r="R1113" s="17" t="n">
        <v>45737</v>
      </c>
      <c r="S1113" s="19">
        <f>H1113*I1113</f>
        <v/>
      </c>
      <c r="T1113" s="19">
        <f>H1113*J1113</f>
        <v/>
      </c>
      <c r="U1113">
        <f>IF(AND(K1113=0,G1113&lt;=Assumptions!$C$6),1,0)</f>
        <v/>
      </c>
      <c r="V1113">
        <f>IF(U1113=1,IF(M1113&gt;0,IF(P1113&lt;=G1113+Assumptions!$C$7,1,0),0),0)</f>
        <v/>
      </c>
      <c r="W1113">
        <f>IF(AND(U1113=1,M1113&gt;=H1113*(1-Assumptions!$C$8)),1,0)</f>
        <v/>
      </c>
      <c r="X1113">
        <f>IF(AND(U1113=1,N1113&gt;=H1113*(1-Assumptions!$C$8)),1,0)</f>
        <v/>
      </c>
      <c r="Y1113">
        <f>IF(ISNUMBER(Q1113),1,0)</f>
        <v/>
      </c>
      <c r="Z1113">
        <f>IF(AND(K1113=0,L1113=0,Y1113=0),1,0)</f>
        <v/>
      </c>
      <c r="AA1113">
        <f>IF(AND(Z1113=1,G1113&lt;Assumptions!$C$6),1,0)</f>
        <v/>
      </c>
      <c r="AB1113">
        <f>IF(U1113=0,"",IF(Y1113=1,MAX(0,Q1113-G1113),IF(L1113=1,MAX(0,R1113-G1113),MAX(0,Assumptions!$C$6-G1113))))</f>
        <v/>
      </c>
      <c r="AC1113">
        <f>IF(Y1113=1,Q1113-F1113,"")</f>
        <v/>
      </c>
      <c r="AD1113">
        <f>IF(Y1113=1,AC1113^2,"")</f>
        <v/>
      </c>
      <c r="AE1113" s="19">
        <f>IF(Z1113=1,(H1113-M1113)*I1113,0)</f>
        <v/>
      </c>
      <c r="AF1113">
        <f>IF(G1113&lt;EDATE(Assumptions!$C$6,-12)+1,"prior_12m","last_12m")</f>
        <v/>
      </c>
      <c r="AG1113" s="21">
        <f>DATE(YEAR(G1113),MONTH(G1113),1)</f>
        <v/>
      </c>
    </row>
    <row r="1114">
      <c r="A1114" t="inlineStr">
        <is>
          <t>SPO-00612-1</t>
        </is>
      </c>
      <c r="B1114" t="inlineStr">
        <is>
          <t>SPO-00612</t>
        </is>
      </c>
      <c r="C1114" t="inlineStr">
        <is>
          <t>SUP-12</t>
        </is>
      </c>
      <c r="D1114" t="inlineStr">
        <is>
          <t>IT</t>
        </is>
      </c>
      <c r="E1114" t="inlineStr">
        <is>
          <t>IT-02</t>
        </is>
      </c>
      <c r="F1114" s="17" t="n">
        <v>45727</v>
      </c>
      <c r="G1114" s="17" t="n">
        <v>45737</v>
      </c>
      <c r="H1114" s="18" t="n">
        <v>14</v>
      </c>
      <c r="I1114" s="19" t="n">
        <v>178.37</v>
      </c>
      <c r="J1114" s="19" t="n">
        <v>162</v>
      </c>
      <c r="K1114" s="20" t="n">
        <v>0</v>
      </c>
      <c r="L1114" s="20" t="n">
        <v>0</v>
      </c>
      <c r="M1114" s="18" t="n">
        <v>14</v>
      </c>
      <c r="N1114" s="18" t="n">
        <v>0</v>
      </c>
      <c r="O1114" s="18" t="n">
        <v>0</v>
      </c>
      <c r="P1114" s="17" t="n">
        <v>45739</v>
      </c>
      <c r="Q1114" s="17" t="n">
        <v>45739</v>
      </c>
      <c r="R1114" s="17" t="n">
        <v>45739</v>
      </c>
      <c r="S1114" s="19">
        <f>H1114*I1114</f>
        <v/>
      </c>
      <c r="T1114" s="19">
        <f>H1114*J1114</f>
        <v/>
      </c>
      <c r="U1114">
        <f>IF(AND(K1114=0,G1114&lt;=Assumptions!$C$6),1,0)</f>
        <v/>
      </c>
      <c r="V1114">
        <f>IF(U1114=1,IF(M1114&gt;0,IF(P1114&lt;=G1114+Assumptions!$C$7,1,0),0),0)</f>
        <v/>
      </c>
      <c r="W1114">
        <f>IF(AND(U1114=1,M1114&gt;=H1114*(1-Assumptions!$C$8)),1,0)</f>
        <v/>
      </c>
      <c r="X1114">
        <f>IF(AND(U1114=1,N1114&gt;=H1114*(1-Assumptions!$C$8)),1,0)</f>
        <v/>
      </c>
      <c r="Y1114">
        <f>IF(ISNUMBER(Q1114),1,0)</f>
        <v/>
      </c>
      <c r="Z1114">
        <f>IF(AND(K1114=0,L1114=0,Y1114=0),1,0)</f>
        <v/>
      </c>
      <c r="AA1114">
        <f>IF(AND(Z1114=1,G1114&lt;Assumptions!$C$6),1,0)</f>
        <v/>
      </c>
      <c r="AB1114">
        <f>IF(U1114=0,"",IF(Y1114=1,MAX(0,Q1114-G1114),IF(L1114=1,MAX(0,R1114-G1114),MAX(0,Assumptions!$C$6-G1114))))</f>
        <v/>
      </c>
      <c r="AC1114">
        <f>IF(Y1114=1,Q1114-F1114,"")</f>
        <v/>
      </c>
      <c r="AD1114">
        <f>IF(Y1114=1,AC1114^2,"")</f>
        <v/>
      </c>
      <c r="AE1114" s="19">
        <f>IF(Z1114=1,(H1114-M1114)*I1114,0)</f>
        <v/>
      </c>
      <c r="AF1114">
        <f>IF(G1114&lt;EDATE(Assumptions!$C$6,-12)+1,"prior_12m","last_12m")</f>
        <v/>
      </c>
      <c r="AG1114" s="21">
        <f>DATE(YEAR(G1114),MONTH(G1114),1)</f>
        <v/>
      </c>
    </row>
    <row r="1115">
      <c r="A1115" t="inlineStr">
        <is>
          <t>SPO-00612-2</t>
        </is>
      </c>
      <c r="B1115" t="inlineStr">
        <is>
          <t>SPO-00612</t>
        </is>
      </c>
      <c r="C1115" t="inlineStr">
        <is>
          <t>SUP-12</t>
        </is>
      </c>
      <c r="D1115" t="inlineStr">
        <is>
          <t>IT</t>
        </is>
      </c>
      <c r="E1115" t="inlineStr">
        <is>
          <t>IT-04</t>
        </is>
      </c>
      <c r="F1115" s="17" t="n">
        <v>45727</v>
      </c>
      <c r="G1115" s="17" t="n">
        <v>45737</v>
      </c>
      <c r="H1115" s="18" t="n">
        <v>154</v>
      </c>
      <c r="I1115" s="19" t="n">
        <v>13.61</v>
      </c>
      <c r="J1115" s="19" t="n">
        <v>12</v>
      </c>
      <c r="K1115" s="20" t="n">
        <v>0</v>
      </c>
      <c r="L1115" s="20" t="n">
        <v>0</v>
      </c>
      <c r="M1115" s="18" t="n">
        <v>154</v>
      </c>
      <c r="N1115" s="18" t="n">
        <v>154</v>
      </c>
      <c r="O1115" s="18" t="n">
        <v>0</v>
      </c>
      <c r="P1115" s="17" t="n">
        <v>45732</v>
      </c>
      <c r="Q1115" s="17" t="n">
        <v>45732</v>
      </c>
      <c r="R1115" s="17" t="n">
        <v>45732</v>
      </c>
      <c r="S1115" s="19">
        <f>H1115*I1115</f>
        <v/>
      </c>
      <c r="T1115" s="19">
        <f>H1115*J1115</f>
        <v/>
      </c>
      <c r="U1115">
        <f>IF(AND(K1115=0,G1115&lt;=Assumptions!$C$6),1,0)</f>
        <v/>
      </c>
      <c r="V1115">
        <f>IF(U1115=1,IF(M1115&gt;0,IF(P1115&lt;=G1115+Assumptions!$C$7,1,0),0),0)</f>
        <v/>
      </c>
      <c r="W1115">
        <f>IF(AND(U1115=1,M1115&gt;=H1115*(1-Assumptions!$C$8)),1,0)</f>
        <v/>
      </c>
      <c r="X1115">
        <f>IF(AND(U1115=1,N1115&gt;=H1115*(1-Assumptions!$C$8)),1,0)</f>
        <v/>
      </c>
      <c r="Y1115">
        <f>IF(ISNUMBER(Q1115),1,0)</f>
        <v/>
      </c>
      <c r="Z1115">
        <f>IF(AND(K1115=0,L1115=0,Y1115=0),1,0)</f>
        <v/>
      </c>
      <c r="AA1115">
        <f>IF(AND(Z1115=1,G1115&lt;Assumptions!$C$6),1,0)</f>
        <v/>
      </c>
      <c r="AB1115">
        <f>IF(U1115=0,"",IF(Y1115=1,MAX(0,Q1115-G1115),IF(L1115=1,MAX(0,R1115-G1115),MAX(0,Assumptions!$C$6-G1115))))</f>
        <v/>
      </c>
      <c r="AC1115">
        <f>IF(Y1115=1,Q1115-F1115,"")</f>
        <v/>
      </c>
      <c r="AD1115">
        <f>IF(Y1115=1,AC1115^2,"")</f>
        <v/>
      </c>
      <c r="AE1115" s="19">
        <f>IF(Z1115=1,(H1115-M1115)*I1115,0)</f>
        <v/>
      </c>
      <c r="AF1115">
        <f>IF(G1115&lt;EDATE(Assumptions!$C$6,-12)+1,"prior_12m","last_12m")</f>
        <v/>
      </c>
      <c r="AG1115" s="21">
        <f>DATE(YEAR(G1115),MONTH(G1115),1)</f>
        <v/>
      </c>
    </row>
    <row r="1116">
      <c r="A1116" t="inlineStr">
        <is>
          <t>SPO-00613-1</t>
        </is>
      </c>
      <c r="B1116" t="inlineStr">
        <is>
          <t>SPO-00613</t>
        </is>
      </c>
      <c r="C1116" t="inlineStr">
        <is>
          <t>SUP-06</t>
        </is>
      </c>
      <c r="D1116" t="inlineStr">
        <is>
          <t>MRO</t>
        </is>
      </c>
      <c r="E1116" t="inlineStr">
        <is>
          <t>MRO-01</t>
        </is>
      </c>
      <c r="F1116" s="17" t="n">
        <v>45728</v>
      </c>
      <c r="G1116" s="17" t="n">
        <v>45736</v>
      </c>
      <c r="H1116" s="18" t="n">
        <v>32</v>
      </c>
      <c r="I1116" s="19" t="n">
        <v>52.67</v>
      </c>
      <c r="J1116" s="19" t="n">
        <v>52</v>
      </c>
      <c r="K1116" s="20" t="n">
        <v>0</v>
      </c>
      <c r="L1116" s="20" t="n">
        <v>0</v>
      </c>
      <c r="M1116" s="18" t="n">
        <v>32</v>
      </c>
      <c r="N1116" s="18" t="n">
        <v>32</v>
      </c>
      <c r="O1116" s="18" t="n">
        <v>0</v>
      </c>
      <c r="P1116" s="17" t="n">
        <v>45735</v>
      </c>
      <c r="Q1116" s="17" t="n">
        <v>45735</v>
      </c>
      <c r="R1116" s="17" t="n">
        <v>45735</v>
      </c>
      <c r="S1116" s="19">
        <f>H1116*I1116</f>
        <v/>
      </c>
      <c r="T1116" s="19">
        <f>H1116*J1116</f>
        <v/>
      </c>
      <c r="U1116">
        <f>IF(AND(K1116=0,G1116&lt;=Assumptions!$C$6),1,0)</f>
        <v/>
      </c>
      <c r="V1116">
        <f>IF(U1116=1,IF(M1116&gt;0,IF(P1116&lt;=G1116+Assumptions!$C$7,1,0),0),0)</f>
        <v/>
      </c>
      <c r="W1116">
        <f>IF(AND(U1116=1,M1116&gt;=H1116*(1-Assumptions!$C$8)),1,0)</f>
        <v/>
      </c>
      <c r="X1116">
        <f>IF(AND(U1116=1,N1116&gt;=H1116*(1-Assumptions!$C$8)),1,0)</f>
        <v/>
      </c>
      <c r="Y1116">
        <f>IF(ISNUMBER(Q1116),1,0)</f>
        <v/>
      </c>
      <c r="Z1116">
        <f>IF(AND(K1116=0,L1116=0,Y1116=0),1,0)</f>
        <v/>
      </c>
      <c r="AA1116">
        <f>IF(AND(Z1116=1,G1116&lt;Assumptions!$C$6),1,0)</f>
        <v/>
      </c>
      <c r="AB1116">
        <f>IF(U1116=0,"",IF(Y1116=1,MAX(0,Q1116-G1116),IF(L1116=1,MAX(0,R1116-G1116),MAX(0,Assumptions!$C$6-G1116))))</f>
        <v/>
      </c>
      <c r="AC1116">
        <f>IF(Y1116=1,Q1116-F1116,"")</f>
        <v/>
      </c>
      <c r="AD1116">
        <f>IF(Y1116=1,AC1116^2,"")</f>
        <v/>
      </c>
      <c r="AE1116" s="19">
        <f>IF(Z1116=1,(H1116-M1116)*I1116,0)</f>
        <v/>
      </c>
      <c r="AF1116">
        <f>IF(G1116&lt;EDATE(Assumptions!$C$6,-12)+1,"prior_12m","last_12m")</f>
        <v/>
      </c>
      <c r="AG1116" s="21">
        <f>DATE(YEAR(G1116),MONTH(G1116),1)</f>
        <v/>
      </c>
    </row>
    <row r="1117">
      <c r="A1117" t="inlineStr">
        <is>
          <t>SPO-00613-2</t>
        </is>
      </c>
      <c r="B1117" t="inlineStr">
        <is>
          <t>SPO-00613</t>
        </is>
      </c>
      <c r="C1117" t="inlineStr">
        <is>
          <t>SUP-06</t>
        </is>
      </c>
      <c r="D1117" t="inlineStr">
        <is>
          <t>MRO</t>
        </is>
      </c>
      <c r="E1117" t="inlineStr">
        <is>
          <t>MRO-08</t>
        </is>
      </c>
      <c r="F1117" s="17" t="n">
        <v>45728</v>
      </c>
      <c r="G1117" s="17" t="n">
        <v>45736</v>
      </c>
      <c r="H1117" s="18" t="n">
        <v>383</v>
      </c>
      <c r="I1117" s="19" t="n">
        <v>6.91</v>
      </c>
      <c r="J1117" s="19" t="n">
        <v>7.2</v>
      </c>
      <c r="K1117" s="20" t="n">
        <v>0</v>
      </c>
      <c r="L1117" s="20" t="n">
        <v>0</v>
      </c>
      <c r="M1117" s="18" t="n">
        <v>383</v>
      </c>
      <c r="N1117" s="18" t="n">
        <v>383</v>
      </c>
      <c r="O1117" s="18" t="n">
        <v>0</v>
      </c>
      <c r="P1117" s="17" t="n">
        <v>45734</v>
      </c>
      <c r="Q1117" s="17" t="n">
        <v>45734</v>
      </c>
      <c r="R1117" s="17" t="n">
        <v>45734</v>
      </c>
      <c r="S1117" s="19">
        <f>H1117*I1117</f>
        <v/>
      </c>
      <c r="T1117" s="19">
        <f>H1117*J1117</f>
        <v/>
      </c>
      <c r="U1117">
        <f>IF(AND(K1117=0,G1117&lt;=Assumptions!$C$6),1,0)</f>
        <v/>
      </c>
      <c r="V1117">
        <f>IF(U1117=1,IF(M1117&gt;0,IF(P1117&lt;=G1117+Assumptions!$C$7,1,0),0),0)</f>
        <v/>
      </c>
      <c r="W1117">
        <f>IF(AND(U1117=1,M1117&gt;=H1117*(1-Assumptions!$C$8)),1,0)</f>
        <v/>
      </c>
      <c r="X1117">
        <f>IF(AND(U1117=1,N1117&gt;=H1117*(1-Assumptions!$C$8)),1,0)</f>
        <v/>
      </c>
      <c r="Y1117">
        <f>IF(ISNUMBER(Q1117),1,0)</f>
        <v/>
      </c>
      <c r="Z1117">
        <f>IF(AND(K1117=0,L1117=0,Y1117=0),1,0)</f>
        <v/>
      </c>
      <c r="AA1117">
        <f>IF(AND(Z1117=1,G1117&lt;Assumptions!$C$6),1,0)</f>
        <v/>
      </c>
      <c r="AB1117">
        <f>IF(U1117=0,"",IF(Y1117=1,MAX(0,Q1117-G1117),IF(L1117=1,MAX(0,R1117-G1117),MAX(0,Assumptions!$C$6-G1117))))</f>
        <v/>
      </c>
      <c r="AC1117">
        <f>IF(Y1117=1,Q1117-F1117,"")</f>
        <v/>
      </c>
      <c r="AD1117">
        <f>IF(Y1117=1,AC1117^2,"")</f>
        <v/>
      </c>
      <c r="AE1117" s="19">
        <f>IF(Z1117=1,(H1117-M1117)*I1117,0)</f>
        <v/>
      </c>
      <c r="AF1117">
        <f>IF(G1117&lt;EDATE(Assumptions!$C$6,-12)+1,"prior_12m","last_12m")</f>
        <v/>
      </c>
      <c r="AG1117" s="21">
        <f>DATE(YEAR(G1117),MONTH(G1117),1)</f>
        <v/>
      </c>
    </row>
    <row r="1118">
      <c r="A1118" t="inlineStr">
        <is>
          <t>SPO-00613-3</t>
        </is>
      </c>
      <c r="B1118" t="inlineStr">
        <is>
          <t>SPO-00613</t>
        </is>
      </c>
      <c r="C1118" t="inlineStr">
        <is>
          <t>SUP-06</t>
        </is>
      </c>
      <c r="D1118" t="inlineStr">
        <is>
          <t>MRO</t>
        </is>
      </c>
      <c r="E1118" t="inlineStr">
        <is>
          <t>MRO-03</t>
        </is>
      </c>
      <c r="F1118" s="17" t="n">
        <v>45728</v>
      </c>
      <c r="G1118" s="17" t="n">
        <v>45736</v>
      </c>
      <c r="H1118" s="18" t="n">
        <v>145</v>
      </c>
      <c r="I1118" s="19" t="n">
        <v>8.76</v>
      </c>
      <c r="J1118" s="19" t="n">
        <v>8.9</v>
      </c>
      <c r="K1118" s="20" t="n">
        <v>0</v>
      </c>
      <c r="L1118" s="20" t="n">
        <v>0</v>
      </c>
      <c r="M1118" s="18" t="n">
        <v>145</v>
      </c>
      <c r="N1118" s="18" t="n">
        <v>145</v>
      </c>
      <c r="O1118" s="18" t="n">
        <v>0</v>
      </c>
      <c r="P1118" s="17" t="n">
        <v>45734</v>
      </c>
      <c r="Q1118" s="17" t="n">
        <v>45734</v>
      </c>
      <c r="R1118" s="17" t="n">
        <v>45734</v>
      </c>
      <c r="S1118" s="19">
        <f>H1118*I1118</f>
        <v/>
      </c>
      <c r="T1118" s="19">
        <f>H1118*J1118</f>
        <v/>
      </c>
      <c r="U1118">
        <f>IF(AND(K1118=0,G1118&lt;=Assumptions!$C$6),1,0)</f>
        <v/>
      </c>
      <c r="V1118">
        <f>IF(U1118=1,IF(M1118&gt;0,IF(P1118&lt;=G1118+Assumptions!$C$7,1,0),0),0)</f>
        <v/>
      </c>
      <c r="W1118">
        <f>IF(AND(U1118=1,M1118&gt;=H1118*(1-Assumptions!$C$8)),1,0)</f>
        <v/>
      </c>
      <c r="X1118">
        <f>IF(AND(U1118=1,N1118&gt;=H1118*(1-Assumptions!$C$8)),1,0)</f>
        <v/>
      </c>
      <c r="Y1118">
        <f>IF(ISNUMBER(Q1118),1,0)</f>
        <v/>
      </c>
      <c r="Z1118">
        <f>IF(AND(K1118=0,L1118=0,Y1118=0),1,0)</f>
        <v/>
      </c>
      <c r="AA1118">
        <f>IF(AND(Z1118=1,G1118&lt;Assumptions!$C$6),1,0)</f>
        <v/>
      </c>
      <c r="AB1118">
        <f>IF(U1118=0,"",IF(Y1118=1,MAX(0,Q1118-G1118),IF(L1118=1,MAX(0,R1118-G1118),MAX(0,Assumptions!$C$6-G1118))))</f>
        <v/>
      </c>
      <c r="AC1118">
        <f>IF(Y1118=1,Q1118-F1118,"")</f>
        <v/>
      </c>
      <c r="AD1118">
        <f>IF(Y1118=1,AC1118^2,"")</f>
        <v/>
      </c>
      <c r="AE1118" s="19">
        <f>IF(Z1118=1,(H1118-M1118)*I1118,0)</f>
        <v/>
      </c>
      <c r="AF1118">
        <f>IF(G1118&lt;EDATE(Assumptions!$C$6,-12)+1,"prior_12m","last_12m")</f>
        <v/>
      </c>
      <c r="AG1118" s="21">
        <f>DATE(YEAR(G1118),MONTH(G1118),1)</f>
        <v/>
      </c>
    </row>
    <row r="1119">
      <c r="A1119" t="inlineStr">
        <is>
          <t>SPO-00613-4</t>
        </is>
      </c>
      <c r="B1119" t="inlineStr">
        <is>
          <t>SPO-00613</t>
        </is>
      </c>
      <c r="C1119" t="inlineStr">
        <is>
          <t>SUP-06</t>
        </is>
      </c>
      <c r="D1119" t="inlineStr">
        <is>
          <t>MRO</t>
        </is>
      </c>
      <c r="E1119" t="inlineStr">
        <is>
          <t>MRO-02</t>
        </is>
      </c>
      <c r="F1119" s="17" t="n">
        <v>45728</v>
      </c>
      <c r="G1119" s="17" t="n">
        <v>45736</v>
      </c>
      <c r="H1119" s="18" t="n">
        <v>36</v>
      </c>
      <c r="I1119" s="19" t="n">
        <v>39.74</v>
      </c>
      <c r="J1119" s="19" t="n">
        <v>41</v>
      </c>
      <c r="K1119" s="20" t="n">
        <v>0</v>
      </c>
      <c r="L1119" s="20" t="n">
        <v>0</v>
      </c>
      <c r="M1119" s="18" t="n">
        <v>36</v>
      </c>
      <c r="N1119" s="18" t="n">
        <v>36</v>
      </c>
      <c r="O1119" s="18" t="n">
        <v>0</v>
      </c>
      <c r="P1119" s="17" t="n">
        <v>45733</v>
      </c>
      <c r="Q1119" s="17" t="n">
        <v>45733</v>
      </c>
      <c r="R1119" s="17" t="n">
        <v>45733</v>
      </c>
      <c r="S1119" s="19">
        <f>H1119*I1119</f>
        <v/>
      </c>
      <c r="T1119" s="19">
        <f>H1119*J1119</f>
        <v/>
      </c>
      <c r="U1119">
        <f>IF(AND(K1119=0,G1119&lt;=Assumptions!$C$6),1,0)</f>
        <v/>
      </c>
      <c r="V1119">
        <f>IF(U1119=1,IF(M1119&gt;0,IF(P1119&lt;=G1119+Assumptions!$C$7,1,0),0),0)</f>
        <v/>
      </c>
      <c r="W1119">
        <f>IF(AND(U1119=1,M1119&gt;=H1119*(1-Assumptions!$C$8)),1,0)</f>
        <v/>
      </c>
      <c r="X1119">
        <f>IF(AND(U1119=1,N1119&gt;=H1119*(1-Assumptions!$C$8)),1,0)</f>
        <v/>
      </c>
      <c r="Y1119">
        <f>IF(ISNUMBER(Q1119),1,0)</f>
        <v/>
      </c>
      <c r="Z1119">
        <f>IF(AND(K1119=0,L1119=0,Y1119=0),1,0)</f>
        <v/>
      </c>
      <c r="AA1119">
        <f>IF(AND(Z1119=1,G1119&lt;Assumptions!$C$6),1,0)</f>
        <v/>
      </c>
      <c r="AB1119">
        <f>IF(U1119=0,"",IF(Y1119=1,MAX(0,Q1119-G1119),IF(L1119=1,MAX(0,R1119-G1119),MAX(0,Assumptions!$C$6-G1119))))</f>
        <v/>
      </c>
      <c r="AC1119">
        <f>IF(Y1119=1,Q1119-F1119,"")</f>
        <v/>
      </c>
      <c r="AD1119">
        <f>IF(Y1119=1,AC1119^2,"")</f>
        <v/>
      </c>
      <c r="AE1119" s="19">
        <f>IF(Z1119=1,(H1119-M1119)*I1119,0)</f>
        <v/>
      </c>
      <c r="AF1119">
        <f>IF(G1119&lt;EDATE(Assumptions!$C$6,-12)+1,"prior_12m","last_12m")</f>
        <v/>
      </c>
      <c r="AG1119" s="21">
        <f>DATE(YEAR(G1119),MONTH(G1119),1)</f>
        <v/>
      </c>
    </row>
    <row r="1120">
      <c r="A1120" t="inlineStr">
        <is>
          <t>SPO-00614-1</t>
        </is>
      </c>
      <c r="B1120" t="inlineStr">
        <is>
          <t>SPO-00614</t>
        </is>
      </c>
      <c r="C1120" t="inlineStr">
        <is>
          <t>SUP-04</t>
        </is>
      </c>
      <c r="D1120" t="inlineStr">
        <is>
          <t>FLEET</t>
        </is>
      </c>
      <c r="E1120" t="inlineStr">
        <is>
          <t>FLEET-08</t>
        </is>
      </c>
      <c r="F1120" s="17" t="n">
        <v>45728</v>
      </c>
      <c r="G1120" s="17" t="n">
        <v>45741</v>
      </c>
      <c r="H1120" s="18" t="n">
        <v>140</v>
      </c>
      <c r="I1120" s="19" t="n">
        <v>6.16</v>
      </c>
      <c r="J1120" s="19" t="n">
        <v>6.4</v>
      </c>
      <c r="K1120" s="20" t="n">
        <v>0</v>
      </c>
      <c r="L1120" s="20" t="n">
        <v>0</v>
      </c>
      <c r="M1120" s="18" t="n">
        <v>140</v>
      </c>
      <c r="N1120" s="18" t="n">
        <v>140</v>
      </c>
      <c r="O1120" s="18" t="n">
        <v>0</v>
      </c>
      <c r="P1120" s="17" t="n">
        <v>45735</v>
      </c>
      <c r="Q1120" s="17" t="n">
        <v>45735</v>
      </c>
      <c r="R1120" s="17" t="n">
        <v>45735</v>
      </c>
      <c r="S1120" s="19">
        <f>H1120*I1120</f>
        <v/>
      </c>
      <c r="T1120" s="19">
        <f>H1120*J1120</f>
        <v/>
      </c>
      <c r="U1120">
        <f>IF(AND(K1120=0,G1120&lt;=Assumptions!$C$6),1,0)</f>
        <v/>
      </c>
      <c r="V1120">
        <f>IF(U1120=1,IF(M1120&gt;0,IF(P1120&lt;=G1120+Assumptions!$C$7,1,0),0),0)</f>
        <v/>
      </c>
      <c r="W1120">
        <f>IF(AND(U1120=1,M1120&gt;=H1120*(1-Assumptions!$C$8)),1,0)</f>
        <v/>
      </c>
      <c r="X1120">
        <f>IF(AND(U1120=1,N1120&gt;=H1120*(1-Assumptions!$C$8)),1,0)</f>
        <v/>
      </c>
      <c r="Y1120">
        <f>IF(ISNUMBER(Q1120),1,0)</f>
        <v/>
      </c>
      <c r="Z1120">
        <f>IF(AND(K1120=0,L1120=0,Y1120=0),1,0)</f>
        <v/>
      </c>
      <c r="AA1120">
        <f>IF(AND(Z1120=1,G1120&lt;Assumptions!$C$6),1,0)</f>
        <v/>
      </c>
      <c r="AB1120">
        <f>IF(U1120=0,"",IF(Y1120=1,MAX(0,Q1120-G1120),IF(L1120=1,MAX(0,R1120-G1120),MAX(0,Assumptions!$C$6-G1120))))</f>
        <v/>
      </c>
      <c r="AC1120">
        <f>IF(Y1120=1,Q1120-F1120,"")</f>
        <v/>
      </c>
      <c r="AD1120">
        <f>IF(Y1120=1,AC1120^2,"")</f>
        <v/>
      </c>
      <c r="AE1120" s="19">
        <f>IF(Z1120=1,(H1120-M1120)*I1120,0)</f>
        <v/>
      </c>
      <c r="AF1120">
        <f>IF(G1120&lt;EDATE(Assumptions!$C$6,-12)+1,"prior_12m","last_12m")</f>
        <v/>
      </c>
      <c r="AG1120" s="21">
        <f>DATE(YEAR(G1120),MONTH(G1120),1)</f>
        <v/>
      </c>
    </row>
    <row r="1121">
      <c r="A1121" t="inlineStr">
        <is>
          <t>SPO-00614-2</t>
        </is>
      </c>
      <c r="B1121" t="inlineStr">
        <is>
          <t>SPO-00614</t>
        </is>
      </c>
      <c r="C1121" t="inlineStr">
        <is>
          <t>SUP-04</t>
        </is>
      </c>
      <c r="D1121" t="inlineStr">
        <is>
          <t>FLEET</t>
        </is>
      </c>
      <c r="E1121" t="inlineStr">
        <is>
          <t>FLEET-02</t>
        </is>
      </c>
      <c r="F1121" s="17" t="n">
        <v>45728</v>
      </c>
      <c r="G1121" s="17" t="n">
        <v>45741</v>
      </c>
      <c r="H1121" s="18" t="n">
        <v>161</v>
      </c>
      <c r="I1121" s="19" t="n">
        <v>7.38</v>
      </c>
      <c r="J1121" s="19" t="n">
        <v>7.5</v>
      </c>
      <c r="K1121" s="20" t="n">
        <v>0</v>
      </c>
      <c r="L1121" s="20" t="n">
        <v>0</v>
      </c>
      <c r="M1121" s="18" t="n">
        <v>161</v>
      </c>
      <c r="N1121" s="18" t="n">
        <v>0</v>
      </c>
      <c r="O1121" s="18" t="n">
        <v>0</v>
      </c>
      <c r="P1121" s="17" t="n">
        <v>45742</v>
      </c>
      <c r="Q1121" s="17" t="n">
        <v>45742</v>
      </c>
      <c r="R1121" s="17" t="n">
        <v>45742</v>
      </c>
      <c r="S1121" s="19">
        <f>H1121*I1121</f>
        <v/>
      </c>
      <c r="T1121" s="19">
        <f>H1121*J1121</f>
        <v/>
      </c>
      <c r="U1121">
        <f>IF(AND(K1121=0,G1121&lt;=Assumptions!$C$6),1,0)</f>
        <v/>
      </c>
      <c r="V1121">
        <f>IF(U1121=1,IF(M1121&gt;0,IF(P1121&lt;=G1121+Assumptions!$C$7,1,0),0),0)</f>
        <v/>
      </c>
      <c r="W1121">
        <f>IF(AND(U1121=1,M1121&gt;=H1121*(1-Assumptions!$C$8)),1,0)</f>
        <v/>
      </c>
      <c r="X1121">
        <f>IF(AND(U1121=1,N1121&gt;=H1121*(1-Assumptions!$C$8)),1,0)</f>
        <v/>
      </c>
      <c r="Y1121">
        <f>IF(ISNUMBER(Q1121),1,0)</f>
        <v/>
      </c>
      <c r="Z1121">
        <f>IF(AND(K1121=0,L1121=0,Y1121=0),1,0)</f>
        <v/>
      </c>
      <c r="AA1121">
        <f>IF(AND(Z1121=1,G1121&lt;Assumptions!$C$6),1,0)</f>
        <v/>
      </c>
      <c r="AB1121">
        <f>IF(U1121=0,"",IF(Y1121=1,MAX(0,Q1121-G1121),IF(L1121=1,MAX(0,R1121-G1121),MAX(0,Assumptions!$C$6-G1121))))</f>
        <v/>
      </c>
      <c r="AC1121">
        <f>IF(Y1121=1,Q1121-F1121,"")</f>
        <v/>
      </c>
      <c r="AD1121">
        <f>IF(Y1121=1,AC1121^2,"")</f>
        <v/>
      </c>
      <c r="AE1121" s="19">
        <f>IF(Z1121=1,(H1121-M1121)*I1121,0)</f>
        <v/>
      </c>
      <c r="AF1121">
        <f>IF(G1121&lt;EDATE(Assumptions!$C$6,-12)+1,"prior_12m","last_12m")</f>
        <v/>
      </c>
      <c r="AG1121" s="21">
        <f>DATE(YEAR(G1121),MONTH(G1121),1)</f>
        <v/>
      </c>
    </row>
    <row r="1122">
      <c r="A1122" t="inlineStr">
        <is>
          <t>SPO-00614-3</t>
        </is>
      </c>
      <c r="B1122" t="inlineStr">
        <is>
          <t>SPO-00614</t>
        </is>
      </c>
      <c r="C1122" t="inlineStr">
        <is>
          <t>SUP-04</t>
        </is>
      </c>
      <c r="D1122" t="inlineStr">
        <is>
          <t>FLEET</t>
        </is>
      </c>
      <c r="E1122" t="inlineStr">
        <is>
          <t>FLEET-05</t>
        </is>
      </c>
      <c r="F1122" s="17" t="n">
        <v>45728</v>
      </c>
      <c r="G1122" s="17" t="n">
        <v>45741</v>
      </c>
      <c r="H1122" s="18" t="n">
        <v>19</v>
      </c>
      <c r="I1122" s="19" t="n">
        <v>162.55</v>
      </c>
      <c r="J1122" s="19" t="n">
        <v>168</v>
      </c>
      <c r="K1122" s="20" t="n">
        <v>0</v>
      </c>
      <c r="L1122" s="20" t="n">
        <v>0</v>
      </c>
      <c r="M1122" s="18" t="n">
        <v>19</v>
      </c>
      <c r="N1122" s="18" t="n">
        <v>19</v>
      </c>
      <c r="O1122" s="18" t="n">
        <v>0</v>
      </c>
      <c r="P1122" s="17" t="n">
        <v>45732</v>
      </c>
      <c r="Q1122" s="17" t="n">
        <v>45732</v>
      </c>
      <c r="R1122" s="17" t="n">
        <v>45732</v>
      </c>
      <c r="S1122" s="19">
        <f>H1122*I1122</f>
        <v/>
      </c>
      <c r="T1122" s="19">
        <f>H1122*J1122</f>
        <v/>
      </c>
      <c r="U1122">
        <f>IF(AND(K1122=0,G1122&lt;=Assumptions!$C$6),1,0)</f>
        <v/>
      </c>
      <c r="V1122">
        <f>IF(U1122=1,IF(M1122&gt;0,IF(P1122&lt;=G1122+Assumptions!$C$7,1,0),0),0)</f>
        <v/>
      </c>
      <c r="W1122">
        <f>IF(AND(U1122=1,M1122&gt;=H1122*(1-Assumptions!$C$8)),1,0)</f>
        <v/>
      </c>
      <c r="X1122">
        <f>IF(AND(U1122=1,N1122&gt;=H1122*(1-Assumptions!$C$8)),1,0)</f>
        <v/>
      </c>
      <c r="Y1122">
        <f>IF(ISNUMBER(Q1122),1,0)</f>
        <v/>
      </c>
      <c r="Z1122">
        <f>IF(AND(K1122=0,L1122=0,Y1122=0),1,0)</f>
        <v/>
      </c>
      <c r="AA1122">
        <f>IF(AND(Z1122=1,G1122&lt;Assumptions!$C$6),1,0)</f>
        <v/>
      </c>
      <c r="AB1122">
        <f>IF(U1122=0,"",IF(Y1122=1,MAX(0,Q1122-G1122),IF(L1122=1,MAX(0,R1122-G1122),MAX(0,Assumptions!$C$6-G1122))))</f>
        <v/>
      </c>
      <c r="AC1122">
        <f>IF(Y1122=1,Q1122-F1122,"")</f>
        <v/>
      </c>
      <c r="AD1122">
        <f>IF(Y1122=1,AC1122^2,"")</f>
        <v/>
      </c>
      <c r="AE1122" s="19">
        <f>IF(Z1122=1,(H1122-M1122)*I1122,0)</f>
        <v/>
      </c>
      <c r="AF1122">
        <f>IF(G1122&lt;EDATE(Assumptions!$C$6,-12)+1,"prior_12m","last_12m")</f>
        <v/>
      </c>
      <c r="AG1122" s="21">
        <f>DATE(YEAR(G1122),MONTH(G1122),1)</f>
        <v/>
      </c>
    </row>
    <row r="1123">
      <c r="A1123" t="inlineStr">
        <is>
          <t>SPO-00614-4</t>
        </is>
      </c>
      <c r="B1123" t="inlineStr">
        <is>
          <t>SPO-00614</t>
        </is>
      </c>
      <c r="C1123" t="inlineStr">
        <is>
          <t>SUP-04</t>
        </is>
      </c>
      <c r="D1123" t="inlineStr">
        <is>
          <t>FLEET</t>
        </is>
      </c>
      <c r="E1123" t="inlineStr">
        <is>
          <t>FLEET-01</t>
        </is>
      </c>
      <c r="F1123" s="17" t="n">
        <v>45728</v>
      </c>
      <c r="G1123" s="17" t="n">
        <v>45741</v>
      </c>
      <c r="H1123" s="18" t="n">
        <v>27</v>
      </c>
      <c r="I1123" s="19" t="n">
        <v>60.93</v>
      </c>
      <c r="J1123" s="19" t="n">
        <v>64</v>
      </c>
      <c r="K1123" s="20" t="n">
        <v>0</v>
      </c>
      <c r="L1123" s="20" t="n">
        <v>0</v>
      </c>
      <c r="M1123" s="18" t="n">
        <v>27</v>
      </c>
      <c r="N1123" s="18" t="n">
        <v>0</v>
      </c>
      <c r="O1123" s="18" t="n">
        <v>0</v>
      </c>
      <c r="P1123" s="17" t="n">
        <v>45742</v>
      </c>
      <c r="Q1123" s="17" t="n">
        <v>45742</v>
      </c>
      <c r="R1123" s="17" t="n">
        <v>45742</v>
      </c>
      <c r="S1123" s="19">
        <f>H1123*I1123</f>
        <v/>
      </c>
      <c r="T1123" s="19">
        <f>H1123*J1123</f>
        <v/>
      </c>
      <c r="U1123">
        <f>IF(AND(K1123=0,G1123&lt;=Assumptions!$C$6),1,0)</f>
        <v/>
      </c>
      <c r="V1123">
        <f>IF(U1123=1,IF(M1123&gt;0,IF(P1123&lt;=G1123+Assumptions!$C$7,1,0),0),0)</f>
        <v/>
      </c>
      <c r="W1123">
        <f>IF(AND(U1123=1,M1123&gt;=H1123*(1-Assumptions!$C$8)),1,0)</f>
        <v/>
      </c>
      <c r="X1123">
        <f>IF(AND(U1123=1,N1123&gt;=H1123*(1-Assumptions!$C$8)),1,0)</f>
        <v/>
      </c>
      <c r="Y1123">
        <f>IF(ISNUMBER(Q1123),1,0)</f>
        <v/>
      </c>
      <c r="Z1123">
        <f>IF(AND(K1123=0,L1123=0,Y1123=0),1,0)</f>
        <v/>
      </c>
      <c r="AA1123">
        <f>IF(AND(Z1123=1,G1123&lt;Assumptions!$C$6),1,0)</f>
        <v/>
      </c>
      <c r="AB1123">
        <f>IF(U1123=0,"",IF(Y1123=1,MAX(0,Q1123-G1123),IF(L1123=1,MAX(0,R1123-G1123),MAX(0,Assumptions!$C$6-G1123))))</f>
        <v/>
      </c>
      <c r="AC1123">
        <f>IF(Y1123=1,Q1123-F1123,"")</f>
        <v/>
      </c>
      <c r="AD1123">
        <f>IF(Y1123=1,AC1123^2,"")</f>
        <v/>
      </c>
      <c r="AE1123" s="19">
        <f>IF(Z1123=1,(H1123-M1123)*I1123,0)</f>
        <v/>
      </c>
      <c r="AF1123">
        <f>IF(G1123&lt;EDATE(Assumptions!$C$6,-12)+1,"prior_12m","last_12m")</f>
        <v/>
      </c>
      <c r="AG1123" s="21">
        <f>DATE(YEAR(G1123),MONTH(G1123),1)</f>
        <v/>
      </c>
    </row>
    <row r="1124">
      <c r="A1124" t="inlineStr">
        <is>
          <t>SPO-00615-1</t>
        </is>
      </c>
      <c r="B1124" t="inlineStr">
        <is>
          <t>SPO-00615</t>
        </is>
      </c>
      <c r="C1124" t="inlineStr">
        <is>
          <t>SUP-12</t>
        </is>
      </c>
      <c r="D1124" t="inlineStr">
        <is>
          <t>IT</t>
        </is>
      </c>
      <c r="E1124" t="inlineStr">
        <is>
          <t>IT-02</t>
        </is>
      </c>
      <c r="F1124" s="17" t="n">
        <v>45728</v>
      </c>
      <c r="G1124" s="17" t="n">
        <v>45738</v>
      </c>
      <c r="H1124" s="18" t="n">
        <v>10</v>
      </c>
      <c r="I1124" s="19" t="n">
        <v>182.51</v>
      </c>
      <c r="J1124" s="19" t="n">
        <v>162</v>
      </c>
      <c r="K1124" s="20" t="n">
        <v>0</v>
      </c>
      <c r="L1124" s="20" t="n">
        <v>0</v>
      </c>
      <c r="M1124" s="18" t="n">
        <v>10</v>
      </c>
      <c r="N1124" s="18" t="n">
        <v>10</v>
      </c>
      <c r="O1124" s="18" t="n">
        <v>0</v>
      </c>
      <c r="P1124" s="17" t="n">
        <v>45735</v>
      </c>
      <c r="Q1124" s="17" t="n">
        <v>45735</v>
      </c>
      <c r="R1124" s="17" t="n">
        <v>45735</v>
      </c>
      <c r="S1124" s="19">
        <f>H1124*I1124</f>
        <v/>
      </c>
      <c r="T1124" s="19">
        <f>H1124*J1124</f>
        <v/>
      </c>
      <c r="U1124">
        <f>IF(AND(K1124=0,G1124&lt;=Assumptions!$C$6),1,0)</f>
        <v/>
      </c>
      <c r="V1124">
        <f>IF(U1124=1,IF(M1124&gt;0,IF(P1124&lt;=G1124+Assumptions!$C$7,1,0),0),0)</f>
        <v/>
      </c>
      <c r="W1124">
        <f>IF(AND(U1124=1,M1124&gt;=H1124*(1-Assumptions!$C$8)),1,0)</f>
        <v/>
      </c>
      <c r="X1124">
        <f>IF(AND(U1124=1,N1124&gt;=H1124*(1-Assumptions!$C$8)),1,0)</f>
        <v/>
      </c>
      <c r="Y1124">
        <f>IF(ISNUMBER(Q1124),1,0)</f>
        <v/>
      </c>
      <c r="Z1124">
        <f>IF(AND(K1124=0,L1124=0,Y1124=0),1,0)</f>
        <v/>
      </c>
      <c r="AA1124">
        <f>IF(AND(Z1124=1,G1124&lt;Assumptions!$C$6),1,0)</f>
        <v/>
      </c>
      <c r="AB1124">
        <f>IF(U1124=0,"",IF(Y1124=1,MAX(0,Q1124-G1124),IF(L1124=1,MAX(0,R1124-G1124),MAX(0,Assumptions!$C$6-G1124))))</f>
        <v/>
      </c>
      <c r="AC1124">
        <f>IF(Y1124=1,Q1124-F1124,"")</f>
        <v/>
      </c>
      <c r="AD1124">
        <f>IF(Y1124=1,AC1124^2,"")</f>
        <v/>
      </c>
      <c r="AE1124" s="19">
        <f>IF(Z1124=1,(H1124-M1124)*I1124,0)</f>
        <v/>
      </c>
      <c r="AF1124">
        <f>IF(G1124&lt;EDATE(Assumptions!$C$6,-12)+1,"prior_12m","last_12m")</f>
        <v/>
      </c>
      <c r="AG1124" s="21">
        <f>DATE(YEAR(G1124),MONTH(G1124),1)</f>
        <v/>
      </c>
    </row>
    <row r="1125">
      <c r="A1125" t="inlineStr">
        <is>
          <t>SPO-00616-1</t>
        </is>
      </c>
      <c r="B1125" t="inlineStr">
        <is>
          <t>SPO-00616</t>
        </is>
      </c>
      <c r="C1125" t="inlineStr">
        <is>
          <t>SUP-08</t>
        </is>
      </c>
      <c r="D1125" t="inlineStr">
        <is>
          <t>MRO</t>
        </is>
      </c>
      <c r="E1125" t="inlineStr">
        <is>
          <t>MRO-07</t>
        </is>
      </c>
      <c r="F1125" s="17" t="n">
        <v>45729</v>
      </c>
      <c r="G1125" s="17" t="n">
        <v>45740</v>
      </c>
      <c r="H1125" s="18" t="n">
        <v>62</v>
      </c>
      <c r="I1125" s="19" t="n">
        <v>13.78</v>
      </c>
      <c r="J1125" s="19" t="n">
        <v>14</v>
      </c>
      <c r="K1125" s="20" t="n">
        <v>0</v>
      </c>
      <c r="L1125" s="20" t="n">
        <v>0</v>
      </c>
      <c r="M1125" s="18" t="n">
        <v>62</v>
      </c>
      <c r="N1125" s="18" t="n">
        <v>62</v>
      </c>
      <c r="O1125" s="18" t="n">
        <v>0</v>
      </c>
      <c r="P1125" s="17" t="n">
        <v>45736</v>
      </c>
      <c r="Q1125" s="17" t="n">
        <v>45736</v>
      </c>
      <c r="R1125" s="17" t="n">
        <v>45736</v>
      </c>
      <c r="S1125" s="19">
        <f>H1125*I1125</f>
        <v/>
      </c>
      <c r="T1125" s="19">
        <f>H1125*J1125</f>
        <v/>
      </c>
      <c r="U1125">
        <f>IF(AND(K1125=0,G1125&lt;=Assumptions!$C$6),1,0)</f>
        <v/>
      </c>
      <c r="V1125">
        <f>IF(U1125=1,IF(M1125&gt;0,IF(P1125&lt;=G1125+Assumptions!$C$7,1,0),0),0)</f>
        <v/>
      </c>
      <c r="W1125">
        <f>IF(AND(U1125=1,M1125&gt;=H1125*(1-Assumptions!$C$8)),1,0)</f>
        <v/>
      </c>
      <c r="X1125">
        <f>IF(AND(U1125=1,N1125&gt;=H1125*(1-Assumptions!$C$8)),1,0)</f>
        <v/>
      </c>
      <c r="Y1125">
        <f>IF(ISNUMBER(Q1125),1,0)</f>
        <v/>
      </c>
      <c r="Z1125">
        <f>IF(AND(K1125=0,L1125=0,Y1125=0),1,0)</f>
        <v/>
      </c>
      <c r="AA1125">
        <f>IF(AND(Z1125=1,G1125&lt;Assumptions!$C$6),1,0)</f>
        <v/>
      </c>
      <c r="AB1125">
        <f>IF(U1125=0,"",IF(Y1125=1,MAX(0,Q1125-G1125),IF(L1125=1,MAX(0,R1125-G1125),MAX(0,Assumptions!$C$6-G1125))))</f>
        <v/>
      </c>
      <c r="AC1125">
        <f>IF(Y1125=1,Q1125-F1125,"")</f>
        <v/>
      </c>
      <c r="AD1125">
        <f>IF(Y1125=1,AC1125^2,"")</f>
        <v/>
      </c>
      <c r="AE1125" s="19">
        <f>IF(Z1125=1,(H1125-M1125)*I1125,0)</f>
        <v/>
      </c>
      <c r="AF1125">
        <f>IF(G1125&lt;EDATE(Assumptions!$C$6,-12)+1,"prior_12m","last_12m")</f>
        <v/>
      </c>
      <c r="AG1125" s="21">
        <f>DATE(YEAR(G1125),MONTH(G1125),1)</f>
        <v/>
      </c>
    </row>
    <row r="1126">
      <c r="A1126" t="inlineStr">
        <is>
          <t>SPO-00616-2</t>
        </is>
      </c>
      <c r="B1126" t="inlineStr">
        <is>
          <t>SPO-00616</t>
        </is>
      </c>
      <c r="C1126" t="inlineStr">
        <is>
          <t>SUP-08</t>
        </is>
      </c>
      <c r="D1126" t="inlineStr">
        <is>
          <t>MRO</t>
        </is>
      </c>
      <c r="E1126" t="inlineStr">
        <is>
          <t>MRO-08</t>
        </is>
      </c>
      <c r="F1126" s="17" t="n">
        <v>45729</v>
      </c>
      <c r="G1126" s="17" t="n">
        <v>45740</v>
      </c>
      <c r="H1126" s="18" t="n">
        <v>147</v>
      </c>
      <c r="I1126" s="19" t="n">
        <v>7.13</v>
      </c>
      <c r="J1126" s="19" t="n">
        <v>7.2</v>
      </c>
      <c r="K1126" s="20" t="n">
        <v>0</v>
      </c>
      <c r="L1126" s="20" t="n">
        <v>0</v>
      </c>
      <c r="M1126" s="18" t="n">
        <v>147</v>
      </c>
      <c r="N1126" s="18" t="n">
        <v>147</v>
      </c>
      <c r="O1126" s="18" t="n">
        <v>0</v>
      </c>
      <c r="P1126" s="17" t="n">
        <v>45732</v>
      </c>
      <c r="Q1126" s="17" t="n">
        <v>45732</v>
      </c>
      <c r="R1126" s="17" t="n">
        <v>45732</v>
      </c>
      <c r="S1126" s="19">
        <f>H1126*I1126</f>
        <v/>
      </c>
      <c r="T1126" s="19">
        <f>H1126*J1126</f>
        <v/>
      </c>
      <c r="U1126">
        <f>IF(AND(K1126=0,G1126&lt;=Assumptions!$C$6),1,0)</f>
        <v/>
      </c>
      <c r="V1126">
        <f>IF(U1126=1,IF(M1126&gt;0,IF(P1126&lt;=G1126+Assumptions!$C$7,1,0),0),0)</f>
        <v/>
      </c>
      <c r="W1126">
        <f>IF(AND(U1126=1,M1126&gt;=H1126*(1-Assumptions!$C$8)),1,0)</f>
        <v/>
      </c>
      <c r="X1126">
        <f>IF(AND(U1126=1,N1126&gt;=H1126*(1-Assumptions!$C$8)),1,0)</f>
        <v/>
      </c>
      <c r="Y1126">
        <f>IF(ISNUMBER(Q1126),1,0)</f>
        <v/>
      </c>
      <c r="Z1126">
        <f>IF(AND(K1126=0,L1126=0,Y1126=0),1,0)</f>
        <v/>
      </c>
      <c r="AA1126">
        <f>IF(AND(Z1126=1,G1126&lt;Assumptions!$C$6),1,0)</f>
        <v/>
      </c>
      <c r="AB1126">
        <f>IF(U1126=0,"",IF(Y1126=1,MAX(0,Q1126-G1126),IF(L1126=1,MAX(0,R1126-G1126),MAX(0,Assumptions!$C$6-G1126))))</f>
        <v/>
      </c>
      <c r="AC1126">
        <f>IF(Y1126=1,Q1126-F1126,"")</f>
        <v/>
      </c>
      <c r="AD1126">
        <f>IF(Y1126=1,AC1126^2,"")</f>
        <v/>
      </c>
      <c r="AE1126" s="19">
        <f>IF(Z1126=1,(H1126-M1126)*I1126,0)</f>
        <v/>
      </c>
      <c r="AF1126">
        <f>IF(G1126&lt;EDATE(Assumptions!$C$6,-12)+1,"prior_12m","last_12m")</f>
        <v/>
      </c>
      <c r="AG1126" s="21">
        <f>DATE(YEAR(G1126),MONTH(G1126),1)</f>
        <v/>
      </c>
    </row>
    <row r="1127">
      <c r="A1127" t="inlineStr">
        <is>
          <t>SPO-00616-3</t>
        </is>
      </c>
      <c r="B1127" t="inlineStr">
        <is>
          <t>SPO-00616</t>
        </is>
      </c>
      <c r="C1127" t="inlineStr">
        <is>
          <t>SUP-08</t>
        </is>
      </c>
      <c r="D1127" t="inlineStr">
        <is>
          <t>MRO</t>
        </is>
      </c>
      <c r="E1127" t="inlineStr">
        <is>
          <t>MRO-06</t>
        </is>
      </c>
      <c r="F1127" s="17" t="n">
        <v>45729</v>
      </c>
      <c r="G1127" s="17" t="n">
        <v>45740</v>
      </c>
      <c r="H1127" s="18" t="n">
        <v>258</v>
      </c>
      <c r="I1127" s="19" t="n">
        <v>6.15</v>
      </c>
      <c r="J1127" s="19" t="n">
        <v>6.1</v>
      </c>
      <c r="K1127" s="20" t="n">
        <v>0</v>
      </c>
      <c r="L1127" s="20" t="n">
        <v>0</v>
      </c>
      <c r="M1127" s="18" t="n">
        <v>258</v>
      </c>
      <c r="N1127" s="18" t="n">
        <v>258</v>
      </c>
      <c r="O1127" s="18" t="n">
        <v>0</v>
      </c>
      <c r="P1127" s="17" t="n">
        <v>45739</v>
      </c>
      <c r="Q1127" s="17" t="n">
        <v>45739</v>
      </c>
      <c r="R1127" s="17" t="n">
        <v>45739</v>
      </c>
      <c r="S1127" s="19">
        <f>H1127*I1127</f>
        <v/>
      </c>
      <c r="T1127" s="19">
        <f>H1127*J1127</f>
        <v/>
      </c>
      <c r="U1127">
        <f>IF(AND(K1127=0,G1127&lt;=Assumptions!$C$6),1,0)</f>
        <v/>
      </c>
      <c r="V1127">
        <f>IF(U1127=1,IF(M1127&gt;0,IF(P1127&lt;=G1127+Assumptions!$C$7,1,0),0),0)</f>
        <v/>
      </c>
      <c r="W1127">
        <f>IF(AND(U1127=1,M1127&gt;=H1127*(1-Assumptions!$C$8)),1,0)</f>
        <v/>
      </c>
      <c r="X1127">
        <f>IF(AND(U1127=1,N1127&gt;=H1127*(1-Assumptions!$C$8)),1,0)</f>
        <v/>
      </c>
      <c r="Y1127">
        <f>IF(ISNUMBER(Q1127),1,0)</f>
        <v/>
      </c>
      <c r="Z1127">
        <f>IF(AND(K1127=0,L1127=0,Y1127=0),1,0)</f>
        <v/>
      </c>
      <c r="AA1127">
        <f>IF(AND(Z1127=1,G1127&lt;Assumptions!$C$6),1,0)</f>
        <v/>
      </c>
      <c r="AB1127">
        <f>IF(U1127=0,"",IF(Y1127=1,MAX(0,Q1127-G1127),IF(L1127=1,MAX(0,R1127-G1127),MAX(0,Assumptions!$C$6-G1127))))</f>
        <v/>
      </c>
      <c r="AC1127">
        <f>IF(Y1127=1,Q1127-F1127,"")</f>
        <v/>
      </c>
      <c r="AD1127">
        <f>IF(Y1127=1,AC1127^2,"")</f>
        <v/>
      </c>
      <c r="AE1127" s="19">
        <f>IF(Z1127=1,(H1127-M1127)*I1127,0)</f>
        <v/>
      </c>
      <c r="AF1127">
        <f>IF(G1127&lt;EDATE(Assumptions!$C$6,-12)+1,"prior_12m","last_12m")</f>
        <v/>
      </c>
      <c r="AG1127" s="21">
        <f>DATE(YEAR(G1127),MONTH(G1127),1)</f>
        <v/>
      </c>
    </row>
    <row r="1128">
      <c r="A1128" t="inlineStr">
        <is>
          <t>SPO-00617-1</t>
        </is>
      </c>
      <c r="B1128" t="inlineStr">
        <is>
          <t>SPO-00617</t>
        </is>
      </c>
      <c r="C1128" t="inlineStr">
        <is>
          <t>SUP-02</t>
        </is>
      </c>
      <c r="D1128" t="inlineStr">
        <is>
          <t>ELEC</t>
        </is>
      </c>
      <c r="E1128" t="inlineStr">
        <is>
          <t>ELEC-08</t>
        </is>
      </c>
      <c r="F1128" s="17" t="n">
        <v>45729</v>
      </c>
      <c r="G1128" s="17" t="n">
        <v>45745</v>
      </c>
      <c r="H1128" s="18" t="n">
        <v>35</v>
      </c>
      <c r="I1128" s="19" t="n">
        <v>18.33</v>
      </c>
      <c r="J1128" s="19" t="n">
        <v>18</v>
      </c>
      <c r="K1128" s="20" t="n">
        <v>0</v>
      </c>
      <c r="L1128" s="20" t="n">
        <v>0</v>
      </c>
      <c r="M1128" s="18" t="n">
        <v>35</v>
      </c>
      <c r="N1128" s="18" t="n">
        <v>35</v>
      </c>
      <c r="O1128" s="18" t="n">
        <v>0</v>
      </c>
      <c r="P1128" s="17" t="n">
        <v>45742</v>
      </c>
      <c r="Q1128" s="17" t="n">
        <v>45742</v>
      </c>
      <c r="R1128" s="17" t="n">
        <v>45742</v>
      </c>
      <c r="S1128" s="19">
        <f>H1128*I1128</f>
        <v/>
      </c>
      <c r="T1128" s="19">
        <f>H1128*J1128</f>
        <v/>
      </c>
      <c r="U1128">
        <f>IF(AND(K1128=0,G1128&lt;=Assumptions!$C$6),1,0)</f>
        <v/>
      </c>
      <c r="V1128">
        <f>IF(U1128=1,IF(M1128&gt;0,IF(P1128&lt;=G1128+Assumptions!$C$7,1,0),0),0)</f>
        <v/>
      </c>
      <c r="W1128">
        <f>IF(AND(U1128=1,M1128&gt;=H1128*(1-Assumptions!$C$8)),1,0)</f>
        <v/>
      </c>
      <c r="X1128">
        <f>IF(AND(U1128=1,N1128&gt;=H1128*(1-Assumptions!$C$8)),1,0)</f>
        <v/>
      </c>
      <c r="Y1128">
        <f>IF(ISNUMBER(Q1128),1,0)</f>
        <v/>
      </c>
      <c r="Z1128">
        <f>IF(AND(K1128=0,L1128=0,Y1128=0),1,0)</f>
        <v/>
      </c>
      <c r="AA1128">
        <f>IF(AND(Z1128=1,G1128&lt;Assumptions!$C$6),1,0)</f>
        <v/>
      </c>
      <c r="AB1128">
        <f>IF(U1128=0,"",IF(Y1128=1,MAX(0,Q1128-G1128),IF(L1128=1,MAX(0,R1128-G1128),MAX(0,Assumptions!$C$6-G1128))))</f>
        <v/>
      </c>
      <c r="AC1128">
        <f>IF(Y1128=1,Q1128-F1128,"")</f>
        <v/>
      </c>
      <c r="AD1128">
        <f>IF(Y1128=1,AC1128^2,"")</f>
        <v/>
      </c>
      <c r="AE1128" s="19">
        <f>IF(Z1128=1,(H1128-M1128)*I1128,0)</f>
        <v/>
      </c>
      <c r="AF1128">
        <f>IF(G1128&lt;EDATE(Assumptions!$C$6,-12)+1,"prior_12m","last_12m")</f>
        <v/>
      </c>
      <c r="AG1128" s="21">
        <f>DATE(YEAR(G1128),MONTH(G1128),1)</f>
        <v/>
      </c>
    </row>
    <row r="1129">
      <c r="A1129" t="inlineStr">
        <is>
          <t>SPO-00618-1</t>
        </is>
      </c>
      <c r="B1129" t="inlineStr">
        <is>
          <t>SPO-00618</t>
        </is>
      </c>
      <c r="C1129" t="inlineStr">
        <is>
          <t>SUP-01</t>
        </is>
      </c>
      <c r="D1129" t="inlineStr">
        <is>
          <t>ELEC</t>
        </is>
      </c>
      <c r="E1129" t="inlineStr">
        <is>
          <t>ELEC-01</t>
        </is>
      </c>
      <c r="F1129" s="17" t="n">
        <v>45729</v>
      </c>
      <c r="G1129" s="17" t="n">
        <v>45747</v>
      </c>
      <c r="H1129" s="18" t="n">
        <v>57</v>
      </c>
      <c r="I1129" s="19" t="n">
        <v>38.79</v>
      </c>
      <c r="J1129" s="19" t="n">
        <v>38</v>
      </c>
      <c r="K1129" s="20" t="n">
        <v>0</v>
      </c>
      <c r="L1129" s="20" t="n">
        <v>0</v>
      </c>
      <c r="M1129" s="18" t="n">
        <v>57</v>
      </c>
      <c r="N1129" s="18" t="n">
        <v>57</v>
      </c>
      <c r="O1129" s="18" t="n">
        <v>0</v>
      </c>
      <c r="P1129" s="17" t="n">
        <v>45745</v>
      </c>
      <c r="Q1129" s="17" t="n">
        <v>45745</v>
      </c>
      <c r="R1129" s="17" t="n">
        <v>45745</v>
      </c>
      <c r="S1129" s="19">
        <f>H1129*I1129</f>
        <v/>
      </c>
      <c r="T1129" s="19">
        <f>H1129*J1129</f>
        <v/>
      </c>
      <c r="U1129">
        <f>IF(AND(K1129=0,G1129&lt;=Assumptions!$C$6),1,0)</f>
        <v/>
      </c>
      <c r="V1129">
        <f>IF(U1129=1,IF(M1129&gt;0,IF(P1129&lt;=G1129+Assumptions!$C$7,1,0),0),0)</f>
        <v/>
      </c>
      <c r="W1129">
        <f>IF(AND(U1129=1,M1129&gt;=H1129*(1-Assumptions!$C$8)),1,0)</f>
        <v/>
      </c>
      <c r="X1129">
        <f>IF(AND(U1129=1,N1129&gt;=H1129*(1-Assumptions!$C$8)),1,0)</f>
        <v/>
      </c>
      <c r="Y1129">
        <f>IF(ISNUMBER(Q1129),1,0)</f>
        <v/>
      </c>
      <c r="Z1129">
        <f>IF(AND(K1129=0,L1129=0,Y1129=0),1,0)</f>
        <v/>
      </c>
      <c r="AA1129">
        <f>IF(AND(Z1129=1,G1129&lt;Assumptions!$C$6),1,0)</f>
        <v/>
      </c>
      <c r="AB1129">
        <f>IF(U1129=0,"",IF(Y1129=1,MAX(0,Q1129-G1129),IF(L1129=1,MAX(0,R1129-G1129),MAX(0,Assumptions!$C$6-G1129))))</f>
        <v/>
      </c>
      <c r="AC1129">
        <f>IF(Y1129=1,Q1129-F1129,"")</f>
        <v/>
      </c>
      <c r="AD1129">
        <f>IF(Y1129=1,AC1129^2,"")</f>
        <v/>
      </c>
      <c r="AE1129" s="19">
        <f>IF(Z1129=1,(H1129-M1129)*I1129,0)</f>
        <v/>
      </c>
      <c r="AF1129">
        <f>IF(G1129&lt;EDATE(Assumptions!$C$6,-12)+1,"prior_12m","last_12m")</f>
        <v/>
      </c>
      <c r="AG1129" s="21">
        <f>DATE(YEAR(G1129),MONTH(G1129),1)</f>
        <v/>
      </c>
    </row>
    <row r="1130">
      <c r="A1130" t="inlineStr">
        <is>
          <t>SPO-00618-2</t>
        </is>
      </c>
      <c r="B1130" t="inlineStr">
        <is>
          <t>SPO-00618</t>
        </is>
      </c>
      <c r="C1130" t="inlineStr">
        <is>
          <t>SUP-01</t>
        </is>
      </c>
      <c r="D1130" t="inlineStr">
        <is>
          <t>ELEC</t>
        </is>
      </c>
      <c r="E1130" t="inlineStr">
        <is>
          <t>ELEC-07</t>
        </is>
      </c>
      <c r="F1130" s="17" t="n">
        <v>45729</v>
      </c>
      <c r="G1130" s="17" t="n">
        <v>45747</v>
      </c>
      <c r="H1130" s="18" t="n">
        <v>163</v>
      </c>
      <c r="I1130" s="19" t="n">
        <v>9.65</v>
      </c>
      <c r="J1130" s="19" t="n">
        <v>9.800000000000001</v>
      </c>
      <c r="K1130" s="20" t="n">
        <v>0</v>
      </c>
      <c r="L1130" s="20" t="n">
        <v>0</v>
      </c>
      <c r="M1130" s="18" t="n">
        <v>163</v>
      </c>
      <c r="N1130" s="18" t="n">
        <v>163</v>
      </c>
      <c r="O1130" s="18" t="n">
        <v>0</v>
      </c>
      <c r="P1130" s="17" t="n">
        <v>45741</v>
      </c>
      <c r="Q1130" s="17" t="n">
        <v>45741</v>
      </c>
      <c r="R1130" s="17" t="n">
        <v>45741</v>
      </c>
      <c r="S1130" s="19">
        <f>H1130*I1130</f>
        <v/>
      </c>
      <c r="T1130" s="19">
        <f>H1130*J1130</f>
        <v/>
      </c>
      <c r="U1130">
        <f>IF(AND(K1130=0,G1130&lt;=Assumptions!$C$6),1,0)</f>
        <v/>
      </c>
      <c r="V1130">
        <f>IF(U1130=1,IF(M1130&gt;0,IF(P1130&lt;=G1130+Assumptions!$C$7,1,0),0),0)</f>
        <v/>
      </c>
      <c r="W1130">
        <f>IF(AND(U1130=1,M1130&gt;=H1130*(1-Assumptions!$C$8)),1,0)</f>
        <v/>
      </c>
      <c r="X1130">
        <f>IF(AND(U1130=1,N1130&gt;=H1130*(1-Assumptions!$C$8)),1,0)</f>
        <v/>
      </c>
      <c r="Y1130">
        <f>IF(ISNUMBER(Q1130),1,0)</f>
        <v/>
      </c>
      <c r="Z1130">
        <f>IF(AND(K1130=0,L1130=0,Y1130=0),1,0)</f>
        <v/>
      </c>
      <c r="AA1130">
        <f>IF(AND(Z1130=1,G1130&lt;Assumptions!$C$6),1,0)</f>
        <v/>
      </c>
      <c r="AB1130">
        <f>IF(U1130=0,"",IF(Y1130=1,MAX(0,Q1130-G1130),IF(L1130=1,MAX(0,R1130-G1130),MAX(0,Assumptions!$C$6-G1130))))</f>
        <v/>
      </c>
      <c r="AC1130">
        <f>IF(Y1130=1,Q1130-F1130,"")</f>
        <v/>
      </c>
      <c r="AD1130">
        <f>IF(Y1130=1,AC1130^2,"")</f>
        <v/>
      </c>
      <c r="AE1130" s="19">
        <f>IF(Z1130=1,(H1130-M1130)*I1130,0)</f>
        <v/>
      </c>
      <c r="AF1130">
        <f>IF(G1130&lt;EDATE(Assumptions!$C$6,-12)+1,"prior_12m","last_12m")</f>
        <v/>
      </c>
      <c r="AG1130" s="21">
        <f>DATE(YEAR(G1130),MONTH(G1130),1)</f>
        <v/>
      </c>
    </row>
    <row r="1131">
      <c r="A1131" t="inlineStr">
        <is>
          <t>SPO-00618-3</t>
        </is>
      </c>
      <c r="B1131" t="inlineStr">
        <is>
          <t>SPO-00618</t>
        </is>
      </c>
      <c r="C1131" t="inlineStr">
        <is>
          <t>SUP-01</t>
        </is>
      </c>
      <c r="D1131" t="inlineStr">
        <is>
          <t>ELEC</t>
        </is>
      </c>
      <c r="E1131" t="inlineStr">
        <is>
          <t>ELEC-02</t>
        </is>
      </c>
      <c r="F1131" s="17" t="n">
        <v>45729</v>
      </c>
      <c r="G1131" s="17" t="n">
        <v>45747</v>
      </c>
      <c r="H1131" s="18" t="n">
        <v>819</v>
      </c>
      <c r="I1131" s="19" t="n">
        <v>4.15</v>
      </c>
      <c r="J1131" s="19" t="n">
        <v>4.2</v>
      </c>
      <c r="K1131" s="20" t="n">
        <v>0</v>
      </c>
      <c r="L1131" s="20" t="n">
        <v>0</v>
      </c>
      <c r="M1131" s="18" t="n">
        <v>819</v>
      </c>
      <c r="N1131" s="18" t="n">
        <v>819</v>
      </c>
      <c r="O1131" s="18" t="n">
        <v>0</v>
      </c>
      <c r="P1131" s="17" t="n">
        <v>45742</v>
      </c>
      <c r="Q1131" s="17" t="n">
        <v>45742</v>
      </c>
      <c r="R1131" s="17" t="n">
        <v>45742</v>
      </c>
      <c r="S1131" s="19">
        <f>H1131*I1131</f>
        <v/>
      </c>
      <c r="T1131" s="19">
        <f>H1131*J1131</f>
        <v/>
      </c>
      <c r="U1131">
        <f>IF(AND(K1131=0,G1131&lt;=Assumptions!$C$6),1,0)</f>
        <v/>
      </c>
      <c r="V1131">
        <f>IF(U1131=1,IF(M1131&gt;0,IF(P1131&lt;=G1131+Assumptions!$C$7,1,0),0),0)</f>
        <v/>
      </c>
      <c r="W1131">
        <f>IF(AND(U1131=1,M1131&gt;=H1131*(1-Assumptions!$C$8)),1,0)</f>
        <v/>
      </c>
      <c r="X1131">
        <f>IF(AND(U1131=1,N1131&gt;=H1131*(1-Assumptions!$C$8)),1,0)</f>
        <v/>
      </c>
      <c r="Y1131">
        <f>IF(ISNUMBER(Q1131),1,0)</f>
        <v/>
      </c>
      <c r="Z1131">
        <f>IF(AND(K1131=0,L1131=0,Y1131=0),1,0)</f>
        <v/>
      </c>
      <c r="AA1131">
        <f>IF(AND(Z1131=1,G1131&lt;Assumptions!$C$6),1,0)</f>
        <v/>
      </c>
      <c r="AB1131">
        <f>IF(U1131=0,"",IF(Y1131=1,MAX(0,Q1131-G1131),IF(L1131=1,MAX(0,R1131-G1131),MAX(0,Assumptions!$C$6-G1131))))</f>
        <v/>
      </c>
      <c r="AC1131">
        <f>IF(Y1131=1,Q1131-F1131,"")</f>
        <v/>
      </c>
      <c r="AD1131">
        <f>IF(Y1131=1,AC1131^2,"")</f>
        <v/>
      </c>
      <c r="AE1131" s="19">
        <f>IF(Z1131=1,(H1131-M1131)*I1131,0)</f>
        <v/>
      </c>
      <c r="AF1131">
        <f>IF(G1131&lt;EDATE(Assumptions!$C$6,-12)+1,"prior_12m","last_12m")</f>
        <v/>
      </c>
      <c r="AG1131" s="21">
        <f>DATE(YEAR(G1131),MONTH(G1131),1)</f>
        <v/>
      </c>
    </row>
    <row r="1132">
      <c r="A1132" t="inlineStr">
        <is>
          <t>SPO-00618-4</t>
        </is>
      </c>
      <c r="B1132" t="inlineStr">
        <is>
          <t>SPO-00618</t>
        </is>
      </c>
      <c r="C1132" t="inlineStr">
        <is>
          <t>SUP-01</t>
        </is>
      </c>
      <c r="D1132" t="inlineStr">
        <is>
          <t>ELEC</t>
        </is>
      </c>
      <c r="E1132" t="inlineStr">
        <is>
          <t>ELEC-05</t>
        </is>
      </c>
      <c r="F1132" s="17" t="n">
        <v>45729</v>
      </c>
      <c r="G1132" s="17" t="n">
        <v>45747</v>
      </c>
      <c r="H1132" s="18" t="n">
        <v>203</v>
      </c>
      <c r="I1132" s="19" t="n">
        <v>11.95</v>
      </c>
      <c r="J1132" s="19" t="n">
        <v>11.5</v>
      </c>
      <c r="K1132" s="20" t="n">
        <v>0</v>
      </c>
      <c r="L1132" s="20" t="n">
        <v>0</v>
      </c>
      <c r="M1132" s="18" t="n">
        <v>203</v>
      </c>
      <c r="N1132" s="18" t="n">
        <v>203</v>
      </c>
      <c r="O1132" s="18" t="n">
        <v>0</v>
      </c>
      <c r="P1132" s="17" t="n">
        <v>45742</v>
      </c>
      <c r="Q1132" s="17" t="n">
        <v>45742</v>
      </c>
      <c r="R1132" s="17" t="n">
        <v>45742</v>
      </c>
      <c r="S1132" s="19">
        <f>H1132*I1132</f>
        <v/>
      </c>
      <c r="T1132" s="19">
        <f>H1132*J1132</f>
        <v/>
      </c>
      <c r="U1132">
        <f>IF(AND(K1132=0,G1132&lt;=Assumptions!$C$6),1,0)</f>
        <v/>
      </c>
      <c r="V1132">
        <f>IF(U1132=1,IF(M1132&gt;0,IF(P1132&lt;=G1132+Assumptions!$C$7,1,0),0),0)</f>
        <v/>
      </c>
      <c r="W1132">
        <f>IF(AND(U1132=1,M1132&gt;=H1132*(1-Assumptions!$C$8)),1,0)</f>
        <v/>
      </c>
      <c r="X1132">
        <f>IF(AND(U1132=1,N1132&gt;=H1132*(1-Assumptions!$C$8)),1,0)</f>
        <v/>
      </c>
      <c r="Y1132">
        <f>IF(ISNUMBER(Q1132),1,0)</f>
        <v/>
      </c>
      <c r="Z1132">
        <f>IF(AND(K1132=0,L1132=0,Y1132=0),1,0)</f>
        <v/>
      </c>
      <c r="AA1132">
        <f>IF(AND(Z1132=1,G1132&lt;Assumptions!$C$6),1,0)</f>
        <v/>
      </c>
      <c r="AB1132">
        <f>IF(U1132=0,"",IF(Y1132=1,MAX(0,Q1132-G1132),IF(L1132=1,MAX(0,R1132-G1132),MAX(0,Assumptions!$C$6-G1132))))</f>
        <v/>
      </c>
      <c r="AC1132">
        <f>IF(Y1132=1,Q1132-F1132,"")</f>
        <v/>
      </c>
      <c r="AD1132">
        <f>IF(Y1132=1,AC1132^2,"")</f>
        <v/>
      </c>
      <c r="AE1132" s="19">
        <f>IF(Z1132=1,(H1132-M1132)*I1132,0)</f>
        <v/>
      </c>
      <c r="AF1132">
        <f>IF(G1132&lt;EDATE(Assumptions!$C$6,-12)+1,"prior_12m","last_12m")</f>
        <v/>
      </c>
      <c r="AG1132" s="21">
        <f>DATE(YEAR(G1132),MONTH(G1132),1)</f>
        <v/>
      </c>
    </row>
    <row r="1133">
      <c r="A1133" t="inlineStr">
        <is>
          <t>SPO-00619-1</t>
        </is>
      </c>
      <c r="B1133" t="inlineStr">
        <is>
          <t>SPO-00619</t>
        </is>
      </c>
      <c r="C1133" t="inlineStr">
        <is>
          <t>SUP-11</t>
        </is>
      </c>
      <c r="D1133" t="inlineStr">
        <is>
          <t>PPE</t>
        </is>
      </c>
      <c r="E1133" t="inlineStr">
        <is>
          <t>PPE-08</t>
        </is>
      </c>
      <c r="F1133" s="17" t="n">
        <v>45730</v>
      </c>
      <c r="G1133" s="17" t="n">
        <v>45742</v>
      </c>
      <c r="H1133" s="18" t="n">
        <v>29</v>
      </c>
      <c r="I1133" s="19" t="n">
        <v>62.6</v>
      </c>
      <c r="J1133" s="19" t="n">
        <v>64</v>
      </c>
      <c r="K1133" s="20" t="n">
        <v>0</v>
      </c>
      <c r="L1133" s="20" t="n">
        <v>0</v>
      </c>
      <c r="M1133" s="18" t="n">
        <v>29</v>
      </c>
      <c r="N1133" s="18" t="n">
        <v>29</v>
      </c>
      <c r="O1133" s="18" t="n">
        <v>0</v>
      </c>
      <c r="P1133" s="17" t="n">
        <v>45739</v>
      </c>
      <c r="Q1133" s="17" t="n">
        <v>45739</v>
      </c>
      <c r="R1133" s="17" t="n">
        <v>45739</v>
      </c>
      <c r="S1133" s="19">
        <f>H1133*I1133</f>
        <v/>
      </c>
      <c r="T1133" s="19">
        <f>H1133*J1133</f>
        <v/>
      </c>
      <c r="U1133">
        <f>IF(AND(K1133=0,G1133&lt;=Assumptions!$C$6),1,0)</f>
        <v/>
      </c>
      <c r="V1133">
        <f>IF(U1133=1,IF(M1133&gt;0,IF(P1133&lt;=G1133+Assumptions!$C$7,1,0),0),0)</f>
        <v/>
      </c>
      <c r="W1133">
        <f>IF(AND(U1133=1,M1133&gt;=H1133*(1-Assumptions!$C$8)),1,0)</f>
        <v/>
      </c>
      <c r="X1133">
        <f>IF(AND(U1133=1,N1133&gt;=H1133*(1-Assumptions!$C$8)),1,0)</f>
        <v/>
      </c>
      <c r="Y1133">
        <f>IF(ISNUMBER(Q1133),1,0)</f>
        <v/>
      </c>
      <c r="Z1133">
        <f>IF(AND(K1133=0,L1133=0,Y1133=0),1,0)</f>
        <v/>
      </c>
      <c r="AA1133">
        <f>IF(AND(Z1133=1,G1133&lt;Assumptions!$C$6),1,0)</f>
        <v/>
      </c>
      <c r="AB1133">
        <f>IF(U1133=0,"",IF(Y1133=1,MAX(0,Q1133-G1133),IF(L1133=1,MAX(0,R1133-G1133),MAX(0,Assumptions!$C$6-G1133))))</f>
        <v/>
      </c>
      <c r="AC1133">
        <f>IF(Y1133=1,Q1133-F1133,"")</f>
        <v/>
      </c>
      <c r="AD1133">
        <f>IF(Y1133=1,AC1133^2,"")</f>
        <v/>
      </c>
      <c r="AE1133" s="19">
        <f>IF(Z1133=1,(H1133-M1133)*I1133,0)</f>
        <v/>
      </c>
      <c r="AF1133">
        <f>IF(G1133&lt;EDATE(Assumptions!$C$6,-12)+1,"prior_12m","last_12m")</f>
        <v/>
      </c>
      <c r="AG1133" s="21">
        <f>DATE(YEAR(G1133),MONTH(G1133),1)</f>
        <v/>
      </c>
    </row>
    <row r="1134">
      <c r="A1134" t="inlineStr">
        <is>
          <t>SPO-00620-1</t>
        </is>
      </c>
      <c r="B1134" t="inlineStr">
        <is>
          <t>SPO-00620</t>
        </is>
      </c>
      <c r="C1134" t="inlineStr">
        <is>
          <t>SUP-02</t>
        </is>
      </c>
      <c r="D1134" t="inlineStr">
        <is>
          <t>ELEC</t>
        </is>
      </c>
      <c r="E1134" t="inlineStr">
        <is>
          <t>ELEC-06</t>
        </is>
      </c>
      <c r="F1134" s="17" t="n">
        <v>45730</v>
      </c>
      <c r="G1134" s="17" t="n">
        <v>45746</v>
      </c>
      <c r="H1134" s="18" t="n">
        <v>5</v>
      </c>
      <c r="I1134" s="19" t="n">
        <v>146.56</v>
      </c>
      <c r="J1134" s="19" t="n">
        <v>145</v>
      </c>
      <c r="K1134" s="20" t="n">
        <v>0</v>
      </c>
      <c r="L1134" s="20" t="n">
        <v>0</v>
      </c>
      <c r="M1134" s="18" t="n">
        <v>5</v>
      </c>
      <c r="N1134" s="18" t="n">
        <v>5</v>
      </c>
      <c r="O1134" s="18" t="n">
        <v>0</v>
      </c>
      <c r="P1134" s="17" t="n">
        <v>45741</v>
      </c>
      <c r="Q1134" s="17" t="n">
        <v>45741</v>
      </c>
      <c r="R1134" s="17" t="n">
        <v>45741</v>
      </c>
      <c r="S1134" s="19">
        <f>H1134*I1134</f>
        <v/>
      </c>
      <c r="T1134" s="19">
        <f>H1134*J1134</f>
        <v/>
      </c>
      <c r="U1134">
        <f>IF(AND(K1134=0,G1134&lt;=Assumptions!$C$6),1,0)</f>
        <v/>
      </c>
      <c r="V1134">
        <f>IF(U1134=1,IF(M1134&gt;0,IF(P1134&lt;=G1134+Assumptions!$C$7,1,0),0),0)</f>
        <v/>
      </c>
      <c r="W1134">
        <f>IF(AND(U1134=1,M1134&gt;=H1134*(1-Assumptions!$C$8)),1,0)</f>
        <v/>
      </c>
      <c r="X1134">
        <f>IF(AND(U1134=1,N1134&gt;=H1134*(1-Assumptions!$C$8)),1,0)</f>
        <v/>
      </c>
      <c r="Y1134">
        <f>IF(ISNUMBER(Q1134),1,0)</f>
        <v/>
      </c>
      <c r="Z1134">
        <f>IF(AND(K1134=0,L1134=0,Y1134=0),1,0)</f>
        <v/>
      </c>
      <c r="AA1134">
        <f>IF(AND(Z1134=1,G1134&lt;Assumptions!$C$6),1,0)</f>
        <v/>
      </c>
      <c r="AB1134">
        <f>IF(U1134=0,"",IF(Y1134=1,MAX(0,Q1134-G1134),IF(L1134=1,MAX(0,R1134-G1134),MAX(0,Assumptions!$C$6-G1134))))</f>
        <v/>
      </c>
      <c r="AC1134">
        <f>IF(Y1134=1,Q1134-F1134,"")</f>
        <v/>
      </c>
      <c r="AD1134">
        <f>IF(Y1134=1,AC1134^2,"")</f>
        <v/>
      </c>
      <c r="AE1134" s="19">
        <f>IF(Z1134=1,(H1134-M1134)*I1134,0)</f>
        <v/>
      </c>
      <c r="AF1134">
        <f>IF(G1134&lt;EDATE(Assumptions!$C$6,-12)+1,"prior_12m","last_12m")</f>
        <v/>
      </c>
      <c r="AG1134" s="21">
        <f>DATE(YEAR(G1134),MONTH(G1134),1)</f>
        <v/>
      </c>
    </row>
    <row r="1135">
      <c r="A1135" t="inlineStr">
        <is>
          <t>SPO-00620-2</t>
        </is>
      </c>
      <c r="B1135" t="inlineStr">
        <is>
          <t>SPO-00620</t>
        </is>
      </c>
      <c r="C1135" t="inlineStr">
        <is>
          <t>SUP-02</t>
        </is>
      </c>
      <c r="D1135" t="inlineStr">
        <is>
          <t>ELEC</t>
        </is>
      </c>
      <c r="E1135" t="inlineStr">
        <is>
          <t>ELEC-02</t>
        </is>
      </c>
      <c r="F1135" s="17" t="n">
        <v>45730</v>
      </c>
      <c r="G1135" s="17" t="n">
        <v>45746</v>
      </c>
      <c r="H1135" s="18" t="n">
        <v>322</v>
      </c>
      <c r="I1135" s="19" t="n">
        <v>3.93</v>
      </c>
      <c r="J1135" s="19" t="n">
        <v>4.2</v>
      </c>
      <c r="K1135" s="20" t="n">
        <v>0</v>
      </c>
      <c r="L1135" s="20" t="n">
        <v>0</v>
      </c>
      <c r="M1135" s="18" t="n">
        <v>322</v>
      </c>
      <c r="N1135" s="18" t="n">
        <v>322</v>
      </c>
      <c r="O1135" s="18" t="n">
        <v>0</v>
      </c>
      <c r="P1135" s="17" t="n">
        <v>45740</v>
      </c>
      <c r="Q1135" s="17" t="n">
        <v>45740</v>
      </c>
      <c r="R1135" s="17" t="n">
        <v>45740</v>
      </c>
      <c r="S1135" s="19">
        <f>H1135*I1135</f>
        <v/>
      </c>
      <c r="T1135" s="19">
        <f>H1135*J1135</f>
        <v/>
      </c>
      <c r="U1135">
        <f>IF(AND(K1135=0,G1135&lt;=Assumptions!$C$6),1,0)</f>
        <v/>
      </c>
      <c r="V1135">
        <f>IF(U1135=1,IF(M1135&gt;0,IF(P1135&lt;=G1135+Assumptions!$C$7,1,0),0),0)</f>
        <v/>
      </c>
      <c r="W1135">
        <f>IF(AND(U1135=1,M1135&gt;=H1135*(1-Assumptions!$C$8)),1,0)</f>
        <v/>
      </c>
      <c r="X1135">
        <f>IF(AND(U1135=1,N1135&gt;=H1135*(1-Assumptions!$C$8)),1,0)</f>
        <v/>
      </c>
      <c r="Y1135">
        <f>IF(ISNUMBER(Q1135),1,0)</f>
        <v/>
      </c>
      <c r="Z1135">
        <f>IF(AND(K1135=0,L1135=0,Y1135=0),1,0)</f>
        <v/>
      </c>
      <c r="AA1135">
        <f>IF(AND(Z1135=1,G1135&lt;Assumptions!$C$6),1,0)</f>
        <v/>
      </c>
      <c r="AB1135">
        <f>IF(U1135=0,"",IF(Y1135=1,MAX(0,Q1135-G1135),IF(L1135=1,MAX(0,R1135-G1135),MAX(0,Assumptions!$C$6-G1135))))</f>
        <v/>
      </c>
      <c r="AC1135">
        <f>IF(Y1135=1,Q1135-F1135,"")</f>
        <v/>
      </c>
      <c r="AD1135">
        <f>IF(Y1135=1,AC1135^2,"")</f>
        <v/>
      </c>
      <c r="AE1135" s="19">
        <f>IF(Z1135=1,(H1135-M1135)*I1135,0)</f>
        <v/>
      </c>
      <c r="AF1135">
        <f>IF(G1135&lt;EDATE(Assumptions!$C$6,-12)+1,"prior_12m","last_12m")</f>
        <v/>
      </c>
      <c r="AG1135" s="21">
        <f>DATE(YEAR(G1135),MONTH(G1135),1)</f>
        <v/>
      </c>
    </row>
    <row r="1136">
      <c r="A1136" t="inlineStr">
        <is>
          <t>SPO-00621-1</t>
        </is>
      </c>
      <c r="B1136" t="inlineStr">
        <is>
          <t>SPO-00621</t>
        </is>
      </c>
      <c r="C1136" t="inlineStr">
        <is>
          <t>SUP-09</t>
        </is>
      </c>
      <c r="D1136" t="inlineStr">
        <is>
          <t>CHEM</t>
        </is>
      </c>
      <c r="E1136" t="inlineStr">
        <is>
          <t>CHEM-05</t>
        </is>
      </c>
      <c r="F1136" s="17" t="n">
        <v>45730</v>
      </c>
      <c r="G1136" s="17" t="n">
        <v>45744</v>
      </c>
      <c r="H1136" s="18" t="n">
        <v>1</v>
      </c>
      <c r="I1136" s="19" t="n">
        <v>920.71</v>
      </c>
      <c r="J1136" s="19" t="n">
        <v>930</v>
      </c>
      <c r="K1136" s="20" t="n">
        <v>0</v>
      </c>
      <c r="L1136" s="20" t="n">
        <v>0</v>
      </c>
      <c r="M1136" s="18" t="n">
        <v>1</v>
      </c>
      <c r="N1136" s="18" t="n">
        <v>1</v>
      </c>
      <c r="O1136" s="18" t="n">
        <v>0</v>
      </c>
      <c r="P1136" s="17" t="n">
        <v>45743</v>
      </c>
      <c r="Q1136" s="17" t="n">
        <v>45743</v>
      </c>
      <c r="R1136" s="17" t="n">
        <v>45743</v>
      </c>
      <c r="S1136" s="19">
        <f>H1136*I1136</f>
        <v/>
      </c>
      <c r="T1136" s="19">
        <f>H1136*J1136</f>
        <v/>
      </c>
      <c r="U1136">
        <f>IF(AND(K1136=0,G1136&lt;=Assumptions!$C$6),1,0)</f>
        <v/>
      </c>
      <c r="V1136">
        <f>IF(U1136=1,IF(M1136&gt;0,IF(P1136&lt;=G1136+Assumptions!$C$7,1,0),0),0)</f>
        <v/>
      </c>
      <c r="W1136">
        <f>IF(AND(U1136=1,M1136&gt;=H1136*(1-Assumptions!$C$8)),1,0)</f>
        <v/>
      </c>
      <c r="X1136">
        <f>IF(AND(U1136=1,N1136&gt;=H1136*(1-Assumptions!$C$8)),1,0)</f>
        <v/>
      </c>
      <c r="Y1136">
        <f>IF(ISNUMBER(Q1136),1,0)</f>
        <v/>
      </c>
      <c r="Z1136">
        <f>IF(AND(K1136=0,L1136=0,Y1136=0),1,0)</f>
        <v/>
      </c>
      <c r="AA1136">
        <f>IF(AND(Z1136=1,G1136&lt;Assumptions!$C$6),1,0)</f>
        <v/>
      </c>
      <c r="AB1136">
        <f>IF(U1136=0,"",IF(Y1136=1,MAX(0,Q1136-G1136),IF(L1136=1,MAX(0,R1136-G1136),MAX(0,Assumptions!$C$6-G1136))))</f>
        <v/>
      </c>
      <c r="AC1136">
        <f>IF(Y1136=1,Q1136-F1136,"")</f>
        <v/>
      </c>
      <c r="AD1136">
        <f>IF(Y1136=1,AC1136^2,"")</f>
        <v/>
      </c>
      <c r="AE1136" s="19">
        <f>IF(Z1136=1,(H1136-M1136)*I1136,0)</f>
        <v/>
      </c>
      <c r="AF1136">
        <f>IF(G1136&lt;EDATE(Assumptions!$C$6,-12)+1,"prior_12m","last_12m")</f>
        <v/>
      </c>
      <c r="AG1136" s="21">
        <f>DATE(YEAR(G1136),MONTH(G1136),1)</f>
        <v/>
      </c>
    </row>
    <row r="1137">
      <c r="A1137" t="inlineStr">
        <is>
          <t>SPO-00622-1</t>
        </is>
      </c>
      <c r="B1137" t="inlineStr">
        <is>
          <t>SPO-00622</t>
        </is>
      </c>
      <c r="C1137" t="inlineStr">
        <is>
          <t>SUP-05</t>
        </is>
      </c>
      <c r="D1137" t="inlineStr">
        <is>
          <t>FLEET</t>
        </is>
      </c>
      <c r="E1137" t="inlineStr">
        <is>
          <t>FLEET-03</t>
        </is>
      </c>
      <c r="F1137" s="17" t="n">
        <v>45730</v>
      </c>
      <c r="G1137" s="17" t="n">
        <v>45744</v>
      </c>
      <c r="H1137" s="18" t="n">
        <v>164</v>
      </c>
      <c r="I1137" s="19" t="n">
        <v>21.29</v>
      </c>
      <c r="J1137" s="19" t="n">
        <v>21</v>
      </c>
      <c r="K1137" s="20" t="n">
        <v>0</v>
      </c>
      <c r="L1137" s="20" t="n">
        <v>0</v>
      </c>
      <c r="M1137" s="18" t="n">
        <v>164</v>
      </c>
      <c r="N1137" s="18" t="n">
        <v>164</v>
      </c>
      <c r="O1137" s="18" t="n">
        <v>0</v>
      </c>
      <c r="P1137" s="17" t="n">
        <v>45740</v>
      </c>
      <c r="Q1137" s="17" t="n">
        <v>45740</v>
      </c>
      <c r="R1137" s="17" t="n">
        <v>45740</v>
      </c>
      <c r="S1137" s="19">
        <f>H1137*I1137</f>
        <v/>
      </c>
      <c r="T1137" s="19">
        <f>H1137*J1137</f>
        <v/>
      </c>
      <c r="U1137">
        <f>IF(AND(K1137=0,G1137&lt;=Assumptions!$C$6),1,0)</f>
        <v/>
      </c>
      <c r="V1137">
        <f>IF(U1137=1,IF(M1137&gt;0,IF(P1137&lt;=G1137+Assumptions!$C$7,1,0),0),0)</f>
        <v/>
      </c>
      <c r="W1137">
        <f>IF(AND(U1137=1,M1137&gt;=H1137*(1-Assumptions!$C$8)),1,0)</f>
        <v/>
      </c>
      <c r="X1137">
        <f>IF(AND(U1137=1,N1137&gt;=H1137*(1-Assumptions!$C$8)),1,0)</f>
        <v/>
      </c>
      <c r="Y1137">
        <f>IF(ISNUMBER(Q1137),1,0)</f>
        <v/>
      </c>
      <c r="Z1137">
        <f>IF(AND(K1137=0,L1137=0,Y1137=0),1,0)</f>
        <v/>
      </c>
      <c r="AA1137">
        <f>IF(AND(Z1137=1,G1137&lt;Assumptions!$C$6),1,0)</f>
        <v/>
      </c>
      <c r="AB1137">
        <f>IF(U1137=0,"",IF(Y1137=1,MAX(0,Q1137-G1137),IF(L1137=1,MAX(0,R1137-G1137),MAX(0,Assumptions!$C$6-G1137))))</f>
        <v/>
      </c>
      <c r="AC1137">
        <f>IF(Y1137=1,Q1137-F1137,"")</f>
        <v/>
      </c>
      <c r="AD1137">
        <f>IF(Y1137=1,AC1137^2,"")</f>
        <v/>
      </c>
      <c r="AE1137" s="19">
        <f>IF(Z1137=1,(H1137-M1137)*I1137,0)</f>
        <v/>
      </c>
      <c r="AF1137">
        <f>IF(G1137&lt;EDATE(Assumptions!$C$6,-12)+1,"prior_12m","last_12m")</f>
        <v/>
      </c>
      <c r="AG1137" s="21">
        <f>DATE(YEAR(G1137),MONTH(G1137),1)</f>
        <v/>
      </c>
    </row>
    <row r="1138">
      <c r="A1138" t="inlineStr">
        <is>
          <t>SPO-00622-2</t>
        </is>
      </c>
      <c r="B1138" t="inlineStr">
        <is>
          <t>SPO-00622</t>
        </is>
      </c>
      <c r="C1138" t="inlineStr">
        <is>
          <t>SUP-05</t>
        </is>
      </c>
      <c r="D1138" t="inlineStr">
        <is>
          <t>FLEET</t>
        </is>
      </c>
      <c r="E1138" t="inlineStr">
        <is>
          <t>FLEET-02</t>
        </is>
      </c>
      <c r="F1138" s="17" t="n">
        <v>45730</v>
      </c>
      <c r="G1138" s="17" t="n">
        <v>45744</v>
      </c>
      <c r="H1138" s="18" t="n">
        <v>104</v>
      </c>
      <c r="I1138" s="19" t="n">
        <v>7.75</v>
      </c>
      <c r="J1138" s="19" t="n">
        <v>7.5</v>
      </c>
      <c r="K1138" s="20" t="n">
        <v>0</v>
      </c>
      <c r="L1138" s="20" t="n">
        <v>0</v>
      </c>
      <c r="M1138" s="18" t="n">
        <v>104</v>
      </c>
      <c r="N1138" s="18" t="n">
        <v>104</v>
      </c>
      <c r="O1138" s="18" t="n">
        <v>0</v>
      </c>
      <c r="P1138" s="17" t="n">
        <v>45744</v>
      </c>
      <c r="Q1138" s="17" t="n">
        <v>45744</v>
      </c>
      <c r="R1138" s="17" t="n">
        <v>45744</v>
      </c>
      <c r="S1138" s="19">
        <f>H1138*I1138</f>
        <v/>
      </c>
      <c r="T1138" s="19">
        <f>H1138*J1138</f>
        <v/>
      </c>
      <c r="U1138">
        <f>IF(AND(K1138=0,G1138&lt;=Assumptions!$C$6),1,0)</f>
        <v/>
      </c>
      <c r="V1138">
        <f>IF(U1138=1,IF(M1138&gt;0,IF(P1138&lt;=G1138+Assumptions!$C$7,1,0),0),0)</f>
        <v/>
      </c>
      <c r="W1138">
        <f>IF(AND(U1138=1,M1138&gt;=H1138*(1-Assumptions!$C$8)),1,0)</f>
        <v/>
      </c>
      <c r="X1138">
        <f>IF(AND(U1138=1,N1138&gt;=H1138*(1-Assumptions!$C$8)),1,0)</f>
        <v/>
      </c>
      <c r="Y1138">
        <f>IF(ISNUMBER(Q1138),1,0)</f>
        <v/>
      </c>
      <c r="Z1138">
        <f>IF(AND(K1138=0,L1138=0,Y1138=0),1,0)</f>
        <v/>
      </c>
      <c r="AA1138">
        <f>IF(AND(Z1138=1,G1138&lt;Assumptions!$C$6),1,0)</f>
        <v/>
      </c>
      <c r="AB1138">
        <f>IF(U1138=0,"",IF(Y1138=1,MAX(0,Q1138-G1138),IF(L1138=1,MAX(0,R1138-G1138),MAX(0,Assumptions!$C$6-G1138))))</f>
        <v/>
      </c>
      <c r="AC1138">
        <f>IF(Y1138=1,Q1138-F1138,"")</f>
        <v/>
      </c>
      <c r="AD1138">
        <f>IF(Y1138=1,AC1138^2,"")</f>
        <v/>
      </c>
      <c r="AE1138" s="19">
        <f>IF(Z1138=1,(H1138-M1138)*I1138,0)</f>
        <v/>
      </c>
      <c r="AF1138">
        <f>IF(G1138&lt;EDATE(Assumptions!$C$6,-12)+1,"prior_12m","last_12m")</f>
        <v/>
      </c>
      <c r="AG1138" s="21">
        <f>DATE(YEAR(G1138),MONTH(G1138),1)</f>
        <v/>
      </c>
    </row>
    <row r="1139">
      <c r="A1139" t="inlineStr">
        <is>
          <t>SPO-00623-1</t>
        </is>
      </c>
      <c r="B1139" t="inlineStr">
        <is>
          <t>SPO-00623</t>
        </is>
      </c>
      <c r="C1139" t="inlineStr">
        <is>
          <t>SUP-05</t>
        </is>
      </c>
      <c r="D1139" t="inlineStr">
        <is>
          <t>FLEET</t>
        </is>
      </c>
      <c r="E1139" t="inlineStr">
        <is>
          <t>FLEET-08</t>
        </is>
      </c>
      <c r="F1139" s="17" t="n">
        <v>45730</v>
      </c>
      <c r="G1139" s="17" t="n">
        <v>45744</v>
      </c>
      <c r="H1139" s="18" t="n">
        <v>408</v>
      </c>
      <c r="I1139" s="19" t="n">
        <v>6.26</v>
      </c>
      <c r="J1139" s="19" t="n">
        <v>6.4</v>
      </c>
      <c r="K1139" s="20" t="n">
        <v>0</v>
      </c>
      <c r="L1139" s="20" t="n">
        <v>0</v>
      </c>
      <c r="M1139" s="18" t="n">
        <v>408</v>
      </c>
      <c r="N1139" s="18" t="n">
        <v>408</v>
      </c>
      <c r="O1139" s="18" t="n">
        <v>0</v>
      </c>
      <c r="P1139" s="17" t="n">
        <v>45741</v>
      </c>
      <c r="Q1139" s="17" t="n">
        <v>45741</v>
      </c>
      <c r="R1139" s="17" t="n">
        <v>45741</v>
      </c>
      <c r="S1139" s="19">
        <f>H1139*I1139</f>
        <v/>
      </c>
      <c r="T1139" s="19">
        <f>H1139*J1139</f>
        <v/>
      </c>
      <c r="U1139">
        <f>IF(AND(K1139=0,G1139&lt;=Assumptions!$C$6),1,0)</f>
        <v/>
      </c>
      <c r="V1139">
        <f>IF(U1139=1,IF(M1139&gt;0,IF(P1139&lt;=G1139+Assumptions!$C$7,1,0),0),0)</f>
        <v/>
      </c>
      <c r="W1139">
        <f>IF(AND(U1139=1,M1139&gt;=H1139*(1-Assumptions!$C$8)),1,0)</f>
        <v/>
      </c>
      <c r="X1139">
        <f>IF(AND(U1139=1,N1139&gt;=H1139*(1-Assumptions!$C$8)),1,0)</f>
        <v/>
      </c>
      <c r="Y1139">
        <f>IF(ISNUMBER(Q1139),1,0)</f>
        <v/>
      </c>
      <c r="Z1139">
        <f>IF(AND(K1139=0,L1139=0,Y1139=0),1,0)</f>
        <v/>
      </c>
      <c r="AA1139">
        <f>IF(AND(Z1139=1,G1139&lt;Assumptions!$C$6),1,0)</f>
        <v/>
      </c>
      <c r="AB1139">
        <f>IF(U1139=0,"",IF(Y1139=1,MAX(0,Q1139-G1139),IF(L1139=1,MAX(0,R1139-G1139),MAX(0,Assumptions!$C$6-G1139))))</f>
        <v/>
      </c>
      <c r="AC1139">
        <f>IF(Y1139=1,Q1139-F1139,"")</f>
        <v/>
      </c>
      <c r="AD1139">
        <f>IF(Y1139=1,AC1139^2,"")</f>
        <v/>
      </c>
      <c r="AE1139" s="19">
        <f>IF(Z1139=1,(H1139-M1139)*I1139,0)</f>
        <v/>
      </c>
      <c r="AF1139">
        <f>IF(G1139&lt;EDATE(Assumptions!$C$6,-12)+1,"prior_12m","last_12m")</f>
        <v/>
      </c>
      <c r="AG1139" s="21">
        <f>DATE(YEAR(G1139),MONTH(G1139),1)</f>
        <v/>
      </c>
    </row>
    <row r="1140">
      <c r="A1140" t="inlineStr">
        <is>
          <t>SPO-00624-1</t>
        </is>
      </c>
      <c r="B1140" t="inlineStr">
        <is>
          <t>SPO-00624</t>
        </is>
      </c>
      <c r="C1140" t="inlineStr">
        <is>
          <t>SUP-10</t>
        </is>
      </c>
      <c r="D1140" t="inlineStr">
        <is>
          <t>PPE</t>
        </is>
      </c>
      <c r="E1140" t="inlineStr">
        <is>
          <t>PPE-02</t>
        </is>
      </c>
      <c r="F1140" s="17" t="n">
        <v>45730</v>
      </c>
      <c r="G1140" s="17" t="n">
        <v>45743</v>
      </c>
      <c r="H1140" s="18" t="n">
        <v>60</v>
      </c>
      <c r="I1140" s="19" t="n">
        <v>12.54</v>
      </c>
      <c r="J1140" s="19" t="n">
        <v>12.5</v>
      </c>
      <c r="K1140" s="20" t="n">
        <v>0</v>
      </c>
      <c r="L1140" s="20" t="n">
        <v>0</v>
      </c>
      <c r="M1140" s="18" t="n">
        <v>60</v>
      </c>
      <c r="N1140" s="18" t="n">
        <v>60</v>
      </c>
      <c r="O1140" s="18" t="n">
        <v>0</v>
      </c>
      <c r="P1140" s="17" t="n">
        <v>45739</v>
      </c>
      <c r="Q1140" s="17" t="n">
        <v>45739</v>
      </c>
      <c r="R1140" s="17" t="n">
        <v>45739</v>
      </c>
      <c r="S1140" s="19">
        <f>H1140*I1140</f>
        <v/>
      </c>
      <c r="T1140" s="19">
        <f>H1140*J1140</f>
        <v/>
      </c>
      <c r="U1140">
        <f>IF(AND(K1140=0,G1140&lt;=Assumptions!$C$6),1,0)</f>
        <v/>
      </c>
      <c r="V1140">
        <f>IF(U1140=1,IF(M1140&gt;0,IF(P1140&lt;=G1140+Assumptions!$C$7,1,0),0),0)</f>
        <v/>
      </c>
      <c r="W1140">
        <f>IF(AND(U1140=1,M1140&gt;=H1140*(1-Assumptions!$C$8)),1,0)</f>
        <v/>
      </c>
      <c r="X1140">
        <f>IF(AND(U1140=1,N1140&gt;=H1140*(1-Assumptions!$C$8)),1,0)</f>
        <v/>
      </c>
      <c r="Y1140">
        <f>IF(ISNUMBER(Q1140),1,0)</f>
        <v/>
      </c>
      <c r="Z1140">
        <f>IF(AND(K1140=0,L1140=0,Y1140=0),1,0)</f>
        <v/>
      </c>
      <c r="AA1140">
        <f>IF(AND(Z1140=1,G1140&lt;Assumptions!$C$6),1,0)</f>
        <v/>
      </c>
      <c r="AB1140">
        <f>IF(U1140=0,"",IF(Y1140=1,MAX(0,Q1140-G1140),IF(L1140=1,MAX(0,R1140-G1140),MAX(0,Assumptions!$C$6-G1140))))</f>
        <v/>
      </c>
      <c r="AC1140">
        <f>IF(Y1140=1,Q1140-F1140,"")</f>
        <v/>
      </c>
      <c r="AD1140">
        <f>IF(Y1140=1,AC1140^2,"")</f>
        <v/>
      </c>
      <c r="AE1140" s="19">
        <f>IF(Z1140=1,(H1140-M1140)*I1140,0)</f>
        <v/>
      </c>
      <c r="AF1140">
        <f>IF(G1140&lt;EDATE(Assumptions!$C$6,-12)+1,"prior_12m","last_12m")</f>
        <v/>
      </c>
      <c r="AG1140" s="21">
        <f>DATE(YEAR(G1140),MONTH(G1140),1)</f>
        <v/>
      </c>
    </row>
    <row r="1141">
      <c r="A1141" t="inlineStr">
        <is>
          <t>SPO-00625-1</t>
        </is>
      </c>
      <c r="B1141" t="inlineStr">
        <is>
          <t>SPO-00625</t>
        </is>
      </c>
      <c r="C1141" t="inlineStr">
        <is>
          <t>SUP-05</t>
        </is>
      </c>
      <c r="D1141" t="inlineStr">
        <is>
          <t>FLEET</t>
        </is>
      </c>
      <c r="E1141" t="inlineStr">
        <is>
          <t>FLEET-07</t>
        </is>
      </c>
      <c r="F1141" s="17" t="n">
        <v>45732</v>
      </c>
      <c r="G1141" s="17" t="n">
        <v>45746</v>
      </c>
      <c r="H1141" s="18" t="n">
        <v>9</v>
      </c>
      <c r="I1141" s="19" t="n">
        <v>120.77</v>
      </c>
      <c r="J1141" s="19" t="n">
        <v>118</v>
      </c>
      <c r="K1141" s="20" t="n">
        <v>0</v>
      </c>
      <c r="L1141" s="20" t="n">
        <v>0</v>
      </c>
      <c r="M1141" s="18" t="n">
        <v>9</v>
      </c>
      <c r="N1141" s="18" t="n">
        <v>9</v>
      </c>
      <c r="O1141" s="18" t="n">
        <v>0</v>
      </c>
      <c r="P1141" s="17" t="n">
        <v>45743</v>
      </c>
      <c r="Q1141" s="17" t="n">
        <v>45743</v>
      </c>
      <c r="R1141" s="17" t="n">
        <v>45743</v>
      </c>
      <c r="S1141" s="19">
        <f>H1141*I1141</f>
        <v/>
      </c>
      <c r="T1141" s="19">
        <f>H1141*J1141</f>
        <v/>
      </c>
      <c r="U1141">
        <f>IF(AND(K1141=0,G1141&lt;=Assumptions!$C$6),1,0)</f>
        <v/>
      </c>
      <c r="V1141">
        <f>IF(U1141=1,IF(M1141&gt;0,IF(P1141&lt;=G1141+Assumptions!$C$7,1,0),0),0)</f>
        <v/>
      </c>
      <c r="W1141">
        <f>IF(AND(U1141=1,M1141&gt;=H1141*(1-Assumptions!$C$8)),1,0)</f>
        <v/>
      </c>
      <c r="X1141">
        <f>IF(AND(U1141=1,N1141&gt;=H1141*(1-Assumptions!$C$8)),1,0)</f>
        <v/>
      </c>
      <c r="Y1141">
        <f>IF(ISNUMBER(Q1141),1,0)</f>
        <v/>
      </c>
      <c r="Z1141">
        <f>IF(AND(K1141=0,L1141=0,Y1141=0),1,0)</f>
        <v/>
      </c>
      <c r="AA1141">
        <f>IF(AND(Z1141=1,G1141&lt;Assumptions!$C$6),1,0)</f>
        <v/>
      </c>
      <c r="AB1141">
        <f>IF(U1141=0,"",IF(Y1141=1,MAX(0,Q1141-G1141),IF(L1141=1,MAX(0,R1141-G1141),MAX(0,Assumptions!$C$6-G1141))))</f>
        <v/>
      </c>
      <c r="AC1141">
        <f>IF(Y1141=1,Q1141-F1141,"")</f>
        <v/>
      </c>
      <c r="AD1141">
        <f>IF(Y1141=1,AC1141^2,"")</f>
        <v/>
      </c>
      <c r="AE1141" s="19">
        <f>IF(Z1141=1,(H1141-M1141)*I1141,0)</f>
        <v/>
      </c>
      <c r="AF1141">
        <f>IF(G1141&lt;EDATE(Assumptions!$C$6,-12)+1,"prior_12m","last_12m")</f>
        <v/>
      </c>
      <c r="AG1141" s="21">
        <f>DATE(YEAR(G1141),MONTH(G1141),1)</f>
        <v/>
      </c>
    </row>
    <row r="1142">
      <c r="A1142" t="inlineStr">
        <is>
          <t>SPO-00625-2</t>
        </is>
      </c>
      <c r="B1142" t="inlineStr">
        <is>
          <t>SPO-00625</t>
        </is>
      </c>
      <c r="C1142" t="inlineStr">
        <is>
          <t>SUP-05</t>
        </is>
      </c>
      <c r="D1142" t="inlineStr">
        <is>
          <t>FLEET</t>
        </is>
      </c>
      <c r="E1142" t="inlineStr">
        <is>
          <t>FLEET-06</t>
        </is>
      </c>
      <c r="F1142" s="17" t="n">
        <v>45732</v>
      </c>
      <c r="G1142" s="17" t="n">
        <v>45746</v>
      </c>
      <c r="H1142" s="18" t="n">
        <v>38</v>
      </c>
      <c r="I1142" s="19" t="n">
        <v>31.96</v>
      </c>
      <c r="J1142" s="19" t="n">
        <v>33</v>
      </c>
      <c r="K1142" s="20" t="n">
        <v>0</v>
      </c>
      <c r="L1142" s="20" t="n">
        <v>0</v>
      </c>
      <c r="M1142" s="18" t="n">
        <v>38</v>
      </c>
      <c r="N1142" s="18" t="n">
        <v>0</v>
      </c>
      <c r="O1142" s="18" t="n">
        <v>0</v>
      </c>
      <c r="P1142" s="17" t="n">
        <v>45747</v>
      </c>
      <c r="Q1142" s="17" t="n">
        <v>45747</v>
      </c>
      <c r="R1142" s="17" t="n">
        <v>45747</v>
      </c>
      <c r="S1142" s="19">
        <f>H1142*I1142</f>
        <v/>
      </c>
      <c r="T1142" s="19">
        <f>H1142*J1142</f>
        <v/>
      </c>
      <c r="U1142">
        <f>IF(AND(K1142=0,G1142&lt;=Assumptions!$C$6),1,0)</f>
        <v/>
      </c>
      <c r="V1142">
        <f>IF(U1142=1,IF(M1142&gt;0,IF(P1142&lt;=G1142+Assumptions!$C$7,1,0),0),0)</f>
        <v/>
      </c>
      <c r="W1142">
        <f>IF(AND(U1142=1,M1142&gt;=H1142*(1-Assumptions!$C$8)),1,0)</f>
        <v/>
      </c>
      <c r="X1142">
        <f>IF(AND(U1142=1,N1142&gt;=H1142*(1-Assumptions!$C$8)),1,0)</f>
        <v/>
      </c>
      <c r="Y1142">
        <f>IF(ISNUMBER(Q1142),1,0)</f>
        <v/>
      </c>
      <c r="Z1142">
        <f>IF(AND(K1142=0,L1142=0,Y1142=0),1,0)</f>
        <v/>
      </c>
      <c r="AA1142">
        <f>IF(AND(Z1142=1,G1142&lt;Assumptions!$C$6),1,0)</f>
        <v/>
      </c>
      <c r="AB1142">
        <f>IF(U1142=0,"",IF(Y1142=1,MAX(0,Q1142-G1142),IF(L1142=1,MAX(0,R1142-G1142),MAX(0,Assumptions!$C$6-G1142))))</f>
        <v/>
      </c>
      <c r="AC1142">
        <f>IF(Y1142=1,Q1142-F1142,"")</f>
        <v/>
      </c>
      <c r="AD1142">
        <f>IF(Y1142=1,AC1142^2,"")</f>
        <v/>
      </c>
      <c r="AE1142" s="19">
        <f>IF(Z1142=1,(H1142-M1142)*I1142,0)</f>
        <v/>
      </c>
      <c r="AF1142">
        <f>IF(G1142&lt;EDATE(Assumptions!$C$6,-12)+1,"prior_12m","last_12m")</f>
        <v/>
      </c>
      <c r="AG1142" s="21">
        <f>DATE(YEAR(G1142),MONTH(G1142),1)</f>
        <v/>
      </c>
    </row>
    <row r="1143">
      <c r="A1143" t="inlineStr">
        <is>
          <t>SPO-00625-3</t>
        </is>
      </c>
      <c r="B1143" t="inlineStr">
        <is>
          <t>SPO-00625</t>
        </is>
      </c>
      <c r="C1143" t="inlineStr">
        <is>
          <t>SUP-05</t>
        </is>
      </c>
      <c r="D1143" t="inlineStr">
        <is>
          <t>FLEET</t>
        </is>
      </c>
      <c r="E1143" t="inlineStr">
        <is>
          <t>FLEET-01</t>
        </is>
      </c>
      <c r="F1143" s="17" t="n">
        <v>45732</v>
      </c>
      <c r="G1143" s="17" t="n">
        <v>45746</v>
      </c>
      <c r="H1143" s="18" t="n">
        <v>18</v>
      </c>
      <c r="I1143" s="19" t="n">
        <v>63.55</v>
      </c>
      <c r="J1143" s="19" t="n">
        <v>64</v>
      </c>
      <c r="K1143" s="20" t="n">
        <v>0</v>
      </c>
      <c r="L1143" s="20" t="n">
        <v>0</v>
      </c>
      <c r="M1143" s="18" t="n">
        <v>18</v>
      </c>
      <c r="N1143" s="18" t="n">
        <v>18</v>
      </c>
      <c r="O1143" s="18" t="n">
        <v>0</v>
      </c>
      <c r="P1143" s="17" t="n">
        <v>45745</v>
      </c>
      <c r="Q1143" s="17" t="n">
        <v>45745</v>
      </c>
      <c r="R1143" s="17" t="n">
        <v>45745</v>
      </c>
      <c r="S1143" s="19">
        <f>H1143*I1143</f>
        <v/>
      </c>
      <c r="T1143" s="19">
        <f>H1143*J1143</f>
        <v/>
      </c>
      <c r="U1143">
        <f>IF(AND(K1143=0,G1143&lt;=Assumptions!$C$6),1,0)</f>
        <v/>
      </c>
      <c r="V1143">
        <f>IF(U1143=1,IF(M1143&gt;0,IF(P1143&lt;=G1143+Assumptions!$C$7,1,0),0),0)</f>
        <v/>
      </c>
      <c r="W1143">
        <f>IF(AND(U1143=1,M1143&gt;=H1143*(1-Assumptions!$C$8)),1,0)</f>
        <v/>
      </c>
      <c r="X1143">
        <f>IF(AND(U1143=1,N1143&gt;=H1143*(1-Assumptions!$C$8)),1,0)</f>
        <v/>
      </c>
      <c r="Y1143">
        <f>IF(ISNUMBER(Q1143),1,0)</f>
        <v/>
      </c>
      <c r="Z1143">
        <f>IF(AND(K1143=0,L1143=0,Y1143=0),1,0)</f>
        <v/>
      </c>
      <c r="AA1143">
        <f>IF(AND(Z1143=1,G1143&lt;Assumptions!$C$6),1,0)</f>
        <v/>
      </c>
      <c r="AB1143">
        <f>IF(U1143=0,"",IF(Y1143=1,MAX(0,Q1143-G1143),IF(L1143=1,MAX(0,R1143-G1143),MAX(0,Assumptions!$C$6-G1143))))</f>
        <v/>
      </c>
      <c r="AC1143">
        <f>IF(Y1143=1,Q1143-F1143,"")</f>
        <v/>
      </c>
      <c r="AD1143">
        <f>IF(Y1143=1,AC1143^2,"")</f>
        <v/>
      </c>
      <c r="AE1143" s="19">
        <f>IF(Z1143=1,(H1143-M1143)*I1143,0)</f>
        <v/>
      </c>
      <c r="AF1143">
        <f>IF(G1143&lt;EDATE(Assumptions!$C$6,-12)+1,"prior_12m","last_12m")</f>
        <v/>
      </c>
      <c r="AG1143" s="21">
        <f>DATE(YEAR(G1143),MONTH(G1143),1)</f>
        <v/>
      </c>
    </row>
    <row r="1144">
      <c r="A1144" t="inlineStr">
        <is>
          <t>SPO-00626-1</t>
        </is>
      </c>
      <c r="B1144" t="inlineStr">
        <is>
          <t>SPO-00626</t>
        </is>
      </c>
      <c r="C1144" t="inlineStr">
        <is>
          <t>SUP-07</t>
        </is>
      </c>
      <c r="D1144" t="inlineStr">
        <is>
          <t>MRO</t>
        </is>
      </c>
      <c r="E1144" t="inlineStr">
        <is>
          <t>MRO-02</t>
        </is>
      </c>
      <c r="F1144" s="17" t="n">
        <v>45733</v>
      </c>
      <c r="G1144" s="17" t="n">
        <v>45743</v>
      </c>
      <c r="H1144" s="18" t="n">
        <v>89</v>
      </c>
      <c r="I1144" s="19" t="n">
        <v>41.08</v>
      </c>
      <c r="J1144" s="19" t="n">
        <v>41</v>
      </c>
      <c r="K1144" s="20" t="n">
        <v>0</v>
      </c>
      <c r="L1144" s="20" t="n">
        <v>0</v>
      </c>
      <c r="M1144" s="18" t="n">
        <v>89</v>
      </c>
      <c r="N1144" s="18" t="n">
        <v>89</v>
      </c>
      <c r="O1144" s="18" t="n">
        <v>0</v>
      </c>
      <c r="P1144" s="17" t="n">
        <v>45743</v>
      </c>
      <c r="Q1144" s="17" t="n">
        <v>45743</v>
      </c>
      <c r="R1144" s="17" t="n">
        <v>45743</v>
      </c>
      <c r="S1144" s="19">
        <f>H1144*I1144</f>
        <v/>
      </c>
      <c r="T1144" s="19">
        <f>H1144*J1144</f>
        <v/>
      </c>
      <c r="U1144">
        <f>IF(AND(K1144=0,G1144&lt;=Assumptions!$C$6),1,0)</f>
        <v/>
      </c>
      <c r="V1144">
        <f>IF(U1144=1,IF(M1144&gt;0,IF(P1144&lt;=G1144+Assumptions!$C$7,1,0),0),0)</f>
        <v/>
      </c>
      <c r="W1144">
        <f>IF(AND(U1144=1,M1144&gt;=H1144*(1-Assumptions!$C$8)),1,0)</f>
        <v/>
      </c>
      <c r="X1144">
        <f>IF(AND(U1144=1,N1144&gt;=H1144*(1-Assumptions!$C$8)),1,0)</f>
        <v/>
      </c>
      <c r="Y1144">
        <f>IF(ISNUMBER(Q1144),1,0)</f>
        <v/>
      </c>
      <c r="Z1144">
        <f>IF(AND(K1144=0,L1144=0,Y1144=0),1,0)</f>
        <v/>
      </c>
      <c r="AA1144">
        <f>IF(AND(Z1144=1,G1144&lt;Assumptions!$C$6),1,0)</f>
        <v/>
      </c>
      <c r="AB1144">
        <f>IF(U1144=0,"",IF(Y1144=1,MAX(0,Q1144-G1144),IF(L1144=1,MAX(0,R1144-G1144),MAX(0,Assumptions!$C$6-G1144))))</f>
        <v/>
      </c>
      <c r="AC1144">
        <f>IF(Y1144=1,Q1144-F1144,"")</f>
        <v/>
      </c>
      <c r="AD1144">
        <f>IF(Y1144=1,AC1144^2,"")</f>
        <v/>
      </c>
      <c r="AE1144" s="19">
        <f>IF(Z1144=1,(H1144-M1144)*I1144,0)</f>
        <v/>
      </c>
      <c r="AF1144">
        <f>IF(G1144&lt;EDATE(Assumptions!$C$6,-12)+1,"prior_12m","last_12m")</f>
        <v/>
      </c>
      <c r="AG1144" s="21">
        <f>DATE(YEAR(G1144),MONTH(G1144),1)</f>
        <v/>
      </c>
    </row>
    <row r="1145">
      <c r="A1145" t="inlineStr">
        <is>
          <t>SPO-00626-2</t>
        </is>
      </c>
      <c r="B1145" t="inlineStr">
        <is>
          <t>SPO-00626</t>
        </is>
      </c>
      <c r="C1145" t="inlineStr">
        <is>
          <t>SUP-07</t>
        </is>
      </c>
      <c r="D1145" t="inlineStr">
        <is>
          <t>MRO</t>
        </is>
      </c>
      <c r="E1145" t="inlineStr">
        <is>
          <t>MRO-07</t>
        </is>
      </c>
      <c r="F1145" s="17" t="n">
        <v>45733</v>
      </c>
      <c r="G1145" s="17" t="n">
        <v>45743</v>
      </c>
      <c r="H1145" s="18" t="n">
        <v>134</v>
      </c>
      <c r="I1145" s="19" t="n">
        <v>14.25</v>
      </c>
      <c r="J1145" s="19" t="n">
        <v>14</v>
      </c>
      <c r="K1145" s="20" t="n">
        <v>0</v>
      </c>
      <c r="L1145" s="20" t="n">
        <v>1</v>
      </c>
      <c r="M1145" s="18" t="n">
        <v>57</v>
      </c>
      <c r="N1145" s="18" t="n">
        <v>57</v>
      </c>
      <c r="O1145" s="18" t="n">
        <v>0</v>
      </c>
      <c r="P1145" s="17" t="n">
        <v>45738</v>
      </c>
      <c r="Q1145" s="17" t="n"/>
      <c r="R1145" s="17" t="n">
        <v>45738</v>
      </c>
      <c r="S1145" s="19">
        <f>H1145*I1145</f>
        <v/>
      </c>
      <c r="T1145" s="19">
        <f>H1145*J1145</f>
        <v/>
      </c>
      <c r="U1145">
        <f>IF(AND(K1145=0,G1145&lt;=Assumptions!$C$6),1,0)</f>
        <v/>
      </c>
      <c r="V1145">
        <f>IF(U1145=1,IF(M1145&gt;0,IF(P1145&lt;=G1145+Assumptions!$C$7,1,0),0),0)</f>
        <v/>
      </c>
      <c r="W1145">
        <f>IF(AND(U1145=1,M1145&gt;=H1145*(1-Assumptions!$C$8)),1,0)</f>
        <v/>
      </c>
      <c r="X1145">
        <f>IF(AND(U1145=1,N1145&gt;=H1145*(1-Assumptions!$C$8)),1,0)</f>
        <v/>
      </c>
      <c r="Y1145">
        <f>IF(ISNUMBER(Q1145),1,0)</f>
        <v/>
      </c>
      <c r="Z1145">
        <f>IF(AND(K1145=0,L1145=0,Y1145=0),1,0)</f>
        <v/>
      </c>
      <c r="AA1145">
        <f>IF(AND(Z1145=1,G1145&lt;Assumptions!$C$6),1,0)</f>
        <v/>
      </c>
      <c r="AB1145">
        <f>IF(U1145=0,"",IF(Y1145=1,MAX(0,Q1145-G1145),IF(L1145=1,MAX(0,R1145-G1145),MAX(0,Assumptions!$C$6-G1145))))</f>
        <v/>
      </c>
      <c r="AC1145">
        <f>IF(Y1145=1,Q1145-F1145,"")</f>
        <v/>
      </c>
      <c r="AD1145">
        <f>IF(Y1145=1,AC1145^2,"")</f>
        <v/>
      </c>
      <c r="AE1145" s="19">
        <f>IF(Z1145=1,(H1145-M1145)*I1145,0)</f>
        <v/>
      </c>
      <c r="AF1145">
        <f>IF(G1145&lt;EDATE(Assumptions!$C$6,-12)+1,"prior_12m","last_12m")</f>
        <v/>
      </c>
      <c r="AG1145" s="21">
        <f>DATE(YEAR(G1145),MONTH(G1145),1)</f>
        <v/>
      </c>
    </row>
    <row r="1146">
      <c r="A1146" t="inlineStr">
        <is>
          <t>SPO-00626-3</t>
        </is>
      </c>
      <c r="B1146" t="inlineStr">
        <is>
          <t>SPO-00626</t>
        </is>
      </c>
      <c r="C1146" t="inlineStr">
        <is>
          <t>SUP-07</t>
        </is>
      </c>
      <c r="D1146" t="inlineStr">
        <is>
          <t>MRO</t>
        </is>
      </c>
      <c r="E1146" t="inlineStr">
        <is>
          <t>MRO-05</t>
        </is>
      </c>
      <c r="F1146" s="17" t="n">
        <v>45733</v>
      </c>
      <c r="G1146" s="17" t="n">
        <v>45743</v>
      </c>
      <c r="H1146" s="18" t="n">
        <v>19</v>
      </c>
      <c r="I1146" s="19" t="n">
        <v>36.43</v>
      </c>
      <c r="J1146" s="19" t="n">
        <v>36</v>
      </c>
      <c r="K1146" s="20" t="n">
        <v>0</v>
      </c>
      <c r="L1146" s="20" t="n">
        <v>1</v>
      </c>
      <c r="M1146" s="18" t="n">
        <v>13</v>
      </c>
      <c r="N1146" s="18" t="n">
        <v>13</v>
      </c>
      <c r="O1146" s="18" t="n">
        <v>0</v>
      </c>
      <c r="P1146" s="17" t="n">
        <v>45740</v>
      </c>
      <c r="Q1146" s="17" t="n"/>
      <c r="R1146" s="17" t="n">
        <v>45740</v>
      </c>
      <c r="S1146" s="19">
        <f>H1146*I1146</f>
        <v/>
      </c>
      <c r="T1146" s="19">
        <f>H1146*J1146</f>
        <v/>
      </c>
      <c r="U1146">
        <f>IF(AND(K1146=0,G1146&lt;=Assumptions!$C$6),1,0)</f>
        <v/>
      </c>
      <c r="V1146">
        <f>IF(U1146=1,IF(M1146&gt;0,IF(P1146&lt;=G1146+Assumptions!$C$7,1,0),0),0)</f>
        <v/>
      </c>
      <c r="W1146">
        <f>IF(AND(U1146=1,M1146&gt;=H1146*(1-Assumptions!$C$8)),1,0)</f>
        <v/>
      </c>
      <c r="X1146">
        <f>IF(AND(U1146=1,N1146&gt;=H1146*(1-Assumptions!$C$8)),1,0)</f>
        <v/>
      </c>
      <c r="Y1146">
        <f>IF(ISNUMBER(Q1146),1,0)</f>
        <v/>
      </c>
      <c r="Z1146">
        <f>IF(AND(K1146=0,L1146=0,Y1146=0),1,0)</f>
        <v/>
      </c>
      <c r="AA1146">
        <f>IF(AND(Z1146=1,G1146&lt;Assumptions!$C$6),1,0)</f>
        <v/>
      </c>
      <c r="AB1146">
        <f>IF(U1146=0,"",IF(Y1146=1,MAX(0,Q1146-G1146),IF(L1146=1,MAX(0,R1146-G1146),MAX(0,Assumptions!$C$6-G1146))))</f>
        <v/>
      </c>
      <c r="AC1146">
        <f>IF(Y1146=1,Q1146-F1146,"")</f>
        <v/>
      </c>
      <c r="AD1146">
        <f>IF(Y1146=1,AC1146^2,"")</f>
        <v/>
      </c>
      <c r="AE1146" s="19">
        <f>IF(Z1146=1,(H1146-M1146)*I1146,0)</f>
        <v/>
      </c>
      <c r="AF1146">
        <f>IF(G1146&lt;EDATE(Assumptions!$C$6,-12)+1,"prior_12m","last_12m")</f>
        <v/>
      </c>
      <c r="AG1146" s="21">
        <f>DATE(YEAR(G1146),MONTH(G1146),1)</f>
        <v/>
      </c>
    </row>
    <row r="1147">
      <c r="A1147" t="inlineStr">
        <is>
          <t>SPO-00626-4</t>
        </is>
      </c>
      <c r="B1147" t="inlineStr">
        <is>
          <t>SPO-00626</t>
        </is>
      </c>
      <c r="C1147" t="inlineStr">
        <is>
          <t>SUP-07</t>
        </is>
      </c>
      <c r="D1147" t="inlineStr">
        <is>
          <t>MRO</t>
        </is>
      </c>
      <c r="E1147" t="inlineStr">
        <is>
          <t>MRO-04</t>
        </is>
      </c>
      <c r="F1147" s="17" t="n">
        <v>45733</v>
      </c>
      <c r="G1147" s="17" t="n">
        <v>45743</v>
      </c>
      <c r="H1147" s="18" t="n">
        <v>39</v>
      </c>
      <c r="I1147" s="19" t="n">
        <v>55.71</v>
      </c>
      <c r="J1147" s="19" t="n">
        <v>58</v>
      </c>
      <c r="K1147" s="20" t="n">
        <v>0</v>
      </c>
      <c r="L1147" s="20" t="n">
        <v>0</v>
      </c>
      <c r="M1147" s="18" t="n">
        <v>39</v>
      </c>
      <c r="N1147" s="18" t="n">
        <v>20</v>
      </c>
      <c r="O1147" s="18" t="n">
        <v>0</v>
      </c>
      <c r="P1147" s="17" t="n">
        <v>45742</v>
      </c>
      <c r="Q1147" s="17" t="n">
        <v>45753</v>
      </c>
      <c r="R1147" s="17" t="n">
        <v>45753</v>
      </c>
      <c r="S1147" s="19">
        <f>H1147*I1147</f>
        <v/>
      </c>
      <c r="T1147" s="19">
        <f>H1147*J1147</f>
        <v/>
      </c>
      <c r="U1147">
        <f>IF(AND(K1147=0,G1147&lt;=Assumptions!$C$6),1,0)</f>
        <v/>
      </c>
      <c r="V1147">
        <f>IF(U1147=1,IF(M1147&gt;0,IF(P1147&lt;=G1147+Assumptions!$C$7,1,0),0),0)</f>
        <v/>
      </c>
      <c r="W1147">
        <f>IF(AND(U1147=1,M1147&gt;=H1147*(1-Assumptions!$C$8)),1,0)</f>
        <v/>
      </c>
      <c r="X1147">
        <f>IF(AND(U1147=1,N1147&gt;=H1147*(1-Assumptions!$C$8)),1,0)</f>
        <v/>
      </c>
      <c r="Y1147">
        <f>IF(ISNUMBER(Q1147),1,0)</f>
        <v/>
      </c>
      <c r="Z1147">
        <f>IF(AND(K1147=0,L1147=0,Y1147=0),1,0)</f>
        <v/>
      </c>
      <c r="AA1147">
        <f>IF(AND(Z1147=1,G1147&lt;Assumptions!$C$6),1,0)</f>
        <v/>
      </c>
      <c r="AB1147">
        <f>IF(U1147=0,"",IF(Y1147=1,MAX(0,Q1147-G1147),IF(L1147=1,MAX(0,R1147-G1147),MAX(0,Assumptions!$C$6-G1147))))</f>
        <v/>
      </c>
      <c r="AC1147">
        <f>IF(Y1147=1,Q1147-F1147,"")</f>
        <v/>
      </c>
      <c r="AD1147">
        <f>IF(Y1147=1,AC1147^2,"")</f>
        <v/>
      </c>
      <c r="AE1147" s="19">
        <f>IF(Z1147=1,(H1147-M1147)*I1147,0)</f>
        <v/>
      </c>
      <c r="AF1147">
        <f>IF(G1147&lt;EDATE(Assumptions!$C$6,-12)+1,"prior_12m","last_12m")</f>
        <v/>
      </c>
      <c r="AG1147" s="21">
        <f>DATE(YEAR(G1147),MONTH(G1147),1)</f>
        <v/>
      </c>
    </row>
    <row r="1148">
      <c r="A1148" t="inlineStr">
        <is>
          <t>SPO-00627-1</t>
        </is>
      </c>
      <c r="B1148" t="inlineStr">
        <is>
          <t>SPO-00627</t>
        </is>
      </c>
      <c r="C1148" t="inlineStr">
        <is>
          <t>SUP-12</t>
        </is>
      </c>
      <c r="D1148" t="inlineStr">
        <is>
          <t>IT</t>
        </is>
      </c>
      <c r="E1148" t="inlineStr">
        <is>
          <t>IT-07</t>
        </is>
      </c>
      <c r="F1148" s="17" t="n">
        <v>45733</v>
      </c>
      <c r="G1148" s="17" t="n">
        <v>45743</v>
      </c>
      <c r="H1148" s="18" t="n">
        <v>12</v>
      </c>
      <c r="I1148" s="19" t="n">
        <v>76.97</v>
      </c>
      <c r="J1148" s="19" t="n">
        <v>74</v>
      </c>
      <c r="K1148" s="20" t="n">
        <v>0</v>
      </c>
      <c r="L1148" s="20" t="n">
        <v>0</v>
      </c>
      <c r="M1148" s="18" t="n">
        <v>12</v>
      </c>
      <c r="N1148" s="18" t="n">
        <v>12</v>
      </c>
      <c r="O1148" s="18" t="n">
        <v>0</v>
      </c>
      <c r="P1148" s="17" t="n">
        <v>45741</v>
      </c>
      <c r="Q1148" s="17" t="n">
        <v>45741</v>
      </c>
      <c r="R1148" s="17" t="n">
        <v>45741</v>
      </c>
      <c r="S1148" s="19">
        <f>H1148*I1148</f>
        <v/>
      </c>
      <c r="T1148" s="19">
        <f>H1148*J1148</f>
        <v/>
      </c>
      <c r="U1148">
        <f>IF(AND(K1148=0,G1148&lt;=Assumptions!$C$6),1,0)</f>
        <v/>
      </c>
      <c r="V1148">
        <f>IF(U1148=1,IF(M1148&gt;0,IF(P1148&lt;=G1148+Assumptions!$C$7,1,0),0),0)</f>
        <v/>
      </c>
      <c r="W1148">
        <f>IF(AND(U1148=1,M1148&gt;=H1148*(1-Assumptions!$C$8)),1,0)</f>
        <v/>
      </c>
      <c r="X1148">
        <f>IF(AND(U1148=1,N1148&gt;=H1148*(1-Assumptions!$C$8)),1,0)</f>
        <v/>
      </c>
      <c r="Y1148">
        <f>IF(ISNUMBER(Q1148),1,0)</f>
        <v/>
      </c>
      <c r="Z1148">
        <f>IF(AND(K1148=0,L1148=0,Y1148=0),1,0)</f>
        <v/>
      </c>
      <c r="AA1148">
        <f>IF(AND(Z1148=1,G1148&lt;Assumptions!$C$6),1,0)</f>
        <v/>
      </c>
      <c r="AB1148">
        <f>IF(U1148=0,"",IF(Y1148=1,MAX(0,Q1148-G1148),IF(L1148=1,MAX(0,R1148-G1148),MAX(0,Assumptions!$C$6-G1148))))</f>
        <v/>
      </c>
      <c r="AC1148">
        <f>IF(Y1148=1,Q1148-F1148,"")</f>
        <v/>
      </c>
      <c r="AD1148">
        <f>IF(Y1148=1,AC1148^2,"")</f>
        <v/>
      </c>
      <c r="AE1148" s="19">
        <f>IF(Z1148=1,(H1148-M1148)*I1148,0)</f>
        <v/>
      </c>
      <c r="AF1148">
        <f>IF(G1148&lt;EDATE(Assumptions!$C$6,-12)+1,"prior_12m","last_12m")</f>
        <v/>
      </c>
      <c r="AG1148" s="21">
        <f>DATE(YEAR(G1148),MONTH(G1148),1)</f>
        <v/>
      </c>
    </row>
    <row r="1149">
      <c r="A1149" t="inlineStr">
        <is>
          <t>SPO-00628-1</t>
        </is>
      </c>
      <c r="B1149" t="inlineStr">
        <is>
          <t>SPO-00628</t>
        </is>
      </c>
      <c r="C1149" t="inlineStr">
        <is>
          <t>SUP-01</t>
        </is>
      </c>
      <c r="D1149" t="inlineStr">
        <is>
          <t>ELEC</t>
        </is>
      </c>
      <c r="E1149" t="inlineStr">
        <is>
          <t>ELEC-03</t>
        </is>
      </c>
      <c r="F1149" s="17" t="n">
        <v>45733</v>
      </c>
      <c r="G1149" s="17" t="n">
        <v>45751</v>
      </c>
      <c r="H1149" s="18" t="n">
        <v>48</v>
      </c>
      <c r="I1149" s="19" t="n">
        <v>96.81999999999999</v>
      </c>
      <c r="J1149" s="19" t="n">
        <v>96</v>
      </c>
      <c r="K1149" s="20" t="n">
        <v>1</v>
      </c>
      <c r="L1149" s="20" t="n">
        <v>0</v>
      </c>
      <c r="M1149" s="18" t="n">
        <v>0</v>
      </c>
      <c r="N1149" s="18" t="n">
        <v>0</v>
      </c>
      <c r="O1149" s="18" t="n">
        <v>0</v>
      </c>
      <c r="P1149" s="17" t="n"/>
      <c r="Q1149" s="17" t="n"/>
      <c r="R1149" s="17" t="n"/>
      <c r="S1149" s="19">
        <f>H1149*I1149</f>
        <v/>
      </c>
      <c r="T1149" s="19">
        <f>H1149*J1149</f>
        <v/>
      </c>
      <c r="U1149">
        <f>IF(AND(K1149=0,G1149&lt;=Assumptions!$C$6),1,0)</f>
        <v/>
      </c>
      <c r="V1149">
        <f>IF(U1149=1,IF(M1149&gt;0,IF(P1149&lt;=G1149+Assumptions!$C$7,1,0),0),0)</f>
        <v/>
      </c>
      <c r="W1149">
        <f>IF(AND(U1149=1,M1149&gt;=H1149*(1-Assumptions!$C$8)),1,0)</f>
        <v/>
      </c>
      <c r="X1149">
        <f>IF(AND(U1149=1,N1149&gt;=H1149*(1-Assumptions!$C$8)),1,0)</f>
        <v/>
      </c>
      <c r="Y1149">
        <f>IF(ISNUMBER(Q1149),1,0)</f>
        <v/>
      </c>
      <c r="Z1149">
        <f>IF(AND(K1149=0,L1149=0,Y1149=0),1,0)</f>
        <v/>
      </c>
      <c r="AA1149">
        <f>IF(AND(Z1149=1,G1149&lt;Assumptions!$C$6),1,0)</f>
        <v/>
      </c>
      <c r="AB1149">
        <f>IF(U1149=0,"",IF(Y1149=1,MAX(0,Q1149-G1149),IF(L1149=1,MAX(0,R1149-G1149),MAX(0,Assumptions!$C$6-G1149))))</f>
        <v/>
      </c>
      <c r="AC1149">
        <f>IF(Y1149=1,Q1149-F1149,"")</f>
        <v/>
      </c>
      <c r="AD1149">
        <f>IF(Y1149=1,AC1149^2,"")</f>
        <v/>
      </c>
      <c r="AE1149" s="19">
        <f>IF(Z1149=1,(H1149-M1149)*I1149,0)</f>
        <v/>
      </c>
      <c r="AF1149">
        <f>IF(G1149&lt;EDATE(Assumptions!$C$6,-12)+1,"prior_12m","last_12m")</f>
        <v/>
      </c>
      <c r="AG1149" s="21">
        <f>DATE(YEAR(G1149),MONTH(G1149),1)</f>
        <v/>
      </c>
    </row>
    <row r="1150">
      <c r="A1150" t="inlineStr">
        <is>
          <t>SPO-00629-1</t>
        </is>
      </c>
      <c r="B1150" t="inlineStr">
        <is>
          <t>SPO-00629</t>
        </is>
      </c>
      <c r="C1150" t="inlineStr">
        <is>
          <t>SUP-01</t>
        </is>
      </c>
      <c r="D1150" t="inlineStr">
        <is>
          <t>ELEC</t>
        </is>
      </c>
      <c r="E1150" t="inlineStr">
        <is>
          <t>ELEC-06</t>
        </is>
      </c>
      <c r="F1150" s="17" t="n">
        <v>45733</v>
      </c>
      <c r="G1150" s="17" t="n">
        <v>45751</v>
      </c>
      <c r="H1150" s="18" t="n">
        <v>12</v>
      </c>
      <c r="I1150" s="19" t="n">
        <v>147.83</v>
      </c>
      <c r="J1150" s="19" t="n">
        <v>145</v>
      </c>
      <c r="K1150" s="20" t="n">
        <v>0</v>
      </c>
      <c r="L1150" s="20" t="n">
        <v>0</v>
      </c>
      <c r="M1150" s="18" t="n">
        <v>12</v>
      </c>
      <c r="N1150" s="18" t="n">
        <v>8</v>
      </c>
      <c r="O1150" s="18" t="n">
        <v>0</v>
      </c>
      <c r="P1150" s="17" t="n">
        <v>45748</v>
      </c>
      <c r="Q1150" s="17" t="n">
        <v>45766</v>
      </c>
      <c r="R1150" s="17" t="n">
        <v>45766</v>
      </c>
      <c r="S1150" s="19">
        <f>H1150*I1150</f>
        <v/>
      </c>
      <c r="T1150" s="19">
        <f>H1150*J1150</f>
        <v/>
      </c>
      <c r="U1150">
        <f>IF(AND(K1150=0,G1150&lt;=Assumptions!$C$6),1,0)</f>
        <v/>
      </c>
      <c r="V1150">
        <f>IF(U1150=1,IF(M1150&gt;0,IF(P1150&lt;=G1150+Assumptions!$C$7,1,0),0),0)</f>
        <v/>
      </c>
      <c r="W1150">
        <f>IF(AND(U1150=1,M1150&gt;=H1150*(1-Assumptions!$C$8)),1,0)</f>
        <v/>
      </c>
      <c r="X1150">
        <f>IF(AND(U1150=1,N1150&gt;=H1150*(1-Assumptions!$C$8)),1,0)</f>
        <v/>
      </c>
      <c r="Y1150">
        <f>IF(ISNUMBER(Q1150),1,0)</f>
        <v/>
      </c>
      <c r="Z1150">
        <f>IF(AND(K1150=0,L1150=0,Y1150=0),1,0)</f>
        <v/>
      </c>
      <c r="AA1150">
        <f>IF(AND(Z1150=1,G1150&lt;Assumptions!$C$6),1,0)</f>
        <v/>
      </c>
      <c r="AB1150">
        <f>IF(U1150=0,"",IF(Y1150=1,MAX(0,Q1150-G1150),IF(L1150=1,MAX(0,R1150-G1150),MAX(0,Assumptions!$C$6-G1150))))</f>
        <v/>
      </c>
      <c r="AC1150">
        <f>IF(Y1150=1,Q1150-F1150,"")</f>
        <v/>
      </c>
      <c r="AD1150">
        <f>IF(Y1150=1,AC1150^2,"")</f>
        <v/>
      </c>
      <c r="AE1150" s="19">
        <f>IF(Z1150=1,(H1150-M1150)*I1150,0)</f>
        <v/>
      </c>
      <c r="AF1150">
        <f>IF(G1150&lt;EDATE(Assumptions!$C$6,-12)+1,"prior_12m","last_12m")</f>
        <v/>
      </c>
      <c r="AG1150" s="21">
        <f>DATE(YEAR(G1150),MONTH(G1150),1)</f>
        <v/>
      </c>
    </row>
    <row r="1151">
      <c r="A1151" t="inlineStr">
        <is>
          <t>SPO-00629-2</t>
        </is>
      </c>
      <c r="B1151" t="inlineStr">
        <is>
          <t>SPO-00629</t>
        </is>
      </c>
      <c r="C1151" t="inlineStr">
        <is>
          <t>SUP-01</t>
        </is>
      </c>
      <c r="D1151" t="inlineStr">
        <is>
          <t>ELEC</t>
        </is>
      </c>
      <c r="E1151" t="inlineStr">
        <is>
          <t>ELEC-02</t>
        </is>
      </c>
      <c r="F1151" s="17" t="n">
        <v>45733</v>
      </c>
      <c r="G1151" s="17" t="n">
        <v>45751</v>
      </c>
      <c r="H1151" s="18" t="n">
        <v>570</v>
      </c>
      <c r="I1151" s="19" t="n">
        <v>4.37</v>
      </c>
      <c r="J1151" s="19" t="n">
        <v>4.2</v>
      </c>
      <c r="K1151" s="20" t="n">
        <v>0</v>
      </c>
      <c r="L1151" s="20" t="n">
        <v>0</v>
      </c>
      <c r="M1151" s="18" t="n">
        <v>570</v>
      </c>
      <c r="N1151" s="18" t="n">
        <v>0</v>
      </c>
      <c r="O1151" s="18" t="n">
        <v>0</v>
      </c>
      <c r="P1151" s="17" t="n">
        <v>45752</v>
      </c>
      <c r="Q1151" s="17" t="n">
        <v>45752</v>
      </c>
      <c r="R1151" s="17" t="n">
        <v>45752</v>
      </c>
      <c r="S1151" s="19">
        <f>H1151*I1151</f>
        <v/>
      </c>
      <c r="T1151" s="19">
        <f>H1151*J1151</f>
        <v/>
      </c>
      <c r="U1151">
        <f>IF(AND(K1151=0,G1151&lt;=Assumptions!$C$6),1,0)</f>
        <v/>
      </c>
      <c r="V1151">
        <f>IF(U1151=1,IF(M1151&gt;0,IF(P1151&lt;=G1151+Assumptions!$C$7,1,0),0),0)</f>
        <v/>
      </c>
      <c r="W1151">
        <f>IF(AND(U1151=1,M1151&gt;=H1151*(1-Assumptions!$C$8)),1,0)</f>
        <v/>
      </c>
      <c r="X1151">
        <f>IF(AND(U1151=1,N1151&gt;=H1151*(1-Assumptions!$C$8)),1,0)</f>
        <v/>
      </c>
      <c r="Y1151">
        <f>IF(ISNUMBER(Q1151),1,0)</f>
        <v/>
      </c>
      <c r="Z1151">
        <f>IF(AND(K1151=0,L1151=0,Y1151=0),1,0)</f>
        <v/>
      </c>
      <c r="AA1151">
        <f>IF(AND(Z1151=1,G1151&lt;Assumptions!$C$6),1,0)</f>
        <v/>
      </c>
      <c r="AB1151">
        <f>IF(U1151=0,"",IF(Y1151=1,MAX(0,Q1151-G1151),IF(L1151=1,MAX(0,R1151-G1151),MAX(0,Assumptions!$C$6-G1151))))</f>
        <v/>
      </c>
      <c r="AC1151">
        <f>IF(Y1151=1,Q1151-F1151,"")</f>
        <v/>
      </c>
      <c r="AD1151">
        <f>IF(Y1151=1,AC1151^2,"")</f>
        <v/>
      </c>
      <c r="AE1151" s="19">
        <f>IF(Z1151=1,(H1151-M1151)*I1151,0)</f>
        <v/>
      </c>
      <c r="AF1151">
        <f>IF(G1151&lt;EDATE(Assumptions!$C$6,-12)+1,"prior_12m","last_12m")</f>
        <v/>
      </c>
      <c r="AG1151" s="21">
        <f>DATE(YEAR(G1151),MONTH(G1151),1)</f>
        <v/>
      </c>
    </row>
    <row r="1152">
      <c r="A1152" t="inlineStr">
        <is>
          <t>SPO-00630-1</t>
        </is>
      </c>
      <c r="B1152" t="inlineStr">
        <is>
          <t>SPO-00630</t>
        </is>
      </c>
      <c r="C1152" t="inlineStr">
        <is>
          <t>SUP-14</t>
        </is>
      </c>
      <c r="D1152" t="inlineStr">
        <is>
          <t>FLEET</t>
        </is>
      </c>
      <c r="E1152" t="inlineStr">
        <is>
          <t>FLEET-03</t>
        </is>
      </c>
      <c r="F1152" s="17" t="n">
        <v>45733</v>
      </c>
      <c r="G1152" s="17" t="n">
        <v>45747</v>
      </c>
      <c r="H1152" s="18" t="n">
        <v>129</v>
      </c>
      <c r="I1152" s="19" t="n">
        <v>21.28</v>
      </c>
      <c r="J1152" s="19" t="n">
        <v>21</v>
      </c>
      <c r="K1152" s="20" t="n">
        <v>0</v>
      </c>
      <c r="L1152" s="20" t="n">
        <v>0</v>
      </c>
      <c r="M1152" s="18" t="n">
        <v>129</v>
      </c>
      <c r="N1152" s="18" t="n">
        <v>129</v>
      </c>
      <c r="O1152" s="18" t="n">
        <v>0</v>
      </c>
      <c r="P1152" s="17" t="n">
        <v>45734</v>
      </c>
      <c r="Q1152" s="17" t="n">
        <v>45734</v>
      </c>
      <c r="R1152" s="17" t="n">
        <v>45734</v>
      </c>
      <c r="S1152" s="19">
        <f>H1152*I1152</f>
        <v/>
      </c>
      <c r="T1152" s="19">
        <f>H1152*J1152</f>
        <v/>
      </c>
      <c r="U1152">
        <f>IF(AND(K1152=0,G1152&lt;=Assumptions!$C$6),1,0)</f>
        <v/>
      </c>
      <c r="V1152">
        <f>IF(U1152=1,IF(M1152&gt;0,IF(P1152&lt;=G1152+Assumptions!$C$7,1,0),0),0)</f>
        <v/>
      </c>
      <c r="W1152">
        <f>IF(AND(U1152=1,M1152&gt;=H1152*(1-Assumptions!$C$8)),1,0)</f>
        <v/>
      </c>
      <c r="X1152">
        <f>IF(AND(U1152=1,N1152&gt;=H1152*(1-Assumptions!$C$8)),1,0)</f>
        <v/>
      </c>
      <c r="Y1152">
        <f>IF(ISNUMBER(Q1152),1,0)</f>
        <v/>
      </c>
      <c r="Z1152">
        <f>IF(AND(K1152=0,L1152=0,Y1152=0),1,0)</f>
        <v/>
      </c>
      <c r="AA1152">
        <f>IF(AND(Z1152=1,G1152&lt;Assumptions!$C$6),1,0)</f>
        <v/>
      </c>
      <c r="AB1152">
        <f>IF(U1152=0,"",IF(Y1152=1,MAX(0,Q1152-G1152),IF(L1152=1,MAX(0,R1152-G1152),MAX(0,Assumptions!$C$6-G1152))))</f>
        <v/>
      </c>
      <c r="AC1152">
        <f>IF(Y1152=1,Q1152-F1152,"")</f>
        <v/>
      </c>
      <c r="AD1152">
        <f>IF(Y1152=1,AC1152^2,"")</f>
        <v/>
      </c>
      <c r="AE1152" s="19">
        <f>IF(Z1152=1,(H1152-M1152)*I1152,0)</f>
        <v/>
      </c>
      <c r="AF1152">
        <f>IF(G1152&lt;EDATE(Assumptions!$C$6,-12)+1,"prior_12m","last_12m")</f>
        <v/>
      </c>
      <c r="AG1152" s="21">
        <f>DATE(YEAR(G1152),MONTH(G1152),1)</f>
        <v/>
      </c>
    </row>
    <row r="1153">
      <c r="A1153" t="inlineStr">
        <is>
          <t>SPO-00630-2</t>
        </is>
      </c>
      <c r="B1153" t="inlineStr">
        <is>
          <t>SPO-00630</t>
        </is>
      </c>
      <c r="C1153" t="inlineStr">
        <is>
          <t>SUP-14</t>
        </is>
      </c>
      <c r="D1153" t="inlineStr">
        <is>
          <t>FLEET</t>
        </is>
      </c>
      <c r="E1153" t="inlineStr">
        <is>
          <t>FLEET-05</t>
        </is>
      </c>
      <c r="F1153" s="17" t="n">
        <v>45733</v>
      </c>
      <c r="G1153" s="17" t="n">
        <v>45747</v>
      </c>
      <c r="H1153" s="18" t="n">
        <v>6</v>
      </c>
      <c r="I1153" s="19" t="n">
        <v>169.94</v>
      </c>
      <c r="J1153" s="19" t="n">
        <v>168</v>
      </c>
      <c r="K1153" s="20" t="n">
        <v>0</v>
      </c>
      <c r="L1153" s="20" t="n">
        <v>0</v>
      </c>
      <c r="M1153" s="18" t="n">
        <v>6</v>
      </c>
      <c r="N1153" s="18" t="n">
        <v>6</v>
      </c>
      <c r="O1153" s="18" t="n">
        <v>0</v>
      </c>
      <c r="P1153" s="17" t="n">
        <v>45738</v>
      </c>
      <c r="Q1153" s="17" t="n">
        <v>45738</v>
      </c>
      <c r="R1153" s="17" t="n">
        <v>45738</v>
      </c>
      <c r="S1153" s="19">
        <f>H1153*I1153</f>
        <v/>
      </c>
      <c r="T1153" s="19">
        <f>H1153*J1153</f>
        <v/>
      </c>
      <c r="U1153">
        <f>IF(AND(K1153=0,G1153&lt;=Assumptions!$C$6),1,0)</f>
        <v/>
      </c>
      <c r="V1153">
        <f>IF(U1153=1,IF(M1153&gt;0,IF(P1153&lt;=G1153+Assumptions!$C$7,1,0),0),0)</f>
        <v/>
      </c>
      <c r="W1153">
        <f>IF(AND(U1153=1,M1153&gt;=H1153*(1-Assumptions!$C$8)),1,0)</f>
        <v/>
      </c>
      <c r="X1153">
        <f>IF(AND(U1153=1,N1153&gt;=H1153*(1-Assumptions!$C$8)),1,0)</f>
        <v/>
      </c>
      <c r="Y1153">
        <f>IF(ISNUMBER(Q1153),1,0)</f>
        <v/>
      </c>
      <c r="Z1153">
        <f>IF(AND(K1153=0,L1153=0,Y1153=0),1,0)</f>
        <v/>
      </c>
      <c r="AA1153">
        <f>IF(AND(Z1153=1,G1153&lt;Assumptions!$C$6),1,0)</f>
        <v/>
      </c>
      <c r="AB1153">
        <f>IF(U1153=0,"",IF(Y1153=1,MAX(0,Q1153-G1153),IF(L1153=1,MAX(0,R1153-G1153),MAX(0,Assumptions!$C$6-G1153))))</f>
        <v/>
      </c>
      <c r="AC1153">
        <f>IF(Y1153=1,Q1153-F1153,"")</f>
        <v/>
      </c>
      <c r="AD1153">
        <f>IF(Y1153=1,AC1153^2,"")</f>
        <v/>
      </c>
      <c r="AE1153" s="19">
        <f>IF(Z1153=1,(H1153-M1153)*I1153,0)</f>
        <v/>
      </c>
      <c r="AF1153">
        <f>IF(G1153&lt;EDATE(Assumptions!$C$6,-12)+1,"prior_12m","last_12m")</f>
        <v/>
      </c>
      <c r="AG1153" s="21">
        <f>DATE(YEAR(G1153),MONTH(G1153),1)</f>
        <v/>
      </c>
    </row>
    <row r="1154">
      <c r="A1154" t="inlineStr">
        <is>
          <t>SPO-00630-3</t>
        </is>
      </c>
      <c r="B1154" t="inlineStr">
        <is>
          <t>SPO-00630</t>
        </is>
      </c>
      <c r="C1154" t="inlineStr">
        <is>
          <t>SUP-14</t>
        </is>
      </c>
      <c r="D1154" t="inlineStr">
        <is>
          <t>FLEET</t>
        </is>
      </c>
      <c r="E1154" t="inlineStr">
        <is>
          <t>FLEET-06</t>
        </is>
      </c>
      <c r="F1154" s="17" t="n">
        <v>45733</v>
      </c>
      <c r="G1154" s="17" t="n">
        <v>45747</v>
      </c>
      <c r="H1154" s="18" t="n">
        <v>76</v>
      </c>
      <c r="I1154" s="19" t="n">
        <v>33</v>
      </c>
      <c r="J1154" s="19" t="n">
        <v>33</v>
      </c>
      <c r="K1154" s="20" t="n">
        <v>0</v>
      </c>
      <c r="L1154" s="20" t="n">
        <v>0</v>
      </c>
      <c r="M1154" s="18" t="n">
        <v>76</v>
      </c>
      <c r="N1154" s="18" t="n">
        <v>76</v>
      </c>
      <c r="O1154" s="18" t="n">
        <v>6</v>
      </c>
      <c r="P1154" s="17" t="n">
        <v>45738</v>
      </c>
      <c r="Q1154" s="17" t="n">
        <v>45738</v>
      </c>
      <c r="R1154" s="17" t="n">
        <v>45738</v>
      </c>
      <c r="S1154" s="19">
        <f>H1154*I1154</f>
        <v/>
      </c>
      <c r="T1154" s="19">
        <f>H1154*J1154</f>
        <v/>
      </c>
      <c r="U1154">
        <f>IF(AND(K1154=0,G1154&lt;=Assumptions!$C$6),1,0)</f>
        <v/>
      </c>
      <c r="V1154">
        <f>IF(U1154=1,IF(M1154&gt;0,IF(P1154&lt;=G1154+Assumptions!$C$7,1,0),0),0)</f>
        <v/>
      </c>
      <c r="W1154">
        <f>IF(AND(U1154=1,M1154&gt;=H1154*(1-Assumptions!$C$8)),1,0)</f>
        <v/>
      </c>
      <c r="X1154">
        <f>IF(AND(U1154=1,N1154&gt;=H1154*(1-Assumptions!$C$8)),1,0)</f>
        <v/>
      </c>
      <c r="Y1154">
        <f>IF(ISNUMBER(Q1154),1,0)</f>
        <v/>
      </c>
      <c r="Z1154">
        <f>IF(AND(K1154=0,L1154=0,Y1154=0),1,0)</f>
        <v/>
      </c>
      <c r="AA1154">
        <f>IF(AND(Z1154=1,G1154&lt;Assumptions!$C$6),1,0)</f>
        <v/>
      </c>
      <c r="AB1154">
        <f>IF(U1154=0,"",IF(Y1154=1,MAX(0,Q1154-G1154),IF(L1154=1,MAX(0,R1154-G1154),MAX(0,Assumptions!$C$6-G1154))))</f>
        <v/>
      </c>
      <c r="AC1154">
        <f>IF(Y1154=1,Q1154-F1154,"")</f>
        <v/>
      </c>
      <c r="AD1154">
        <f>IF(Y1154=1,AC1154^2,"")</f>
        <v/>
      </c>
      <c r="AE1154" s="19">
        <f>IF(Z1154=1,(H1154-M1154)*I1154,0)</f>
        <v/>
      </c>
      <c r="AF1154">
        <f>IF(G1154&lt;EDATE(Assumptions!$C$6,-12)+1,"prior_12m","last_12m")</f>
        <v/>
      </c>
      <c r="AG1154" s="21">
        <f>DATE(YEAR(G1154),MONTH(G1154),1)</f>
        <v/>
      </c>
    </row>
    <row r="1155">
      <c r="A1155" t="inlineStr">
        <is>
          <t>SPO-00630-4</t>
        </is>
      </c>
      <c r="B1155" t="inlineStr">
        <is>
          <t>SPO-00630</t>
        </is>
      </c>
      <c r="C1155" t="inlineStr">
        <is>
          <t>SUP-14</t>
        </is>
      </c>
      <c r="D1155" t="inlineStr">
        <is>
          <t>FLEET</t>
        </is>
      </c>
      <c r="E1155" t="inlineStr">
        <is>
          <t>FLEET-04</t>
        </is>
      </c>
      <c r="F1155" s="17" t="n">
        <v>45733</v>
      </c>
      <c r="G1155" s="17" t="n">
        <v>45747</v>
      </c>
      <c r="H1155" s="18" t="n">
        <v>194</v>
      </c>
      <c r="I1155" s="19" t="n">
        <v>8.800000000000001</v>
      </c>
      <c r="J1155" s="19" t="n">
        <v>9</v>
      </c>
      <c r="K1155" s="20" t="n">
        <v>0</v>
      </c>
      <c r="L1155" s="20" t="n">
        <v>0</v>
      </c>
      <c r="M1155" s="18" t="n">
        <v>194</v>
      </c>
      <c r="N1155" s="18" t="n">
        <v>194</v>
      </c>
      <c r="O1155" s="18" t="n">
        <v>0</v>
      </c>
      <c r="P1155" s="17" t="n">
        <v>45742</v>
      </c>
      <c r="Q1155" s="17" t="n">
        <v>45742</v>
      </c>
      <c r="R1155" s="17" t="n">
        <v>45742</v>
      </c>
      <c r="S1155" s="19">
        <f>H1155*I1155</f>
        <v/>
      </c>
      <c r="T1155" s="19">
        <f>H1155*J1155</f>
        <v/>
      </c>
      <c r="U1155">
        <f>IF(AND(K1155=0,G1155&lt;=Assumptions!$C$6),1,0)</f>
        <v/>
      </c>
      <c r="V1155">
        <f>IF(U1155=1,IF(M1155&gt;0,IF(P1155&lt;=G1155+Assumptions!$C$7,1,0),0),0)</f>
        <v/>
      </c>
      <c r="W1155">
        <f>IF(AND(U1155=1,M1155&gt;=H1155*(1-Assumptions!$C$8)),1,0)</f>
        <v/>
      </c>
      <c r="X1155">
        <f>IF(AND(U1155=1,N1155&gt;=H1155*(1-Assumptions!$C$8)),1,0)</f>
        <v/>
      </c>
      <c r="Y1155">
        <f>IF(ISNUMBER(Q1155),1,0)</f>
        <v/>
      </c>
      <c r="Z1155">
        <f>IF(AND(K1155=0,L1155=0,Y1155=0),1,0)</f>
        <v/>
      </c>
      <c r="AA1155">
        <f>IF(AND(Z1155=1,G1155&lt;Assumptions!$C$6),1,0)</f>
        <v/>
      </c>
      <c r="AB1155">
        <f>IF(U1155=0,"",IF(Y1155=1,MAX(0,Q1155-G1155),IF(L1155=1,MAX(0,R1155-G1155),MAX(0,Assumptions!$C$6-G1155))))</f>
        <v/>
      </c>
      <c r="AC1155">
        <f>IF(Y1155=1,Q1155-F1155,"")</f>
        <v/>
      </c>
      <c r="AD1155">
        <f>IF(Y1155=1,AC1155^2,"")</f>
        <v/>
      </c>
      <c r="AE1155" s="19">
        <f>IF(Z1155=1,(H1155-M1155)*I1155,0)</f>
        <v/>
      </c>
      <c r="AF1155">
        <f>IF(G1155&lt;EDATE(Assumptions!$C$6,-12)+1,"prior_12m","last_12m")</f>
        <v/>
      </c>
      <c r="AG1155" s="21">
        <f>DATE(YEAR(G1155),MONTH(G1155),1)</f>
        <v/>
      </c>
    </row>
    <row r="1156">
      <c r="A1156" t="inlineStr">
        <is>
          <t>SPO-00631-1</t>
        </is>
      </c>
      <c r="B1156" t="inlineStr">
        <is>
          <t>SPO-00631</t>
        </is>
      </c>
      <c r="C1156" t="inlineStr">
        <is>
          <t>SUP-01</t>
        </is>
      </c>
      <c r="D1156" t="inlineStr">
        <is>
          <t>ELEC</t>
        </is>
      </c>
      <c r="E1156" t="inlineStr">
        <is>
          <t>ELEC-02</t>
        </is>
      </c>
      <c r="F1156" s="17" t="n">
        <v>45734</v>
      </c>
      <c r="G1156" s="17" t="n">
        <v>45752</v>
      </c>
      <c r="H1156" s="18" t="n">
        <v>500</v>
      </c>
      <c r="I1156" s="19" t="n">
        <v>4.36</v>
      </c>
      <c r="J1156" s="19" t="n">
        <v>4.2</v>
      </c>
      <c r="K1156" s="20" t="n">
        <v>0</v>
      </c>
      <c r="L1156" s="20" t="n">
        <v>0</v>
      </c>
      <c r="M1156" s="18" t="n">
        <v>500</v>
      </c>
      <c r="N1156" s="18" t="n">
        <v>500</v>
      </c>
      <c r="O1156" s="18" t="n">
        <v>0</v>
      </c>
      <c r="P1156" s="17" t="n">
        <v>45751</v>
      </c>
      <c r="Q1156" s="17" t="n">
        <v>45751</v>
      </c>
      <c r="R1156" s="17" t="n">
        <v>45751</v>
      </c>
      <c r="S1156" s="19">
        <f>H1156*I1156</f>
        <v/>
      </c>
      <c r="T1156" s="19">
        <f>H1156*J1156</f>
        <v/>
      </c>
      <c r="U1156">
        <f>IF(AND(K1156=0,G1156&lt;=Assumptions!$C$6),1,0)</f>
        <v/>
      </c>
      <c r="V1156">
        <f>IF(U1156=1,IF(M1156&gt;0,IF(P1156&lt;=G1156+Assumptions!$C$7,1,0),0),0)</f>
        <v/>
      </c>
      <c r="W1156">
        <f>IF(AND(U1156=1,M1156&gt;=H1156*(1-Assumptions!$C$8)),1,0)</f>
        <v/>
      </c>
      <c r="X1156">
        <f>IF(AND(U1156=1,N1156&gt;=H1156*(1-Assumptions!$C$8)),1,0)</f>
        <v/>
      </c>
      <c r="Y1156">
        <f>IF(ISNUMBER(Q1156),1,0)</f>
        <v/>
      </c>
      <c r="Z1156">
        <f>IF(AND(K1156=0,L1156=0,Y1156=0),1,0)</f>
        <v/>
      </c>
      <c r="AA1156">
        <f>IF(AND(Z1156=1,G1156&lt;Assumptions!$C$6),1,0)</f>
        <v/>
      </c>
      <c r="AB1156">
        <f>IF(U1156=0,"",IF(Y1156=1,MAX(0,Q1156-G1156),IF(L1156=1,MAX(0,R1156-G1156),MAX(0,Assumptions!$C$6-G1156))))</f>
        <v/>
      </c>
      <c r="AC1156">
        <f>IF(Y1156=1,Q1156-F1156,"")</f>
        <v/>
      </c>
      <c r="AD1156">
        <f>IF(Y1156=1,AC1156^2,"")</f>
        <v/>
      </c>
      <c r="AE1156" s="19">
        <f>IF(Z1156=1,(H1156-M1156)*I1156,0)</f>
        <v/>
      </c>
      <c r="AF1156">
        <f>IF(G1156&lt;EDATE(Assumptions!$C$6,-12)+1,"prior_12m","last_12m")</f>
        <v/>
      </c>
      <c r="AG1156" s="21">
        <f>DATE(YEAR(G1156),MONTH(G1156),1)</f>
        <v/>
      </c>
    </row>
    <row r="1157">
      <c r="A1157" t="inlineStr">
        <is>
          <t>SPO-00631-2</t>
        </is>
      </c>
      <c r="B1157" t="inlineStr">
        <is>
          <t>SPO-00631</t>
        </is>
      </c>
      <c r="C1157" t="inlineStr">
        <is>
          <t>SUP-01</t>
        </is>
      </c>
      <c r="D1157" t="inlineStr">
        <is>
          <t>ELEC</t>
        </is>
      </c>
      <c r="E1157" t="inlineStr">
        <is>
          <t>ELEC-04</t>
        </is>
      </c>
      <c r="F1157" s="17" t="n">
        <v>45734</v>
      </c>
      <c r="G1157" s="17" t="n">
        <v>45752</v>
      </c>
      <c r="H1157" s="18" t="n">
        <v>64</v>
      </c>
      <c r="I1157" s="19" t="n">
        <v>74.18000000000001</v>
      </c>
      <c r="J1157" s="19" t="n">
        <v>72</v>
      </c>
      <c r="K1157" s="20" t="n">
        <v>0</v>
      </c>
      <c r="L1157" s="20" t="n">
        <v>0</v>
      </c>
      <c r="M1157" s="18" t="n">
        <v>64</v>
      </c>
      <c r="N1157" s="18" t="n">
        <v>64</v>
      </c>
      <c r="O1157" s="18" t="n">
        <v>0</v>
      </c>
      <c r="P1157" s="17" t="n">
        <v>45749</v>
      </c>
      <c r="Q1157" s="17" t="n">
        <v>45749</v>
      </c>
      <c r="R1157" s="17" t="n">
        <v>45749</v>
      </c>
      <c r="S1157" s="19">
        <f>H1157*I1157</f>
        <v/>
      </c>
      <c r="T1157" s="19">
        <f>H1157*J1157</f>
        <v/>
      </c>
      <c r="U1157">
        <f>IF(AND(K1157=0,G1157&lt;=Assumptions!$C$6),1,0)</f>
        <v/>
      </c>
      <c r="V1157">
        <f>IF(U1157=1,IF(M1157&gt;0,IF(P1157&lt;=G1157+Assumptions!$C$7,1,0),0),0)</f>
        <v/>
      </c>
      <c r="W1157">
        <f>IF(AND(U1157=1,M1157&gt;=H1157*(1-Assumptions!$C$8)),1,0)</f>
        <v/>
      </c>
      <c r="X1157">
        <f>IF(AND(U1157=1,N1157&gt;=H1157*(1-Assumptions!$C$8)),1,0)</f>
        <v/>
      </c>
      <c r="Y1157">
        <f>IF(ISNUMBER(Q1157),1,0)</f>
        <v/>
      </c>
      <c r="Z1157">
        <f>IF(AND(K1157=0,L1157=0,Y1157=0),1,0)</f>
        <v/>
      </c>
      <c r="AA1157">
        <f>IF(AND(Z1157=1,G1157&lt;Assumptions!$C$6),1,0)</f>
        <v/>
      </c>
      <c r="AB1157">
        <f>IF(U1157=0,"",IF(Y1157=1,MAX(0,Q1157-G1157),IF(L1157=1,MAX(0,R1157-G1157),MAX(0,Assumptions!$C$6-G1157))))</f>
        <v/>
      </c>
      <c r="AC1157">
        <f>IF(Y1157=1,Q1157-F1157,"")</f>
        <v/>
      </c>
      <c r="AD1157">
        <f>IF(Y1157=1,AC1157^2,"")</f>
        <v/>
      </c>
      <c r="AE1157" s="19">
        <f>IF(Z1157=1,(H1157-M1157)*I1157,0)</f>
        <v/>
      </c>
      <c r="AF1157">
        <f>IF(G1157&lt;EDATE(Assumptions!$C$6,-12)+1,"prior_12m","last_12m")</f>
        <v/>
      </c>
      <c r="AG1157" s="21">
        <f>DATE(YEAR(G1157),MONTH(G1157),1)</f>
        <v/>
      </c>
    </row>
    <row r="1158">
      <c r="A1158" t="inlineStr">
        <is>
          <t>SPO-00631-3</t>
        </is>
      </c>
      <c r="B1158" t="inlineStr">
        <is>
          <t>SPO-00631</t>
        </is>
      </c>
      <c r="C1158" t="inlineStr">
        <is>
          <t>SUP-01</t>
        </is>
      </c>
      <c r="D1158" t="inlineStr">
        <is>
          <t>ELEC</t>
        </is>
      </c>
      <c r="E1158" t="inlineStr">
        <is>
          <t>ELEC-07</t>
        </is>
      </c>
      <c r="F1158" s="17" t="n">
        <v>45734</v>
      </c>
      <c r="G1158" s="17" t="n">
        <v>45752</v>
      </c>
      <c r="H1158" s="18" t="n">
        <v>182</v>
      </c>
      <c r="I1158" s="19" t="n">
        <v>9.949999999999999</v>
      </c>
      <c r="J1158" s="19" t="n">
        <v>9.800000000000001</v>
      </c>
      <c r="K1158" s="20" t="n">
        <v>0</v>
      </c>
      <c r="L1158" s="20" t="n">
        <v>0</v>
      </c>
      <c r="M1158" s="18" t="n">
        <v>182</v>
      </c>
      <c r="N1158" s="18" t="n">
        <v>182</v>
      </c>
      <c r="O1158" s="18" t="n">
        <v>0</v>
      </c>
      <c r="P1158" s="17" t="n">
        <v>45747</v>
      </c>
      <c r="Q1158" s="17" t="n">
        <v>45747</v>
      </c>
      <c r="R1158" s="17" t="n">
        <v>45747</v>
      </c>
      <c r="S1158" s="19">
        <f>H1158*I1158</f>
        <v/>
      </c>
      <c r="T1158" s="19">
        <f>H1158*J1158</f>
        <v/>
      </c>
      <c r="U1158">
        <f>IF(AND(K1158=0,G1158&lt;=Assumptions!$C$6),1,0)</f>
        <v/>
      </c>
      <c r="V1158">
        <f>IF(U1158=1,IF(M1158&gt;0,IF(P1158&lt;=G1158+Assumptions!$C$7,1,0),0),0)</f>
        <v/>
      </c>
      <c r="W1158">
        <f>IF(AND(U1158=1,M1158&gt;=H1158*(1-Assumptions!$C$8)),1,0)</f>
        <v/>
      </c>
      <c r="X1158">
        <f>IF(AND(U1158=1,N1158&gt;=H1158*(1-Assumptions!$C$8)),1,0)</f>
        <v/>
      </c>
      <c r="Y1158">
        <f>IF(ISNUMBER(Q1158),1,0)</f>
        <v/>
      </c>
      <c r="Z1158">
        <f>IF(AND(K1158=0,L1158=0,Y1158=0),1,0)</f>
        <v/>
      </c>
      <c r="AA1158">
        <f>IF(AND(Z1158=1,G1158&lt;Assumptions!$C$6),1,0)</f>
        <v/>
      </c>
      <c r="AB1158">
        <f>IF(U1158=0,"",IF(Y1158=1,MAX(0,Q1158-G1158),IF(L1158=1,MAX(0,R1158-G1158),MAX(0,Assumptions!$C$6-G1158))))</f>
        <v/>
      </c>
      <c r="AC1158">
        <f>IF(Y1158=1,Q1158-F1158,"")</f>
        <v/>
      </c>
      <c r="AD1158">
        <f>IF(Y1158=1,AC1158^2,"")</f>
        <v/>
      </c>
      <c r="AE1158" s="19">
        <f>IF(Z1158=1,(H1158-M1158)*I1158,0)</f>
        <v/>
      </c>
      <c r="AF1158">
        <f>IF(G1158&lt;EDATE(Assumptions!$C$6,-12)+1,"prior_12m","last_12m")</f>
        <v/>
      </c>
      <c r="AG1158" s="21">
        <f>DATE(YEAR(G1158),MONTH(G1158),1)</f>
        <v/>
      </c>
    </row>
    <row r="1159">
      <c r="A1159" t="inlineStr">
        <is>
          <t>SPO-00632-1</t>
        </is>
      </c>
      <c r="B1159" t="inlineStr">
        <is>
          <t>SPO-00632</t>
        </is>
      </c>
      <c r="C1159" t="inlineStr">
        <is>
          <t>SUP-09</t>
        </is>
      </c>
      <c r="D1159" t="inlineStr">
        <is>
          <t>CHEM</t>
        </is>
      </c>
      <c r="E1159" t="inlineStr">
        <is>
          <t>CHEM-01</t>
        </is>
      </c>
      <c r="F1159" s="17" t="n">
        <v>45734</v>
      </c>
      <c r="G1159" s="17" t="n">
        <v>45748</v>
      </c>
      <c r="H1159" s="18" t="n">
        <v>1</v>
      </c>
      <c r="I1159" s="19" t="n">
        <v>637.4400000000001</v>
      </c>
      <c r="J1159" s="19" t="n">
        <v>640</v>
      </c>
      <c r="K1159" s="20" t="n">
        <v>0</v>
      </c>
      <c r="L1159" s="20" t="n">
        <v>0</v>
      </c>
      <c r="M1159" s="18" t="n">
        <v>1</v>
      </c>
      <c r="N1159" s="18" t="n">
        <v>1</v>
      </c>
      <c r="O1159" s="18" t="n">
        <v>0</v>
      </c>
      <c r="P1159" s="17" t="n">
        <v>45748</v>
      </c>
      <c r="Q1159" s="17" t="n">
        <v>45748</v>
      </c>
      <c r="R1159" s="17" t="n">
        <v>45748</v>
      </c>
      <c r="S1159" s="19">
        <f>H1159*I1159</f>
        <v/>
      </c>
      <c r="T1159" s="19">
        <f>H1159*J1159</f>
        <v/>
      </c>
      <c r="U1159">
        <f>IF(AND(K1159=0,G1159&lt;=Assumptions!$C$6),1,0)</f>
        <v/>
      </c>
      <c r="V1159">
        <f>IF(U1159=1,IF(M1159&gt;0,IF(P1159&lt;=G1159+Assumptions!$C$7,1,0),0),0)</f>
        <v/>
      </c>
      <c r="W1159">
        <f>IF(AND(U1159=1,M1159&gt;=H1159*(1-Assumptions!$C$8)),1,0)</f>
        <v/>
      </c>
      <c r="X1159">
        <f>IF(AND(U1159=1,N1159&gt;=H1159*(1-Assumptions!$C$8)),1,0)</f>
        <v/>
      </c>
      <c r="Y1159">
        <f>IF(ISNUMBER(Q1159),1,0)</f>
        <v/>
      </c>
      <c r="Z1159">
        <f>IF(AND(K1159=0,L1159=0,Y1159=0),1,0)</f>
        <v/>
      </c>
      <c r="AA1159">
        <f>IF(AND(Z1159=1,G1159&lt;Assumptions!$C$6),1,0)</f>
        <v/>
      </c>
      <c r="AB1159">
        <f>IF(U1159=0,"",IF(Y1159=1,MAX(0,Q1159-G1159),IF(L1159=1,MAX(0,R1159-G1159),MAX(0,Assumptions!$C$6-G1159))))</f>
        <v/>
      </c>
      <c r="AC1159">
        <f>IF(Y1159=1,Q1159-F1159,"")</f>
        <v/>
      </c>
      <c r="AD1159">
        <f>IF(Y1159=1,AC1159^2,"")</f>
        <v/>
      </c>
      <c r="AE1159" s="19">
        <f>IF(Z1159=1,(H1159-M1159)*I1159,0)</f>
        <v/>
      </c>
      <c r="AF1159">
        <f>IF(G1159&lt;EDATE(Assumptions!$C$6,-12)+1,"prior_12m","last_12m")</f>
        <v/>
      </c>
      <c r="AG1159" s="21">
        <f>DATE(YEAR(G1159),MONTH(G1159),1)</f>
        <v/>
      </c>
    </row>
    <row r="1160">
      <c r="A1160" t="inlineStr">
        <is>
          <t>SPO-00633-1</t>
        </is>
      </c>
      <c r="B1160" t="inlineStr">
        <is>
          <t>SPO-00633</t>
        </is>
      </c>
      <c r="C1160" t="inlineStr">
        <is>
          <t>SUP-01</t>
        </is>
      </c>
      <c r="D1160" t="inlineStr">
        <is>
          <t>ELEC</t>
        </is>
      </c>
      <c r="E1160" t="inlineStr">
        <is>
          <t>ELEC-04</t>
        </is>
      </c>
      <c r="F1160" s="17" t="n">
        <v>45735</v>
      </c>
      <c r="G1160" s="17" t="n">
        <v>45753</v>
      </c>
      <c r="H1160" s="18" t="n">
        <v>44</v>
      </c>
      <c r="I1160" s="19" t="n">
        <v>72.06999999999999</v>
      </c>
      <c r="J1160" s="19" t="n">
        <v>72</v>
      </c>
      <c r="K1160" s="20" t="n">
        <v>0</v>
      </c>
      <c r="L1160" s="20" t="n">
        <v>0</v>
      </c>
      <c r="M1160" s="18" t="n">
        <v>44</v>
      </c>
      <c r="N1160" s="18" t="n">
        <v>44</v>
      </c>
      <c r="O1160" s="18" t="n">
        <v>0</v>
      </c>
      <c r="P1160" s="17" t="n">
        <v>45749</v>
      </c>
      <c r="Q1160" s="17" t="n">
        <v>45749</v>
      </c>
      <c r="R1160" s="17" t="n">
        <v>45749</v>
      </c>
      <c r="S1160" s="19">
        <f>H1160*I1160</f>
        <v/>
      </c>
      <c r="T1160" s="19">
        <f>H1160*J1160</f>
        <v/>
      </c>
      <c r="U1160">
        <f>IF(AND(K1160=0,G1160&lt;=Assumptions!$C$6),1,0)</f>
        <v/>
      </c>
      <c r="V1160">
        <f>IF(U1160=1,IF(M1160&gt;0,IF(P1160&lt;=G1160+Assumptions!$C$7,1,0),0),0)</f>
        <v/>
      </c>
      <c r="W1160">
        <f>IF(AND(U1160=1,M1160&gt;=H1160*(1-Assumptions!$C$8)),1,0)</f>
        <v/>
      </c>
      <c r="X1160">
        <f>IF(AND(U1160=1,N1160&gt;=H1160*(1-Assumptions!$C$8)),1,0)</f>
        <v/>
      </c>
      <c r="Y1160">
        <f>IF(ISNUMBER(Q1160),1,0)</f>
        <v/>
      </c>
      <c r="Z1160">
        <f>IF(AND(K1160=0,L1160=0,Y1160=0),1,0)</f>
        <v/>
      </c>
      <c r="AA1160">
        <f>IF(AND(Z1160=1,G1160&lt;Assumptions!$C$6),1,0)</f>
        <v/>
      </c>
      <c r="AB1160">
        <f>IF(U1160=0,"",IF(Y1160=1,MAX(0,Q1160-G1160),IF(L1160=1,MAX(0,R1160-G1160),MAX(0,Assumptions!$C$6-G1160))))</f>
        <v/>
      </c>
      <c r="AC1160">
        <f>IF(Y1160=1,Q1160-F1160,"")</f>
        <v/>
      </c>
      <c r="AD1160">
        <f>IF(Y1160=1,AC1160^2,"")</f>
        <v/>
      </c>
      <c r="AE1160" s="19">
        <f>IF(Z1160=1,(H1160-M1160)*I1160,0)</f>
        <v/>
      </c>
      <c r="AF1160">
        <f>IF(G1160&lt;EDATE(Assumptions!$C$6,-12)+1,"prior_12m","last_12m")</f>
        <v/>
      </c>
      <c r="AG1160" s="21">
        <f>DATE(YEAR(G1160),MONTH(G1160),1)</f>
        <v/>
      </c>
    </row>
    <row r="1161">
      <c r="A1161" t="inlineStr">
        <is>
          <t>SPO-00634-1</t>
        </is>
      </c>
      <c r="B1161" t="inlineStr">
        <is>
          <t>SPO-00634</t>
        </is>
      </c>
      <c r="C1161" t="inlineStr">
        <is>
          <t>SUP-01</t>
        </is>
      </c>
      <c r="D1161" t="inlineStr">
        <is>
          <t>ELEC</t>
        </is>
      </c>
      <c r="E1161" t="inlineStr">
        <is>
          <t>ELEC-04</t>
        </is>
      </c>
      <c r="F1161" s="17" t="n">
        <v>45735</v>
      </c>
      <c r="G1161" s="17" t="n">
        <v>45753</v>
      </c>
      <c r="H1161" s="18" t="n">
        <v>29</v>
      </c>
      <c r="I1161" s="19" t="n">
        <v>70.95</v>
      </c>
      <c r="J1161" s="19" t="n">
        <v>72</v>
      </c>
      <c r="K1161" s="20" t="n">
        <v>0</v>
      </c>
      <c r="L1161" s="20" t="n">
        <v>0</v>
      </c>
      <c r="M1161" s="18" t="n">
        <v>29</v>
      </c>
      <c r="N1161" s="18" t="n">
        <v>29</v>
      </c>
      <c r="O1161" s="18" t="n">
        <v>0</v>
      </c>
      <c r="P1161" s="17" t="n">
        <v>45749</v>
      </c>
      <c r="Q1161" s="17" t="n">
        <v>45749</v>
      </c>
      <c r="R1161" s="17" t="n">
        <v>45749</v>
      </c>
      <c r="S1161" s="19">
        <f>H1161*I1161</f>
        <v/>
      </c>
      <c r="T1161" s="19">
        <f>H1161*J1161</f>
        <v/>
      </c>
      <c r="U1161">
        <f>IF(AND(K1161=0,G1161&lt;=Assumptions!$C$6),1,0)</f>
        <v/>
      </c>
      <c r="V1161">
        <f>IF(U1161=1,IF(M1161&gt;0,IF(P1161&lt;=G1161+Assumptions!$C$7,1,0),0),0)</f>
        <v/>
      </c>
      <c r="W1161">
        <f>IF(AND(U1161=1,M1161&gt;=H1161*(1-Assumptions!$C$8)),1,0)</f>
        <v/>
      </c>
      <c r="X1161">
        <f>IF(AND(U1161=1,N1161&gt;=H1161*(1-Assumptions!$C$8)),1,0)</f>
        <v/>
      </c>
      <c r="Y1161">
        <f>IF(ISNUMBER(Q1161),1,0)</f>
        <v/>
      </c>
      <c r="Z1161">
        <f>IF(AND(K1161=0,L1161=0,Y1161=0),1,0)</f>
        <v/>
      </c>
      <c r="AA1161">
        <f>IF(AND(Z1161=1,G1161&lt;Assumptions!$C$6),1,0)</f>
        <v/>
      </c>
      <c r="AB1161">
        <f>IF(U1161=0,"",IF(Y1161=1,MAX(0,Q1161-G1161),IF(L1161=1,MAX(0,R1161-G1161),MAX(0,Assumptions!$C$6-G1161))))</f>
        <v/>
      </c>
      <c r="AC1161">
        <f>IF(Y1161=1,Q1161-F1161,"")</f>
        <v/>
      </c>
      <c r="AD1161">
        <f>IF(Y1161=1,AC1161^2,"")</f>
        <v/>
      </c>
      <c r="AE1161" s="19">
        <f>IF(Z1161=1,(H1161-M1161)*I1161,0)</f>
        <v/>
      </c>
      <c r="AF1161">
        <f>IF(G1161&lt;EDATE(Assumptions!$C$6,-12)+1,"prior_12m","last_12m")</f>
        <v/>
      </c>
      <c r="AG1161" s="21">
        <f>DATE(YEAR(G1161),MONTH(G1161),1)</f>
        <v/>
      </c>
    </row>
    <row r="1162">
      <c r="A1162" t="inlineStr">
        <is>
          <t>SPO-00634-2</t>
        </is>
      </c>
      <c r="B1162" t="inlineStr">
        <is>
          <t>SPO-00634</t>
        </is>
      </c>
      <c r="C1162" t="inlineStr">
        <is>
          <t>SUP-01</t>
        </is>
      </c>
      <c r="D1162" t="inlineStr">
        <is>
          <t>ELEC</t>
        </is>
      </c>
      <c r="E1162" t="inlineStr">
        <is>
          <t>ELEC-02</t>
        </is>
      </c>
      <c r="F1162" s="17" t="n">
        <v>45735</v>
      </c>
      <c r="G1162" s="17" t="n">
        <v>45753</v>
      </c>
      <c r="H1162" s="18" t="n">
        <v>449</v>
      </c>
      <c r="I1162" s="19" t="n">
        <v>4.21</v>
      </c>
      <c r="J1162" s="19" t="n">
        <v>4.2</v>
      </c>
      <c r="K1162" s="20" t="n">
        <v>0</v>
      </c>
      <c r="L1162" s="20" t="n">
        <v>0</v>
      </c>
      <c r="M1162" s="18" t="n">
        <v>449</v>
      </c>
      <c r="N1162" s="18" t="n">
        <v>449</v>
      </c>
      <c r="O1162" s="18" t="n">
        <v>0</v>
      </c>
      <c r="P1162" s="17" t="n">
        <v>45751</v>
      </c>
      <c r="Q1162" s="17" t="n">
        <v>45751</v>
      </c>
      <c r="R1162" s="17" t="n">
        <v>45751</v>
      </c>
      <c r="S1162" s="19">
        <f>H1162*I1162</f>
        <v/>
      </c>
      <c r="T1162" s="19">
        <f>H1162*J1162</f>
        <v/>
      </c>
      <c r="U1162">
        <f>IF(AND(K1162=0,G1162&lt;=Assumptions!$C$6),1,0)</f>
        <v/>
      </c>
      <c r="V1162">
        <f>IF(U1162=1,IF(M1162&gt;0,IF(P1162&lt;=G1162+Assumptions!$C$7,1,0),0),0)</f>
        <v/>
      </c>
      <c r="W1162">
        <f>IF(AND(U1162=1,M1162&gt;=H1162*(1-Assumptions!$C$8)),1,0)</f>
        <v/>
      </c>
      <c r="X1162">
        <f>IF(AND(U1162=1,N1162&gt;=H1162*(1-Assumptions!$C$8)),1,0)</f>
        <v/>
      </c>
      <c r="Y1162">
        <f>IF(ISNUMBER(Q1162),1,0)</f>
        <v/>
      </c>
      <c r="Z1162">
        <f>IF(AND(K1162=0,L1162=0,Y1162=0),1,0)</f>
        <v/>
      </c>
      <c r="AA1162">
        <f>IF(AND(Z1162=1,G1162&lt;Assumptions!$C$6),1,0)</f>
        <v/>
      </c>
      <c r="AB1162">
        <f>IF(U1162=0,"",IF(Y1162=1,MAX(0,Q1162-G1162),IF(L1162=1,MAX(0,R1162-G1162),MAX(0,Assumptions!$C$6-G1162))))</f>
        <v/>
      </c>
      <c r="AC1162">
        <f>IF(Y1162=1,Q1162-F1162,"")</f>
        <v/>
      </c>
      <c r="AD1162">
        <f>IF(Y1162=1,AC1162^2,"")</f>
        <v/>
      </c>
      <c r="AE1162" s="19">
        <f>IF(Z1162=1,(H1162-M1162)*I1162,0)</f>
        <v/>
      </c>
      <c r="AF1162">
        <f>IF(G1162&lt;EDATE(Assumptions!$C$6,-12)+1,"prior_12m","last_12m")</f>
        <v/>
      </c>
      <c r="AG1162" s="21">
        <f>DATE(YEAR(G1162),MONTH(G1162),1)</f>
        <v/>
      </c>
    </row>
    <row r="1163">
      <c r="A1163" t="inlineStr">
        <is>
          <t>SPO-00635-1</t>
        </is>
      </c>
      <c r="B1163" t="inlineStr">
        <is>
          <t>SPO-00635</t>
        </is>
      </c>
      <c r="C1163" t="inlineStr">
        <is>
          <t>SUP-05</t>
        </is>
      </c>
      <c r="D1163" t="inlineStr">
        <is>
          <t>FLEET</t>
        </is>
      </c>
      <c r="E1163" t="inlineStr">
        <is>
          <t>FLEET-05</t>
        </is>
      </c>
      <c r="F1163" s="17" t="n">
        <v>45735</v>
      </c>
      <c r="G1163" s="17" t="n">
        <v>45749</v>
      </c>
      <c r="H1163" s="18" t="n">
        <v>12</v>
      </c>
      <c r="I1163" s="19" t="n">
        <v>161.17</v>
      </c>
      <c r="J1163" s="19" t="n">
        <v>168</v>
      </c>
      <c r="K1163" s="20" t="n">
        <v>0</v>
      </c>
      <c r="L1163" s="20" t="n">
        <v>0</v>
      </c>
      <c r="M1163" s="18" t="n">
        <v>12</v>
      </c>
      <c r="N1163" s="18" t="n">
        <v>12</v>
      </c>
      <c r="O1163" s="18" t="n">
        <v>0</v>
      </c>
      <c r="P1163" s="17" t="n">
        <v>45745</v>
      </c>
      <c r="Q1163" s="17" t="n">
        <v>45745</v>
      </c>
      <c r="R1163" s="17" t="n">
        <v>45745</v>
      </c>
      <c r="S1163" s="19">
        <f>H1163*I1163</f>
        <v/>
      </c>
      <c r="T1163" s="19">
        <f>H1163*J1163</f>
        <v/>
      </c>
      <c r="U1163">
        <f>IF(AND(K1163=0,G1163&lt;=Assumptions!$C$6),1,0)</f>
        <v/>
      </c>
      <c r="V1163">
        <f>IF(U1163=1,IF(M1163&gt;0,IF(P1163&lt;=G1163+Assumptions!$C$7,1,0),0),0)</f>
        <v/>
      </c>
      <c r="W1163">
        <f>IF(AND(U1163=1,M1163&gt;=H1163*(1-Assumptions!$C$8)),1,0)</f>
        <v/>
      </c>
      <c r="X1163">
        <f>IF(AND(U1163=1,N1163&gt;=H1163*(1-Assumptions!$C$8)),1,0)</f>
        <v/>
      </c>
      <c r="Y1163">
        <f>IF(ISNUMBER(Q1163),1,0)</f>
        <v/>
      </c>
      <c r="Z1163">
        <f>IF(AND(K1163=0,L1163=0,Y1163=0),1,0)</f>
        <v/>
      </c>
      <c r="AA1163">
        <f>IF(AND(Z1163=1,G1163&lt;Assumptions!$C$6),1,0)</f>
        <v/>
      </c>
      <c r="AB1163">
        <f>IF(U1163=0,"",IF(Y1163=1,MAX(0,Q1163-G1163),IF(L1163=1,MAX(0,R1163-G1163),MAX(0,Assumptions!$C$6-G1163))))</f>
        <v/>
      </c>
      <c r="AC1163">
        <f>IF(Y1163=1,Q1163-F1163,"")</f>
        <v/>
      </c>
      <c r="AD1163">
        <f>IF(Y1163=1,AC1163^2,"")</f>
        <v/>
      </c>
      <c r="AE1163" s="19">
        <f>IF(Z1163=1,(H1163-M1163)*I1163,0)</f>
        <v/>
      </c>
      <c r="AF1163">
        <f>IF(G1163&lt;EDATE(Assumptions!$C$6,-12)+1,"prior_12m","last_12m")</f>
        <v/>
      </c>
      <c r="AG1163" s="21">
        <f>DATE(YEAR(G1163),MONTH(G1163),1)</f>
        <v/>
      </c>
    </row>
    <row r="1164">
      <c r="A1164" t="inlineStr">
        <is>
          <t>SPO-00635-2</t>
        </is>
      </c>
      <c r="B1164" t="inlineStr">
        <is>
          <t>SPO-00635</t>
        </is>
      </c>
      <c r="C1164" t="inlineStr">
        <is>
          <t>SUP-05</t>
        </is>
      </c>
      <c r="D1164" t="inlineStr">
        <is>
          <t>FLEET</t>
        </is>
      </c>
      <c r="E1164" t="inlineStr">
        <is>
          <t>FLEET-01</t>
        </is>
      </c>
      <c r="F1164" s="17" t="n">
        <v>45735</v>
      </c>
      <c r="G1164" s="17" t="n">
        <v>45749</v>
      </c>
      <c r="H1164" s="18" t="n">
        <v>25</v>
      </c>
      <c r="I1164" s="19" t="n">
        <v>69.47</v>
      </c>
      <c r="J1164" s="19" t="n">
        <v>64</v>
      </c>
      <c r="K1164" s="20" t="n">
        <v>0</v>
      </c>
      <c r="L1164" s="20" t="n">
        <v>0</v>
      </c>
      <c r="M1164" s="18" t="n">
        <v>25</v>
      </c>
      <c r="N1164" s="18" t="n">
        <v>25</v>
      </c>
      <c r="O1164" s="18" t="n">
        <v>0</v>
      </c>
      <c r="P1164" s="17" t="n">
        <v>45749</v>
      </c>
      <c r="Q1164" s="17" t="n">
        <v>45749</v>
      </c>
      <c r="R1164" s="17" t="n">
        <v>45749</v>
      </c>
      <c r="S1164" s="19">
        <f>H1164*I1164</f>
        <v/>
      </c>
      <c r="T1164" s="19">
        <f>H1164*J1164</f>
        <v/>
      </c>
      <c r="U1164">
        <f>IF(AND(K1164=0,G1164&lt;=Assumptions!$C$6),1,0)</f>
        <v/>
      </c>
      <c r="V1164">
        <f>IF(U1164=1,IF(M1164&gt;0,IF(P1164&lt;=G1164+Assumptions!$C$7,1,0),0),0)</f>
        <v/>
      </c>
      <c r="W1164">
        <f>IF(AND(U1164=1,M1164&gt;=H1164*(1-Assumptions!$C$8)),1,0)</f>
        <v/>
      </c>
      <c r="X1164">
        <f>IF(AND(U1164=1,N1164&gt;=H1164*(1-Assumptions!$C$8)),1,0)</f>
        <v/>
      </c>
      <c r="Y1164">
        <f>IF(ISNUMBER(Q1164),1,0)</f>
        <v/>
      </c>
      <c r="Z1164">
        <f>IF(AND(K1164=0,L1164=0,Y1164=0),1,0)</f>
        <v/>
      </c>
      <c r="AA1164">
        <f>IF(AND(Z1164=1,G1164&lt;Assumptions!$C$6),1,0)</f>
        <v/>
      </c>
      <c r="AB1164">
        <f>IF(U1164=0,"",IF(Y1164=1,MAX(0,Q1164-G1164),IF(L1164=1,MAX(0,R1164-G1164),MAX(0,Assumptions!$C$6-G1164))))</f>
        <v/>
      </c>
      <c r="AC1164">
        <f>IF(Y1164=1,Q1164-F1164,"")</f>
        <v/>
      </c>
      <c r="AD1164">
        <f>IF(Y1164=1,AC1164^2,"")</f>
        <v/>
      </c>
      <c r="AE1164" s="19">
        <f>IF(Z1164=1,(H1164-M1164)*I1164,0)</f>
        <v/>
      </c>
      <c r="AF1164">
        <f>IF(G1164&lt;EDATE(Assumptions!$C$6,-12)+1,"prior_12m","last_12m")</f>
        <v/>
      </c>
      <c r="AG1164" s="21">
        <f>DATE(YEAR(G1164),MONTH(G1164),1)</f>
        <v/>
      </c>
    </row>
    <row r="1165">
      <c r="A1165" t="inlineStr">
        <is>
          <t>SPO-00636-1</t>
        </is>
      </c>
      <c r="B1165" t="inlineStr">
        <is>
          <t>SPO-00636</t>
        </is>
      </c>
      <c r="C1165" t="inlineStr">
        <is>
          <t>SUP-05</t>
        </is>
      </c>
      <c r="D1165" t="inlineStr">
        <is>
          <t>FLEET</t>
        </is>
      </c>
      <c r="E1165" t="inlineStr">
        <is>
          <t>FLEET-03</t>
        </is>
      </c>
      <c r="F1165" s="17" t="n">
        <v>45735</v>
      </c>
      <c r="G1165" s="17" t="n">
        <v>45749</v>
      </c>
      <c r="H1165" s="18" t="n">
        <v>72</v>
      </c>
      <c r="I1165" s="19" t="n">
        <v>20.26</v>
      </c>
      <c r="J1165" s="19" t="n">
        <v>21</v>
      </c>
      <c r="K1165" s="20" t="n">
        <v>0</v>
      </c>
      <c r="L1165" s="20" t="n">
        <v>0</v>
      </c>
      <c r="M1165" s="18" t="n">
        <v>72</v>
      </c>
      <c r="N1165" s="18" t="n">
        <v>72</v>
      </c>
      <c r="O1165" s="18" t="n">
        <v>0</v>
      </c>
      <c r="P1165" s="17" t="n">
        <v>45746</v>
      </c>
      <c r="Q1165" s="17" t="n">
        <v>45746</v>
      </c>
      <c r="R1165" s="17" t="n">
        <v>45746</v>
      </c>
      <c r="S1165" s="19">
        <f>H1165*I1165</f>
        <v/>
      </c>
      <c r="T1165" s="19">
        <f>H1165*J1165</f>
        <v/>
      </c>
      <c r="U1165">
        <f>IF(AND(K1165=0,G1165&lt;=Assumptions!$C$6),1,0)</f>
        <v/>
      </c>
      <c r="V1165">
        <f>IF(U1165=1,IF(M1165&gt;0,IF(P1165&lt;=G1165+Assumptions!$C$7,1,0),0),0)</f>
        <v/>
      </c>
      <c r="W1165">
        <f>IF(AND(U1165=1,M1165&gt;=H1165*(1-Assumptions!$C$8)),1,0)</f>
        <v/>
      </c>
      <c r="X1165">
        <f>IF(AND(U1165=1,N1165&gt;=H1165*(1-Assumptions!$C$8)),1,0)</f>
        <v/>
      </c>
      <c r="Y1165">
        <f>IF(ISNUMBER(Q1165),1,0)</f>
        <v/>
      </c>
      <c r="Z1165">
        <f>IF(AND(K1165=0,L1165=0,Y1165=0),1,0)</f>
        <v/>
      </c>
      <c r="AA1165">
        <f>IF(AND(Z1165=1,G1165&lt;Assumptions!$C$6),1,0)</f>
        <v/>
      </c>
      <c r="AB1165">
        <f>IF(U1165=0,"",IF(Y1165=1,MAX(0,Q1165-G1165),IF(L1165=1,MAX(0,R1165-G1165),MAX(0,Assumptions!$C$6-G1165))))</f>
        <v/>
      </c>
      <c r="AC1165">
        <f>IF(Y1165=1,Q1165-F1165,"")</f>
        <v/>
      </c>
      <c r="AD1165">
        <f>IF(Y1165=1,AC1165^2,"")</f>
        <v/>
      </c>
      <c r="AE1165" s="19">
        <f>IF(Z1165=1,(H1165-M1165)*I1165,0)</f>
        <v/>
      </c>
      <c r="AF1165">
        <f>IF(G1165&lt;EDATE(Assumptions!$C$6,-12)+1,"prior_12m","last_12m")</f>
        <v/>
      </c>
      <c r="AG1165" s="21">
        <f>DATE(YEAR(G1165),MONTH(G1165),1)</f>
        <v/>
      </c>
    </row>
    <row r="1166">
      <c r="A1166" t="inlineStr">
        <is>
          <t>SPO-00636-2</t>
        </is>
      </c>
      <c r="B1166" t="inlineStr">
        <is>
          <t>SPO-00636</t>
        </is>
      </c>
      <c r="C1166" t="inlineStr">
        <is>
          <t>SUP-05</t>
        </is>
      </c>
      <c r="D1166" t="inlineStr">
        <is>
          <t>FLEET</t>
        </is>
      </c>
      <c r="E1166" t="inlineStr">
        <is>
          <t>FLEET-05</t>
        </is>
      </c>
      <c r="F1166" s="17" t="n">
        <v>45735</v>
      </c>
      <c r="G1166" s="17" t="n">
        <v>45749</v>
      </c>
      <c r="H1166" s="18" t="n">
        <v>9</v>
      </c>
      <c r="I1166" s="19" t="n">
        <v>173.4</v>
      </c>
      <c r="J1166" s="19" t="n">
        <v>168</v>
      </c>
      <c r="K1166" s="20" t="n">
        <v>0</v>
      </c>
      <c r="L1166" s="20" t="n">
        <v>0</v>
      </c>
      <c r="M1166" s="18" t="n">
        <v>9</v>
      </c>
      <c r="N1166" s="18" t="n">
        <v>9</v>
      </c>
      <c r="O1166" s="18" t="n">
        <v>0</v>
      </c>
      <c r="P1166" s="17" t="n">
        <v>45746</v>
      </c>
      <c r="Q1166" s="17" t="n">
        <v>45746</v>
      </c>
      <c r="R1166" s="17" t="n">
        <v>45746</v>
      </c>
      <c r="S1166" s="19">
        <f>H1166*I1166</f>
        <v/>
      </c>
      <c r="T1166" s="19">
        <f>H1166*J1166</f>
        <v/>
      </c>
      <c r="U1166">
        <f>IF(AND(K1166=0,G1166&lt;=Assumptions!$C$6),1,0)</f>
        <v/>
      </c>
      <c r="V1166">
        <f>IF(U1166=1,IF(M1166&gt;0,IF(P1166&lt;=G1166+Assumptions!$C$7,1,0),0),0)</f>
        <v/>
      </c>
      <c r="W1166">
        <f>IF(AND(U1166=1,M1166&gt;=H1166*(1-Assumptions!$C$8)),1,0)</f>
        <v/>
      </c>
      <c r="X1166">
        <f>IF(AND(U1166=1,N1166&gt;=H1166*(1-Assumptions!$C$8)),1,0)</f>
        <v/>
      </c>
      <c r="Y1166">
        <f>IF(ISNUMBER(Q1166),1,0)</f>
        <v/>
      </c>
      <c r="Z1166">
        <f>IF(AND(K1166=0,L1166=0,Y1166=0),1,0)</f>
        <v/>
      </c>
      <c r="AA1166">
        <f>IF(AND(Z1166=1,G1166&lt;Assumptions!$C$6),1,0)</f>
        <v/>
      </c>
      <c r="AB1166">
        <f>IF(U1166=0,"",IF(Y1166=1,MAX(0,Q1166-G1166),IF(L1166=1,MAX(0,R1166-G1166),MAX(0,Assumptions!$C$6-G1166))))</f>
        <v/>
      </c>
      <c r="AC1166">
        <f>IF(Y1166=1,Q1166-F1166,"")</f>
        <v/>
      </c>
      <c r="AD1166">
        <f>IF(Y1166=1,AC1166^2,"")</f>
        <v/>
      </c>
      <c r="AE1166" s="19">
        <f>IF(Z1166=1,(H1166-M1166)*I1166,0)</f>
        <v/>
      </c>
      <c r="AF1166">
        <f>IF(G1166&lt;EDATE(Assumptions!$C$6,-12)+1,"prior_12m","last_12m")</f>
        <v/>
      </c>
      <c r="AG1166" s="21">
        <f>DATE(YEAR(G1166),MONTH(G1166),1)</f>
        <v/>
      </c>
    </row>
    <row r="1167">
      <c r="A1167" t="inlineStr">
        <is>
          <t>SPO-00637-1</t>
        </is>
      </c>
      <c r="B1167" t="inlineStr">
        <is>
          <t>SPO-00637</t>
        </is>
      </c>
      <c r="C1167" t="inlineStr">
        <is>
          <t>SUP-02</t>
        </is>
      </c>
      <c r="D1167" t="inlineStr">
        <is>
          <t>ELEC</t>
        </is>
      </c>
      <c r="E1167" t="inlineStr">
        <is>
          <t>ELEC-04</t>
        </is>
      </c>
      <c r="F1167" s="17" t="n">
        <v>45736</v>
      </c>
      <c r="G1167" s="17" t="n">
        <v>45752</v>
      </c>
      <c r="H1167" s="18" t="n">
        <v>20</v>
      </c>
      <c r="I1167" s="19" t="n">
        <v>71.19</v>
      </c>
      <c r="J1167" s="19" t="n">
        <v>72</v>
      </c>
      <c r="K1167" s="20" t="n">
        <v>0</v>
      </c>
      <c r="L1167" s="20" t="n">
        <v>0</v>
      </c>
      <c r="M1167" s="18" t="n">
        <v>20</v>
      </c>
      <c r="N1167" s="18" t="n">
        <v>20</v>
      </c>
      <c r="O1167" s="18" t="n">
        <v>0</v>
      </c>
      <c r="P1167" s="17" t="n">
        <v>45751</v>
      </c>
      <c r="Q1167" s="17" t="n">
        <v>45751</v>
      </c>
      <c r="R1167" s="17" t="n">
        <v>45751</v>
      </c>
      <c r="S1167" s="19">
        <f>H1167*I1167</f>
        <v/>
      </c>
      <c r="T1167" s="19">
        <f>H1167*J1167</f>
        <v/>
      </c>
      <c r="U1167">
        <f>IF(AND(K1167=0,G1167&lt;=Assumptions!$C$6),1,0)</f>
        <v/>
      </c>
      <c r="V1167">
        <f>IF(U1167=1,IF(M1167&gt;0,IF(P1167&lt;=G1167+Assumptions!$C$7,1,0),0),0)</f>
        <v/>
      </c>
      <c r="W1167">
        <f>IF(AND(U1167=1,M1167&gt;=H1167*(1-Assumptions!$C$8)),1,0)</f>
        <v/>
      </c>
      <c r="X1167">
        <f>IF(AND(U1167=1,N1167&gt;=H1167*(1-Assumptions!$C$8)),1,0)</f>
        <v/>
      </c>
      <c r="Y1167">
        <f>IF(ISNUMBER(Q1167),1,0)</f>
        <v/>
      </c>
      <c r="Z1167">
        <f>IF(AND(K1167=0,L1167=0,Y1167=0),1,0)</f>
        <v/>
      </c>
      <c r="AA1167">
        <f>IF(AND(Z1167=1,G1167&lt;Assumptions!$C$6),1,0)</f>
        <v/>
      </c>
      <c r="AB1167">
        <f>IF(U1167=0,"",IF(Y1167=1,MAX(0,Q1167-G1167),IF(L1167=1,MAX(0,R1167-G1167),MAX(0,Assumptions!$C$6-G1167))))</f>
        <v/>
      </c>
      <c r="AC1167">
        <f>IF(Y1167=1,Q1167-F1167,"")</f>
        <v/>
      </c>
      <c r="AD1167">
        <f>IF(Y1167=1,AC1167^2,"")</f>
        <v/>
      </c>
      <c r="AE1167" s="19">
        <f>IF(Z1167=1,(H1167-M1167)*I1167,0)</f>
        <v/>
      </c>
      <c r="AF1167">
        <f>IF(G1167&lt;EDATE(Assumptions!$C$6,-12)+1,"prior_12m","last_12m")</f>
        <v/>
      </c>
      <c r="AG1167" s="21">
        <f>DATE(YEAR(G1167),MONTH(G1167),1)</f>
        <v/>
      </c>
    </row>
    <row r="1168">
      <c r="A1168" t="inlineStr">
        <is>
          <t>SPO-00637-2</t>
        </is>
      </c>
      <c r="B1168" t="inlineStr">
        <is>
          <t>SPO-00637</t>
        </is>
      </c>
      <c r="C1168" t="inlineStr">
        <is>
          <t>SUP-02</t>
        </is>
      </c>
      <c r="D1168" t="inlineStr">
        <is>
          <t>ELEC</t>
        </is>
      </c>
      <c r="E1168" t="inlineStr">
        <is>
          <t>ELEC-05</t>
        </is>
      </c>
      <c r="F1168" s="17" t="n">
        <v>45736</v>
      </c>
      <c r="G1168" s="17" t="n">
        <v>45752</v>
      </c>
      <c r="H1168" s="18" t="n">
        <v>204</v>
      </c>
      <c r="I1168" s="19" t="n">
        <v>11.54</v>
      </c>
      <c r="J1168" s="19" t="n">
        <v>11.5</v>
      </c>
      <c r="K1168" s="20" t="n">
        <v>0</v>
      </c>
      <c r="L1168" s="20" t="n">
        <v>0</v>
      </c>
      <c r="M1168" s="18" t="n">
        <v>204</v>
      </c>
      <c r="N1168" s="18" t="n">
        <v>204</v>
      </c>
      <c r="O1168" s="18" t="n">
        <v>0</v>
      </c>
      <c r="P1168" s="17" t="n">
        <v>45751</v>
      </c>
      <c r="Q1168" s="17" t="n">
        <v>45751</v>
      </c>
      <c r="R1168" s="17" t="n">
        <v>45751</v>
      </c>
      <c r="S1168" s="19">
        <f>H1168*I1168</f>
        <v/>
      </c>
      <c r="T1168" s="19">
        <f>H1168*J1168</f>
        <v/>
      </c>
      <c r="U1168">
        <f>IF(AND(K1168=0,G1168&lt;=Assumptions!$C$6),1,0)</f>
        <v/>
      </c>
      <c r="V1168">
        <f>IF(U1168=1,IF(M1168&gt;0,IF(P1168&lt;=G1168+Assumptions!$C$7,1,0),0),0)</f>
        <v/>
      </c>
      <c r="W1168">
        <f>IF(AND(U1168=1,M1168&gt;=H1168*(1-Assumptions!$C$8)),1,0)</f>
        <v/>
      </c>
      <c r="X1168">
        <f>IF(AND(U1168=1,N1168&gt;=H1168*(1-Assumptions!$C$8)),1,0)</f>
        <v/>
      </c>
      <c r="Y1168">
        <f>IF(ISNUMBER(Q1168),1,0)</f>
        <v/>
      </c>
      <c r="Z1168">
        <f>IF(AND(K1168=0,L1168=0,Y1168=0),1,0)</f>
        <v/>
      </c>
      <c r="AA1168">
        <f>IF(AND(Z1168=1,G1168&lt;Assumptions!$C$6),1,0)</f>
        <v/>
      </c>
      <c r="AB1168">
        <f>IF(U1168=0,"",IF(Y1168=1,MAX(0,Q1168-G1168),IF(L1168=1,MAX(0,R1168-G1168),MAX(0,Assumptions!$C$6-G1168))))</f>
        <v/>
      </c>
      <c r="AC1168">
        <f>IF(Y1168=1,Q1168-F1168,"")</f>
        <v/>
      </c>
      <c r="AD1168">
        <f>IF(Y1168=1,AC1168^2,"")</f>
        <v/>
      </c>
      <c r="AE1168" s="19">
        <f>IF(Z1168=1,(H1168-M1168)*I1168,0)</f>
        <v/>
      </c>
      <c r="AF1168">
        <f>IF(G1168&lt;EDATE(Assumptions!$C$6,-12)+1,"prior_12m","last_12m")</f>
        <v/>
      </c>
      <c r="AG1168" s="21">
        <f>DATE(YEAR(G1168),MONTH(G1168),1)</f>
        <v/>
      </c>
    </row>
    <row r="1169">
      <c r="A1169" t="inlineStr">
        <is>
          <t>SPO-00638-1</t>
        </is>
      </c>
      <c r="B1169" t="inlineStr">
        <is>
          <t>SPO-00638</t>
        </is>
      </c>
      <c r="C1169" t="inlineStr">
        <is>
          <t>SUP-05</t>
        </is>
      </c>
      <c r="D1169" t="inlineStr">
        <is>
          <t>FLEET</t>
        </is>
      </c>
      <c r="E1169" t="inlineStr">
        <is>
          <t>FLEET-02</t>
        </is>
      </c>
      <c r="F1169" s="17" t="n">
        <v>45736</v>
      </c>
      <c r="G1169" s="17" t="n">
        <v>45750</v>
      </c>
      <c r="H1169" s="18" t="n">
        <v>188</v>
      </c>
      <c r="I1169" s="19" t="n">
        <v>7.81</v>
      </c>
      <c r="J1169" s="19" t="n">
        <v>7.5</v>
      </c>
      <c r="K1169" s="20" t="n">
        <v>0</v>
      </c>
      <c r="L1169" s="20" t="n">
        <v>0</v>
      </c>
      <c r="M1169" s="18" t="n">
        <v>188</v>
      </c>
      <c r="N1169" s="18" t="n">
        <v>188</v>
      </c>
      <c r="O1169" s="18" t="n">
        <v>0</v>
      </c>
      <c r="P1169" s="17" t="n">
        <v>45745</v>
      </c>
      <c r="Q1169" s="17" t="n">
        <v>45745</v>
      </c>
      <c r="R1169" s="17" t="n">
        <v>45745</v>
      </c>
      <c r="S1169" s="19">
        <f>H1169*I1169</f>
        <v/>
      </c>
      <c r="T1169" s="19">
        <f>H1169*J1169</f>
        <v/>
      </c>
      <c r="U1169">
        <f>IF(AND(K1169=0,G1169&lt;=Assumptions!$C$6),1,0)</f>
        <v/>
      </c>
      <c r="V1169">
        <f>IF(U1169=1,IF(M1169&gt;0,IF(P1169&lt;=G1169+Assumptions!$C$7,1,0),0),0)</f>
        <v/>
      </c>
      <c r="W1169">
        <f>IF(AND(U1169=1,M1169&gt;=H1169*(1-Assumptions!$C$8)),1,0)</f>
        <v/>
      </c>
      <c r="X1169">
        <f>IF(AND(U1169=1,N1169&gt;=H1169*(1-Assumptions!$C$8)),1,0)</f>
        <v/>
      </c>
      <c r="Y1169">
        <f>IF(ISNUMBER(Q1169),1,0)</f>
        <v/>
      </c>
      <c r="Z1169">
        <f>IF(AND(K1169=0,L1169=0,Y1169=0),1,0)</f>
        <v/>
      </c>
      <c r="AA1169">
        <f>IF(AND(Z1169=1,G1169&lt;Assumptions!$C$6),1,0)</f>
        <v/>
      </c>
      <c r="AB1169">
        <f>IF(U1169=0,"",IF(Y1169=1,MAX(0,Q1169-G1169),IF(L1169=1,MAX(0,R1169-G1169),MAX(0,Assumptions!$C$6-G1169))))</f>
        <v/>
      </c>
      <c r="AC1169">
        <f>IF(Y1169=1,Q1169-F1169,"")</f>
        <v/>
      </c>
      <c r="AD1169">
        <f>IF(Y1169=1,AC1169^2,"")</f>
        <v/>
      </c>
      <c r="AE1169" s="19">
        <f>IF(Z1169=1,(H1169-M1169)*I1169,0)</f>
        <v/>
      </c>
      <c r="AF1169">
        <f>IF(G1169&lt;EDATE(Assumptions!$C$6,-12)+1,"prior_12m","last_12m")</f>
        <v/>
      </c>
      <c r="AG1169" s="21">
        <f>DATE(YEAR(G1169),MONTH(G1169),1)</f>
        <v/>
      </c>
    </row>
    <row r="1170">
      <c r="A1170" t="inlineStr">
        <is>
          <t>SPO-00639-1</t>
        </is>
      </c>
      <c r="B1170" t="inlineStr">
        <is>
          <t>SPO-00639</t>
        </is>
      </c>
      <c r="C1170" t="inlineStr">
        <is>
          <t>SUP-07</t>
        </is>
      </c>
      <c r="D1170" t="inlineStr">
        <is>
          <t>MRO</t>
        </is>
      </c>
      <c r="E1170" t="inlineStr">
        <is>
          <t>MRO-03</t>
        </is>
      </c>
      <c r="F1170" s="17" t="n">
        <v>45736</v>
      </c>
      <c r="G1170" s="17" t="n">
        <v>45746</v>
      </c>
      <c r="H1170" s="18" t="n">
        <v>212</v>
      </c>
      <c r="I1170" s="19" t="n">
        <v>9.15</v>
      </c>
      <c r="J1170" s="19" t="n">
        <v>8.9</v>
      </c>
      <c r="K1170" s="20" t="n">
        <v>0</v>
      </c>
      <c r="L1170" s="20" t="n">
        <v>0</v>
      </c>
      <c r="M1170" s="18" t="n">
        <v>212</v>
      </c>
      <c r="N1170" s="18" t="n">
        <v>212</v>
      </c>
      <c r="O1170" s="18" t="n">
        <v>0</v>
      </c>
      <c r="P1170" s="17" t="n">
        <v>45742</v>
      </c>
      <c r="Q1170" s="17" t="n">
        <v>45742</v>
      </c>
      <c r="R1170" s="17" t="n">
        <v>45742</v>
      </c>
      <c r="S1170" s="19">
        <f>H1170*I1170</f>
        <v/>
      </c>
      <c r="T1170" s="19">
        <f>H1170*J1170</f>
        <v/>
      </c>
      <c r="U1170">
        <f>IF(AND(K1170=0,G1170&lt;=Assumptions!$C$6),1,0)</f>
        <v/>
      </c>
      <c r="V1170">
        <f>IF(U1170=1,IF(M1170&gt;0,IF(P1170&lt;=G1170+Assumptions!$C$7,1,0),0),0)</f>
        <v/>
      </c>
      <c r="W1170">
        <f>IF(AND(U1170=1,M1170&gt;=H1170*(1-Assumptions!$C$8)),1,0)</f>
        <v/>
      </c>
      <c r="X1170">
        <f>IF(AND(U1170=1,N1170&gt;=H1170*(1-Assumptions!$C$8)),1,0)</f>
        <v/>
      </c>
      <c r="Y1170">
        <f>IF(ISNUMBER(Q1170),1,0)</f>
        <v/>
      </c>
      <c r="Z1170">
        <f>IF(AND(K1170=0,L1170=0,Y1170=0),1,0)</f>
        <v/>
      </c>
      <c r="AA1170">
        <f>IF(AND(Z1170=1,G1170&lt;Assumptions!$C$6),1,0)</f>
        <v/>
      </c>
      <c r="AB1170">
        <f>IF(U1170=0,"",IF(Y1170=1,MAX(0,Q1170-G1170),IF(L1170=1,MAX(0,R1170-G1170),MAX(0,Assumptions!$C$6-G1170))))</f>
        <v/>
      </c>
      <c r="AC1170">
        <f>IF(Y1170=1,Q1170-F1170,"")</f>
        <v/>
      </c>
      <c r="AD1170">
        <f>IF(Y1170=1,AC1170^2,"")</f>
        <v/>
      </c>
      <c r="AE1170" s="19">
        <f>IF(Z1170=1,(H1170-M1170)*I1170,0)</f>
        <v/>
      </c>
      <c r="AF1170">
        <f>IF(G1170&lt;EDATE(Assumptions!$C$6,-12)+1,"prior_12m","last_12m")</f>
        <v/>
      </c>
      <c r="AG1170" s="21">
        <f>DATE(YEAR(G1170),MONTH(G1170),1)</f>
        <v/>
      </c>
    </row>
    <row r="1171">
      <c r="A1171" t="inlineStr">
        <is>
          <t>SPO-00639-2</t>
        </is>
      </c>
      <c r="B1171" t="inlineStr">
        <is>
          <t>SPO-00639</t>
        </is>
      </c>
      <c r="C1171" t="inlineStr">
        <is>
          <t>SUP-07</t>
        </is>
      </c>
      <c r="D1171" t="inlineStr">
        <is>
          <t>MRO</t>
        </is>
      </c>
      <c r="E1171" t="inlineStr">
        <is>
          <t>MRO-06</t>
        </is>
      </c>
      <c r="F1171" s="17" t="n">
        <v>45736</v>
      </c>
      <c r="G1171" s="17" t="n">
        <v>45746</v>
      </c>
      <c r="H1171" s="18" t="n">
        <v>98</v>
      </c>
      <c r="I1171" s="19" t="n">
        <v>5.86</v>
      </c>
      <c r="J1171" s="19" t="n">
        <v>6.1</v>
      </c>
      <c r="K1171" s="20" t="n">
        <v>0</v>
      </c>
      <c r="L1171" s="20" t="n">
        <v>1</v>
      </c>
      <c r="M1171" s="18" t="n">
        <v>68</v>
      </c>
      <c r="N1171" s="18" t="n">
        <v>68</v>
      </c>
      <c r="O1171" s="18" t="n">
        <v>0</v>
      </c>
      <c r="P1171" s="17" t="n">
        <v>45743</v>
      </c>
      <c r="Q1171" s="17" t="n"/>
      <c r="R1171" s="17" t="n">
        <v>45743</v>
      </c>
      <c r="S1171" s="19">
        <f>H1171*I1171</f>
        <v/>
      </c>
      <c r="T1171" s="19">
        <f>H1171*J1171</f>
        <v/>
      </c>
      <c r="U1171">
        <f>IF(AND(K1171=0,G1171&lt;=Assumptions!$C$6),1,0)</f>
        <v/>
      </c>
      <c r="V1171">
        <f>IF(U1171=1,IF(M1171&gt;0,IF(P1171&lt;=G1171+Assumptions!$C$7,1,0),0),0)</f>
        <v/>
      </c>
      <c r="W1171">
        <f>IF(AND(U1171=1,M1171&gt;=H1171*(1-Assumptions!$C$8)),1,0)</f>
        <v/>
      </c>
      <c r="X1171">
        <f>IF(AND(U1171=1,N1171&gt;=H1171*(1-Assumptions!$C$8)),1,0)</f>
        <v/>
      </c>
      <c r="Y1171">
        <f>IF(ISNUMBER(Q1171),1,0)</f>
        <v/>
      </c>
      <c r="Z1171">
        <f>IF(AND(K1171=0,L1171=0,Y1171=0),1,0)</f>
        <v/>
      </c>
      <c r="AA1171">
        <f>IF(AND(Z1171=1,G1171&lt;Assumptions!$C$6),1,0)</f>
        <v/>
      </c>
      <c r="AB1171">
        <f>IF(U1171=0,"",IF(Y1171=1,MAX(0,Q1171-G1171),IF(L1171=1,MAX(0,R1171-G1171),MAX(0,Assumptions!$C$6-G1171))))</f>
        <v/>
      </c>
      <c r="AC1171">
        <f>IF(Y1171=1,Q1171-F1171,"")</f>
        <v/>
      </c>
      <c r="AD1171">
        <f>IF(Y1171=1,AC1171^2,"")</f>
        <v/>
      </c>
      <c r="AE1171" s="19">
        <f>IF(Z1171=1,(H1171-M1171)*I1171,0)</f>
        <v/>
      </c>
      <c r="AF1171">
        <f>IF(G1171&lt;EDATE(Assumptions!$C$6,-12)+1,"prior_12m","last_12m")</f>
        <v/>
      </c>
      <c r="AG1171" s="21">
        <f>DATE(YEAR(G1171),MONTH(G1171),1)</f>
        <v/>
      </c>
    </row>
    <row r="1172">
      <c r="A1172" t="inlineStr">
        <is>
          <t>SPO-00639-3</t>
        </is>
      </c>
      <c r="B1172" t="inlineStr">
        <is>
          <t>SPO-00639</t>
        </is>
      </c>
      <c r="C1172" t="inlineStr">
        <is>
          <t>SUP-07</t>
        </is>
      </c>
      <c r="D1172" t="inlineStr">
        <is>
          <t>MRO</t>
        </is>
      </c>
      <c r="E1172" t="inlineStr">
        <is>
          <t>MRO-07</t>
        </is>
      </c>
      <c r="F1172" s="17" t="n">
        <v>45736</v>
      </c>
      <c r="G1172" s="17" t="n">
        <v>45746</v>
      </c>
      <c r="H1172" s="18" t="n">
        <v>100</v>
      </c>
      <c r="I1172" s="19" t="n">
        <v>14.26</v>
      </c>
      <c r="J1172" s="19" t="n">
        <v>14</v>
      </c>
      <c r="K1172" s="20" t="n">
        <v>0</v>
      </c>
      <c r="L1172" s="20" t="n">
        <v>0</v>
      </c>
      <c r="M1172" s="18" t="n">
        <v>100</v>
      </c>
      <c r="N1172" s="18" t="n">
        <v>100</v>
      </c>
      <c r="O1172" s="18" t="n">
        <v>0</v>
      </c>
      <c r="P1172" s="17" t="n">
        <v>45742</v>
      </c>
      <c r="Q1172" s="17" t="n">
        <v>45742</v>
      </c>
      <c r="R1172" s="17" t="n">
        <v>45742</v>
      </c>
      <c r="S1172" s="19">
        <f>H1172*I1172</f>
        <v/>
      </c>
      <c r="T1172" s="19">
        <f>H1172*J1172</f>
        <v/>
      </c>
      <c r="U1172">
        <f>IF(AND(K1172=0,G1172&lt;=Assumptions!$C$6),1,0)</f>
        <v/>
      </c>
      <c r="V1172">
        <f>IF(U1172=1,IF(M1172&gt;0,IF(P1172&lt;=G1172+Assumptions!$C$7,1,0),0),0)</f>
        <v/>
      </c>
      <c r="W1172">
        <f>IF(AND(U1172=1,M1172&gt;=H1172*(1-Assumptions!$C$8)),1,0)</f>
        <v/>
      </c>
      <c r="X1172">
        <f>IF(AND(U1172=1,N1172&gt;=H1172*(1-Assumptions!$C$8)),1,0)</f>
        <v/>
      </c>
      <c r="Y1172">
        <f>IF(ISNUMBER(Q1172),1,0)</f>
        <v/>
      </c>
      <c r="Z1172">
        <f>IF(AND(K1172=0,L1172=0,Y1172=0),1,0)</f>
        <v/>
      </c>
      <c r="AA1172">
        <f>IF(AND(Z1172=1,G1172&lt;Assumptions!$C$6),1,0)</f>
        <v/>
      </c>
      <c r="AB1172">
        <f>IF(U1172=0,"",IF(Y1172=1,MAX(0,Q1172-G1172),IF(L1172=1,MAX(0,R1172-G1172),MAX(0,Assumptions!$C$6-G1172))))</f>
        <v/>
      </c>
      <c r="AC1172">
        <f>IF(Y1172=1,Q1172-F1172,"")</f>
        <v/>
      </c>
      <c r="AD1172">
        <f>IF(Y1172=1,AC1172^2,"")</f>
        <v/>
      </c>
      <c r="AE1172" s="19">
        <f>IF(Z1172=1,(H1172-M1172)*I1172,0)</f>
        <v/>
      </c>
      <c r="AF1172">
        <f>IF(G1172&lt;EDATE(Assumptions!$C$6,-12)+1,"prior_12m","last_12m")</f>
        <v/>
      </c>
      <c r="AG1172" s="21">
        <f>DATE(YEAR(G1172),MONTH(G1172),1)</f>
        <v/>
      </c>
    </row>
    <row r="1173">
      <c r="A1173" t="inlineStr">
        <is>
          <t>SPO-00640-1</t>
        </is>
      </c>
      <c r="B1173" t="inlineStr">
        <is>
          <t>SPO-00640</t>
        </is>
      </c>
      <c r="C1173" t="inlineStr">
        <is>
          <t>SUP-14</t>
        </is>
      </c>
      <c r="D1173" t="inlineStr">
        <is>
          <t>FLEET</t>
        </is>
      </c>
      <c r="E1173" t="inlineStr">
        <is>
          <t>FLEET-06</t>
        </is>
      </c>
      <c r="F1173" s="17" t="n">
        <v>45737</v>
      </c>
      <c r="G1173" s="17" t="n">
        <v>45751</v>
      </c>
      <c r="H1173" s="18" t="n">
        <v>35</v>
      </c>
      <c r="I1173" s="19" t="n">
        <v>33.36</v>
      </c>
      <c r="J1173" s="19" t="n">
        <v>33</v>
      </c>
      <c r="K1173" s="20" t="n">
        <v>0</v>
      </c>
      <c r="L1173" s="20" t="n">
        <v>0</v>
      </c>
      <c r="M1173" s="18" t="n">
        <v>35</v>
      </c>
      <c r="N1173" s="18" t="n">
        <v>35</v>
      </c>
      <c r="O1173" s="18" t="n">
        <v>0</v>
      </c>
      <c r="P1173" s="17" t="n">
        <v>45748</v>
      </c>
      <c r="Q1173" s="17" t="n">
        <v>45748</v>
      </c>
      <c r="R1173" s="17" t="n">
        <v>45748</v>
      </c>
      <c r="S1173" s="19">
        <f>H1173*I1173</f>
        <v/>
      </c>
      <c r="T1173" s="19">
        <f>H1173*J1173</f>
        <v/>
      </c>
      <c r="U1173">
        <f>IF(AND(K1173=0,G1173&lt;=Assumptions!$C$6),1,0)</f>
        <v/>
      </c>
      <c r="V1173">
        <f>IF(U1173=1,IF(M1173&gt;0,IF(P1173&lt;=G1173+Assumptions!$C$7,1,0),0),0)</f>
        <v/>
      </c>
      <c r="W1173">
        <f>IF(AND(U1173=1,M1173&gt;=H1173*(1-Assumptions!$C$8)),1,0)</f>
        <v/>
      </c>
      <c r="X1173">
        <f>IF(AND(U1173=1,N1173&gt;=H1173*(1-Assumptions!$C$8)),1,0)</f>
        <v/>
      </c>
      <c r="Y1173">
        <f>IF(ISNUMBER(Q1173),1,0)</f>
        <v/>
      </c>
      <c r="Z1173">
        <f>IF(AND(K1173=0,L1173=0,Y1173=0),1,0)</f>
        <v/>
      </c>
      <c r="AA1173">
        <f>IF(AND(Z1173=1,G1173&lt;Assumptions!$C$6),1,0)</f>
        <v/>
      </c>
      <c r="AB1173">
        <f>IF(U1173=0,"",IF(Y1173=1,MAX(0,Q1173-G1173),IF(L1173=1,MAX(0,R1173-G1173),MAX(0,Assumptions!$C$6-G1173))))</f>
        <v/>
      </c>
      <c r="AC1173">
        <f>IF(Y1173=1,Q1173-F1173,"")</f>
        <v/>
      </c>
      <c r="AD1173">
        <f>IF(Y1173=1,AC1173^2,"")</f>
        <v/>
      </c>
      <c r="AE1173" s="19">
        <f>IF(Z1173=1,(H1173-M1173)*I1173,0)</f>
        <v/>
      </c>
      <c r="AF1173">
        <f>IF(G1173&lt;EDATE(Assumptions!$C$6,-12)+1,"prior_12m","last_12m")</f>
        <v/>
      </c>
      <c r="AG1173" s="21">
        <f>DATE(YEAR(G1173),MONTH(G1173),1)</f>
        <v/>
      </c>
    </row>
    <row r="1174">
      <c r="A1174" t="inlineStr">
        <is>
          <t>SPO-00641-1</t>
        </is>
      </c>
      <c r="B1174" t="inlineStr">
        <is>
          <t>SPO-00641</t>
        </is>
      </c>
      <c r="C1174" t="inlineStr">
        <is>
          <t>SUP-10</t>
        </is>
      </c>
      <c r="D1174" t="inlineStr">
        <is>
          <t>PPE</t>
        </is>
      </c>
      <c r="E1174" t="inlineStr">
        <is>
          <t>PPE-06</t>
        </is>
      </c>
      <c r="F1174" s="17" t="n">
        <v>45737</v>
      </c>
      <c r="G1174" s="17" t="n">
        <v>45750</v>
      </c>
      <c r="H1174" s="18" t="n">
        <v>33</v>
      </c>
      <c r="I1174" s="19" t="n">
        <v>107.38</v>
      </c>
      <c r="J1174" s="19" t="n">
        <v>115</v>
      </c>
      <c r="K1174" s="20" t="n">
        <v>0</v>
      </c>
      <c r="L1174" s="20" t="n">
        <v>0</v>
      </c>
      <c r="M1174" s="18" t="n">
        <v>33</v>
      </c>
      <c r="N1174" s="18" t="n">
        <v>33</v>
      </c>
      <c r="O1174" s="18" t="n">
        <v>0</v>
      </c>
      <c r="P1174" s="17" t="n">
        <v>45748</v>
      </c>
      <c r="Q1174" s="17" t="n">
        <v>45748</v>
      </c>
      <c r="R1174" s="17" t="n">
        <v>45748</v>
      </c>
      <c r="S1174" s="19">
        <f>H1174*I1174</f>
        <v/>
      </c>
      <c r="T1174" s="19">
        <f>H1174*J1174</f>
        <v/>
      </c>
      <c r="U1174">
        <f>IF(AND(K1174=0,G1174&lt;=Assumptions!$C$6),1,0)</f>
        <v/>
      </c>
      <c r="V1174">
        <f>IF(U1174=1,IF(M1174&gt;0,IF(P1174&lt;=G1174+Assumptions!$C$7,1,0),0),0)</f>
        <v/>
      </c>
      <c r="W1174">
        <f>IF(AND(U1174=1,M1174&gt;=H1174*(1-Assumptions!$C$8)),1,0)</f>
        <v/>
      </c>
      <c r="X1174">
        <f>IF(AND(U1174=1,N1174&gt;=H1174*(1-Assumptions!$C$8)),1,0)</f>
        <v/>
      </c>
      <c r="Y1174">
        <f>IF(ISNUMBER(Q1174),1,0)</f>
        <v/>
      </c>
      <c r="Z1174">
        <f>IF(AND(K1174=0,L1174=0,Y1174=0),1,0)</f>
        <v/>
      </c>
      <c r="AA1174">
        <f>IF(AND(Z1174=1,G1174&lt;Assumptions!$C$6),1,0)</f>
        <v/>
      </c>
      <c r="AB1174">
        <f>IF(U1174=0,"",IF(Y1174=1,MAX(0,Q1174-G1174),IF(L1174=1,MAX(0,R1174-G1174),MAX(0,Assumptions!$C$6-G1174))))</f>
        <v/>
      </c>
      <c r="AC1174">
        <f>IF(Y1174=1,Q1174-F1174,"")</f>
        <v/>
      </c>
      <c r="AD1174">
        <f>IF(Y1174=1,AC1174^2,"")</f>
        <v/>
      </c>
      <c r="AE1174" s="19">
        <f>IF(Z1174=1,(H1174-M1174)*I1174,0)</f>
        <v/>
      </c>
      <c r="AF1174">
        <f>IF(G1174&lt;EDATE(Assumptions!$C$6,-12)+1,"prior_12m","last_12m")</f>
        <v/>
      </c>
      <c r="AG1174" s="21">
        <f>DATE(YEAR(G1174),MONTH(G1174),1)</f>
        <v/>
      </c>
    </row>
    <row r="1175">
      <c r="A1175" t="inlineStr">
        <is>
          <t>SPO-00641-2</t>
        </is>
      </c>
      <c r="B1175" t="inlineStr">
        <is>
          <t>SPO-00641</t>
        </is>
      </c>
      <c r="C1175" t="inlineStr">
        <is>
          <t>SUP-10</t>
        </is>
      </c>
      <c r="D1175" t="inlineStr">
        <is>
          <t>PPE</t>
        </is>
      </c>
      <c r="E1175" t="inlineStr">
        <is>
          <t>PPE-07</t>
        </is>
      </c>
      <c r="F1175" s="17" t="n">
        <v>45737</v>
      </c>
      <c r="G1175" s="17" t="n">
        <v>45750</v>
      </c>
      <c r="H1175" s="18" t="n">
        <v>30</v>
      </c>
      <c r="I1175" s="19" t="n">
        <v>30.87</v>
      </c>
      <c r="J1175" s="19" t="n">
        <v>31</v>
      </c>
      <c r="K1175" s="20" t="n">
        <v>0</v>
      </c>
      <c r="L1175" s="20" t="n">
        <v>0</v>
      </c>
      <c r="M1175" s="18" t="n">
        <v>30</v>
      </c>
      <c r="N1175" s="18" t="n">
        <v>30</v>
      </c>
      <c r="O1175" s="18" t="n">
        <v>0</v>
      </c>
      <c r="P1175" s="17" t="n">
        <v>45743</v>
      </c>
      <c r="Q1175" s="17" t="n">
        <v>45743</v>
      </c>
      <c r="R1175" s="17" t="n">
        <v>45743</v>
      </c>
      <c r="S1175" s="19">
        <f>H1175*I1175</f>
        <v/>
      </c>
      <c r="T1175" s="19">
        <f>H1175*J1175</f>
        <v/>
      </c>
      <c r="U1175">
        <f>IF(AND(K1175=0,G1175&lt;=Assumptions!$C$6),1,0)</f>
        <v/>
      </c>
      <c r="V1175">
        <f>IF(U1175=1,IF(M1175&gt;0,IF(P1175&lt;=G1175+Assumptions!$C$7,1,0),0),0)</f>
        <v/>
      </c>
      <c r="W1175">
        <f>IF(AND(U1175=1,M1175&gt;=H1175*(1-Assumptions!$C$8)),1,0)</f>
        <v/>
      </c>
      <c r="X1175">
        <f>IF(AND(U1175=1,N1175&gt;=H1175*(1-Assumptions!$C$8)),1,0)</f>
        <v/>
      </c>
      <c r="Y1175">
        <f>IF(ISNUMBER(Q1175),1,0)</f>
        <v/>
      </c>
      <c r="Z1175">
        <f>IF(AND(K1175=0,L1175=0,Y1175=0),1,0)</f>
        <v/>
      </c>
      <c r="AA1175">
        <f>IF(AND(Z1175=1,G1175&lt;Assumptions!$C$6),1,0)</f>
        <v/>
      </c>
      <c r="AB1175">
        <f>IF(U1175=0,"",IF(Y1175=1,MAX(0,Q1175-G1175),IF(L1175=1,MAX(0,R1175-G1175),MAX(0,Assumptions!$C$6-G1175))))</f>
        <v/>
      </c>
      <c r="AC1175">
        <f>IF(Y1175=1,Q1175-F1175,"")</f>
        <v/>
      </c>
      <c r="AD1175">
        <f>IF(Y1175=1,AC1175^2,"")</f>
        <v/>
      </c>
      <c r="AE1175" s="19">
        <f>IF(Z1175=1,(H1175-M1175)*I1175,0)</f>
        <v/>
      </c>
      <c r="AF1175">
        <f>IF(G1175&lt;EDATE(Assumptions!$C$6,-12)+1,"prior_12m","last_12m")</f>
        <v/>
      </c>
      <c r="AG1175" s="21">
        <f>DATE(YEAR(G1175),MONTH(G1175),1)</f>
        <v/>
      </c>
    </row>
    <row r="1176">
      <c r="A1176" t="inlineStr">
        <is>
          <t>SPO-00642-1</t>
        </is>
      </c>
      <c r="B1176" t="inlineStr">
        <is>
          <t>SPO-00642</t>
        </is>
      </c>
      <c r="C1176" t="inlineStr">
        <is>
          <t>SUP-04</t>
        </is>
      </c>
      <c r="D1176" t="inlineStr">
        <is>
          <t>FLEET</t>
        </is>
      </c>
      <c r="E1176" t="inlineStr">
        <is>
          <t>FLEET-06</t>
        </is>
      </c>
      <c r="F1176" s="17" t="n">
        <v>45737</v>
      </c>
      <c r="G1176" s="17" t="n">
        <v>45750</v>
      </c>
      <c r="H1176" s="18" t="n">
        <v>29</v>
      </c>
      <c r="I1176" s="19" t="n">
        <v>33.06</v>
      </c>
      <c r="J1176" s="19" t="n">
        <v>33</v>
      </c>
      <c r="K1176" s="20" t="n">
        <v>0</v>
      </c>
      <c r="L1176" s="20" t="n">
        <v>0</v>
      </c>
      <c r="M1176" s="18" t="n">
        <v>29</v>
      </c>
      <c r="N1176" s="18" t="n">
        <v>29</v>
      </c>
      <c r="O1176" s="18" t="n">
        <v>0</v>
      </c>
      <c r="P1176" s="17" t="n">
        <v>45748</v>
      </c>
      <c r="Q1176" s="17" t="n">
        <v>45748</v>
      </c>
      <c r="R1176" s="17" t="n">
        <v>45748</v>
      </c>
      <c r="S1176" s="19">
        <f>H1176*I1176</f>
        <v/>
      </c>
      <c r="T1176" s="19">
        <f>H1176*J1176</f>
        <v/>
      </c>
      <c r="U1176">
        <f>IF(AND(K1176=0,G1176&lt;=Assumptions!$C$6),1,0)</f>
        <v/>
      </c>
      <c r="V1176">
        <f>IF(U1176=1,IF(M1176&gt;0,IF(P1176&lt;=G1176+Assumptions!$C$7,1,0),0),0)</f>
        <v/>
      </c>
      <c r="W1176">
        <f>IF(AND(U1176=1,M1176&gt;=H1176*(1-Assumptions!$C$8)),1,0)</f>
        <v/>
      </c>
      <c r="X1176">
        <f>IF(AND(U1176=1,N1176&gt;=H1176*(1-Assumptions!$C$8)),1,0)</f>
        <v/>
      </c>
      <c r="Y1176">
        <f>IF(ISNUMBER(Q1176),1,0)</f>
        <v/>
      </c>
      <c r="Z1176">
        <f>IF(AND(K1176=0,L1176=0,Y1176=0),1,0)</f>
        <v/>
      </c>
      <c r="AA1176">
        <f>IF(AND(Z1176=1,G1176&lt;Assumptions!$C$6),1,0)</f>
        <v/>
      </c>
      <c r="AB1176">
        <f>IF(U1176=0,"",IF(Y1176=1,MAX(0,Q1176-G1176),IF(L1176=1,MAX(0,R1176-G1176),MAX(0,Assumptions!$C$6-G1176))))</f>
        <v/>
      </c>
      <c r="AC1176">
        <f>IF(Y1176=1,Q1176-F1176,"")</f>
        <v/>
      </c>
      <c r="AD1176">
        <f>IF(Y1176=1,AC1176^2,"")</f>
        <v/>
      </c>
      <c r="AE1176" s="19">
        <f>IF(Z1176=1,(H1176-M1176)*I1176,0)</f>
        <v/>
      </c>
      <c r="AF1176">
        <f>IF(G1176&lt;EDATE(Assumptions!$C$6,-12)+1,"prior_12m","last_12m")</f>
        <v/>
      </c>
      <c r="AG1176" s="21">
        <f>DATE(YEAR(G1176),MONTH(G1176),1)</f>
        <v/>
      </c>
    </row>
    <row r="1177">
      <c r="A1177" t="inlineStr">
        <is>
          <t>SPO-00643-1</t>
        </is>
      </c>
      <c r="B1177" t="inlineStr">
        <is>
          <t>SPO-00643</t>
        </is>
      </c>
      <c r="C1177" t="inlineStr">
        <is>
          <t>SUP-07</t>
        </is>
      </c>
      <c r="D1177" t="inlineStr">
        <is>
          <t>MRO</t>
        </is>
      </c>
      <c r="E1177" t="inlineStr">
        <is>
          <t>MRO-07</t>
        </is>
      </c>
      <c r="F1177" s="17" t="n">
        <v>45738</v>
      </c>
      <c r="G1177" s="17" t="n">
        <v>45748</v>
      </c>
      <c r="H1177" s="18" t="n">
        <v>144</v>
      </c>
      <c r="I1177" s="19" t="n">
        <v>14.5</v>
      </c>
      <c r="J1177" s="19" t="n">
        <v>14</v>
      </c>
      <c r="K1177" s="20" t="n">
        <v>0</v>
      </c>
      <c r="L1177" s="20" t="n">
        <v>0</v>
      </c>
      <c r="M1177" s="18" t="n">
        <v>144</v>
      </c>
      <c r="N1177" s="18" t="n">
        <v>144</v>
      </c>
      <c r="O1177" s="18" t="n">
        <v>0</v>
      </c>
      <c r="P1177" s="17" t="n">
        <v>45740</v>
      </c>
      <c r="Q1177" s="17" t="n">
        <v>45740</v>
      </c>
      <c r="R1177" s="17" t="n">
        <v>45740</v>
      </c>
      <c r="S1177" s="19">
        <f>H1177*I1177</f>
        <v/>
      </c>
      <c r="T1177" s="19">
        <f>H1177*J1177</f>
        <v/>
      </c>
      <c r="U1177">
        <f>IF(AND(K1177=0,G1177&lt;=Assumptions!$C$6),1,0)</f>
        <v/>
      </c>
      <c r="V1177">
        <f>IF(U1177=1,IF(M1177&gt;0,IF(P1177&lt;=G1177+Assumptions!$C$7,1,0),0),0)</f>
        <v/>
      </c>
      <c r="W1177">
        <f>IF(AND(U1177=1,M1177&gt;=H1177*(1-Assumptions!$C$8)),1,0)</f>
        <v/>
      </c>
      <c r="X1177">
        <f>IF(AND(U1177=1,N1177&gt;=H1177*(1-Assumptions!$C$8)),1,0)</f>
        <v/>
      </c>
      <c r="Y1177">
        <f>IF(ISNUMBER(Q1177),1,0)</f>
        <v/>
      </c>
      <c r="Z1177">
        <f>IF(AND(K1177=0,L1177=0,Y1177=0),1,0)</f>
        <v/>
      </c>
      <c r="AA1177">
        <f>IF(AND(Z1177=1,G1177&lt;Assumptions!$C$6),1,0)</f>
        <v/>
      </c>
      <c r="AB1177">
        <f>IF(U1177=0,"",IF(Y1177=1,MAX(0,Q1177-G1177),IF(L1177=1,MAX(0,R1177-G1177),MAX(0,Assumptions!$C$6-G1177))))</f>
        <v/>
      </c>
      <c r="AC1177">
        <f>IF(Y1177=1,Q1177-F1177,"")</f>
        <v/>
      </c>
      <c r="AD1177">
        <f>IF(Y1177=1,AC1177^2,"")</f>
        <v/>
      </c>
      <c r="AE1177" s="19">
        <f>IF(Z1177=1,(H1177-M1177)*I1177,0)</f>
        <v/>
      </c>
      <c r="AF1177">
        <f>IF(G1177&lt;EDATE(Assumptions!$C$6,-12)+1,"prior_12m","last_12m")</f>
        <v/>
      </c>
      <c r="AG1177" s="21">
        <f>DATE(YEAR(G1177),MONTH(G1177),1)</f>
        <v/>
      </c>
    </row>
    <row r="1178">
      <c r="A1178" t="inlineStr">
        <is>
          <t>SPO-00644-1</t>
        </is>
      </c>
      <c r="B1178" t="inlineStr">
        <is>
          <t>SPO-00644</t>
        </is>
      </c>
      <c r="C1178" t="inlineStr">
        <is>
          <t>SUP-01</t>
        </is>
      </c>
      <c r="D1178" t="inlineStr">
        <is>
          <t>ELEC</t>
        </is>
      </c>
      <c r="E1178" t="inlineStr">
        <is>
          <t>ELEC-01</t>
        </is>
      </c>
      <c r="F1178" s="17" t="n">
        <v>45739</v>
      </c>
      <c r="G1178" s="17" t="n">
        <v>45757</v>
      </c>
      <c r="H1178" s="18" t="n">
        <v>58</v>
      </c>
      <c r="I1178" s="19" t="n">
        <v>37.4</v>
      </c>
      <c r="J1178" s="19" t="n">
        <v>38</v>
      </c>
      <c r="K1178" s="20" t="n">
        <v>0</v>
      </c>
      <c r="L1178" s="20" t="n">
        <v>0</v>
      </c>
      <c r="M1178" s="18" t="n">
        <v>58</v>
      </c>
      <c r="N1178" s="18" t="n">
        <v>58</v>
      </c>
      <c r="O1178" s="18" t="n">
        <v>0</v>
      </c>
      <c r="P1178" s="17" t="n">
        <v>45757</v>
      </c>
      <c r="Q1178" s="17" t="n">
        <v>45757</v>
      </c>
      <c r="R1178" s="17" t="n">
        <v>45757</v>
      </c>
      <c r="S1178" s="19">
        <f>H1178*I1178</f>
        <v/>
      </c>
      <c r="T1178" s="19">
        <f>H1178*J1178</f>
        <v/>
      </c>
      <c r="U1178">
        <f>IF(AND(K1178=0,G1178&lt;=Assumptions!$C$6),1,0)</f>
        <v/>
      </c>
      <c r="V1178">
        <f>IF(U1178=1,IF(M1178&gt;0,IF(P1178&lt;=G1178+Assumptions!$C$7,1,0),0),0)</f>
        <v/>
      </c>
      <c r="W1178">
        <f>IF(AND(U1178=1,M1178&gt;=H1178*(1-Assumptions!$C$8)),1,0)</f>
        <v/>
      </c>
      <c r="X1178">
        <f>IF(AND(U1178=1,N1178&gt;=H1178*(1-Assumptions!$C$8)),1,0)</f>
        <v/>
      </c>
      <c r="Y1178">
        <f>IF(ISNUMBER(Q1178),1,0)</f>
        <v/>
      </c>
      <c r="Z1178">
        <f>IF(AND(K1178=0,L1178=0,Y1178=0),1,0)</f>
        <v/>
      </c>
      <c r="AA1178">
        <f>IF(AND(Z1178=1,G1178&lt;Assumptions!$C$6),1,0)</f>
        <v/>
      </c>
      <c r="AB1178">
        <f>IF(U1178=0,"",IF(Y1178=1,MAX(0,Q1178-G1178),IF(L1178=1,MAX(0,R1178-G1178),MAX(0,Assumptions!$C$6-G1178))))</f>
        <v/>
      </c>
      <c r="AC1178">
        <f>IF(Y1178=1,Q1178-F1178,"")</f>
        <v/>
      </c>
      <c r="AD1178">
        <f>IF(Y1178=1,AC1178^2,"")</f>
        <v/>
      </c>
      <c r="AE1178" s="19">
        <f>IF(Z1178=1,(H1178-M1178)*I1178,0)</f>
        <v/>
      </c>
      <c r="AF1178">
        <f>IF(G1178&lt;EDATE(Assumptions!$C$6,-12)+1,"prior_12m","last_12m")</f>
        <v/>
      </c>
      <c r="AG1178" s="21">
        <f>DATE(YEAR(G1178),MONTH(G1178),1)</f>
        <v/>
      </c>
    </row>
    <row r="1179">
      <c r="A1179" t="inlineStr">
        <is>
          <t>SPO-00644-2</t>
        </is>
      </c>
      <c r="B1179" t="inlineStr">
        <is>
          <t>SPO-00644</t>
        </is>
      </c>
      <c r="C1179" t="inlineStr">
        <is>
          <t>SUP-01</t>
        </is>
      </c>
      <c r="D1179" t="inlineStr">
        <is>
          <t>ELEC</t>
        </is>
      </c>
      <c r="E1179" t="inlineStr">
        <is>
          <t>ELEC-03</t>
        </is>
      </c>
      <c r="F1179" s="17" t="n">
        <v>45739</v>
      </c>
      <c r="G1179" s="17" t="n">
        <v>45757</v>
      </c>
      <c r="H1179" s="18" t="n">
        <v>62</v>
      </c>
      <c r="I1179" s="19" t="n">
        <v>97.7</v>
      </c>
      <c r="J1179" s="19" t="n">
        <v>96</v>
      </c>
      <c r="K1179" s="20" t="n">
        <v>0</v>
      </c>
      <c r="L1179" s="20" t="n">
        <v>0</v>
      </c>
      <c r="M1179" s="18" t="n">
        <v>62</v>
      </c>
      <c r="N1179" s="18" t="n">
        <v>62</v>
      </c>
      <c r="O1179" s="18" t="n">
        <v>0</v>
      </c>
      <c r="P1179" s="17" t="n">
        <v>45751</v>
      </c>
      <c r="Q1179" s="17" t="n">
        <v>45751</v>
      </c>
      <c r="R1179" s="17" t="n">
        <v>45751</v>
      </c>
      <c r="S1179" s="19">
        <f>H1179*I1179</f>
        <v/>
      </c>
      <c r="T1179" s="19">
        <f>H1179*J1179</f>
        <v/>
      </c>
      <c r="U1179">
        <f>IF(AND(K1179=0,G1179&lt;=Assumptions!$C$6),1,0)</f>
        <v/>
      </c>
      <c r="V1179">
        <f>IF(U1179=1,IF(M1179&gt;0,IF(P1179&lt;=G1179+Assumptions!$C$7,1,0),0),0)</f>
        <v/>
      </c>
      <c r="W1179">
        <f>IF(AND(U1179=1,M1179&gt;=H1179*(1-Assumptions!$C$8)),1,0)</f>
        <v/>
      </c>
      <c r="X1179">
        <f>IF(AND(U1179=1,N1179&gt;=H1179*(1-Assumptions!$C$8)),1,0)</f>
        <v/>
      </c>
      <c r="Y1179">
        <f>IF(ISNUMBER(Q1179),1,0)</f>
        <v/>
      </c>
      <c r="Z1179">
        <f>IF(AND(K1179=0,L1179=0,Y1179=0),1,0)</f>
        <v/>
      </c>
      <c r="AA1179">
        <f>IF(AND(Z1179=1,G1179&lt;Assumptions!$C$6),1,0)</f>
        <v/>
      </c>
      <c r="AB1179">
        <f>IF(U1179=0,"",IF(Y1179=1,MAX(0,Q1179-G1179),IF(L1179=1,MAX(0,R1179-G1179),MAX(0,Assumptions!$C$6-G1179))))</f>
        <v/>
      </c>
      <c r="AC1179">
        <f>IF(Y1179=1,Q1179-F1179,"")</f>
        <v/>
      </c>
      <c r="AD1179">
        <f>IF(Y1179=1,AC1179^2,"")</f>
        <v/>
      </c>
      <c r="AE1179" s="19">
        <f>IF(Z1179=1,(H1179-M1179)*I1179,0)</f>
        <v/>
      </c>
      <c r="AF1179">
        <f>IF(G1179&lt;EDATE(Assumptions!$C$6,-12)+1,"prior_12m","last_12m")</f>
        <v/>
      </c>
      <c r="AG1179" s="21">
        <f>DATE(YEAR(G1179),MONTH(G1179),1)</f>
        <v/>
      </c>
    </row>
    <row r="1180">
      <c r="A1180" t="inlineStr">
        <is>
          <t>SPO-00644-3</t>
        </is>
      </c>
      <c r="B1180" t="inlineStr">
        <is>
          <t>SPO-00644</t>
        </is>
      </c>
      <c r="C1180" t="inlineStr">
        <is>
          <t>SUP-01</t>
        </is>
      </c>
      <c r="D1180" t="inlineStr">
        <is>
          <t>ELEC</t>
        </is>
      </c>
      <c r="E1180" t="inlineStr">
        <is>
          <t>ELEC-04</t>
        </is>
      </c>
      <c r="F1180" s="17" t="n">
        <v>45739</v>
      </c>
      <c r="G1180" s="17" t="n">
        <v>45757</v>
      </c>
      <c r="H1180" s="18" t="n">
        <v>46</v>
      </c>
      <c r="I1180" s="19" t="n">
        <v>69.04000000000001</v>
      </c>
      <c r="J1180" s="19" t="n">
        <v>72</v>
      </c>
      <c r="K1180" s="20" t="n">
        <v>0</v>
      </c>
      <c r="L1180" s="20" t="n">
        <v>0</v>
      </c>
      <c r="M1180" s="18" t="n">
        <v>46</v>
      </c>
      <c r="N1180" s="18" t="n">
        <v>46</v>
      </c>
      <c r="O1180" s="18" t="n">
        <v>0</v>
      </c>
      <c r="P1180" s="17" t="n">
        <v>45754</v>
      </c>
      <c r="Q1180" s="17" t="n">
        <v>45754</v>
      </c>
      <c r="R1180" s="17" t="n">
        <v>45754</v>
      </c>
      <c r="S1180" s="19">
        <f>H1180*I1180</f>
        <v/>
      </c>
      <c r="T1180" s="19">
        <f>H1180*J1180</f>
        <v/>
      </c>
      <c r="U1180">
        <f>IF(AND(K1180=0,G1180&lt;=Assumptions!$C$6),1,0)</f>
        <v/>
      </c>
      <c r="V1180">
        <f>IF(U1180=1,IF(M1180&gt;0,IF(P1180&lt;=G1180+Assumptions!$C$7,1,0),0),0)</f>
        <v/>
      </c>
      <c r="W1180">
        <f>IF(AND(U1180=1,M1180&gt;=H1180*(1-Assumptions!$C$8)),1,0)</f>
        <v/>
      </c>
      <c r="X1180">
        <f>IF(AND(U1180=1,N1180&gt;=H1180*(1-Assumptions!$C$8)),1,0)</f>
        <v/>
      </c>
      <c r="Y1180">
        <f>IF(ISNUMBER(Q1180),1,0)</f>
        <v/>
      </c>
      <c r="Z1180">
        <f>IF(AND(K1180=0,L1180=0,Y1180=0),1,0)</f>
        <v/>
      </c>
      <c r="AA1180">
        <f>IF(AND(Z1180=1,G1180&lt;Assumptions!$C$6),1,0)</f>
        <v/>
      </c>
      <c r="AB1180">
        <f>IF(U1180=0,"",IF(Y1180=1,MAX(0,Q1180-G1180),IF(L1180=1,MAX(0,R1180-G1180),MAX(0,Assumptions!$C$6-G1180))))</f>
        <v/>
      </c>
      <c r="AC1180">
        <f>IF(Y1180=1,Q1180-F1180,"")</f>
        <v/>
      </c>
      <c r="AD1180">
        <f>IF(Y1180=1,AC1180^2,"")</f>
        <v/>
      </c>
      <c r="AE1180" s="19">
        <f>IF(Z1180=1,(H1180-M1180)*I1180,0)</f>
        <v/>
      </c>
      <c r="AF1180">
        <f>IF(G1180&lt;EDATE(Assumptions!$C$6,-12)+1,"prior_12m","last_12m")</f>
        <v/>
      </c>
      <c r="AG1180" s="21">
        <f>DATE(YEAR(G1180),MONTH(G1180),1)</f>
        <v/>
      </c>
    </row>
    <row r="1181">
      <c r="A1181" t="inlineStr">
        <is>
          <t>SPO-00645-1</t>
        </is>
      </c>
      <c r="B1181" t="inlineStr">
        <is>
          <t>SPO-00645</t>
        </is>
      </c>
      <c r="C1181" t="inlineStr">
        <is>
          <t>SUP-01</t>
        </is>
      </c>
      <c r="D1181" t="inlineStr">
        <is>
          <t>ELEC</t>
        </is>
      </c>
      <c r="E1181" t="inlineStr">
        <is>
          <t>ELEC-05</t>
        </is>
      </c>
      <c r="F1181" s="17" t="n">
        <v>45739</v>
      </c>
      <c r="G1181" s="17" t="n">
        <v>45757</v>
      </c>
      <c r="H1181" s="18" t="n">
        <v>195</v>
      </c>
      <c r="I1181" s="19" t="n">
        <v>11.18</v>
      </c>
      <c r="J1181" s="19" t="n">
        <v>11.5</v>
      </c>
      <c r="K1181" s="20" t="n">
        <v>0</v>
      </c>
      <c r="L1181" s="20" t="n">
        <v>0</v>
      </c>
      <c r="M1181" s="18" t="n">
        <v>195</v>
      </c>
      <c r="N1181" s="18" t="n">
        <v>195</v>
      </c>
      <c r="O1181" s="18" t="n">
        <v>0</v>
      </c>
      <c r="P1181" s="17" t="n">
        <v>45755</v>
      </c>
      <c r="Q1181" s="17" t="n">
        <v>45755</v>
      </c>
      <c r="R1181" s="17" t="n">
        <v>45755</v>
      </c>
      <c r="S1181" s="19">
        <f>H1181*I1181</f>
        <v/>
      </c>
      <c r="T1181" s="19">
        <f>H1181*J1181</f>
        <v/>
      </c>
      <c r="U1181">
        <f>IF(AND(K1181=0,G1181&lt;=Assumptions!$C$6),1,0)</f>
        <v/>
      </c>
      <c r="V1181">
        <f>IF(U1181=1,IF(M1181&gt;0,IF(P1181&lt;=G1181+Assumptions!$C$7,1,0),0),0)</f>
        <v/>
      </c>
      <c r="W1181">
        <f>IF(AND(U1181=1,M1181&gt;=H1181*(1-Assumptions!$C$8)),1,0)</f>
        <v/>
      </c>
      <c r="X1181">
        <f>IF(AND(U1181=1,N1181&gt;=H1181*(1-Assumptions!$C$8)),1,0)</f>
        <v/>
      </c>
      <c r="Y1181">
        <f>IF(ISNUMBER(Q1181),1,0)</f>
        <v/>
      </c>
      <c r="Z1181">
        <f>IF(AND(K1181=0,L1181=0,Y1181=0),1,0)</f>
        <v/>
      </c>
      <c r="AA1181">
        <f>IF(AND(Z1181=1,G1181&lt;Assumptions!$C$6),1,0)</f>
        <v/>
      </c>
      <c r="AB1181">
        <f>IF(U1181=0,"",IF(Y1181=1,MAX(0,Q1181-G1181),IF(L1181=1,MAX(0,R1181-G1181),MAX(0,Assumptions!$C$6-G1181))))</f>
        <v/>
      </c>
      <c r="AC1181">
        <f>IF(Y1181=1,Q1181-F1181,"")</f>
        <v/>
      </c>
      <c r="AD1181">
        <f>IF(Y1181=1,AC1181^2,"")</f>
        <v/>
      </c>
      <c r="AE1181" s="19">
        <f>IF(Z1181=1,(H1181-M1181)*I1181,0)</f>
        <v/>
      </c>
      <c r="AF1181">
        <f>IF(G1181&lt;EDATE(Assumptions!$C$6,-12)+1,"prior_12m","last_12m")</f>
        <v/>
      </c>
      <c r="AG1181" s="21">
        <f>DATE(YEAR(G1181),MONTH(G1181),1)</f>
        <v/>
      </c>
    </row>
    <row r="1182">
      <c r="A1182" t="inlineStr">
        <is>
          <t>SPO-00646-1</t>
        </is>
      </c>
      <c r="B1182" t="inlineStr">
        <is>
          <t>SPO-00646</t>
        </is>
      </c>
      <c r="C1182" t="inlineStr">
        <is>
          <t>SUP-14</t>
        </is>
      </c>
      <c r="D1182" t="inlineStr">
        <is>
          <t>FLEET</t>
        </is>
      </c>
      <c r="E1182" t="inlineStr">
        <is>
          <t>FLEET-03</t>
        </is>
      </c>
      <c r="F1182" s="17" t="n">
        <v>45741</v>
      </c>
      <c r="G1182" s="17" t="n">
        <v>45755</v>
      </c>
      <c r="H1182" s="18" t="n">
        <v>43</v>
      </c>
      <c r="I1182" s="19" t="n">
        <v>21.08</v>
      </c>
      <c r="J1182" s="19" t="n">
        <v>21</v>
      </c>
      <c r="K1182" s="20" t="n">
        <v>0</v>
      </c>
      <c r="L1182" s="20" t="n">
        <v>0</v>
      </c>
      <c r="M1182" s="18" t="n">
        <v>43</v>
      </c>
      <c r="N1182" s="18" t="n">
        <v>43</v>
      </c>
      <c r="O1182" s="18" t="n">
        <v>0</v>
      </c>
      <c r="P1182" s="17" t="n">
        <v>45749</v>
      </c>
      <c r="Q1182" s="17" t="n">
        <v>45749</v>
      </c>
      <c r="R1182" s="17" t="n">
        <v>45749</v>
      </c>
      <c r="S1182" s="19">
        <f>H1182*I1182</f>
        <v/>
      </c>
      <c r="T1182" s="19">
        <f>H1182*J1182</f>
        <v/>
      </c>
      <c r="U1182">
        <f>IF(AND(K1182=0,G1182&lt;=Assumptions!$C$6),1,0)</f>
        <v/>
      </c>
      <c r="V1182">
        <f>IF(U1182=1,IF(M1182&gt;0,IF(P1182&lt;=G1182+Assumptions!$C$7,1,0),0),0)</f>
        <v/>
      </c>
      <c r="W1182">
        <f>IF(AND(U1182=1,M1182&gt;=H1182*(1-Assumptions!$C$8)),1,0)</f>
        <v/>
      </c>
      <c r="X1182">
        <f>IF(AND(U1182=1,N1182&gt;=H1182*(1-Assumptions!$C$8)),1,0)</f>
        <v/>
      </c>
      <c r="Y1182">
        <f>IF(ISNUMBER(Q1182),1,0)</f>
        <v/>
      </c>
      <c r="Z1182">
        <f>IF(AND(K1182=0,L1182=0,Y1182=0),1,0)</f>
        <v/>
      </c>
      <c r="AA1182">
        <f>IF(AND(Z1182=1,G1182&lt;Assumptions!$C$6),1,0)</f>
        <v/>
      </c>
      <c r="AB1182">
        <f>IF(U1182=0,"",IF(Y1182=1,MAX(0,Q1182-G1182),IF(L1182=1,MAX(0,R1182-G1182),MAX(0,Assumptions!$C$6-G1182))))</f>
        <v/>
      </c>
      <c r="AC1182">
        <f>IF(Y1182=1,Q1182-F1182,"")</f>
        <v/>
      </c>
      <c r="AD1182">
        <f>IF(Y1182=1,AC1182^2,"")</f>
        <v/>
      </c>
      <c r="AE1182" s="19">
        <f>IF(Z1182=1,(H1182-M1182)*I1182,0)</f>
        <v/>
      </c>
      <c r="AF1182">
        <f>IF(G1182&lt;EDATE(Assumptions!$C$6,-12)+1,"prior_12m","last_12m")</f>
        <v/>
      </c>
      <c r="AG1182" s="21">
        <f>DATE(YEAR(G1182),MONTH(G1182),1)</f>
        <v/>
      </c>
    </row>
    <row r="1183">
      <c r="A1183" t="inlineStr">
        <is>
          <t>SPO-00647-1</t>
        </is>
      </c>
      <c r="B1183" t="inlineStr">
        <is>
          <t>SPO-00647</t>
        </is>
      </c>
      <c r="C1183" t="inlineStr">
        <is>
          <t>SUP-01</t>
        </is>
      </c>
      <c r="D1183" t="inlineStr">
        <is>
          <t>ELEC</t>
        </is>
      </c>
      <c r="E1183" t="inlineStr">
        <is>
          <t>ELEC-03</t>
        </is>
      </c>
      <c r="F1183" s="17" t="n">
        <v>45741</v>
      </c>
      <c r="G1183" s="17" t="n">
        <v>45759</v>
      </c>
      <c r="H1183" s="18" t="n">
        <v>37</v>
      </c>
      <c r="I1183" s="19" t="n">
        <v>96.15000000000001</v>
      </c>
      <c r="J1183" s="19" t="n">
        <v>96</v>
      </c>
      <c r="K1183" s="20" t="n">
        <v>0</v>
      </c>
      <c r="L1183" s="20" t="n">
        <v>0</v>
      </c>
      <c r="M1183" s="18" t="n">
        <v>37</v>
      </c>
      <c r="N1183" s="18" t="n">
        <v>37</v>
      </c>
      <c r="O1183" s="18" t="n">
        <v>0</v>
      </c>
      <c r="P1183" s="17" t="n">
        <v>45756</v>
      </c>
      <c r="Q1183" s="17" t="n">
        <v>45756</v>
      </c>
      <c r="R1183" s="17" t="n">
        <v>45756</v>
      </c>
      <c r="S1183" s="19">
        <f>H1183*I1183</f>
        <v/>
      </c>
      <c r="T1183" s="19">
        <f>H1183*J1183</f>
        <v/>
      </c>
      <c r="U1183">
        <f>IF(AND(K1183=0,G1183&lt;=Assumptions!$C$6),1,0)</f>
        <v/>
      </c>
      <c r="V1183">
        <f>IF(U1183=1,IF(M1183&gt;0,IF(P1183&lt;=G1183+Assumptions!$C$7,1,0),0),0)</f>
        <v/>
      </c>
      <c r="W1183">
        <f>IF(AND(U1183=1,M1183&gt;=H1183*(1-Assumptions!$C$8)),1,0)</f>
        <v/>
      </c>
      <c r="X1183">
        <f>IF(AND(U1183=1,N1183&gt;=H1183*(1-Assumptions!$C$8)),1,0)</f>
        <v/>
      </c>
      <c r="Y1183">
        <f>IF(ISNUMBER(Q1183),1,0)</f>
        <v/>
      </c>
      <c r="Z1183">
        <f>IF(AND(K1183=0,L1183=0,Y1183=0),1,0)</f>
        <v/>
      </c>
      <c r="AA1183">
        <f>IF(AND(Z1183=1,G1183&lt;Assumptions!$C$6),1,0)</f>
        <v/>
      </c>
      <c r="AB1183">
        <f>IF(U1183=0,"",IF(Y1183=1,MAX(0,Q1183-G1183),IF(L1183=1,MAX(0,R1183-G1183),MAX(0,Assumptions!$C$6-G1183))))</f>
        <v/>
      </c>
      <c r="AC1183">
        <f>IF(Y1183=1,Q1183-F1183,"")</f>
        <v/>
      </c>
      <c r="AD1183">
        <f>IF(Y1183=1,AC1183^2,"")</f>
        <v/>
      </c>
      <c r="AE1183" s="19">
        <f>IF(Z1183=1,(H1183-M1183)*I1183,0)</f>
        <v/>
      </c>
      <c r="AF1183">
        <f>IF(G1183&lt;EDATE(Assumptions!$C$6,-12)+1,"prior_12m","last_12m")</f>
        <v/>
      </c>
      <c r="AG1183" s="21">
        <f>DATE(YEAR(G1183),MONTH(G1183),1)</f>
        <v/>
      </c>
    </row>
    <row r="1184">
      <c r="A1184" t="inlineStr">
        <is>
          <t>SPO-00647-2</t>
        </is>
      </c>
      <c r="B1184" t="inlineStr">
        <is>
          <t>SPO-00647</t>
        </is>
      </c>
      <c r="C1184" t="inlineStr">
        <is>
          <t>SUP-01</t>
        </is>
      </c>
      <c r="D1184" t="inlineStr">
        <is>
          <t>ELEC</t>
        </is>
      </c>
      <c r="E1184" t="inlineStr">
        <is>
          <t>ELEC-06</t>
        </is>
      </c>
      <c r="F1184" s="17" t="n">
        <v>45741</v>
      </c>
      <c r="G1184" s="17" t="n">
        <v>45759</v>
      </c>
      <c r="H1184" s="18" t="n">
        <v>18</v>
      </c>
      <c r="I1184" s="19" t="n">
        <v>144.69</v>
      </c>
      <c r="J1184" s="19" t="n">
        <v>145</v>
      </c>
      <c r="K1184" s="20" t="n">
        <v>0</v>
      </c>
      <c r="L1184" s="20" t="n">
        <v>0</v>
      </c>
      <c r="M1184" s="18" t="n">
        <v>18</v>
      </c>
      <c r="N1184" s="18" t="n">
        <v>18</v>
      </c>
      <c r="O1184" s="18" t="n">
        <v>0</v>
      </c>
      <c r="P1184" s="17" t="n">
        <v>45757</v>
      </c>
      <c r="Q1184" s="17" t="n">
        <v>45757</v>
      </c>
      <c r="R1184" s="17" t="n">
        <v>45757</v>
      </c>
      <c r="S1184" s="19">
        <f>H1184*I1184</f>
        <v/>
      </c>
      <c r="T1184" s="19">
        <f>H1184*J1184</f>
        <v/>
      </c>
      <c r="U1184">
        <f>IF(AND(K1184=0,G1184&lt;=Assumptions!$C$6),1,0)</f>
        <v/>
      </c>
      <c r="V1184">
        <f>IF(U1184=1,IF(M1184&gt;0,IF(P1184&lt;=G1184+Assumptions!$C$7,1,0),0),0)</f>
        <v/>
      </c>
      <c r="W1184">
        <f>IF(AND(U1184=1,M1184&gt;=H1184*(1-Assumptions!$C$8)),1,0)</f>
        <v/>
      </c>
      <c r="X1184">
        <f>IF(AND(U1184=1,N1184&gt;=H1184*(1-Assumptions!$C$8)),1,0)</f>
        <v/>
      </c>
      <c r="Y1184">
        <f>IF(ISNUMBER(Q1184),1,0)</f>
        <v/>
      </c>
      <c r="Z1184">
        <f>IF(AND(K1184=0,L1184=0,Y1184=0),1,0)</f>
        <v/>
      </c>
      <c r="AA1184">
        <f>IF(AND(Z1184=1,G1184&lt;Assumptions!$C$6),1,0)</f>
        <v/>
      </c>
      <c r="AB1184">
        <f>IF(U1184=0,"",IF(Y1184=1,MAX(0,Q1184-G1184),IF(L1184=1,MAX(0,R1184-G1184),MAX(0,Assumptions!$C$6-G1184))))</f>
        <v/>
      </c>
      <c r="AC1184">
        <f>IF(Y1184=1,Q1184-F1184,"")</f>
        <v/>
      </c>
      <c r="AD1184">
        <f>IF(Y1184=1,AC1184^2,"")</f>
        <v/>
      </c>
      <c r="AE1184" s="19">
        <f>IF(Z1184=1,(H1184-M1184)*I1184,0)</f>
        <v/>
      </c>
      <c r="AF1184">
        <f>IF(G1184&lt;EDATE(Assumptions!$C$6,-12)+1,"prior_12m","last_12m")</f>
        <v/>
      </c>
      <c r="AG1184" s="21">
        <f>DATE(YEAR(G1184),MONTH(G1184),1)</f>
        <v/>
      </c>
    </row>
    <row r="1185">
      <c r="A1185" t="inlineStr">
        <is>
          <t>SPO-00647-3</t>
        </is>
      </c>
      <c r="B1185" t="inlineStr">
        <is>
          <t>SPO-00647</t>
        </is>
      </c>
      <c r="C1185" t="inlineStr">
        <is>
          <t>SUP-01</t>
        </is>
      </c>
      <c r="D1185" t="inlineStr">
        <is>
          <t>ELEC</t>
        </is>
      </c>
      <c r="E1185" t="inlineStr">
        <is>
          <t>ELEC-04</t>
        </is>
      </c>
      <c r="F1185" s="17" t="n">
        <v>45741</v>
      </c>
      <c r="G1185" s="17" t="n">
        <v>45759</v>
      </c>
      <c r="H1185" s="18" t="n">
        <v>34</v>
      </c>
      <c r="I1185" s="19" t="n">
        <v>70.34999999999999</v>
      </c>
      <c r="J1185" s="19" t="n">
        <v>72</v>
      </c>
      <c r="K1185" s="20" t="n">
        <v>0</v>
      </c>
      <c r="L1185" s="20" t="n">
        <v>0</v>
      </c>
      <c r="M1185" s="18" t="n">
        <v>34</v>
      </c>
      <c r="N1185" s="18" t="n">
        <v>34</v>
      </c>
      <c r="O1185" s="18" t="n">
        <v>0</v>
      </c>
      <c r="P1185" s="17" t="n">
        <v>45757</v>
      </c>
      <c r="Q1185" s="17" t="n">
        <v>45757</v>
      </c>
      <c r="R1185" s="17" t="n">
        <v>45757</v>
      </c>
      <c r="S1185" s="19">
        <f>H1185*I1185</f>
        <v/>
      </c>
      <c r="T1185" s="19">
        <f>H1185*J1185</f>
        <v/>
      </c>
      <c r="U1185">
        <f>IF(AND(K1185=0,G1185&lt;=Assumptions!$C$6),1,0)</f>
        <v/>
      </c>
      <c r="V1185">
        <f>IF(U1185=1,IF(M1185&gt;0,IF(P1185&lt;=G1185+Assumptions!$C$7,1,0),0),0)</f>
        <v/>
      </c>
      <c r="W1185">
        <f>IF(AND(U1185=1,M1185&gt;=H1185*(1-Assumptions!$C$8)),1,0)</f>
        <v/>
      </c>
      <c r="X1185">
        <f>IF(AND(U1185=1,N1185&gt;=H1185*(1-Assumptions!$C$8)),1,0)</f>
        <v/>
      </c>
      <c r="Y1185">
        <f>IF(ISNUMBER(Q1185),1,0)</f>
        <v/>
      </c>
      <c r="Z1185">
        <f>IF(AND(K1185=0,L1185=0,Y1185=0),1,0)</f>
        <v/>
      </c>
      <c r="AA1185">
        <f>IF(AND(Z1185=1,G1185&lt;Assumptions!$C$6),1,0)</f>
        <v/>
      </c>
      <c r="AB1185">
        <f>IF(U1185=0,"",IF(Y1185=1,MAX(0,Q1185-G1185),IF(L1185=1,MAX(0,R1185-G1185),MAX(0,Assumptions!$C$6-G1185))))</f>
        <v/>
      </c>
      <c r="AC1185">
        <f>IF(Y1185=1,Q1185-F1185,"")</f>
        <v/>
      </c>
      <c r="AD1185">
        <f>IF(Y1185=1,AC1185^2,"")</f>
        <v/>
      </c>
      <c r="AE1185" s="19">
        <f>IF(Z1185=1,(H1185-M1185)*I1185,0)</f>
        <v/>
      </c>
      <c r="AF1185">
        <f>IF(G1185&lt;EDATE(Assumptions!$C$6,-12)+1,"prior_12m","last_12m")</f>
        <v/>
      </c>
      <c r="AG1185" s="21">
        <f>DATE(YEAR(G1185),MONTH(G1185),1)</f>
        <v/>
      </c>
    </row>
    <row r="1186">
      <c r="A1186" t="inlineStr">
        <is>
          <t>SPO-00648-1</t>
        </is>
      </c>
      <c r="B1186" t="inlineStr">
        <is>
          <t>SPO-00648</t>
        </is>
      </c>
      <c r="C1186" t="inlineStr">
        <is>
          <t>SUP-10</t>
        </is>
      </c>
      <c r="D1186" t="inlineStr">
        <is>
          <t>PPE</t>
        </is>
      </c>
      <c r="E1186" t="inlineStr">
        <is>
          <t>PPE-05</t>
        </is>
      </c>
      <c r="F1186" s="17" t="n">
        <v>45741</v>
      </c>
      <c r="G1186" s="17" t="n">
        <v>45754</v>
      </c>
      <c r="H1186" s="18" t="n">
        <v>216</v>
      </c>
      <c r="I1186" s="19" t="n">
        <v>10.8</v>
      </c>
      <c r="J1186" s="19" t="n">
        <v>11</v>
      </c>
      <c r="K1186" s="20" t="n">
        <v>0</v>
      </c>
      <c r="L1186" s="20" t="n">
        <v>0</v>
      </c>
      <c r="M1186" s="18" t="n">
        <v>216</v>
      </c>
      <c r="N1186" s="18" t="n">
        <v>216</v>
      </c>
      <c r="O1186" s="18" t="n">
        <v>0</v>
      </c>
      <c r="P1186" s="17" t="n">
        <v>45752</v>
      </c>
      <c r="Q1186" s="17" t="n">
        <v>45752</v>
      </c>
      <c r="R1186" s="17" t="n">
        <v>45752</v>
      </c>
      <c r="S1186" s="19">
        <f>H1186*I1186</f>
        <v/>
      </c>
      <c r="T1186" s="19">
        <f>H1186*J1186</f>
        <v/>
      </c>
      <c r="U1186">
        <f>IF(AND(K1186=0,G1186&lt;=Assumptions!$C$6),1,0)</f>
        <v/>
      </c>
      <c r="V1186">
        <f>IF(U1186=1,IF(M1186&gt;0,IF(P1186&lt;=G1186+Assumptions!$C$7,1,0),0),0)</f>
        <v/>
      </c>
      <c r="W1186">
        <f>IF(AND(U1186=1,M1186&gt;=H1186*(1-Assumptions!$C$8)),1,0)</f>
        <v/>
      </c>
      <c r="X1186">
        <f>IF(AND(U1186=1,N1186&gt;=H1186*(1-Assumptions!$C$8)),1,0)</f>
        <v/>
      </c>
      <c r="Y1186">
        <f>IF(ISNUMBER(Q1186),1,0)</f>
        <v/>
      </c>
      <c r="Z1186">
        <f>IF(AND(K1186=0,L1186=0,Y1186=0),1,0)</f>
        <v/>
      </c>
      <c r="AA1186">
        <f>IF(AND(Z1186=1,G1186&lt;Assumptions!$C$6),1,0)</f>
        <v/>
      </c>
      <c r="AB1186">
        <f>IF(U1186=0,"",IF(Y1186=1,MAX(0,Q1186-G1186),IF(L1186=1,MAX(0,R1186-G1186),MAX(0,Assumptions!$C$6-G1186))))</f>
        <v/>
      </c>
      <c r="AC1186">
        <f>IF(Y1186=1,Q1186-F1186,"")</f>
        <v/>
      </c>
      <c r="AD1186">
        <f>IF(Y1186=1,AC1186^2,"")</f>
        <v/>
      </c>
      <c r="AE1186" s="19">
        <f>IF(Z1186=1,(H1186-M1186)*I1186,0)</f>
        <v/>
      </c>
      <c r="AF1186">
        <f>IF(G1186&lt;EDATE(Assumptions!$C$6,-12)+1,"prior_12m","last_12m")</f>
        <v/>
      </c>
      <c r="AG1186" s="21">
        <f>DATE(YEAR(G1186),MONTH(G1186),1)</f>
        <v/>
      </c>
    </row>
    <row r="1187">
      <c r="A1187" t="inlineStr">
        <is>
          <t>SPO-00649-1</t>
        </is>
      </c>
      <c r="B1187" t="inlineStr">
        <is>
          <t>SPO-00649</t>
        </is>
      </c>
      <c r="C1187" t="inlineStr">
        <is>
          <t>SUP-01</t>
        </is>
      </c>
      <c r="D1187" t="inlineStr">
        <is>
          <t>ELEC</t>
        </is>
      </c>
      <c r="E1187" t="inlineStr">
        <is>
          <t>ELEC-07</t>
        </is>
      </c>
      <c r="F1187" s="17" t="n">
        <v>45741</v>
      </c>
      <c r="G1187" s="17" t="n">
        <v>45759</v>
      </c>
      <c r="H1187" s="18" t="n">
        <v>658</v>
      </c>
      <c r="I1187" s="19" t="n">
        <v>10.01</v>
      </c>
      <c r="J1187" s="19" t="n">
        <v>9.800000000000001</v>
      </c>
      <c r="K1187" s="20" t="n">
        <v>0</v>
      </c>
      <c r="L1187" s="20" t="n">
        <v>0</v>
      </c>
      <c r="M1187" s="18" t="n">
        <v>658</v>
      </c>
      <c r="N1187" s="18" t="n">
        <v>658</v>
      </c>
      <c r="O1187" s="18" t="n">
        <v>0</v>
      </c>
      <c r="P1187" s="17" t="n">
        <v>45755</v>
      </c>
      <c r="Q1187" s="17" t="n">
        <v>45755</v>
      </c>
      <c r="R1187" s="17" t="n">
        <v>45755</v>
      </c>
      <c r="S1187" s="19">
        <f>H1187*I1187</f>
        <v/>
      </c>
      <c r="T1187" s="19">
        <f>H1187*J1187</f>
        <v/>
      </c>
      <c r="U1187">
        <f>IF(AND(K1187=0,G1187&lt;=Assumptions!$C$6),1,0)</f>
        <v/>
      </c>
      <c r="V1187">
        <f>IF(U1187=1,IF(M1187&gt;0,IF(P1187&lt;=G1187+Assumptions!$C$7,1,0),0),0)</f>
        <v/>
      </c>
      <c r="W1187">
        <f>IF(AND(U1187=1,M1187&gt;=H1187*(1-Assumptions!$C$8)),1,0)</f>
        <v/>
      </c>
      <c r="X1187">
        <f>IF(AND(U1187=1,N1187&gt;=H1187*(1-Assumptions!$C$8)),1,0)</f>
        <v/>
      </c>
      <c r="Y1187">
        <f>IF(ISNUMBER(Q1187),1,0)</f>
        <v/>
      </c>
      <c r="Z1187">
        <f>IF(AND(K1187=0,L1187=0,Y1187=0),1,0)</f>
        <v/>
      </c>
      <c r="AA1187">
        <f>IF(AND(Z1187=1,G1187&lt;Assumptions!$C$6),1,0)</f>
        <v/>
      </c>
      <c r="AB1187">
        <f>IF(U1187=0,"",IF(Y1187=1,MAX(0,Q1187-G1187),IF(L1187=1,MAX(0,R1187-G1187),MAX(0,Assumptions!$C$6-G1187))))</f>
        <v/>
      </c>
      <c r="AC1187">
        <f>IF(Y1187=1,Q1187-F1187,"")</f>
        <v/>
      </c>
      <c r="AD1187">
        <f>IF(Y1187=1,AC1187^2,"")</f>
        <v/>
      </c>
      <c r="AE1187" s="19">
        <f>IF(Z1187=1,(H1187-M1187)*I1187,0)</f>
        <v/>
      </c>
      <c r="AF1187">
        <f>IF(G1187&lt;EDATE(Assumptions!$C$6,-12)+1,"prior_12m","last_12m")</f>
        <v/>
      </c>
      <c r="AG1187" s="21">
        <f>DATE(YEAR(G1187),MONTH(G1187),1)</f>
        <v/>
      </c>
    </row>
    <row r="1188">
      <c r="A1188" t="inlineStr">
        <is>
          <t>SPO-00649-2</t>
        </is>
      </c>
      <c r="B1188" t="inlineStr">
        <is>
          <t>SPO-00649</t>
        </is>
      </c>
      <c r="C1188" t="inlineStr">
        <is>
          <t>SUP-01</t>
        </is>
      </c>
      <c r="D1188" t="inlineStr">
        <is>
          <t>ELEC</t>
        </is>
      </c>
      <c r="E1188" t="inlineStr">
        <is>
          <t>ELEC-05</t>
        </is>
      </c>
      <c r="F1188" s="17" t="n">
        <v>45741</v>
      </c>
      <c r="G1188" s="17" t="n">
        <v>45759</v>
      </c>
      <c r="H1188" s="18" t="n">
        <v>125</v>
      </c>
      <c r="I1188" s="19" t="n">
        <v>11.85</v>
      </c>
      <c r="J1188" s="19" t="n">
        <v>11.5</v>
      </c>
      <c r="K1188" s="20" t="n">
        <v>0</v>
      </c>
      <c r="L1188" s="20" t="n">
        <v>0</v>
      </c>
      <c r="M1188" s="18" t="n">
        <v>125</v>
      </c>
      <c r="N1188" s="18" t="n">
        <v>96</v>
      </c>
      <c r="O1188" s="18" t="n">
        <v>0</v>
      </c>
      <c r="P1188" s="17" t="n">
        <v>45755</v>
      </c>
      <c r="Q1188" s="17" t="n">
        <v>45767</v>
      </c>
      <c r="R1188" s="17" t="n">
        <v>45767</v>
      </c>
      <c r="S1188" s="19">
        <f>H1188*I1188</f>
        <v/>
      </c>
      <c r="T1188" s="19">
        <f>H1188*J1188</f>
        <v/>
      </c>
      <c r="U1188">
        <f>IF(AND(K1188=0,G1188&lt;=Assumptions!$C$6),1,0)</f>
        <v/>
      </c>
      <c r="V1188">
        <f>IF(U1188=1,IF(M1188&gt;0,IF(P1188&lt;=G1188+Assumptions!$C$7,1,0),0),0)</f>
        <v/>
      </c>
      <c r="W1188">
        <f>IF(AND(U1188=1,M1188&gt;=H1188*(1-Assumptions!$C$8)),1,0)</f>
        <v/>
      </c>
      <c r="X1188">
        <f>IF(AND(U1188=1,N1188&gt;=H1188*(1-Assumptions!$C$8)),1,0)</f>
        <v/>
      </c>
      <c r="Y1188">
        <f>IF(ISNUMBER(Q1188),1,0)</f>
        <v/>
      </c>
      <c r="Z1188">
        <f>IF(AND(K1188=0,L1188=0,Y1188=0),1,0)</f>
        <v/>
      </c>
      <c r="AA1188">
        <f>IF(AND(Z1188=1,G1188&lt;Assumptions!$C$6),1,0)</f>
        <v/>
      </c>
      <c r="AB1188">
        <f>IF(U1188=0,"",IF(Y1188=1,MAX(0,Q1188-G1188),IF(L1188=1,MAX(0,R1188-G1188),MAX(0,Assumptions!$C$6-G1188))))</f>
        <v/>
      </c>
      <c r="AC1188">
        <f>IF(Y1188=1,Q1188-F1188,"")</f>
        <v/>
      </c>
      <c r="AD1188">
        <f>IF(Y1188=1,AC1188^2,"")</f>
        <v/>
      </c>
      <c r="AE1188" s="19">
        <f>IF(Z1188=1,(H1188-M1188)*I1188,0)</f>
        <v/>
      </c>
      <c r="AF1188">
        <f>IF(G1188&lt;EDATE(Assumptions!$C$6,-12)+1,"prior_12m","last_12m")</f>
        <v/>
      </c>
      <c r="AG1188" s="21">
        <f>DATE(YEAR(G1188),MONTH(G1188),1)</f>
        <v/>
      </c>
    </row>
    <row r="1189">
      <c r="A1189" t="inlineStr">
        <is>
          <t>SPO-00649-3</t>
        </is>
      </c>
      <c r="B1189" t="inlineStr">
        <is>
          <t>SPO-00649</t>
        </is>
      </c>
      <c r="C1189" t="inlineStr">
        <is>
          <t>SUP-01</t>
        </is>
      </c>
      <c r="D1189" t="inlineStr">
        <is>
          <t>ELEC</t>
        </is>
      </c>
      <c r="E1189" t="inlineStr">
        <is>
          <t>ELEC-02</t>
        </is>
      </c>
      <c r="F1189" s="17" t="n">
        <v>45741</v>
      </c>
      <c r="G1189" s="17" t="n">
        <v>45759</v>
      </c>
      <c r="H1189" s="18" t="n">
        <v>464</v>
      </c>
      <c r="I1189" s="19" t="n">
        <v>4.29</v>
      </c>
      <c r="J1189" s="19" t="n">
        <v>4.2</v>
      </c>
      <c r="K1189" s="20" t="n">
        <v>0</v>
      </c>
      <c r="L1189" s="20" t="n">
        <v>0</v>
      </c>
      <c r="M1189" s="18" t="n">
        <v>464</v>
      </c>
      <c r="N1189" s="18" t="n">
        <v>464</v>
      </c>
      <c r="O1189" s="18" t="n">
        <v>0</v>
      </c>
      <c r="P1189" s="17" t="n">
        <v>45755</v>
      </c>
      <c r="Q1189" s="17" t="n">
        <v>45755</v>
      </c>
      <c r="R1189" s="17" t="n">
        <v>45755</v>
      </c>
      <c r="S1189" s="19">
        <f>H1189*I1189</f>
        <v/>
      </c>
      <c r="T1189" s="19">
        <f>H1189*J1189</f>
        <v/>
      </c>
      <c r="U1189">
        <f>IF(AND(K1189=0,G1189&lt;=Assumptions!$C$6),1,0)</f>
        <v/>
      </c>
      <c r="V1189">
        <f>IF(U1189=1,IF(M1189&gt;0,IF(P1189&lt;=G1189+Assumptions!$C$7,1,0),0),0)</f>
        <v/>
      </c>
      <c r="W1189">
        <f>IF(AND(U1189=1,M1189&gt;=H1189*(1-Assumptions!$C$8)),1,0)</f>
        <v/>
      </c>
      <c r="X1189">
        <f>IF(AND(U1189=1,N1189&gt;=H1189*(1-Assumptions!$C$8)),1,0)</f>
        <v/>
      </c>
      <c r="Y1189">
        <f>IF(ISNUMBER(Q1189),1,0)</f>
        <v/>
      </c>
      <c r="Z1189">
        <f>IF(AND(K1189=0,L1189=0,Y1189=0),1,0)</f>
        <v/>
      </c>
      <c r="AA1189">
        <f>IF(AND(Z1189=1,G1189&lt;Assumptions!$C$6),1,0)</f>
        <v/>
      </c>
      <c r="AB1189">
        <f>IF(U1189=0,"",IF(Y1189=1,MAX(0,Q1189-G1189),IF(L1189=1,MAX(0,R1189-G1189),MAX(0,Assumptions!$C$6-G1189))))</f>
        <v/>
      </c>
      <c r="AC1189">
        <f>IF(Y1189=1,Q1189-F1189,"")</f>
        <v/>
      </c>
      <c r="AD1189">
        <f>IF(Y1189=1,AC1189^2,"")</f>
        <v/>
      </c>
      <c r="AE1189" s="19">
        <f>IF(Z1189=1,(H1189-M1189)*I1189,0)</f>
        <v/>
      </c>
      <c r="AF1189">
        <f>IF(G1189&lt;EDATE(Assumptions!$C$6,-12)+1,"prior_12m","last_12m")</f>
        <v/>
      </c>
      <c r="AG1189" s="21">
        <f>DATE(YEAR(G1189),MONTH(G1189),1)</f>
        <v/>
      </c>
    </row>
    <row r="1190">
      <c r="A1190" t="inlineStr">
        <is>
          <t>SPO-00649-4</t>
        </is>
      </c>
      <c r="B1190" t="inlineStr">
        <is>
          <t>SPO-00649</t>
        </is>
      </c>
      <c r="C1190" t="inlineStr">
        <is>
          <t>SUP-01</t>
        </is>
      </c>
      <c r="D1190" t="inlineStr">
        <is>
          <t>ELEC</t>
        </is>
      </c>
      <c r="E1190" t="inlineStr">
        <is>
          <t>ELEC-08</t>
        </is>
      </c>
      <c r="F1190" s="17" t="n">
        <v>45741</v>
      </c>
      <c r="G1190" s="17" t="n">
        <v>45759</v>
      </c>
      <c r="H1190" s="18" t="n">
        <v>132</v>
      </c>
      <c r="I1190" s="19" t="n">
        <v>18.71</v>
      </c>
      <c r="J1190" s="19" t="n">
        <v>18</v>
      </c>
      <c r="K1190" s="20" t="n">
        <v>0</v>
      </c>
      <c r="L1190" s="20" t="n">
        <v>0</v>
      </c>
      <c r="M1190" s="18" t="n">
        <v>132</v>
      </c>
      <c r="N1190" s="18" t="n">
        <v>132</v>
      </c>
      <c r="O1190" s="18" t="n">
        <v>0</v>
      </c>
      <c r="P1190" s="17" t="n">
        <v>45753</v>
      </c>
      <c r="Q1190" s="17" t="n">
        <v>45753</v>
      </c>
      <c r="R1190" s="17" t="n">
        <v>45753</v>
      </c>
      <c r="S1190" s="19">
        <f>H1190*I1190</f>
        <v/>
      </c>
      <c r="T1190" s="19">
        <f>H1190*J1190</f>
        <v/>
      </c>
      <c r="U1190">
        <f>IF(AND(K1190=0,G1190&lt;=Assumptions!$C$6),1,0)</f>
        <v/>
      </c>
      <c r="V1190">
        <f>IF(U1190=1,IF(M1190&gt;0,IF(P1190&lt;=G1190+Assumptions!$C$7,1,0),0),0)</f>
        <v/>
      </c>
      <c r="W1190">
        <f>IF(AND(U1190=1,M1190&gt;=H1190*(1-Assumptions!$C$8)),1,0)</f>
        <v/>
      </c>
      <c r="X1190">
        <f>IF(AND(U1190=1,N1190&gt;=H1190*(1-Assumptions!$C$8)),1,0)</f>
        <v/>
      </c>
      <c r="Y1190">
        <f>IF(ISNUMBER(Q1190),1,0)</f>
        <v/>
      </c>
      <c r="Z1190">
        <f>IF(AND(K1190=0,L1190=0,Y1190=0),1,0)</f>
        <v/>
      </c>
      <c r="AA1190">
        <f>IF(AND(Z1190=1,G1190&lt;Assumptions!$C$6),1,0)</f>
        <v/>
      </c>
      <c r="AB1190">
        <f>IF(U1190=0,"",IF(Y1190=1,MAX(0,Q1190-G1190),IF(L1190=1,MAX(0,R1190-G1190),MAX(0,Assumptions!$C$6-G1190))))</f>
        <v/>
      </c>
      <c r="AC1190">
        <f>IF(Y1190=1,Q1190-F1190,"")</f>
        <v/>
      </c>
      <c r="AD1190">
        <f>IF(Y1190=1,AC1190^2,"")</f>
        <v/>
      </c>
      <c r="AE1190" s="19">
        <f>IF(Z1190=1,(H1190-M1190)*I1190,0)</f>
        <v/>
      </c>
      <c r="AF1190">
        <f>IF(G1190&lt;EDATE(Assumptions!$C$6,-12)+1,"prior_12m","last_12m")</f>
        <v/>
      </c>
      <c r="AG1190" s="21">
        <f>DATE(YEAR(G1190),MONTH(G1190),1)</f>
        <v/>
      </c>
    </row>
    <row r="1191">
      <c r="A1191" t="inlineStr">
        <is>
          <t>SPO-00650-1</t>
        </is>
      </c>
      <c r="B1191" t="inlineStr">
        <is>
          <t>SPO-00650</t>
        </is>
      </c>
      <c r="C1191" t="inlineStr">
        <is>
          <t>SUP-07</t>
        </is>
      </c>
      <c r="D1191" t="inlineStr">
        <is>
          <t>MRO</t>
        </is>
      </c>
      <c r="E1191" t="inlineStr">
        <is>
          <t>MRO-07</t>
        </is>
      </c>
      <c r="F1191" s="17" t="n">
        <v>45742</v>
      </c>
      <c r="G1191" s="17" t="n">
        <v>45752</v>
      </c>
      <c r="H1191" s="18" t="n">
        <v>150</v>
      </c>
      <c r="I1191" s="19" t="n">
        <v>14.28</v>
      </c>
      <c r="J1191" s="19" t="n">
        <v>14</v>
      </c>
      <c r="K1191" s="20" t="n">
        <v>1</v>
      </c>
      <c r="L1191" s="20" t="n">
        <v>0</v>
      </c>
      <c r="M1191" s="18" t="n">
        <v>0</v>
      </c>
      <c r="N1191" s="18" t="n">
        <v>0</v>
      </c>
      <c r="O1191" s="18" t="n">
        <v>0</v>
      </c>
      <c r="P1191" s="17" t="n"/>
      <c r="Q1191" s="17" t="n"/>
      <c r="R1191" s="17" t="n"/>
      <c r="S1191" s="19">
        <f>H1191*I1191</f>
        <v/>
      </c>
      <c r="T1191" s="19">
        <f>H1191*J1191</f>
        <v/>
      </c>
      <c r="U1191">
        <f>IF(AND(K1191=0,G1191&lt;=Assumptions!$C$6),1,0)</f>
        <v/>
      </c>
      <c r="V1191">
        <f>IF(U1191=1,IF(M1191&gt;0,IF(P1191&lt;=G1191+Assumptions!$C$7,1,0),0),0)</f>
        <v/>
      </c>
      <c r="W1191">
        <f>IF(AND(U1191=1,M1191&gt;=H1191*(1-Assumptions!$C$8)),1,0)</f>
        <v/>
      </c>
      <c r="X1191">
        <f>IF(AND(U1191=1,N1191&gt;=H1191*(1-Assumptions!$C$8)),1,0)</f>
        <v/>
      </c>
      <c r="Y1191">
        <f>IF(ISNUMBER(Q1191),1,0)</f>
        <v/>
      </c>
      <c r="Z1191">
        <f>IF(AND(K1191=0,L1191=0,Y1191=0),1,0)</f>
        <v/>
      </c>
      <c r="AA1191">
        <f>IF(AND(Z1191=1,G1191&lt;Assumptions!$C$6),1,0)</f>
        <v/>
      </c>
      <c r="AB1191">
        <f>IF(U1191=0,"",IF(Y1191=1,MAX(0,Q1191-G1191),IF(L1191=1,MAX(0,R1191-G1191),MAX(0,Assumptions!$C$6-G1191))))</f>
        <v/>
      </c>
      <c r="AC1191">
        <f>IF(Y1191=1,Q1191-F1191,"")</f>
        <v/>
      </c>
      <c r="AD1191">
        <f>IF(Y1191=1,AC1191^2,"")</f>
        <v/>
      </c>
      <c r="AE1191" s="19">
        <f>IF(Z1191=1,(H1191-M1191)*I1191,0)</f>
        <v/>
      </c>
      <c r="AF1191">
        <f>IF(G1191&lt;EDATE(Assumptions!$C$6,-12)+1,"prior_12m","last_12m")</f>
        <v/>
      </c>
      <c r="AG1191" s="21">
        <f>DATE(YEAR(G1191),MONTH(G1191),1)</f>
        <v/>
      </c>
    </row>
    <row r="1192">
      <c r="A1192" t="inlineStr">
        <is>
          <t>SPO-00650-2</t>
        </is>
      </c>
      <c r="B1192" t="inlineStr">
        <is>
          <t>SPO-00650</t>
        </is>
      </c>
      <c r="C1192" t="inlineStr">
        <is>
          <t>SUP-07</t>
        </is>
      </c>
      <c r="D1192" t="inlineStr">
        <is>
          <t>MRO</t>
        </is>
      </c>
      <c r="E1192" t="inlineStr">
        <is>
          <t>MRO-08</t>
        </is>
      </c>
      <c r="F1192" s="17" t="n">
        <v>45742</v>
      </c>
      <c r="G1192" s="17" t="n">
        <v>45752</v>
      </c>
      <c r="H1192" s="18" t="n">
        <v>113</v>
      </c>
      <c r="I1192" s="19" t="n">
        <v>7.17</v>
      </c>
      <c r="J1192" s="19" t="n">
        <v>7.2</v>
      </c>
      <c r="K1192" s="20" t="n">
        <v>0</v>
      </c>
      <c r="L1192" s="20" t="n">
        <v>0</v>
      </c>
      <c r="M1192" s="18" t="n">
        <v>113</v>
      </c>
      <c r="N1192" s="18" t="n">
        <v>113</v>
      </c>
      <c r="O1192" s="18" t="n">
        <v>0</v>
      </c>
      <c r="P1192" s="17" t="n">
        <v>45745</v>
      </c>
      <c r="Q1192" s="17" t="n">
        <v>45745</v>
      </c>
      <c r="R1192" s="17" t="n">
        <v>45745</v>
      </c>
      <c r="S1192" s="19">
        <f>H1192*I1192</f>
        <v/>
      </c>
      <c r="T1192" s="19">
        <f>H1192*J1192</f>
        <v/>
      </c>
      <c r="U1192">
        <f>IF(AND(K1192=0,G1192&lt;=Assumptions!$C$6),1,0)</f>
        <v/>
      </c>
      <c r="V1192">
        <f>IF(U1192=1,IF(M1192&gt;0,IF(P1192&lt;=G1192+Assumptions!$C$7,1,0),0),0)</f>
        <v/>
      </c>
      <c r="W1192">
        <f>IF(AND(U1192=1,M1192&gt;=H1192*(1-Assumptions!$C$8)),1,0)</f>
        <v/>
      </c>
      <c r="X1192">
        <f>IF(AND(U1192=1,N1192&gt;=H1192*(1-Assumptions!$C$8)),1,0)</f>
        <v/>
      </c>
      <c r="Y1192">
        <f>IF(ISNUMBER(Q1192),1,0)</f>
        <v/>
      </c>
      <c r="Z1192">
        <f>IF(AND(K1192=0,L1192=0,Y1192=0),1,0)</f>
        <v/>
      </c>
      <c r="AA1192">
        <f>IF(AND(Z1192=1,G1192&lt;Assumptions!$C$6),1,0)</f>
        <v/>
      </c>
      <c r="AB1192">
        <f>IF(U1192=0,"",IF(Y1192=1,MAX(0,Q1192-G1192),IF(L1192=1,MAX(0,R1192-G1192),MAX(0,Assumptions!$C$6-G1192))))</f>
        <v/>
      </c>
      <c r="AC1192">
        <f>IF(Y1192=1,Q1192-F1192,"")</f>
        <v/>
      </c>
      <c r="AD1192">
        <f>IF(Y1192=1,AC1192^2,"")</f>
        <v/>
      </c>
      <c r="AE1192" s="19">
        <f>IF(Z1192=1,(H1192-M1192)*I1192,0)</f>
        <v/>
      </c>
      <c r="AF1192">
        <f>IF(G1192&lt;EDATE(Assumptions!$C$6,-12)+1,"prior_12m","last_12m")</f>
        <v/>
      </c>
      <c r="AG1192" s="21">
        <f>DATE(YEAR(G1192),MONTH(G1192),1)</f>
        <v/>
      </c>
    </row>
    <row r="1193">
      <c r="A1193" t="inlineStr">
        <is>
          <t>SPO-00651-1</t>
        </is>
      </c>
      <c r="B1193" t="inlineStr">
        <is>
          <t>SPO-00651</t>
        </is>
      </c>
      <c r="C1193" t="inlineStr">
        <is>
          <t>SUP-01</t>
        </is>
      </c>
      <c r="D1193" t="inlineStr">
        <is>
          <t>ELEC</t>
        </is>
      </c>
      <c r="E1193" t="inlineStr">
        <is>
          <t>ELEC-08</t>
        </is>
      </c>
      <c r="F1193" s="17" t="n">
        <v>45742</v>
      </c>
      <c r="G1193" s="17" t="n">
        <v>45760</v>
      </c>
      <c r="H1193" s="18" t="n">
        <v>188</v>
      </c>
      <c r="I1193" s="19" t="n">
        <v>17.83</v>
      </c>
      <c r="J1193" s="19" t="n">
        <v>18</v>
      </c>
      <c r="K1193" s="20" t="n">
        <v>0</v>
      </c>
      <c r="L1193" s="20" t="n">
        <v>0</v>
      </c>
      <c r="M1193" s="18" t="n">
        <v>188</v>
      </c>
      <c r="N1193" s="18" t="n">
        <v>188</v>
      </c>
      <c r="O1193" s="18" t="n">
        <v>0</v>
      </c>
      <c r="P1193" s="17" t="n">
        <v>45757</v>
      </c>
      <c r="Q1193" s="17" t="n">
        <v>45757</v>
      </c>
      <c r="R1193" s="17" t="n">
        <v>45757</v>
      </c>
      <c r="S1193" s="19">
        <f>H1193*I1193</f>
        <v/>
      </c>
      <c r="T1193" s="19">
        <f>H1193*J1193</f>
        <v/>
      </c>
      <c r="U1193">
        <f>IF(AND(K1193=0,G1193&lt;=Assumptions!$C$6),1,0)</f>
        <v/>
      </c>
      <c r="V1193">
        <f>IF(U1193=1,IF(M1193&gt;0,IF(P1193&lt;=G1193+Assumptions!$C$7,1,0),0),0)</f>
        <v/>
      </c>
      <c r="W1193">
        <f>IF(AND(U1193=1,M1193&gt;=H1193*(1-Assumptions!$C$8)),1,0)</f>
        <v/>
      </c>
      <c r="X1193">
        <f>IF(AND(U1193=1,N1193&gt;=H1193*(1-Assumptions!$C$8)),1,0)</f>
        <v/>
      </c>
      <c r="Y1193">
        <f>IF(ISNUMBER(Q1193),1,0)</f>
        <v/>
      </c>
      <c r="Z1193">
        <f>IF(AND(K1193=0,L1193=0,Y1193=0),1,0)</f>
        <v/>
      </c>
      <c r="AA1193">
        <f>IF(AND(Z1193=1,G1193&lt;Assumptions!$C$6),1,0)</f>
        <v/>
      </c>
      <c r="AB1193">
        <f>IF(U1193=0,"",IF(Y1193=1,MAX(0,Q1193-G1193),IF(L1193=1,MAX(0,R1193-G1193),MAX(0,Assumptions!$C$6-G1193))))</f>
        <v/>
      </c>
      <c r="AC1193">
        <f>IF(Y1193=1,Q1193-F1193,"")</f>
        <v/>
      </c>
      <c r="AD1193">
        <f>IF(Y1193=1,AC1193^2,"")</f>
        <v/>
      </c>
      <c r="AE1193" s="19">
        <f>IF(Z1193=1,(H1193-M1193)*I1193,0)</f>
        <v/>
      </c>
      <c r="AF1193">
        <f>IF(G1193&lt;EDATE(Assumptions!$C$6,-12)+1,"prior_12m","last_12m")</f>
        <v/>
      </c>
      <c r="AG1193" s="21">
        <f>DATE(YEAR(G1193),MONTH(G1193),1)</f>
        <v/>
      </c>
    </row>
    <row r="1194">
      <c r="A1194" t="inlineStr">
        <is>
          <t>SPO-00651-2</t>
        </is>
      </c>
      <c r="B1194" t="inlineStr">
        <is>
          <t>SPO-00651</t>
        </is>
      </c>
      <c r="C1194" t="inlineStr">
        <is>
          <t>SUP-01</t>
        </is>
      </c>
      <c r="D1194" t="inlineStr">
        <is>
          <t>ELEC</t>
        </is>
      </c>
      <c r="E1194" t="inlineStr">
        <is>
          <t>ELEC-05</t>
        </is>
      </c>
      <c r="F1194" s="17" t="n">
        <v>45742</v>
      </c>
      <c r="G1194" s="17" t="n">
        <v>45760</v>
      </c>
      <c r="H1194" s="18" t="n">
        <v>160</v>
      </c>
      <c r="I1194" s="19" t="n">
        <v>11.69</v>
      </c>
      <c r="J1194" s="19" t="n">
        <v>11.5</v>
      </c>
      <c r="K1194" s="20" t="n">
        <v>0</v>
      </c>
      <c r="L1194" s="20" t="n">
        <v>0</v>
      </c>
      <c r="M1194" s="18" t="n">
        <v>160</v>
      </c>
      <c r="N1194" s="18" t="n">
        <v>160</v>
      </c>
      <c r="O1194" s="18" t="n">
        <v>0</v>
      </c>
      <c r="P1194" s="17" t="n">
        <v>45758</v>
      </c>
      <c r="Q1194" s="17" t="n">
        <v>45758</v>
      </c>
      <c r="R1194" s="17" t="n">
        <v>45758</v>
      </c>
      <c r="S1194" s="19">
        <f>H1194*I1194</f>
        <v/>
      </c>
      <c r="T1194" s="19">
        <f>H1194*J1194</f>
        <v/>
      </c>
      <c r="U1194">
        <f>IF(AND(K1194=0,G1194&lt;=Assumptions!$C$6),1,0)</f>
        <v/>
      </c>
      <c r="V1194">
        <f>IF(U1194=1,IF(M1194&gt;0,IF(P1194&lt;=G1194+Assumptions!$C$7,1,0),0),0)</f>
        <v/>
      </c>
      <c r="W1194">
        <f>IF(AND(U1194=1,M1194&gt;=H1194*(1-Assumptions!$C$8)),1,0)</f>
        <v/>
      </c>
      <c r="X1194">
        <f>IF(AND(U1194=1,N1194&gt;=H1194*(1-Assumptions!$C$8)),1,0)</f>
        <v/>
      </c>
      <c r="Y1194">
        <f>IF(ISNUMBER(Q1194),1,0)</f>
        <v/>
      </c>
      <c r="Z1194">
        <f>IF(AND(K1194=0,L1194=0,Y1194=0),1,0)</f>
        <v/>
      </c>
      <c r="AA1194">
        <f>IF(AND(Z1194=1,G1194&lt;Assumptions!$C$6),1,0)</f>
        <v/>
      </c>
      <c r="AB1194">
        <f>IF(U1194=0,"",IF(Y1194=1,MAX(0,Q1194-G1194),IF(L1194=1,MAX(0,R1194-G1194),MAX(0,Assumptions!$C$6-G1194))))</f>
        <v/>
      </c>
      <c r="AC1194">
        <f>IF(Y1194=1,Q1194-F1194,"")</f>
        <v/>
      </c>
      <c r="AD1194">
        <f>IF(Y1194=1,AC1194^2,"")</f>
        <v/>
      </c>
      <c r="AE1194" s="19">
        <f>IF(Z1194=1,(H1194-M1194)*I1194,0)</f>
        <v/>
      </c>
      <c r="AF1194">
        <f>IF(G1194&lt;EDATE(Assumptions!$C$6,-12)+1,"prior_12m","last_12m")</f>
        <v/>
      </c>
      <c r="AG1194" s="21">
        <f>DATE(YEAR(G1194),MONTH(G1194),1)</f>
        <v/>
      </c>
    </row>
    <row r="1195">
      <c r="A1195" t="inlineStr">
        <is>
          <t>SPO-00652-1</t>
        </is>
      </c>
      <c r="B1195" t="inlineStr">
        <is>
          <t>SPO-00652</t>
        </is>
      </c>
      <c r="C1195" t="inlineStr">
        <is>
          <t>SUP-08</t>
        </is>
      </c>
      <c r="D1195" t="inlineStr">
        <is>
          <t>MRO</t>
        </is>
      </c>
      <c r="E1195" t="inlineStr">
        <is>
          <t>MRO-04</t>
        </is>
      </c>
      <c r="F1195" s="17" t="n">
        <v>45743</v>
      </c>
      <c r="G1195" s="17" t="n">
        <v>45754</v>
      </c>
      <c r="H1195" s="18" t="n">
        <v>51</v>
      </c>
      <c r="I1195" s="19" t="n">
        <v>58.74</v>
      </c>
      <c r="J1195" s="19" t="n">
        <v>58</v>
      </c>
      <c r="K1195" s="20" t="n">
        <v>0</v>
      </c>
      <c r="L1195" s="20" t="n">
        <v>0</v>
      </c>
      <c r="M1195" s="18" t="n">
        <v>51</v>
      </c>
      <c r="N1195" s="18" t="n">
        <v>51</v>
      </c>
      <c r="O1195" s="18" t="n">
        <v>0</v>
      </c>
      <c r="P1195" s="17" t="n">
        <v>45753</v>
      </c>
      <c r="Q1195" s="17" t="n">
        <v>45753</v>
      </c>
      <c r="R1195" s="17" t="n">
        <v>45753</v>
      </c>
      <c r="S1195" s="19">
        <f>H1195*I1195</f>
        <v/>
      </c>
      <c r="T1195" s="19">
        <f>H1195*J1195</f>
        <v/>
      </c>
      <c r="U1195">
        <f>IF(AND(K1195=0,G1195&lt;=Assumptions!$C$6),1,0)</f>
        <v/>
      </c>
      <c r="V1195">
        <f>IF(U1195=1,IF(M1195&gt;0,IF(P1195&lt;=G1195+Assumptions!$C$7,1,0),0),0)</f>
        <v/>
      </c>
      <c r="W1195">
        <f>IF(AND(U1195=1,M1195&gt;=H1195*(1-Assumptions!$C$8)),1,0)</f>
        <v/>
      </c>
      <c r="X1195">
        <f>IF(AND(U1195=1,N1195&gt;=H1195*(1-Assumptions!$C$8)),1,0)</f>
        <v/>
      </c>
      <c r="Y1195">
        <f>IF(ISNUMBER(Q1195),1,0)</f>
        <v/>
      </c>
      <c r="Z1195">
        <f>IF(AND(K1195=0,L1195=0,Y1195=0),1,0)</f>
        <v/>
      </c>
      <c r="AA1195">
        <f>IF(AND(Z1195=1,G1195&lt;Assumptions!$C$6),1,0)</f>
        <v/>
      </c>
      <c r="AB1195">
        <f>IF(U1195=0,"",IF(Y1195=1,MAX(0,Q1195-G1195),IF(L1195=1,MAX(0,R1195-G1195),MAX(0,Assumptions!$C$6-G1195))))</f>
        <v/>
      </c>
      <c r="AC1195">
        <f>IF(Y1195=1,Q1195-F1195,"")</f>
        <v/>
      </c>
      <c r="AD1195">
        <f>IF(Y1195=1,AC1195^2,"")</f>
        <v/>
      </c>
      <c r="AE1195" s="19">
        <f>IF(Z1195=1,(H1195-M1195)*I1195,0)</f>
        <v/>
      </c>
      <c r="AF1195">
        <f>IF(G1195&lt;EDATE(Assumptions!$C$6,-12)+1,"prior_12m","last_12m")</f>
        <v/>
      </c>
      <c r="AG1195" s="21">
        <f>DATE(YEAR(G1195),MONTH(G1195),1)</f>
        <v/>
      </c>
    </row>
    <row r="1196">
      <c r="A1196" t="inlineStr">
        <is>
          <t>SPO-00653-1</t>
        </is>
      </c>
      <c r="B1196" t="inlineStr">
        <is>
          <t>SPO-00653</t>
        </is>
      </c>
      <c r="C1196" t="inlineStr">
        <is>
          <t>SUP-06</t>
        </is>
      </c>
      <c r="D1196" t="inlineStr">
        <is>
          <t>MRO</t>
        </is>
      </c>
      <c r="E1196" t="inlineStr">
        <is>
          <t>MRO-01</t>
        </is>
      </c>
      <c r="F1196" s="17" t="n">
        <v>45744</v>
      </c>
      <c r="G1196" s="17" t="n">
        <v>45752</v>
      </c>
      <c r="H1196" s="18" t="n">
        <v>32</v>
      </c>
      <c r="I1196" s="19" t="n">
        <v>49.75</v>
      </c>
      <c r="J1196" s="19" t="n">
        <v>52</v>
      </c>
      <c r="K1196" s="20" t="n">
        <v>0</v>
      </c>
      <c r="L1196" s="20" t="n">
        <v>0</v>
      </c>
      <c r="M1196" s="18" t="n">
        <v>32</v>
      </c>
      <c r="N1196" s="18" t="n">
        <v>32</v>
      </c>
      <c r="O1196" s="18" t="n">
        <v>0</v>
      </c>
      <c r="P1196" s="17" t="n">
        <v>45751</v>
      </c>
      <c r="Q1196" s="17" t="n">
        <v>45751</v>
      </c>
      <c r="R1196" s="17" t="n">
        <v>45751</v>
      </c>
      <c r="S1196" s="19">
        <f>H1196*I1196</f>
        <v/>
      </c>
      <c r="T1196" s="19">
        <f>H1196*J1196</f>
        <v/>
      </c>
      <c r="U1196">
        <f>IF(AND(K1196=0,G1196&lt;=Assumptions!$C$6),1,0)</f>
        <v/>
      </c>
      <c r="V1196">
        <f>IF(U1196=1,IF(M1196&gt;0,IF(P1196&lt;=G1196+Assumptions!$C$7,1,0),0),0)</f>
        <v/>
      </c>
      <c r="W1196">
        <f>IF(AND(U1196=1,M1196&gt;=H1196*(1-Assumptions!$C$8)),1,0)</f>
        <v/>
      </c>
      <c r="X1196">
        <f>IF(AND(U1196=1,N1196&gt;=H1196*(1-Assumptions!$C$8)),1,0)</f>
        <v/>
      </c>
      <c r="Y1196">
        <f>IF(ISNUMBER(Q1196),1,0)</f>
        <v/>
      </c>
      <c r="Z1196">
        <f>IF(AND(K1196=0,L1196=0,Y1196=0),1,0)</f>
        <v/>
      </c>
      <c r="AA1196">
        <f>IF(AND(Z1196=1,G1196&lt;Assumptions!$C$6),1,0)</f>
        <v/>
      </c>
      <c r="AB1196">
        <f>IF(U1196=0,"",IF(Y1196=1,MAX(0,Q1196-G1196),IF(L1196=1,MAX(0,R1196-G1196),MAX(0,Assumptions!$C$6-G1196))))</f>
        <v/>
      </c>
      <c r="AC1196">
        <f>IF(Y1196=1,Q1196-F1196,"")</f>
        <v/>
      </c>
      <c r="AD1196">
        <f>IF(Y1196=1,AC1196^2,"")</f>
        <v/>
      </c>
      <c r="AE1196" s="19">
        <f>IF(Z1196=1,(H1196-M1196)*I1196,0)</f>
        <v/>
      </c>
      <c r="AF1196">
        <f>IF(G1196&lt;EDATE(Assumptions!$C$6,-12)+1,"prior_12m","last_12m")</f>
        <v/>
      </c>
      <c r="AG1196" s="21">
        <f>DATE(YEAR(G1196),MONTH(G1196),1)</f>
        <v/>
      </c>
    </row>
    <row r="1197">
      <c r="A1197" t="inlineStr">
        <is>
          <t>SPO-00654-1</t>
        </is>
      </c>
      <c r="B1197" t="inlineStr">
        <is>
          <t>SPO-00654</t>
        </is>
      </c>
      <c r="C1197" t="inlineStr">
        <is>
          <t>SUP-05</t>
        </is>
      </c>
      <c r="D1197" t="inlineStr">
        <is>
          <t>FLEET</t>
        </is>
      </c>
      <c r="E1197" t="inlineStr">
        <is>
          <t>FLEET-04</t>
        </is>
      </c>
      <c r="F1197" s="17" t="n">
        <v>45744</v>
      </c>
      <c r="G1197" s="17" t="n">
        <v>45758</v>
      </c>
      <c r="H1197" s="18" t="n">
        <v>236</v>
      </c>
      <c r="I1197" s="19" t="n">
        <v>9.16</v>
      </c>
      <c r="J1197" s="19" t="n">
        <v>9</v>
      </c>
      <c r="K1197" s="20" t="n">
        <v>0</v>
      </c>
      <c r="L1197" s="20" t="n">
        <v>0</v>
      </c>
      <c r="M1197" s="18" t="n">
        <v>236</v>
      </c>
      <c r="N1197" s="18" t="n">
        <v>236</v>
      </c>
      <c r="O1197" s="18" t="n">
        <v>0</v>
      </c>
      <c r="P1197" s="17" t="n">
        <v>45753</v>
      </c>
      <c r="Q1197" s="17" t="n">
        <v>45753</v>
      </c>
      <c r="R1197" s="17" t="n">
        <v>45753</v>
      </c>
      <c r="S1197" s="19">
        <f>H1197*I1197</f>
        <v/>
      </c>
      <c r="T1197" s="19">
        <f>H1197*J1197</f>
        <v/>
      </c>
      <c r="U1197">
        <f>IF(AND(K1197=0,G1197&lt;=Assumptions!$C$6),1,0)</f>
        <v/>
      </c>
      <c r="V1197">
        <f>IF(U1197=1,IF(M1197&gt;0,IF(P1197&lt;=G1197+Assumptions!$C$7,1,0),0),0)</f>
        <v/>
      </c>
      <c r="W1197">
        <f>IF(AND(U1197=1,M1197&gt;=H1197*(1-Assumptions!$C$8)),1,0)</f>
        <v/>
      </c>
      <c r="X1197">
        <f>IF(AND(U1197=1,N1197&gt;=H1197*(1-Assumptions!$C$8)),1,0)</f>
        <v/>
      </c>
      <c r="Y1197">
        <f>IF(ISNUMBER(Q1197),1,0)</f>
        <v/>
      </c>
      <c r="Z1197">
        <f>IF(AND(K1197=0,L1197=0,Y1197=0),1,0)</f>
        <v/>
      </c>
      <c r="AA1197">
        <f>IF(AND(Z1197=1,G1197&lt;Assumptions!$C$6),1,0)</f>
        <v/>
      </c>
      <c r="AB1197">
        <f>IF(U1197=0,"",IF(Y1197=1,MAX(0,Q1197-G1197),IF(L1197=1,MAX(0,R1197-G1197),MAX(0,Assumptions!$C$6-G1197))))</f>
        <v/>
      </c>
      <c r="AC1197">
        <f>IF(Y1197=1,Q1197-F1197,"")</f>
        <v/>
      </c>
      <c r="AD1197">
        <f>IF(Y1197=1,AC1197^2,"")</f>
        <v/>
      </c>
      <c r="AE1197" s="19">
        <f>IF(Z1197=1,(H1197-M1197)*I1197,0)</f>
        <v/>
      </c>
      <c r="AF1197">
        <f>IF(G1197&lt;EDATE(Assumptions!$C$6,-12)+1,"prior_12m","last_12m")</f>
        <v/>
      </c>
      <c r="AG1197" s="21">
        <f>DATE(YEAR(G1197),MONTH(G1197),1)</f>
        <v/>
      </c>
    </row>
    <row r="1198">
      <c r="A1198" t="inlineStr">
        <is>
          <t>SPO-00654-2</t>
        </is>
      </c>
      <c r="B1198" t="inlineStr">
        <is>
          <t>SPO-00654</t>
        </is>
      </c>
      <c r="C1198" t="inlineStr">
        <is>
          <t>SUP-05</t>
        </is>
      </c>
      <c r="D1198" t="inlineStr">
        <is>
          <t>FLEET</t>
        </is>
      </c>
      <c r="E1198" t="inlineStr">
        <is>
          <t>FLEET-03</t>
        </is>
      </c>
      <c r="F1198" s="17" t="n">
        <v>45744</v>
      </c>
      <c r="G1198" s="17" t="n">
        <v>45758</v>
      </c>
      <c r="H1198" s="18" t="n">
        <v>156</v>
      </c>
      <c r="I1198" s="19" t="n">
        <v>22.18</v>
      </c>
      <c r="J1198" s="19" t="n">
        <v>21</v>
      </c>
      <c r="K1198" s="20" t="n">
        <v>0</v>
      </c>
      <c r="L1198" s="20" t="n">
        <v>0</v>
      </c>
      <c r="M1198" s="18" t="n">
        <v>156</v>
      </c>
      <c r="N1198" s="18" t="n">
        <v>73</v>
      </c>
      <c r="O1198" s="18" t="n">
        <v>0</v>
      </c>
      <c r="P1198" s="17" t="n">
        <v>45751</v>
      </c>
      <c r="Q1198" s="17" t="n">
        <v>45759</v>
      </c>
      <c r="R1198" s="17" t="n">
        <v>45759</v>
      </c>
      <c r="S1198" s="19">
        <f>H1198*I1198</f>
        <v/>
      </c>
      <c r="T1198" s="19">
        <f>H1198*J1198</f>
        <v/>
      </c>
      <c r="U1198">
        <f>IF(AND(K1198=0,G1198&lt;=Assumptions!$C$6),1,0)</f>
        <v/>
      </c>
      <c r="V1198">
        <f>IF(U1198=1,IF(M1198&gt;0,IF(P1198&lt;=G1198+Assumptions!$C$7,1,0),0),0)</f>
        <v/>
      </c>
      <c r="W1198">
        <f>IF(AND(U1198=1,M1198&gt;=H1198*(1-Assumptions!$C$8)),1,0)</f>
        <v/>
      </c>
      <c r="X1198">
        <f>IF(AND(U1198=1,N1198&gt;=H1198*(1-Assumptions!$C$8)),1,0)</f>
        <v/>
      </c>
      <c r="Y1198">
        <f>IF(ISNUMBER(Q1198),1,0)</f>
        <v/>
      </c>
      <c r="Z1198">
        <f>IF(AND(K1198=0,L1198=0,Y1198=0),1,0)</f>
        <v/>
      </c>
      <c r="AA1198">
        <f>IF(AND(Z1198=1,G1198&lt;Assumptions!$C$6),1,0)</f>
        <v/>
      </c>
      <c r="AB1198">
        <f>IF(U1198=0,"",IF(Y1198=1,MAX(0,Q1198-G1198),IF(L1198=1,MAX(0,R1198-G1198),MAX(0,Assumptions!$C$6-G1198))))</f>
        <v/>
      </c>
      <c r="AC1198">
        <f>IF(Y1198=1,Q1198-F1198,"")</f>
        <v/>
      </c>
      <c r="AD1198">
        <f>IF(Y1198=1,AC1198^2,"")</f>
        <v/>
      </c>
      <c r="AE1198" s="19">
        <f>IF(Z1198=1,(H1198-M1198)*I1198,0)</f>
        <v/>
      </c>
      <c r="AF1198">
        <f>IF(G1198&lt;EDATE(Assumptions!$C$6,-12)+1,"prior_12m","last_12m")</f>
        <v/>
      </c>
      <c r="AG1198" s="21">
        <f>DATE(YEAR(G1198),MONTH(G1198),1)</f>
        <v/>
      </c>
    </row>
    <row r="1199">
      <c r="A1199" t="inlineStr">
        <is>
          <t>SPO-00655-1</t>
        </is>
      </c>
      <c r="B1199" t="inlineStr">
        <is>
          <t>SPO-00655</t>
        </is>
      </c>
      <c r="C1199" t="inlineStr">
        <is>
          <t>SUP-09</t>
        </is>
      </c>
      <c r="D1199" t="inlineStr">
        <is>
          <t>CHEM</t>
        </is>
      </c>
      <c r="E1199" t="inlineStr">
        <is>
          <t>CHEM-06</t>
        </is>
      </c>
      <c r="F1199" s="17" t="n">
        <v>45744</v>
      </c>
      <c r="G1199" s="17" t="n">
        <v>45758</v>
      </c>
      <c r="H1199" s="18" t="n">
        <v>13</v>
      </c>
      <c r="I1199" s="19" t="n">
        <v>386.17</v>
      </c>
      <c r="J1199" s="19" t="n">
        <v>380</v>
      </c>
      <c r="K1199" s="20" t="n">
        <v>0</v>
      </c>
      <c r="L1199" s="20" t="n">
        <v>0</v>
      </c>
      <c r="M1199" s="18" t="n">
        <v>13</v>
      </c>
      <c r="N1199" s="18" t="n">
        <v>13</v>
      </c>
      <c r="O1199" s="18" t="n">
        <v>0</v>
      </c>
      <c r="P1199" s="17" t="n">
        <v>45756</v>
      </c>
      <c r="Q1199" s="17" t="n">
        <v>45756</v>
      </c>
      <c r="R1199" s="17" t="n">
        <v>45756</v>
      </c>
      <c r="S1199" s="19">
        <f>H1199*I1199</f>
        <v/>
      </c>
      <c r="T1199" s="19">
        <f>H1199*J1199</f>
        <v/>
      </c>
      <c r="U1199">
        <f>IF(AND(K1199=0,G1199&lt;=Assumptions!$C$6),1,0)</f>
        <v/>
      </c>
      <c r="V1199">
        <f>IF(U1199=1,IF(M1199&gt;0,IF(P1199&lt;=G1199+Assumptions!$C$7,1,0),0),0)</f>
        <v/>
      </c>
      <c r="W1199">
        <f>IF(AND(U1199=1,M1199&gt;=H1199*(1-Assumptions!$C$8)),1,0)</f>
        <v/>
      </c>
      <c r="X1199">
        <f>IF(AND(U1199=1,N1199&gt;=H1199*(1-Assumptions!$C$8)),1,0)</f>
        <v/>
      </c>
      <c r="Y1199">
        <f>IF(ISNUMBER(Q1199),1,0)</f>
        <v/>
      </c>
      <c r="Z1199">
        <f>IF(AND(K1199=0,L1199=0,Y1199=0),1,0)</f>
        <v/>
      </c>
      <c r="AA1199">
        <f>IF(AND(Z1199=1,G1199&lt;Assumptions!$C$6),1,0)</f>
        <v/>
      </c>
      <c r="AB1199">
        <f>IF(U1199=0,"",IF(Y1199=1,MAX(0,Q1199-G1199),IF(L1199=1,MAX(0,R1199-G1199),MAX(0,Assumptions!$C$6-G1199))))</f>
        <v/>
      </c>
      <c r="AC1199">
        <f>IF(Y1199=1,Q1199-F1199,"")</f>
        <v/>
      </c>
      <c r="AD1199">
        <f>IF(Y1199=1,AC1199^2,"")</f>
        <v/>
      </c>
      <c r="AE1199" s="19">
        <f>IF(Z1199=1,(H1199-M1199)*I1199,0)</f>
        <v/>
      </c>
      <c r="AF1199">
        <f>IF(G1199&lt;EDATE(Assumptions!$C$6,-12)+1,"prior_12m","last_12m")</f>
        <v/>
      </c>
      <c r="AG1199" s="21">
        <f>DATE(YEAR(G1199),MONTH(G1199),1)</f>
        <v/>
      </c>
    </row>
    <row r="1200">
      <c r="A1200" t="inlineStr">
        <is>
          <t>SPO-00656-1</t>
        </is>
      </c>
      <c r="B1200" t="inlineStr">
        <is>
          <t>SPO-00656</t>
        </is>
      </c>
      <c r="C1200" t="inlineStr">
        <is>
          <t>SUP-06</t>
        </is>
      </c>
      <c r="D1200" t="inlineStr">
        <is>
          <t>MRO</t>
        </is>
      </c>
      <c r="E1200" t="inlineStr">
        <is>
          <t>MRO-03</t>
        </is>
      </c>
      <c r="F1200" s="17" t="n">
        <v>45745</v>
      </c>
      <c r="G1200" s="17" t="n">
        <v>45753</v>
      </c>
      <c r="H1200" s="18" t="n">
        <v>270</v>
      </c>
      <c r="I1200" s="19" t="n">
        <v>8.949999999999999</v>
      </c>
      <c r="J1200" s="19" t="n">
        <v>8.9</v>
      </c>
      <c r="K1200" s="20" t="n">
        <v>0</v>
      </c>
      <c r="L1200" s="20" t="n">
        <v>0</v>
      </c>
      <c r="M1200" s="18" t="n">
        <v>270</v>
      </c>
      <c r="N1200" s="18" t="n">
        <v>0</v>
      </c>
      <c r="O1200" s="18" t="n">
        <v>0</v>
      </c>
      <c r="P1200" s="17" t="n">
        <v>45754</v>
      </c>
      <c r="Q1200" s="17" t="n">
        <v>45754</v>
      </c>
      <c r="R1200" s="17" t="n">
        <v>45754</v>
      </c>
      <c r="S1200" s="19">
        <f>H1200*I1200</f>
        <v/>
      </c>
      <c r="T1200" s="19">
        <f>H1200*J1200</f>
        <v/>
      </c>
      <c r="U1200">
        <f>IF(AND(K1200=0,G1200&lt;=Assumptions!$C$6),1,0)</f>
        <v/>
      </c>
      <c r="V1200">
        <f>IF(U1200=1,IF(M1200&gt;0,IF(P1200&lt;=G1200+Assumptions!$C$7,1,0),0),0)</f>
        <v/>
      </c>
      <c r="W1200">
        <f>IF(AND(U1200=1,M1200&gt;=H1200*(1-Assumptions!$C$8)),1,0)</f>
        <v/>
      </c>
      <c r="X1200">
        <f>IF(AND(U1200=1,N1200&gt;=H1200*(1-Assumptions!$C$8)),1,0)</f>
        <v/>
      </c>
      <c r="Y1200">
        <f>IF(ISNUMBER(Q1200),1,0)</f>
        <v/>
      </c>
      <c r="Z1200">
        <f>IF(AND(K1200=0,L1200=0,Y1200=0),1,0)</f>
        <v/>
      </c>
      <c r="AA1200">
        <f>IF(AND(Z1200=1,G1200&lt;Assumptions!$C$6),1,0)</f>
        <v/>
      </c>
      <c r="AB1200">
        <f>IF(U1200=0,"",IF(Y1200=1,MAX(0,Q1200-G1200),IF(L1200=1,MAX(0,R1200-G1200),MAX(0,Assumptions!$C$6-G1200))))</f>
        <v/>
      </c>
      <c r="AC1200">
        <f>IF(Y1200=1,Q1200-F1200,"")</f>
        <v/>
      </c>
      <c r="AD1200">
        <f>IF(Y1200=1,AC1200^2,"")</f>
        <v/>
      </c>
      <c r="AE1200" s="19">
        <f>IF(Z1200=1,(H1200-M1200)*I1200,0)</f>
        <v/>
      </c>
      <c r="AF1200">
        <f>IF(G1200&lt;EDATE(Assumptions!$C$6,-12)+1,"prior_12m","last_12m")</f>
        <v/>
      </c>
      <c r="AG1200" s="21">
        <f>DATE(YEAR(G1200),MONTH(G1200),1)</f>
        <v/>
      </c>
    </row>
    <row r="1201">
      <c r="A1201" t="inlineStr">
        <is>
          <t>SPO-00656-2</t>
        </is>
      </c>
      <c r="B1201" t="inlineStr">
        <is>
          <t>SPO-00656</t>
        </is>
      </c>
      <c r="C1201" t="inlineStr">
        <is>
          <t>SUP-06</t>
        </is>
      </c>
      <c r="D1201" t="inlineStr">
        <is>
          <t>MRO</t>
        </is>
      </c>
      <c r="E1201" t="inlineStr">
        <is>
          <t>MRO-05</t>
        </is>
      </c>
      <c r="F1201" s="17" t="n">
        <v>45745</v>
      </c>
      <c r="G1201" s="17" t="n">
        <v>45753</v>
      </c>
      <c r="H1201" s="18" t="n">
        <v>34</v>
      </c>
      <c r="I1201" s="19" t="n">
        <v>37.32</v>
      </c>
      <c r="J1201" s="19" t="n">
        <v>36</v>
      </c>
      <c r="K1201" s="20" t="n">
        <v>0</v>
      </c>
      <c r="L1201" s="20" t="n">
        <v>0</v>
      </c>
      <c r="M1201" s="18" t="n">
        <v>34</v>
      </c>
      <c r="N1201" s="18" t="n">
        <v>34</v>
      </c>
      <c r="O1201" s="18" t="n">
        <v>0</v>
      </c>
      <c r="P1201" s="17" t="n">
        <v>45752</v>
      </c>
      <c r="Q1201" s="17" t="n">
        <v>45752</v>
      </c>
      <c r="R1201" s="17" t="n">
        <v>45752</v>
      </c>
      <c r="S1201" s="19">
        <f>H1201*I1201</f>
        <v/>
      </c>
      <c r="T1201" s="19">
        <f>H1201*J1201</f>
        <v/>
      </c>
      <c r="U1201">
        <f>IF(AND(K1201=0,G1201&lt;=Assumptions!$C$6),1,0)</f>
        <v/>
      </c>
      <c r="V1201">
        <f>IF(U1201=1,IF(M1201&gt;0,IF(P1201&lt;=G1201+Assumptions!$C$7,1,0),0),0)</f>
        <v/>
      </c>
      <c r="W1201">
        <f>IF(AND(U1201=1,M1201&gt;=H1201*(1-Assumptions!$C$8)),1,0)</f>
        <v/>
      </c>
      <c r="X1201">
        <f>IF(AND(U1201=1,N1201&gt;=H1201*(1-Assumptions!$C$8)),1,0)</f>
        <v/>
      </c>
      <c r="Y1201">
        <f>IF(ISNUMBER(Q1201),1,0)</f>
        <v/>
      </c>
      <c r="Z1201">
        <f>IF(AND(K1201=0,L1201=0,Y1201=0),1,0)</f>
        <v/>
      </c>
      <c r="AA1201">
        <f>IF(AND(Z1201=1,G1201&lt;Assumptions!$C$6),1,0)</f>
        <v/>
      </c>
      <c r="AB1201">
        <f>IF(U1201=0,"",IF(Y1201=1,MAX(0,Q1201-G1201),IF(L1201=1,MAX(0,R1201-G1201),MAX(0,Assumptions!$C$6-G1201))))</f>
        <v/>
      </c>
      <c r="AC1201">
        <f>IF(Y1201=1,Q1201-F1201,"")</f>
        <v/>
      </c>
      <c r="AD1201">
        <f>IF(Y1201=1,AC1201^2,"")</f>
        <v/>
      </c>
      <c r="AE1201" s="19">
        <f>IF(Z1201=1,(H1201-M1201)*I1201,0)</f>
        <v/>
      </c>
      <c r="AF1201">
        <f>IF(G1201&lt;EDATE(Assumptions!$C$6,-12)+1,"prior_12m","last_12m")</f>
        <v/>
      </c>
      <c r="AG1201" s="21">
        <f>DATE(YEAR(G1201),MONTH(G1201),1)</f>
        <v/>
      </c>
    </row>
    <row r="1202">
      <c r="A1202" t="inlineStr">
        <is>
          <t>SPO-00657-1</t>
        </is>
      </c>
      <c r="B1202" t="inlineStr">
        <is>
          <t>SPO-00657</t>
        </is>
      </c>
      <c r="C1202" t="inlineStr">
        <is>
          <t>SUP-05</t>
        </is>
      </c>
      <c r="D1202" t="inlineStr">
        <is>
          <t>FLEET</t>
        </is>
      </c>
      <c r="E1202" t="inlineStr">
        <is>
          <t>FLEET-05</t>
        </is>
      </c>
      <c r="F1202" s="17" t="n">
        <v>45745</v>
      </c>
      <c r="G1202" s="17" t="n">
        <v>45759</v>
      </c>
      <c r="H1202" s="18" t="n">
        <v>8</v>
      </c>
      <c r="I1202" s="19" t="n">
        <v>175.64</v>
      </c>
      <c r="J1202" s="19" t="n">
        <v>168</v>
      </c>
      <c r="K1202" s="20" t="n">
        <v>0</v>
      </c>
      <c r="L1202" s="20" t="n">
        <v>0</v>
      </c>
      <c r="M1202" s="18" t="n">
        <v>8</v>
      </c>
      <c r="N1202" s="18" t="n">
        <v>8</v>
      </c>
      <c r="O1202" s="18" t="n">
        <v>0</v>
      </c>
      <c r="P1202" s="17" t="n">
        <v>45757</v>
      </c>
      <c r="Q1202" s="17" t="n">
        <v>45757</v>
      </c>
      <c r="R1202" s="17" t="n">
        <v>45757</v>
      </c>
      <c r="S1202" s="19">
        <f>H1202*I1202</f>
        <v/>
      </c>
      <c r="T1202" s="19">
        <f>H1202*J1202</f>
        <v/>
      </c>
      <c r="U1202">
        <f>IF(AND(K1202=0,G1202&lt;=Assumptions!$C$6),1,0)</f>
        <v/>
      </c>
      <c r="V1202">
        <f>IF(U1202=1,IF(M1202&gt;0,IF(P1202&lt;=G1202+Assumptions!$C$7,1,0),0),0)</f>
        <v/>
      </c>
      <c r="W1202">
        <f>IF(AND(U1202=1,M1202&gt;=H1202*(1-Assumptions!$C$8)),1,0)</f>
        <v/>
      </c>
      <c r="X1202">
        <f>IF(AND(U1202=1,N1202&gt;=H1202*(1-Assumptions!$C$8)),1,0)</f>
        <v/>
      </c>
      <c r="Y1202">
        <f>IF(ISNUMBER(Q1202),1,0)</f>
        <v/>
      </c>
      <c r="Z1202">
        <f>IF(AND(K1202=0,L1202=0,Y1202=0),1,0)</f>
        <v/>
      </c>
      <c r="AA1202">
        <f>IF(AND(Z1202=1,G1202&lt;Assumptions!$C$6),1,0)</f>
        <v/>
      </c>
      <c r="AB1202">
        <f>IF(U1202=0,"",IF(Y1202=1,MAX(0,Q1202-G1202),IF(L1202=1,MAX(0,R1202-G1202),MAX(0,Assumptions!$C$6-G1202))))</f>
        <v/>
      </c>
      <c r="AC1202">
        <f>IF(Y1202=1,Q1202-F1202,"")</f>
        <v/>
      </c>
      <c r="AD1202">
        <f>IF(Y1202=1,AC1202^2,"")</f>
        <v/>
      </c>
      <c r="AE1202" s="19">
        <f>IF(Z1202=1,(H1202-M1202)*I1202,0)</f>
        <v/>
      </c>
      <c r="AF1202">
        <f>IF(G1202&lt;EDATE(Assumptions!$C$6,-12)+1,"prior_12m","last_12m")</f>
        <v/>
      </c>
      <c r="AG1202" s="21">
        <f>DATE(YEAR(G1202),MONTH(G1202),1)</f>
        <v/>
      </c>
    </row>
    <row r="1203">
      <c r="A1203" t="inlineStr">
        <is>
          <t>SPO-00657-2</t>
        </is>
      </c>
      <c r="B1203" t="inlineStr">
        <is>
          <t>SPO-00657</t>
        </is>
      </c>
      <c r="C1203" t="inlineStr">
        <is>
          <t>SUP-05</t>
        </is>
      </c>
      <c r="D1203" t="inlineStr">
        <is>
          <t>FLEET</t>
        </is>
      </c>
      <c r="E1203" t="inlineStr">
        <is>
          <t>FLEET-04</t>
        </is>
      </c>
      <c r="F1203" s="17" t="n">
        <v>45745</v>
      </c>
      <c r="G1203" s="17" t="n">
        <v>45759</v>
      </c>
      <c r="H1203" s="18" t="n">
        <v>205</v>
      </c>
      <c r="I1203" s="19" t="n">
        <v>9.23</v>
      </c>
      <c r="J1203" s="19" t="n">
        <v>9</v>
      </c>
      <c r="K1203" s="20" t="n">
        <v>0</v>
      </c>
      <c r="L1203" s="20" t="n">
        <v>0</v>
      </c>
      <c r="M1203" s="18" t="n">
        <v>205</v>
      </c>
      <c r="N1203" s="18" t="n">
        <v>205</v>
      </c>
      <c r="O1203" s="18" t="n">
        <v>0</v>
      </c>
      <c r="P1203" s="17" t="n">
        <v>45756</v>
      </c>
      <c r="Q1203" s="17" t="n">
        <v>45756</v>
      </c>
      <c r="R1203" s="17" t="n">
        <v>45756</v>
      </c>
      <c r="S1203" s="19">
        <f>H1203*I1203</f>
        <v/>
      </c>
      <c r="T1203" s="19">
        <f>H1203*J1203</f>
        <v/>
      </c>
      <c r="U1203">
        <f>IF(AND(K1203=0,G1203&lt;=Assumptions!$C$6),1,0)</f>
        <v/>
      </c>
      <c r="V1203">
        <f>IF(U1203=1,IF(M1203&gt;0,IF(P1203&lt;=G1203+Assumptions!$C$7,1,0),0),0)</f>
        <v/>
      </c>
      <c r="W1203">
        <f>IF(AND(U1203=1,M1203&gt;=H1203*(1-Assumptions!$C$8)),1,0)</f>
        <v/>
      </c>
      <c r="X1203">
        <f>IF(AND(U1203=1,N1203&gt;=H1203*(1-Assumptions!$C$8)),1,0)</f>
        <v/>
      </c>
      <c r="Y1203">
        <f>IF(ISNUMBER(Q1203),1,0)</f>
        <v/>
      </c>
      <c r="Z1203">
        <f>IF(AND(K1203=0,L1203=0,Y1203=0),1,0)</f>
        <v/>
      </c>
      <c r="AA1203">
        <f>IF(AND(Z1203=1,G1203&lt;Assumptions!$C$6),1,0)</f>
        <v/>
      </c>
      <c r="AB1203">
        <f>IF(U1203=0,"",IF(Y1203=1,MAX(0,Q1203-G1203),IF(L1203=1,MAX(0,R1203-G1203),MAX(0,Assumptions!$C$6-G1203))))</f>
        <v/>
      </c>
      <c r="AC1203">
        <f>IF(Y1203=1,Q1203-F1203,"")</f>
        <v/>
      </c>
      <c r="AD1203">
        <f>IF(Y1203=1,AC1203^2,"")</f>
        <v/>
      </c>
      <c r="AE1203" s="19">
        <f>IF(Z1203=1,(H1203-M1203)*I1203,0)</f>
        <v/>
      </c>
      <c r="AF1203">
        <f>IF(G1203&lt;EDATE(Assumptions!$C$6,-12)+1,"prior_12m","last_12m")</f>
        <v/>
      </c>
      <c r="AG1203" s="21">
        <f>DATE(YEAR(G1203),MONTH(G1203),1)</f>
        <v/>
      </c>
    </row>
    <row r="1204">
      <c r="A1204" t="inlineStr">
        <is>
          <t>SPO-00658-1</t>
        </is>
      </c>
      <c r="B1204" t="inlineStr">
        <is>
          <t>SPO-00658</t>
        </is>
      </c>
      <c r="C1204" t="inlineStr">
        <is>
          <t>SUP-01</t>
        </is>
      </c>
      <c r="D1204" t="inlineStr">
        <is>
          <t>ELEC</t>
        </is>
      </c>
      <c r="E1204" t="inlineStr">
        <is>
          <t>ELEC-05</t>
        </is>
      </c>
      <c r="F1204" s="17" t="n">
        <v>45745</v>
      </c>
      <c r="G1204" s="17" t="n">
        <v>45763</v>
      </c>
      <c r="H1204" s="18" t="n">
        <v>885</v>
      </c>
      <c r="I1204" s="19" t="n">
        <v>11.16</v>
      </c>
      <c r="J1204" s="19" t="n">
        <v>11.5</v>
      </c>
      <c r="K1204" s="20" t="n">
        <v>0</v>
      </c>
      <c r="L1204" s="20" t="n">
        <v>0</v>
      </c>
      <c r="M1204" s="18" t="n">
        <v>885</v>
      </c>
      <c r="N1204" s="18" t="n">
        <v>0</v>
      </c>
      <c r="O1204" s="18" t="n">
        <v>0</v>
      </c>
      <c r="P1204" s="17" t="n">
        <v>45765</v>
      </c>
      <c r="Q1204" s="17" t="n">
        <v>45765</v>
      </c>
      <c r="R1204" s="17" t="n">
        <v>45765</v>
      </c>
      <c r="S1204" s="19">
        <f>H1204*I1204</f>
        <v/>
      </c>
      <c r="T1204" s="19">
        <f>H1204*J1204</f>
        <v/>
      </c>
      <c r="U1204">
        <f>IF(AND(K1204=0,G1204&lt;=Assumptions!$C$6),1,0)</f>
        <v/>
      </c>
      <c r="V1204">
        <f>IF(U1204=1,IF(M1204&gt;0,IF(P1204&lt;=G1204+Assumptions!$C$7,1,0),0),0)</f>
        <v/>
      </c>
      <c r="W1204">
        <f>IF(AND(U1204=1,M1204&gt;=H1204*(1-Assumptions!$C$8)),1,0)</f>
        <v/>
      </c>
      <c r="X1204">
        <f>IF(AND(U1204=1,N1204&gt;=H1204*(1-Assumptions!$C$8)),1,0)</f>
        <v/>
      </c>
      <c r="Y1204">
        <f>IF(ISNUMBER(Q1204),1,0)</f>
        <v/>
      </c>
      <c r="Z1204">
        <f>IF(AND(K1204=0,L1204=0,Y1204=0),1,0)</f>
        <v/>
      </c>
      <c r="AA1204">
        <f>IF(AND(Z1204=1,G1204&lt;Assumptions!$C$6),1,0)</f>
        <v/>
      </c>
      <c r="AB1204">
        <f>IF(U1204=0,"",IF(Y1204=1,MAX(0,Q1204-G1204),IF(L1204=1,MAX(0,R1204-G1204),MAX(0,Assumptions!$C$6-G1204))))</f>
        <v/>
      </c>
      <c r="AC1204">
        <f>IF(Y1204=1,Q1204-F1204,"")</f>
        <v/>
      </c>
      <c r="AD1204">
        <f>IF(Y1204=1,AC1204^2,"")</f>
        <v/>
      </c>
      <c r="AE1204" s="19">
        <f>IF(Z1204=1,(H1204-M1204)*I1204,0)</f>
        <v/>
      </c>
      <c r="AF1204">
        <f>IF(G1204&lt;EDATE(Assumptions!$C$6,-12)+1,"prior_12m","last_12m")</f>
        <v/>
      </c>
      <c r="AG1204" s="21">
        <f>DATE(YEAR(G1204),MONTH(G1204),1)</f>
        <v/>
      </c>
    </row>
    <row r="1205">
      <c r="A1205" t="inlineStr">
        <is>
          <t>SPO-00659-1</t>
        </is>
      </c>
      <c r="B1205" t="inlineStr">
        <is>
          <t>SPO-00659</t>
        </is>
      </c>
      <c r="C1205" t="inlineStr">
        <is>
          <t>SUP-06</t>
        </is>
      </c>
      <c r="D1205" t="inlineStr">
        <is>
          <t>MRO</t>
        </is>
      </c>
      <c r="E1205" t="inlineStr">
        <is>
          <t>MRO-06</t>
        </is>
      </c>
      <c r="F1205" s="17" t="n">
        <v>45745</v>
      </c>
      <c r="G1205" s="17" t="n">
        <v>45753</v>
      </c>
      <c r="H1205" s="18" t="n">
        <v>116</v>
      </c>
      <c r="I1205" s="19" t="n">
        <v>5.81</v>
      </c>
      <c r="J1205" s="19" t="n">
        <v>6.1</v>
      </c>
      <c r="K1205" s="20" t="n">
        <v>0</v>
      </c>
      <c r="L1205" s="20" t="n">
        <v>0</v>
      </c>
      <c r="M1205" s="18" t="n">
        <v>116</v>
      </c>
      <c r="N1205" s="18" t="n">
        <v>116</v>
      </c>
      <c r="O1205" s="18" t="n">
        <v>0</v>
      </c>
      <c r="P1205" s="17" t="n">
        <v>45749</v>
      </c>
      <c r="Q1205" s="17" t="n">
        <v>45749</v>
      </c>
      <c r="R1205" s="17" t="n">
        <v>45749</v>
      </c>
      <c r="S1205" s="19">
        <f>H1205*I1205</f>
        <v/>
      </c>
      <c r="T1205" s="19">
        <f>H1205*J1205</f>
        <v/>
      </c>
      <c r="U1205">
        <f>IF(AND(K1205=0,G1205&lt;=Assumptions!$C$6),1,0)</f>
        <v/>
      </c>
      <c r="V1205">
        <f>IF(U1205=1,IF(M1205&gt;0,IF(P1205&lt;=G1205+Assumptions!$C$7,1,0),0),0)</f>
        <v/>
      </c>
      <c r="W1205">
        <f>IF(AND(U1205=1,M1205&gt;=H1205*(1-Assumptions!$C$8)),1,0)</f>
        <v/>
      </c>
      <c r="X1205">
        <f>IF(AND(U1205=1,N1205&gt;=H1205*(1-Assumptions!$C$8)),1,0)</f>
        <v/>
      </c>
      <c r="Y1205">
        <f>IF(ISNUMBER(Q1205),1,0)</f>
        <v/>
      </c>
      <c r="Z1205">
        <f>IF(AND(K1205=0,L1205=0,Y1205=0),1,0)</f>
        <v/>
      </c>
      <c r="AA1205">
        <f>IF(AND(Z1205=1,G1205&lt;Assumptions!$C$6),1,0)</f>
        <v/>
      </c>
      <c r="AB1205">
        <f>IF(U1205=0,"",IF(Y1205=1,MAX(0,Q1205-G1205),IF(L1205=1,MAX(0,R1205-G1205),MAX(0,Assumptions!$C$6-G1205))))</f>
        <v/>
      </c>
      <c r="AC1205">
        <f>IF(Y1205=1,Q1205-F1205,"")</f>
        <v/>
      </c>
      <c r="AD1205">
        <f>IF(Y1205=1,AC1205^2,"")</f>
        <v/>
      </c>
      <c r="AE1205" s="19">
        <f>IF(Z1205=1,(H1205-M1205)*I1205,0)</f>
        <v/>
      </c>
      <c r="AF1205">
        <f>IF(G1205&lt;EDATE(Assumptions!$C$6,-12)+1,"prior_12m","last_12m")</f>
        <v/>
      </c>
      <c r="AG1205" s="21">
        <f>DATE(YEAR(G1205),MONTH(G1205),1)</f>
        <v/>
      </c>
    </row>
    <row r="1206">
      <c r="A1206" t="inlineStr">
        <is>
          <t>SPO-00659-2</t>
        </is>
      </c>
      <c r="B1206" t="inlineStr">
        <is>
          <t>SPO-00659</t>
        </is>
      </c>
      <c r="C1206" t="inlineStr">
        <is>
          <t>SUP-06</t>
        </is>
      </c>
      <c r="D1206" t="inlineStr">
        <is>
          <t>MRO</t>
        </is>
      </c>
      <c r="E1206" t="inlineStr">
        <is>
          <t>MRO-01</t>
        </is>
      </c>
      <c r="F1206" s="17" t="n">
        <v>45745</v>
      </c>
      <c r="G1206" s="17" t="n">
        <v>45753</v>
      </c>
      <c r="H1206" s="18" t="n">
        <v>18</v>
      </c>
      <c r="I1206" s="19" t="n">
        <v>50.33</v>
      </c>
      <c r="J1206" s="19" t="n">
        <v>52</v>
      </c>
      <c r="K1206" s="20" t="n">
        <v>0</v>
      </c>
      <c r="L1206" s="20" t="n">
        <v>0</v>
      </c>
      <c r="M1206" s="18" t="n">
        <v>18</v>
      </c>
      <c r="N1206" s="18" t="n">
        <v>18</v>
      </c>
      <c r="O1206" s="18" t="n">
        <v>0</v>
      </c>
      <c r="P1206" s="17" t="n">
        <v>45751</v>
      </c>
      <c r="Q1206" s="17" t="n">
        <v>45751</v>
      </c>
      <c r="R1206" s="17" t="n">
        <v>45751</v>
      </c>
      <c r="S1206" s="19">
        <f>H1206*I1206</f>
        <v/>
      </c>
      <c r="T1206" s="19">
        <f>H1206*J1206</f>
        <v/>
      </c>
      <c r="U1206">
        <f>IF(AND(K1206=0,G1206&lt;=Assumptions!$C$6),1,0)</f>
        <v/>
      </c>
      <c r="V1206">
        <f>IF(U1206=1,IF(M1206&gt;0,IF(P1206&lt;=G1206+Assumptions!$C$7,1,0),0),0)</f>
        <v/>
      </c>
      <c r="W1206">
        <f>IF(AND(U1206=1,M1206&gt;=H1206*(1-Assumptions!$C$8)),1,0)</f>
        <v/>
      </c>
      <c r="X1206">
        <f>IF(AND(U1206=1,N1206&gt;=H1206*(1-Assumptions!$C$8)),1,0)</f>
        <v/>
      </c>
      <c r="Y1206">
        <f>IF(ISNUMBER(Q1206),1,0)</f>
        <v/>
      </c>
      <c r="Z1206">
        <f>IF(AND(K1206=0,L1206=0,Y1206=0),1,0)</f>
        <v/>
      </c>
      <c r="AA1206">
        <f>IF(AND(Z1206=1,G1206&lt;Assumptions!$C$6),1,0)</f>
        <v/>
      </c>
      <c r="AB1206">
        <f>IF(U1206=0,"",IF(Y1206=1,MAX(0,Q1206-G1206),IF(L1206=1,MAX(0,R1206-G1206),MAX(0,Assumptions!$C$6-G1206))))</f>
        <v/>
      </c>
      <c r="AC1206">
        <f>IF(Y1206=1,Q1206-F1206,"")</f>
        <v/>
      </c>
      <c r="AD1206">
        <f>IF(Y1206=1,AC1206^2,"")</f>
        <v/>
      </c>
      <c r="AE1206" s="19">
        <f>IF(Z1206=1,(H1206-M1206)*I1206,0)</f>
        <v/>
      </c>
      <c r="AF1206">
        <f>IF(G1206&lt;EDATE(Assumptions!$C$6,-12)+1,"prior_12m","last_12m")</f>
        <v/>
      </c>
      <c r="AG1206" s="21">
        <f>DATE(YEAR(G1206),MONTH(G1206),1)</f>
        <v/>
      </c>
    </row>
    <row r="1207">
      <c r="A1207" t="inlineStr">
        <is>
          <t>SPO-00659-3</t>
        </is>
      </c>
      <c r="B1207" t="inlineStr">
        <is>
          <t>SPO-00659</t>
        </is>
      </c>
      <c r="C1207" t="inlineStr">
        <is>
          <t>SUP-06</t>
        </is>
      </c>
      <c r="D1207" t="inlineStr">
        <is>
          <t>MRO</t>
        </is>
      </c>
      <c r="E1207" t="inlineStr">
        <is>
          <t>MRO-03</t>
        </is>
      </c>
      <c r="F1207" s="17" t="n">
        <v>45745</v>
      </c>
      <c r="G1207" s="17" t="n">
        <v>45753</v>
      </c>
      <c r="H1207" s="18" t="n">
        <v>210</v>
      </c>
      <c r="I1207" s="19" t="n">
        <v>8.44</v>
      </c>
      <c r="J1207" s="19" t="n">
        <v>8.9</v>
      </c>
      <c r="K1207" s="20" t="n">
        <v>0</v>
      </c>
      <c r="L1207" s="20" t="n">
        <v>0</v>
      </c>
      <c r="M1207" s="18" t="n">
        <v>210</v>
      </c>
      <c r="N1207" s="18" t="n">
        <v>210</v>
      </c>
      <c r="O1207" s="18" t="n">
        <v>0</v>
      </c>
      <c r="P1207" s="17" t="n">
        <v>45750</v>
      </c>
      <c r="Q1207" s="17" t="n">
        <v>45750</v>
      </c>
      <c r="R1207" s="17" t="n">
        <v>45750</v>
      </c>
      <c r="S1207" s="19">
        <f>H1207*I1207</f>
        <v/>
      </c>
      <c r="T1207" s="19">
        <f>H1207*J1207</f>
        <v/>
      </c>
      <c r="U1207">
        <f>IF(AND(K1207=0,G1207&lt;=Assumptions!$C$6),1,0)</f>
        <v/>
      </c>
      <c r="V1207">
        <f>IF(U1207=1,IF(M1207&gt;0,IF(P1207&lt;=G1207+Assumptions!$C$7,1,0),0),0)</f>
        <v/>
      </c>
      <c r="W1207">
        <f>IF(AND(U1207=1,M1207&gt;=H1207*(1-Assumptions!$C$8)),1,0)</f>
        <v/>
      </c>
      <c r="X1207">
        <f>IF(AND(U1207=1,N1207&gt;=H1207*(1-Assumptions!$C$8)),1,0)</f>
        <v/>
      </c>
      <c r="Y1207">
        <f>IF(ISNUMBER(Q1207),1,0)</f>
        <v/>
      </c>
      <c r="Z1207">
        <f>IF(AND(K1207=0,L1207=0,Y1207=0),1,0)</f>
        <v/>
      </c>
      <c r="AA1207">
        <f>IF(AND(Z1207=1,G1207&lt;Assumptions!$C$6),1,0)</f>
        <v/>
      </c>
      <c r="AB1207">
        <f>IF(U1207=0,"",IF(Y1207=1,MAX(0,Q1207-G1207),IF(L1207=1,MAX(0,R1207-G1207),MAX(0,Assumptions!$C$6-G1207))))</f>
        <v/>
      </c>
      <c r="AC1207">
        <f>IF(Y1207=1,Q1207-F1207,"")</f>
        <v/>
      </c>
      <c r="AD1207">
        <f>IF(Y1207=1,AC1207^2,"")</f>
        <v/>
      </c>
      <c r="AE1207" s="19">
        <f>IF(Z1207=1,(H1207-M1207)*I1207,0)</f>
        <v/>
      </c>
      <c r="AF1207">
        <f>IF(G1207&lt;EDATE(Assumptions!$C$6,-12)+1,"prior_12m","last_12m")</f>
        <v/>
      </c>
      <c r="AG1207" s="21">
        <f>DATE(YEAR(G1207),MONTH(G1207),1)</f>
        <v/>
      </c>
    </row>
    <row r="1208">
      <c r="A1208" t="inlineStr">
        <is>
          <t>SPO-00660-1</t>
        </is>
      </c>
      <c r="B1208" t="inlineStr">
        <is>
          <t>SPO-00660</t>
        </is>
      </c>
      <c r="C1208" t="inlineStr">
        <is>
          <t>SUP-01</t>
        </is>
      </c>
      <c r="D1208" t="inlineStr">
        <is>
          <t>ELEC</t>
        </is>
      </c>
      <c r="E1208" t="inlineStr">
        <is>
          <t>ELEC-06</t>
        </is>
      </c>
      <c r="F1208" s="17" t="n">
        <v>45745</v>
      </c>
      <c r="G1208" s="17" t="n">
        <v>45763</v>
      </c>
      <c r="H1208" s="18" t="n">
        <v>8</v>
      </c>
      <c r="I1208" s="19" t="n">
        <v>134.03</v>
      </c>
      <c r="J1208" s="19" t="n">
        <v>145</v>
      </c>
      <c r="K1208" s="20" t="n">
        <v>0</v>
      </c>
      <c r="L1208" s="20" t="n">
        <v>0</v>
      </c>
      <c r="M1208" s="18" t="n">
        <v>8</v>
      </c>
      <c r="N1208" s="18" t="n">
        <v>8</v>
      </c>
      <c r="O1208" s="18" t="n">
        <v>0</v>
      </c>
      <c r="P1208" s="17" t="n">
        <v>45756</v>
      </c>
      <c r="Q1208" s="17" t="n">
        <v>45756</v>
      </c>
      <c r="R1208" s="17" t="n">
        <v>45756</v>
      </c>
      <c r="S1208" s="19">
        <f>H1208*I1208</f>
        <v/>
      </c>
      <c r="T1208" s="19">
        <f>H1208*J1208</f>
        <v/>
      </c>
      <c r="U1208">
        <f>IF(AND(K1208=0,G1208&lt;=Assumptions!$C$6),1,0)</f>
        <v/>
      </c>
      <c r="V1208">
        <f>IF(U1208=1,IF(M1208&gt;0,IF(P1208&lt;=G1208+Assumptions!$C$7,1,0),0),0)</f>
        <v/>
      </c>
      <c r="W1208">
        <f>IF(AND(U1208=1,M1208&gt;=H1208*(1-Assumptions!$C$8)),1,0)</f>
        <v/>
      </c>
      <c r="X1208">
        <f>IF(AND(U1208=1,N1208&gt;=H1208*(1-Assumptions!$C$8)),1,0)</f>
        <v/>
      </c>
      <c r="Y1208">
        <f>IF(ISNUMBER(Q1208),1,0)</f>
        <v/>
      </c>
      <c r="Z1208">
        <f>IF(AND(K1208=0,L1208=0,Y1208=0),1,0)</f>
        <v/>
      </c>
      <c r="AA1208">
        <f>IF(AND(Z1208=1,G1208&lt;Assumptions!$C$6),1,0)</f>
        <v/>
      </c>
      <c r="AB1208">
        <f>IF(U1208=0,"",IF(Y1208=1,MAX(0,Q1208-G1208),IF(L1208=1,MAX(0,R1208-G1208),MAX(0,Assumptions!$C$6-G1208))))</f>
        <v/>
      </c>
      <c r="AC1208">
        <f>IF(Y1208=1,Q1208-F1208,"")</f>
        <v/>
      </c>
      <c r="AD1208">
        <f>IF(Y1208=1,AC1208^2,"")</f>
        <v/>
      </c>
      <c r="AE1208" s="19">
        <f>IF(Z1208=1,(H1208-M1208)*I1208,0)</f>
        <v/>
      </c>
      <c r="AF1208">
        <f>IF(G1208&lt;EDATE(Assumptions!$C$6,-12)+1,"prior_12m","last_12m")</f>
        <v/>
      </c>
      <c r="AG1208" s="21">
        <f>DATE(YEAR(G1208),MONTH(G1208),1)</f>
        <v/>
      </c>
    </row>
    <row r="1209">
      <c r="A1209" t="inlineStr">
        <is>
          <t>SPO-00661-1</t>
        </is>
      </c>
      <c r="B1209" t="inlineStr">
        <is>
          <t>SPO-00661</t>
        </is>
      </c>
      <c r="C1209" t="inlineStr">
        <is>
          <t>SUP-06</t>
        </is>
      </c>
      <c r="D1209" t="inlineStr">
        <is>
          <t>MRO</t>
        </is>
      </c>
      <c r="E1209" t="inlineStr">
        <is>
          <t>MRO-02</t>
        </is>
      </c>
      <c r="F1209" s="17" t="n">
        <v>45745</v>
      </c>
      <c r="G1209" s="17" t="n">
        <v>45753</v>
      </c>
      <c r="H1209" s="18" t="n">
        <v>23</v>
      </c>
      <c r="I1209" s="19" t="n">
        <v>40.52</v>
      </c>
      <c r="J1209" s="19" t="n">
        <v>41</v>
      </c>
      <c r="K1209" s="20" t="n">
        <v>0</v>
      </c>
      <c r="L1209" s="20" t="n">
        <v>0</v>
      </c>
      <c r="M1209" s="18" t="n">
        <v>23</v>
      </c>
      <c r="N1209" s="18" t="n">
        <v>23</v>
      </c>
      <c r="O1209" s="18" t="n">
        <v>2</v>
      </c>
      <c r="P1209" s="17" t="n">
        <v>45751</v>
      </c>
      <c r="Q1209" s="17" t="n">
        <v>45751</v>
      </c>
      <c r="R1209" s="17" t="n">
        <v>45751</v>
      </c>
      <c r="S1209" s="19">
        <f>H1209*I1209</f>
        <v/>
      </c>
      <c r="T1209" s="19">
        <f>H1209*J1209</f>
        <v/>
      </c>
      <c r="U1209">
        <f>IF(AND(K1209=0,G1209&lt;=Assumptions!$C$6),1,0)</f>
        <v/>
      </c>
      <c r="V1209">
        <f>IF(U1209=1,IF(M1209&gt;0,IF(P1209&lt;=G1209+Assumptions!$C$7,1,0),0),0)</f>
        <v/>
      </c>
      <c r="W1209">
        <f>IF(AND(U1209=1,M1209&gt;=H1209*(1-Assumptions!$C$8)),1,0)</f>
        <v/>
      </c>
      <c r="X1209">
        <f>IF(AND(U1209=1,N1209&gt;=H1209*(1-Assumptions!$C$8)),1,0)</f>
        <v/>
      </c>
      <c r="Y1209">
        <f>IF(ISNUMBER(Q1209),1,0)</f>
        <v/>
      </c>
      <c r="Z1209">
        <f>IF(AND(K1209=0,L1209=0,Y1209=0),1,0)</f>
        <v/>
      </c>
      <c r="AA1209">
        <f>IF(AND(Z1209=1,G1209&lt;Assumptions!$C$6),1,0)</f>
        <v/>
      </c>
      <c r="AB1209">
        <f>IF(U1209=0,"",IF(Y1209=1,MAX(0,Q1209-G1209),IF(L1209=1,MAX(0,R1209-G1209),MAX(0,Assumptions!$C$6-G1209))))</f>
        <v/>
      </c>
      <c r="AC1209">
        <f>IF(Y1209=1,Q1209-F1209,"")</f>
        <v/>
      </c>
      <c r="AD1209">
        <f>IF(Y1209=1,AC1209^2,"")</f>
        <v/>
      </c>
      <c r="AE1209" s="19">
        <f>IF(Z1209=1,(H1209-M1209)*I1209,0)</f>
        <v/>
      </c>
      <c r="AF1209">
        <f>IF(G1209&lt;EDATE(Assumptions!$C$6,-12)+1,"prior_12m","last_12m")</f>
        <v/>
      </c>
      <c r="AG1209" s="21">
        <f>DATE(YEAR(G1209),MONTH(G1209),1)</f>
        <v/>
      </c>
    </row>
    <row r="1210">
      <c r="A1210" t="inlineStr">
        <is>
          <t>SPO-00661-2</t>
        </is>
      </c>
      <c r="B1210" t="inlineStr">
        <is>
          <t>SPO-00661</t>
        </is>
      </c>
      <c r="C1210" t="inlineStr">
        <is>
          <t>SUP-06</t>
        </is>
      </c>
      <c r="D1210" t="inlineStr">
        <is>
          <t>MRO</t>
        </is>
      </c>
      <c r="E1210" t="inlineStr">
        <is>
          <t>MRO-08</t>
        </is>
      </c>
      <c r="F1210" s="17" t="n">
        <v>45745</v>
      </c>
      <c r="G1210" s="17" t="n">
        <v>45753</v>
      </c>
      <c r="H1210" s="18" t="n">
        <v>313</v>
      </c>
      <c r="I1210" s="19" t="n">
        <v>7.62</v>
      </c>
      <c r="J1210" s="19" t="n">
        <v>7.2</v>
      </c>
      <c r="K1210" s="20" t="n">
        <v>0</v>
      </c>
      <c r="L1210" s="20" t="n">
        <v>0</v>
      </c>
      <c r="M1210" s="18" t="n">
        <v>313</v>
      </c>
      <c r="N1210" s="18" t="n">
        <v>313</v>
      </c>
      <c r="O1210" s="18" t="n">
        <v>0</v>
      </c>
      <c r="P1210" s="17" t="n">
        <v>45752</v>
      </c>
      <c r="Q1210" s="17" t="n">
        <v>45752</v>
      </c>
      <c r="R1210" s="17" t="n">
        <v>45752</v>
      </c>
      <c r="S1210" s="19">
        <f>H1210*I1210</f>
        <v/>
      </c>
      <c r="T1210" s="19">
        <f>H1210*J1210</f>
        <v/>
      </c>
      <c r="U1210">
        <f>IF(AND(K1210=0,G1210&lt;=Assumptions!$C$6),1,0)</f>
        <v/>
      </c>
      <c r="V1210">
        <f>IF(U1210=1,IF(M1210&gt;0,IF(P1210&lt;=G1210+Assumptions!$C$7,1,0),0),0)</f>
        <v/>
      </c>
      <c r="W1210">
        <f>IF(AND(U1210=1,M1210&gt;=H1210*(1-Assumptions!$C$8)),1,0)</f>
        <v/>
      </c>
      <c r="X1210">
        <f>IF(AND(U1210=1,N1210&gt;=H1210*(1-Assumptions!$C$8)),1,0)</f>
        <v/>
      </c>
      <c r="Y1210">
        <f>IF(ISNUMBER(Q1210),1,0)</f>
        <v/>
      </c>
      <c r="Z1210">
        <f>IF(AND(K1210=0,L1210=0,Y1210=0),1,0)</f>
        <v/>
      </c>
      <c r="AA1210">
        <f>IF(AND(Z1210=1,G1210&lt;Assumptions!$C$6),1,0)</f>
        <v/>
      </c>
      <c r="AB1210">
        <f>IF(U1210=0,"",IF(Y1210=1,MAX(0,Q1210-G1210),IF(L1210=1,MAX(0,R1210-G1210),MAX(0,Assumptions!$C$6-G1210))))</f>
        <v/>
      </c>
      <c r="AC1210">
        <f>IF(Y1210=1,Q1210-F1210,"")</f>
        <v/>
      </c>
      <c r="AD1210">
        <f>IF(Y1210=1,AC1210^2,"")</f>
        <v/>
      </c>
      <c r="AE1210" s="19">
        <f>IF(Z1210=1,(H1210-M1210)*I1210,0)</f>
        <v/>
      </c>
      <c r="AF1210">
        <f>IF(G1210&lt;EDATE(Assumptions!$C$6,-12)+1,"prior_12m","last_12m")</f>
        <v/>
      </c>
      <c r="AG1210" s="21">
        <f>DATE(YEAR(G1210),MONTH(G1210),1)</f>
        <v/>
      </c>
    </row>
    <row r="1211">
      <c r="A1211" t="inlineStr">
        <is>
          <t>SPO-00661-3</t>
        </is>
      </c>
      <c r="B1211" t="inlineStr">
        <is>
          <t>SPO-00661</t>
        </is>
      </c>
      <c r="C1211" t="inlineStr">
        <is>
          <t>SUP-06</t>
        </is>
      </c>
      <c r="D1211" t="inlineStr">
        <is>
          <t>MRO</t>
        </is>
      </c>
      <c r="E1211" t="inlineStr">
        <is>
          <t>MRO-05</t>
        </is>
      </c>
      <c r="F1211" s="17" t="n">
        <v>45745</v>
      </c>
      <c r="G1211" s="17" t="n">
        <v>45753</v>
      </c>
      <c r="H1211" s="18" t="n">
        <v>31</v>
      </c>
      <c r="I1211" s="19" t="n">
        <v>37.09</v>
      </c>
      <c r="J1211" s="19" t="n">
        <v>36</v>
      </c>
      <c r="K1211" s="20" t="n">
        <v>0</v>
      </c>
      <c r="L1211" s="20" t="n">
        <v>0</v>
      </c>
      <c r="M1211" s="18" t="n">
        <v>31</v>
      </c>
      <c r="N1211" s="18" t="n">
        <v>31</v>
      </c>
      <c r="O1211" s="18" t="n">
        <v>0</v>
      </c>
      <c r="P1211" s="17" t="n">
        <v>45752</v>
      </c>
      <c r="Q1211" s="17" t="n">
        <v>45752</v>
      </c>
      <c r="R1211" s="17" t="n">
        <v>45752</v>
      </c>
      <c r="S1211" s="19">
        <f>H1211*I1211</f>
        <v/>
      </c>
      <c r="T1211" s="19">
        <f>H1211*J1211</f>
        <v/>
      </c>
      <c r="U1211">
        <f>IF(AND(K1211=0,G1211&lt;=Assumptions!$C$6),1,0)</f>
        <v/>
      </c>
      <c r="V1211">
        <f>IF(U1211=1,IF(M1211&gt;0,IF(P1211&lt;=G1211+Assumptions!$C$7,1,0),0),0)</f>
        <v/>
      </c>
      <c r="W1211">
        <f>IF(AND(U1211=1,M1211&gt;=H1211*(1-Assumptions!$C$8)),1,0)</f>
        <v/>
      </c>
      <c r="X1211">
        <f>IF(AND(U1211=1,N1211&gt;=H1211*(1-Assumptions!$C$8)),1,0)</f>
        <v/>
      </c>
      <c r="Y1211">
        <f>IF(ISNUMBER(Q1211),1,0)</f>
        <v/>
      </c>
      <c r="Z1211">
        <f>IF(AND(K1211=0,L1211=0,Y1211=0),1,0)</f>
        <v/>
      </c>
      <c r="AA1211">
        <f>IF(AND(Z1211=1,G1211&lt;Assumptions!$C$6),1,0)</f>
        <v/>
      </c>
      <c r="AB1211">
        <f>IF(U1211=0,"",IF(Y1211=1,MAX(0,Q1211-G1211),IF(L1211=1,MAX(0,R1211-G1211),MAX(0,Assumptions!$C$6-G1211))))</f>
        <v/>
      </c>
      <c r="AC1211">
        <f>IF(Y1211=1,Q1211-F1211,"")</f>
        <v/>
      </c>
      <c r="AD1211">
        <f>IF(Y1211=1,AC1211^2,"")</f>
        <v/>
      </c>
      <c r="AE1211" s="19">
        <f>IF(Z1211=1,(H1211-M1211)*I1211,0)</f>
        <v/>
      </c>
      <c r="AF1211">
        <f>IF(G1211&lt;EDATE(Assumptions!$C$6,-12)+1,"prior_12m","last_12m")</f>
        <v/>
      </c>
      <c r="AG1211" s="21">
        <f>DATE(YEAR(G1211),MONTH(G1211),1)</f>
        <v/>
      </c>
    </row>
    <row r="1212">
      <c r="A1212" t="inlineStr">
        <is>
          <t>SPO-00662-1</t>
        </is>
      </c>
      <c r="B1212" t="inlineStr">
        <is>
          <t>SPO-00662</t>
        </is>
      </c>
      <c r="C1212" t="inlineStr">
        <is>
          <t>SUP-06</t>
        </is>
      </c>
      <c r="D1212" t="inlineStr">
        <is>
          <t>MRO</t>
        </is>
      </c>
      <c r="E1212" t="inlineStr">
        <is>
          <t>MRO-08</t>
        </is>
      </c>
      <c r="F1212" s="17" t="n">
        <v>45745</v>
      </c>
      <c r="G1212" s="17" t="n">
        <v>45753</v>
      </c>
      <c r="H1212" s="18" t="n">
        <v>256</v>
      </c>
      <c r="I1212" s="19" t="n">
        <v>7.19</v>
      </c>
      <c r="J1212" s="19" t="n">
        <v>7.2</v>
      </c>
      <c r="K1212" s="20" t="n">
        <v>0</v>
      </c>
      <c r="L1212" s="20" t="n">
        <v>0</v>
      </c>
      <c r="M1212" s="18" t="n">
        <v>256</v>
      </c>
      <c r="N1212" s="18" t="n">
        <v>256</v>
      </c>
      <c r="O1212" s="18" t="n">
        <v>0</v>
      </c>
      <c r="P1212" s="17" t="n">
        <v>45751</v>
      </c>
      <c r="Q1212" s="17" t="n">
        <v>45751</v>
      </c>
      <c r="R1212" s="17" t="n">
        <v>45751</v>
      </c>
      <c r="S1212" s="19">
        <f>H1212*I1212</f>
        <v/>
      </c>
      <c r="T1212" s="19">
        <f>H1212*J1212</f>
        <v/>
      </c>
      <c r="U1212">
        <f>IF(AND(K1212=0,G1212&lt;=Assumptions!$C$6),1,0)</f>
        <v/>
      </c>
      <c r="V1212">
        <f>IF(U1212=1,IF(M1212&gt;0,IF(P1212&lt;=G1212+Assumptions!$C$7,1,0),0),0)</f>
        <v/>
      </c>
      <c r="W1212">
        <f>IF(AND(U1212=1,M1212&gt;=H1212*(1-Assumptions!$C$8)),1,0)</f>
        <v/>
      </c>
      <c r="X1212">
        <f>IF(AND(U1212=1,N1212&gt;=H1212*(1-Assumptions!$C$8)),1,0)</f>
        <v/>
      </c>
      <c r="Y1212">
        <f>IF(ISNUMBER(Q1212),1,0)</f>
        <v/>
      </c>
      <c r="Z1212">
        <f>IF(AND(K1212=0,L1212=0,Y1212=0),1,0)</f>
        <v/>
      </c>
      <c r="AA1212">
        <f>IF(AND(Z1212=1,G1212&lt;Assumptions!$C$6),1,0)</f>
        <v/>
      </c>
      <c r="AB1212">
        <f>IF(U1212=0,"",IF(Y1212=1,MAX(0,Q1212-G1212),IF(L1212=1,MAX(0,R1212-G1212),MAX(0,Assumptions!$C$6-G1212))))</f>
        <v/>
      </c>
      <c r="AC1212">
        <f>IF(Y1212=1,Q1212-F1212,"")</f>
        <v/>
      </c>
      <c r="AD1212">
        <f>IF(Y1212=1,AC1212^2,"")</f>
        <v/>
      </c>
      <c r="AE1212" s="19">
        <f>IF(Z1212=1,(H1212-M1212)*I1212,0)</f>
        <v/>
      </c>
      <c r="AF1212">
        <f>IF(G1212&lt;EDATE(Assumptions!$C$6,-12)+1,"prior_12m","last_12m")</f>
        <v/>
      </c>
      <c r="AG1212" s="21">
        <f>DATE(YEAR(G1212),MONTH(G1212),1)</f>
        <v/>
      </c>
    </row>
    <row r="1213">
      <c r="A1213" t="inlineStr">
        <is>
          <t>SPO-00662-2</t>
        </is>
      </c>
      <c r="B1213" t="inlineStr">
        <is>
          <t>SPO-00662</t>
        </is>
      </c>
      <c r="C1213" t="inlineStr">
        <is>
          <t>SUP-06</t>
        </is>
      </c>
      <c r="D1213" t="inlineStr">
        <is>
          <t>MRO</t>
        </is>
      </c>
      <c r="E1213" t="inlineStr">
        <is>
          <t>MRO-04</t>
        </is>
      </c>
      <c r="F1213" s="17" t="n">
        <v>45745</v>
      </c>
      <c r="G1213" s="17" t="n">
        <v>45753</v>
      </c>
      <c r="H1213" s="18" t="n">
        <v>20</v>
      </c>
      <c r="I1213" s="19" t="n">
        <v>57.49</v>
      </c>
      <c r="J1213" s="19" t="n">
        <v>58</v>
      </c>
      <c r="K1213" s="20" t="n">
        <v>0</v>
      </c>
      <c r="L1213" s="20" t="n">
        <v>0</v>
      </c>
      <c r="M1213" s="18" t="n">
        <v>20</v>
      </c>
      <c r="N1213" s="18" t="n">
        <v>20</v>
      </c>
      <c r="O1213" s="18" t="n">
        <v>0</v>
      </c>
      <c r="P1213" s="17" t="n">
        <v>45751</v>
      </c>
      <c r="Q1213" s="17" t="n">
        <v>45751</v>
      </c>
      <c r="R1213" s="17" t="n">
        <v>45751</v>
      </c>
      <c r="S1213" s="19">
        <f>H1213*I1213</f>
        <v/>
      </c>
      <c r="T1213" s="19">
        <f>H1213*J1213</f>
        <v/>
      </c>
      <c r="U1213">
        <f>IF(AND(K1213=0,G1213&lt;=Assumptions!$C$6),1,0)</f>
        <v/>
      </c>
      <c r="V1213">
        <f>IF(U1213=1,IF(M1213&gt;0,IF(P1213&lt;=G1213+Assumptions!$C$7,1,0),0),0)</f>
        <v/>
      </c>
      <c r="W1213">
        <f>IF(AND(U1213=1,M1213&gt;=H1213*(1-Assumptions!$C$8)),1,0)</f>
        <v/>
      </c>
      <c r="X1213">
        <f>IF(AND(U1213=1,N1213&gt;=H1213*(1-Assumptions!$C$8)),1,0)</f>
        <v/>
      </c>
      <c r="Y1213">
        <f>IF(ISNUMBER(Q1213),1,0)</f>
        <v/>
      </c>
      <c r="Z1213">
        <f>IF(AND(K1213=0,L1213=0,Y1213=0),1,0)</f>
        <v/>
      </c>
      <c r="AA1213">
        <f>IF(AND(Z1213=1,G1213&lt;Assumptions!$C$6),1,0)</f>
        <v/>
      </c>
      <c r="AB1213">
        <f>IF(U1213=0,"",IF(Y1213=1,MAX(0,Q1213-G1213),IF(L1213=1,MAX(0,R1213-G1213),MAX(0,Assumptions!$C$6-G1213))))</f>
        <v/>
      </c>
      <c r="AC1213">
        <f>IF(Y1213=1,Q1213-F1213,"")</f>
        <v/>
      </c>
      <c r="AD1213">
        <f>IF(Y1213=1,AC1213^2,"")</f>
        <v/>
      </c>
      <c r="AE1213" s="19">
        <f>IF(Z1213=1,(H1213-M1213)*I1213,0)</f>
        <v/>
      </c>
      <c r="AF1213">
        <f>IF(G1213&lt;EDATE(Assumptions!$C$6,-12)+1,"prior_12m","last_12m")</f>
        <v/>
      </c>
      <c r="AG1213" s="21">
        <f>DATE(YEAR(G1213),MONTH(G1213),1)</f>
        <v/>
      </c>
    </row>
    <row r="1214">
      <c r="A1214" t="inlineStr">
        <is>
          <t>SPO-00662-3</t>
        </is>
      </c>
      <c r="B1214" t="inlineStr">
        <is>
          <t>SPO-00662</t>
        </is>
      </c>
      <c r="C1214" t="inlineStr">
        <is>
          <t>SUP-06</t>
        </is>
      </c>
      <c r="D1214" t="inlineStr">
        <is>
          <t>MRO</t>
        </is>
      </c>
      <c r="E1214" t="inlineStr">
        <is>
          <t>MRO-02</t>
        </is>
      </c>
      <c r="F1214" s="17" t="n">
        <v>45745</v>
      </c>
      <c r="G1214" s="17" t="n">
        <v>45753</v>
      </c>
      <c r="H1214" s="18" t="n">
        <v>29</v>
      </c>
      <c r="I1214" s="19" t="n">
        <v>39.87</v>
      </c>
      <c r="J1214" s="19" t="n">
        <v>41</v>
      </c>
      <c r="K1214" s="20" t="n">
        <v>0</v>
      </c>
      <c r="L1214" s="20" t="n">
        <v>0</v>
      </c>
      <c r="M1214" s="18" t="n">
        <v>29</v>
      </c>
      <c r="N1214" s="18" t="n">
        <v>29</v>
      </c>
      <c r="O1214" s="18" t="n">
        <v>0</v>
      </c>
      <c r="P1214" s="17" t="n">
        <v>45751</v>
      </c>
      <c r="Q1214" s="17" t="n">
        <v>45751</v>
      </c>
      <c r="R1214" s="17" t="n">
        <v>45751</v>
      </c>
      <c r="S1214" s="19">
        <f>H1214*I1214</f>
        <v/>
      </c>
      <c r="T1214" s="19">
        <f>H1214*J1214</f>
        <v/>
      </c>
      <c r="U1214">
        <f>IF(AND(K1214=0,G1214&lt;=Assumptions!$C$6),1,0)</f>
        <v/>
      </c>
      <c r="V1214">
        <f>IF(U1214=1,IF(M1214&gt;0,IF(P1214&lt;=G1214+Assumptions!$C$7,1,0),0),0)</f>
        <v/>
      </c>
      <c r="W1214">
        <f>IF(AND(U1214=1,M1214&gt;=H1214*(1-Assumptions!$C$8)),1,0)</f>
        <v/>
      </c>
      <c r="X1214">
        <f>IF(AND(U1214=1,N1214&gt;=H1214*(1-Assumptions!$C$8)),1,0)</f>
        <v/>
      </c>
      <c r="Y1214">
        <f>IF(ISNUMBER(Q1214),1,0)</f>
        <v/>
      </c>
      <c r="Z1214">
        <f>IF(AND(K1214=0,L1214=0,Y1214=0),1,0)</f>
        <v/>
      </c>
      <c r="AA1214">
        <f>IF(AND(Z1214=1,G1214&lt;Assumptions!$C$6),1,0)</f>
        <v/>
      </c>
      <c r="AB1214">
        <f>IF(U1214=0,"",IF(Y1214=1,MAX(0,Q1214-G1214),IF(L1214=1,MAX(0,R1214-G1214),MAX(0,Assumptions!$C$6-G1214))))</f>
        <v/>
      </c>
      <c r="AC1214">
        <f>IF(Y1214=1,Q1214-F1214,"")</f>
        <v/>
      </c>
      <c r="AD1214">
        <f>IF(Y1214=1,AC1214^2,"")</f>
        <v/>
      </c>
      <c r="AE1214" s="19">
        <f>IF(Z1214=1,(H1214-M1214)*I1214,0)</f>
        <v/>
      </c>
      <c r="AF1214">
        <f>IF(G1214&lt;EDATE(Assumptions!$C$6,-12)+1,"prior_12m","last_12m")</f>
        <v/>
      </c>
      <c r="AG1214" s="21">
        <f>DATE(YEAR(G1214),MONTH(G1214),1)</f>
        <v/>
      </c>
    </row>
    <row r="1215">
      <c r="A1215" t="inlineStr">
        <is>
          <t>SPO-00662-4</t>
        </is>
      </c>
      <c r="B1215" t="inlineStr">
        <is>
          <t>SPO-00662</t>
        </is>
      </c>
      <c r="C1215" t="inlineStr">
        <is>
          <t>SUP-06</t>
        </is>
      </c>
      <c r="D1215" t="inlineStr">
        <is>
          <t>MRO</t>
        </is>
      </c>
      <c r="E1215" t="inlineStr">
        <is>
          <t>MRO-01</t>
        </is>
      </c>
      <c r="F1215" s="17" t="n">
        <v>45745</v>
      </c>
      <c r="G1215" s="17" t="n">
        <v>45753</v>
      </c>
      <c r="H1215" s="18" t="n">
        <v>39</v>
      </c>
      <c r="I1215" s="19" t="n">
        <v>51.79</v>
      </c>
      <c r="J1215" s="19" t="n">
        <v>52</v>
      </c>
      <c r="K1215" s="20" t="n">
        <v>0</v>
      </c>
      <c r="L1215" s="20" t="n">
        <v>0</v>
      </c>
      <c r="M1215" s="18" t="n">
        <v>39</v>
      </c>
      <c r="N1215" s="18" t="n">
        <v>39</v>
      </c>
      <c r="O1215" s="18" t="n">
        <v>0</v>
      </c>
      <c r="P1215" s="17" t="n">
        <v>45751</v>
      </c>
      <c r="Q1215" s="17" t="n">
        <v>45751</v>
      </c>
      <c r="R1215" s="17" t="n">
        <v>45751</v>
      </c>
      <c r="S1215" s="19">
        <f>H1215*I1215</f>
        <v/>
      </c>
      <c r="T1215" s="19">
        <f>H1215*J1215</f>
        <v/>
      </c>
      <c r="U1215">
        <f>IF(AND(K1215=0,G1215&lt;=Assumptions!$C$6),1,0)</f>
        <v/>
      </c>
      <c r="V1215">
        <f>IF(U1215=1,IF(M1215&gt;0,IF(P1215&lt;=G1215+Assumptions!$C$7,1,0),0),0)</f>
        <v/>
      </c>
      <c r="W1215">
        <f>IF(AND(U1215=1,M1215&gt;=H1215*(1-Assumptions!$C$8)),1,0)</f>
        <v/>
      </c>
      <c r="X1215">
        <f>IF(AND(U1215=1,N1215&gt;=H1215*(1-Assumptions!$C$8)),1,0)</f>
        <v/>
      </c>
      <c r="Y1215">
        <f>IF(ISNUMBER(Q1215),1,0)</f>
        <v/>
      </c>
      <c r="Z1215">
        <f>IF(AND(K1215=0,L1215=0,Y1215=0),1,0)</f>
        <v/>
      </c>
      <c r="AA1215">
        <f>IF(AND(Z1215=1,G1215&lt;Assumptions!$C$6),1,0)</f>
        <v/>
      </c>
      <c r="AB1215">
        <f>IF(U1215=0,"",IF(Y1215=1,MAX(0,Q1215-G1215),IF(L1215=1,MAX(0,R1215-G1215),MAX(0,Assumptions!$C$6-G1215))))</f>
        <v/>
      </c>
      <c r="AC1215">
        <f>IF(Y1215=1,Q1215-F1215,"")</f>
        <v/>
      </c>
      <c r="AD1215">
        <f>IF(Y1215=1,AC1215^2,"")</f>
        <v/>
      </c>
      <c r="AE1215" s="19">
        <f>IF(Z1215=1,(H1215-M1215)*I1215,0)</f>
        <v/>
      </c>
      <c r="AF1215">
        <f>IF(G1215&lt;EDATE(Assumptions!$C$6,-12)+1,"prior_12m","last_12m")</f>
        <v/>
      </c>
      <c r="AG1215" s="21">
        <f>DATE(YEAR(G1215),MONTH(G1215),1)</f>
        <v/>
      </c>
    </row>
    <row r="1216">
      <c r="A1216" t="inlineStr">
        <is>
          <t>SPO-00663-1</t>
        </is>
      </c>
      <c r="B1216" t="inlineStr">
        <is>
          <t>SPO-00663</t>
        </is>
      </c>
      <c r="C1216" t="inlineStr">
        <is>
          <t>SUP-04</t>
        </is>
      </c>
      <c r="D1216" t="inlineStr">
        <is>
          <t>FLEET</t>
        </is>
      </c>
      <c r="E1216" t="inlineStr">
        <is>
          <t>FLEET-03</t>
        </is>
      </c>
      <c r="F1216" s="17" t="n">
        <v>45745</v>
      </c>
      <c r="G1216" s="17" t="n">
        <v>45758</v>
      </c>
      <c r="H1216" s="18" t="n">
        <v>41</v>
      </c>
      <c r="I1216" s="19" t="n">
        <v>21.76</v>
      </c>
      <c r="J1216" s="19" t="n">
        <v>21</v>
      </c>
      <c r="K1216" s="20" t="n">
        <v>0</v>
      </c>
      <c r="L1216" s="20" t="n">
        <v>0</v>
      </c>
      <c r="M1216" s="18" t="n">
        <v>41</v>
      </c>
      <c r="N1216" s="18" t="n">
        <v>41</v>
      </c>
      <c r="O1216" s="18" t="n">
        <v>0</v>
      </c>
      <c r="P1216" s="17" t="n">
        <v>45747</v>
      </c>
      <c r="Q1216" s="17" t="n">
        <v>45747</v>
      </c>
      <c r="R1216" s="17" t="n">
        <v>45747</v>
      </c>
      <c r="S1216" s="19">
        <f>H1216*I1216</f>
        <v/>
      </c>
      <c r="T1216" s="19">
        <f>H1216*J1216</f>
        <v/>
      </c>
      <c r="U1216">
        <f>IF(AND(K1216=0,G1216&lt;=Assumptions!$C$6),1,0)</f>
        <v/>
      </c>
      <c r="V1216">
        <f>IF(U1216=1,IF(M1216&gt;0,IF(P1216&lt;=G1216+Assumptions!$C$7,1,0),0),0)</f>
        <v/>
      </c>
      <c r="W1216">
        <f>IF(AND(U1216=1,M1216&gt;=H1216*(1-Assumptions!$C$8)),1,0)</f>
        <v/>
      </c>
      <c r="X1216">
        <f>IF(AND(U1216=1,N1216&gt;=H1216*(1-Assumptions!$C$8)),1,0)</f>
        <v/>
      </c>
      <c r="Y1216">
        <f>IF(ISNUMBER(Q1216),1,0)</f>
        <v/>
      </c>
      <c r="Z1216">
        <f>IF(AND(K1216=0,L1216=0,Y1216=0),1,0)</f>
        <v/>
      </c>
      <c r="AA1216">
        <f>IF(AND(Z1216=1,G1216&lt;Assumptions!$C$6),1,0)</f>
        <v/>
      </c>
      <c r="AB1216">
        <f>IF(U1216=0,"",IF(Y1216=1,MAX(0,Q1216-G1216),IF(L1216=1,MAX(0,R1216-G1216),MAX(0,Assumptions!$C$6-G1216))))</f>
        <v/>
      </c>
      <c r="AC1216">
        <f>IF(Y1216=1,Q1216-F1216,"")</f>
        <v/>
      </c>
      <c r="AD1216">
        <f>IF(Y1216=1,AC1216^2,"")</f>
        <v/>
      </c>
      <c r="AE1216" s="19">
        <f>IF(Z1216=1,(H1216-M1216)*I1216,0)</f>
        <v/>
      </c>
      <c r="AF1216">
        <f>IF(G1216&lt;EDATE(Assumptions!$C$6,-12)+1,"prior_12m","last_12m")</f>
        <v/>
      </c>
      <c r="AG1216" s="21">
        <f>DATE(YEAR(G1216),MONTH(G1216),1)</f>
        <v/>
      </c>
    </row>
    <row r="1217">
      <c r="A1217" t="inlineStr">
        <is>
          <t>SPO-00663-2</t>
        </is>
      </c>
      <c r="B1217" t="inlineStr">
        <is>
          <t>SPO-00663</t>
        </is>
      </c>
      <c r="C1217" t="inlineStr">
        <is>
          <t>SUP-04</t>
        </is>
      </c>
      <c r="D1217" t="inlineStr">
        <is>
          <t>FLEET</t>
        </is>
      </c>
      <c r="E1217" t="inlineStr">
        <is>
          <t>FLEET-08</t>
        </is>
      </c>
      <c r="F1217" s="17" t="n">
        <v>45745</v>
      </c>
      <c r="G1217" s="17" t="n">
        <v>45758</v>
      </c>
      <c r="H1217" s="18" t="n">
        <v>307</v>
      </c>
      <c r="I1217" s="19" t="n">
        <v>5.93</v>
      </c>
      <c r="J1217" s="19" t="n">
        <v>6.4</v>
      </c>
      <c r="K1217" s="20" t="n">
        <v>0</v>
      </c>
      <c r="L1217" s="20" t="n">
        <v>0</v>
      </c>
      <c r="M1217" s="18" t="n">
        <v>307</v>
      </c>
      <c r="N1217" s="18" t="n">
        <v>0</v>
      </c>
      <c r="O1217" s="18" t="n">
        <v>0</v>
      </c>
      <c r="P1217" s="17" t="n">
        <v>45760</v>
      </c>
      <c r="Q1217" s="17" t="n">
        <v>45760</v>
      </c>
      <c r="R1217" s="17" t="n">
        <v>45760</v>
      </c>
      <c r="S1217" s="19">
        <f>H1217*I1217</f>
        <v/>
      </c>
      <c r="T1217" s="19">
        <f>H1217*J1217</f>
        <v/>
      </c>
      <c r="U1217">
        <f>IF(AND(K1217=0,G1217&lt;=Assumptions!$C$6),1,0)</f>
        <v/>
      </c>
      <c r="V1217">
        <f>IF(U1217=1,IF(M1217&gt;0,IF(P1217&lt;=G1217+Assumptions!$C$7,1,0),0),0)</f>
        <v/>
      </c>
      <c r="W1217">
        <f>IF(AND(U1217=1,M1217&gt;=H1217*(1-Assumptions!$C$8)),1,0)</f>
        <v/>
      </c>
      <c r="X1217">
        <f>IF(AND(U1217=1,N1217&gt;=H1217*(1-Assumptions!$C$8)),1,0)</f>
        <v/>
      </c>
      <c r="Y1217">
        <f>IF(ISNUMBER(Q1217),1,0)</f>
        <v/>
      </c>
      <c r="Z1217">
        <f>IF(AND(K1217=0,L1217=0,Y1217=0),1,0)</f>
        <v/>
      </c>
      <c r="AA1217">
        <f>IF(AND(Z1217=1,G1217&lt;Assumptions!$C$6),1,0)</f>
        <v/>
      </c>
      <c r="AB1217">
        <f>IF(U1217=0,"",IF(Y1217=1,MAX(0,Q1217-G1217),IF(L1217=1,MAX(0,R1217-G1217),MAX(0,Assumptions!$C$6-G1217))))</f>
        <v/>
      </c>
      <c r="AC1217">
        <f>IF(Y1217=1,Q1217-F1217,"")</f>
        <v/>
      </c>
      <c r="AD1217">
        <f>IF(Y1217=1,AC1217^2,"")</f>
        <v/>
      </c>
      <c r="AE1217" s="19">
        <f>IF(Z1217=1,(H1217-M1217)*I1217,0)</f>
        <v/>
      </c>
      <c r="AF1217">
        <f>IF(G1217&lt;EDATE(Assumptions!$C$6,-12)+1,"prior_12m","last_12m")</f>
        <v/>
      </c>
      <c r="AG1217" s="21">
        <f>DATE(YEAR(G1217),MONTH(G1217),1)</f>
        <v/>
      </c>
    </row>
    <row r="1218">
      <c r="A1218" t="inlineStr">
        <is>
          <t>SPO-00664-1</t>
        </is>
      </c>
      <c r="B1218" t="inlineStr">
        <is>
          <t>SPO-00664</t>
        </is>
      </c>
      <c r="C1218" t="inlineStr">
        <is>
          <t>SUP-06</t>
        </is>
      </c>
      <c r="D1218" t="inlineStr">
        <is>
          <t>MRO</t>
        </is>
      </c>
      <c r="E1218" t="inlineStr">
        <is>
          <t>MRO-03</t>
        </is>
      </c>
      <c r="F1218" s="17" t="n">
        <v>45745</v>
      </c>
      <c r="G1218" s="17" t="n">
        <v>45753</v>
      </c>
      <c r="H1218" s="18" t="n">
        <v>76</v>
      </c>
      <c r="I1218" s="19" t="n">
        <v>9.050000000000001</v>
      </c>
      <c r="J1218" s="19" t="n">
        <v>8.9</v>
      </c>
      <c r="K1218" s="20" t="n">
        <v>0</v>
      </c>
      <c r="L1218" s="20" t="n">
        <v>0</v>
      </c>
      <c r="M1218" s="18" t="n">
        <v>76</v>
      </c>
      <c r="N1218" s="18" t="n">
        <v>76</v>
      </c>
      <c r="O1218" s="18" t="n">
        <v>0</v>
      </c>
      <c r="P1218" s="17" t="n">
        <v>45751</v>
      </c>
      <c r="Q1218" s="17" t="n">
        <v>45751</v>
      </c>
      <c r="R1218" s="17" t="n">
        <v>45751</v>
      </c>
      <c r="S1218" s="19">
        <f>H1218*I1218</f>
        <v/>
      </c>
      <c r="T1218" s="19">
        <f>H1218*J1218</f>
        <v/>
      </c>
      <c r="U1218">
        <f>IF(AND(K1218=0,G1218&lt;=Assumptions!$C$6),1,0)</f>
        <v/>
      </c>
      <c r="V1218">
        <f>IF(U1218=1,IF(M1218&gt;0,IF(P1218&lt;=G1218+Assumptions!$C$7,1,0),0),0)</f>
        <v/>
      </c>
      <c r="W1218">
        <f>IF(AND(U1218=1,M1218&gt;=H1218*(1-Assumptions!$C$8)),1,0)</f>
        <v/>
      </c>
      <c r="X1218">
        <f>IF(AND(U1218=1,N1218&gt;=H1218*(1-Assumptions!$C$8)),1,0)</f>
        <v/>
      </c>
      <c r="Y1218">
        <f>IF(ISNUMBER(Q1218),1,0)</f>
        <v/>
      </c>
      <c r="Z1218">
        <f>IF(AND(K1218=0,L1218=0,Y1218=0),1,0)</f>
        <v/>
      </c>
      <c r="AA1218">
        <f>IF(AND(Z1218=1,G1218&lt;Assumptions!$C$6),1,0)</f>
        <v/>
      </c>
      <c r="AB1218">
        <f>IF(U1218=0,"",IF(Y1218=1,MAX(0,Q1218-G1218),IF(L1218=1,MAX(0,R1218-G1218),MAX(0,Assumptions!$C$6-G1218))))</f>
        <v/>
      </c>
      <c r="AC1218">
        <f>IF(Y1218=1,Q1218-F1218,"")</f>
        <v/>
      </c>
      <c r="AD1218">
        <f>IF(Y1218=1,AC1218^2,"")</f>
        <v/>
      </c>
      <c r="AE1218" s="19">
        <f>IF(Z1218=1,(H1218-M1218)*I1218,0)</f>
        <v/>
      </c>
      <c r="AF1218">
        <f>IF(G1218&lt;EDATE(Assumptions!$C$6,-12)+1,"prior_12m","last_12m")</f>
        <v/>
      </c>
      <c r="AG1218" s="21">
        <f>DATE(YEAR(G1218),MONTH(G1218),1)</f>
        <v/>
      </c>
    </row>
    <row r="1219">
      <c r="A1219" t="inlineStr">
        <is>
          <t>SPO-00665-1</t>
        </is>
      </c>
      <c r="B1219" t="inlineStr">
        <is>
          <t>SPO-00665</t>
        </is>
      </c>
      <c r="C1219" t="inlineStr">
        <is>
          <t>SUP-02</t>
        </is>
      </c>
      <c r="D1219" t="inlineStr">
        <is>
          <t>ELEC</t>
        </is>
      </c>
      <c r="E1219" t="inlineStr">
        <is>
          <t>ELEC-01</t>
        </is>
      </c>
      <c r="F1219" s="17" t="n">
        <v>45746</v>
      </c>
      <c r="G1219" s="17" t="n">
        <v>45762</v>
      </c>
      <c r="H1219" s="18" t="n">
        <v>70</v>
      </c>
      <c r="I1219" s="19" t="n">
        <v>37.79</v>
      </c>
      <c r="J1219" s="19" t="n">
        <v>38</v>
      </c>
      <c r="K1219" s="20" t="n">
        <v>0</v>
      </c>
      <c r="L1219" s="20" t="n">
        <v>0</v>
      </c>
      <c r="M1219" s="18" t="n">
        <v>70</v>
      </c>
      <c r="N1219" s="18" t="n">
        <v>70</v>
      </c>
      <c r="O1219" s="18" t="n">
        <v>0</v>
      </c>
      <c r="P1219" s="17" t="n">
        <v>45759</v>
      </c>
      <c r="Q1219" s="17" t="n">
        <v>45759</v>
      </c>
      <c r="R1219" s="17" t="n">
        <v>45759</v>
      </c>
      <c r="S1219" s="19">
        <f>H1219*I1219</f>
        <v/>
      </c>
      <c r="T1219" s="19">
        <f>H1219*J1219</f>
        <v/>
      </c>
      <c r="U1219">
        <f>IF(AND(K1219=0,G1219&lt;=Assumptions!$C$6),1,0)</f>
        <v/>
      </c>
      <c r="V1219">
        <f>IF(U1219=1,IF(M1219&gt;0,IF(P1219&lt;=G1219+Assumptions!$C$7,1,0),0),0)</f>
        <v/>
      </c>
      <c r="W1219">
        <f>IF(AND(U1219=1,M1219&gt;=H1219*(1-Assumptions!$C$8)),1,0)</f>
        <v/>
      </c>
      <c r="X1219">
        <f>IF(AND(U1219=1,N1219&gt;=H1219*(1-Assumptions!$C$8)),1,0)</f>
        <v/>
      </c>
      <c r="Y1219">
        <f>IF(ISNUMBER(Q1219),1,0)</f>
        <v/>
      </c>
      <c r="Z1219">
        <f>IF(AND(K1219=0,L1219=0,Y1219=0),1,0)</f>
        <v/>
      </c>
      <c r="AA1219">
        <f>IF(AND(Z1219=1,G1219&lt;Assumptions!$C$6),1,0)</f>
        <v/>
      </c>
      <c r="AB1219">
        <f>IF(U1219=0,"",IF(Y1219=1,MAX(0,Q1219-G1219),IF(L1219=1,MAX(0,R1219-G1219),MAX(0,Assumptions!$C$6-G1219))))</f>
        <v/>
      </c>
      <c r="AC1219">
        <f>IF(Y1219=1,Q1219-F1219,"")</f>
        <v/>
      </c>
      <c r="AD1219">
        <f>IF(Y1219=1,AC1219^2,"")</f>
        <v/>
      </c>
      <c r="AE1219" s="19">
        <f>IF(Z1219=1,(H1219-M1219)*I1219,0)</f>
        <v/>
      </c>
      <c r="AF1219">
        <f>IF(G1219&lt;EDATE(Assumptions!$C$6,-12)+1,"prior_12m","last_12m")</f>
        <v/>
      </c>
      <c r="AG1219" s="21">
        <f>DATE(YEAR(G1219),MONTH(G1219),1)</f>
        <v/>
      </c>
    </row>
    <row r="1220">
      <c r="A1220" t="inlineStr">
        <is>
          <t>SPO-00665-2</t>
        </is>
      </c>
      <c r="B1220" t="inlineStr">
        <is>
          <t>SPO-00665</t>
        </is>
      </c>
      <c r="C1220" t="inlineStr">
        <is>
          <t>SUP-02</t>
        </is>
      </c>
      <c r="D1220" t="inlineStr">
        <is>
          <t>ELEC</t>
        </is>
      </c>
      <c r="E1220" t="inlineStr">
        <is>
          <t>ELEC-03</t>
        </is>
      </c>
      <c r="F1220" s="17" t="n">
        <v>45746</v>
      </c>
      <c r="G1220" s="17" t="n">
        <v>45762</v>
      </c>
      <c r="H1220" s="18" t="n">
        <v>18</v>
      </c>
      <c r="I1220" s="19" t="n">
        <v>98.77</v>
      </c>
      <c r="J1220" s="19" t="n">
        <v>96</v>
      </c>
      <c r="K1220" s="20" t="n">
        <v>0</v>
      </c>
      <c r="L1220" s="20" t="n">
        <v>0</v>
      </c>
      <c r="M1220" s="18" t="n">
        <v>18</v>
      </c>
      <c r="N1220" s="18" t="n">
        <v>18</v>
      </c>
      <c r="O1220" s="18" t="n">
        <v>0</v>
      </c>
      <c r="P1220" s="17" t="n">
        <v>45759</v>
      </c>
      <c r="Q1220" s="17" t="n">
        <v>45759</v>
      </c>
      <c r="R1220" s="17" t="n">
        <v>45759</v>
      </c>
      <c r="S1220" s="19">
        <f>H1220*I1220</f>
        <v/>
      </c>
      <c r="T1220" s="19">
        <f>H1220*J1220</f>
        <v/>
      </c>
      <c r="U1220">
        <f>IF(AND(K1220=0,G1220&lt;=Assumptions!$C$6),1,0)</f>
        <v/>
      </c>
      <c r="V1220">
        <f>IF(U1220=1,IF(M1220&gt;0,IF(P1220&lt;=G1220+Assumptions!$C$7,1,0),0),0)</f>
        <v/>
      </c>
      <c r="W1220">
        <f>IF(AND(U1220=1,M1220&gt;=H1220*(1-Assumptions!$C$8)),1,0)</f>
        <v/>
      </c>
      <c r="X1220">
        <f>IF(AND(U1220=1,N1220&gt;=H1220*(1-Assumptions!$C$8)),1,0)</f>
        <v/>
      </c>
      <c r="Y1220">
        <f>IF(ISNUMBER(Q1220),1,0)</f>
        <v/>
      </c>
      <c r="Z1220">
        <f>IF(AND(K1220=0,L1220=0,Y1220=0),1,0)</f>
        <v/>
      </c>
      <c r="AA1220">
        <f>IF(AND(Z1220=1,G1220&lt;Assumptions!$C$6),1,0)</f>
        <v/>
      </c>
      <c r="AB1220">
        <f>IF(U1220=0,"",IF(Y1220=1,MAX(0,Q1220-G1220),IF(L1220=1,MAX(0,R1220-G1220),MAX(0,Assumptions!$C$6-G1220))))</f>
        <v/>
      </c>
      <c r="AC1220">
        <f>IF(Y1220=1,Q1220-F1220,"")</f>
        <v/>
      </c>
      <c r="AD1220">
        <f>IF(Y1220=1,AC1220^2,"")</f>
        <v/>
      </c>
      <c r="AE1220" s="19">
        <f>IF(Z1220=1,(H1220-M1220)*I1220,0)</f>
        <v/>
      </c>
      <c r="AF1220">
        <f>IF(G1220&lt;EDATE(Assumptions!$C$6,-12)+1,"prior_12m","last_12m")</f>
        <v/>
      </c>
      <c r="AG1220" s="21">
        <f>DATE(YEAR(G1220),MONTH(G1220),1)</f>
        <v/>
      </c>
    </row>
    <row r="1221">
      <c r="A1221" t="inlineStr">
        <is>
          <t>SPO-00665-3</t>
        </is>
      </c>
      <c r="B1221" t="inlineStr">
        <is>
          <t>SPO-00665</t>
        </is>
      </c>
      <c r="C1221" t="inlineStr">
        <is>
          <t>SUP-02</t>
        </is>
      </c>
      <c r="D1221" t="inlineStr">
        <is>
          <t>ELEC</t>
        </is>
      </c>
      <c r="E1221" t="inlineStr">
        <is>
          <t>ELEC-07</t>
        </is>
      </c>
      <c r="F1221" s="17" t="n">
        <v>45746</v>
      </c>
      <c r="G1221" s="17" t="n">
        <v>45762</v>
      </c>
      <c r="H1221" s="18" t="n">
        <v>226</v>
      </c>
      <c r="I1221" s="19" t="n">
        <v>9.710000000000001</v>
      </c>
      <c r="J1221" s="19" t="n">
        <v>9.800000000000001</v>
      </c>
      <c r="K1221" s="20" t="n">
        <v>0</v>
      </c>
      <c r="L1221" s="20" t="n">
        <v>0</v>
      </c>
      <c r="M1221" s="18" t="n">
        <v>226</v>
      </c>
      <c r="N1221" s="18" t="n">
        <v>226</v>
      </c>
      <c r="O1221" s="18" t="n">
        <v>0</v>
      </c>
      <c r="P1221" s="17" t="n">
        <v>45760</v>
      </c>
      <c r="Q1221" s="17" t="n">
        <v>45760</v>
      </c>
      <c r="R1221" s="17" t="n">
        <v>45760</v>
      </c>
      <c r="S1221" s="19">
        <f>H1221*I1221</f>
        <v/>
      </c>
      <c r="T1221" s="19">
        <f>H1221*J1221</f>
        <v/>
      </c>
      <c r="U1221">
        <f>IF(AND(K1221=0,G1221&lt;=Assumptions!$C$6),1,0)</f>
        <v/>
      </c>
      <c r="V1221">
        <f>IF(U1221=1,IF(M1221&gt;0,IF(P1221&lt;=G1221+Assumptions!$C$7,1,0),0),0)</f>
        <v/>
      </c>
      <c r="W1221">
        <f>IF(AND(U1221=1,M1221&gt;=H1221*(1-Assumptions!$C$8)),1,0)</f>
        <v/>
      </c>
      <c r="X1221">
        <f>IF(AND(U1221=1,N1221&gt;=H1221*(1-Assumptions!$C$8)),1,0)</f>
        <v/>
      </c>
      <c r="Y1221">
        <f>IF(ISNUMBER(Q1221),1,0)</f>
        <v/>
      </c>
      <c r="Z1221">
        <f>IF(AND(K1221=0,L1221=0,Y1221=0),1,0)</f>
        <v/>
      </c>
      <c r="AA1221">
        <f>IF(AND(Z1221=1,G1221&lt;Assumptions!$C$6),1,0)</f>
        <v/>
      </c>
      <c r="AB1221">
        <f>IF(U1221=0,"",IF(Y1221=1,MAX(0,Q1221-G1221),IF(L1221=1,MAX(0,R1221-G1221),MAX(0,Assumptions!$C$6-G1221))))</f>
        <v/>
      </c>
      <c r="AC1221">
        <f>IF(Y1221=1,Q1221-F1221,"")</f>
        <v/>
      </c>
      <c r="AD1221">
        <f>IF(Y1221=1,AC1221^2,"")</f>
        <v/>
      </c>
      <c r="AE1221" s="19">
        <f>IF(Z1221=1,(H1221-M1221)*I1221,0)</f>
        <v/>
      </c>
      <c r="AF1221">
        <f>IF(G1221&lt;EDATE(Assumptions!$C$6,-12)+1,"prior_12m","last_12m")</f>
        <v/>
      </c>
      <c r="AG1221" s="21">
        <f>DATE(YEAR(G1221),MONTH(G1221),1)</f>
        <v/>
      </c>
    </row>
    <row r="1222">
      <c r="A1222" t="inlineStr">
        <is>
          <t>SPO-00666-1</t>
        </is>
      </c>
      <c r="B1222" t="inlineStr">
        <is>
          <t>SPO-00666</t>
        </is>
      </c>
      <c r="C1222" t="inlineStr">
        <is>
          <t>SUP-01</t>
        </is>
      </c>
      <c r="D1222" t="inlineStr">
        <is>
          <t>ELEC</t>
        </is>
      </c>
      <c r="E1222" t="inlineStr">
        <is>
          <t>ELEC-06</t>
        </is>
      </c>
      <c r="F1222" s="17" t="n">
        <v>45746</v>
      </c>
      <c r="G1222" s="17" t="n">
        <v>45764</v>
      </c>
      <c r="H1222" s="18" t="n">
        <v>58</v>
      </c>
      <c r="I1222" s="19" t="n">
        <v>150.27</v>
      </c>
      <c r="J1222" s="19" t="n">
        <v>145</v>
      </c>
      <c r="K1222" s="20" t="n">
        <v>0</v>
      </c>
      <c r="L1222" s="20" t="n">
        <v>0</v>
      </c>
      <c r="M1222" s="18" t="n">
        <v>58</v>
      </c>
      <c r="N1222" s="18" t="n">
        <v>0</v>
      </c>
      <c r="O1222" s="18" t="n">
        <v>0</v>
      </c>
      <c r="P1222" s="17" t="n">
        <v>45765</v>
      </c>
      <c r="Q1222" s="17" t="n">
        <v>45765</v>
      </c>
      <c r="R1222" s="17" t="n">
        <v>45765</v>
      </c>
      <c r="S1222" s="19">
        <f>H1222*I1222</f>
        <v/>
      </c>
      <c r="T1222" s="19">
        <f>H1222*J1222</f>
        <v/>
      </c>
      <c r="U1222">
        <f>IF(AND(K1222=0,G1222&lt;=Assumptions!$C$6),1,0)</f>
        <v/>
      </c>
      <c r="V1222">
        <f>IF(U1222=1,IF(M1222&gt;0,IF(P1222&lt;=G1222+Assumptions!$C$7,1,0),0),0)</f>
        <v/>
      </c>
      <c r="W1222">
        <f>IF(AND(U1222=1,M1222&gt;=H1222*(1-Assumptions!$C$8)),1,0)</f>
        <v/>
      </c>
      <c r="X1222">
        <f>IF(AND(U1222=1,N1222&gt;=H1222*(1-Assumptions!$C$8)),1,0)</f>
        <v/>
      </c>
      <c r="Y1222">
        <f>IF(ISNUMBER(Q1222),1,0)</f>
        <v/>
      </c>
      <c r="Z1222">
        <f>IF(AND(K1222=0,L1222=0,Y1222=0),1,0)</f>
        <v/>
      </c>
      <c r="AA1222">
        <f>IF(AND(Z1222=1,G1222&lt;Assumptions!$C$6),1,0)</f>
        <v/>
      </c>
      <c r="AB1222">
        <f>IF(U1222=0,"",IF(Y1222=1,MAX(0,Q1222-G1222),IF(L1222=1,MAX(0,R1222-G1222),MAX(0,Assumptions!$C$6-G1222))))</f>
        <v/>
      </c>
      <c r="AC1222">
        <f>IF(Y1222=1,Q1222-F1222,"")</f>
        <v/>
      </c>
      <c r="AD1222">
        <f>IF(Y1222=1,AC1222^2,"")</f>
        <v/>
      </c>
      <c r="AE1222" s="19">
        <f>IF(Z1222=1,(H1222-M1222)*I1222,0)</f>
        <v/>
      </c>
      <c r="AF1222">
        <f>IF(G1222&lt;EDATE(Assumptions!$C$6,-12)+1,"prior_12m","last_12m")</f>
        <v/>
      </c>
      <c r="AG1222" s="21">
        <f>DATE(YEAR(G1222),MONTH(G1222),1)</f>
        <v/>
      </c>
    </row>
    <row r="1223">
      <c r="A1223" t="inlineStr">
        <is>
          <t>SPO-00667-1</t>
        </is>
      </c>
      <c r="B1223" t="inlineStr">
        <is>
          <t>SPO-00667</t>
        </is>
      </c>
      <c r="C1223" t="inlineStr">
        <is>
          <t>SUP-02</t>
        </is>
      </c>
      <c r="D1223" t="inlineStr">
        <is>
          <t>ELEC</t>
        </is>
      </c>
      <c r="E1223" t="inlineStr">
        <is>
          <t>ELEC-06</t>
        </is>
      </c>
      <c r="F1223" s="17" t="n">
        <v>45747</v>
      </c>
      <c r="G1223" s="17" t="n">
        <v>45763</v>
      </c>
      <c r="H1223" s="18" t="n">
        <v>24</v>
      </c>
      <c r="I1223" s="19" t="n">
        <v>140.32</v>
      </c>
      <c r="J1223" s="19" t="n">
        <v>145</v>
      </c>
      <c r="K1223" s="20" t="n">
        <v>0</v>
      </c>
      <c r="L1223" s="20" t="n">
        <v>0</v>
      </c>
      <c r="M1223" s="18" t="n">
        <v>24</v>
      </c>
      <c r="N1223" s="18" t="n">
        <v>0</v>
      </c>
      <c r="O1223" s="18" t="n">
        <v>0</v>
      </c>
      <c r="P1223" s="17" t="n">
        <v>45764</v>
      </c>
      <c r="Q1223" s="17" t="n">
        <v>45764</v>
      </c>
      <c r="R1223" s="17" t="n">
        <v>45764</v>
      </c>
      <c r="S1223" s="19">
        <f>H1223*I1223</f>
        <v/>
      </c>
      <c r="T1223" s="19">
        <f>H1223*J1223</f>
        <v/>
      </c>
      <c r="U1223">
        <f>IF(AND(K1223=0,G1223&lt;=Assumptions!$C$6),1,0)</f>
        <v/>
      </c>
      <c r="V1223">
        <f>IF(U1223=1,IF(M1223&gt;0,IF(P1223&lt;=G1223+Assumptions!$C$7,1,0),0),0)</f>
        <v/>
      </c>
      <c r="W1223">
        <f>IF(AND(U1223=1,M1223&gt;=H1223*(1-Assumptions!$C$8)),1,0)</f>
        <v/>
      </c>
      <c r="X1223">
        <f>IF(AND(U1223=1,N1223&gt;=H1223*(1-Assumptions!$C$8)),1,0)</f>
        <v/>
      </c>
      <c r="Y1223">
        <f>IF(ISNUMBER(Q1223),1,0)</f>
        <v/>
      </c>
      <c r="Z1223">
        <f>IF(AND(K1223=0,L1223=0,Y1223=0),1,0)</f>
        <v/>
      </c>
      <c r="AA1223">
        <f>IF(AND(Z1223=1,G1223&lt;Assumptions!$C$6),1,0)</f>
        <v/>
      </c>
      <c r="AB1223">
        <f>IF(U1223=0,"",IF(Y1223=1,MAX(0,Q1223-G1223),IF(L1223=1,MAX(0,R1223-G1223),MAX(0,Assumptions!$C$6-G1223))))</f>
        <v/>
      </c>
      <c r="AC1223">
        <f>IF(Y1223=1,Q1223-F1223,"")</f>
        <v/>
      </c>
      <c r="AD1223">
        <f>IF(Y1223=1,AC1223^2,"")</f>
        <v/>
      </c>
      <c r="AE1223" s="19">
        <f>IF(Z1223=1,(H1223-M1223)*I1223,0)</f>
        <v/>
      </c>
      <c r="AF1223">
        <f>IF(G1223&lt;EDATE(Assumptions!$C$6,-12)+1,"prior_12m","last_12m")</f>
        <v/>
      </c>
      <c r="AG1223" s="21">
        <f>DATE(YEAR(G1223),MONTH(G1223),1)</f>
        <v/>
      </c>
    </row>
    <row r="1224">
      <c r="A1224" t="inlineStr">
        <is>
          <t>SPO-00668-1</t>
        </is>
      </c>
      <c r="B1224" t="inlineStr">
        <is>
          <t>SPO-00668</t>
        </is>
      </c>
      <c r="C1224" t="inlineStr">
        <is>
          <t>SUP-01</t>
        </is>
      </c>
      <c r="D1224" t="inlineStr">
        <is>
          <t>ELEC</t>
        </is>
      </c>
      <c r="E1224" t="inlineStr">
        <is>
          <t>ELEC-06</t>
        </is>
      </c>
      <c r="F1224" s="17" t="n">
        <v>45747</v>
      </c>
      <c r="G1224" s="17" t="n">
        <v>45765</v>
      </c>
      <c r="H1224" s="18" t="n">
        <v>23</v>
      </c>
      <c r="I1224" s="19" t="n">
        <v>142.22</v>
      </c>
      <c r="J1224" s="19" t="n">
        <v>145</v>
      </c>
      <c r="K1224" s="20" t="n">
        <v>0</v>
      </c>
      <c r="L1224" s="20" t="n">
        <v>0</v>
      </c>
      <c r="M1224" s="18" t="n">
        <v>23</v>
      </c>
      <c r="N1224" s="18" t="n">
        <v>23</v>
      </c>
      <c r="O1224" s="18" t="n">
        <v>0</v>
      </c>
      <c r="P1224" s="17" t="n">
        <v>45762</v>
      </c>
      <c r="Q1224" s="17" t="n">
        <v>45762</v>
      </c>
      <c r="R1224" s="17" t="n">
        <v>45762</v>
      </c>
      <c r="S1224" s="19">
        <f>H1224*I1224</f>
        <v/>
      </c>
      <c r="T1224" s="19">
        <f>H1224*J1224</f>
        <v/>
      </c>
      <c r="U1224">
        <f>IF(AND(K1224=0,G1224&lt;=Assumptions!$C$6),1,0)</f>
        <v/>
      </c>
      <c r="V1224">
        <f>IF(U1224=1,IF(M1224&gt;0,IF(P1224&lt;=G1224+Assumptions!$C$7,1,0),0),0)</f>
        <v/>
      </c>
      <c r="W1224">
        <f>IF(AND(U1224=1,M1224&gt;=H1224*(1-Assumptions!$C$8)),1,0)</f>
        <v/>
      </c>
      <c r="X1224">
        <f>IF(AND(U1224=1,N1224&gt;=H1224*(1-Assumptions!$C$8)),1,0)</f>
        <v/>
      </c>
      <c r="Y1224">
        <f>IF(ISNUMBER(Q1224),1,0)</f>
        <v/>
      </c>
      <c r="Z1224">
        <f>IF(AND(K1224=0,L1224=0,Y1224=0),1,0)</f>
        <v/>
      </c>
      <c r="AA1224">
        <f>IF(AND(Z1224=1,G1224&lt;Assumptions!$C$6),1,0)</f>
        <v/>
      </c>
      <c r="AB1224">
        <f>IF(U1224=0,"",IF(Y1224=1,MAX(0,Q1224-G1224),IF(L1224=1,MAX(0,R1224-G1224),MAX(0,Assumptions!$C$6-G1224))))</f>
        <v/>
      </c>
      <c r="AC1224">
        <f>IF(Y1224=1,Q1224-F1224,"")</f>
        <v/>
      </c>
      <c r="AD1224">
        <f>IF(Y1224=1,AC1224^2,"")</f>
        <v/>
      </c>
      <c r="AE1224" s="19">
        <f>IF(Z1224=1,(H1224-M1224)*I1224,0)</f>
        <v/>
      </c>
      <c r="AF1224">
        <f>IF(G1224&lt;EDATE(Assumptions!$C$6,-12)+1,"prior_12m","last_12m")</f>
        <v/>
      </c>
      <c r="AG1224" s="21">
        <f>DATE(YEAR(G1224),MONTH(G1224),1)</f>
        <v/>
      </c>
    </row>
    <row r="1225">
      <c r="A1225" t="inlineStr">
        <is>
          <t>SPO-00669-1</t>
        </is>
      </c>
      <c r="B1225" t="inlineStr">
        <is>
          <t>SPO-00669</t>
        </is>
      </c>
      <c r="C1225" t="inlineStr">
        <is>
          <t>SUP-12</t>
        </is>
      </c>
      <c r="D1225" t="inlineStr">
        <is>
          <t>IT</t>
        </is>
      </c>
      <c r="E1225" t="inlineStr">
        <is>
          <t>IT-08</t>
        </is>
      </c>
      <c r="F1225" s="17" t="n">
        <v>45748</v>
      </c>
      <c r="G1225" s="17" t="n">
        <v>45758</v>
      </c>
      <c r="H1225" s="18" t="n">
        <v>8</v>
      </c>
      <c r="I1225" s="19" t="n">
        <v>270.73</v>
      </c>
      <c r="J1225" s="19" t="n">
        <v>245</v>
      </c>
      <c r="K1225" s="20" t="n">
        <v>0</v>
      </c>
      <c r="L1225" s="20" t="n">
        <v>0</v>
      </c>
      <c r="M1225" s="18" t="n">
        <v>8</v>
      </c>
      <c r="N1225" s="18" t="n">
        <v>6</v>
      </c>
      <c r="O1225" s="18" t="n">
        <v>0</v>
      </c>
      <c r="P1225" s="17" t="n">
        <v>45750</v>
      </c>
      <c r="Q1225" s="17" t="n">
        <v>45770</v>
      </c>
      <c r="R1225" s="17" t="n">
        <v>45770</v>
      </c>
      <c r="S1225" s="19">
        <f>H1225*I1225</f>
        <v/>
      </c>
      <c r="T1225" s="19">
        <f>H1225*J1225</f>
        <v/>
      </c>
      <c r="U1225">
        <f>IF(AND(K1225=0,G1225&lt;=Assumptions!$C$6),1,0)</f>
        <v/>
      </c>
      <c r="V1225">
        <f>IF(U1225=1,IF(M1225&gt;0,IF(P1225&lt;=G1225+Assumptions!$C$7,1,0),0),0)</f>
        <v/>
      </c>
      <c r="W1225">
        <f>IF(AND(U1225=1,M1225&gt;=H1225*(1-Assumptions!$C$8)),1,0)</f>
        <v/>
      </c>
      <c r="X1225">
        <f>IF(AND(U1225=1,N1225&gt;=H1225*(1-Assumptions!$C$8)),1,0)</f>
        <v/>
      </c>
      <c r="Y1225">
        <f>IF(ISNUMBER(Q1225),1,0)</f>
        <v/>
      </c>
      <c r="Z1225">
        <f>IF(AND(K1225=0,L1225=0,Y1225=0),1,0)</f>
        <v/>
      </c>
      <c r="AA1225">
        <f>IF(AND(Z1225=1,G1225&lt;Assumptions!$C$6),1,0)</f>
        <v/>
      </c>
      <c r="AB1225">
        <f>IF(U1225=0,"",IF(Y1225=1,MAX(0,Q1225-G1225),IF(L1225=1,MAX(0,R1225-G1225),MAX(0,Assumptions!$C$6-G1225))))</f>
        <v/>
      </c>
      <c r="AC1225">
        <f>IF(Y1225=1,Q1225-F1225,"")</f>
        <v/>
      </c>
      <c r="AD1225">
        <f>IF(Y1225=1,AC1225^2,"")</f>
        <v/>
      </c>
      <c r="AE1225" s="19">
        <f>IF(Z1225=1,(H1225-M1225)*I1225,0)</f>
        <v/>
      </c>
      <c r="AF1225">
        <f>IF(G1225&lt;EDATE(Assumptions!$C$6,-12)+1,"prior_12m","last_12m")</f>
        <v/>
      </c>
      <c r="AG1225" s="21">
        <f>DATE(YEAR(G1225),MONTH(G1225),1)</f>
        <v/>
      </c>
    </row>
    <row r="1226">
      <c r="A1226" t="inlineStr">
        <is>
          <t>SPO-00670-1</t>
        </is>
      </c>
      <c r="B1226" t="inlineStr">
        <is>
          <t>SPO-00670</t>
        </is>
      </c>
      <c r="C1226" t="inlineStr">
        <is>
          <t>SUP-04</t>
        </is>
      </c>
      <c r="D1226" t="inlineStr">
        <is>
          <t>FLEET</t>
        </is>
      </c>
      <c r="E1226" t="inlineStr">
        <is>
          <t>FLEET-02</t>
        </is>
      </c>
      <c r="F1226" s="17" t="n">
        <v>45748</v>
      </c>
      <c r="G1226" s="17" t="n">
        <v>45761</v>
      </c>
      <c r="H1226" s="18" t="n">
        <v>277</v>
      </c>
      <c r="I1226" s="19" t="n">
        <v>7.56</v>
      </c>
      <c r="J1226" s="19" t="n">
        <v>7.5</v>
      </c>
      <c r="K1226" s="20" t="n">
        <v>0</v>
      </c>
      <c r="L1226" s="20" t="n">
        <v>0</v>
      </c>
      <c r="M1226" s="18" t="n">
        <v>277</v>
      </c>
      <c r="N1226" s="18" t="n">
        <v>0</v>
      </c>
      <c r="O1226" s="18" t="n">
        <v>0</v>
      </c>
      <c r="P1226" s="17" t="n">
        <v>45766</v>
      </c>
      <c r="Q1226" s="17" t="n">
        <v>45766</v>
      </c>
      <c r="R1226" s="17" t="n">
        <v>45766</v>
      </c>
      <c r="S1226" s="19">
        <f>H1226*I1226</f>
        <v/>
      </c>
      <c r="T1226" s="19">
        <f>H1226*J1226</f>
        <v/>
      </c>
      <c r="U1226">
        <f>IF(AND(K1226=0,G1226&lt;=Assumptions!$C$6),1,0)</f>
        <v/>
      </c>
      <c r="V1226">
        <f>IF(U1226=1,IF(M1226&gt;0,IF(P1226&lt;=G1226+Assumptions!$C$7,1,0),0),0)</f>
        <v/>
      </c>
      <c r="W1226">
        <f>IF(AND(U1226=1,M1226&gt;=H1226*(1-Assumptions!$C$8)),1,0)</f>
        <v/>
      </c>
      <c r="X1226">
        <f>IF(AND(U1226=1,N1226&gt;=H1226*(1-Assumptions!$C$8)),1,0)</f>
        <v/>
      </c>
      <c r="Y1226">
        <f>IF(ISNUMBER(Q1226),1,0)</f>
        <v/>
      </c>
      <c r="Z1226">
        <f>IF(AND(K1226=0,L1226=0,Y1226=0),1,0)</f>
        <v/>
      </c>
      <c r="AA1226">
        <f>IF(AND(Z1226=1,G1226&lt;Assumptions!$C$6),1,0)</f>
        <v/>
      </c>
      <c r="AB1226">
        <f>IF(U1226=0,"",IF(Y1226=1,MAX(0,Q1226-G1226),IF(L1226=1,MAX(0,R1226-G1226),MAX(0,Assumptions!$C$6-G1226))))</f>
        <v/>
      </c>
      <c r="AC1226">
        <f>IF(Y1226=1,Q1226-F1226,"")</f>
        <v/>
      </c>
      <c r="AD1226">
        <f>IF(Y1226=1,AC1226^2,"")</f>
        <v/>
      </c>
      <c r="AE1226" s="19">
        <f>IF(Z1226=1,(H1226-M1226)*I1226,0)</f>
        <v/>
      </c>
      <c r="AF1226">
        <f>IF(G1226&lt;EDATE(Assumptions!$C$6,-12)+1,"prior_12m","last_12m")</f>
        <v/>
      </c>
      <c r="AG1226" s="21">
        <f>DATE(YEAR(G1226),MONTH(G1226),1)</f>
        <v/>
      </c>
    </row>
    <row r="1227">
      <c r="A1227" t="inlineStr">
        <is>
          <t>SPO-00671-1</t>
        </is>
      </c>
      <c r="B1227" t="inlineStr">
        <is>
          <t>SPO-00671</t>
        </is>
      </c>
      <c r="C1227" t="inlineStr">
        <is>
          <t>SUP-01</t>
        </is>
      </c>
      <c r="D1227" t="inlineStr">
        <is>
          <t>ELEC</t>
        </is>
      </c>
      <c r="E1227" t="inlineStr">
        <is>
          <t>ELEC-07</t>
        </is>
      </c>
      <c r="F1227" s="17" t="n">
        <v>45748</v>
      </c>
      <c r="G1227" s="17" t="n">
        <v>45766</v>
      </c>
      <c r="H1227" s="18" t="n">
        <v>274</v>
      </c>
      <c r="I1227" s="19" t="n">
        <v>10.11</v>
      </c>
      <c r="J1227" s="19" t="n">
        <v>9.800000000000001</v>
      </c>
      <c r="K1227" s="20" t="n">
        <v>0</v>
      </c>
      <c r="L1227" s="20" t="n">
        <v>0</v>
      </c>
      <c r="M1227" s="18" t="n">
        <v>274</v>
      </c>
      <c r="N1227" s="18" t="n">
        <v>274</v>
      </c>
      <c r="O1227" s="18" t="n">
        <v>0</v>
      </c>
      <c r="P1227" s="17" t="n">
        <v>45766</v>
      </c>
      <c r="Q1227" s="17" t="n">
        <v>45766</v>
      </c>
      <c r="R1227" s="17" t="n">
        <v>45766</v>
      </c>
      <c r="S1227" s="19">
        <f>H1227*I1227</f>
        <v/>
      </c>
      <c r="T1227" s="19">
        <f>H1227*J1227</f>
        <v/>
      </c>
      <c r="U1227">
        <f>IF(AND(K1227=0,G1227&lt;=Assumptions!$C$6),1,0)</f>
        <v/>
      </c>
      <c r="V1227">
        <f>IF(U1227=1,IF(M1227&gt;0,IF(P1227&lt;=G1227+Assumptions!$C$7,1,0),0),0)</f>
        <v/>
      </c>
      <c r="W1227">
        <f>IF(AND(U1227=1,M1227&gt;=H1227*(1-Assumptions!$C$8)),1,0)</f>
        <v/>
      </c>
      <c r="X1227">
        <f>IF(AND(U1227=1,N1227&gt;=H1227*(1-Assumptions!$C$8)),1,0)</f>
        <v/>
      </c>
      <c r="Y1227">
        <f>IF(ISNUMBER(Q1227),1,0)</f>
        <v/>
      </c>
      <c r="Z1227">
        <f>IF(AND(K1227=0,L1227=0,Y1227=0),1,0)</f>
        <v/>
      </c>
      <c r="AA1227">
        <f>IF(AND(Z1227=1,G1227&lt;Assumptions!$C$6),1,0)</f>
        <v/>
      </c>
      <c r="AB1227">
        <f>IF(U1227=0,"",IF(Y1227=1,MAX(0,Q1227-G1227),IF(L1227=1,MAX(0,R1227-G1227),MAX(0,Assumptions!$C$6-G1227))))</f>
        <v/>
      </c>
      <c r="AC1227">
        <f>IF(Y1227=1,Q1227-F1227,"")</f>
        <v/>
      </c>
      <c r="AD1227">
        <f>IF(Y1227=1,AC1227^2,"")</f>
        <v/>
      </c>
      <c r="AE1227" s="19">
        <f>IF(Z1227=1,(H1227-M1227)*I1227,0)</f>
        <v/>
      </c>
      <c r="AF1227">
        <f>IF(G1227&lt;EDATE(Assumptions!$C$6,-12)+1,"prior_12m","last_12m")</f>
        <v/>
      </c>
      <c r="AG1227" s="21">
        <f>DATE(YEAR(G1227),MONTH(G1227),1)</f>
        <v/>
      </c>
    </row>
    <row r="1228">
      <c r="A1228" t="inlineStr">
        <is>
          <t>SPO-00671-2</t>
        </is>
      </c>
      <c r="B1228" t="inlineStr">
        <is>
          <t>SPO-00671</t>
        </is>
      </c>
      <c r="C1228" t="inlineStr">
        <is>
          <t>SUP-01</t>
        </is>
      </c>
      <c r="D1228" t="inlineStr">
        <is>
          <t>ELEC</t>
        </is>
      </c>
      <c r="E1228" t="inlineStr">
        <is>
          <t>ELEC-02</t>
        </is>
      </c>
      <c r="F1228" s="17" t="n">
        <v>45748</v>
      </c>
      <c r="G1228" s="17" t="n">
        <v>45766</v>
      </c>
      <c r="H1228" s="18" t="n">
        <v>781</v>
      </c>
      <c r="I1228" s="19" t="n">
        <v>4.43</v>
      </c>
      <c r="J1228" s="19" t="n">
        <v>4.2</v>
      </c>
      <c r="K1228" s="20" t="n">
        <v>0</v>
      </c>
      <c r="L1228" s="20" t="n">
        <v>0</v>
      </c>
      <c r="M1228" s="18" t="n">
        <v>781</v>
      </c>
      <c r="N1228" s="18" t="n">
        <v>781</v>
      </c>
      <c r="O1228" s="18" t="n">
        <v>0</v>
      </c>
      <c r="P1228" s="17" t="n">
        <v>45764</v>
      </c>
      <c r="Q1228" s="17" t="n">
        <v>45764</v>
      </c>
      <c r="R1228" s="17" t="n">
        <v>45764</v>
      </c>
      <c r="S1228" s="19">
        <f>H1228*I1228</f>
        <v/>
      </c>
      <c r="T1228" s="19">
        <f>H1228*J1228</f>
        <v/>
      </c>
      <c r="U1228">
        <f>IF(AND(K1228=0,G1228&lt;=Assumptions!$C$6),1,0)</f>
        <v/>
      </c>
      <c r="V1228">
        <f>IF(U1228=1,IF(M1228&gt;0,IF(P1228&lt;=G1228+Assumptions!$C$7,1,0),0),0)</f>
        <v/>
      </c>
      <c r="W1228">
        <f>IF(AND(U1228=1,M1228&gt;=H1228*(1-Assumptions!$C$8)),1,0)</f>
        <v/>
      </c>
      <c r="X1228">
        <f>IF(AND(U1228=1,N1228&gt;=H1228*(1-Assumptions!$C$8)),1,0)</f>
        <v/>
      </c>
      <c r="Y1228">
        <f>IF(ISNUMBER(Q1228),1,0)</f>
        <v/>
      </c>
      <c r="Z1228">
        <f>IF(AND(K1228=0,L1228=0,Y1228=0),1,0)</f>
        <v/>
      </c>
      <c r="AA1228">
        <f>IF(AND(Z1228=1,G1228&lt;Assumptions!$C$6),1,0)</f>
        <v/>
      </c>
      <c r="AB1228">
        <f>IF(U1228=0,"",IF(Y1228=1,MAX(0,Q1228-G1228),IF(L1228=1,MAX(0,R1228-G1228),MAX(0,Assumptions!$C$6-G1228))))</f>
        <v/>
      </c>
      <c r="AC1228">
        <f>IF(Y1228=1,Q1228-F1228,"")</f>
        <v/>
      </c>
      <c r="AD1228">
        <f>IF(Y1228=1,AC1228^2,"")</f>
        <v/>
      </c>
      <c r="AE1228" s="19">
        <f>IF(Z1228=1,(H1228-M1228)*I1228,0)</f>
        <v/>
      </c>
      <c r="AF1228">
        <f>IF(G1228&lt;EDATE(Assumptions!$C$6,-12)+1,"prior_12m","last_12m")</f>
        <v/>
      </c>
      <c r="AG1228" s="21">
        <f>DATE(YEAR(G1228),MONTH(G1228),1)</f>
        <v/>
      </c>
    </row>
    <row r="1229">
      <c r="A1229" t="inlineStr">
        <is>
          <t>SPO-00672-1</t>
        </is>
      </c>
      <c r="B1229" t="inlineStr">
        <is>
          <t>SPO-00672</t>
        </is>
      </c>
      <c r="C1229" t="inlineStr">
        <is>
          <t>SUP-04</t>
        </is>
      </c>
      <c r="D1229" t="inlineStr">
        <is>
          <t>FLEET</t>
        </is>
      </c>
      <c r="E1229" t="inlineStr">
        <is>
          <t>FLEET-01</t>
        </is>
      </c>
      <c r="F1229" s="17" t="n">
        <v>45749</v>
      </c>
      <c r="G1229" s="17" t="n">
        <v>45762</v>
      </c>
      <c r="H1229" s="18" t="n">
        <v>22</v>
      </c>
      <c r="I1229" s="19" t="n">
        <v>61.49</v>
      </c>
      <c r="J1229" s="19" t="n">
        <v>64</v>
      </c>
      <c r="K1229" s="20" t="n">
        <v>0</v>
      </c>
      <c r="L1229" s="20" t="n">
        <v>0</v>
      </c>
      <c r="M1229" s="18" t="n">
        <v>22</v>
      </c>
      <c r="N1229" s="18" t="n">
        <v>22</v>
      </c>
      <c r="O1229" s="18" t="n">
        <v>0</v>
      </c>
      <c r="P1229" s="17" t="n">
        <v>45757</v>
      </c>
      <c r="Q1229" s="17" t="n">
        <v>45757</v>
      </c>
      <c r="R1229" s="17" t="n">
        <v>45757</v>
      </c>
      <c r="S1229" s="19">
        <f>H1229*I1229</f>
        <v/>
      </c>
      <c r="T1229" s="19">
        <f>H1229*J1229</f>
        <v/>
      </c>
      <c r="U1229">
        <f>IF(AND(K1229=0,G1229&lt;=Assumptions!$C$6),1,0)</f>
        <v/>
      </c>
      <c r="V1229">
        <f>IF(U1229=1,IF(M1229&gt;0,IF(P1229&lt;=G1229+Assumptions!$C$7,1,0),0),0)</f>
        <v/>
      </c>
      <c r="W1229">
        <f>IF(AND(U1229=1,M1229&gt;=H1229*(1-Assumptions!$C$8)),1,0)</f>
        <v/>
      </c>
      <c r="X1229">
        <f>IF(AND(U1229=1,N1229&gt;=H1229*(1-Assumptions!$C$8)),1,0)</f>
        <v/>
      </c>
      <c r="Y1229">
        <f>IF(ISNUMBER(Q1229),1,0)</f>
        <v/>
      </c>
      <c r="Z1229">
        <f>IF(AND(K1229=0,L1229=0,Y1229=0),1,0)</f>
        <v/>
      </c>
      <c r="AA1229">
        <f>IF(AND(Z1229=1,G1229&lt;Assumptions!$C$6),1,0)</f>
        <v/>
      </c>
      <c r="AB1229">
        <f>IF(U1229=0,"",IF(Y1229=1,MAX(0,Q1229-G1229),IF(L1229=1,MAX(0,R1229-G1229),MAX(0,Assumptions!$C$6-G1229))))</f>
        <v/>
      </c>
      <c r="AC1229">
        <f>IF(Y1229=1,Q1229-F1229,"")</f>
        <v/>
      </c>
      <c r="AD1229">
        <f>IF(Y1229=1,AC1229^2,"")</f>
        <v/>
      </c>
      <c r="AE1229" s="19">
        <f>IF(Z1229=1,(H1229-M1229)*I1229,0)</f>
        <v/>
      </c>
      <c r="AF1229">
        <f>IF(G1229&lt;EDATE(Assumptions!$C$6,-12)+1,"prior_12m","last_12m")</f>
        <v/>
      </c>
      <c r="AG1229" s="21">
        <f>DATE(YEAR(G1229),MONTH(G1229),1)</f>
        <v/>
      </c>
    </row>
    <row r="1230">
      <c r="A1230" t="inlineStr">
        <is>
          <t>SPO-00672-2</t>
        </is>
      </c>
      <c r="B1230" t="inlineStr">
        <is>
          <t>SPO-00672</t>
        </is>
      </c>
      <c r="C1230" t="inlineStr">
        <is>
          <t>SUP-04</t>
        </is>
      </c>
      <c r="D1230" t="inlineStr">
        <is>
          <t>FLEET</t>
        </is>
      </c>
      <c r="E1230" t="inlineStr">
        <is>
          <t>FLEET-03</t>
        </is>
      </c>
      <c r="F1230" s="17" t="n">
        <v>45749</v>
      </c>
      <c r="G1230" s="17" t="n">
        <v>45762</v>
      </c>
      <c r="H1230" s="18" t="n">
        <v>106</v>
      </c>
      <c r="I1230" s="19" t="n">
        <v>19.93</v>
      </c>
      <c r="J1230" s="19" t="n">
        <v>21</v>
      </c>
      <c r="K1230" s="20" t="n">
        <v>0</v>
      </c>
      <c r="L1230" s="20" t="n">
        <v>0</v>
      </c>
      <c r="M1230" s="18" t="n">
        <v>106</v>
      </c>
      <c r="N1230" s="18" t="n">
        <v>0</v>
      </c>
      <c r="O1230" s="18" t="n">
        <v>0</v>
      </c>
      <c r="P1230" s="17" t="n">
        <v>45767</v>
      </c>
      <c r="Q1230" s="17" t="n">
        <v>45767</v>
      </c>
      <c r="R1230" s="17" t="n">
        <v>45767</v>
      </c>
      <c r="S1230" s="19">
        <f>H1230*I1230</f>
        <v/>
      </c>
      <c r="T1230" s="19">
        <f>H1230*J1230</f>
        <v/>
      </c>
      <c r="U1230">
        <f>IF(AND(K1230=0,G1230&lt;=Assumptions!$C$6),1,0)</f>
        <v/>
      </c>
      <c r="V1230">
        <f>IF(U1230=1,IF(M1230&gt;0,IF(P1230&lt;=G1230+Assumptions!$C$7,1,0),0),0)</f>
        <v/>
      </c>
      <c r="W1230">
        <f>IF(AND(U1230=1,M1230&gt;=H1230*(1-Assumptions!$C$8)),1,0)</f>
        <v/>
      </c>
      <c r="X1230">
        <f>IF(AND(U1230=1,N1230&gt;=H1230*(1-Assumptions!$C$8)),1,0)</f>
        <v/>
      </c>
      <c r="Y1230">
        <f>IF(ISNUMBER(Q1230),1,0)</f>
        <v/>
      </c>
      <c r="Z1230">
        <f>IF(AND(K1230=0,L1230=0,Y1230=0),1,0)</f>
        <v/>
      </c>
      <c r="AA1230">
        <f>IF(AND(Z1230=1,G1230&lt;Assumptions!$C$6),1,0)</f>
        <v/>
      </c>
      <c r="AB1230">
        <f>IF(U1230=0,"",IF(Y1230=1,MAX(0,Q1230-G1230),IF(L1230=1,MAX(0,R1230-G1230),MAX(0,Assumptions!$C$6-G1230))))</f>
        <v/>
      </c>
      <c r="AC1230">
        <f>IF(Y1230=1,Q1230-F1230,"")</f>
        <v/>
      </c>
      <c r="AD1230">
        <f>IF(Y1230=1,AC1230^2,"")</f>
        <v/>
      </c>
      <c r="AE1230" s="19">
        <f>IF(Z1230=1,(H1230-M1230)*I1230,0)</f>
        <v/>
      </c>
      <c r="AF1230">
        <f>IF(G1230&lt;EDATE(Assumptions!$C$6,-12)+1,"prior_12m","last_12m")</f>
        <v/>
      </c>
      <c r="AG1230" s="21">
        <f>DATE(YEAR(G1230),MONTH(G1230),1)</f>
        <v/>
      </c>
    </row>
    <row r="1231">
      <c r="A1231" t="inlineStr">
        <is>
          <t>SPO-00673-1</t>
        </is>
      </c>
      <c r="B1231" t="inlineStr">
        <is>
          <t>SPO-00673</t>
        </is>
      </c>
      <c r="C1231" t="inlineStr">
        <is>
          <t>SUP-12</t>
        </is>
      </c>
      <c r="D1231" t="inlineStr">
        <is>
          <t>IT</t>
        </is>
      </c>
      <c r="E1231" t="inlineStr">
        <is>
          <t>IT-03</t>
        </is>
      </c>
      <c r="F1231" s="17" t="n">
        <v>45749</v>
      </c>
      <c r="G1231" s="17" t="n">
        <v>45759</v>
      </c>
      <c r="H1231" s="18" t="n">
        <v>18</v>
      </c>
      <c r="I1231" s="19" t="n">
        <v>43.85</v>
      </c>
      <c r="J1231" s="19" t="n">
        <v>38</v>
      </c>
      <c r="K1231" s="20" t="n">
        <v>0</v>
      </c>
      <c r="L1231" s="20" t="n">
        <v>0</v>
      </c>
      <c r="M1231" s="18" t="n">
        <v>18</v>
      </c>
      <c r="N1231" s="18" t="n">
        <v>18</v>
      </c>
      <c r="O1231" s="18" t="n">
        <v>0</v>
      </c>
      <c r="P1231" s="17" t="n">
        <v>45755</v>
      </c>
      <c r="Q1231" s="17" t="n">
        <v>45755</v>
      </c>
      <c r="R1231" s="17" t="n">
        <v>45755</v>
      </c>
      <c r="S1231" s="19">
        <f>H1231*I1231</f>
        <v/>
      </c>
      <c r="T1231" s="19">
        <f>H1231*J1231</f>
        <v/>
      </c>
      <c r="U1231">
        <f>IF(AND(K1231=0,G1231&lt;=Assumptions!$C$6),1,0)</f>
        <v/>
      </c>
      <c r="V1231">
        <f>IF(U1231=1,IF(M1231&gt;0,IF(P1231&lt;=G1231+Assumptions!$C$7,1,0),0),0)</f>
        <v/>
      </c>
      <c r="W1231">
        <f>IF(AND(U1231=1,M1231&gt;=H1231*(1-Assumptions!$C$8)),1,0)</f>
        <v/>
      </c>
      <c r="X1231">
        <f>IF(AND(U1231=1,N1231&gt;=H1231*(1-Assumptions!$C$8)),1,0)</f>
        <v/>
      </c>
      <c r="Y1231">
        <f>IF(ISNUMBER(Q1231),1,0)</f>
        <v/>
      </c>
      <c r="Z1231">
        <f>IF(AND(K1231=0,L1231=0,Y1231=0),1,0)</f>
        <v/>
      </c>
      <c r="AA1231">
        <f>IF(AND(Z1231=1,G1231&lt;Assumptions!$C$6),1,0)</f>
        <v/>
      </c>
      <c r="AB1231">
        <f>IF(U1231=0,"",IF(Y1231=1,MAX(0,Q1231-G1231),IF(L1231=1,MAX(0,R1231-G1231),MAX(0,Assumptions!$C$6-G1231))))</f>
        <v/>
      </c>
      <c r="AC1231">
        <f>IF(Y1231=1,Q1231-F1231,"")</f>
        <v/>
      </c>
      <c r="AD1231">
        <f>IF(Y1231=1,AC1231^2,"")</f>
        <v/>
      </c>
      <c r="AE1231" s="19">
        <f>IF(Z1231=1,(H1231-M1231)*I1231,0)</f>
        <v/>
      </c>
      <c r="AF1231">
        <f>IF(G1231&lt;EDATE(Assumptions!$C$6,-12)+1,"prior_12m","last_12m")</f>
        <v/>
      </c>
      <c r="AG1231" s="21">
        <f>DATE(YEAR(G1231),MONTH(G1231),1)</f>
        <v/>
      </c>
    </row>
    <row r="1232">
      <c r="A1232" t="inlineStr">
        <is>
          <t>SPO-00674-1</t>
        </is>
      </c>
      <c r="B1232" t="inlineStr">
        <is>
          <t>SPO-00674</t>
        </is>
      </c>
      <c r="C1232" t="inlineStr">
        <is>
          <t>SUP-08</t>
        </is>
      </c>
      <c r="D1232" t="inlineStr">
        <is>
          <t>PPE</t>
        </is>
      </c>
      <c r="E1232" t="inlineStr">
        <is>
          <t>PPE-07</t>
        </is>
      </c>
      <c r="F1232" s="17" t="n">
        <v>45749</v>
      </c>
      <c r="G1232" s="17" t="n">
        <v>45760</v>
      </c>
      <c r="H1232" s="18" t="n">
        <v>58</v>
      </c>
      <c r="I1232" s="19" t="n">
        <v>31.29</v>
      </c>
      <c r="J1232" s="19" t="n">
        <v>31</v>
      </c>
      <c r="K1232" s="20" t="n">
        <v>0</v>
      </c>
      <c r="L1232" s="20" t="n">
        <v>0</v>
      </c>
      <c r="M1232" s="18" t="n">
        <v>58</v>
      </c>
      <c r="N1232" s="18" t="n">
        <v>58</v>
      </c>
      <c r="O1232" s="18" t="n">
        <v>0</v>
      </c>
      <c r="P1232" s="17" t="n">
        <v>45759</v>
      </c>
      <c r="Q1232" s="17" t="n">
        <v>45759</v>
      </c>
      <c r="R1232" s="17" t="n">
        <v>45759</v>
      </c>
      <c r="S1232" s="19">
        <f>H1232*I1232</f>
        <v/>
      </c>
      <c r="T1232" s="19">
        <f>H1232*J1232</f>
        <v/>
      </c>
      <c r="U1232">
        <f>IF(AND(K1232=0,G1232&lt;=Assumptions!$C$6),1,0)</f>
        <v/>
      </c>
      <c r="V1232">
        <f>IF(U1232=1,IF(M1232&gt;0,IF(P1232&lt;=G1232+Assumptions!$C$7,1,0),0),0)</f>
        <v/>
      </c>
      <c r="W1232">
        <f>IF(AND(U1232=1,M1232&gt;=H1232*(1-Assumptions!$C$8)),1,0)</f>
        <v/>
      </c>
      <c r="X1232">
        <f>IF(AND(U1232=1,N1232&gt;=H1232*(1-Assumptions!$C$8)),1,0)</f>
        <v/>
      </c>
      <c r="Y1232">
        <f>IF(ISNUMBER(Q1232),1,0)</f>
        <v/>
      </c>
      <c r="Z1232">
        <f>IF(AND(K1232=0,L1232=0,Y1232=0),1,0)</f>
        <v/>
      </c>
      <c r="AA1232">
        <f>IF(AND(Z1232=1,G1232&lt;Assumptions!$C$6),1,0)</f>
        <v/>
      </c>
      <c r="AB1232">
        <f>IF(U1232=0,"",IF(Y1232=1,MAX(0,Q1232-G1232),IF(L1232=1,MAX(0,R1232-G1232),MAX(0,Assumptions!$C$6-G1232))))</f>
        <v/>
      </c>
      <c r="AC1232">
        <f>IF(Y1232=1,Q1232-F1232,"")</f>
        <v/>
      </c>
      <c r="AD1232">
        <f>IF(Y1232=1,AC1232^2,"")</f>
        <v/>
      </c>
      <c r="AE1232" s="19">
        <f>IF(Z1232=1,(H1232-M1232)*I1232,0)</f>
        <v/>
      </c>
      <c r="AF1232">
        <f>IF(G1232&lt;EDATE(Assumptions!$C$6,-12)+1,"prior_12m","last_12m")</f>
        <v/>
      </c>
      <c r="AG1232" s="21">
        <f>DATE(YEAR(G1232),MONTH(G1232),1)</f>
        <v/>
      </c>
    </row>
    <row r="1233">
      <c r="A1233" t="inlineStr">
        <is>
          <t>SPO-00674-2</t>
        </is>
      </c>
      <c r="B1233" t="inlineStr">
        <is>
          <t>SPO-00674</t>
        </is>
      </c>
      <c r="C1233" t="inlineStr">
        <is>
          <t>SUP-08</t>
        </is>
      </c>
      <c r="D1233" t="inlineStr">
        <is>
          <t>PPE</t>
        </is>
      </c>
      <c r="E1233" t="inlineStr">
        <is>
          <t>PPE-01</t>
        </is>
      </c>
      <c r="F1233" s="17" t="n">
        <v>45749</v>
      </c>
      <c r="G1233" s="17" t="n">
        <v>45760</v>
      </c>
      <c r="H1233" s="18" t="n">
        <v>177</v>
      </c>
      <c r="I1233" s="19" t="n">
        <v>4.86</v>
      </c>
      <c r="J1233" s="19" t="n">
        <v>4.8</v>
      </c>
      <c r="K1233" s="20" t="n">
        <v>0</v>
      </c>
      <c r="L1233" s="20" t="n">
        <v>0</v>
      </c>
      <c r="M1233" s="18" t="n">
        <v>177</v>
      </c>
      <c r="N1233" s="18" t="n">
        <v>177</v>
      </c>
      <c r="O1233" s="18" t="n">
        <v>0</v>
      </c>
      <c r="P1233" s="17" t="n">
        <v>45758</v>
      </c>
      <c r="Q1233" s="17" t="n">
        <v>45758</v>
      </c>
      <c r="R1233" s="17" t="n">
        <v>45758</v>
      </c>
      <c r="S1233" s="19">
        <f>H1233*I1233</f>
        <v/>
      </c>
      <c r="T1233" s="19">
        <f>H1233*J1233</f>
        <v/>
      </c>
      <c r="U1233">
        <f>IF(AND(K1233=0,G1233&lt;=Assumptions!$C$6),1,0)</f>
        <v/>
      </c>
      <c r="V1233">
        <f>IF(U1233=1,IF(M1233&gt;0,IF(P1233&lt;=G1233+Assumptions!$C$7,1,0),0),0)</f>
        <v/>
      </c>
      <c r="W1233">
        <f>IF(AND(U1233=1,M1233&gt;=H1233*(1-Assumptions!$C$8)),1,0)</f>
        <v/>
      </c>
      <c r="X1233">
        <f>IF(AND(U1233=1,N1233&gt;=H1233*(1-Assumptions!$C$8)),1,0)</f>
        <v/>
      </c>
      <c r="Y1233">
        <f>IF(ISNUMBER(Q1233),1,0)</f>
        <v/>
      </c>
      <c r="Z1233">
        <f>IF(AND(K1233=0,L1233=0,Y1233=0),1,0)</f>
        <v/>
      </c>
      <c r="AA1233">
        <f>IF(AND(Z1233=1,G1233&lt;Assumptions!$C$6),1,0)</f>
        <v/>
      </c>
      <c r="AB1233">
        <f>IF(U1233=0,"",IF(Y1233=1,MAX(0,Q1233-G1233),IF(L1233=1,MAX(0,R1233-G1233),MAX(0,Assumptions!$C$6-G1233))))</f>
        <v/>
      </c>
      <c r="AC1233">
        <f>IF(Y1233=1,Q1233-F1233,"")</f>
        <v/>
      </c>
      <c r="AD1233">
        <f>IF(Y1233=1,AC1233^2,"")</f>
        <v/>
      </c>
      <c r="AE1233" s="19">
        <f>IF(Z1233=1,(H1233-M1233)*I1233,0)</f>
        <v/>
      </c>
      <c r="AF1233">
        <f>IF(G1233&lt;EDATE(Assumptions!$C$6,-12)+1,"prior_12m","last_12m")</f>
        <v/>
      </c>
      <c r="AG1233" s="21">
        <f>DATE(YEAR(G1233),MONTH(G1233),1)</f>
        <v/>
      </c>
    </row>
    <row r="1234">
      <c r="A1234" t="inlineStr">
        <is>
          <t>SPO-00675-1</t>
        </is>
      </c>
      <c r="B1234" t="inlineStr">
        <is>
          <t>SPO-00675</t>
        </is>
      </c>
      <c r="C1234" t="inlineStr">
        <is>
          <t>SUP-01</t>
        </is>
      </c>
      <c r="D1234" t="inlineStr">
        <is>
          <t>ELEC</t>
        </is>
      </c>
      <c r="E1234" t="inlineStr">
        <is>
          <t>ELEC-03</t>
        </is>
      </c>
      <c r="F1234" s="17" t="n">
        <v>45750</v>
      </c>
      <c r="G1234" s="17" t="n">
        <v>45768</v>
      </c>
      <c r="H1234" s="18" t="n">
        <v>31</v>
      </c>
      <c r="I1234" s="19" t="n">
        <v>93.7</v>
      </c>
      <c r="J1234" s="19" t="n">
        <v>96</v>
      </c>
      <c r="K1234" s="20" t="n">
        <v>0</v>
      </c>
      <c r="L1234" s="20" t="n">
        <v>1</v>
      </c>
      <c r="M1234" s="18" t="n">
        <v>13</v>
      </c>
      <c r="N1234" s="18" t="n">
        <v>13</v>
      </c>
      <c r="O1234" s="18" t="n">
        <v>0</v>
      </c>
      <c r="P1234" s="17" t="n">
        <v>45766</v>
      </c>
      <c r="Q1234" s="17" t="n"/>
      <c r="R1234" s="17" t="n">
        <v>45766</v>
      </c>
      <c r="S1234" s="19">
        <f>H1234*I1234</f>
        <v/>
      </c>
      <c r="T1234" s="19">
        <f>H1234*J1234</f>
        <v/>
      </c>
      <c r="U1234">
        <f>IF(AND(K1234=0,G1234&lt;=Assumptions!$C$6),1,0)</f>
        <v/>
      </c>
      <c r="V1234">
        <f>IF(U1234=1,IF(M1234&gt;0,IF(P1234&lt;=G1234+Assumptions!$C$7,1,0),0),0)</f>
        <v/>
      </c>
      <c r="W1234">
        <f>IF(AND(U1234=1,M1234&gt;=H1234*(1-Assumptions!$C$8)),1,0)</f>
        <v/>
      </c>
      <c r="X1234">
        <f>IF(AND(U1234=1,N1234&gt;=H1234*(1-Assumptions!$C$8)),1,0)</f>
        <v/>
      </c>
      <c r="Y1234">
        <f>IF(ISNUMBER(Q1234),1,0)</f>
        <v/>
      </c>
      <c r="Z1234">
        <f>IF(AND(K1234=0,L1234=0,Y1234=0),1,0)</f>
        <v/>
      </c>
      <c r="AA1234">
        <f>IF(AND(Z1234=1,G1234&lt;Assumptions!$C$6),1,0)</f>
        <v/>
      </c>
      <c r="AB1234">
        <f>IF(U1234=0,"",IF(Y1234=1,MAX(0,Q1234-G1234),IF(L1234=1,MAX(0,R1234-G1234),MAX(0,Assumptions!$C$6-G1234))))</f>
        <v/>
      </c>
      <c r="AC1234">
        <f>IF(Y1234=1,Q1234-F1234,"")</f>
        <v/>
      </c>
      <c r="AD1234">
        <f>IF(Y1234=1,AC1234^2,"")</f>
        <v/>
      </c>
      <c r="AE1234" s="19">
        <f>IF(Z1234=1,(H1234-M1234)*I1234,0)</f>
        <v/>
      </c>
      <c r="AF1234">
        <f>IF(G1234&lt;EDATE(Assumptions!$C$6,-12)+1,"prior_12m","last_12m")</f>
        <v/>
      </c>
      <c r="AG1234" s="21">
        <f>DATE(YEAR(G1234),MONTH(G1234),1)</f>
        <v/>
      </c>
    </row>
    <row r="1235">
      <c r="A1235" t="inlineStr">
        <is>
          <t>SPO-00676-1</t>
        </is>
      </c>
      <c r="B1235" t="inlineStr">
        <is>
          <t>SPO-00676</t>
        </is>
      </c>
      <c r="C1235" t="inlineStr">
        <is>
          <t>SUP-09</t>
        </is>
      </c>
      <c r="D1235" t="inlineStr">
        <is>
          <t>CHEM</t>
        </is>
      </c>
      <c r="E1235" t="inlineStr">
        <is>
          <t>CHEM-04</t>
        </is>
      </c>
      <c r="F1235" s="17" t="n">
        <v>45750</v>
      </c>
      <c r="G1235" s="17" t="n">
        <v>45764</v>
      </c>
      <c r="H1235" s="18" t="n">
        <v>1</v>
      </c>
      <c r="I1235" s="19" t="n">
        <v>861.67</v>
      </c>
      <c r="J1235" s="19" t="n">
        <v>820</v>
      </c>
      <c r="K1235" s="20" t="n">
        <v>0</v>
      </c>
      <c r="L1235" s="20" t="n">
        <v>0</v>
      </c>
      <c r="M1235" s="18" t="n">
        <v>1</v>
      </c>
      <c r="N1235" s="18" t="n">
        <v>1</v>
      </c>
      <c r="O1235" s="18" t="n">
        <v>0</v>
      </c>
      <c r="P1235" s="17" t="n">
        <v>45761</v>
      </c>
      <c r="Q1235" s="17" t="n">
        <v>45761</v>
      </c>
      <c r="R1235" s="17" t="n">
        <v>45761</v>
      </c>
      <c r="S1235" s="19">
        <f>H1235*I1235</f>
        <v/>
      </c>
      <c r="T1235" s="19">
        <f>H1235*J1235</f>
        <v/>
      </c>
      <c r="U1235">
        <f>IF(AND(K1235=0,G1235&lt;=Assumptions!$C$6),1,0)</f>
        <v/>
      </c>
      <c r="V1235">
        <f>IF(U1235=1,IF(M1235&gt;0,IF(P1235&lt;=G1235+Assumptions!$C$7,1,0),0),0)</f>
        <v/>
      </c>
      <c r="W1235">
        <f>IF(AND(U1235=1,M1235&gt;=H1235*(1-Assumptions!$C$8)),1,0)</f>
        <v/>
      </c>
      <c r="X1235">
        <f>IF(AND(U1235=1,N1235&gt;=H1235*(1-Assumptions!$C$8)),1,0)</f>
        <v/>
      </c>
      <c r="Y1235">
        <f>IF(ISNUMBER(Q1235),1,0)</f>
        <v/>
      </c>
      <c r="Z1235">
        <f>IF(AND(K1235=0,L1235=0,Y1235=0),1,0)</f>
        <v/>
      </c>
      <c r="AA1235">
        <f>IF(AND(Z1235=1,G1235&lt;Assumptions!$C$6),1,0)</f>
        <v/>
      </c>
      <c r="AB1235">
        <f>IF(U1235=0,"",IF(Y1235=1,MAX(0,Q1235-G1235),IF(L1235=1,MAX(0,R1235-G1235),MAX(0,Assumptions!$C$6-G1235))))</f>
        <v/>
      </c>
      <c r="AC1235">
        <f>IF(Y1235=1,Q1235-F1235,"")</f>
        <v/>
      </c>
      <c r="AD1235">
        <f>IF(Y1235=1,AC1235^2,"")</f>
        <v/>
      </c>
      <c r="AE1235" s="19">
        <f>IF(Z1235=1,(H1235-M1235)*I1235,0)</f>
        <v/>
      </c>
      <c r="AF1235">
        <f>IF(G1235&lt;EDATE(Assumptions!$C$6,-12)+1,"prior_12m","last_12m")</f>
        <v/>
      </c>
      <c r="AG1235" s="21">
        <f>DATE(YEAR(G1235),MONTH(G1235),1)</f>
        <v/>
      </c>
    </row>
    <row r="1236">
      <c r="A1236" t="inlineStr">
        <is>
          <t>SPO-00676-2</t>
        </is>
      </c>
      <c r="B1236" t="inlineStr">
        <is>
          <t>SPO-00676</t>
        </is>
      </c>
      <c r="C1236" t="inlineStr">
        <is>
          <t>SUP-09</t>
        </is>
      </c>
      <c r="D1236" t="inlineStr">
        <is>
          <t>CHEM</t>
        </is>
      </c>
      <c r="E1236" t="inlineStr">
        <is>
          <t>CHEM-02</t>
        </is>
      </c>
      <c r="F1236" s="17" t="n">
        <v>45750</v>
      </c>
      <c r="G1236" s="17" t="n">
        <v>45764</v>
      </c>
      <c r="H1236" s="18" t="n">
        <v>3</v>
      </c>
      <c r="I1236" s="19" t="n">
        <v>425.7</v>
      </c>
      <c r="J1236" s="19" t="n">
        <v>410</v>
      </c>
      <c r="K1236" s="20" t="n">
        <v>0</v>
      </c>
      <c r="L1236" s="20" t="n">
        <v>0</v>
      </c>
      <c r="M1236" s="18" t="n">
        <v>3</v>
      </c>
      <c r="N1236" s="18" t="n">
        <v>3</v>
      </c>
      <c r="O1236" s="18" t="n">
        <v>0</v>
      </c>
      <c r="P1236" s="17" t="n">
        <v>45762</v>
      </c>
      <c r="Q1236" s="17" t="n">
        <v>45762</v>
      </c>
      <c r="R1236" s="17" t="n">
        <v>45762</v>
      </c>
      <c r="S1236" s="19">
        <f>H1236*I1236</f>
        <v/>
      </c>
      <c r="T1236" s="19">
        <f>H1236*J1236</f>
        <v/>
      </c>
      <c r="U1236">
        <f>IF(AND(K1236=0,G1236&lt;=Assumptions!$C$6),1,0)</f>
        <v/>
      </c>
      <c r="V1236">
        <f>IF(U1236=1,IF(M1236&gt;0,IF(P1236&lt;=G1236+Assumptions!$C$7,1,0),0),0)</f>
        <v/>
      </c>
      <c r="W1236">
        <f>IF(AND(U1236=1,M1236&gt;=H1236*(1-Assumptions!$C$8)),1,0)</f>
        <v/>
      </c>
      <c r="X1236">
        <f>IF(AND(U1236=1,N1236&gt;=H1236*(1-Assumptions!$C$8)),1,0)</f>
        <v/>
      </c>
      <c r="Y1236">
        <f>IF(ISNUMBER(Q1236),1,0)</f>
        <v/>
      </c>
      <c r="Z1236">
        <f>IF(AND(K1236=0,L1236=0,Y1236=0),1,0)</f>
        <v/>
      </c>
      <c r="AA1236">
        <f>IF(AND(Z1236=1,G1236&lt;Assumptions!$C$6),1,0)</f>
        <v/>
      </c>
      <c r="AB1236">
        <f>IF(U1236=0,"",IF(Y1236=1,MAX(0,Q1236-G1236),IF(L1236=1,MAX(0,R1236-G1236),MAX(0,Assumptions!$C$6-G1236))))</f>
        <v/>
      </c>
      <c r="AC1236">
        <f>IF(Y1236=1,Q1236-F1236,"")</f>
        <v/>
      </c>
      <c r="AD1236">
        <f>IF(Y1236=1,AC1236^2,"")</f>
        <v/>
      </c>
      <c r="AE1236" s="19">
        <f>IF(Z1236=1,(H1236-M1236)*I1236,0)</f>
        <v/>
      </c>
      <c r="AF1236">
        <f>IF(G1236&lt;EDATE(Assumptions!$C$6,-12)+1,"prior_12m","last_12m")</f>
        <v/>
      </c>
      <c r="AG1236" s="21">
        <f>DATE(YEAR(G1236),MONTH(G1236),1)</f>
        <v/>
      </c>
    </row>
    <row r="1237">
      <c r="A1237" t="inlineStr">
        <is>
          <t>SPO-00677-1</t>
        </is>
      </c>
      <c r="B1237" t="inlineStr">
        <is>
          <t>SPO-00677</t>
        </is>
      </c>
      <c r="C1237" t="inlineStr">
        <is>
          <t>SUP-02</t>
        </is>
      </c>
      <c r="D1237" t="inlineStr">
        <is>
          <t>ELEC</t>
        </is>
      </c>
      <c r="E1237" t="inlineStr">
        <is>
          <t>ELEC-02</t>
        </is>
      </c>
      <c r="F1237" s="17" t="n">
        <v>45750</v>
      </c>
      <c r="G1237" s="17" t="n">
        <v>45766</v>
      </c>
      <c r="H1237" s="18" t="n">
        <v>295</v>
      </c>
      <c r="I1237" s="19" t="n">
        <v>4.4</v>
      </c>
      <c r="J1237" s="19" t="n">
        <v>4.2</v>
      </c>
      <c r="K1237" s="20" t="n">
        <v>0</v>
      </c>
      <c r="L1237" s="20" t="n">
        <v>0</v>
      </c>
      <c r="M1237" s="18" t="n">
        <v>295</v>
      </c>
      <c r="N1237" s="18" t="n">
        <v>295</v>
      </c>
      <c r="O1237" s="18" t="n">
        <v>0</v>
      </c>
      <c r="P1237" s="17" t="n">
        <v>45765</v>
      </c>
      <c r="Q1237" s="17" t="n">
        <v>45765</v>
      </c>
      <c r="R1237" s="17" t="n">
        <v>45765</v>
      </c>
      <c r="S1237" s="19">
        <f>H1237*I1237</f>
        <v/>
      </c>
      <c r="T1237" s="19">
        <f>H1237*J1237</f>
        <v/>
      </c>
      <c r="U1237">
        <f>IF(AND(K1237=0,G1237&lt;=Assumptions!$C$6),1,0)</f>
        <v/>
      </c>
      <c r="V1237">
        <f>IF(U1237=1,IF(M1237&gt;0,IF(P1237&lt;=G1237+Assumptions!$C$7,1,0),0),0)</f>
        <v/>
      </c>
      <c r="W1237">
        <f>IF(AND(U1237=1,M1237&gt;=H1237*(1-Assumptions!$C$8)),1,0)</f>
        <v/>
      </c>
      <c r="X1237">
        <f>IF(AND(U1237=1,N1237&gt;=H1237*(1-Assumptions!$C$8)),1,0)</f>
        <v/>
      </c>
      <c r="Y1237">
        <f>IF(ISNUMBER(Q1237),1,0)</f>
        <v/>
      </c>
      <c r="Z1237">
        <f>IF(AND(K1237=0,L1237=0,Y1237=0),1,0)</f>
        <v/>
      </c>
      <c r="AA1237">
        <f>IF(AND(Z1237=1,G1237&lt;Assumptions!$C$6),1,0)</f>
        <v/>
      </c>
      <c r="AB1237">
        <f>IF(U1237=0,"",IF(Y1237=1,MAX(0,Q1237-G1237),IF(L1237=1,MAX(0,R1237-G1237),MAX(0,Assumptions!$C$6-G1237))))</f>
        <v/>
      </c>
      <c r="AC1237">
        <f>IF(Y1237=1,Q1237-F1237,"")</f>
        <v/>
      </c>
      <c r="AD1237">
        <f>IF(Y1237=1,AC1237^2,"")</f>
        <v/>
      </c>
      <c r="AE1237" s="19">
        <f>IF(Z1237=1,(H1237-M1237)*I1237,0)</f>
        <v/>
      </c>
      <c r="AF1237">
        <f>IF(G1237&lt;EDATE(Assumptions!$C$6,-12)+1,"prior_12m","last_12m")</f>
        <v/>
      </c>
      <c r="AG1237" s="21">
        <f>DATE(YEAR(G1237),MONTH(G1237),1)</f>
        <v/>
      </c>
    </row>
    <row r="1238">
      <c r="A1238" t="inlineStr">
        <is>
          <t>SPO-00678-1</t>
        </is>
      </c>
      <c r="B1238" t="inlineStr">
        <is>
          <t>SPO-00678</t>
        </is>
      </c>
      <c r="C1238" t="inlineStr">
        <is>
          <t>SUP-05</t>
        </is>
      </c>
      <c r="D1238" t="inlineStr">
        <is>
          <t>FLEET</t>
        </is>
      </c>
      <c r="E1238" t="inlineStr">
        <is>
          <t>FLEET-02</t>
        </is>
      </c>
      <c r="F1238" s="17" t="n">
        <v>45750</v>
      </c>
      <c r="G1238" s="17" t="n">
        <v>45764</v>
      </c>
      <c r="H1238" s="18" t="n">
        <v>111</v>
      </c>
      <c r="I1238" s="19" t="n">
        <v>7.37</v>
      </c>
      <c r="J1238" s="19" t="n">
        <v>7.5</v>
      </c>
      <c r="K1238" s="20" t="n">
        <v>0</v>
      </c>
      <c r="L1238" s="20" t="n">
        <v>0</v>
      </c>
      <c r="M1238" s="18" t="n">
        <v>111</v>
      </c>
      <c r="N1238" s="18" t="n">
        <v>111</v>
      </c>
      <c r="O1238" s="18" t="n">
        <v>0</v>
      </c>
      <c r="P1238" s="17" t="n">
        <v>45760</v>
      </c>
      <c r="Q1238" s="17" t="n">
        <v>45760</v>
      </c>
      <c r="R1238" s="17" t="n">
        <v>45760</v>
      </c>
      <c r="S1238" s="19">
        <f>H1238*I1238</f>
        <v/>
      </c>
      <c r="T1238" s="19">
        <f>H1238*J1238</f>
        <v/>
      </c>
      <c r="U1238">
        <f>IF(AND(K1238=0,G1238&lt;=Assumptions!$C$6),1,0)</f>
        <v/>
      </c>
      <c r="V1238">
        <f>IF(U1238=1,IF(M1238&gt;0,IF(P1238&lt;=G1238+Assumptions!$C$7,1,0),0),0)</f>
        <v/>
      </c>
      <c r="W1238">
        <f>IF(AND(U1238=1,M1238&gt;=H1238*(1-Assumptions!$C$8)),1,0)</f>
        <v/>
      </c>
      <c r="X1238">
        <f>IF(AND(U1238=1,N1238&gt;=H1238*(1-Assumptions!$C$8)),1,0)</f>
        <v/>
      </c>
      <c r="Y1238">
        <f>IF(ISNUMBER(Q1238),1,0)</f>
        <v/>
      </c>
      <c r="Z1238">
        <f>IF(AND(K1238=0,L1238=0,Y1238=0),1,0)</f>
        <v/>
      </c>
      <c r="AA1238">
        <f>IF(AND(Z1238=1,G1238&lt;Assumptions!$C$6),1,0)</f>
        <v/>
      </c>
      <c r="AB1238">
        <f>IF(U1238=0,"",IF(Y1238=1,MAX(0,Q1238-G1238),IF(L1238=1,MAX(0,R1238-G1238),MAX(0,Assumptions!$C$6-G1238))))</f>
        <v/>
      </c>
      <c r="AC1238">
        <f>IF(Y1238=1,Q1238-F1238,"")</f>
        <v/>
      </c>
      <c r="AD1238">
        <f>IF(Y1238=1,AC1238^2,"")</f>
        <v/>
      </c>
      <c r="AE1238" s="19">
        <f>IF(Z1238=1,(H1238-M1238)*I1238,0)</f>
        <v/>
      </c>
      <c r="AF1238">
        <f>IF(G1238&lt;EDATE(Assumptions!$C$6,-12)+1,"prior_12m","last_12m")</f>
        <v/>
      </c>
      <c r="AG1238" s="21">
        <f>DATE(YEAR(G1238),MONTH(G1238),1)</f>
        <v/>
      </c>
    </row>
    <row r="1239">
      <c r="A1239" t="inlineStr">
        <is>
          <t>SPO-00678-2</t>
        </is>
      </c>
      <c r="B1239" t="inlineStr">
        <is>
          <t>SPO-00678</t>
        </is>
      </c>
      <c r="C1239" t="inlineStr">
        <is>
          <t>SUP-05</t>
        </is>
      </c>
      <c r="D1239" t="inlineStr">
        <is>
          <t>FLEET</t>
        </is>
      </c>
      <c r="E1239" t="inlineStr">
        <is>
          <t>FLEET-03</t>
        </is>
      </c>
      <c r="F1239" s="17" t="n">
        <v>45750</v>
      </c>
      <c r="G1239" s="17" t="n">
        <v>45764</v>
      </c>
      <c r="H1239" s="18" t="n">
        <v>43</v>
      </c>
      <c r="I1239" s="19" t="n">
        <v>21.71</v>
      </c>
      <c r="J1239" s="19" t="n">
        <v>21</v>
      </c>
      <c r="K1239" s="20" t="n">
        <v>0</v>
      </c>
      <c r="L1239" s="20" t="n">
        <v>0</v>
      </c>
      <c r="M1239" s="18" t="n">
        <v>43</v>
      </c>
      <c r="N1239" s="18" t="n">
        <v>43</v>
      </c>
      <c r="O1239" s="18" t="n">
        <v>0</v>
      </c>
      <c r="P1239" s="17" t="n">
        <v>45758</v>
      </c>
      <c r="Q1239" s="17" t="n">
        <v>45758</v>
      </c>
      <c r="R1239" s="17" t="n">
        <v>45758</v>
      </c>
      <c r="S1239" s="19">
        <f>H1239*I1239</f>
        <v/>
      </c>
      <c r="T1239" s="19">
        <f>H1239*J1239</f>
        <v/>
      </c>
      <c r="U1239">
        <f>IF(AND(K1239=0,G1239&lt;=Assumptions!$C$6),1,0)</f>
        <v/>
      </c>
      <c r="V1239">
        <f>IF(U1239=1,IF(M1239&gt;0,IF(P1239&lt;=G1239+Assumptions!$C$7,1,0),0),0)</f>
        <v/>
      </c>
      <c r="W1239">
        <f>IF(AND(U1239=1,M1239&gt;=H1239*(1-Assumptions!$C$8)),1,0)</f>
        <v/>
      </c>
      <c r="X1239">
        <f>IF(AND(U1239=1,N1239&gt;=H1239*(1-Assumptions!$C$8)),1,0)</f>
        <v/>
      </c>
      <c r="Y1239">
        <f>IF(ISNUMBER(Q1239),1,0)</f>
        <v/>
      </c>
      <c r="Z1239">
        <f>IF(AND(K1239=0,L1239=0,Y1239=0),1,0)</f>
        <v/>
      </c>
      <c r="AA1239">
        <f>IF(AND(Z1239=1,G1239&lt;Assumptions!$C$6),1,0)</f>
        <v/>
      </c>
      <c r="AB1239">
        <f>IF(U1239=0,"",IF(Y1239=1,MAX(0,Q1239-G1239),IF(L1239=1,MAX(0,R1239-G1239),MAX(0,Assumptions!$C$6-G1239))))</f>
        <v/>
      </c>
      <c r="AC1239">
        <f>IF(Y1239=1,Q1239-F1239,"")</f>
        <v/>
      </c>
      <c r="AD1239">
        <f>IF(Y1239=1,AC1239^2,"")</f>
        <v/>
      </c>
      <c r="AE1239" s="19">
        <f>IF(Z1239=1,(H1239-M1239)*I1239,0)</f>
        <v/>
      </c>
      <c r="AF1239">
        <f>IF(G1239&lt;EDATE(Assumptions!$C$6,-12)+1,"prior_12m","last_12m")</f>
        <v/>
      </c>
      <c r="AG1239" s="21">
        <f>DATE(YEAR(G1239),MONTH(G1239),1)</f>
        <v/>
      </c>
    </row>
    <row r="1240">
      <c r="A1240" t="inlineStr">
        <is>
          <t>SPO-00678-3</t>
        </is>
      </c>
      <c r="B1240" t="inlineStr">
        <is>
          <t>SPO-00678</t>
        </is>
      </c>
      <c r="C1240" t="inlineStr">
        <is>
          <t>SUP-05</t>
        </is>
      </c>
      <c r="D1240" t="inlineStr">
        <is>
          <t>FLEET</t>
        </is>
      </c>
      <c r="E1240" t="inlineStr">
        <is>
          <t>FLEET-08</t>
        </is>
      </c>
      <c r="F1240" s="17" t="n">
        <v>45750</v>
      </c>
      <c r="G1240" s="17" t="n">
        <v>45764</v>
      </c>
      <c r="H1240" s="18" t="n">
        <v>87</v>
      </c>
      <c r="I1240" s="19" t="n">
        <v>6.14</v>
      </c>
      <c r="J1240" s="19" t="n">
        <v>6.4</v>
      </c>
      <c r="K1240" s="20" t="n">
        <v>0</v>
      </c>
      <c r="L1240" s="20" t="n">
        <v>0</v>
      </c>
      <c r="M1240" s="18" t="n">
        <v>87</v>
      </c>
      <c r="N1240" s="18" t="n">
        <v>87</v>
      </c>
      <c r="O1240" s="18" t="n">
        <v>0</v>
      </c>
      <c r="P1240" s="17" t="n">
        <v>45763</v>
      </c>
      <c r="Q1240" s="17" t="n">
        <v>45763</v>
      </c>
      <c r="R1240" s="17" t="n">
        <v>45763</v>
      </c>
      <c r="S1240" s="19">
        <f>H1240*I1240</f>
        <v/>
      </c>
      <c r="T1240" s="19">
        <f>H1240*J1240</f>
        <v/>
      </c>
      <c r="U1240">
        <f>IF(AND(K1240=0,G1240&lt;=Assumptions!$C$6),1,0)</f>
        <v/>
      </c>
      <c r="V1240">
        <f>IF(U1240=1,IF(M1240&gt;0,IF(P1240&lt;=G1240+Assumptions!$C$7,1,0),0),0)</f>
        <v/>
      </c>
      <c r="W1240">
        <f>IF(AND(U1240=1,M1240&gt;=H1240*(1-Assumptions!$C$8)),1,0)</f>
        <v/>
      </c>
      <c r="X1240">
        <f>IF(AND(U1240=1,N1240&gt;=H1240*(1-Assumptions!$C$8)),1,0)</f>
        <v/>
      </c>
      <c r="Y1240">
        <f>IF(ISNUMBER(Q1240),1,0)</f>
        <v/>
      </c>
      <c r="Z1240">
        <f>IF(AND(K1240=0,L1240=0,Y1240=0),1,0)</f>
        <v/>
      </c>
      <c r="AA1240">
        <f>IF(AND(Z1240=1,G1240&lt;Assumptions!$C$6),1,0)</f>
        <v/>
      </c>
      <c r="AB1240">
        <f>IF(U1240=0,"",IF(Y1240=1,MAX(0,Q1240-G1240),IF(L1240=1,MAX(0,R1240-G1240),MAX(0,Assumptions!$C$6-G1240))))</f>
        <v/>
      </c>
      <c r="AC1240">
        <f>IF(Y1240=1,Q1240-F1240,"")</f>
        <v/>
      </c>
      <c r="AD1240">
        <f>IF(Y1240=1,AC1240^2,"")</f>
        <v/>
      </c>
      <c r="AE1240" s="19">
        <f>IF(Z1240=1,(H1240-M1240)*I1240,0)</f>
        <v/>
      </c>
      <c r="AF1240">
        <f>IF(G1240&lt;EDATE(Assumptions!$C$6,-12)+1,"prior_12m","last_12m")</f>
        <v/>
      </c>
      <c r="AG1240" s="21">
        <f>DATE(YEAR(G1240),MONTH(G1240),1)</f>
        <v/>
      </c>
    </row>
    <row r="1241">
      <c r="A1241" t="inlineStr">
        <is>
          <t>SPO-00678-4</t>
        </is>
      </c>
      <c r="B1241" t="inlineStr">
        <is>
          <t>SPO-00678</t>
        </is>
      </c>
      <c r="C1241" t="inlineStr">
        <is>
          <t>SUP-05</t>
        </is>
      </c>
      <c r="D1241" t="inlineStr">
        <is>
          <t>FLEET</t>
        </is>
      </c>
      <c r="E1241" t="inlineStr">
        <is>
          <t>FLEET-01</t>
        </is>
      </c>
      <c r="F1241" s="17" t="n">
        <v>45750</v>
      </c>
      <c r="G1241" s="17" t="n">
        <v>45764</v>
      </c>
      <c r="H1241" s="18" t="n">
        <v>15</v>
      </c>
      <c r="I1241" s="19" t="n">
        <v>64.68000000000001</v>
      </c>
      <c r="J1241" s="19" t="n">
        <v>64</v>
      </c>
      <c r="K1241" s="20" t="n">
        <v>0</v>
      </c>
      <c r="L1241" s="20" t="n">
        <v>0</v>
      </c>
      <c r="M1241" s="18" t="n">
        <v>15</v>
      </c>
      <c r="N1241" s="18" t="n">
        <v>15</v>
      </c>
      <c r="O1241" s="18" t="n">
        <v>0</v>
      </c>
      <c r="P1241" s="17" t="n">
        <v>45761</v>
      </c>
      <c r="Q1241" s="17" t="n">
        <v>45761</v>
      </c>
      <c r="R1241" s="17" t="n">
        <v>45761</v>
      </c>
      <c r="S1241" s="19">
        <f>H1241*I1241</f>
        <v/>
      </c>
      <c r="T1241" s="19">
        <f>H1241*J1241</f>
        <v/>
      </c>
      <c r="U1241">
        <f>IF(AND(K1241=0,G1241&lt;=Assumptions!$C$6),1,0)</f>
        <v/>
      </c>
      <c r="V1241">
        <f>IF(U1241=1,IF(M1241&gt;0,IF(P1241&lt;=G1241+Assumptions!$C$7,1,0),0),0)</f>
        <v/>
      </c>
      <c r="W1241">
        <f>IF(AND(U1241=1,M1241&gt;=H1241*(1-Assumptions!$C$8)),1,0)</f>
        <v/>
      </c>
      <c r="X1241">
        <f>IF(AND(U1241=1,N1241&gt;=H1241*(1-Assumptions!$C$8)),1,0)</f>
        <v/>
      </c>
      <c r="Y1241">
        <f>IF(ISNUMBER(Q1241),1,0)</f>
        <v/>
      </c>
      <c r="Z1241">
        <f>IF(AND(K1241=0,L1241=0,Y1241=0),1,0)</f>
        <v/>
      </c>
      <c r="AA1241">
        <f>IF(AND(Z1241=1,G1241&lt;Assumptions!$C$6),1,0)</f>
        <v/>
      </c>
      <c r="AB1241">
        <f>IF(U1241=0,"",IF(Y1241=1,MAX(0,Q1241-G1241),IF(L1241=1,MAX(0,R1241-G1241),MAX(0,Assumptions!$C$6-G1241))))</f>
        <v/>
      </c>
      <c r="AC1241">
        <f>IF(Y1241=1,Q1241-F1241,"")</f>
        <v/>
      </c>
      <c r="AD1241">
        <f>IF(Y1241=1,AC1241^2,"")</f>
        <v/>
      </c>
      <c r="AE1241" s="19">
        <f>IF(Z1241=1,(H1241-M1241)*I1241,0)</f>
        <v/>
      </c>
      <c r="AF1241">
        <f>IF(G1241&lt;EDATE(Assumptions!$C$6,-12)+1,"prior_12m","last_12m")</f>
        <v/>
      </c>
      <c r="AG1241" s="21">
        <f>DATE(YEAR(G1241),MONTH(G1241),1)</f>
        <v/>
      </c>
    </row>
    <row r="1242">
      <c r="A1242" t="inlineStr">
        <is>
          <t>SPO-00679-1</t>
        </is>
      </c>
      <c r="B1242" t="inlineStr">
        <is>
          <t>SPO-00679</t>
        </is>
      </c>
      <c r="C1242" t="inlineStr">
        <is>
          <t>SUP-01</t>
        </is>
      </c>
      <c r="D1242" t="inlineStr">
        <is>
          <t>ELEC</t>
        </is>
      </c>
      <c r="E1242" t="inlineStr">
        <is>
          <t>ELEC-06</t>
        </is>
      </c>
      <c r="F1242" s="17" t="n">
        <v>45750</v>
      </c>
      <c r="G1242" s="17" t="n">
        <v>45768</v>
      </c>
      <c r="H1242" s="18" t="n">
        <v>19</v>
      </c>
      <c r="I1242" s="19" t="n">
        <v>145.94</v>
      </c>
      <c r="J1242" s="19" t="n">
        <v>145</v>
      </c>
      <c r="K1242" s="20" t="n">
        <v>0</v>
      </c>
      <c r="L1242" s="20" t="n">
        <v>0</v>
      </c>
      <c r="M1242" s="18" t="n">
        <v>19</v>
      </c>
      <c r="N1242" s="18" t="n">
        <v>19</v>
      </c>
      <c r="O1242" s="18" t="n">
        <v>0</v>
      </c>
      <c r="P1242" s="17" t="n">
        <v>45766</v>
      </c>
      <c r="Q1242" s="17" t="n">
        <v>45766</v>
      </c>
      <c r="R1242" s="17" t="n">
        <v>45766</v>
      </c>
      <c r="S1242" s="19">
        <f>H1242*I1242</f>
        <v/>
      </c>
      <c r="T1242" s="19">
        <f>H1242*J1242</f>
        <v/>
      </c>
      <c r="U1242">
        <f>IF(AND(K1242=0,G1242&lt;=Assumptions!$C$6),1,0)</f>
        <v/>
      </c>
      <c r="V1242">
        <f>IF(U1242=1,IF(M1242&gt;0,IF(P1242&lt;=G1242+Assumptions!$C$7,1,0),0),0)</f>
        <v/>
      </c>
      <c r="W1242">
        <f>IF(AND(U1242=1,M1242&gt;=H1242*(1-Assumptions!$C$8)),1,0)</f>
        <v/>
      </c>
      <c r="X1242">
        <f>IF(AND(U1242=1,N1242&gt;=H1242*(1-Assumptions!$C$8)),1,0)</f>
        <v/>
      </c>
      <c r="Y1242">
        <f>IF(ISNUMBER(Q1242),1,0)</f>
        <v/>
      </c>
      <c r="Z1242">
        <f>IF(AND(K1242=0,L1242=0,Y1242=0),1,0)</f>
        <v/>
      </c>
      <c r="AA1242">
        <f>IF(AND(Z1242=1,G1242&lt;Assumptions!$C$6),1,0)</f>
        <v/>
      </c>
      <c r="AB1242">
        <f>IF(U1242=0,"",IF(Y1242=1,MAX(0,Q1242-G1242),IF(L1242=1,MAX(0,R1242-G1242),MAX(0,Assumptions!$C$6-G1242))))</f>
        <v/>
      </c>
      <c r="AC1242">
        <f>IF(Y1242=1,Q1242-F1242,"")</f>
        <v/>
      </c>
      <c r="AD1242">
        <f>IF(Y1242=1,AC1242^2,"")</f>
        <v/>
      </c>
      <c r="AE1242" s="19">
        <f>IF(Z1242=1,(H1242-M1242)*I1242,0)</f>
        <v/>
      </c>
      <c r="AF1242">
        <f>IF(G1242&lt;EDATE(Assumptions!$C$6,-12)+1,"prior_12m","last_12m")</f>
        <v/>
      </c>
      <c r="AG1242" s="21">
        <f>DATE(YEAR(G1242),MONTH(G1242),1)</f>
        <v/>
      </c>
    </row>
    <row r="1243">
      <c r="A1243" t="inlineStr">
        <is>
          <t>SPO-00680-1</t>
        </is>
      </c>
      <c r="B1243" t="inlineStr">
        <is>
          <t>SPO-00680</t>
        </is>
      </c>
      <c r="C1243" t="inlineStr">
        <is>
          <t>SUP-09</t>
        </is>
      </c>
      <c r="D1243" t="inlineStr">
        <is>
          <t>CHEM</t>
        </is>
      </c>
      <c r="E1243" t="inlineStr">
        <is>
          <t>CHEM-04</t>
        </is>
      </c>
      <c r="F1243" s="17" t="n">
        <v>45751</v>
      </c>
      <c r="G1243" s="17" t="n">
        <v>45765</v>
      </c>
      <c r="H1243" s="18" t="n">
        <v>3</v>
      </c>
      <c r="I1243" s="19" t="n">
        <v>845.46</v>
      </c>
      <c r="J1243" s="19" t="n">
        <v>820</v>
      </c>
      <c r="K1243" s="20" t="n">
        <v>0</v>
      </c>
      <c r="L1243" s="20" t="n">
        <v>0</v>
      </c>
      <c r="M1243" s="18" t="n">
        <v>3</v>
      </c>
      <c r="N1243" s="18" t="n">
        <v>3</v>
      </c>
      <c r="O1243" s="18" t="n">
        <v>0</v>
      </c>
      <c r="P1243" s="17" t="n">
        <v>45763</v>
      </c>
      <c r="Q1243" s="17" t="n">
        <v>45763</v>
      </c>
      <c r="R1243" s="17" t="n">
        <v>45763</v>
      </c>
      <c r="S1243" s="19">
        <f>H1243*I1243</f>
        <v/>
      </c>
      <c r="T1243" s="19">
        <f>H1243*J1243</f>
        <v/>
      </c>
      <c r="U1243">
        <f>IF(AND(K1243=0,G1243&lt;=Assumptions!$C$6),1,0)</f>
        <v/>
      </c>
      <c r="V1243">
        <f>IF(U1243=1,IF(M1243&gt;0,IF(P1243&lt;=G1243+Assumptions!$C$7,1,0),0),0)</f>
        <v/>
      </c>
      <c r="W1243">
        <f>IF(AND(U1243=1,M1243&gt;=H1243*(1-Assumptions!$C$8)),1,0)</f>
        <v/>
      </c>
      <c r="X1243">
        <f>IF(AND(U1243=1,N1243&gt;=H1243*(1-Assumptions!$C$8)),1,0)</f>
        <v/>
      </c>
      <c r="Y1243">
        <f>IF(ISNUMBER(Q1243),1,0)</f>
        <v/>
      </c>
      <c r="Z1243">
        <f>IF(AND(K1243=0,L1243=0,Y1243=0),1,0)</f>
        <v/>
      </c>
      <c r="AA1243">
        <f>IF(AND(Z1243=1,G1243&lt;Assumptions!$C$6),1,0)</f>
        <v/>
      </c>
      <c r="AB1243">
        <f>IF(U1243=0,"",IF(Y1243=1,MAX(0,Q1243-G1243),IF(L1243=1,MAX(0,R1243-G1243),MAX(0,Assumptions!$C$6-G1243))))</f>
        <v/>
      </c>
      <c r="AC1243">
        <f>IF(Y1243=1,Q1243-F1243,"")</f>
        <v/>
      </c>
      <c r="AD1243">
        <f>IF(Y1243=1,AC1243^2,"")</f>
        <v/>
      </c>
      <c r="AE1243" s="19">
        <f>IF(Z1243=1,(H1243-M1243)*I1243,0)</f>
        <v/>
      </c>
      <c r="AF1243">
        <f>IF(G1243&lt;EDATE(Assumptions!$C$6,-12)+1,"prior_12m","last_12m")</f>
        <v/>
      </c>
      <c r="AG1243" s="21">
        <f>DATE(YEAR(G1243),MONTH(G1243),1)</f>
        <v/>
      </c>
    </row>
    <row r="1244">
      <c r="A1244" t="inlineStr">
        <is>
          <t>SPO-00680-2</t>
        </is>
      </c>
      <c r="B1244" t="inlineStr">
        <is>
          <t>SPO-00680</t>
        </is>
      </c>
      <c r="C1244" t="inlineStr">
        <is>
          <t>SUP-09</t>
        </is>
      </c>
      <c r="D1244" t="inlineStr">
        <is>
          <t>CHEM</t>
        </is>
      </c>
      <c r="E1244" t="inlineStr">
        <is>
          <t>CHEM-06</t>
        </is>
      </c>
      <c r="F1244" s="17" t="n">
        <v>45751</v>
      </c>
      <c r="G1244" s="17" t="n">
        <v>45765</v>
      </c>
      <c r="H1244" s="18" t="n">
        <v>1</v>
      </c>
      <c r="I1244" s="19" t="n">
        <v>391.9</v>
      </c>
      <c r="J1244" s="19" t="n">
        <v>380</v>
      </c>
      <c r="K1244" s="20" t="n">
        <v>0</v>
      </c>
      <c r="L1244" s="20" t="n">
        <v>0</v>
      </c>
      <c r="M1244" s="18" t="n">
        <v>1</v>
      </c>
      <c r="N1244" s="18" t="n">
        <v>1</v>
      </c>
      <c r="O1244" s="18" t="n">
        <v>0</v>
      </c>
      <c r="P1244" s="17" t="n">
        <v>45764</v>
      </c>
      <c r="Q1244" s="17" t="n">
        <v>45764</v>
      </c>
      <c r="R1244" s="17" t="n">
        <v>45764</v>
      </c>
      <c r="S1244" s="19">
        <f>H1244*I1244</f>
        <v/>
      </c>
      <c r="T1244" s="19">
        <f>H1244*J1244</f>
        <v/>
      </c>
      <c r="U1244">
        <f>IF(AND(K1244=0,G1244&lt;=Assumptions!$C$6),1,0)</f>
        <v/>
      </c>
      <c r="V1244">
        <f>IF(U1244=1,IF(M1244&gt;0,IF(P1244&lt;=G1244+Assumptions!$C$7,1,0),0),0)</f>
        <v/>
      </c>
      <c r="W1244">
        <f>IF(AND(U1244=1,M1244&gt;=H1244*(1-Assumptions!$C$8)),1,0)</f>
        <v/>
      </c>
      <c r="X1244">
        <f>IF(AND(U1244=1,N1244&gt;=H1244*(1-Assumptions!$C$8)),1,0)</f>
        <v/>
      </c>
      <c r="Y1244">
        <f>IF(ISNUMBER(Q1244),1,0)</f>
        <v/>
      </c>
      <c r="Z1244">
        <f>IF(AND(K1244=0,L1244=0,Y1244=0),1,0)</f>
        <v/>
      </c>
      <c r="AA1244">
        <f>IF(AND(Z1244=1,G1244&lt;Assumptions!$C$6),1,0)</f>
        <v/>
      </c>
      <c r="AB1244">
        <f>IF(U1244=0,"",IF(Y1244=1,MAX(0,Q1244-G1244),IF(L1244=1,MAX(0,R1244-G1244),MAX(0,Assumptions!$C$6-G1244))))</f>
        <v/>
      </c>
      <c r="AC1244">
        <f>IF(Y1244=1,Q1244-F1244,"")</f>
        <v/>
      </c>
      <c r="AD1244">
        <f>IF(Y1244=1,AC1244^2,"")</f>
        <v/>
      </c>
      <c r="AE1244" s="19">
        <f>IF(Z1244=1,(H1244-M1244)*I1244,0)</f>
        <v/>
      </c>
      <c r="AF1244">
        <f>IF(G1244&lt;EDATE(Assumptions!$C$6,-12)+1,"prior_12m","last_12m")</f>
        <v/>
      </c>
      <c r="AG1244" s="21">
        <f>DATE(YEAR(G1244),MONTH(G1244),1)</f>
        <v/>
      </c>
    </row>
    <row r="1245">
      <c r="A1245" t="inlineStr">
        <is>
          <t>SPO-00680-3</t>
        </is>
      </c>
      <c r="B1245" t="inlineStr">
        <is>
          <t>SPO-00680</t>
        </is>
      </c>
      <c r="C1245" t="inlineStr">
        <is>
          <t>SUP-09</t>
        </is>
      </c>
      <c r="D1245" t="inlineStr">
        <is>
          <t>CHEM</t>
        </is>
      </c>
      <c r="E1245" t="inlineStr">
        <is>
          <t>CHEM-01</t>
        </is>
      </c>
      <c r="F1245" s="17" t="n">
        <v>45751</v>
      </c>
      <c r="G1245" s="17" t="n">
        <v>45765</v>
      </c>
      <c r="H1245" s="18" t="n">
        <v>1</v>
      </c>
      <c r="I1245" s="19" t="n">
        <v>628.14</v>
      </c>
      <c r="J1245" s="19" t="n">
        <v>640</v>
      </c>
      <c r="K1245" s="20" t="n">
        <v>0</v>
      </c>
      <c r="L1245" s="20" t="n">
        <v>0</v>
      </c>
      <c r="M1245" s="18" t="n">
        <v>1</v>
      </c>
      <c r="N1245" s="18" t="n">
        <v>1</v>
      </c>
      <c r="O1245" s="18" t="n">
        <v>0</v>
      </c>
      <c r="P1245" s="17" t="n">
        <v>45762</v>
      </c>
      <c r="Q1245" s="17" t="n">
        <v>45762</v>
      </c>
      <c r="R1245" s="17" t="n">
        <v>45762</v>
      </c>
      <c r="S1245" s="19">
        <f>H1245*I1245</f>
        <v/>
      </c>
      <c r="T1245" s="19">
        <f>H1245*J1245</f>
        <v/>
      </c>
      <c r="U1245">
        <f>IF(AND(K1245=0,G1245&lt;=Assumptions!$C$6),1,0)</f>
        <v/>
      </c>
      <c r="V1245">
        <f>IF(U1245=1,IF(M1245&gt;0,IF(P1245&lt;=G1245+Assumptions!$C$7,1,0),0),0)</f>
        <v/>
      </c>
      <c r="W1245">
        <f>IF(AND(U1245=1,M1245&gt;=H1245*(1-Assumptions!$C$8)),1,0)</f>
        <v/>
      </c>
      <c r="X1245">
        <f>IF(AND(U1245=1,N1245&gt;=H1245*(1-Assumptions!$C$8)),1,0)</f>
        <v/>
      </c>
      <c r="Y1245">
        <f>IF(ISNUMBER(Q1245),1,0)</f>
        <v/>
      </c>
      <c r="Z1245">
        <f>IF(AND(K1245=0,L1245=0,Y1245=0),1,0)</f>
        <v/>
      </c>
      <c r="AA1245">
        <f>IF(AND(Z1245=1,G1245&lt;Assumptions!$C$6),1,0)</f>
        <v/>
      </c>
      <c r="AB1245">
        <f>IF(U1245=0,"",IF(Y1245=1,MAX(0,Q1245-G1245),IF(L1245=1,MAX(0,R1245-G1245),MAX(0,Assumptions!$C$6-G1245))))</f>
        <v/>
      </c>
      <c r="AC1245">
        <f>IF(Y1245=1,Q1245-F1245,"")</f>
        <v/>
      </c>
      <c r="AD1245">
        <f>IF(Y1245=1,AC1245^2,"")</f>
        <v/>
      </c>
      <c r="AE1245" s="19">
        <f>IF(Z1245=1,(H1245-M1245)*I1245,0)</f>
        <v/>
      </c>
      <c r="AF1245">
        <f>IF(G1245&lt;EDATE(Assumptions!$C$6,-12)+1,"prior_12m","last_12m")</f>
        <v/>
      </c>
      <c r="AG1245" s="21">
        <f>DATE(YEAR(G1245),MONTH(G1245),1)</f>
        <v/>
      </c>
    </row>
    <row r="1246">
      <c r="A1246" t="inlineStr">
        <is>
          <t>SPO-00681-1</t>
        </is>
      </c>
      <c r="B1246" t="inlineStr">
        <is>
          <t>SPO-00681</t>
        </is>
      </c>
      <c r="C1246" t="inlineStr">
        <is>
          <t>SUP-01</t>
        </is>
      </c>
      <c r="D1246" t="inlineStr">
        <is>
          <t>ELEC</t>
        </is>
      </c>
      <c r="E1246" t="inlineStr">
        <is>
          <t>ELEC-01</t>
        </is>
      </c>
      <c r="F1246" s="17" t="n">
        <v>45752</v>
      </c>
      <c r="G1246" s="17" t="n">
        <v>45770</v>
      </c>
      <c r="H1246" s="18" t="n">
        <v>40</v>
      </c>
      <c r="I1246" s="19" t="n">
        <v>38.16</v>
      </c>
      <c r="J1246" s="19" t="n">
        <v>38</v>
      </c>
      <c r="K1246" s="20" t="n">
        <v>0</v>
      </c>
      <c r="L1246" s="20" t="n">
        <v>0</v>
      </c>
      <c r="M1246" s="18" t="n">
        <v>40</v>
      </c>
      <c r="N1246" s="18" t="n">
        <v>40</v>
      </c>
      <c r="O1246" s="18" t="n">
        <v>0</v>
      </c>
      <c r="P1246" s="17" t="n">
        <v>45765</v>
      </c>
      <c r="Q1246" s="17" t="n">
        <v>45765</v>
      </c>
      <c r="R1246" s="17" t="n">
        <v>45765</v>
      </c>
      <c r="S1246" s="19">
        <f>H1246*I1246</f>
        <v/>
      </c>
      <c r="T1246" s="19">
        <f>H1246*J1246</f>
        <v/>
      </c>
      <c r="U1246">
        <f>IF(AND(K1246=0,G1246&lt;=Assumptions!$C$6),1,0)</f>
        <v/>
      </c>
      <c r="V1246">
        <f>IF(U1246=1,IF(M1246&gt;0,IF(P1246&lt;=G1246+Assumptions!$C$7,1,0),0),0)</f>
        <v/>
      </c>
      <c r="W1246">
        <f>IF(AND(U1246=1,M1246&gt;=H1246*(1-Assumptions!$C$8)),1,0)</f>
        <v/>
      </c>
      <c r="X1246">
        <f>IF(AND(U1246=1,N1246&gt;=H1246*(1-Assumptions!$C$8)),1,0)</f>
        <v/>
      </c>
      <c r="Y1246">
        <f>IF(ISNUMBER(Q1246),1,0)</f>
        <v/>
      </c>
      <c r="Z1246">
        <f>IF(AND(K1246=0,L1246=0,Y1246=0),1,0)</f>
        <v/>
      </c>
      <c r="AA1246">
        <f>IF(AND(Z1246=1,G1246&lt;Assumptions!$C$6),1,0)</f>
        <v/>
      </c>
      <c r="AB1246">
        <f>IF(U1246=0,"",IF(Y1246=1,MAX(0,Q1246-G1246),IF(L1246=1,MAX(0,R1246-G1246),MAX(0,Assumptions!$C$6-G1246))))</f>
        <v/>
      </c>
      <c r="AC1246">
        <f>IF(Y1246=1,Q1246-F1246,"")</f>
        <v/>
      </c>
      <c r="AD1246">
        <f>IF(Y1246=1,AC1246^2,"")</f>
        <v/>
      </c>
      <c r="AE1246" s="19">
        <f>IF(Z1246=1,(H1246-M1246)*I1246,0)</f>
        <v/>
      </c>
      <c r="AF1246">
        <f>IF(G1246&lt;EDATE(Assumptions!$C$6,-12)+1,"prior_12m","last_12m")</f>
        <v/>
      </c>
      <c r="AG1246" s="21">
        <f>DATE(YEAR(G1246),MONTH(G1246),1)</f>
        <v/>
      </c>
    </row>
    <row r="1247">
      <c r="A1247" t="inlineStr">
        <is>
          <t>SPO-00681-2</t>
        </is>
      </c>
      <c r="B1247" t="inlineStr">
        <is>
          <t>SPO-00681</t>
        </is>
      </c>
      <c r="C1247" t="inlineStr">
        <is>
          <t>SUP-01</t>
        </is>
      </c>
      <c r="D1247" t="inlineStr">
        <is>
          <t>ELEC</t>
        </is>
      </c>
      <c r="E1247" t="inlineStr">
        <is>
          <t>ELEC-07</t>
        </is>
      </c>
      <c r="F1247" s="17" t="n">
        <v>45752</v>
      </c>
      <c r="G1247" s="17" t="n">
        <v>45770</v>
      </c>
      <c r="H1247" s="18" t="n">
        <v>184</v>
      </c>
      <c r="I1247" s="19" t="n">
        <v>9.91</v>
      </c>
      <c r="J1247" s="19" t="n">
        <v>9.800000000000001</v>
      </c>
      <c r="K1247" s="20" t="n">
        <v>0</v>
      </c>
      <c r="L1247" s="20" t="n">
        <v>0</v>
      </c>
      <c r="M1247" s="18" t="n">
        <v>184</v>
      </c>
      <c r="N1247" s="18" t="n">
        <v>184</v>
      </c>
      <c r="O1247" s="18" t="n">
        <v>55</v>
      </c>
      <c r="P1247" s="17" t="n">
        <v>45764</v>
      </c>
      <c r="Q1247" s="17" t="n">
        <v>45764</v>
      </c>
      <c r="R1247" s="17" t="n">
        <v>45764</v>
      </c>
      <c r="S1247" s="19">
        <f>H1247*I1247</f>
        <v/>
      </c>
      <c r="T1247" s="19">
        <f>H1247*J1247</f>
        <v/>
      </c>
      <c r="U1247">
        <f>IF(AND(K1247=0,G1247&lt;=Assumptions!$C$6),1,0)</f>
        <v/>
      </c>
      <c r="V1247">
        <f>IF(U1247=1,IF(M1247&gt;0,IF(P1247&lt;=G1247+Assumptions!$C$7,1,0),0),0)</f>
        <v/>
      </c>
      <c r="W1247">
        <f>IF(AND(U1247=1,M1247&gt;=H1247*(1-Assumptions!$C$8)),1,0)</f>
        <v/>
      </c>
      <c r="X1247">
        <f>IF(AND(U1247=1,N1247&gt;=H1247*(1-Assumptions!$C$8)),1,0)</f>
        <v/>
      </c>
      <c r="Y1247">
        <f>IF(ISNUMBER(Q1247),1,0)</f>
        <v/>
      </c>
      <c r="Z1247">
        <f>IF(AND(K1247=0,L1247=0,Y1247=0),1,0)</f>
        <v/>
      </c>
      <c r="AA1247">
        <f>IF(AND(Z1247=1,G1247&lt;Assumptions!$C$6),1,0)</f>
        <v/>
      </c>
      <c r="AB1247">
        <f>IF(U1247=0,"",IF(Y1247=1,MAX(0,Q1247-G1247),IF(L1247=1,MAX(0,R1247-G1247),MAX(0,Assumptions!$C$6-G1247))))</f>
        <v/>
      </c>
      <c r="AC1247">
        <f>IF(Y1247=1,Q1247-F1247,"")</f>
        <v/>
      </c>
      <c r="AD1247">
        <f>IF(Y1247=1,AC1247^2,"")</f>
        <v/>
      </c>
      <c r="AE1247" s="19">
        <f>IF(Z1247=1,(H1247-M1247)*I1247,0)</f>
        <v/>
      </c>
      <c r="AF1247">
        <f>IF(G1247&lt;EDATE(Assumptions!$C$6,-12)+1,"prior_12m","last_12m")</f>
        <v/>
      </c>
      <c r="AG1247" s="21">
        <f>DATE(YEAR(G1247),MONTH(G1247),1)</f>
        <v/>
      </c>
    </row>
    <row r="1248">
      <c r="A1248" t="inlineStr">
        <is>
          <t>SPO-00682-1</t>
        </is>
      </c>
      <c r="B1248" t="inlineStr">
        <is>
          <t>SPO-00682</t>
        </is>
      </c>
      <c r="C1248" t="inlineStr">
        <is>
          <t>SUP-05</t>
        </is>
      </c>
      <c r="D1248" t="inlineStr">
        <is>
          <t>FLEET</t>
        </is>
      </c>
      <c r="E1248" t="inlineStr">
        <is>
          <t>FLEET-06</t>
        </is>
      </c>
      <c r="F1248" s="17" t="n">
        <v>45752</v>
      </c>
      <c r="G1248" s="17" t="n">
        <v>45766</v>
      </c>
      <c r="H1248" s="18" t="n">
        <v>113</v>
      </c>
      <c r="I1248" s="19" t="n">
        <v>34.32</v>
      </c>
      <c r="J1248" s="19" t="n">
        <v>33</v>
      </c>
      <c r="K1248" s="20" t="n">
        <v>0</v>
      </c>
      <c r="L1248" s="20" t="n">
        <v>0</v>
      </c>
      <c r="M1248" s="18" t="n">
        <v>113</v>
      </c>
      <c r="N1248" s="18" t="n">
        <v>113</v>
      </c>
      <c r="O1248" s="18" t="n">
        <v>0</v>
      </c>
      <c r="P1248" s="17" t="n">
        <v>45762</v>
      </c>
      <c r="Q1248" s="17" t="n">
        <v>45762</v>
      </c>
      <c r="R1248" s="17" t="n">
        <v>45762</v>
      </c>
      <c r="S1248" s="19">
        <f>H1248*I1248</f>
        <v/>
      </c>
      <c r="T1248" s="19">
        <f>H1248*J1248</f>
        <v/>
      </c>
      <c r="U1248">
        <f>IF(AND(K1248=0,G1248&lt;=Assumptions!$C$6),1,0)</f>
        <v/>
      </c>
      <c r="V1248">
        <f>IF(U1248=1,IF(M1248&gt;0,IF(P1248&lt;=G1248+Assumptions!$C$7,1,0),0),0)</f>
        <v/>
      </c>
      <c r="W1248">
        <f>IF(AND(U1248=1,M1248&gt;=H1248*(1-Assumptions!$C$8)),1,0)</f>
        <v/>
      </c>
      <c r="X1248">
        <f>IF(AND(U1248=1,N1248&gt;=H1248*(1-Assumptions!$C$8)),1,0)</f>
        <v/>
      </c>
      <c r="Y1248">
        <f>IF(ISNUMBER(Q1248),1,0)</f>
        <v/>
      </c>
      <c r="Z1248">
        <f>IF(AND(K1248=0,L1248=0,Y1248=0),1,0)</f>
        <v/>
      </c>
      <c r="AA1248">
        <f>IF(AND(Z1248=1,G1248&lt;Assumptions!$C$6),1,0)</f>
        <v/>
      </c>
      <c r="AB1248">
        <f>IF(U1248=0,"",IF(Y1248=1,MAX(0,Q1248-G1248),IF(L1248=1,MAX(0,R1248-G1248),MAX(0,Assumptions!$C$6-G1248))))</f>
        <v/>
      </c>
      <c r="AC1248">
        <f>IF(Y1248=1,Q1248-F1248,"")</f>
        <v/>
      </c>
      <c r="AD1248">
        <f>IF(Y1248=1,AC1248^2,"")</f>
        <v/>
      </c>
      <c r="AE1248" s="19">
        <f>IF(Z1248=1,(H1248-M1248)*I1248,0)</f>
        <v/>
      </c>
      <c r="AF1248">
        <f>IF(G1248&lt;EDATE(Assumptions!$C$6,-12)+1,"prior_12m","last_12m")</f>
        <v/>
      </c>
      <c r="AG1248" s="21">
        <f>DATE(YEAR(G1248),MONTH(G1248),1)</f>
        <v/>
      </c>
    </row>
    <row r="1249">
      <c r="A1249" t="inlineStr">
        <is>
          <t>SPO-00682-2</t>
        </is>
      </c>
      <c r="B1249" t="inlineStr">
        <is>
          <t>SPO-00682</t>
        </is>
      </c>
      <c r="C1249" t="inlineStr">
        <is>
          <t>SUP-05</t>
        </is>
      </c>
      <c r="D1249" t="inlineStr">
        <is>
          <t>FLEET</t>
        </is>
      </c>
      <c r="E1249" t="inlineStr">
        <is>
          <t>FLEET-04</t>
        </is>
      </c>
      <c r="F1249" s="17" t="n">
        <v>45752</v>
      </c>
      <c r="G1249" s="17" t="n">
        <v>45766</v>
      </c>
      <c r="H1249" s="18" t="n">
        <v>90</v>
      </c>
      <c r="I1249" s="19" t="n">
        <v>9.42</v>
      </c>
      <c r="J1249" s="19" t="n">
        <v>9</v>
      </c>
      <c r="K1249" s="20" t="n">
        <v>0</v>
      </c>
      <c r="L1249" s="20" t="n">
        <v>0</v>
      </c>
      <c r="M1249" s="18" t="n">
        <v>90</v>
      </c>
      <c r="N1249" s="18" t="n">
        <v>90</v>
      </c>
      <c r="O1249" s="18" t="n">
        <v>0</v>
      </c>
      <c r="P1249" s="17" t="n">
        <v>45763</v>
      </c>
      <c r="Q1249" s="17" t="n">
        <v>45763</v>
      </c>
      <c r="R1249" s="17" t="n">
        <v>45763</v>
      </c>
      <c r="S1249" s="19">
        <f>H1249*I1249</f>
        <v/>
      </c>
      <c r="T1249" s="19">
        <f>H1249*J1249</f>
        <v/>
      </c>
      <c r="U1249">
        <f>IF(AND(K1249=0,G1249&lt;=Assumptions!$C$6),1,0)</f>
        <v/>
      </c>
      <c r="V1249">
        <f>IF(U1249=1,IF(M1249&gt;0,IF(P1249&lt;=G1249+Assumptions!$C$7,1,0),0),0)</f>
        <v/>
      </c>
      <c r="W1249">
        <f>IF(AND(U1249=1,M1249&gt;=H1249*(1-Assumptions!$C$8)),1,0)</f>
        <v/>
      </c>
      <c r="X1249">
        <f>IF(AND(U1249=1,N1249&gt;=H1249*(1-Assumptions!$C$8)),1,0)</f>
        <v/>
      </c>
      <c r="Y1249">
        <f>IF(ISNUMBER(Q1249),1,0)</f>
        <v/>
      </c>
      <c r="Z1249">
        <f>IF(AND(K1249=0,L1249=0,Y1249=0),1,0)</f>
        <v/>
      </c>
      <c r="AA1249">
        <f>IF(AND(Z1249=1,G1249&lt;Assumptions!$C$6),1,0)</f>
        <v/>
      </c>
      <c r="AB1249">
        <f>IF(U1249=0,"",IF(Y1249=1,MAX(0,Q1249-G1249),IF(L1249=1,MAX(0,R1249-G1249),MAX(0,Assumptions!$C$6-G1249))))</f>
        <v/>
      </c>
      <c r="AC1249">
        <f>IF(Y1249=1,Q1249-F1249,"")</f>
        <v/>
      </c>
      <c r="AD1249">
        <f>IF(Y1249=1,AC1249^2,"")</f>
        <v/>
      </c>
      <c r="AE1249" s="19">
        <f>IF(Z1249=1,(H1249-M1249)*I1249,0)</f>
        <v/>
      </c>
      <c r="AF1249">
        <f>IF(G1249&lt;EDATE(Assumptions!$C$6,-12)+1,"prior_12m","last_12m")</f>
        <v/>
      </c>
      <c r="AG1249" s="21">
        <f>DATE(YEAR(G1249),MONTH(G1249),1)</f>
        <v/>
      </c>
    </row>
    <row r="1250">
      <c r="A1250" t="inlineStr">
        <is>
          <t>SPO-00682-3</t>
        </is>
      </c>
      <c r="B1250" t="inlineStr">
        <is>
          <t>SPO-00682</t>
        </is>
      </c>
      <c r="C1250" t="inlineStr">
        <is>
          <t>SUP-05</t>
        </is>
      </c>
      <c r="D1250" t="inlineStr">
        <is>
          <t>FLEET</t>
        </is>
      </c>
      <c r="E1250" t="inlineStr">
        <is>
          <t>FLEET-02</t>
        </is>
      </c>
      <c r="F1250" s="17" t="n">
        <v>45752</v>
      </c>
      <c r="G1250" s="17" t="n">
        <v>45766</v>
      </c>
      <c r="H1250" s="18" t="n">
        <v>99</v>
      </c>
      <c r="I1250" s="19" t="n">
        <v>7.86</v>
      </c>
      <c r="J1250" s="19" t="n">
        <v>7.5</v>
      </c>
      <c r="K1250" s="20" t="n">
        <v>0</v>
      </c>
      <c r="L1250" s="20" t="n">
        <v>0</v>
      </c>
      <c r="M1250" s="18" t="n">
        <v>99</v>
      </c>
      <c r="N1250" s="18" t="n">
        <v>0</v>
      </c>
      <c r="O1250" s="18" t="n">
        <v>0</v>
      </c>
      <c r="P1250" s="17" t="n">
        <v>45767</v>
      </c>
      <c r="Q1250" s="17" t="n">
        <v>45767</v>
      </c>
      <c r="R1250" s="17" t="n">
        <v>45767</v>
      </c>
      <c r="S1250" s="19">
        <f>H1250*I1250</f>
        <v/>
      </c>
      <c r="T1250" s="19">
        <f>H1250*J1250</f>
        <v/>
      </c>
      <c r="U1250">
        <f>IF(AND(K1250=0,G1250&lt;=Assumptions!$C$6),1,0)</f>
        <v/>
      </c>
      <c r="V1250">
        <f>IF(U1250=1,IF(M1250&gt;0,IF(P1250&lt;=G1250+Assumptions!$C$7,1,0),0),0)</f>
        <v/>
      </c>
      <c r="W1250">
        <f>IF(AND(U1250=1,M1250&gt;=H1250*(1-Assumptions!$C$8)),1,0)</f>
        <v/>
      </c>
      <c r="X1250">
        <f>IF(AND(U1250=1,N1250&gt;=H1250*(1-Assumptions!$C$8)),1,0)</f>
        <v/>
      </c>
      <c r="Y1250">
        <f>IF(ISNUMBER(Q1250),1,0)</f>
        <v/>
      </c>
      <c r="Z1250">
        <f>IF(AND(K1250=0,L1250=0,Y1250=0),1,0)</f>
        <v/>
      </c>
      <c r="AA1250">
        <f>IF(AND(Z1250=1,G1250&lt;Assumptions!$C$6),1,0)</f>
        <v/>
      </c>
      <c r="AB1250">
        <f>IF(U1250=0,"",IF(Y1250=1,MAX(0,Q1250-G1250),IF(L1250=1,MAX(0,R1250-G1250),MAX(0,Assumptions!$C$6-G1250))))</f>
        <v/>
      </c>
      <c r="AC1250">
        <f>IF(Y1250=1,Q1250-F1250,"")</f>
        <v/>
      </c>
      <c r="AD1250">
        <f>IF(Y1250=1,AC1250^2,"")</f>
        <v/>
      </c>
      <c r="AE1250" s="19">
        <f>IF(Z1250=1,(H1250-M1250)*I1250,0)</f>
        <v/>
      </c>
      <c r="AF1250">
        <f>IF(G1250&lt;EDATE(Assumptions!$C$6,-12)+1,"prior_12m","last_12m")</f>
        <v/>
      </c>
      <c r="AG1250" s="21">
        <f>DATE(YEAR(G1250),MONTH(G1250),1)</f>
        <v/>
      </c>
    </row>
    <row r="1251">
      <c r="A1251" t="inlineStr">
        <is>
          <t>SPO-00683-1</t>
        </is>
      </c>
      <c r="B1251" t="inlineStr">
        <is>
          <t>SPO-00683</t>
        </is>
      </c>
      <c r="C1251" t="inlineStr">
        <is>
          <t>SUP-06</t>
        </is>
      </c>
      <c r="D1251" t="inlineStr">
        <is>
          <t>MRO</t>
        </is>
      </c>
      <c r="E1251" t="inlineStr">
        <is>
          <t>MRO-02</t>
        </is>
      </c>
      <c r="F1251" s="17" t="n">
        <v>45752</v>
      </c>
      <c r="G1251" s="17" t="n">
        <v>45760</v>
      </c>
      <c r="H1251" s="18" t="n">
        <v>36</v>
      </c>
      <c r="I1251" s="19" t="n">
        <v>42.56</v>
      </c>
      <c r="J1251" s="19" t="n">
        <v>41</v>
      </c>
      <c r="K1251" s="20" t="n">
        <v>0</v>
      </c>
      <c r="L1251" s="20" t="n">
        <v>0</v>
      </c>
      <c r="M1251" s="18" t="n">
        <v>36</v>
      </c>
      <c r="N1251" s="18" t="n">
        <v>36</v>
      </c>
      <c r="O1251" s="18" t="n">
        <v>0</v>
      </c>
      <c r="P1251" s="17" t="n">
        <v>45757</v>
      </c>
      <c r="Q1251" s="17" t="n">
        <v>45757</v>
      </c>
      <c r="R1251" s="17" t="n">
        <v>45757</v>
      </c>
      <c r="S1251" s="19">
        <f>H1251*I1251</f>
        <v/>
      </c>
      <c r="T1251" s="19">
        <f>H1251*J1251</f>
        <v/>
      </c>
      <c r="U1251">
        <f>IF(AND(K1251=0,G1251&lt;=Assumptions!$C$6),1,0)</f>
        <v/>
      </c>
      <c r="V1251">
        <f>IF(U1251=1,IF(M1251&gt;0,IF(P1251&lt;=G1251+Assumptions!$C$7,1,0),0),0)</f>
        <v/>
      </c>
      <c r="W1251">
        <f>IF(AND(U1251=1,M1251&gt;=H1251*(1-Assumptions!$C$8)),1,0)</f>
        <v/>
      </c>
      <c r="X1251">
        <f>IF(AND(U1251=1,N1251&gt;=H1251*(1-Assumptions!$C$8)),1,0)</f>
        <v/>
      </c>
      <c r="Y1251">
        <f>IF(ISNUMBER(Q1251),1,0)</f>
        <v/>
      </c>
      <c r="Z1251">
        <f>IF(AND(K1251=0,L1251=0,Y1251=0),1,0)</f>
        <v/>
      </c>
      <c r="AA1251">
        <f>IF(AND(Z1251=1,G1251&lt;Assumptions!$C$6),1,0)</f>
        <v/>
      </c>
      <c r="AB1251">
        <f>IF(U1251=0,"",IF(Y1251=1,MAX(0,Q1251-G1251),IF(L1251=1,MAX(0,R1251-G1251),MAX(0,Assumptions!$C$6-G1251))))</f>
        <v/>
      </c>
      <c r="AC1251">
        <f>IF(Y1251=1,Q1251-F1251,"")</f>
        <v/>
      </c>
      <c r="AD1251">
        <f>IF(Y1251=1,AC1251^2,"")</f>
        <v/>
      </c>
      <c r="AE1251" s="19">
        <f>IF(Z1251=1,(H1251-M1251)*I1251,0)</f>
        <v/>
      </c>
      <c r="AF1251">
        <f>IF(G1251&lt;EDATE(Assumptions!$C$6,-12)+1,"prior_12m","last_12m")</f>
        <v/>
      </c>
      <c r="AG1251" s="21">
        <f>DATE(YEAR(G1251),MONTH(G1251),1)</f>
        <v/>
      </c>
    </row>
    <row r="1252">
      <c r="A1252" t="inlineStr">
        <is>
          <t>SPO-00683-2</t>
        </is>
      </c>
      <c r="B1252" t="inlineStr">
        <is>
          <t>SPO-00683</t>
        </is>
      </c>
      <c r="C1252" t="inlineStr">
        <is>
          <t>SUP-06</t>
        </is>
      </c>
      <c r="D1252" t="inlineStr">
        <is>
          <t>MRO</t>
        </is>
      </c>
      <c r="E1252" t="inlineStr">
        <is>
          <t>MRO-03</t>
        </is>
      </c>
      <c r="F1252" s="17" t="n">
        <v>45752</v>
      </c>
      <c r="G1252" s="17" t="n">
        <v>45760</v>
      </c>
      <c r="H1252" s="18" t="n">
        <v>490</v>
      </c>
      <c r="I1252" s="19" t="n">
        <v>9.01</v>
      </c>
      <c r="J1252" s="19" t="n">
        <v>8.9</v>
      </c>
      <c r="K1252" s="20" t="n">
        <v>0</v>
      </c>
      <c r="L1252" s="20" t="n">
        <v>0</v>
      </c>
      <c r="M1252" s="18" t="n">
        <v>490</v>
      </c>
      <c r="N1252" s="18" t="n">
        <v>490</v>
      </c>
      <c r="O1252" s="18" t="n">
        <v>0</v>
      </c>
      <c r="P1252" s="17" t="n">
        <v>45759</v>
      </c>
      <c r="Q1252" s="17" t="n">
        <v>45759</v>
      </c>
      <c r="R1252" s="17" t="n">
        <v>45759</v>
      </c>
      <c r="S1252" s="19">
        <f>H1252*I1252</f>
        <v/>
      </c>
      <c r="T1252" s="19">
        <f>H1252*J1252</f>
        <v/>
      </c>
      <c r="U1252">
        <f>IF(AND(K1252=0,G1252&lt;=Assumptions!$C$6),1,0)</f>
        <v/>
      </c>
      <c r="V1252">
        <f>IF(U1252=1,IF(M1252&gt;0,IF(P1252&lt;=G1252+Assumptions!$C$7,1,0),0),0)</f>
        <v/>
      </c>
      <c r="W1252">
        <f>IF(AND(U1252=1,M1252&gt;=H1252*(1-Assumptions!$C$8)),1,0)</f>
        <v/>
      </c>
      <c r="X1252">
        <f>IF(AND(U1252=1,N1252&gt;=H1252*(1-Assumptions!$C$8)),1,0)</f>
        <v/>
      </c>
      <c r="Y1252">
        <f>IF(ISNUMBER(Q1252),1,0)</f>
        <v/>
      </c>
      <c r="Z1252">
        <f>IF(AND(K1252=0,L1252=0,Y1252=0),1,0)</f>
        <v/>
      </c>
      <c r="AA1252">
        <f>IF(AND(Z1252=1,G1252&lt;Assumptions!$C$6),1,0)</f>
        <v/>
      </c>
      <c r="AB1252">
        <f>IF(U1252=0,"",IF(Y1252=1,MAX(0,Q1252-G1252),IF(L1252=1,MAX(0,R1252-G1252),MAX(0,Assumptions!$C$6-G1252))))</f>
        <v/>
      </c>
      <c r="AC1252">
        <f>IF(Y1252=1,Q1252-F1252,"")</f>
        <v/>
      </c>
      <c r="AD1252">
        <f>IF(Y1252=1,AC1252^2,"")</f>
        <v/>
      </c>
      <c r="AE1252" s="19">
        <f>IF(Z1252=1,(H1252-M1252)*I1252,0)</f>
        <v/>
      </c>
      <c r="AF1252">
        <f>IF(G1252&lt;EDATE(Assumptions!$C$6,-12)+1,"prior_12m","last_12m")</f>
        <v/>
      </c>
      <c r="AG1252" s="21">
        <f>DATE(YEAR(G1252),MONTH(G1252),1)</f>
        <v/>
      </c>
    </row>
    <row r="1253">
      <c r="A1253" t="inlineStr">
        <is>
          <t>SPO-00684-1</t>
        </is>
      </c>
      <c r="B1253" t="inlineStr">
        <is>
          <t>SPO-00684</t>
        </is>
      </c>
      <c r="C1253" t="inlineStr">
        <is>
          <t>SUP-02</t>
        </is>
      </c>
      <c r="D1253" t="inlineStr">
        <is>
          <t>ELEC</t>
        </is>
      </c>
      <c r="E1253" t="inlineStr">
        <is>
          <t>ELEC-07</t>
        </is>
      </c>
      <c r="F1253" s="17" t="n">
        <v>45754</v>
      </c>
      <c r="G1253" s="17" t="n">
        <v>45770</v>
      </c>
      <c r="H1253" s="18" t="n">
        <v>209</v>
      </c>
      <c r="I1253" s="19" t="n">
        <v>9.880000000000001</v>
      </c>
      <c r="J1253" s="19" t="n">
        <v>9.800000000000001</v>
      </c>
      <c r="K1253" s="20" t="n">
        <v>0</v>
      </c>
      <c r="L1253" s="20" t="n">
        <v>0</v>
      </c>
      <c r="M1253" s="18" t="n">
        <v>209</v>
      </c>
      <c r="N1253" s="18" t="n">
        <v>0</v>
      </c>
      <c r="O1253" s="18" t="n">
        <v>0</v>
      </c>
      <c r="P1253" s="17" t="n">
        <v>45771</v>
      </c>
      <c r="Q1253" s="17" t="n">
        <v>45771</v>
      </c>
      <c r="R1253" s="17" t="n">
        <v>45771</v>
      </c>
      <c r="S1253" s="19">
        <f>H1253*I1253</f>
        <v/>
      </c>
      <c r="T1253" s="19">
        <f>H1253*J1253</f>
        <v/>
      </c>
      <c r="U1253">
        <f>IF(AND(K1253=0,G1253&lt;=Assumptions!$C$6),1,0)</f>
        <v/>
      </c>
      <c r="V1253">
        <f>IF(U1253=1,IF(M1253&gt;0,IF(P1253&lt;=G1253+Assumptions!$C$7,1,0),0),0)</f>
        <v/>
      </c>
      <c r="W1253">
        <f>IF(AND(U1253=1,M1253&gt;=H1253*(1-Assumptions!$C$8)),1,0)</f>
        <v/>
      </c>
      <c r="X1253">
        <f>IF(AND(U1253=1,N1253&gt;=H1253*(1-Assumptions!$C$8)),1,0)</f>
        <v/>
      </c>
      <c r="Y1253">
        <f>IF(ISNUMBER(Q1253),1,0)</f>
        <v/>
      </c>
      <c r="Z1253">
        <f>IF(AND(K1253=0,L1253=0,Y1253=0),1,0)</f>
        <v/>
      </c>
      <c r="AA1253">
        <f>IF(AND(Z1253=1,G1253&lt;Assumptions!$C$6),1,0)</f>
        <v/>
      </c>
      <c r="AB1253">
        <f>IF(U1253=0,"",IF(Y1253=1,MAX(0,Q1253-G1253),IF(L1253=1,MAX(0,R1253-G1253),MAX(0,Assumptions!$C$6-G1253))))</f>
        <v/>
      </c>
      <c r="AC1253">
        <f>IF(Y1253=1,Q1253-F1253,"")</f>
        <v/>
      </c>
      <c r="AD1253">
        <f>IF(Y1253=1,AC1253^2,"")</f>
        <v/>
      </c>
      <c r="AE1253" s="19">
        <f>IF(Z1253=1,(H1253-M1253)*I1253,0)</f>
        <v/>
      </c>
      <c r="AF1253">
        <f>IF(G1253&lt;EDATE(Assumptions!$C$6,-12)+1,"prior_12m","last_12m")</f>
        <v/>
      </c>
      <c r="AG1253" s="21">
        <f>DATE(YEAR(G1253),MONTH(G1253),1)</f>
        <v/>
      </c>
    </row>
    <row r="1254">
      <c r="A1254" t="inlineStr">
        <is>
          <t>SPO-00685-1</t>
        </is>
      </c>
      <c r="B1254" t="inlineStr">
        <is>
          <t>SPO-00685</t>
        </is>
      </c>
      <c r="C1254" t="inlineStr">
        <is>
          <t>SUP-10</t>
        </is>
      </c>
      <c r="D1254" t="inlineStr">
        <is>
          <t>PPE</t>
        </is>
      </c>
      <c r="E1254" t="inlineStr">
        <is>
          <t>PPE-06</t>
        </is>
      </c>
      <c r="F1254" s="17" t="n">
        <v>45754</v>
      </c>
      <c r="G1254" s="17" t="n">
        <v>45767</v>
      </c>
      <c r="H1254" s="18" t="n">
        <v>6</v>
      </c>
      <c r="I1254" s="19" t="n">
        <v>115.47</v>
      </c>
      <c r="J1254" s="19" t="n">
        <v>115</v>
      </c>
      <c r="K1254" s="20" t="n">
        <v>0</v>
      </c>
      <c r="L1254" s="20" t="n">
        <v>0</v>
      </c>
      <c r="M1254" s="18" t="n">
        <v>6</v>
      </c>
      <c r="N1254" s="18" t="n">
        <v>6</v>
      </c>
      <c r="O1254" s="18" t="n">
        <v>0</v>
      </c>
      <c r="P1254" s="17" t="n">
        <v>45763</v>
      </c>
      <c r="Q1254" s="17" t="n">
        <v>45763</v>
      </c>
      <c r="R1254" s="17" t="n">
        <v>45763</v>
      </c>
      <c r="S1254" s="19">
        <f>H1254*I1254</f>
        <v/>
      </c>
      <c r="T1254" s="19">
        <f>H1254*J1254</f>
        <v/>
      </c>
      <c r="U1254">
        <f>IF(AND(K1254=0,G1254&lt;=Assumptions!$C$6),1,0)</f>
        <v/>
      </c>
      <c r="V1254">
        <f>IF(U1254=1,IF(M1254&gt;0,IF(P1254&lt;=G1254+Assumptions!$C$7,1,0),0),0)</f>
        <v/>
      </c>
      <c r="W1254">
        <f>IF(AND(U1254=1,M1254&gt;=H1254*(1-Assumptions!$C$8)),1,0)</f>
        <v/>
      </c>
      <c r="X1254">
        <f>IF(AND(U1254=1,N1254&gt;=H1254*(1-Assumptions!$C$8)),1,0)</f>
        <v/>
      </c>
      <c r="Y1254">
        <f>IF(ISNUMBER(Q1254),1,0)</f>
        <v/>
      </c>
      <c r="Z1254">
        <f>IF(AND(K1254=0,L1254=0,Y1254=0),1,0)</f>
        <v/>
      </c>
      <c r="AA1254">
        <f>IF(AND(Z1254=1,G1254&lt;Assumptions!$C$6),1,0)</f>
        <v/>
      </c>
      <c r="AB1254">
        <f>IF(U1254=0,"",IF(Y1254=1,MAX(0,Q1254-G1254),IF(L1254=1,MAX(0,R1254-G1254),MAX(0,Assumptions!$C$6-G1254))))</f>
        <v/>
      </c>
      <c r="AC1254">
        <f>IF(Y1254=1,Q1254-F1254,"")</f>
        <v/>
      </c>
      <c r="AD1254">
        <f>IF(Y1254=1,AC1254^2,"")</f>
        <v/>
      </c>
      <c r="AE1254" s="19">
        <f>IF(Z1254=1,(H1254-M1254)*I1254,0)</f>
        <v/>
      </c>
      <c r="AF1254">
        <f>IF(G1254&lt;EDATE(Assumptions!$C$6,-12)+1,"prior_12m","last_12m")</f>
        <v/>
      </c>
      <c r="AG1254" s="21">
        <f>DATE(YEAR(G1254),MONTH(G1254),1)</f>
        <v/>
      </c>
    </row>
    <row r="1255">
      <c r="A1255" t="inlineStr">
        <is>
          <t>SPO-00686-1</t>
        </is>
      </c>
      <c r="B1255" t="inlineStr">
        <is>
          <t>SPO-00686</t>
        </is>
      </c>
      <c r="C1255" t="inlineStr">
        <is>
          <t>SUP-07</t>
        </is>
      </c>
      <c r="D1255" t="inlineStr">
        <is>
          <t>MRO</t>
        </is>
      </c>
      <c r="E1255" t="inlineStr">
        <is>
          <t>MRO-07</t>
        </is>
      </c>
      <c r="F1255" s="17" t="n">
        <v>45754</v>
      </c>
      <c r="G1255" s="17" t="n">
        <v>45764</v>
      </c>
      <c r="H1255" s="18" t="n">
        <v>112</v>
      </c>
      <c r="I1255" s="19" t="n">
        <v>14.02</v>
      </c>
      <c r="J1255" s="19" t="n">
        <v>14</v>
      </c>
      <c r="K1255" s="20" t="n">
        <v>0</v>
      </c>
      <c r="L1255" s="20" t="n">
        <v>0</v>
      </c>
      <c r="M1255" s="18" t="n">
        <v>112</v>
      </c>
      <c r="N1255" s="18" t="n">
        <v>112</v>
      </c>
      <c r="O1255" s="18" t="n">
        <v>0</v>
      </c>
      <c r="P1255" s="17" t="n">
        <v>45761</v>
      </c>
      <c r="Q1255" s="17" t="n">
        <v>45761</v>
      </c>
      <c r="R1255" s="17" t="n">
        <v>45761</v>
      </c>
      <c r="S1255" s="19">
        <f>H1255*I1255</f>
        <v/>
      </c>
      <c r="T1255" s="19">
        <f>H1255*J1255</f>
        <v/>
      </c>
      <c r="U1255">
        <f>IF(AND(K1255=0,G1255&lt;=Assumptions!$C$6),1,0)</f>
        <v/>
      </c>
      <c r="V1255">
        <f>IF(U1255=1,IF(M1255&gt;0,IF(P1255&lt;=G1255+Assumptions!$C$7,1,0),0),0)</f>
        <v/>
      </c>
      <c r="W1255">
        <f>IF(AND(U1255=1,M1255&gt;=H1255*(1-Assumptions!$C$8)),1,0)</f>
        <v/>
      </c>
      <c r="X1255">
        <f>IF(AND(U1255=1,N1255&gt;=H1255*(1-Assumptions!$C$8)),1,0)</f>
        <v/>
      </c>
      <c r="Y1255">
        <f>IF(ISNUMBER(Q1255),1,0)</f>
        <v/>
      </c>
      <c r="Z1255">
        <f>IF(AND(K1255=0,L1255=0,Y1255=0),1,0)</f>
        <v/>
      </c>
      <c r="AA1255">
        <f>IF(AND(Z1255=1,G1255&lt;Assumptions!$C$6),1,0)</f>
        <v/>
      </c>
      <c r="AB1255">
        <f>IF(U1255=0,"",IF(Y1255=1,MAX(0,Q1255-G1255),IF(L1255=1,MAX(0,R1255-G1255),MAX(0,Assumptions!$C$6-G1255))))</f>
        <v/>
      </c>
      <c r="AC1255">
        <f>IF(Y1255=1,Q1255-F1255,"")</f>
        <v/>
      </c>
      <c r="AD1255">
        <f>IF(Y1255=1,AC1255^2,"")</f>
        <v/>
      </c>
      <c r="AE1255" s="19">
        <f>IF(Z1255=1,(H1255-M1255)*I1255,0)</f>
        <v/>
      </c>
      <c r="AF1255">
        <f>IF(G1255&lt;EDATE(Assumptions!$C$6,-12)+1,"prior_12m","last_12m")</f>
        <v/>
      </c>
      <c r="AG1255" s="21">
        <f>DATE(YEAR(G1255),MONTH(G1255),1)</f>
        <v/>
      </c>
    </row>
    <row r="1256">
      <c r="A1256" t="inlineStr">
        <is>
          <t>SPO-00686-2</t>
        </is>
      </c>
      <c r="B1256" t="inlineStr">
        <is>
          <t>SPO-00686</t>
        </is>
      </c>
      <c r="C1256" t="inlineStr">
        <is>
          <t>SUP-07</t>
        </is>
      </c>
      <c r="D1256" t="inlineStr">
        <is>
          <t>MRO</t>
        </is>
      </c>
      <c r="E1256" t="inlineStr">
        <is>
          <t>MRO-04</t>
        </is>
      </c>
      <c r="F1256" s="17" t="n">
        <v>45754</v>
      </c>
      <c r="G1256" s="17" t="n">
        <v>45764</v>
      </c>
      <c r="H1256" s="18" t="n">
        <v>18</v>
      </c>
      <c r="I1256" s="19" t="n">
        <v>54.08</v>
      </c>
      <c r="J1256" s="19" t="n">
        <v>58</v>
      </c>
      <c r="K1256" s="20" t="n">
        <v>0</v>
      </c>
      <c r="L1256" s="20" t="n">
        <v>1</v>
      </c>
      <c r="M1256" s="18" t="n">
        <v>13</v>
      </c>
      <c r="N1256" s="18" t="n">
        <v>13</v>
      </c>
      <c r="O1256" s="18" t="n">
        <v>0</v>
      </c>
      <c r="P1256" s="17" t="n">
        <v>45761</v>
      </c>
      <c r="Q1256" s="17" t="n"/>
      <c r="R1256" s="17" t="n">
        <v>45761</v>
      </c>
      <c r="S1256" s="19">
        <f>H1256*I1256</f>
        <v/>
      </c>
      <c r="T1256" s="19">
        <f>H1256*J1256</f>
        <v/>
      </c>
      <c r="U1256">
        <f>IF(AND(K1256=0,G1256&lt;=Assumptions!$C$6),1,0)</f>
        <v/>
      </c>
      <c r="V1256">
        <f>IF(U1256=1,IF(M1256&gt;0,IF(P1256&lt;=G1256+Assumptions!$C$7,1,0),0),0)</f>
        <v/>
      </c>
      <c r="W1256">
        <f>IF(AND(U1256=1,M1256&gt;=H1256*(1-Assumptions!$C$8)),1,0)</f>
        <v/>
      </c>
      <c r="X1256">
        <f>IF(AND(U1256=1,N1256&gt;=H1256*(1-Assumptions!$C$8)),1,0)</f>
        <v/>
      </c>
      <c r="Y1256">
        <f>IF(ISNUMBER(Q1256),1,0)</f>
        <v/>
      </c>
      <c r="Z1256">
        <f>IF(AND(K1256=0,L1256=0,Y1256=0),1,0)</f>
        <v/>
      </c>
      <c r="AA1256">
        <f>IF(AND(Z1256=1,G1256&lt;Assumptions!$C$6),1,0)</f>
        <v/>
      </c>
      <c r="AB1256">
        <f>IF(U1256=0,"",IF(Y1256=1,MAX(0,Q1256-G1256),IF(L1256=1,MAX(0,R1256-G1256),MAX(0,Assumptions!$C$6-G1256))))</f>
        <v/>
      </c>
      <c r="AC1256">
        <f>IF(Y1256=1,Q1256-F1256,"")</f>
        <v/>
      </c>
      <c r="AD1256">
        <f>IF(Y1256=1,AC1256^2,"")</f>
        <v/>
      </c>
      <c r="AE1256" s="19">
        <f>IF(Z1256=1,(H1256-M1256)*I1256,0)</f>
        <v/>
      </c>
      <c r="AF1256">
        <f>IF(G1256&lt;EDATE(Assumptions!$C$6,-12)+1,"prior_12m","last_12m")</f>
        <v/>
      </c>
      <c r="AG1256" s="21">
        <f>DATE(YEAR(G1256),MONTH(G1256),1)</f>
        <v/>
      </c>
    </row>
    <row r="1257">
      <c r="A1257" t="inlineStr">
        <is>
          <t>SPO-00687-1</t>
        </is>
      </c>
      <c r="B1257" t="inlineStr">
        <is>
          <t>SPO-00687</t>
        </is>
      </c>
      <c r="C1257" t="inlineStr">
        <is>
          <t>SUP-05</t>
        </is>
      </c>
      <c r="D1257" t="inlineStr">
        <is>
          <t>FLEET</t>
        </is>
      </c>
      <c r="E1257" t="inlineStr">
        <is>
          <t>FLEET-02</t>
        </is>
      </c>
      <c r="F1257" s="17" t="n">
        <v>45754</v>
      </c>
      <c r="G1257" s="17" t="n">
        <v>45768</v>
      </c>
      <c r="H1257" s="18" t="n">
        <v>333</v>
      </c>
      <c r="I1257" s="19" t="n">
        <v>7.93</v>
      </c>
      <c r="J1257" s="19" t="n">
        <v>7.5</v>
      </c>
      <c r="K1257" s="20" t="n">
        <v>0</v>
      </c>
      <c r="L1257" s="20" t="n">
        <v>0</v>
      </c>
      <c r="M1257" s="18" t="n">
        <v>333</v>
      </c>
      <c r="N1257" s="18" t="n">
        <v>333</v>
      </c>
      <c r="O1257" s="18" t="n">
        <v>0</v>
      </c>
      <c r="P1257" s="17" t="n">
        <v>45767</v>
      </c>
      <c r="Q1257" s="17" t="n">
        <v>45767</v>
      </c>
      <c r="R1257" s="17" t="n">
        <v>45767</v>
      </c>
      <c r="S1257" s="19">
        <f>H1257*I1257</f>
        <v/>
      </c>
      <c r="T1257" s="19">
        <f>H1257*J1257</f>
        <v/>
      </c>
      <c r="U1257">
        <f>IF(AND(K1257=0,G1257&lt;=Assumptions!$C$6),1,0)</f>
        <v/>
      </c>
      <c r="V1257">
        <f>IF(U1257=1,IF(M1257&gt;0,IF(P1257&lt;=G1257+Assumptions!$C$7,1,0),0),0)</f>
        <v/>
      </c>
      <c r="W1257">
        <f>IF(AND(U1257=1,M1257&gt;=H1257*(1-Assumptions!$C$8)),1,0)</f>
        <v/>
      </c>
      <c r="X1257">
        <f>IF(AND(U1257=1,N1257&gt;=H1257*(1-Assumptions!$C$8)),1,0)</f>
        <v/>
      </c>
      <c r="Y1257">
        <f>IF(ISNUMBER(Q1257),1,0)</f>
        <v/>
      </c>
      <c r="Z1257">
        <f>IF(AND(K1257=0,L1257=0,Y1257=0),1,0)</f>
        <v/>
      </c>
      <c r="AA1257">
        <f>IF(AND(Z1257=1,G1257&lt;Assumptions!$C$6),1,0)</f>
        <v/>
      </c>
      <c r="AB1257">
        <f>IF(U1257=0,"",IF(Y1257=1,MAX(0,Q1257-G1257),IF(L1257=1,MAX(0,R1257-G1257),MAX(0,Assumptions!$C$6-G1257))))</f>
        <v/>
      </c>
      <c r="AC1257">
        <f>IF(Y1257=1,Q1257-F1257,"")</f>
        <v/>
      </c>
      <c r="AD1257">
        <f>IF(Y1257=1,AC1257^2,"")</f>
        <v/>
      </c>
      <c r="AE1257" s="19">
        <f>IF(Z1257=1,(H1257-M1257)*I1257,0)</f>
        <v/>
      </c>
      <c r="AF1257">
        <f>IF(G1257&lt;EDATE(Assumptions!$C$6,-12)+1,"prior_12m","last_12m")</f>
        <v/>
      </c>
      <c r="AG1257" s="21">
        <f>DATE(YEAR(G1257),MONTH(G1257),1)</f>
        <v/>
      </c>
    </row>
    <row r="1258">
      <c r="A1258" t="inlineStr">
        <is>
          <t>SPO-00687-2</t>
        </is>
      </c>
      <c r="B1258" t="inlineStr">
        <is>
          <t>SPO-00687</t>
        </is>
      </c>
      <c r="C1258" t="inlineStr">
        <is>
          <t>SUP-05</t>
        </is>
      </c>
      <c r="D1258" t="inlineStr">
        <is>
          <t>FLEET</t>
        </is>
      </c>
      <c r="E1258" t="inlineStr">
        <is>
          <t>FLEET-06</t>
        </is>
      </c>
      <c r="F1258" s="17" t="n">
        <v>45754</v>
      </c>
      <c r="G1258" s="17" t="n">
        <v>45768</v>
      </c>
      <c r="H1258" s="18" t="n">
        <v>49</v>
      </c>
      <c r="I1258" s="19" t="n">
        <v>33.76</v>
      </c>
      <c r="J1258" s="19" t="n">
        <v>33</v>
      </c>
      <c r="K1258" s="20" t="n">
        <v>0</v>
      </c>
      <c r="L1258" s="20" t="n">
        <v>0</v>
      </c>
      <c r="M1258" s="18" t="n">
        <v>49</v>
      </c>
      <c r="N1258" s="18" t="n">
        <v>49</v>
      </c>
      <c r="O1258" s="18" t="n">
        <v>0</v>
      </c>
      <c r="P1258" s="17" t="n">
        <v>45766</v>
      </c>
      <c r="Q1258" s="17" t="n">
        <v>45766</v>
      </c>
      <c r="R1258" s="17" t="n">
        <v>45766</v>
      </c>
      <c r="S1258" s="19">
        <f>H1258*I1258</f>
        <v/>
      </c>
      <c r="T1258" s="19">
        <f>H1258*J1258</f>
        <v/>
      </c>
      <c r="U1258">
        <f>IF(AND(K1258=0,G1258&lt;=Assumptions!$C$6),1,0)</f>
        <v/>
      </c>
      <c r="V1258">
        <f>IF(U1258=1,IF(M1258&gt;0,IF(P1258&lt;=G1258+Assumptions!$C$7,1,0),0),0)</f>
        <v/>
      </c>
      <c r="W1258">
        <f>IF(AND(U1258=1,M1258&gt;=H1258*(1-Assumptions!$C$8)),1,0)</f>
        <v/>
      </c>
      <c r="X1258">
        <f>IF(AND(U1258=1,N1258&gt;=H1258*(1-Assumptions!$C$8)),1,0)</f>
        <v/>
      </c>
      <c r="Y1258">
        <f>IF(ISNUMBER(Q1258),1,0)</f>
        <v/>
      </c>
      <c r="Z1258">
        <f>IF(AND(K1258=0,L1258=0,Y1258=0),1,0)</f>
        <v/>
      </c>
      <c r="AA1258">
        <f>IF(AND(Z1258=1,G1258&lt;Assumptions!$C$6),1,0)</f>
        <v/>
      </c>
      <c r="AB1258">
        <f>IF(U1258=0,"",IF(Y1258=1,MAX(0,Q1258-G1258),IF(L1258=1,MAX(0,R1258-G1258),MAX(0,Assumptions!$C$6-G1258))))</f>
        <v/>
      </c>
      <c r="AC1258">
        <f>IF(Y1258=1,Q1258-F1258,"")</f>
        <v/>
      </c>
      <c r="AD1258">
        <f>IF(Y1258=1,AC1258^2,"")</f>
        <v/>
      </c>
      <c r="AE1258" s="19">
        <f>IF(Z1258=1,(H1258-M1258)*I1258,0)</f>
        <v/>
      </c>
      <c r="AF1258">
        <f>IF(G1258&lt;EDATE(Assumptions!$C$6,-12)+1,"prior_12m","last_12m")</f>
        <v/>
      </c>
      <c r="AG1258" s="21">
        <f>DATE(YEAR(G1258),MONTH(G1258),1)</f>
        <v/>
      </c>
    </row>
    <row r="1259">
      <c r="A1259" t="inlineStr">
        <is>
          <t>SPO-00687-3</t>
        </is>
      </c>
      <c r="B1259" t="inlineStr">
        <is>
          <t>SPO-00687</t>
        </is>
      </c>
      <c r="C1259" t="inlineStr">
        <is>
          <t>SUP-05</t>
        </is>
      </c>
      <c r="D1259" t="inlineStr">
        <is>
          <t>FLEET</t>
        </is>
      </c>
      <c r="E1259" t="inlineStr">
        <is>
          <t>FLEET-04</t>
        </is>
      </c>
      <c r="F1259" s="17" t="n">
        <v>45754</v>
      </c>
      <c r="G1259" s="17" t="n">
        <v>45768</v>
      </c>
      <c r="H1259" s="18" t="n">
        <v>349</v>
      </c>
      <c r="I1259" s="19" t="n">
        <v>9.199999999999999</v>
      </c>
      <c r="J1259" s="19" t="n">
        <v>9</v>
      </c>
      <c r="K1259" s="20" t="n">
        <v>0</v>
      </c>
      <c r="L1259" s="20" t="n">
        <v>0</v>
      </c>
      <c r="M1259" s="18" t="n">
        <v>349</v>
      </c>
      <c r="N1259" s="18" t="n">
        <v>349</v>
      </c>
      <c r="O1259" s="18" t="n">
        <v>0</v>
      </c>
      <c r="P1259" s="17" t="n">
        <v>45763</v>
      </c>
      <c r="Q1259" s="17" t="n">
        <v>45763</v>
      </c>
      <c r="R1259" s="17" t="n">
        <v>45763</v>
      </c>
      <c r="S1259" s="19">
        <f>H1259*I1259</f>
        <v/>
      </c>
      <c r="T1259" s="19">
        <f>H1259*J1259</f>
        <v/>
      </c>
      <c r="U1259">
        <f>IF(AND(K1259=0,G1259&lt;=Assumptions!$C$6),1,0)</f>
        <v/>
      </c>
      <c r="V1259">
        <f>IF(U1259=1,IF(M1259&gt;0,IF(P1259&lt;=G1259+Assumptions!$C$7,1,0),0),0)</f>
        <v/>
      </c>
      <c r="W1259">
        <f>IF(AND(U1259=1,M1259&gt;=H1259*(1-Assumptions!$C$8)),1,0)</f>
        <v/>
      </c>
      <c r="X1259">
        <f>IF(AND(U1259=1,N1259&gt;=H1259*(1-Assumptions!$C$8)),1,0)</f>
        <v/>
      </c>
      <c r="Y1259">
        <f>IF(ISNUMBER(Q1259),1,0)</f>
        <v/>
      </c>
      <c r="Z1259">
        <f>IF(AND(K1259=0,L1259=0,Y1259=0),1,0)</f>
        <v/>
      </c>
      <c r="AA1259">
        <f>IF(AND(Z1259=1,G1259&lt;Assumptions!$C$6),1,0)</f>
        <v/>
      </c>
      <c r="AB1259">
        <f>IF(U1259=0,"",IF(Y1259=1,MAX(0,Q1259-G1259),IF(L1259=1,MAX(0,R1259-G1259),MAX(0,Assumptions!$C$6-G1259))))</f>
        <v/>
      </c>
      <c r="AC1259">
        <f>IF(Y1259=1,Q1259-F1259,"")</f>
        <v/>
      </c>
      <c r="AD1259">
        <f>IF(Y1259=1,AC1259^2,"")</f>
        <v/>
      </c>
      <c r="AE1259" s="19">
        <f>IF(Z1259=1,(H1259-M1259)*I1259,0)</f>
        <v/>
      </c>
      <c r="AF1259">
        <f>IF(G1259&lt;EDATE(Assumptions!$C$6,-12)+1,"prior_12m","last_12m")</f>
        <v/>
      </c>
      <c r="AG1259" s="21">
        <f>DATE(YEAR(G1259),MONTH(G1259),1)</f>
        <v/>
      </c>
    </row>
    <row r="1260">
      <c r="A1260" t="inlineStr">
        <is>
          <t>SPO-00687-4</t>
        </is>
      </c>
      <c r="B1260" t="inlineStr">
        <is>
          <t>SPO-00687</t>
        </is>
      </c>
      <c r="C1260" t="inlineStr">
        <is>
          <t>SUP-05</t>
        </is>
      </c>
      <c r="D1260" t="inlineStr">
        <is>
          <t>FLEET</t>
        </is>
      </c>
      <c r="E1260" t="inlineStr">
        <is>
          <t>FLEET-01</t>
        </is>
      </c>
      <c r="F1260" s="17" t="n">
        <v>45754</v>
      </c>
      <c r="G1260" s="17" t="n">
        <v>45768</v>
      </c>
      <c r="H1260" s="18" t="n">
        <v>23</v>
      </c>
      <c r="I1260" s="19" t="n">
        <v>68.58</v>
      </c>
      <c r="J1260" s="19" t="n">
        <v>64</v>
      </c>
      <c r="K1260" s="20" t="n">
        <v>0</v>
      </c>
      <c r="L1260" s="20" t="n">
        <v>0</v>
      </c>
      <c r="M1260" s="18" t="n">
        <v>23</v>
      </c>
      <c r="N1260" s="18" t="n">
        <v>23</v>
      </c>
      <c r="O1260" s="18" t="n">
        <v>0</v>
      </c>
      <c r="P1260" s="17" t="n">
        <v>45762</v>
      </c>
      <c r="Q1260" s="17" t="n">
        <v>45762</v>
      </c>
      <c r="R1260" s="17" t="n">
        <v>45762</v>
      </c>
      <c r="S1260" s="19">
        <f>H1260*I1260</f>
        <v/>
      </c>
      <c r="T1260" s="19">
        <f>H1260*J1260</f>
        <v/>
      </c>
      <c r="U1260">
        <f>IF(AND(K1260=0,G1260&lt;=Assumptions!$C$6),1,0)</f>
        <v/>
      </c>
      <c r="V1260">
        <f>IF(U1260=1,IF(M1260&gt;0,IF(P1260&lt;=G1260+Assumptions!$C$7,1,0),0),0)</f>
        <v/>
      </c>
      <c r="W1260">
        <f>IF(AND(U1260=1,M1260&gt;=H1260*(1-Assumptions!$C$8)),1,0)</f>
        <v/>
      </c>
      <c r="X1260">
        <f>IF(AND(U1260=1,N1260&gt;=H1260*(1-Assumptions!$C$8)),1,0)</f>
        <v/>
      </c>
      <c r="Y1260">
        <f>IF(ISNUMBER(Q1260),1,0)</f>
        <v/>
      </c>
      <c r="Z1260">
        <f>IF(AND(K1260=0,L1260=0,Y1260=0),1,0)</f>
        <v/>
      </c>
      <c r="AA1260">
        <f>IF(AND(Z1260=1,G1260&lt;Assumptions!$C$6),1,0)</f>
        <v/>
      </c>
      <c r="AB1260">
        <f>IF(U1260=0,"",IF(Y1260=1,MAX(0,Q1260-G1260),IF(L1260=1,MAX(0,R1260-G1260),MAX(0,Assumptions!$C$6-G1260))))</f>
        <v/>
      </c>
      <c r="AC1260">
        <f>IF(Y1260=1,Q1260-F1260,"")</f>
        <v/>
      </c>
      <c r="AD1260">
        <f>IF(Y1260=1,AC1260^2,"")</f>
        <v/>
      </c>
      <c r="AE1260" s="19">
        <f>IF(Z1260=1,(H1260-M1260)*I1260,0)</f>
        <v/>
      </c>
      <c r="AF1260">
        <f>IF(G1260&lt;EDATE(Assumptions!$C$6,-12)+1,"prior_12m","last_12m")</f>
        <v/>
      </c>
      <c r="AG1260" s="21">
        <f>DATE(YEAR(G1260),MONTH(G1260),1)</f>
        <v/>
      </c>
    </row>
    <row r="1261">
      <c r="A1261" t="inlineStr">
        <is>
          <t>SPO-00688-1</t>
        </is>
      </c>
      <c r="B1261" t="inlineStr">
        <is>
          <t>SPO-00688</t>
        </is>
      </c>
      <c r="C1261" t="inlineStr">
        <is>
          <t>SUP-01</t>
        </is>
      </c>
      <c r="D1261" t="inlineStr">
        <is>
          <t>ELEC</t>
        </is>
      </c>
      <c r="E1261" t="inlineStr">
        <is>
          <t>ELEC-02</t>
        </is>
      </c>
      <c r="F1261" s="17" t="n">
        <v>45755</v>
      </c>
      <c r="G1261" s="17" t="n">
        <v>45773</v>
      </c>
      <c r="H1261" s="18" t="n">
        <v>452</v>
      </c>
      <c r="I1261" s="19" t="n">
        <v>4.15</v>
      </c>
      <c r="J1261" s="19" t="n">
        <v>4.2</v>
      </c>
      <c r="K1261" s="20" t="n">
        <v>0</v>
      </c>
      <c r="L1261" s="20" t="n">
        <v>0</v>
      </c>
      <c r="M1261" s="18" t="n">
        <v>452</v>
      </c>
      <c r="N1261" s="18" t="n">
        <v>452</v>
      </c>
      <c r="O1261" s="18" t="n">
        <v>0</v>
      </c>
      <c r="P1261" s="17" t="n">
        <v>45768</v>
      </c>
      <c r="Q1261" s="17" t="n">
        <v>45768</v>
      </c>
      <c r="R1261" s="17" t="n">
        <v>45768</v>
      </c>
      <c r="S1261" s="19">
        <f>H1261*I1261</f>
        <v/>
      </c>
      <c r="T1261" s="19">
        <f>H1261*J1261</f>
        <v/>
      </c>
      <c r="U1261">
        <f>IF(AND(K1261=0,G1261&lt;=Assumptions!$C$6),1,0)</f>
        <v/>
      </c>
      <c r="V1261">
        <f>IF(U1261=1,IF(M1261&gt;0,IF(P1261&lt;=G1261+Assumptions!$C$7,1,0),0),0)</f>
        <v/>
      </c>
      <c r="W1261">
        <f>IF(AND(U1261=1,M1261&gt;=H1261*(1-Assumptions!$C$8)),1,0)</f>
        <v/>
      </c>
      <c r="X1261">
        <f>IF(AND(U1261=1,N1261&gt;=H1261*(1-Assumptions!$C$8)),1,0)</f>
        <v/>
      </c>
      <c r="Y1261">
        <f>IF(ISNUMBER(Q1261),1,0)</f>
        <v/>
      </c>
      <c r="Z1261">
        <f>IF(AND(K1261=0,L1261=0,Y1261=0),1,0)</f>
        <v/>
      </c>
      <c r="AA1261">
        <f>IF(AND(Z1261=1,G1261&lt;Assumptions!$C$6),1,0)</f>
        <v/>
      </c>
      <c r="AB1261">
        <f>IF(U1261=0,"",IF(Y1261=1,MAX(0,Q1261-G1261),IF(L1261=1,MAX(0,R1261-G1261),MAX(0,Assumptions!$C$6-G1261))))</f>
        <v/>
      </c>
      <c r="AC1261">
        <f>IF(Y1261=1,Q1261-F1261,"")</f>
        <v/>
      </c>
      <c r="AD1261">
        <f>IF(Y1261=1,AC1261^2,"")</f>
        <v/>
      </c>
      <c r="AE1261" s="19">
        <f>IF(Z1261=1,(H1261-M1261)*I1261,0)</f>
        <v/>
      </c>
      <c r="AF1261">
        <f>IF(G1261&lt;EDATE(Assumptions!$C$6,-12)+1,"prior_12m","last_12m")</f>
        <v/>
      </c>
      <c r="AG1261" s="21">
        <f>DATE(YEAR(G1261),MONTH(G1261),1)</f>
        <v/>
      </c>
    </row>
    <row r="1262">
      <c r="A1262" t="inlineStr">
        <is>
          <t>SPO-00688-2</t>
        </is>
      </c>
      <c r="B1262" t="inlineStr">
        <is>
          <t>SPO-00688</t>
        </is>
      </c>
      <c r="C1262" t="inlineStr">
        <is>
          <t>SUP-01</t>
        </is>
      </c>
      <c r="D1262" t="inlineStr">
        <is>
          <t>ELEC</t>
        </is>
      </c>
      <c r="E1262" t="inlineStr">
        <is>
          <t>ELEC-03</t>
        </is>
      </c>
      <c r="F1262" s="17" t="n">
        <v>45755</v>
      </c>
      <c r="G1262" s="17" t="n">
        <v>45773</v>
      </c>
      <c r="H1262" s="18" t="n">
        <v>25</v>
      </c>
      <c r="I1262" s="19" t="n">
        <v>94.22</v>
      </c>
      <c r="J1262" s="19" t="n">
        <v>96</v>
      </c>
      <c r="K1262" s="20" t="n">
        <v>0</v>
      </c>
      <c r="L1262" s="20" t="n">
        <v>0</v>
      </c>
      <c r="M1262" s="18" t="n">
        <v>25</v>
      </c>
      <c r="N1262" s="18" t="n">
        <v>25</v>
      </c>
      <c r="O1262" s="18" t="n">
        <v>0</v>
      </c>
      <c r="P1262" s="17" t="n">
        <v>45769</v>
      </c>
      <c r="Q1262" s="17" t="n">
        <v>45769</v>
      </c>
      <c r="R1262" s="17" t="n">
        <v>45769</v>
      </c>
      <c r="S1262" s="19">
        <f>H1262*I1262</f>
        <v/>
      </c>
      <c r="T1262" s="19">
        <f>H1262*J1262</f>
        <v/>
      </c>
      <c r="U1262">
        <f>IF(AND(K1262=0,G1262&lt;=Assumptions!$C$6),1,0)</f>
        <v/>
      </c>
      <c r="V1262">
        <f>IF(U1262=1,IF(M1262&gt;0,IF(P1262&lt;=G1262+Assumptions!$C$7,1,0),0),0)</f>
        <v/>
      </c>
      <c r="W1262">
        <f>IF(AND(U1262=1,M1262&gt;=H1262*(1-Assumptions!$C$8)),1,0)</f>
        <v/>
      </c>
      <c r="X1262">
        <f>IF(AND(U1262=1,N1262&gt;=H1262*(1-Assumptions!$C$8)),1,0)</f>
        <v/>
      </c>
      <c r="Y1262">
        <f>IF(ISNUMBER(Q1262),1,0)</f>
        <v/>
      </c>
      <c r="Z1262">
        <f>IF(AND(K1262=0,L1262=0,Y1262=0),1,0)</f>
        <v/>
      </c>
      <c r="AA1262">
        <f>IF(AND(Z1262=1,G1262&lt;Assumptions!$C$6),1,0)</f>
        <v/>
      </c>
      <c r="AB1262">
        <f>IF(U1262=0,"",IF(Y1262=1,MAX(0,Q1262-G1262),IF(L1262=1,MAX(0,R1262-G1262),MAX(0,Assumptions!$C$6-G1262))))</f>
        <v/>
      </c>
      <c r="AC1262">
        <f>IF(Y1262=1,Q1262-F1262,"")</f>
        <v/>
      </c>
      <c r="AD1262">
        <f>IF(Y1262=1,AC1262^2,"")</f>
        <v/>
      </c>
      <c r="AE1262" s="19">
        <f>IF(Z1262=1,(H1262-M1262)*I1262,0)</f>
        <v/>
      </c>
      <c r="AF1262">
        <f>IF(G1262&lt;EDATE(Assumptions!$C$6,-12)+1,"prior_12m","last_12m")</f>
        <v/>
      </c>
      <c r="AG1262" s="21">
        <f>DATE(YEAR(G1262),MONTH(G1262),1)</f>
        <v/>
      </c>
    </row>
    <row r="1263">
      <c r="A1263" t="inlineStr">
        <is>
          <t>SPO-00688-3</t>
        </is>
      </c>
      <c r="B1263" t="inlineStr">
        <is>
          <t>SPO-00688</t>
        </is>
      </c>
      <c r="C1263" t="inlineStr">
        <is>
          <t>SUP-01</t>
        </is>
      </c>
      <c r="D1263" t="inlineStr">
        <is>
          <t>ELEC</t>
        </is>
      </c>
      <c r="E1263" t="inlineStr">
        <is>
          <t>ELEC-04</t>
        </is>
      </c>
      <c r="F1263" s="17" t="n">
        <v>45755</v>
      </c>
      <c r="G1263" s="17" t="n">
        <v>45773</v>
      </c>
      <c r="H1263" s="18" t="n">
        <v>19</v>
      </c>
      <c r="I1263" s="19" t="n">
        <v>72.62</v>
      </c>
      <c r="J1263" s="19" t="n">
        <v>72</v>
      </c>
      <c r="K1263" s="20" t="n">
        <v>0</v>
      </c>
      <c r="L1263" s="20" t="n">
        <v>0</v>
      </c>
      <c r="M1263" s="18" t="n">
        <v>19</v>
      </c>
      <c r="N1263" s="18" t="n">
        <v>19</v>
      </c>
      <c r="O1263" s="18" t="n">
        <v>0</v>
      </c>
      <c r="P1263" s="17" t="n">
        <v>45768</v>
      </c>
      <c r="Q1263" s="17" t="n">
        <v>45768</v>
      </c>
      <c r="R1263" s="17" t="n">
        <v>45768</v>
      </c>
      <c r="S1263" s="19">
        <f>H1263*I1263</f>
        <v/>
      </c>
      <c r="T1263" s="19">
        <f>H1263*J1263</f>
        <v/>
      </c>
      <c r="U1263">
        <f>IF(AND(K1263=0,G1263&lt;=Assumptions!$C$6),1,0)</f>
        <v/>
      </c>
      <c r="V1263">
        <f>IF(U1263=1,IF(M1263&gt;0,IF(P1263&lt;=G1263+Assumptions!$C$7,1,0),0),0)</f>
        <v/>
      </c>
      <c r="W1263">
        <f>IF(AND(U1263=1,M1263&gt;=H1263*(1-Assumptions!$C$8)),1,0)</f>
        <v/>
      </c>
      <c r="X1263">
        <f>IF(AND(U1263=1,N1263&gt;=H1263*(1-Assumptions!$C$8)),1,0)</f>
        <v/>
      </c>
      <c r="Y1263">
        <f>IF(ISNUMBER(Q1263),1,0)</f>
        <v/>
      </c>
      <c r="Z1263">
        <f>IF(AND(K1263=0,L1263=0,Y1263=0),1,0)</f>
        <v/>
      </c>
      <c r="AA1263">
        <f>IF(AND(Z1263=1,G1263&lt;Assumptions!$C$6),1,0)</f>
        <v/>
      </c>
      <c r="AB1263">
        <f>IF(U1263=0,"",IF(Y1263=1,MAX(0,Q1263-G1263),IF(L1263=1,MAX(0,R1263-G1263),MAX(0,Assumptions!$C$6-G1263))))</f>
        <v/>
      </c>
      <c r="AC1263">
        <f>IF(Y1263=1,Q1263-F1263,"")</f>
        <v/>
      </c>
      <c r="AD1263">
        <f>IF(Y1263=1,AC1263^2,"")</f>
        <v/>
      </c>
      <c r="AE1263" s="19">
        <f>IF(Z1263=1,(H1263-M1263)*I1263,0)</f>
        <v/>
      </c>
      <c r="AF1263">
        <f>IF(G1263&lt;EDATE(Assumptions!$C$6,-12)+1,"prior_12m","last_12m")</f>
        <v/>
      </c>
      <c r="AG1263" s="21">
        <f>DATE(YEAR(G1263),MONTH(G1263),1)</f>
        <v/>
      </c>
    </row>
    <row r="1264">
      <c r="A1264" t="inlineStr">
        <is>
          <t>SPO-00688-4</t>
        </is>
      </c>
      <c r="B1264" t="inlineStr">
        <is>
          <t>SPO-00688</t>
        </is>
      </c>
      <c r="C1264" t="inlineStr">
        <is>
          <t>SUP-01</t>
        </is>
      </c>
      <c r="D1264" t="inlineStr">
        <is>
          <t>ELEC</t>
        </is>
      </c>
      <c r="E1264" t="inlineStr">
        <is>
          <t>ELEC-08</t>
        </is>
      </c>
      <c r="F1264" s="17" t="n">
        <v>45755</v>
      </c>
      <c r="G1264" s="17" t="n">
        <v>45773</v>
      </c>
      <c r="H1264" s="18" t="n">
        <v>72</v>
      </c>
      <c r="I1264" s="19" t="n">
        <v>17.95</v>
      </c>
      <c r="J1264" s="19" t="n">
        <v>18</v>
      </c>
      <c r="K1264" s="20" t="n">
        <v>0</v>
      </c>
      <c r="L1264" s="20" t="n">
        <v>0</v>
      </c>
      <c r="M1264" s="18" t="n">
        <v>72</v>
      </c>
      <c r="N1264" s="18" t="n">
        <v>72</v>
      </c>
      <c r="O1264" s="18" t="n">
        <v>0</v>
      </c>
      <c r="P1264" s="17" t="n">
        <v>45768</v>
      </c>
      <c r="Q1264" s="17" t="n">
        <v>45768</v>
      </c>
      <c r="R1264" s="17" t="n">
        <v>45768</v>
      </c>
      <c r="S1264" s="19">
        <f>H1264*I1264</f>
        <v/>
      </c>
      <c r="T1264" s="19">
        <f>H1264*J1264</f>
        <v/>
      </c>
      <c r="U1264">
        <f>IF(AND(K1264=0,G1264&lt;=Assumptions!$C$6),1,0)</f>
        <v/>
      </c>
      <c r="V1264">
        <f>IF(U1264=1,IF(M1264&gt;0,IF(P1264&lt;=G1264+Assumptions!$C$7,1,0),0),0)</f>
        <v/>
      </c>
      <c r="W1264">
        <f>IF(AND(U1264=1,M1264&gt;=H1264*(1-Assumptions!$C$8)),1,0)</f>
        <v/>
      </c>
      <c r="X1264">
        <f>IF(AND(U1264=1,N1264&gt;=H1264*(1-Assumptions!$C$8)),1,0)</f>
        <v/>
      </c>
      <c r="Y1264">
        <f>IF(ISNUMBER(Q1264),1,0)</f>
        <v/>
      </c>
      <c r="Z1264">
        <f>IF(AND(K1264=0,L1264=0,Y1264=0),1,0)</f>
        <v/>
      </c>
      <c r="AA1264">
        <f>IF(AND(Z1264=1,G1264&lt;Assumptions!$C$6),1,0)</f>
        <v/>
      </c>
      <c r="AB1264">
        <f>IF(U1264=0,"",IF(Y1264=1,MAX(0,Q1264-G1264),IF(L1264=1,MAX(0,R1264-G1264),MAX(0,Assumptions!$C$6-G1264))))</f>
        <v/>
      </c>
      <c r="AC1264">
        <f>IF(Y1264=1,Q1264-F1264,"")</f>
        <v/>
      </c>
      <c r="AD1264">
        <f>IF(Y1264=1,AC1264^2,"")</f>
        <v/>
      </c>
      <c r="AE1264" s="19">
        <f>IF(Z1264=1,(H1264-M1264)*I1264,0)</f>
        <v/>
      </c>
      <c r="AF1264">
        <f>IF(G1264&lt;EDATE(Assumptions!$C$6,-12)+1,"prior_12m","last_12m")</f>
        <v/>
      </c>
      <c r="AG1264" s="21">
        <f>DATE(YEAR(G1264),MONTH(G1264),1)</f>
        <v/>
      </c>
    </row>
    <row r="1265">
      <c r="A1265" t="inlineStr">
        <is>
          <t>SPO-00689-1</t>
        </is>
      </c>
      <c r="B1265" t="inlineStr">
        <is>
          <t>SPO-00689</t>
        </is>
      </c>
      <c r="C1265" t="inlineStr">
        <is>
          <t>SUP-07</t>
        </is>
      </c>
      <c r="D1265" t="inlineStr">
        <is>
          <t>MRO</t>
        </is>
      </c>
      <c r="E1265" t="inlineStr">
        <is>
          <t>MRO-03</t>
        </is>
      </c>
      <c r="F1265" s="17" t="n">
        <v>45755</v>
      </c>
      <c r="G1265" s="17" t="n">
        <v>45765</v>
      </c>
      <c r="H1265" s="18" t="n">
        <v>98</v>
      </c>
      <c r="I1265" s="19" t="n">
        <v>8.98</v>
      </c>
      <c r="J1265" s="19" t="n">
        <v>8.9</v>
      </c>
      <c r="K1265" s="20" t="n">
        <v>0</v>
      </c>
      <c r="L1265" s="20" t="n">
        <v>0</v>
      </c>
      <c r="M1265" s="18" t="n">
        <v>98</v>
      </c>
      <c r="N1265" s="18" t="n">
        <v>98</v>
      </c>
      <c r="O1265" s="18" t="n">
        <v>0</v>
      </c>
      <c r="P1265" s="17" t="n">
        <v>45763</v>
      </c>
      <c r="Q1265" s="17" t="n">
        <v>45763</v>
      </c>
      <c r="R1265" s="17" t="n">
        <v>45763</v>
      </c>
      <c r="S1265" s="19">
        <f>H1265*I1265</f>
        <v/>
      </c>
      <c r="T1265" s="19">
        <f>H1265*J1265</f>
        <v/>
      </c>
      <c r="U1265">
        <f>IF(AND(K1265=0,G1265&lt;=Assumptions!$C$6),1,0)</f>
        <v/>
      </c>
      <c r="V1265">
        <f>IF(U1265=1,IF(M1265&gt;0,IF(P1265&lt;=G1265+Assumptions!$C$7,1,0),0),0)</f>
        <v/>
      </c>
      <c r="W1265">
        <f>IF(AND(U1265=1,M1265&gt;=H1265*(1-Assumptions!$C$8)),1,0)</f>
        <v/>
      </c>
      <c r="X1265">
        <f>IF(AND(U1265=1,N1265&gt;=H1265*(1-Assumptions!$C$8)),1,0)</f>
        <v/>
      </c>
      <c r="Y1265">
        <f>IF(ISNUMBER(Q1265),1,0)</f>
        <v/>
      </c>
      <c r="Z1265">
        <f>IF(AND(K1265=0,L1265=0,Y1265=0),1,0)</f>
        <v/>
      </c>
      <c r="AA1265">
        <f>IF(AND(Z1265=1,G1265&lt;Assumptions!$C$6),1,0)</f>
        <v/>
      </c>
      <c r="AB1265">
        <f>IF(U1265=0,"",IF(Y1265=1,MAX(0,Q1265-G1265),IF(L1265=1,MAX(0,R1265-G1265),MAX(0,Assumptions!$C$6-G1265))))</f>
        <v/>
      </c>
      <c r="AC1265">
        <f>IF(Y1265=1,Q1265-F1265,"")</f>
        <v/>
      </c>
      <c r="AD1265">
        <f>IF(Y1265=1,AC1265^2,"")</f>
        <v/>
      </c>
      <c r="AE1265" s="19">
        <f>IF(Z1265=1,(H1265-M1265)*I1265,0)</f>
        <v/>
      </c>
      <c r="AF1265">
        <f>IF(G1265&lt;EDATE(Assumptions!$C$6,-12)+1,"prior_12m","last_12m")</f>
        <v/>
      </c>
      <c r="AG1265" s="21">
        <f>DATE(YEAR(G1265),MONTH(G1265),1)</f>
        <v/>
      </c>
    </row>
    <row r="1266">
      <c r="A1266" t="inlineStr">
        <is>
          <t>SPO-00690-1</t>
        </is>
      </c>
      <c r="B1266" t="inlineStr">
        <is>
          <t>SPO-00690</t>
        </is>
      </c>
      <c r="C1266" t="inlineStr">
        <is>
          <t>SUP-06</t>
        </is>
      </c>
      <c r="D1266" t="inlineStr">
        <is>
          <t>MRO</t>
        </is>
      </c>
      <c r="E1266" t="inlineStr">
        <is>
          <t>MRO-08</t>
        </is>
      </c>
      <c r="F1266" s="17" t="n">
        <v>45755</v>
      </c>
      <c r="G1266" s="17" t="n">
        <v>45763</v>
      </c>
      <c r="H1266" s="18" t="n">
        <v>300</v>
      </c>
      <c r="I1266" s="19" t="n">
        <v>7.64</v>
      </c>
      <c r="J1266" s="19" t="n">
        <v>7.2</v>
      </c>
      <c r="K1266" s="20" t="n">
        <v>0</v>
      </c>
      <c r="L1266" s="20" t="n">
        <v>0</v>
      </c>
      <c r="M1266" s="18" t="n">
        <v>300</v>
      </c>
      <c r="N1266" s="18" t="n">
        <v>300</v>
      </c>
      <c r="O1266" s="18" t="n">
        <v>0</v>
      </c>
      <c r="P1266" s="17" t="n">
        <v>45762</v>
      </c>
      <c r="Q1266" s="17" t="n">
        <v>45762</v>
      </c>
      <c r="R1266" s="17" t="n">
        <v>45762</v>
      </c>
      <c r="S1266" s="19">
        <f>H1266*I1266</f>
        <v/>
      </c>
      <c r="T1266" s="19">
        <f>H1266*J1266</f>
        <v/>
      </c>
      <c r="U1266">
        <f>IF(AND(K1266=0,G1266&lt;=Assumptions!$C$6),1,0)</f>
        <v/>
      </c>
      <c r="V1266">
        <f>IF(U1266=1,IF(M1266&gt;0,IF(P1266&lt;=G1266+Assumptions!$C$7,1,0),0),0)</f>
        <v/>
      </c>
      <c r="W1266">
        <f>IF(AND(U1266=1,M1266&gt;=H1266*(1-Assumptions!$C$8)),1,0)</f>
        <v/>
      </c>
      <c r="X1266">
        <f>IF(AND(U1266=1,N1266&gt;=H1266*(1-Assumptions!$C$8)),1,0)</f>
        <v/>
      </c>
      <c r="Y1266">
        <f>IF(ISNUMBER(Q1266),1,0)</f>
        <v/>
      </c>
      <c r="Z1266">
        <f>IF(AND(K1266=0,L1266=0,Y1266=0),1,0)</f>
        <v/>
      </c>
      <c r="AA1266">
        <f>IF(AND(Z1266=1,G1266&lt;Assumptions!$C$6),1,0)</f>
        <v/>
      </c>
      <c r="AB1266">
        <f>IF(U1266=0,"",IF(Y1266=1,MAX(0,Q1266-G1266),IF(L1266=1,MAX(0,R1266-G1266),MAX(0,Assumptions!$C$6-G1266))))</f>
        <v/>
      </c>
      <c r="AC1266">
        <f>IF(Y1266=1,Q1266-F1266,"")</f>
        <v/>
      </c>
      <c r="AD1266">
        <f>IF(Y1266=1,AC1266^2,"")</f>
        <v/>
      </c>
      <c r="AE1266" s="19">
        <f>IF(Z1266=1,(H1266-M1266)*I1266,0)</f>
        <v/>
      </c>
      <c r="AF1266">
        <f>IF(G1266&lt;EDATE(Assumptions!$C$6,-12)+1,"prior_12m","last_12m")</f>
        <v/>
      </c>
      <c r="AG1266" s="21">
        <f>DATE(YEAR(G1266),MONTH(G1266),1)</f>
        <v/>
      </c>
    </row>
    <row r="1267">
      <c r="A1267" t="inlineStr">
        <is>
          <t>SPO-00690-2</t>
        </is>
      </c>
      <c r="B1267" t="inlineStr">
        <is>
          <t>SPO-00690</t>
        </is>
      </c>
      <c r="C1267" t="inlineStr">
        <is>
          <t>SUP-06</t>
        </is>
      </c>
      <c r="D1267" t="inlineStr">
        <is>
          <t>MRO</t>
        </is>
      </c>
      <c r="E1267" t="inlineStr">
        <is>
          <t>MRO-05</t>
        </is>
      </c>
      <c r="F1267" s="17" t="n">
        <v>45755</v>
      </c>
      <c r="G1267" s="17" t="n">
        <v>45763</v>
      </c>
      <c r="H1267" s="18" t="n">
        <v>35</v>
      </c>
      <c r="I1267" s="19" t="n">
        <v>36.26</v>
      </c>
      <c r="J1267" s="19" t="n">
        <v>36</v>
      </c>
      <c r="K1267" s="20" t="n">
        <v>0</v>
      </c>
      <c r="L1267" s="20" t="n">
        <v>0</v>
      </c>
      <c r="M1267" s="18" t="n">
        <v>35</v>
      </c>
      <c r="N1267" s="18" t="n">
        <v>35</v>
      </c>
      <c r="O1267" s="18" t="n">
        <v>0</v>
      </c>
      <c r="P1267" s="17" t="n">
        <v>45761</v>
      </c>
      <c r="Q1267" s="17" t="n">
        <v>45761</v>
      </c>
      <c r="R1267" s="17" t="n">
        <v>45761</v>
      </c>
      <c r="S1267" s="19">
        <f>H1267*I1267</f>
        <v/>
      </c>
      <c r="T1267" s="19">
        <f>H1267*J1267</f>
        <v/>
      </c>
      <c r="U1267">
        <f>IF(AND(K1267=0,G1267&lt;=Assumptions!$C$6),1,0)</f>
        <v/>
      </c>
      <c r="V1267">
        <f>IF(U1267=1,IF(M1267&gt;0,IF(P1267&lt;=G1267+Assumptions!$C$7,1,0),0),0)</f>
        <v/>
      </c>
      <c r="W1267">
        <f>IF(AND(U1267=1,M1267&gt;=H1267*(1-Assumptions!$C$8)),1,0)</f>
        <v/>
      </c>
      <c r="X1267">
        <f>IF(AND(U1267=1,N1267&gt;=H1267*(1-Assumptions!$C$8)),1,0)</f>
        <v/>
      </c>
      <c r="Y1267">
        <f>IF(ISNUMBER(Q1267),1,0)</f>
        <v/>
      </c>
      <c r="Z1267">
        <f>IF(AND(K1267=0,L1267=0,Y1267=0),1,0)</f>
        <v/>
      </c>
      <c r="AA1267">
        <f>IF(AND(Z1267=1,G1267&lt;Assumptions!$C$6),1,0)</f>
        <v/>
      </c>
      <c r="AB1267">
        <f>IF(U1267=0,"",IF(Y1267=1,MAX(0,Q1267-G1267),IF(L1267=1,MAX(0,R1267-G1267),MAX(0,Assumptions!$C$6-G1267))))</f>
        <v/>
      </c>
      <c r="AC1267">
        <f>IF(Y1267=1,Q1267-F1267,"")</f>
        <v/>
      </c>
      <c r="AD1267">
        <f>IF(Y1267=1,AC1267^2,"")</f>
        <v/>
      </c>
      <c r="AE1267" s="19">
        <f>IF(Z1267=1,(H1267-M1267)*I1267,0)</f>
        <v/>
      </c>
      <c r="AF1267">
        <f>IF(G1267&lt;EDATE(Assumptions!$C$6,-12)+1,"prior_12m","last_12m")</f>
        <v/>
      </c>
      <c r="AG1267" s="21">
        <f>DATE(YEAR(G1267),MONTH(G1267),1)</f>
        <v/>
      </c>
    </row>
    <row r="1268">
      <c r="A1268" t="inlineStr">
        <is>
          <t>SPO-00691-1</t>
        </is>
      </c>
      <c r="B1268" t="inlineStr">
        <is>
          <t>SPO-00691</t>
        </is>
      </c>
      <c r="C1268" t="inlineStr">
        <is>
          <t>SUP-05</t>
        </is>
      </c>
      <c r="D1268" t="inlineStr">
        <is>
          <t>FLEET</t>
        </is>
      </c>
      <c r="E1268" t="inlineStr">
        <is>
          <t>FLEET-01</t>
        </is>
      </c>
      <c r="F1268" s="17" t="n">
        <v>45756</v>
      </c>
      <c r="G1268" s="17" t="n">
        <v>45770</v>
      </c>
      <c r="H1268" s="18" t="n">
        <v>29</v>
      </c>
      <c r="I1268" s="19" t="n">
        <v>66.22</v>
      </c>
      <c r="J1268" s="19" t="n">
        <v>64</v>
      </c>
      <c r="K1268" s="20" t="n">
        <v>0</v>
      </c>
      <c r="L1268" s="20" t="n">
        <v>0</v>
      </c>
      <c r="M1268" s="18" t="n">
        <v>29</v>
      </c>
      <c r="N1268" s="18" t="n">
        <v>29</v>
      </c>
      <c r="O1268" s="18" t="n">
        <v>0</v>
      </c>
      <c r="P1268" s="17" t="n">
        <v>45762</v>
      </c>
      <c r="Q1268" s="17" t="n">
        <v>45762</v>
      </c>
      <c r="R1268" s="17" t="n">
        <v>45762</v>
      </c>
      <c r="S1268" s="19">
        <f>H1268*I1268</f>
        <v/>
      </c>
      <c r="T1268" s="19">
        <f>H1268*J1268</f>
        <v/>
      </c>
      <c r="U1268">
        <f>IF(AND(K1268=0,G1268&lt;=Assumptions!$C$6),1,0)</f>
        <v/>
      </c>
      <c r="V1268">
        <f>IF(U1268=1,IF(M1268&gt;0,IF(P1268&lt;=G1268+Assumptions!$C$7,1,0),0),0)</f>
        <v/>
      </c>
      <c r="W1268">
        <f>IF(AND(U1268=1,M1268&gt;=H1268*(1-Assumptions!$C$8)),1,0)</f>
        <v/>
      </c>
      <c r="X1268">
        <f>IF(AND(U1268=1,N1268&gt;=H1268*(1-Assumptions!$C$8)),1,0)</f>
        <v/>
      </c>
      <c r="Y1268">
        <f>IF(ISNUMBER(Q1268),1,0)</f>
        <v/>
      </c>
      <c r="Z1268">
        <f>IF(AND(K1268=0,L1268=0,Y1268=0),1,0)</f>
        <v/>
      </c>
      <c r="AA1268">
        <f>IF(AND(Z1268=1,G1268&lt;Assumptions!$C$6),1,0)</f>
        <v/>
      </c>
      <c r="AB1268">
        <f>IF(U1268=0,"",IF(Y1268=1,MAX(0,Q1268-G1268),IF(L1268=1,MAX(0,R1268-G1268),MAX(0,Assumptions!$C$6-G1268))))</f>
        <v/>
      </c>
      <c r="AC1268">
        <f>IF(Y1268=1,Q1268-F1268,"")</f>
        <v/>
      </c>
      <c r="AD1268">
        <f>IF(Y1268=1,AC1268^2,"")</f>
        <v/>
      </c>
      <c r="AE1268" s="19">
        <f>IF(Z1268=1,(H1268-M1268)*I1268,0)</f>
        <v/>
      </c>
      <c r="AF1268">
        <f>IF(G1268&lt;EDATE(Assumptions!$C$6,-12)+1,"prior_12m","last_12m")</f>
        <v/>
      </c>
      <c r="AG1268" s="21">
        <f>DATE(YEAR(G1268),MONTH(G1268),1)</f>
        <v/>
      </c>
    </row>
    <row r="1269">
      <c r="A1269" t="inlineStr">
        <is>
          <t>SPO-00691-2</t>
        </is>
      </c>
      <c r="B1269" t="inlineStr">
        <is>
          <t>SPO-00691</t>
        </is>
      </c>
      <c r="C1269" t="inlineStr">
        <is>
          <t>SUP-05</t>
        </is>
      </c>
      <c r="D1269" t="inlineStr">
        <is>
          <t>FLEET</t>
        </is>
      </c>
      <c r="E1269" t="inlineStr">
        <is>
          <t>FLEET-04</t>
        </is>
      </c>
      <c r="F1269" s="17" t="n">
        <v>45756</v>
      </c>
      <c r="G1269" s="17" t="n">
        <v>45770</v>
      </c>
      <c r="H1269" s="18" t="n">
        <v>182</v>
      </c>
      <c r="I1269" s="19" t="n">
        <v>9.289999999999999</v>
      </c>
      <c r="J1269" s="19" t="n">
        <v>9</v>
      </c>
      <c r="K1269" s="20" t="n">
        <v>0</v>
      </c>
      <c r="L1269" s="20" t="n">
        <v>0</v>
      </c>
      <c r="M1269" s="18" t="n">
        <v>182</v>
      </c>
      <c r="N1269" s="18" t="n">
        <v>182</v>
      </c>
      <c r="O1269" s="18" t="n">
        <v>0</v>
      </c>
      <c r="P1269" s="17" t="n">
        <v>45769</v>
      </c>
      <c r="Q1269" s="17" t="n">
        <v>45769</v>
      </c>
      <c r="R1269" s="17" t="n">
        <v>45769</v>
      </c>
      <c r="S1269" s="19">
        <f>H1269*I1269</f>
        <v/>
      </c>
      <c r="T1269" s="19">
        <f>H1269*J1269</f>
        <v/>
      </c>
      <c r="U1269">
        <f>IF(AND(K1269=0,G1269&lt;=Assumptions!$C$6),1,0)</f>
        <v/>
      </c>
      <c r="V1269">
        <f>IF(U1269=1,IF(M1269&gt;0,IF(P1269&lt;=G1269+Assumptions!$C$7,1,0),0),0)</f>
        <v/>
      </c>
      <c r="W1269">
        <f>IF(AND(U1269=1,M1269&gt;=H1269*(1-Assumptions!$C$8)),1,0)</f>
        <v/>
      </c>
      <c r="X1269">
        <f>IF(AND(U1269=1,N1269&gt;=H1269*(1-Assumptions!$C$8)),1,0)</f>
        <v/>
      </c>
      <c r="Y1269">
        <f>IF(ISNUMBER(Q1269),1,0)</f>
        <v/>
      </c>
      <c r="Z1269">
        <f>IF(AND(K1269=0,L1269=0,Y1269=0),1,0)</f>
        <v/>
      </c>
      <c r="AA1269">
        <f>IF(AND(Z1269=1,G1269&lt;Assumptions!$C$6),1,0)</f>
        <v/>
      </c>
      <c r="AB1269">
        <f>IF(U1269=0,"",IF(Y1269=1,MAX(0,Q1269-G1269),IF(L1269=1,MAX(0,R1269-G1269),MAX(0,Assumptions!$C$6-G1269))))</f>
        <v/>
      </c>
      <c r="AC1269">
        <f>IF(Y1269=1,Q1269-F1269,"")</f>
        <v/>
      </c>
      <c r="AD1269">
        <f>IF(Y1269=1,AC1269^2,"")</f>
        <v/>
      </c>
      <c r="AE1269" s="19">
        <f>IF(Z1269=1,(H1269-M1269)*I1269,0)</f>
        <v/>
      </c>
      <c r="AF1269">
        <f>IF(G1269&lt;EDATE(Assumptions!$C$6,-12)+1,"prior_12m","last_12m")</f>
        <v/>
      </c>
      <c r="AG1269" s="21">
        <f>DATE(YEAR(G1269),MONTH(G1269),1)</f>
        <v/>
      </c>
    </row>
    <row r="1270">
      <c r="A1270" t="inlineStr">
        <is>
          <t>SPO-00691-3</t>
        </is>
      </c>
      <c r="B1270" t="inlineStr">
        <is>
          <t>SPO-00691</t>
        </is>
      </c>
      <c r="C1270" t="inlineStr">
        <is>
          <t>SUP-05</t>
        </is>
      </c>
      <c r="D1270" t="inlineStr">
        <is>
          <t>FLEET</t>
        </is>
      </c>
      <c r="E1270" t="inlineStr">
        <is>
          <t>FLEET-03</t>
        </is>
      </c>
      <c r="F1270" s="17" t="n">
        <v>45756</v>
      </c>
      <c r="G1270" s="17" t="n">
        <v>45770</v>
      </c>
      <c r="H1270" s="18" t="n">
        <v>124</v>
      </c>
      <c r="I1270" s="19" t="n">
        <v>20.67</v>
      </c>
      <c r="J1270" s="19" t="n">
        <v>21</v>
      </c>
      <c r="K1270" s="20" t="n">
        <v>0</v>
      </c>
      <c r="L1270" s="20" t="n">
        <v>0</v>
      </c>
      <c r="M1270" s="18" t="n">
        <v>124</v>
      </c>
      <c r="N1270" s="18" t="n">
        <v>124</v>
      </c>
      <c r="O1270" s="18" t="n">
        <v>0</v>
      </c>
      <c r="P1270" s="17" t="n">
        <v>45766</v>
      </c>
      <c r="Q1270" s="17" t="n">
        <v>45766</v>
      </c>
      <c r="R1270" s="17" t="n">
        <v>45766</v>
      </c>
      <c r="S1270" s="19">
        <f>H1270*I1270</f>
        <v/>
      </c>
      <c r="T1270" s="19">
        <f>H1270*J1270</f>
        <v/>
      </c>
      <c r="U1270">
        <f>IF(AND(K1270=0,G1270&lt;=Assumptions!$C$6),1,0)</f>
        <v/>
      </c>
      <c r="V1270">
        <f>IF(U1270=1,IF(M1270&gt;0,IF(P1270&lt;=G1270+Assumptions!$C$7,1,0),0),0)</f>
        <v/>
      </c>
      <c r="W1270">
        <f>IF(AND(U1270=1,M1270&gt;=H1270*(1-Assumptions!$C$8)),1,0)</f>
        <v/>
      </c>
      <c r="X1270">
        <f>IF(AND(U1270=1,N1270&gt;=H1270*(1-Assumptions!$C$8)),1,0)</f>
        <v/>
      </c>
      <c r="Y1270">
        <f>IF(ISNUMBER(Q1270),1,0)</f>
        <v/>
      </c>
      <c r="Z1270">
        <f>IF(AND(K1270=0,L1270=0,Y1270=0),1,0)</f>
        <v/>
      </c>
      <c r="AA1270">
        <f>IF(AND(Z1270=1,G1270&lt;Assumptions!$C$6),1,0)</f>
        <v/>
      </c>
      <c r="AB1270">
        <f>IF(U1270=0,"",IF(Y1270=1,MAX(0,Q1270-G1270),IF(L1270=1,MAX(0,R1270-G1270),MAX(0,Assumptions!$C$6-G1270))))</f>
        <v/>
      </c>
      <c r="AC1270">
        <f>IF(Y1270=1,Q1270-F1270,"")</f>
        <v/>
      </c>
      <c r="AD1270">
        <f>IF(Y1270=1,AC1270^2,"")</f>
        <v/>
      </c>
      <c r="AE1270" s="19">
        <f>IF(Z1270=1,(H1270-M1270)*I1270,0)</f>
        <v/>
      </c>
      <c r="AF1270">
        <f>IF(G1270&lt;EDATE(Assumptions!$C$6,-12)+1,"prior_12m","last_12m")</f>
        <v/>
      </c>
      <c r="AG1270" s="21">
        <f>DATE(YEAR(G1270),MONTH(G1270),1)</f>
        <v/>
      </c>
    </row>
    <row r="1271">
      <c r="A1271" t="inlineStr">
        <is>
          <t>SPO-00692-1</t>
        </is>
      </c>
      <c r="B1271" t="inlineStr">
        <is>
          <t>SPO-00692</t>
        </is>
      </c>
      <c r="C1271" t="inlineStr">
        <is>
          <t>SUP-01</t>
        </is>
      </c>
      <c r="D1271" t="inlineStr">
        <is>
          <t>ELEC</t>
        </is>
      </c>
      <c r="E1271" t="inlineStr">
        <is>
          <t>ELEC-01</t>
        </is>
      </c>
      <c r="F1271" s="17" t="n">
        <v>45757</v>
      </c>
      <c r="G1271" s="17" t="n">
        <v>45775</v>
      </c>
      <c r="H1271" s="18" t="n">
        <v>45</v>
      </c>
      <c r="I1271" s="19" t="n">
        <v>38.97</v>
      </c>
      <c r="J1271" s="19" t="n">
        <v>38</v>
      </c>
      <c r="K1271" s="20" t="n">
        <v>0</v>
      </c>
      <c r="L1271" s="20" t="n">
        <v>0</v>
      </c>
      <c r="M1271" s="18" t="n">
        <v>45</v>
      </c>
      <c r="N1271" s="18" t="n">
        <v>45</v>
      </c>
      <c r="O1271" s="18" t="n">
        <v>0</v>
      </c>
      <c r="P1271" s="17" t="n">
        <v>45772</v>
      </c>
      <c r="Q1271" s="17" t="n">
        <v>45772</v>
      </c>
      <c r="R1271" s="17" t="n">
        <v>45772</v>
      </c>
      <c r="S1271" s="19">
        <f>H1271*I1271</f>
        <v/>
      </c>
      <c r="T1271" s="19">
        <f>H1271*J1271</f>
        <v/>
      </c>
      <c r="U1271">
        <f>IF(AND(K1271=0,G1271&lt;=Assumptions!$C$6),1,0)</f>
        <v/>
      </c>
      <c r="V1271">
        <f>IF(U1271=1,IF(M1271&gt;0,IF(P1271&lt;=G1271+Assumptions!$C$7,1,0),0),0)</f>
        <v/>
      </c>
      <c r="W1271">
        <f>IF(AND(U1271=1,M1271&gt;=H1271*(1-Assumptions!$C$8)),1,0)</f>
        <v/>
      </c>
      <c r="X1271">
        <f>IF(AND(U1271=1,N1271&gt;=H1271*(1-Assumptions!$C$8)),1,0)</f>
        <v/>
      </c>
      <c r="Y1271">
        <f>IF(ISNUMBER(Q1271),1,0)</f>
        <v/>
      </c>
      <c r="Z1271">
        <f>IF(AND(K1271=0,L1271=0,Y1271=0),1,0)</f>
        <v/>
      </c>
      <c r="AA1271">
        <f>IF(AND(Z1271=1,G1271&lt;Assumptions!$C$6),1,0)</f>
        <v/>
      </c>
      <c r="AB1271">
        <f>IF(U1271=0,"",IF(Y1271=1,MAX(0,Q1271-G1271),IF(L1271=1,MAX(0,R1271-G1271),MAX(0,Assumptions!$C$6-G1271))))</f>
        <v/>
      </c>
      <c r="AC1271">
        <f>IF(Y1271=1,Q1271-F1271,"")</f>
        <v/>
      </c>
      <c r="AD1271">
        <f>IF(Y1271=1,AC1271^2,"")</f>
        <v/>
      </c>
      <c r="AE1271" s="19">
        <f>IF(Z1271=1,(H1271-M1271)*I1271,0)</f>
        <v/>
      </c>
      <c r="AF1271">
        <f>IF(G1271&lt;EDATE(Assumptions!$C$6,-12)+1,"prior_12m","last_12m")</f>
        <v/>
      </c>
      <c r="AG1271" s="21">
        <f>DATE(YEAR(G1271),MONTH(G1271),1)</f>
        <v/>
      </c>
    </row>
    <row r="1272">
      <c r="A1272" t="inlineStr">
        <is>
          <t>SPO-00692-2</t>
        </is>
      </c>
      <c r="B1272" t="inlineStr">
        <is>
          <t>SPO-00692</t>
        </is>
      </c>
      <c r="C1272" t="inlineStr">
        <is>
          <t>SUP-01</t>
        </is>
      </c>
      <c r="D1272" t="inlineStr">
        <is>
          <t>ELEC</t>
        </is>
      </c>
      <c r="E1272" t="inlineStr">
        <is>
          <t>ELEC-06</t>
        </is>
      </c>
      <c r="F1272" s="17" t="n">
        <v>45757</v>
      </c>
      <c r="G1272" s="17" t="n">
        <v>45775</v>
      </c>
      <c r="H1272" s="18" t="n">
        <v>72</v>
      </c>
      <c r="I1272" s="19" t="n">
        <v>149.01</v>
      </c>
      <c r="J1272" s="19" t="n">
        <v>145</v>
      </c>
      <c r="K1272" s="20" t="n">
        <v>0</v>
      </c>
      <c r="L1272" s="20" t="n">
        <v>0</v>
      </c>
      <c r="M1272" s="18" t="n">
        <v>72</v>
      </c>
      <c r="N1272" s="18" t="n">
        <v>72</v>
      </c>
      <c r="O1272" s="18" t="n">
        <v>0</v>
      </c>
      <c r="P1272" s="17" t="n">
        <v>45771</v>
      </c>
      <c r="Q1272" s="17" t="n">
        <v>45771</v>
      </c>
      <c r="R1272" s="17" t="n">
        <v>45771</v>
      </c>
      <c r="S1272" s="19">
        <f>H1272*I1272</f>
        <v/>
      </c>
      <c r="T1272" s="19">
        <f>H1272*J1272</f>
        <v/>
      </c>
      <c r="U1272">
        <f>IF(AND(K1272=0,G1272&lt;=Assumptions!$C$6),1,0)</f>
        <v/>
      </c>
      <c r="V1272">
        <f>IF(U1272=1,IF(M1272&gt;0,IF(P1272&lt;=G1272+Assumptions!$C$7,1,0),0),0)</f>
        <v/>
      </c>
      <c r="W1272">
        <f>IF(AND(U1272=1,M1272&gt;=H1272*(1-Assumptions!$C$8)),1,0)</f>
        <v/>
      </c>
      <c r="X1272">
        <f>IF(AND(U1272=1,N1272&gt;=H1272*(1-Assumptions!$C$8)),1,0)</f>
        <v/>
      </c>
      <c r="Y1272">
        <f>IF(ISNUMBER(Q1272),1,0)</f>
        <v/>
      </c>
      <c r="Z1272">
        <f>IF(AND(K1272=0,L1272=0,Y1272=0),1,0)</f>
        <v/>
      </c>
      <c r="AA1272">
        <f>IF(AND(Z1272=1,G1272&lt;Assumptions!$C$6),1,0)</f>
        <v/>
      </c>
      <c r="AB1272">
        <f>IF(U1272=0,"",IF(Y1272=1,MAX(0,Q1272-G1272),IF(L1272=1,MAX(0,R1272-G1272),MAX(0,Assumptions!$C$6-G1272))))</f>
        <v/>
      </c>
      <c r="AC1272">
        <f>IF(Y1272=1,Q1272-F1272,"")</f>
        <v/>
      </c>
      <c r="AD1272">
        <f>IF(Y1272=1,AC1272^2,"")</f>
        <v/>
      </c>
      <c r="AE1272" s="19">
        <f>IF(Z1272=1,(H1272-M1272)*I1272,0)</f>
        <v/>
      </c>
      <c r="AF1272">
        <f>IF(G1272&lt;EDATE(Assumptions!$C$6,-12)+1,"prior_12m","last_12m")</f>
        <v/>
      </c>
      <c r="AG1272" s="21">
        <f>DATE(YEAR(G1272),MONTH(G1272),1)</f>
        <v/>
      </c>
    </row>
    <row r="1273">
      <c r="A1273" t="inlineStr">
        <is>
          <t>SPO-00693-1</t>
        </is>
      </c>
      <c r="B1273" t="inlineStr">
        <is>
          <t>SPO-00693</t>
        </is>
      </c>
      <c r="C1273" t="inlineStr">
        <is>
          <t>SUP-05</t>
        </is>
      </c>
      <c r="D1273" t="inlineStr">
        <is>
          <t>FLEET</t>
        </is>
      </c>
      <c r="E1273" t="inlineStr">
        <is>
          <t>FLEET-06</t>
        </is>
      </c>
      <c r="F1273" s="17" t="n">
        <v>45757</v>
      </c>
      <c r="G1273" s="17" t="n">
        <v>45771</v>
      </c>
      <c r="H1273" s="18" t="n">
        <v>26</v>
      </c>
      <c r="I1273" s="19" t="n">
        <v>33.06</v>
      </c>
      <c r="J1273" s="19" t="n">
        <v>33</v>
      </c>
      <c r="K1273" s="20" t="n">
        <v>0</v>
      </c>
      <c r="L1273" s="20" t="n">
        <v>0</v>
      </c>
      <c r="M1273" s="18" t="n">
        <v>26</v>
      </c>
      <c r="N1273" s="18" t="n">
        <v>26</v>
      </c>
      <c r="O1273" s="18" t="n">
        <v>0</v>
      </c>
      <c r="P1273" s="17" t="n">
        <v>45766</v>
      </c>
      <c r="Q1273" s="17" t="n">
        <v>45766</v>
      </c>
      <c r="R1273" s="17" t="n">
        <v>45766</v>
      </c>
      <c r="S1273" s="19">
        <f>H1273*I1273</f>
        <v/>
      </c>
      <c r="T1273" s="19">
        <f>H1273*J1273</f>
        <v/>
      </c>
      <c r="U1273">
        <f>IF(AND(K1273=0,G1273&lt;=Assumptions!$C$6),1,0)</f>
        <v/>
      </c>
      <c r="V1273">
        <f>IF(U1273=1,IF(M1273&gt;0,IF(P1273&lt;=G1273+Assumptions!$C$7,1,0),0),0)</f>
        <v/>
      </c>
      <c r="W1273">
        <f>IF(AND(U1273=1,M1273&gt;=H1273*(1-Assumptions!$C$8)),1,0)</f>
        <v/>
      </c>
      <c r="X1273">
        <f>IF(AND(U1273=1,N1273&gt;=H1273*(1-Assumptions!$C$8)),1,0)</f>
        <v/>
      </c>
      <c r="Y1273">
        <f>IF(ISNUMBER(Q1273),1,0)</f>
        <v/>
      </c>
      <c r="Z1273">
        <f>IF(AND(K1273=0,L1273=0,Y1273=0),1,0)</f>
        <v/>
      </c>
      <c r="AA1273">
        <f>IF(AND(Z1273=1,G1273&lt;Assumptions!$C$6),1,0)</f>
        <v/>
      </c>
      <c r="AB1273">
        <f>IF(U1273=0,"",IF(Y1273=1,MAX(0,Q1273-G1273),IF(L1273=1,MAX(0,R1273-G1273),MAX(0,Assumptions!$C$6-G1273))))</f>
        <v/>
      </c>
      <c r="AC1273">
        <f>IF(Y1273=1,Q1273-F1273,"")</f>
        <v/>
      </c>
      <c r="AD1273">
        <f>IF(Y1273=1,AC1273^2,"")</f>
        <v/>
      </c>
      <c r="AE1273" s="19">
        <f>IF(Z1273=1,(H1273-M1273)*I1273,0)</f>
        <v/>
      </c>
      <c r="AF1273">
        <f>IF(G1273&lt;EDATE(Assumptions!$C$6,-12)+1,"prior_12m","last_12m")</f>
        <v/>
      </c>
      <c r="AG1273" s="21">
        <f>DATE(YEAR(G1273),MONTH(G1273),1)</f>
        <v/>
      </c>
    </row>
    <row r="1274">
      <c r="A1274" t="inlineStr">
        <is>
          <t>SPO-00693-2</t>
        </is>
      </c>
      <c r="B1274" t="inlineStr">
        <is>
          <t>SPO-00693</t>
        </is>
      </c>
      <c r="C1274" t="inlineStr">
        <is>
          <t>SUP-05</t>
        </is>
      </c>
      <c r="D1274" t="inlineStr">
        <is>
          <t>FLEET</t>
        </is>
      </c>
      <c r="E1274" t="inlineStr">
        <is>
          <t>FLEET-07</t>
        </is>
      </c>
      <c r="F1274" s="17" t="n">
        <v>45757</v>
      </c>
      <c r="G1274" s="17" t="n">
        <v>45771</v>
      </c>
      <c r="H1274" s="18" t="n">
        <v>20</v>
      </c>
      <c r="I1274" s="19" t="n">
        <v>120.09</v>
      </c>
      <c r="J1274" s="19" t="n">
        <v>118</v>
      </c>
      <c r="K1274" s="20" t="n">
        <v>0</v>
      </c>
      <c r="L1274" s="20" t="n">
        <v>0</v>
      </c>
      <c r="M1274" s="18" t="n">
        <v>20</v>
      </c>
      <c r="N1274" s="18" t="n">
        <v>20</v>
      </c>
      <c r="O1274" s="18" t="n">
        <v>0</v>
      </c>
      <c r="P1274" s="17" t="n">
        <v>45764</v>
      </c>
      <c r="Q1274" s="17" t="n">
        <v>45764</v>
      </c>
      <c r="R1274" s="17" t="n">
        <v>45764</v>
      </c>
      <c r="S1274" s="19">
        <f>H1274*I1274</f>
        <v/>
      </c>
      <c r="T1274" s="19">
        <f>H1274*J1274</f>
        <v/>
      </c>
      <c r="U1274">
        <f>IF(AND(K1274=0,G1274&lt;=Assumptions!$C$6),1,0)</f>
        <v/>
      </c>
      <c r="V1274">
        <f>IF(U1274=1,IF(M1274&gt;0,IF(P1274&lt;=G1274+Assumptions!$C$7,1,0),0),0)</f>
        <v/>
      </c>
      <c r="W1274">
        <f>IF(AND(U1274=1,M1274&gt;=H1274*(1-Assumptions!$C$8)),1,0)</f>
        <v/>
      </c>
      <c r="X1274">
        <f>IF(AND(U1274=1,N1274&gt;=H1274*(1-Assumptions!$C$8)),1,0)</f>
        <v/>
      </c>
      <c r="Y1274">
        <f>IF(ISNUMBER(Q1274),1,0)</f>
        <v/>
      </c>
      <c r="Z1274">
        <f>IF(AND(K1274=0,L1274=0,Y1274=0),1,0)</f>
        <v/>
      </c>
      <c r="AA1274">
        <f>IF(AND(Z1274=1,G1274&lt;Assumptions!$C$6),1,0)</f>
        <v/>
      </c>
      <c r="AB1274">
        <f>IF(U1274=0,"",IF(Y1274=1,MAX(0,Q1274-G1274),IF(L1274=1,MAX(0,R1274-G1274),MAX(0,Assumptions!$C$6-G1274))))</f>
        <v/>
      </c>
      <c r="AC1274">
        <f>IF(Y1274=1,Q1274-F1274,"")</f>
        <v/>
      </c>
      <c r="AD1274">
        <f>IF(Y1274=1,AC1274^2,"")</f>
        <v/>
      </c>
      <c r="AE1274" s="19">
        <f>IF(Z1274=1,(H1274-M1274)*I1274,0)</f>
        <v/>
      </c>
      <c r="AF1274">
        <f>IF(G1274&lt;EDATE(Assumptions!$C$6,-12)+1,"prior_12m","last_12m")</f>
        <v/>
      </c>
      <c r="AG1274" s="21">
        <f>DATE(YEAR(G1274),MONTH(G1274),1)</f>
        <v/>
      </c>
    </row>
    <row r="1275">
      <c r="A1275" t="inlineStr">
        <is>
          <t>SPO-00694-1</t>
        </is>
      </c>
      <c r="B1275" t="inlineStr">
        <is>
          <t>SPO-00694</t>
        </is>
      </c>
      <c r="C1275" t="inlineStr">
        <is>
          <t>SUP-09</t>
        </is>
      </c>
      <c r="D1275" t="inlineStr">
        <is>
          <t>CHEM</t>
        </is>
      </c>
      <c r="E1275" t="inlineStr">
        <is>
          <t>CHEM-04</t>
        </is>
      </c>
      <c r="F1275" s="17" t="n">
        <v>45757</v>
      </c>
      <c r="G1275" s="17" t="n">
        <v>45771</v>
      </c>
      <c r="H1275" s="18" t="n">
        <v>2</v>
      </c>
      <c r="I1275" s="19" t="n">
        <v>854.21</v>
      </c>
      <c r="J1275" s="19" t="n">
        <v>820</v>
      </c>
      <c r="K1275" s="20" t="n">
        <v>0</v>
      </c>
      <c r="L1275" s="20" t="n">
        <v>0</v>
      </c>
      <c r="M1275" s="18" t="n">
        <v>2</v>
      </c>
      <c r="N1275" s="18" t="n">
        <v>1</v>
      </c>
      <c r="O1275" s="18" t="n">
        <v>0</v>
      </c>
      <c r="P1275" s="17" t="n">
        <v>45771</v>
      </c>
      <c r="Q1275" s="17" t="n">
        <v>45781</v>
      </c>
      <c r="R1275" s="17" t="n">
        <v>45781</v>
      </c>
      <c r="S1275" s="19">
        <f>H1275*I1275</f>
        <v/>
      </c>
      <c r="T1275" s="19">
        <f>H1275*J1275</f>
        <v/>
      </c>
      <c r="U1275">
        <f>IF(AND(K1275=0,G1275&lt;=Assumptions!$C$6),1,0)</f>
        <v/>
      </c>
      <c r="V1275">
        <f>IF(U1275=1,IF(M1275&gt;0,IF(P1275&lt;=G1275+Assumptions!$C$7,1,0),0),0)</f>
        <v/>
      </c>
      <c r="W1275">
        <f>IF(AND(U1275=1,M1275&gt;=H1275*(1-Assumptions!$C$8)),1,0)</f>
        <v/>
      </c>
      <c r="X1275">
        <f>IF(AND(U1275=1,N1275&gt;=H1275*(1-Assumptions!$C$8)),1,0)</f>
        <v/>
      </c>
      <c r="Y1275">
        <f>IF(ISNUMBER(Q1275),1,0)</f>
        <v/>
      </c>
      <c r="Z1275">
        <f>IF(AND(K1275=0,L1275=0,Y1275=0),1,0)</f>
        <v/>
      </c>
      <c r="AA1275">
        <f>IF(AND(Z1275=1,G1275&lt;Assumptions!$C$6),1,0)</f>
        <v/>
      </c>
      <c r="AB1275">
        <f>IF(U1275=0,"",IF(Y1275=1,MAX(0,Q1275-G1275),IF(L1275=1,MAX(0,R1275-G1275),MAX(0,Assumptions!$C$6-G1275))))</f>
        <v/>
      </c>
      <c r="AC1275">
        <f>IF(Y1275=1,Q1275-F1275,"")</f>
        <v/>
      </c>
      <c r="AD1275">
        <f>IF(Y1275=1,AC1275^2,"")</f>
        <v/>
      </c>
      <c r="AE1275" s="19">
        <f>IF(Z1275=1,(H1275-M1275)*I1275,0)</f>
        <v/>
      </c>
      <c r="AF1275">
        <f>IF(G1275&lt;EDATE(Assumptions!$C$6,-12)+1,"prior_12m","last_12m")</f>
        <v/>
      </c>
      <c r="AG1275" s="21">
        <f>DATE(YEAR(G1275),MONTH(G1275),1)</f>
        <v/>
      </c>
    </row>
    <row r="1276">
      <c r="A1276" t="inlineStr">
        <is>
          <t>SPO-00695-1</t>
        </is>
      </c>
      <c r="B1276" t="inlineStr">
        <is>
          <t>SPO-00695</t>
        </is>
      </c>
      <c r="C1276" t="inlineStr">
        <is>
          <t>SUP-02</t>
        </is>
      </c>
      <c r="D1276" t="inlineStr">
        <is>
          <t>ELEC</t>
        </is>
      </c>
      <c r="E1276" t="inlineStr">
        <is>
          <t>ELEC-01</t>
        </is>
      </c>
      <c r="F1276" s="17" t="n">
        <v>45757</v>
      </c>
      <c r="G1276" s="17" t="n">
        <v>45773</v>
      </c>
      <c r="H1276" s="18" t="n">
        <v>32</v>
      </c>
      <c r="I1276" s="19" t="n">
        <v>36.7</v>
      </c>
      <c r="J1276" s="19" t="n">
        <v>38</v>
      </c>
      <c r="K1276" s="20" t="n">
        <v>0</v>
      </c>
      <c r="L1276" s="20" t="n">
        <v>0</v>
      </c>
      <c r="M1276" s="18" t="n">
        <v>32</v>
      </c>
      <c r="N1276" s="18" t="n">
        <v>0</v>
      </c>
      <c r="O1276" s="18" t="n">
        <v>0</v>
      </c>
      <c r="P1276" s="17" t="n">
        <v>45774</v>
      </c>
      <c r="Q1276" s="17" t="n">
        <v>45774</v>
      </c>
      <c r="R1276" s="17" t="n">
        <v>45774</v>
      </c>
      <c r="S1276" s="19">
        <f>H1276*I1276</f>
        <v/>
      </c>
      <c r="T1276" s="19">
        <f>H1276*J1276</f>
        <v/>
      </c>
      <c r="U1276">
        <f>IF(AND(K1276=0,G1276&lt;=Assumptions!$C$6),1,0)</f>
        <v/>
      </c>
      <c r="V1276">
        <f>IF(U1276=1,IF(M1276&gt;0,IF(P1276&lt;=G1276+Assumptions!$C$7,1,0),0),0)</f>
        <v/>
      </c>
      <c r="W1276">
        <f>IF(AND(U1276=1,M1276&gt;=H1276*(1-Assumptions!$C$8)),1,0)</f>
        <v/>
      </c>
      <c r="X1276">
        <f>IF(AND(U1276=1,N1276&gt;=H1276*(1-Assumptions!$C$8)),1,0)</f>
        <v/>
      </c>
      <c r="Y1276">
        <f>IF(ISNUMBER(Q1276),1,0)</f>
        <v/>
      </c>
      <c r="Z1276">
        <f>IF(AND(K1276=0,L1276=0,Y1276=0),1,0)</f>
        <v/>
      </c>
      <c r="AA1276">
        <f>IF(AND(Z1276=1,G1276&lt;Assumptions!$C$6),1,0)</f>
        <v/>
      </c>
      <c r="AB1276">
        <f>IF(U1276=0,"",IF(Y1276=1,MAX(0,Q1276-G1276),IF(L1276=1,MAX(0,R1276-G1276),MAX(0,Assumptions!$C$6-G1276))))</f>
        <v/>
      </c>
      <c r="AC1276">
        <f>IF(Y1276=1,Q1276-F1276,"")</f>
        <v/>
      </c>
      <c r="AD1276">
        <f>IF(Y1276=1,AC1276^2,"")</f>
        <v/>
      </c>
      <c r="AE1276" s="19">
        <f>IF(Z1276=1,(H1276-M1276)*I1276,0)</f>
        <v/>
      </c>
      <c r="AF1276">
        <f>IF(G1276&lt;EDATE(Assumptions!$C$6,-12)+1,"prior_12m","last_12m")</f>
        <v/>
      </c>
      <c r="AG1276" s="21">
        <f>DATE(YEAR(G1276),MONTH(G1276),1)</f>
        <v/>
      </c>
    </row>
    <row r="1277">
      <c r="A1277" t="inlineStr">
        <is>
          <t>SPO-00695-2</t>
        </is>
      </c>
      <c r="B1277" t="inlineStr">
        <is>
          <t>SPO-00695</t>
        </is>
      </c>
      <c r="C1277" t="inlineStr">
        <is>
          <t>SUP-02</t>
        </is>
      </c>
      <c r="D1277" t="inlineStr">
        <is>
          <t>ELEC</t>
        </is>
      </c>
      <c r="E1277" t="inlineStr">
        <is>
          <t>ELEC-03</t>
        </is>
      </c>
      <c r="F1277" s="17" t="n">
        <v>45757</v>
      </c>
      <c r="G1277" s="17" t="n">
        <v>45773</v>
      </c>
      <c r="H1277" s="18" t="n">
        <v>20</v>
      </c>
      <c r="I1277" s="19" t="n">
        <v>96.43000000000001</v>
      </c>
      <c r="J1277" s="19" t="n">
        <v>96</v>
      </c>
      <c r="K1277" s="20" t="n">
        <v>0</v>
      </c>
      <c r="L1277" s="20" t="n">
        <v>0</v>
      </c>
      <c r="M1277" s="18" t="n">
        <v>20</v>
      </c>
      <c r="N1277" s="18" t="n">
        <v>20</v>
      </c>
      <c r="O1277" s="18" t="n">
        <v>0</v>
      </c>
      <c r="P1277" s="17" t="n">
        <v>45771</v>
      </c>
      <c r="Q1277" s="17" t="n">
        <v>45771</v>
      </c>
      <c r="R1277" s="17" t="n">
        <v>45771</v>
      </c>
      <c r="S1277" s="19">
        <f>H1277*I1277</f>
        <v/>
      </c>
      <c r="T1277" s="19">
        <f>H1277*J1277</f>
        <v/>
      </c>
      <c r="U1277">
        <f>IF(AND(K1277=0,G1277&lt;=Assumptions!$C$6),1,0)</f>
        <v/>
      </c>
      <c r="V1277">
        <f>IF(U1277=1,IF(M1277&gt;0,IF(P1277&lt;=G1277+Assumptions!$C$7,1,0),0),0)</f>
        <v/>
      </c>
      <c r="W1277">
        <f>IF(AND(U1277=1,M1277&gt;=H1277*(1-Assumptions!$C$8)),1,0)</f>
        <v/>
      </c>
      <c r="X1277">
        <f>IF(AND(U1277=1,N1277&gt;=H1277*(1-Assumptions!$C$8)),1,0)</f>
        <v/>
      </c>
      <c r="Y1277">
        <f>IF(ISNUMBER(Q1277),1,0)</f>
        <v/>
      </c>
      <c r="Z1277">
        <f>IF(AND(K1277=0,L1277=0,Y1277=0),1,0)</f>
        <v/>
      </c>
      <c r="AA1277">
        <f>IF(AND(Z1277=1,G1277&lt;Assumptions!$C$6),1,0)</f>
        <v/>
      </c>
      <c r="AB1277">
        <f>IF(U1277=0,"",IF(Y1277=1,MAX(0,Q1277-G1277),IF(L1277=1,MAX(0,R1277-G1277),MAX(0,Assumptions!$C$6-G1277))))</f>
        <v/>
      </c>
      <c r="AC1277">
        <f>IF(Y1277=1,Q1277-F1277,"")</f>
        <v/>
      </c>
      <c r="AD1277">
        <f>IF(Y1277=1,AC1277^2,"")</f>
        <v/>
      </c>
      <c r="AE1277" s="19">
        <f>IF(Z1277=1,(H1277-M1277)*I1277,0)</f>
        <v/>
      </c>
      <c r="AF1277">
        <f>IF(G1277&lt;EDATE(Assumptions!$C$6,-12)+1,"prior_12m","last_12m")</f>
        <v/>
      </c>
      <c r="AG1277" s="21">
        <f>DATE(YEAR(G1277),MONTH(G1277),1)</f>
        <v/>
      </c>
    </row>
    <row r="1278">
      <c r="A1278" t="inlineStr">
        <is>
          <t>SPO-00695-3</t>
        </is>
      </c>
      <c r="B1278" t="inlineStr">
        <is>
          <t>SPO-00695</t>
        </is>
      </c>
      <c r="C1278" t="inlineStr">
        <is>
          <t>SUP-02</t>
        </is>
      </c>
      <c r="D1278" t="inlineStr">
        <is>
          <t>ELEC</t>
        </is>
      </c>
      <c r="E1278" t="inlineStr">
        <is>
          <t>ELEC-07</t>
        </is>
      </c>
      <c r="F1278" s="17" t="n">
        <v>45757</v>
      </c>
      <c r="G1278" s="17" t="n">
        <v>45773</v>
      </c>
      <c r="H1278" s="18" t="n">
        <v>156</v>
      </c>
      <c r="I1278" s="19" t="n">
        <v>10.27</v>
      </c>
      <c r="J1278" s="19" t="n">
        <v>9.800000000000001</v>
      </c>
      <c r="K1278" s="20" t="n">
        <v>0</v>
      </c>
      <c r="L1278" s="20" t="n">
        <v>0</v>
      </c>
      <c r="M1278" s="18" t="n">
        <v>156</v>
      </c>
      <c r="N1278" s="18" t="n">
        <v>156</v>
      </c>
      <c r="O1278" s="18" t="n">
        <v>0</v>
      </c>
      <c r="P1278" s="17" t="n">
        <v>45770</v>
      </c>
      <c r="Q1278" s="17" t="n">
        <v>45770</v>
      </c>
      <c r="R1278" s="17" t="n">
        <v>45770</v>
      </c>
      <c r="S1278" s="19">
        <f>H1278*I1278</f>
        <v/>
      </c>
      <c r="T1278" s="19">
        <f>H1278*J1278</f>
        <v/>
      </c>
      <c r="U1278">
        <f>IF(AND(K1278=0,G1278&lt;=Assumptions!$C$6),1,0)</f>
        <v/>
      </c>
      <c r="V1278">
        <f>IF(U1278=1,IF(M1278&gt;0,IF(P1278&lt;=G1278+Assumptions!$C$7,1,0),0),0)</f>
        <v/>
      </c>
      <c r="W1278">
        <f>IF(AND(U1278=1,M1278&gt;=H1278*(1-Assumptions!$C$8)),1,0)</f>
        <v/>
      </c>
      <c r="X1278">
        <f>IF(AND(U1278=1,N1278&gt;=H1278*(1-Assumptions!$C$8)),1,0)</f>
        <v/>
      </c>
      <c r="Y1278">
        <f>IF(ISNUMBER(Q1278),1,0)</f>
        <v/>
      </c>
      <c r="Z1278">
        <f>IF(AND(K1278=0,L1278=0,Y1278=0),1,0)</f>
        <v/>
      </c>
      <c r="AA1278">
        <f>IF(AND(Z1278=1,G1278&lt;Assumptions!$C$6),1,0)</f>
        <v/>
      </c>
      <c r="AB1278">
        <f>IF(U1278=0,"",IF(Y1278=1,MAX(0,Q1278-G1278),IF(L1278=1,MAX(0,R1278-G1278),MAX(0,Assumptions!$C$6-G1278))))</f>
        <v/>
      </c>
      <c r="AC1278">
        <f>IF(Y1278=1,Q1278-F1278,"")</f>
        <v/>
      </c>
      <c r="AD1278">
        <f>IF(Y1278=1,AC1278^2,"")</f>
        <v/>
      </c>
      <c r="AE1278" s="19">
        <f>IF(Z1278=1,(H1278-M1278)*I1278,0)</f>
        <v/>
      </c>
      <c r="AF1278">
        <f>IF(G1278&lt;EDATE(Assumptions!$C$6,-12)+1,"prior_12m","last_12m")</f>
        <v/>
      </c>
      <c r="AG1278" s="21">
        <f>DATE(YEAR(G1278),MONTH(G1278),1)</f>
        <v/>
      </c>
    </row>
    <row r="1279">
      <c r="A1279" t="inlineStr">
        <is>
          <t>SPO-00696-1</t>
        </is>
      </c>
      <c r="B1279" t="inlineStr">
        <is>
          <t>SPO-00696</t>
        </is>
      </c>
      <c r="C1279" t="inlineStr">
        <is>
          <t>SUP-01</t>
        </is>
      </c>
      <c r="D1279" t="inlineStr">
        <is>
          <t>ELEC</t>
        </is>
      </c>
      <c r="E1279" t="inlineStr">
        <is>
          <t>ELEC-01</t>
        </is>
      </c>
      <c r="F1279" s="17" t="n">
        <v>45758</v>
      </c>
      <c r="G1279" s="17" t="n">
        <v>45776</v>
      </c>
      <c r="H1279" s="18" t="n">
        <v>66</v>
      </c>
      <c r="I1279" s="19" t="n">
        <v>36.95</v>
      </c>
      <c r="J1279" s="19" t="n">
        <v>38</v>
      </c>
      <c r="K1279" s="20" t="n">
        <v>0</v>
      </c>
      <c r="L1279" s="20" t="n">
        <v>0</v>
      </c>
      <c r="M1279" s="18" t="n">
        <v>66</v>
      </c>
      <c r="N1279" s="18" t="n">
        <v>66</v>
      </c>
      <c r="O1279" s="18" t="n">
        <v>0</v>
      </c>
      <c r="P1279" s="17" t="n">
        <v>45769</v>
      </c>
      <c r="Q1279" s="17" t="n">
        <v>45769</v>
      </c>
      <c r="R1279" s="17" t="n">
        <v>45769</v>
      </c>
      <c r="S1279" s="19">
        <f>H1279*I1279</f>
        <v/>
      </c>
      <c r="T1279" s="19">
        <f>H1279*J1279</f>
        <v/>
      </c>
      <c r="U1279">
        <f>IF(AND(K1279=0,G1279&lt;=Assumptions!$C$6),1,0)</f>
        <v/>
      </c>
      <c r="V1279">
        <f>IF(U1279=1,IF(M1279&gt;0,IF(P1279&lt;=G1279+Assumptions!$C$7,1,0),0),0)</f>
        <v/>
      </c>
      <c r="W1279">
        <f>IF(AND(U1279=1,M1279&gt;=H1279*(1-Assumptions!$C$8)),1,0)</f>
        <v/>
      </c>
      <c r="X1279">
        <f>IF(AND(U1279=1,N1279&gt;=H1279*(1-Assumptions!$C$8)),1,0)</f>
        <v/>
      </c>
      <c r="Y1279">
        <f>IF(ISNUMBER(Q1279),1,0)</f>
        <v/>
      </c>
      <c r="Z1279">
        <f>IF(AND(K1279=0,L1279=0,Y1279=0),1,0)</f>
        <v/>
      </c>
      <c r="AA1279">
        <f>IF(AND(Z1279=1,G1279&lt;Assumptions!$C$6),1,0)</f>
        <v/>
      </c>
      <c r="AB1279">
        <f>IF(U1279=0,"",IF(Y1279=1,MAX(0,Q1279-G1279),IF(L1279=1,MAX(0,R1279-G1279),MAX(0,Assumptions!$C$6-G1279))))</f>
        <v/>
      </c>
      <c r="AC1279">
        <f>IF(Y1279=1,Q1279-F1279,"")</f>
        <v/>
      </c>
      <c r="AD1279">
        <f>IF(Y1279=1,AC1279^2,"")</f>
        <v/>
      </c>
      <c r="AE1279" s="19">
        <f>IF(Z1279=1,(H1279-M1279)*I1279,0)</f>
        <v/>
      </c>
      <c r="AF1279">
        <f>IF(G1279&lt;EDATE(Assumptions!$C$6,-12)+1,"prior_12m","last_12m")</f>
        <v/>
      </c>
      <c r="AG1279" s="21">
        <f>DATE(YEAR(G1279),MONTH(G1279),1)</f>
        <v/>
      </c>
    </row>
    <row r="1280">
      <c r="A1280" t="inlineStr">
        <is>
          <t>SPO-00696-2</t>
        </is>
      </c>
      <c r="B1280" t="inlineStr">
        <is>
          <t>SPO-00696</t>
        </is>
      </c>
      <c r="C1280" t="inlineStr">
        <is>
          <t>SUP-01</t>
        </is>
      </c>
      <c r="D1280" t="inlineStr">
        <is>
          <t>ELEC</t>
        </is>
      </c>
      <c r="E1280" t="inlineStr">
        <is>
          <t>ELEC-05</t>
        </is>
      </c>
      <c r="F1280" s="17" t="n">
        <v>45758</v>
      </c>
      <c r="G1280" s="17" t="n">
        <v>45776</v>
      </c>
      <c r="H1280" s="18" t="n">
        <v>150</v>
      </c>
      <c r="I1280" s="19" t="n">
        <v>11.89</v>
      </c>
      <c r="J1280" s="19" t="n">
        <v>11.5</v>
      </c>
      <c r="K1280" s="20" t="n">
        <v>0</v>
      </c>
      <c r="L1280" s="20" t="n">
        <v>0</v>
      </c>
      <c r="M1280" s="18" t="n">
        <v>150</v>
      </c>
      <c r="N1280" s="18" t="n">
        <v>79</v>
      </c>
      <c r="O1280" s="18" t="n">
        <v>0</v>
      </c>
      <c r="P1280" s="17" t="n">
        <v>45775</v>
      </c>
      <c r="Q1280" s="17" t="n">
        <v>45793</v>
      </c>
      <c r="R1280" s="17" t="n">
        <v>45793</v>
      </c>
      <c r="S1280" s="19">
        <f>H1280*I1280</f>
        <v/>
      </c>
      <c r="T1280" s="19">
        <f>H1280*J1280</f>
        <v/>
      </c>
      <c r="U1280">
        <f>IF(AND(K1280=0,G1280&lt;=Assumptions!$C$6),1,0)</f>
        <v/>
      </c>
      <c r="V1280">
        <f>IF(U1280=1,IF(M1280&gt;0,IF(P1280&lt;=G1280+Assumptions!$C$7,1,0),0),0)</f>
        <v/>
      </c>
      <c r="W1280">
        <f>IF(AND(U1280=1,M1280&gt;=H1280*(1-Assumptions!$C$8)),1,0)</f>
        <v/>
      </c>
      <c r="X1280">
        <f>IF(AND(U1280=1,N1280&gt;=H1280*(1-Assumptions!$C$8)),1,0)</f>
        <v/>
      </c>
      <c r="Y1280">
        <f>IF(ISNUMBER(Q1280),1,0)</f>
        <v/>
      </c>
      <c r="Z1280">
        <f>IF(AND(K1280=0,L1280=0,Y1280=0),1,0)</f>
        <v/>
      </c>
      <c r="AA1280">
        <f>IF(AND(Z1280=1,G1280&lt;Assumptions!$C$6),1,0)</f>
        <v/>
      </c>
      <c r="AB1280">
        <f>IF(U1280=0,"",IF(Y1280=1,MAX(0,Q1280-G1280),IF(L1280=1,MAX(0,R1280-G1280),MAX(0,Assumptions!$C$6-G1280))))</f>
        <v/>
      </c>
      <c r="AC1280">
        <f>IF(Y1280=1,Q1280-F1280,"")</f>
        <v/>
      </c>
      <c r="AD1280">
        <f>IF(Y1280=1,AC1280^2,"")</f>
        <v/>
      </c>
      <c r="AE1280" s="19">
        <f>IF(Z1280=1,(H1280-M1280)*I1280,0)</f>
        <v/>
      </c>
      <c r="AF1280">
        <f>IF(G1280&lt;EDATE(Assumptions!$C$6,-12)+1,"prior_12m","last_12m")</f>
        <v/>
      </c>
      <c r="AG1280" s="21">
        <f>DATE(YEAR(G1280),MONTH(G1280),1)</f>
        <v/>
      </c>
    </row>
    <row r="1281">
      <c r="A1281" t="inlineStr">
        <is>
          <t>SPO-00696-3</t>
        </is>
      </c>
      <c r="B1281" t="inlineStr">
        <is>
          <t>SPO-00696</t>
        </is>
      </c>
      <c r="C1281" t="inlineStr">
        <is>
          <t>SUP-01</t>
        </is>
      </c>
      <c r="D1281" t="inlineStr">
        <is>
          <t>ELEC</t>
        </is>
      </c>
      <c r="E1281" t="inlineStr">
        <is>
          <t>ELEC-07</t>
        </is>
      </c>
      <c r="F1281" s="17" t="n">
        <v>45758</v>
      </c>
      <c r="G1281" s="17" t="n">
        <v>45776</v>
      </c>
      <c r="H1281" s="18" t="n">
        <v>327</v>
      </c>
      <c r="I1281" s="19" t="n">
        <v>9.65</v>
      </c>
      <c r="J1281" s="19" t="n">
        <v>9.800000000000001</v>
      </c>
      <c r="K1281" s="20" t="n">
        <v>0</v>
      </c>
      <c r="L1281" s="20" t="n">
        <v>0</v>
      </c>
      <c r="M1281" s="18" t="n">
        <v>327</v>
      </c>
      <c r="N1281" s="18" t="n">
        <v>327</v>
      </c>
      <c r="O1281" s="18" t="n">
        <v>0</v>
      </c>
      <c r="P1281" s="17" t="n">
        <v>45774</v>
      </c>
      <c r="Q1281" s="17" t="n">
        <v>45774</v>
      </c>
      <c r="R1281" s="17" t="n">
        <v>45774</v>
      </c>
      <c r="S1281" s="19">
        <f>H1281*I1281</f>
        <v/>
      </c>
      <c r="T1281" s="19">
        <f>H1281*J1281</f>
        <v/>
      </c>
      <c r="U1281">
        <f>IF(AND(K1281=0,G1281&lt;=Assumptions!$C$6),1,0)</f>
        <v/>
      </c>
      <c r="V1281">
        <f>IF(U1281=1,IF(M1281&gt;0,IF(P1281&lt;=G1281+Assumptions!$C$7,1,0),0),0)</f>
        <v/>
      </c>
      <c r="W1281">
        <f>IF(AND(U1281=1,M1281&gt;=H1281*(1-Assumptions!$C$8)),1,0)</f>
        <v/>
      </c>
      <c r="X1281">
        <f>IF(AND(U1281=1,N1281&gt;=H1281*(1-Assumptions!$C$8)),1,0)</f>
        <v/>
      </c>
      <c r="Y1281">
        <f>IF(ISNUMBER(Q1281),1,0)</f>
        <v/>
      </c>
      <c r="Z1281">
        <f>IF(AND(K1281=0,L1281=0,Y1281=0),1,0)</f>
        <v/>
      </c>
      <c r="AA1281">
        <f>IF(AND(Z1281=1,G1281&lt;Assumptions!$C$6),1,0)</f>
        <v/>
      </c>
      <c r="AB1281">
        <f>IF(U1281=0,"",IF(Y1281=1,MAX(0,Q1281-G1281),IF(L1281=1,MAX(0,R1281-G1281),MAX(0,Assumptions!$C$6-G1281))))</f>
        <v/>
      </c>
      <c r="AC1281">
        <f>IF(Y1281=1,Q1281-F1281,"")</f>
        <v/>
      </c>
      <c r="AD1281">
        <f>IF(Y1281=1,AC1281^2,"")</f>
        <v/>
      </c>
      <c r="AE1281" s="19">
        <f>IF(Z1281=1,(H1281-M1281)*I1281,0)</f>
        <v/>
      </c>
      <c r="AF1281">
        <f>IF(G1281&lt;EDATE(Assumptions!$C$6,-12)+1,"prior_12m","last_12m")</f>
        <v/>
      </c>
      <c r="AG1281" s="21">
        <f>DATE(YEAR(G1281),MONTH(G1281),1)</f>
        <v/>
      </c>
    </row>
    <row r="1282">
      <c r="A1282" t="inlineStr">
        <is>
          <t>SPO-00697-1</t>
        </is>
      </c>
      <c r="B1282" t="inlineStr">
        <is>
          <t>SPO-00697</t>
        </is>
      </c>
      <c r="C1282" t="inlineStr">
        <is>
          <t>SUP-02</t>
        </is>
      </c>
      <c r="D1282" t="inlineStr">
        <is>
          <t>ELEC</t>
        </is>
      </c>
      <c r="E1282" t="inlineStr">
        <is>
          <t>ELEC-02</t>
        </is>
      </c>
      <c r="F1282" s="17" t="n">
        <v>45759</v>
      </c>
      <c r="G1282" s="17" t="n">
        <v>45775</v>
      </c>
      <c r="H1282" s="18" t="n">
        <v>494</v>
      </c>
      <c r="I1282" s="19" t="n">
        <v>4.04</v>
      </c>
      <c r="J1282" s="19" t="n">
        <v>4.2</v>
      </c>
      <c r="K1282" s="20" t="n">
        <v>0</v>
      </c>
      <c r="L1282" s="20" t="n">
        <v>0</v>
      </c>
      <c r="M1282" s="18" t="n">
        <v>494</v>
      </c>
      <c r="N1282" s="18" t="n">
        <v>494</v>
      </c>
      <c r="O1282" s="18" t="n">
        <v>0</v>
      </c>
      <c r="P1282" s="17" t="n">
        <v>45774</v>
      </c>
      <c r="Q1282" s="17" t="n">
        <v>45774</v>
      </c>
      <c r="R1282" s="17" t="n">
        <v>45774</v>
      </c>
      <c r="S1282" s="19">
        <f>H1282*I1282</f>
        <v/>
      </c>
      <c r="T1282" s="19">
        <f>H1282*J1282</f>
        <v/>
      </c>
      <c r="U1282">
        <f>IF(AND(K1282=0,G1282&lt;=Assumptions!$C$6),1,0)</f>
        <v/>
      </c>
      <c r="V1282">
        <f>IF(U1282=1,IF(M1282&gt;0,IF(P1282&lt;=G1282+Assumptions!$C$7,1,0),0),0)</f>
        <v/>
      </c>
      <c r="W1282">
        <f>IF(AND(U1282=1,M1282&gt;=H1282*(1-Assumptions!$C$8)),1,0)</f>
        <v/>
      </c>
      <c r="X1282">
        <f>IF(AND(U1282=1,N1282&gt;=H1282*(1-Assumptions!$C$8)),1,0)</f>
        <v/>
      </c>
      <c r="Y1282">
        <f>IF(ISNUMBER(Q1282),1,0)</f>
        <v/>
      </c>
      <c r="Z1282">
        <f>IF(AND(K1282=0,L1282=0,Y1282=0),1,0)</f>
        <v/>
      </c>
      <c r="AA1282">
        <f>IF(AND(Z1282=1,G1282&lt;Assumptions!$C$6),1,0)</f>
        <v/>
      </c>
      <c r="AB1282">
        <f>IF(U1282=0,"",IF(Y1282=1,MAX(0,Q1282-G1282),IF(L1282=1,MAX(0,R1282-G1282),MAX(0,Assumptions!$C$6-G1282))))</f>
        <v/>
      </c>
      <c r="AC1282">
        <f>IF(Y1282=1,Q1282-F1282,"")</f>
        <v/>
      </c>
      <c r="AD1282">
        <f>IF(Y1282=1,AC1282^2,"")</f>
        <v/>
      </c>
      <c r="AE1282" s="19">
        <f>IF(Z1282=1,(H1282-M1282)*I1282,0)</f>
        <v/>
      </c>
      <c r="AF1282">
        <f>IF(G1282&lt;EDATE(Assumptions!$C$6,-12)+1,"prior_12m","last_12m")</f>
        <v/>
      </c>
      <c r="AG1282" s="21">
        <f>DATE(YEAR(G1282),MONTH(G1282),1)</f>
        <v/>
      </c>
    </row>
    <row r="1283">
      <c r="A1283" t="inlineStr">
        <is>
          <t>SPO-00697-2</t>
        </is>
      </c>
      <c r="B1283" t="inlineStr">
        <is>
          <t>SPO-00697</t>
        </is>
      </c>
      <c r="C1283" t="inlineStr">
        <is>
          <t>SUP-02</t>
        </is>
      </c>
      <c r="D1283" t="inlineStr">
        <is>
          <t>ELEC</t>
        </is>
      </c>
      <c r="E1283" t="inlineStr">
        <is>
          <t>ELEC-03</t>
        </is>
      </c>
      <c r="F1283" s="17" t="n">
        <v>45759</v>
      </c>
      <c r="G1283" s="17" t="n">
        <v>45775</v>
      </c>
      <c r="H1283" s="18" t="n">
        <v>26</v>
      </c>
      <c r="I1283" s="19" t="n">
        <v>98.70999999999999</v>
      </c>
      <c r="J1283" s="19" t="n">
        <v>96</v>
      </c>
      <c r="K1283" s="20" t="n">
        <v>0</v>
      </c>
      <c r="L1283" s="20" t="n">
        <v>0</v>
      </c>
      <c r="M1283" s="18" t="n">
        <v>26</v>
      </c>
      <c r="N1283" s="18" t="n">
        <v>26</v>
      </c>
      <c r="O1283" s="18" t="n">
        <v>0</v>
      </c>
      <c r="P1283" s="17" t="n">
        <v>45771</v>
      </c>
      <c r="Q1283" s="17" t="n">
        <v>45771</v>
      </c>
      <c r="R1283" s="17" t="n">
        <v>45771</v>
      </c>
      <c r="S1283" s="19">
        <f>H1283*I1283</f>
        <v/>
      </c>
      <c r="T1283" s="19">
        <f>H1283*J1283</f>
        <v/>
      </c>
      <c r="U1283">
        <f>IF(AND(K1283=0,G1283&lt;=Assumptions!$C$6),1,0)</f>
        <v/>
      </c>
      <c r="V1283">
        <f>IF(U1283=1,IF(M1283&gt;0,IF(P1283&lt;=G1283+Assumptions!$C$7,1,0),0),0)</f>
        <v/>
      </c>
      <c r="W1283">
        <f>IF(AND(U1283=1,M1283&gt;=H1283*(1-Assumptions!$C$8)),1,0)</f>
        <v/>
      </c>
      <c r="X1283">
        <f>IF(AND(U1283=1,N1283&gt;=H1283*(1-Assumptions!$C$8)),1,0)</f>
        <v/>
      </c>
      <c r="Y1283">
        <f>IF(ISNUMBER(Q1283),1,0)</f>
        <v/>
      </c>
      <c r="Z1283">
        <f>IF(AND(K1283=0,L1283=0,Y1283=0),1,0)</f>
        <v/>
      </c>
      <c r="AA1283">
        <f>IF(AND(Z1283=1,G1283&lt;Assumptions!$C$6),1,0)</f>
        <v/>
      </c>
      <c r="AB1283">
        <f>IF(U1283=0,"",IF(Y1283=1,MAX(0,Q1283-G1283),IF(L1283=1,MAX(0,R1283-G1283),MAX(0,Assumptions!$C$6-G1283))))</f>
        <v/>
      </c>
      <c r="AC1283">
        <f>IF(Y1283=1,Q1283-F1283,"")</f>
        <v/>
      </c>
      <c r="AD1283">
        <f>IF(Y1283=1,AC1283^2,"")</f>
        <v/>
      </c>
      <c r="AE1283" s="19">
        <f>IF(Z1283=1,(H1283-M1283)*I1283,0)</f>
        <v/>
      </c>
      <c r="AF1283">
        <f>IF(G1283&lt;EDATE(Assumptions!$C$6,-12)+1,"prior_12m","last_12m")</f>
        <v/>
      </c>
      <c r="AG1283" s="21">
        <f>DATE(YEAR(G1283),MONTH(G1283),1)</f>
        <v/>
      </c>
    </row>
    <row r="1284">
      <c r="A1284" t="inlineStr">
        <is>
          <t>SPO-00697-3</t>
        </is>
      </c>
      <c r="B1284" t="inlineStr">
        <is>
          <t>SPO-00697</t>
        </is>
      </c>
      <c r="C1284" t="inlineStr">
        <is>
          <t>SUP-02</t>
        </is>
      </c>
      <c r="D1284" t="inlineStr">
        <is>
          <t>ELEC</t>
        </is>
      </c>
      <c r="E1284" t="inlineStr">
        <is>
          <t>ELEC-07</t>
        </is>
      </c>
      <c r="F1284" s="17" t="n">
        <v>45759</v>
      </c>
      <c r="G1284" s="17" t="n">
        <v>45775</v>
      </c>
      <c r="H1284" s="18" t="n">
        <v>169</v>
      </c>
      <c r="I1284" s="19" t="n">
        <v>9.73</v>
      </c>
      <c r="J1284" s="19" t="n">
        <v>9.800000000000001</v>
      </c>
      <c r="K1284" s="20" t="n">
        <v>0</v>
      </c>
      <c r="L1284" s="20" t="n">
        <v>0</v>
      </c>
      <c r="M1284" s="18" t="n">
        <v>169</v>
      </c>
      <c r="N1284" s="18" t="n">
        <v>169</v>
      </c>
      <c r="O1284" s="18" t="n">
        <v>0</v>
      </c>
      <c r="P1284" s="17" t="n">
        <v>45772</v>
      </c>
      <c r="Q1284" s="17" t="n">
        <v>45772</v>
      </c>
      <c r="R1284" s="17" t="n">
        <v>45772</v>
      </c>
      <c r="S1284" s="19">
        <f>H1284*I1284</f>
        <v/>
      </c>
      <c r="T1284" s="19">
        <f>H1284*J1284</f>
        <v/>
      </c>
      <c r="U1284">
        <f>IF(AND(K1284=0,G1284&lt;=Assumptions!$C$6),1,0)</f>
        <v/>
      </c>
      <c r="V1284">
        <f>IF(U1284=1,IF(M1284&gt;0,IF(P1284&lt;=G1284+Assumptions!$C$7,1,0),0),0)</f>
        <v/>
      </c>
      <c r="W1284">
        <f>IF(AND(U1284=1,M1284&gt;=H1284*(1-Assumptions!$C$8)),1,0)</f>
        <v/>
      </c>
      <c r="X1284">
        <f>IF(AND(U1284=1,N1284&gt;=H1284*(1-Assumptions!$C$8)),1,0)</f>
        <v/>
      </c>
      <c r="Y1284">
        <f>IF(ISNUMBER(Q1284),1,0)</f>
        <v/>
      </c>
      <c r="Z1284">
        <f>IF(AND(K1284=0,L1284=0,Y1284=0),1,0)</f>
        <v/>
      </c>
      <c r="AA1284">
        <f>IF(AND(Z1284=1,G1284&lt;Assumptions!$C$6),1,0)</f>
        <v/>
      </c>
      <c r="AB1284">
        <f>IF(U1284=0,"",IF(Y1284=1,MAX(0,Q1284-G1284),IF(L1284=1,MAX(0,R1284-G1284),MAX(0,Assumptions!$C$6-G1284))))</f>
        <v/>
      </c>
      <c r="AC1284">
        <f>IF(Y1284=1,Q1284-F1284,"")</f>
        <v/>
      </c>
      <c r="AD1284">
        <f>IF(Y1284=1,AC1284^2,"")</f>
        <v/>
      </c>
      <c r="AE1284" s="19">
        <f>IF(Z1284=1,(H1284-M1284)*I1284,0)</f>
        <v/>
      </c>
      <c r="AF1284">
        <f>IF(G1284&lt;EDATE(Assumptions!$C$6,-12)+1,"prior_12m","last_12m")</f>
        <v/>
      </c>
      <c r="AG1284" s="21">
        <f>DATE(YEAR(G1284),MONTH(G1284),1)</f>
        <v/>
      </c>
    </row>
    <row r="1285">
      <c r="A1285" t="inlineStr">
        <is>
          <t>SPO-00698-1</t>
        </is>
      </c>
      <c r="B1285" t="inlineStr">
        <is>
          <t>SPO-00698</t>
        </is>
      </c>
      <c r="C1285" t="inlineStr">
        <is>
          <t>SUP-08</t>
        </is>
      </c>
      <c r="D1285" t="inlineStr">
        <is>
          <t>MRO</t>
        </is>
      </c>
      <c r="E1285" t="inlineStr">
        <is>
          <t>MRO-06</t>
        </is>
      </c>
      <c r="F1285" s="17" t="n">
        <v>45759</v>
      </c>
      <c r="G1285" s="17" t="n">
        <v>45770</v>
      </c>
      <c r="H1285" s="18" t="n">
        <v>285</v>
      </c>
      <c r="I1285" s="19" t="n">
        <v>6.12</v>
      </c>
      <c r="J1285" s="19" t="n">
        <v>6.1</v>
      </c>
      <c r="K1285" s="20" t="n">
        <v>0</v>
      </c>
      <c r="L1285" s="20" t="n">
        <v>0</v>
      </c>
      <c r="M1285" s="18" t="n">
        <v>285</v>
      </c>
      <c r="N1285" s="18" t="n">
        <v>285</v>
      </c>
      <c r="O1285" s="18" t="n">
        <v>0</v>
      </c>
      <c r="P1285" s="17" t="n">
        <v>45769</v>
      </c>
      <c r="Q1285" s="17" t="n">
        <v>45769</v>
      </c>
      <c r="R1285" s="17" t="n">
        <v>45769</v>
      </c>
      <c r="S1285" s="19">
        <f>H1285*I1285</f>
        <v/>
      </c>
      <c r="T1285" s="19">
        <f>H1285*J1285</f>
        <v/>
      </c>
      <c r="U1285">
        <f>IF(AND(K1285=0,G1285&lt;=Assumptions!$C$6),1,0)</f>
        <v/>
      </c>
      <c r="V1285">
        <f>IF(U1285=1,IF(M1285&gt;0,IF(P1285&lt;=G1285+Assumptions!$C$7,1,0),0),0)</f>
        <v/>
      </c>
      <c r="W1285">
        <f>IF(AND(U1285=1,M1285&gt;=H1285*(1-Assumptions!$C$8)),1,0)</f>
        <v/>
      </c>
      <c r="X1285">
        <f>IF(AND(U1285=1,N1285&gt;=H1285*(1-Assumptions!$C$8)),1,0)</f>
        <v/>
      </c>
      <c r="Y1285">
        <f>IF(ISNUMBER(Q1285),1,0)</f>
        <v/>
      </c>
      <c r="Z1285">
        <f>IF(AND(K1285=0,L1285=0,Y1285=0),1,0)</f>
        <v/>
      </c>
      <c r="AA1285">
        <f>IF(AND(Z1285=1,G1285&lt;Assumptions!$C$6),1,0)</f>
        <v/>
      </c>
      <c r="AB1285">
        <f>IF(U1285=0,"",IF(Y1285=1,MAX(0,Q1285-G1285),IF(L1285=1,MAX(0,R1285-G1285),MAX(0,Assumptions!$C$6-G1285))))</f>
        <v/>
      </c>
      <c r="AC1285">
        <f>IF(Y1285=1,Q1285-F1285,"")</f>
        <v/>
      </c>
      <c r="AD1285">
        <f>IF(Y1285=1,AC1285^2,"")</f>
        <v/>
      </c>
      <c r="AE1285" s="19">
        <f>IF(Z1285=1,(H1285-M1285)*I1285,0)</f>
        <v/>
      </c>
      <c r="AF1285">
        <f>IF(G1285&lt;EDATE(Assumptions!$C$6,-12)+1,"prior_12m","last_12m")</f>
        <v/>
      </c>
      <c r="AG1285" s="21">
        <f>DATE(YEAR(G1285),MONTH(G1285),1)</f>
        <v/>
      </c>
    </row>
    <row r="1286">
      <c r="A1286" t="inlineStr">
        <is>
          <t>SPO-00698-2</t>
        </is>
      </c>
      <c r="B1286" t="inlineStr">
        <is>
          <t>SPO-00698</t>
        </is>
      </c>
      <c r="C1286" t="inlineStr">
        <is>
          <t>SUP-08</t>
        </is>
      </c>
      <c r="D1286" t="inlineStr">
        <is>
          <t>MRO</t>
        </is>
      </c>
      <c r="E1286" t="inlineStr">
        <is>
          <t>MRO-03</t>
        </is>
      </c>
      <c r="F1286" s="17" t="n">
        <v>45759</v>
      </c>
      <c r="G1286" s="17" t="n">
        <v>45770</v>
      </c>
      <c r="H1286" s="18" t="n">
        <v>154</v>
      </c>
      <c r="I1286" s="19" t="n">
        <v>8.789999999999999</v>
      </c>
      <c r="J1286" s="19" t="n">
        <v>8.9</v>
      </c>
      <c r="K1286" s="20" t="n">
        <v>0</v>
      </c>
      <c r="L1286" s="20" t="n">
        <v>0</v>
      </c>
      <c r="M1286" s="18" t="n">
        <v>154</v>
      </c>
      <c r="N1286" s="18" t="n">
        <v>154</v>
      </c>
      <c r="O1286" s="18" t="n">
        <v>0</v>
      </c>
      <c r="P1286" s="17" t="n">
        <v>45767</v>
      </c>
      <c r="Q1286" s="17" t="n">
        <v>45767</v>
      </c>
      <c r="R1286" s="17" t="n">
        <v>45767</v>
      </c>
      <c r="S1286" s="19">
        <f>H1286*I1286</f>
        <v/>
      </c>
      <c r="T1286" s="19">
        <f>H1286*J1286</f>
        <v/>
      </c>
      <c r="U1286">
        <f>IF(AND(K1286=0,G1286&lt;=Assumptions!$C$6),1,0)</f>
        <v/>
      </c>
      <c r="V1286">
        <f>IF(U1286=1,IF(M1286&gt;0,IF(P1286&lt;=G1286+Assumptions!$C$7,1,0),0),0)</f>
        <v/>
      </c>
      <c r="W1286">
        <f>IF(AND(U1286=1,M1286&gt;=H1286*(1-Assumptions!$C$8)),1,0)</f>
        <v/>
      </c>
      <c r="X1286">
        <f>IF(AND(U1286=1,N1286&gt;=H1286*(1-Assumptions!$C$8)),1,0)</f>
        <v/>
      </c>
      <c r="Y1286">
        <f>IF(ISNUMBER(Q1286),1,0)</f>
        <v/>
      </c>
      <c r="Z1286">
        <f>IF(AND(K1286=0,L1286=0,Y1286=0),1,0)</f>
        <v/>
      </c>
      <c r="AA1286">
        <f>IF(AND(Z1286=1,G1286&lt;Assumptions!$C$6),1,0)</f>
        <v/>
      </c>
      <c r="AB1286">
        <f>IF(U1286=0,"",IF(Y1286=1,MAX(0,Q1286-G1286),IF(L1286=1,MAX(0,R1286-G1286),MAX(0,Assumptions!$C$6-G1286))))</f>
        <v/>
      </c>
      <c r="AC1286">
        <f>IF(Y1286=1,Q1286-F1286,"")</f>
        <v/>
      </c>
      <c r="AD1286">
        <f>IF(Y1286=1,AC1286^2,"")</f>
        <v/>
      </c>
      <c r="AE1286" s="19">
        <f>IF(Z1286=1,(H1286-M1286)*I1286,0)</f>
        <v/>
      </c>
      <c r="AF1286">
        <f>IF(G1286&lt;EDATE(Assumptions!$C$6,-12)+1,"prior_12m","last_12m")</f>
        <v/>
      </c>
      <c r="AG1286" s="21">
        <f>DATE(YEAR(G1286),MONTH(G1286),1)</f>
        <v/>
      </c>
    </row>
    <row r="1287">
      <c r="A1287" t="inlineStr">
        <is>
          <t>SPO-00699-1</t>
        </is>
      </c>
      <c r="B1287" t="inlineStr">
        <is>
          <t>SPO-00699</t>
        </is>
      </c>
      <c r="C1287" t="inlineStr">
        <is>
          <t>SUP-08</t>
        </is>
      </c>
      <c r="D1287" t="inlineStr">
        <is>
          <t>PPE</t>
        </is>
      </c>
      <c r="E1287" t="inlineStr">
        <is>
          <t>PPE-04</t>
        </is>
      </c>
      <c r="F1287" s="17" t="n">
        <v>45759</v>
      </c>
      <c r="G1287" s="17" t="n">
        <v>45770</v>
      </c>
      <c r="H1287" s="18" t="n">
        <v>104</v>
      </c>
      <c r="I1287" s="19" t="n">
        <v>25.88</v>
      </c>
      <c r="J1287" s="19" t="n">
        <v>26</v>
      </c>
      <c r="K1287" s="20" t="n">
        <v>0</v>
      </c>
      <c r="L1287" s="20" t="n">
        <v>0</v>
      </c>
      <c r="M1287" s="18" t="n">
        <v>104</v>
      </c>
      <c r="N1287" s="18" t="n">
        <v>0</v>
      </c>
      <c r="O1287" s="18" t="n">
        <v>0</v>
      </c>
      <c r="P1287" s="17" t="n">
        <v>45771</v>
      </c>
      <c r="Q1287" s="17" t="n">
        <v>45771</v>
      </c>
      <c r="R1287" s="17" t="n">
        <v>45771</v>
      </c>
      <c r="S1287" s="19">
        <f>H1287*I1287</f>
        <v/>
      </c>
      <c r="T1287" s="19">
        <f>H1287*J1287</f>
        <v/>
      </c>
      <c r="U1287">
        <f>IF(AND(K1287=0,G1287&lt;=Assumptions!$C$6),1,0)</f>
        <v/>
      </c>
      <c r="V1287">
        <f>IF(U1287=1,IF(M1287&gt;0,IF(P1287&lt;=G1287+Assumptions!$C$7,1,0),0),0)</f>
        <v/>
      </c>
      <c r="W1287">
        <f>IF(AND(U1287=1,M1287&gt;=H1287*(1-Assumptions!$C$8)),1,0)</f>
        <v/>
      </c>
      <c r="X1287">
        <f>IF(AND(U1287=1,N1287&gt;=H1287*(1-Assumptions!$C$8)),1,0)</f>
        <v/>
      </c>
      <c r="Y1287">
        <f>IF(ISNUMBER(Q1287),1,0)</f>
        <v/>
      </c>
      <c r="Z1287">
        <f>IF(AND(K1287=0,L1287=0,Y1287=0),1,0)</f>
        <v/>
      </c>
      <c r="AA1287">
        <f>IF(AND(Z1287=1,G1287&lt;Assumptions!$C$6),1,0)</f>
        <v/>
      </c>
      <c r="AB1287">
        <f>IF(U1287=0,"",IF(Y1287=1,MAX(0,Q1287-G1287),IF(L1287=1,MAX(0,R1287-G1287),MAX(0,Assumptions!$C$6-G1287))))</f>
        <v/>
      </c>
      <c r="AC1287">
        <f>IF(Y1287=1,Q1287-F1287,"")</f>
        <v/>
      </c>
      <c r="AD1287">
        <f>IF(Y1287=1,AC1287^2,"")</f>
        <v/>
      </c>
      <c r="AE1287" s="19">
        <f>IF(Z1287=1,(H1287-M1287)*I1287,0)</f>
        <v/>
      </c>
      <c r="AF1287">
        <f>IF(G1287&lt;EDATE(Assumptions!$C$6,-12)+1,"prior_12m","last_12m")</f>
        <v/>
      </c>
      <c r="AG1287" s="21">
        <f>DATE(YEAR(G1287),MONTH(G1287),1)</f>
        <v/>
      </c>
    </row>
    <row r="1288">
      <c r="A1288" t="inlineStr">
        <is>
          <t>SPO-00700-1</t>
        </is>
      </c>
      <c r="B1288" t="inlineStr">
        <is>
          <t>SPO-00700</t>
        </is>
      </c>
      <c r="C1288" t="inlineStr">
        <is>
          <t>SUP-10</t>
        </is>
      </c>
      <c r="D1288" t="inlineStr">
        <is>
          <t>PPE</t>
        </is>
      </c>
      <c r="E1288" t="inlineStr">
        <is>
          <t>PPE-03</t>
        </is>
      </c>
      <c r="F1288" s="17" t="n">
        <v>45759</v>
      </c>
      <c r="G1288" s="17" t="n">
        <v>45772</v>
      </c>
      <c r="H1288" s="18" t="n">
        <v>139</v>
      </c>
      <c r="I1288" s="19" t="n">
        <v>20.31</v>
      </c>
      <c r="J1288" s="19" t="n">
        <v>21</v>
      </c>
      <c r="K1288" s="20" t="n">
        <v>0</v>
      </c>
      <c r="L1288" s="20" t="n">
        <v>0</v>
      </c>
      <c r="M1288" s="18" t="n">
        <v>139</v>
      </c>
      <c r="N1288" s="18" t="n">
        <v>0</v>
      </c>
      <c r="O1288" s="18" t="n">
        <v>0</v>
      </c>
      <c r="P1288" s="17" t="n">
        <v>45773</v>
      </c>
      <c r="Q1288" s="17" t="n">
        <v>45773</v>
      </c>
      <c r="R1288" s="17" t="n">
        <v>45773</v>
      </c>
      <c r="S1288" s="19">
        <f>H1288*I1288</f>
        <v/>
      </c>
      <c r="T1288" s="19">
        <f>H1288*J1288</f>
        <v/>
      </c>
      <c r="U1288">
        <f>IF(AND(K1288=0,G1288&lt;=Assumptions!$C$6),1,0)</f>
        <v/>
      </c>
      <c r="V1288">
        <f>IF(U1288=1,IF(M1288&gt;0,IF(P1288&lt;=G1288+Assumptions!$C$7,1,0),0),0)</f>
        <v/>
      </c>
      <c r="W1288">
        <f>IF(AND(U1288=1,M1288&gt;=H1288*(1-Assumptions!$C$8)),1,0)</f>
        <v/>
      </c>
      <c r="X1288">
        <f>IF(AND(U1288=1,N1288&gt;=H1288*(1-Assumptions!$C$8)),1,0)</f>
        <v/>
      </c>
      <c r="Y1288">
        <f>IF(ISNUMBER(Q1288),1,0)</f>
        <v/>
      </c>
      <c r="Z1288">
        <f>IF(AND(K1288=0,L1288=0,Y1288=0),1,0)</f>
        <v/>
      </c>
      <c r="AA1288">
        <f>IF(AND(Z1288=1,G1288&lt;Assumptions!$C$6),1,0)</f>
        <v/>
      </c>
      <c r="AB1288">
        <f>IF(U1288=0,"",IF(Y1288=1,MAX(0,Q1288-G1288),IF(L1288=1,MAX(0,R1288-G1288),MAX(0,Assumptions!$C$6-G1288))))</f>
        <v/>
      </c>
      <c r="AC1288">
        <f>IF(Y1288=1,Q1288-F1288,"")</f>
        <v/>
      </c>
      <c r="AD1288">
        <f>IF(Y1288=1,AC1288^2,"")</f>
        <v/>
      </c>
      <c r="AE1288" s="19">
        <f>IF(Z1288=1,(H1288-M1288)*I1288,0)</f>
        <v/>
      </c>
      <c r="AF1288">
        <f>IF(G1288&lt;EDATE(Assumptions!$C$6,-12)+1,"prior_12m","last_12m")</f>
        <v/>
      </c>
      <c r="AG1288" s="21">
        <f>DATE(YEAR(G1288),MONTH(G1288),1)</f>
        <v/>
      </c>
    </row>
    <row r="1289">
      <c r="A1289" t="inlineStr">
        <is>
          <t>SPO-00700-2</t>
        </is>
      </c>
      <c r="B1289" t="inlineStr">
        <is>
          <t>SPO-00700</t>
        </is>
      </c>
      <c r="C1289" t="inlineStr">
        <is>
          <t>SUP-10</t>
        </is>
      </c>
      <c r="D1289" t="inlineStr">
        <is>
          <t>PPE</t>
        </is>
      </c>
      <c r="E1289" t="inlineStr">
        <is>
          <t>PPE-05</t>
        </is>
      </c>
      <c r="F1289" s="17" t="n">
        <v>45759</v>
      </c>
      <c r="G1289" s="17" t="n">
        <v>45772</v>
      </c>
      <c r="H1289" s="18" t="n">
        <v>175</v>
      </c>
      <c r="I1289" s="19" t="n">
        <v>10.69</v>
      </c>
      <c r="J1289" s="19" t="n">
        <v>11</v>
      </c>
      <c r="K1289" s="20" t="n">
        <v>0</v>
      </c>
      <c r="L1289" s="20" t="n">
        <v>0</v>
      </c>
      <c r="M1289" s="18" t="n">
        <v>175</v>
      </c>
      <c r="N1289" s="18" t="n">
        <v>175</v>
      </c>
      <c r="O1289" s="18" t="n">
        <v>0</v>
      </c>
      <c r="P1289" s="17" t="n">
        <v>45770</v>
      </c>
      <c r="Q1289" s="17" t="n">
        <v>45770</v>
      </c>
      <c r="R1289" s="17" t="n">
        <v>45770</v>
      </c>
      <c r="S1289" s="19">
        <f>H1289*I1289</f>
        <v/>
      </c>
      <c r="T1289" s="19">
        <f>H1289*J1289</f>
        <v/>
      </c>
      <c r="U1289">
        <f>IF(AND(K1289=0,G1289&lt;=Assumptions!$C$6),1,0)</f>
        <v/>
      </c>
      <c r="V1289">
        <f>IF(U1289=1,IF(M1289&gt;0,IF(P1289&lt;=G1289+Assumptions!$C$7,1,0),0),0)</f>
        <v/>
      </c>
      <c r="W1289">
        <f>IF(AND(U1289=1,M1289&gt;=H1289*(1-Assumptions!$C$8)),1,0)</f>
        <v/>
      </c>
      <c r="X1289">
        <f>IF(AND(U1289=1,N1289&gt;=H1289*(1-Assumptions!$C$8)),1,0)</f>
        <v/>
      </c>
      <c r="Y1289">
        <f>IF(ISNUMBER(Q1289),1,0)</f>
        <v/>
      </c>
      <c r="Z1289">
        <f>IF(AND(K1289=0,L1289=0,Y1289=0),1,0)</f>
        <v/>
      </c>
      <c r="AA1289">
        <f>IF(AND(Z1289=1,G1289&lt;Assumptions!$C$6),1,0)</f>
        <v/>
      </c>
      <c r="AB1289">
        <f>IF(U1289=0,"",IF(Y1289=1,MAX(0,Q1289-G1289),IF(L1289=1,MAX(0,R1289-G1289),MAX(0,Assumptions!$C$6-G1289))))</f>
        <v/>
      </c>
      <c r="AC1289">
        <f>IF(Y1289=1,Q1289-F1289,"")</f>
        <v/>
      </c>
      <c r="AD1289">
        <f>IF(Y1289=1,AC1289^2,"")</f>
        <v/>
      </c>
      <c r="AE1289" s="19">
        <f>IF(Z1289=1,(H1289-M1289)*I1289,0)</f>
        <v/>
      </c>
      <c r="AF1289">
        <f>IF(G1289&lt;EDATE(Assumptions!$C$6,-12)+1,"prior_12m","last_12m")</f>
        <v/>
      </c>
      <c r="AG1289" s="21">
        <f>DATE(YEAR(G1289),MONTH(G1289),1)</f>
        <v/>
      </c>
    </row>
    <row r="1290">
      <c r="A1290" t="inlineStr">
        <is>
          <t>SPO-00700-3</t>
        </is>
      </c>
      <c r="B1290" t="inlineStr">
        <is>
          <t>SPO-00700</t>
        </is>
      </c>
      <c r="C1290" t="inlineStr">
        <is>
          <t>SUP-10</t>
        </is>
      </c>
      <c r="D1290" t="inlineStr">
        <is>
          <t>PPE</t>
        </is>
      </c>
      <c r="E1290" t="inlineStr">
        <is>
          <t>PPE-01</t>
        </is>
      </c>
      <c r="F1290" s="17" t="n">
        <v>45759</v>
      </c>
      <c r="G1290" s="17" t="n">
        <v>45772</v>
      </c>
      <c r="H1290" s="18" t="n">
        <v>451</v>
      </c>
      <c r="I1290" s="19" t="n">
        <v>4.63</v>
      </c>
      <c r="J1290" s="19" t="n">
        <v>4.8</v>
      </c>
      <c r="K1290" s="20" t="n">
        <v>0</v>
      </c>
      <c r="L1290" s="20" t="n">
        <v>0</v>
      </c>
      <c r="M1290" s="18" t="n">
        <v>451</v>
      </c>
      <c r="N1290" s="18" t="n">
        <v>451</v>
      </c>
      <c r="O1290" s="18" t="n">
        <v>0</v>
      </c>
      <c r="P1290" s="17" t="n">
        <v>45771</v>
      </c>
      <c r="Q1290" s="17" t="n">
        <v>45771</v>
      </c>
      <c r="R1290" s="17" t="n">
        <v>45771</v>
      </c>
      <c r="S1290" s="19">
        <f>H1290*I1290</f>
        <v/>
      </c>
      <c r="T1290" s="19">
        <f>H1290*J1290</f>
        <v/>
      </c>
      <c r="U1290">
        <f>IF(AND(K1290=0,G1290&lt;=Assumptions!$C$6),1,0)</f>
        <v/>
      </c>
      <c r="V1290">
        <f>IF(U1290=1,IF(M1290&gt;0,IF(P1290&lt;=G1290+Assumptions!$C$7,1,0),0),0)</f>
        <v/>
      </c>
      <c r="W1290">
        <f>IF(AND(U1290=1,M1290&gt;=H1290*(1-Assumptions!$C$8)),1,0)</f>
        <v/>
      </c>
      <c r="X1290">
        <f>IF(AND(U1290=1,N1290&gt;=H1290*(1-Assumptions!$C$8)),1,0)</f>
        <v/>
      </c>
      <c r="Y1290">
        <f>IF(ISNUMBER(Q1290),1,0)</f>
        <v/>
      </c>
      <c r="Z1290">
        <f>IF(AND(K1290=0,L1290=0,Y1290=0),1,0)</f>
        <v/>
      </c>
      <c r="AA1290">
        <f>IF(AND(Z1290=1,G1290&lt;Assumptions!$C$6),1,0)</f>
        <v/>
      </c>
      <c r="AB1290">
        <f>IF(U1290=0,"",IF(Y1290=1,MAX(0,Q1290-G1290),IF(L1290=1,MAX(0,R1290-G1290),MAX(0,Assumptions!$C$6-G1290))))</f>
        <v/>
      </c>
      <c r="AC1290">
        <f>IF(Y1290=1,Q1290-F1290,"")</f>
        <v/>
      </c>
      <c r="AD1290">
        <f>IF(Y1290=1,AC1290^2,"")</f>
        <v/>
      </c>
      <c r="AE1290" s="19">
        <f>IF(Z1290=1,(H1290-M1290)*I1290,0)</f>
        <v/>
      </c>
      <c r="AF1290">
        <f>IF(G1290&lt;EDATE(Assumptions!$C$6,-12)+1,"prior_12m","last_12m")</f>
        <v/>
      </c>
      <c r="AG1290" s="21">
        <f>DATE(YEAR(G1290),MONTH(G1290),1)</f>
        <v/>
      </c>
    </row>
    <row r="1291">
      <c r="A1291" t="inlineStr">
        <is>
          <t>SPO-00700-4</t>
        </is>
      </c>
      <c r="B1291" t="inlineStr">
        <is>
          <t>SPO-00700</t>
        </is>
      </c>
      <c r="C1291" t="inlineStr">
        <is>
          <t>SUP-10</t>
        </is>
      </c>
      <c r="D1291" t="inlineStr">
        <is>
          <t>PPE</t>
        </is>
      </c>
      <c r="E1291" t="inlineStr">
        <is>
          <t>PPE-06</t>
        </is>
      </c>
      <c r="F1291" s="17" t="n">
        <v>45759</v>
      </c>
      <c r="G1291" s="17" t="n">
        <v>45772</v>
      </c>
      <c r="H1291" s="18" t="n">
        <v>13</v>
      </c>
      <c r="I1291" s="19" t="n">
        <v>112.55</v>
      </c>
      <c r="J1291" s="19" t="n">
        <v>115</v>
      </c>
      <c r="K1291" s="20" t="n">
        <v>0</v>
      </c>
      <c r="L1291" s="20" t="n">
        <v>0</v>
      </c>
      <c r="M1291" s="18" t="n">
        <v>13</v>
      </c>
      <c r="N1291" s="18" t="n">
        <v>13</v>
      </c>
      <c r="O1291" s="18" t="n">
        <v>0</v>
      </c>
      <c r="P1291" s="17" t="n">
        <v>45767</v>
      </c>
      <c r="Q1291" s="17" t="n">
        <v>45767</v>
      </c>
      <c r="R1291" s="17" t="n">
        <v>45767</v>
      </c>
      <c r="S1291" s="19">
        <f>H1291*I1291</f>
        <v/>
      </c>
      <c r="T1291" s="19">
        <f>H1291*J1291</f>
        <v/>
      </c>
      <c r="U1291">
        <f>IF(AND(K1291=0,G1291&lt;=Assumptions!$C$6),1,0)</f>
        <v/>
      </c>
      <c r="V1291">
        <f>IF(U1291=1,IF(M1291&gt;0,IF(P1291&lt;=G1291+Assumptions!$C$7,1,0),0),0)</f>
        <v/>
      </c>
      <c r="W1291">
        <f>IF(AND(U1291=1,M1291&gt;=H1291*(1-Assumptions!$C$8)),1,0)</f>
        <v/>
      </c>
      <c r="X1291">
        <f>IF(AND(U1291=1,N1291&gt;=H1291*(1-Assumptions!$C$8)),1,0)</f>
        <v/>
      </c>
      <c r="Y1291">
        <f>IF(ISNUMBER(Q1291),1,0)</f>
        <v/>
      </c>
      <c r="Z1291">
        <f>IF(AND(K1291=0,L1291=0,Y1291=0),1,0)</f>
        <v/>
      </c>
      <c r="AA1291">
        <f>IF(AND(Z1291=1,G1291&lt;Assumptions!$C$6),1,0)</f>
        <v/>
      </c>
      <c r="AB1291">
        <f>IF(U1291=0,"",IF(Y1291=1,MAX(0,Q1291-G1291),IF(L1291=1,MAX(0,R1291-G1291),MAX(0,Assumptions!$C$6-G1291))))</f>
        <v/>
      </c>
      <c r="AC1291">
        <f>IF(Y1291=1,Q1291-F1291,"")</f>
        <v/>
      </c>
      <c r="AD1291">
        <f>IF(Y1291=1,AC1291^2,"")</f>
        <v/>
      </c>
      <c r="AE1291" s="19">
        <f>IF(Z1291=1,(H1291-M1291)*I1291,0)</f>
        <v/>
      </c>
      <c r="AF1291">
        <f>IF(G1291&lt;EDATE(Assumptions!$C$6,-12)+1,"prior_12m","last_12m")</f>
        <v/>
      </c>
      <c r="AG1291" s="21">
        <f>DATE(YEAR(G1291),MONTH(G1291),1)</f>
        <v/>
      </c>
    </row>
    <row r="1292">
      <c r="A1292" t="inlineStr">
        <is>
          <t>SPO-00701-1</t>
        </is>
      </c>
      <c r="B1292" t="inlineStr">
        <is>
          <t>SPO-00701</t>
        </is>
      </c>
      <c r="C1292" t="inlineStr">
        <is>
          <t>SUP-12</t>
        </is>
      </c>
      <c r="D1292" t="inlineStr">
        <is>
          <t>IT</t>
        </is>
      </c>
      <c r="E1292" t="inlineStr">
        <is>
          <t>IT-02</t>
        </is>
      </c>
      <c r="F1292" s="17" t="n">
        <v>45759</v>
      </c>
      <c r="G1292" s="17" t="n">
        <v>45769</v>
      </c>
      <c r="H1292" s="18" t="n">
        <v>8</v>
      </c>
      <c r="I1292" s="19" t="n">
        <v>187.43</v>
      </c>
      <c r="J1292" s="19" t="n">
        <v>162</v>
      </c>
      <c r="K1292" s="20" t="n">
        <v>0</v>
      </c>
      <c r="L1292" s="20" t="n">
        <v>0</v>
      </c>
      <c r="M1292" s="18" t="n">
        <v>8</v>
      </c>
      <c r="N1292" s="18" t="n">
        <v>8</v>
      </c>
      <c r="O1292" s="18" t="n">
        <v>0</v>
      </c>
      <c r="P1292" s="17" t="n">
        <v>45767</v>
      </c>
      <c r="Q1292" s="17" t="n">
        <v>45767</v>
      </c>
      <c r="R1292" s="17" t="n">
        <v>45767</v>
      </c>
      <c r="S1292" s="19">
        <f>H1292*I1292</f>
        <v/>
      </c>
      <c r="T1292" s="19">
        <f>H1292*J1292</f>
        <v/>
      </c>
      <c r="U1292">
        <f>IF(AND(K1292=0,G1292&lt;=Assumptions!$C$6),1,0)</f>
        <v/>
      </c>
      <c r="V1292">
        <f>IF(U1292=1,IF(M1292&gt;0,IF(P1292&lt;=G1292+Assumptions!$C$7,1,0),0),0)</f>
        <v/>
      </c>
      <c r="W1292">
        <f>IF(AND(U1292=1,M1292&gt;=H1292*(1-Assumptions!$C$8)),1,0)</f>
        <v/>
      </c>
      <c r="X1292">
        <f>IF(AND(U1292=1,N1292&gt;=H1292*(1-Assumptions!$C$8)),1,0)</f>
        <v/>
      </c>
      <c r="Y1292">
        <f>IF(ISNUMBER(Q1292),1,0)</f>
        <v/>
      </c>
      <c r="Z1292">
        <f>IF(AND(K1292=0,L1292=0,Y1292=0),1,0)</f>
        <v/>
      </c>
      <c r="AA1292">
        <f>IF(AND(Z1292=1,G1292&lt;Assumptions!$C$6),1,0)</f>
        <v/>
      </c>
      <c r="AB1292">
        <f>IF(U1292=0,"",IF(Y1292=1,MAX(0,Q1292-G1292),IF(L1292=1,MAX(0,R1292-G1292),MAX(0,Assumptions!$C$6-G1292))))</f>
        <v/>
      </c>
      <c r="AC1292">
        <f>IF(Y1292=1,Q1292-F1292,"")</f>
        <v/>
      </c>
      <c r="AD1292">
        <f>IF(Y1292=1,AC1292^2,"")</f>
        <v/>
      </c>
      <c r="AE1292" s="19">
        <f>IF(Z1292=1,(H1292-M1292)*I1292,0)</f>
        <v/>
      </c>
      <c r="AF1292">
        <f>IF(G1292&lt;EDATE(Assumptions!$C$6,-12)+1,"prior_12m","last_12m")</f>
        <v/>
      </c>
      <c r="AG1292" s="21">
        <f>DATE(YEAR(G1292),MONTH(G1292),1)</f>
        <v/>
      </c>
    </row>
    <row r="1293">
      <c r="A1293" t="inlineStr">
        <is>
          <t>SPO-00701-2</t>
        </is>
      </c>
      <c r="B1293" t="inlineStr">
        <is>
          <t>SPO-00701</t>
        </is>
      </c>
      <c r="C1293" t="inlineStr">
        <is>
          <t>SUP-12</t>
        </is>
      </c>
      <c r="D1293" t="inlineStr">
        <is>
          <t>IT</t>
        </is>
      </c>
      <c r="E1293" t="inlineStr">
        <is>
          <t>IT-01</t>
        </is>
      </c>
      <c r="F1293" s="17" t="n">
        <v>45759</v>
      </c>
      <c r="G1293" s="17" t="n">
        <v>45769</v>
      </c>
      <c r="H1293" s="18" t="n">
        <v>5</v>
      </c>
      <c r="I1293" s="19" t="n">
        <v>216.78</v>
      </c>
      <c r="J1293" s="19" t="n">
        <v>189</v>
      </c>
      <c r="K1293" s="20" t="n">
        <v>0</v>
      </c>
      <c r="L1293" s="20" t="n">
        <v>0</v>
      </c>
      <c r="M1293" s="18" t="n">
        <v>5</v>
      </c>
      <c r="N1293" s="18" t="n">
        <v>5</v>
      </c>
      <c r="O1293" s="18" t="n">
        <v>0</v>
      </c>
      <c r="P1293" s="17" t="n">
        <v>45766</v>
      </c>
      <c r="Q1293" s="17" t="n">
        <v>45766</v>
      </c>
      <c r="R1293" s="17" t="n">
        <v>45766</v>
      </c>
      <c r="S1293" s="19">
        <f>H1293*I1293</f>
        <v/>
      </c>
      <c r="T1293" s="19">
        <f>H1293*J1293</f>
        <v/>
      </c>
      <c r="U1293">
        <f>IF(AND(K1293=0,G1293&lt;=Assumptions!$C$6),1,0)</f>
        <v/>
      </c>
      <c r="V1293">
        <f>IF(U1293=1,IF(M1293&gt;0,IF(P1293&lt;=G1293+Assumptions!$C$7,1,0),0),0)</f>
        <v/>
      </c>
      <c r="W1293">
        <f>IF(AND(U1293=1,M1293&gt;=H1293*(1-Assumptions!$C$8)),1,0)</f>
        <v/>
      </c>
      <c r="X1293">
        <f>IF(AND(U1293=1,N1293&gt;=H1293*(1-Assumptions!$C$8)),1,0)</f>
        <v/>
      </c>
      <c r="Y1293">
        <f>IF(ISNUMBER(Q1293),1,0)</f>
        <v/>
      </c>
      <c r="Z1293">
        <f>IF(AND(K1293=0,L1293=0,Y1293=0),1,0)</f>
        <v/>
      </c>
      <c r="AA1293">
        <f>IF(AND(Z1293=1,G1293&lt;Assumptions!$C$6),1,0)</f>
        <v/>
      </c>
      <c r="AB1293">
        <f>IF(U1293=0,"",IF(Y1293=1,MAX(0,Q1293-G1293),IF(L1293=1,MAX(0,R1293-G1293),MAX(0,Assumptions!$C$6-G1293))))</f>
        <v/>
      </c>
      <c r="AC1293">
        <f>IF(Y1293=1,Q1293-F1293,"")</f>
        <v/>
      </c>
      <c r="AD1293">
        <f>IF(Y1293=1,AC1293^2,"")</f>
        <v/>
      </c>
      <c r="AE1293" s="19">
        <f>IF(Z1293=1,(H1293-M1293)*I1293,0)</f>
        <v/>
      </c>
      <c r="AF1293">
        <f>IF(G1293&lt;EDATE(Assumptions!$C$6,-12)+1,"prior_12m","last_12m")</f>
        <v/>
      </c>
      <c r="AG1293" s="21">
        <f>DATE(YEAR(G1293),MONTH(G1293),1)</f>
        <v/>
      </c>
    </row>
    <row r="1294">
      <c r="A1294" t="inlineStr">
        <is>
          <t>SPO-00702-1</t>
        </is>
      </c>
      <c r="B1294" t="inlineStr">
        <is>
          <t>SPO-00702</t>
        </is>
      </c>
      <c r="C1294" t="inlineStr">
        <is>
          <t>SUP-01</t>
        </is>
      </c>
      <c r="D1294" t="inlineStr">
        <is>
          <t>ELEC</t>
        </is>
      </c>
      <c r="E1294" t="inlineStr">
        <is>
          <t>ELEC-05</t>
        </is>
      </c>
      <c r="F1294" s="17" t="n">
        <v>45759</v>
      </c>
      <c r="G1294" s="17" t="n">
        <v>45777</v>
      </c>
      <c r="H1294" s="18" t="n">
        <v>243</v>
      </c>
      <c r="I1294" s="19" t="n">
        <v>12.13</v>
      </c>
      <c r="J1294" s="19" t="n">
        <v>11.5</v>
      </c>
      <c r="K1294" s="20" t="n">
        <v>0</v>
      </c>
      <c r="L1294" s="20" t="n">
        <v>0</v>
      </c>
      <c r="M1294" s="18" t="n">
        <v>243</v>
      </c>
      <c r="N1294" s="18" t="n">
        <v>243</v>
      </c>
      <c r="O1294" s="18" t="n">
        <v>0</v>
      </c>
      <c r="P1294" s="17" t="n">
        <v>45775</v>
      </c>
      <c r="Q1294" s="17" t="n">
        <v>45775</v>
      </c>
      <c r="R1294" s="17" t="n">
        <v>45775</v>
      </c>
      <c r="S1294" s="19">
        <f>H1294*I1294</f>
        <v/>
      </c>
      <c r="T1294" s="19">
        <f>H1294*J1294</f>
        <v/>
      </c>
      <c r="U1294">
        <f>IF(AND(K1294=0,G1294&lt;=Assumptions!$C$6),1,0)</f>
        <v/>
      </c>
      <c r="V1294">
        <f>IF(U1294=1,IF(M1294&gt;0,IF(P1294&lt;=G1294+Assumptions!$C$7,1,0),0),0)</f>
        <v/>
      </c>
      <c r="W1294">
        <f>IF(AND(U1294=1,M1294&gt;=H1294*(1-Assumptions!$C$8)),1,0)</f>
        <v/>
      </c>
      <c r="X1294">
        <f>IF(AND(U1294=1,N1294&gt;=H1294*(1-Assumptions!$C$8)),1,0)</f>
        <v/>
      </c>
      <c r="Y1294">
        <f>IF(ISNUMBER(Q1294),1,0)</f>
        <v/>
      </c>
      <c r="Z1294">
        <f>IF(AND(K1294=0,L1294=0,Y1294=0),1,0)</f>
        <v/>
      </c>
      <c r="AA1294">
        <f>IF(AND(Z1294=1,G1294&lt;Assumptions!$C$6),1,0)</f>
        <v/>
      </c>
      <c r="AB1294">
        <f>IF(U1294=0,"",IF(Y1294=1,MAX(0,Q1294-G1294),IF(L1294=1,MAX(0,R1294-G1294),MAX(0,Assumptions!$C$6-G1294))))</f>
        <v/>
      </c>
      <c r="AC1294">
        <f>IF(Y1294=1,Q1294-F1294,"")</f>
        <v/>
      </c>
      <c r="AD1294">
        <f>IF(Y1294=1,AC1294^2,"")</f>
        <v/>
      </c>
      <c r="AE1294" s="19">
        <f>IF(Z1294=1,(H1294-M1294)*I1294,0)</f>
        <v/>
      </c>
      <c r="AF1294">
        <f>IF(G1294&lt;EDATE(Assumptions!$C$6,-12)+1,"prior_12m","last_12m")</f>
        <v/>
      </c>
      <c r="AG1294" s="21">
        <f>DATE(YEAR(G1294),MONTH(G1294),1)</f>
        <v/>
      </c>
    </row>
    <row r="1295">
      <c r="A1295" t="inlineStr">
        <is>
          <t>SPO-00703-1</t>
        </is>
      </c>
      <c r="B1295" t="inlineStr">
        <is>
          <t>SPO-00703</t>
        </is>
      </c>
      <c r="C1295" t="inlineStr">
        <is>
          <t>SUP-01</t>
        </is>
      </c>
      <c r="D1295" t="inlineStr">
        <is>
          <t>ELEC</t>
        </is>
      </c>
      <c r="E1295" t="inlineStr">
        <is>
          <t>ELEC-08</t>
        </is>
      </c>
      <c r="F1295" s="17" t="n">
        <v>45759</v>
      </c>
      <c r="G1295" s="17" t="n">
        <v>45777</v>
      </c>
      <c r="H1295" s="18" t="n">
        <v>165</v>
      </c>
      <c r="I1295" s="19" t="n">
        <v>18.54</v>
      </c>
      <c r="J1295" s="19" t="n">
        <v>18</v>
      </c>
      <c r="K1295" s="20" t="n">
        <v>0</v>
      </c>
      <c r="L1295" s="20" t="n">
        <v>0</v>
      </c>
      <c r="M1295" s="18" t="n">
        <v>165</v>
      </c>
      <c r="N1295" s="18" t="n">
        <v>165</v>
      </c>
      <c r="O1295" s="18" t="n">
        <v>0</v>
      </c>
      <c r="P1295" s="17" t="n">
        <v>45777</v>
      </c>
      <c r="Q1295" s="17" t="n">
        <v>45777</v>
      </c>
      <c r="R1295" s="17" t="n">
        <v>45777</v>
      </c>
      <c r="S1295" s="19">
        <f>H1295*I1295</f>
        <v/>
      </c>
      <c r="T1295" s="19">
        <f>H1295*J1295</f>
        <v/>
      </c>
      <c r="U1295">
        <f>IF(AND(K1295=0,G1295&lt;=Assumptions!$C$6),1,0)</f>
        <v/>
      </c>
      <c r="V1295">
        <f>IF(U1295=1,IF(M1295&gt;0,IF(P1295&lt;=G1295+Assumptions!$C$7,1,0),0),0)</f>
        <v/>
      </c>
      <c r="W1295">
        <f>IF(AND(U1295=1,M1295&gt;=H1295*(1-Assumptions!$C$8)),1,0)</f>
        <v/>
      </c>
      <c r="X1295">
        <f>IF(AND(U1295=1,N1295&gt;=H1295*(1-Assumptions!$C$8)),1,0)</f>
        <v/>
      </c>
      <c r="Y1295">
        <f>IF(ISNUMBER(Q1295),1,0)</f>
        <v/>
      </c>
      <c r="Z1295">
        <f>IF(AND(K1295=0,L1295=0,Y1295=0),1,0)</f>
        <v/>
      </c>
      <c r="AA1295">
        <f>IF(AND(Z1295=1,G1295&lt;Assumptions!$C$6),1,0)</f>
        <v/>
      </c>
      <c r="AB1295">
        <f>IF(U1295=0,"",IF(Y1295=1,MAX(0,Q1295-G1295),IF(L1295=1,MAX(0,R1295-G1295),MAX(0,Assumptions!$C$6-G1295))))</f>
        <v/>
      </c>
      <c r="AC1295">
        <f>IF(Y1295=1,Q1295-F1295,"")</f>
        <v/>
      </c>
      <c r="AD1295">
        <f>IF(Y1295=1,AC1295^2,"")</f>
        <v/>
      </c>
      <c r="AE1295" s="19">
        <f>IF(Z1295=1,(H1295-M1295)*I1295,0)</f>
        <v/>
      </c>
      <c r="AF1295">
        <f>IF(G1295&lt;EDATE(Assumptions!$C$6,-12)+1,"prior_12m","last_12m")</f>
        <v/>
      </c>
      <c r="AG1295" s="21">
        <f>DATE(YEAR(G1295),MONTH(G1295),1)</f>
        <v/>
      </c>
    </row>
    <row r="1296">
      <c r="A1296" t="inlineStr">
        <is>
          <t>SPO-00704-1</t>
        </is>
      </c>
      <c r="B1296" t="inlineStr">
        <is>
          <t>SPO-00704</t>
        </is>
      </c>
      <c r="C1296" t="inlineStr">
        <is>
          <t>SUP-07</t>
        </is>
      </c>
      <c r="D1296" t="inlineStr">
        <is>
          <t>MRO</t>
        </is>
      </c>
      <c r="E1296" t="inlineStr">
        <is>
          <t>MRO-06</t>
        </is>
      </c>
      <c r="F1296" s="17" t="n">
        <v>45760</v>
      </c>
      <c r="G1296" s="17" t="n">
        <v>45770</v>
      </c>
      <c r="H1296" s="18" t="n">
        <v>385</v>
      </c>
      <c r="I1296" s="19" t="n">
        <v>6.03</v>
      </c>
      <c r="J1296" s="19" t="n">
        <v>6.1</v>
      </c>
      <c r="K1296" s="20" t="n">
        <v>0</v>
      </c>
      <c r="L1296" s="20" t="n">
        <v>0</v>
      </c>
      <c r="M1296" s="18" t="n">
        <v>385</v>
      </c>
      <c r="N1296" s="18" t="n">
        <v>385</v>
      </c>
      <c r="O1296" s="18" t="n">
        <v>0</v>
      </c>
      <c r="P1296" s="17" t="n">
        <v>45763</v>
      </c>
      <c r="Q1296" s="17" t="n">
        <v>45763</v>
      </c>
      <c r="R1296" s="17" t="n">
        <v>45763</v>
      </c>
      <c r="S1296" s="19">
        <f>H1296*I1296</f>
        <v/>
      </c>
      <c r="T1296" s="19">
        <f>H1296*J1296</f>
        <v/>
      </c>
      <c r="U1296">
        <f>IF(AND(K1296=0,G1296&lt;=Assumptions!$C$6),1,0)</f>
        <v/>
      </c>
      <c r="V1296">
        <f>IF(U1296=1,IF(M1296&gt;0,IF(P1296&lt;=G1296+Assumptions!$C$7,1,0),0),0)</f>
        <v/>
      </c>
      <c r="W1296">
        <f>IF(AND(U1296=1,M1296&gt;=H1296*(1-Assumptions!$C$8)),1,0)</f>
        <v/>
      </c>
      <c r="X1296">
        <f>IF(AND(U1296=1,N1296&gt;=H1296*(1-Assumptions!$C$8)),1,0)</f>
        <v/>
      </c>
      <c r="Y1296">
        <f>IF(ISNUMBER(Q1296),1,0)</f>
        <v/>
      </c>
      <c r="Z1296">
        <f>IF(AND(K1296=0,L1296=0,Y1296=0),1,0)</f>
        <v/>
      </c>
      <c r="AA1296">
        <f>IF(AND(Z1296=1,G1296&lt;Assumptions!$C$6),1,0)</f>
        <v/>
      </c>
      <c r="AB1296">
        <f>IF(U1296=0,"",IF(Y1296=1,MAX(0,Q1296-G1296),IF(L1296=1,MAX(0,R1296-G1296),MAX(0,Assumptions!$C$6-G1296))))</f>
        <v/>
      </c>
      <c r="AC1296">
        <f>IF(Y1296=1,Q1296-F1296,"")</f>
        <v/>
      </c>
      <c r="AD1296">
        <f>IF(Y1296=1,AC1296^2,"")</f>
        <v/>
      </c>
      <c r="AE1296" s="19">
        <f>IF(Z1296=1,(H1296-M1296)*I1296,0)</f>
        <v/>
      </c>
      <c r="AF1296">
        <f>IF(G1296&lt;EDATE(Assumptions!$C$6,-12)+1,"prior_12m","last_12m")</f>
        <v/>
      </c>
      <c r="AG1296" s="21">
        <f>DATE(YEAR(G1296),MONTH(G1296),1)</f>
        <v/>
      </c>
    </row>
    <row r="1297">
      <c r="A1297" t="inlineStr">
        <is>
          <t>SPO-00705-1</t>
        </is>
      </c>
      <c r="B1297" t="inlineStr">
        <is>
          <t>SPO-00705</t>
        </is>
      </c>
      <c r="C1297" t="inlineStr">
        <is>
          <t>SUP-04</t>
        </is>
      </c>
      <c r="D1297" t="inlineStr">
        <is>
          <t>FLEET</t>
        </is>
      </c>
      <c r="E1297" t="inlineStr">
        <is>
          <t>FLEET-07</t>
        </is>
      </c>
      <c r="F1297" s="17" t="n">
        <v>45760</v>
      </c>
      <c r="G1297" s="17" t="n">
        <v>45773</v>
      </c>
      <c r="H1297" s="18" t="n">
        <v>20</v>
      </c>
      <c r="I1297" s="19" t="n">
        <v>113.05</v>
      </c>
      <c r="J1297" s="19" t="n">
        <v>118</v>
      </c>
      <c r="K1297" s="20" t="n">
        <v>0</v>
      </c>
      <c r="L1297" s="20" t="n">
        <v>0</v>
      </c>
      <c r="M1297" s="18" t="n">
        <v>20</v>
      </c>
      <c r="N1297" s="18" t="n">
        <v>0</v>
      </c>
      <c r="O1297" s="18" t="n">
        <v>0</v>
      </c>
      <c r="P1297" s="17" t="n">
        <v>45784</v>
      </c>
      <c r="Q1297" s="17" t="n">
        <v>45784</v>
      </c>
      <c r="R1297" s="17" t="n">
        <v>45784</v>
      </c>
      <c r="S1297" s="19">
        <f>H1297*I1297</f>
        <v/>
      </c>
      <c r="T1297" s="19">
        <f>H1297*J1297</f>
        <v/>
      </c>
      <c r="U1297">
        <f>IF(AND(K1297=0,G1297&lt;=Assumptions!$C$6),1,0)</f>
        <v/>
      </c>
      <c r="V1297">
        <f>IF(U1297=1,IF(M1297&gt;0,IF(P1297&lt;=G1297+Assumptions!$C$7,1,0),0),0)</f>
        <v/>
      </c>
      <c r="W1297">
        <f>IF(AND(U1297=1,M1297&gt;=H1297*(1-Assumptions!$C$8)),1,0)</f>
        <v/>
      </c>
      <c r="X1297">
        <f>IF(AND(U1297=1,N1297&gt;=H1297*(1-Assumptions!$C$8)),1,0)</f>
        <v/>
      </c>
      <c r="Y1297">
        <f>IF(ISNUMBER(Q1297),1,0)</f>
        <v/>
      </c>
      <c r="Z1297">
        <f>IF(AND(K1297=0,L1297=0,Y1297=0),1,0)</f>
        <v/>
      </c>
      <c r="AA1297">
        <f>IF(AND(Z1297=1,G1297&lt;Assumptions!$C$6),1,0)</f>
        <v/>
      </c>
      <c r="AB1297">
        <f>IF(U1297=0,"",IF(Y1297=1,MAX(0,Q1297-G1297),IF(L1297=1,MAX(0,R1297-G1297),MAX(0,Assumptions!$C$6-G1297))))</f>
        <v/>
      </c>
      <c r="AC1297">
        <f>IF(Y1297=1,Q1297-F1297,"")</f>
        <v/>
      </c>
      <c r="AD1297">
        <f>IF(Y1297=1,AC1297^2,"")</f>
        <v/>
      </c>
      <c r="AE1297" s="19">
        <f>IF(Z1297=1,(H1297-M1297)*I1297,0)</f>
        <v/>
      </c>
      <c r="AF1297">
        <f>IF(G1297&lt;EDATE(Assumptions!$C$6,-12)+1,"prior_12m","last_12m")</f>
        <v/>
      </c>
      <c r="AG1297" s="21">
        <f>DATE(YEAR(G1297),MONTH(G1297),1)</f>
        <v/>
      </c>
    </row>
    <row r="1298">
      <c r="A1298" t="inlineStr">
        <is>
          <t>SPO-00705-2</t>
        </is>
      </c>
      <c r="B1298" t="inlineStr">
        <is>
          <t>SPO-00705</t>
        </is>
      </c>
      <c r="C1298" t="inlineStr">
        <is>
          <t>SUP-04</t>
        </is>
      </c>
      <c r="D1298" t="inlineStr">
        <is>
          <t>FLEET</t>
        </is>
      </c>
      <c r="E1298" t="inlineStr">
        <is>
          <t>FLEET-01</t>
        </is>
      </c>
      <c r="F1298" s="17" t="n">
        <v>45760</v>
      </c>
      <c r="G1298" s="17" t="n">
        <v>45773</v>
      </c>
      <c r="H1298" s="18" t="n">
        <v>19</v>
      </c>
      <c r="I1298" s="19" t="n">
        <v>63.92</v>
      </c>
      <c r="J1298" s="19" t="n">
        <v>64</v>
      </c>
      <c r="K1298" s="20" t="n">
        <v>0</v>
      </c>
      <c r="L1298" s="20" t="n">
        <v>0</v>
      </c>
      <c r="M1298" s="18" t="n">
        <v>19</v>
      </c>
      <c r="N1298" s="18" t="n">
        <v>0</v>
      </c>
      <c r="O1298" s="18" t="n">
        <v>0</v>
      </c>
      <c r="P1298" s="17" t="n">
        <v>45774</v>
      </c>
      <c r="Q1298" s="17" t="n">
        <v>45774</v>
      </c>
      <c r="R1298" s="17" t="n">
        <v>45774</v>
      </c>
      <c r="S1298" s="19">
        <f>H1298*I1298</f>
        <v/>
      </c>
      <c r="T1298" s="19">
        <f>H1298*J1298</f>
        <v/>
      </c>
      <c r="U1298">
        <f>IF(AND(K1298=0,G1298&lt;=Assumptions!$C$6),1,0)</f>
        <v/>
      </c>
      <c r="V1298">
        <f>IF(U1298=1,IF(M1298&gt;0,IF(P1298&lt;=G1298+Assumptions!$C$7,1,0),0),0)</f>
        <v/>
      </c>
      <c r="W1298">
        <f>IF(AND(U1298=1,M1298&gt;=H1298*(1-Assumptions!$C$8)),1,0)</f>
        <v/>
      </c>
      <c r="X1298">
        <f>IF(AND(U1298=1,N1298&gt;=H1298*(1-Assumptions!$C$8)),1,0)</f>
        <v/>
      </c>
      <c r="Y1298">
        <f>IF(ISNUMBER(Q1298),1,0)</f>
        <v/>
      </c>
      <c r="Z1298">
        <f>IF(AND(K1298=0,L1298=0,Y1298=0),1,0)</f>
        <v/>
      </c>
      <c r="AA1298">
        <f>IF(AND(Z1298=1,G1298&lt;Assumptions!$C$6),1,0)</f>
        <v/>
      </c>
      <c r="AB1298">
        <f>IF(U1298=0,"",IF(Y1298=1,MAX(0,Q1298-G1298),IF(L1298=1,MAX(0,R1298-G1298),MAX(0,Assumptions!$C$6-G1298))))</f>
        <v/>
      </c>
      <c r="AC1298">
        <f>IF(Y1298=1,Q1298-F1298,"")</f>
        <v/>
      </c>
      <c r="AD1298">
        <f>IF(Y1298=1,AC1298^2,"")</f>
        <v/>
      </c>
      <c r="AE1298" s="19">
        <f>IF(Z1298=1,(H1298-M1298)*I1298,0)</f>
        <v/>
      </c>
      <c r="AF1298">
        <f>IF(G1298&lt;EDATE(Assumptions!$C$6,-12)+1,"prior_12m","last_12m")</f>
        <v/>
      </c>
      <c r="AG1298" s="21">
        <f>DATE(YEAR(G1298),MONTH(G1298),1)</f>
        <v/>
      </c>
    </row>
    <row r="1299">
      <c r="A1299" t="inlineStr">
        <is>
          <t>SPO-00705-3</t>
        </is>
      </c>
      <c r="B1299" t="inlineStr">
        <is>
          <t>SPO-00705</t>
        </is>
      </c>
      <c r="C1299" t="inlineStr">
        <is>
          <t>SUP-04</t>
        </is>
      </c>
      <c r="D1299" t="inlineStr">
        <is>
          <t>FLEET</t>
        </is>
      </c>
      <c r="E1299" t="inlineStr">
        <is>
          <t>FLEET-05</t>
        </is>
      </c>
      <c r="F1299" s="17" t="n">
        <v>45760</v>
      </c>
      <c r="G1299" s="17" t="n">
        <v>45773</v>
      </c>
      <c r="H1299" s="18" t="n">
        <v>5</v>
      </c>
      <c r="I1299" s="19" t="n">
        <v>152.87</v>
      </c>
      <c r="J1299" s="19" t="n">
        <v>168</v>
      </c>
      <c r="K1299" s="20" t="n">
        <v>0</v>
      </c>
      <c r="L1299" s="20" t="n">
        <v>1</v>
      </c>
      <c r="M1299" s="18" t="n">
        <v>3</v>
      </c>
      <c r="N1299" s="18" t="n">
        <v>3</v>
      </c>
      <c r="O1299" s="18" t="n">
        <v>0</v>
      </c>
      <c r="P1299" s="17" t="n">
        <v>45764</v>
      </c>
      <c r="Q1299" s="17" t="n"/>
      <c r="R1299" s="17" t="n">
        <v>45764</v>
      </c>
      <c r="S1299" s="19">
        <f>H1299*I1299</f>
        <v/>
      </c>
      <c r="T1299" s="19">
        <f>H1299*J1299</f>
        <v/>
      </c>
      <c r="U1299">
        <f>IF(AND(K1299=0,G1299&lt;=Assumptions!$C$6),1,0)</f>
        <v/>
      </c>
      <c r="V1299">
        <f>IF(U1299=1,IF(M1299&gt;0,IF(P1299&lt;=G1299+Assumptions!$C$7,1,0),0),0)</f>
        <v/>
      </c>
      <c r="W1299">
        <f>IF(AND(U1299=1,M1299&gt;=H1299*(1-Assumptions!$C$8)),1,0)</f>
        <v/>
      </c>
      <c r="X1299">
        <f>IF(AND(U1299=1,N1299&gt;=H1299*(1-Assumptions!$C$8)),1,0)</f>
        <v/>
      </c>
      <c r="Y1299">
        <f>IF(ISNUMBER(Q1299),1,0)</f>
        <v/>
      </c>
      <c r="Z1299">
        <f>IF(AND(K1299=0,L1299=0,Y1299=0),1,0)</f>
        <v/>
      </c>
      <c r="AA1299">
        <f>IF(AND(Z1299=1,G1299&lt;Assumptions!$C$6),1,0)</f>
        <v/>
      </c>
      <c r="AB1299">
        <f>IF(U1299=0,"",IF(Y1299=1,MAX(0,Q1299-G1299),IF(L1299=1,MAX(0,R1299-G1299),MAX(0,Assumptions!$C$6-G1299))))</f>
        <v/>
      </c>
      <c r="AC1299">
        <f>IF(Y1299=1,Q1299-F1299,"")</f>
        <v/>
      </c>
      <c r="AD1299">
        <f>IF(Y1299=1,AC1299^2,"")</f>
        <v/>
      </c>
      <c r="AE1299" s="19">
        <f>IF(Z1299=1,(H1299-M1299)*I1299,0)</f>
        <v/>
      </c>
      <c r="AF1299">
        <f>IF(G1299&lt;EDATE(Assumptions!$C$6,-12)+1,"prior_12m","last_12m")</f>
        <v/>
      </c>
      <c r="AG1299" s="21">
        <f>DATE(YEAR(G1299),MONTH(G1299),1)</f>
        <v/>
      </c>
    </row>
    <row r="1300">
      <c r="A1300" t="inlineStr">
        <is>
          <t>SPO-00706-1</t>
        </is>
      </c>
      <c r="B1300" t="inlineStr">
        <is>
          <t>SPO-00706</t>
        </is>
      </c>
      <c r="C1300" t="inlineStr">
        <is>
          <t>SUP-05</t>
        </is>
      </c>
      <c r="D1300" t="inlineStr">
        <is>
          <t>FLEET</t>
        </is>
      </c>
      <c r="E1300" t="inlineStr">
        <is>
          <t>FLEET-04</t>
        </is>
      </c>
      <c r="F1300" s="17" t="n">
        <v>45760</v>
      </c>
      <c r="G1300" s="17" t="n">
        <v>45774</v>
      </c>
      <c r="H1300" s="18" t="n">
        <v>83</v>
      </c>
      <c r="I1300" s="19" t="n">
        <v>9.130000000000001</v>
      </c>
      <c r="J1300" s="19" t="n">
        <v>9</v>
      </c>
      <c r="K1300" s="20" t="n">
        <v>0</v>
      </c>
      <c r="L1300" s="20" t="n">
        <v>0</v>
      </c>
      <c r="M1300" s="18" t="n">
        <v>83</v>
      </c>
      <c r="N1300" s="18" t="n">
        <v>83</v>
      </c>
      <c r="O1300" s="18" t="n">
        <v>0</v>
      </c>
      <c r="P1300" s="17" t="n">
        <v>45771</v>
      </c>
      <c r="Q1300" s="17" t="n">
        <v>45771</v>
      </c>
      <c r="R1300" s="17" t="n">
        <v>45771</v>
      </c>
      <c r="S1300" s="19">
        <f>H1300*I1300</f>
        <v/>
      </c>
      <c r="T1300" s="19">
        <f>H1300*J1300</f>
        <v/>
      </c>
      <c r="U1300">
        <f>IF(AND(K1300=0,G1300&lt;=Assumptions!$C$6),1,0)</f>
        <v/>
      </c>
      <c r="V1300">
        <f>IF(U1300=1,IF(M1300&gt;0,IF(P1300&lt;=G1300+Assumptions!$C$7,1,0),0),0)</f>
        <v/>
      </c>
      <c r="W1300">
        <f>IF(AND(U1300=1,M1300&gt;=H1300*(1-Assumptions!$C$8)),1,0)</f>
        <v/>
      </c>
      <c r="X1300">
        <f>IF(AND(U1300=1,N1300&gt;=H1300*(1-Assumptions!$C$8)),1,0)</f>
        <v/>
      </c>
      <c r="Y1300">
        <f>IF(ISNUMBER(Q1300),1,0)</f>
        <v/>
      </c>
      <c r="Z1300">
        <f>IF(AND(K1300=0,L1300=0,Y1300=0),1,0)</f>
        <v/>
      </c>
      <c r="AA1300">
        <f>IF(AND(Z1300=1,G1300&lt;Assumptions!$C$6),1,0)</f>
        <v/>
      </c>
      <c r="AB1300">
        <f>IF(U1300=0,"",IF(Y1300=1,MAX(0,Q1300-G1300),IF(L1300=1,MAX(0,R1300-G1300),MAX(0,Assumptions!$C$6-G1300))))</f>
        <v/>
      </c>
      <c r="AC1300">
        <f>IF(Y1300=1,Q1300-F1300,"")</f>
        <v/>
      </c>
      <c r="AD1300">
        <f>IF(Y1300=1,AC1300^2,"")</f>
        <v/>
      </c>
      <c r="AE1300" s="19">
        <f>IF(Z1300=1,(H1300-M1300)*I1300,0)</f>
        <v/>
      </c>
      <c r="AF1300">
        <f>IF(G1300&lt;EDATE(Assumptions!$C$6,-12)+1,"prior_12m","last_12m")</f>
        <v/>
      </c>
      <c r="AG1300" s="21">
        <f>DATE(YEAR(G1300),MONTH(G1300),1)</f>
        <v/>
      </c>
    </row>
    <row r="1301">
      <c r="A1301" t="inlineStr">
        <is>
          <t>SPO-00706-2</t>
        </is>
      </c>
      <c r="B1301" t="inlineStr">
        <is>
          <t>SPO-00706</t>
        </is>
      </c>
      <c r="C1301" t="inlineStr">
        <is>
          <t>SUP-05</t>
        </is>
      </c>
      <c r="D1301" t="inlineStr">
        <is>
          <t>FLEET</t>
        </is>
      </c>
      <c r="E1301" t="inlineStr">
        <is>
          <t>FLEET-03</t>
        </is>
      </c>
      <c r="F1301" s="17" t="n">
        <v>45760</v>
      </c>
      <c r="G1301" s="17" t="n">
        <v>45774</v>
      </c>
      <c r="H1301" s="18" t="n">
        <v>35</v>
      </c>
      <c r="I1301" s="19" t="n">
        <v>20.43</v>
      </c>
      <c r="J1301" s="19" t="n">
        <v>21</v>
      </c>
      <c r="K1301" s="20" t="n">
        <v>0</v>
      </c>
      <c r="L1301" s="20" t="n">
        <v>0</v>
      </c>
      <c r="M1301" s="18" t="n">
        <v>35</v>
      </c>
      <c r="N1301" s="18" t="n">
        <v>35</v>
      </c>
      <c r="O1301" s="18" t="n">
        <v>0</v>
      </c>
      <c r="P1301" s="17" t="n">
        <v>45770</v>
      </c>
      <c r="Q1301" s="17" t="n">
        <v>45770</v>
      </c>
      <c r="R1301" s="17" t="n">
        <v>45770</v>
      </c>
      <c r="S1301" s="19">
        <f>H1301*I1301</f>
        <v/>
      </c>
      <c r="T1301" s="19">
        <f>H1301*J1301</f>
        <v/>
      </c>
      <c r="U1301">
        <f>IF(AND(K1301=0,G1301&lt;=Assumptions!$C$6),1,0)</f>
        <v/>
      </c>
      <c r="V1301">
        <f>IF(U1301=1,IF(M1301&gt;0,IF(P1301&lt;=G1301+Assumptions!$C$7,1,0),0),0)</f>
        <v/>
      </c>
      <c r="W1301">
        <f>IF(AND(U1301=1,M1301&gt;=H1301*(1-Assumptions!$C$8)),1,0)</f>
        <v/>
      </c>
      <c r="X1301">
        <f>IF(AND(U1301=1,N1301&gt;=H1301*(1-Assumptions!$C$8)),1,0)</f>
        <v/>
      </c>
      <c r="Y1301">
        <f>IF(ISNUMBER(Q1301),1,0)</f>
        <v/>
      </c>
      <c r="Z1301">
        <f>IF(AND(K1301=0,L1301=0,Y1301=0),1,0)</f>
        <v/>
      </c>
      <c r="AA1301">
        <f>IF(AND(Z1301=1,G1301&lt;Assumptions!$C$6),1,0)</f>
        <v/>
      </c>
      <c r="AB1301">
        <f>IF(U1301=0,"",IF(Y1301=1,MAX(0,Q1301-G1301),IF(L1301=1,MAX(0,R1301-G1301),MAX(0,Assumptions!$C$6-G1301))))</f>
        <v/>
      </c>
      <c r="AC1301">
        <f>IF(Y1301=1,Q1301-F1301,"")</f>
        <v/>
      </c>
      <c r="AD1301">
        <f>IF(Y1301=1,AC1301^2,"")</f>
        <v/>
      </c>
      <c r="AE1301" s="19">
        <f>IF(Z1301=1,(H1301-M1301)*I1301,0)</f>
        <v/>
      </c>
      <c r="AF1301">
        <f>IF(G1301&lt;EDATE(Assumptions!$C$6,-12)+1,"prior_12m","last_12m")</f>
        <v/>
      </c>
      <c r="AG1301" s="21">
        <f>DATE(YEAR(G1301),MONTH(G1301),1)</f>
        <v/>
      </c>
    </row>
    <row r="1302">
      <c r="A1302" t="inlineStr">
        <is>
          <t>SPO-00706-3</t>
        </is>
      </c>
      <c r="B1302" t="inlineStr">
        <is>
          <t>SPO-00706</t>
        </is>
      </c>
      <c r="C1302" t="inlineStr">
        <is>
          <t>SUP-05</t>
        </is>
      </c>
      <c r="D1302" t="inlineStr">
        <is>
          <t>FLEET</t>
        </is>
      </c>
      <c r="E1302" t="inlineStr">
        <is>
          <t>FLEET-02</t>
        </is>
      </c>
      <c r="F1302" s="17" t="n">
        <v>45760</v>
      </c>
      <c r="G1302" s="17" t="n">
        <v>45774</v>
      </c>
      <c r="H1302" s="18" t="n">
        <v>307</v>
      </c>
      <c r="I1302" s="19" t="n">
        <v>7.7</v>
      </c>
      <c r="J1302" s="19" t="n">
        <v>7.5</v>
      </c>
      <c r="K1302" s="20" t="n">
        <v>0</v>
      </c>
      <c r="L1302" s="20" t="n">
        <v>0</v>
      </c>
      <c r="M1302" s="18" t="n">
        <v>307</v>
      </c>
      <c r="N1302" s="18" t="n">
        <v>307</v>
      </c>
      <c r="O1302" s="18" t="n">
        <v>0</v>
      </c>
      <c r="P1302" s="17" t="n">
        <v>45770</v>
      </c>
      <c r="Q1302" s="17" t="n">
        <v>45770</v>
      </c>
      <c r="R1302" s="17" t="n">
        <v>45770</v>
      </c>
      <c r="S1302" s="19">
        <f>H1302*I1302</f>
        <v/>
      </c>
      <c r="T1302" s="19">
        <f>H1302*J1302</f>
        <v/>
      </c>
      <c r="U1302">
        <f>IF(AND(K1302=0,G1302&lt;=Assumptions!$C$6),1,0)</f>
        <v/>
      </c>
      <c r="V1302">
        <f>IF(U1302=1,IF(M1302&gt;0,IF(P1302&lt;=G1302+Assumptions!$C$7,1,0),0),0)</f>
        <v/>
      </c>
      <c r="W1302">
        <f>IF(AND(U1302=1,M1302&gt;=H1302*(1-Assumptions!$C$8)),1,0)</f>
        <v/>
      </c>
      <c r="X1302">
        <f>IF(AND(U1302=1,N1302&gt;=H1302*(1-Assumptions!$C$8)),1,0)</f>
        <v/>
      </c>
      <c r="Y1302">
        <f>IF(ISNUMBER(Q1302),1,0)</f>
        <v/>
      </c>
      <c r="Z1302">
        <f>IF(AND(K1302=0,L1302=0,Y1302=0),1,0)</f>
        <v/>
      </c>
      <c r="AA1302">
        <f>IF(AND(Z1302=1,G1302&lt;Assumptions!$C$6),1,0)</f>
        <v/>
      </c>
      <c r="AB1302">
        <f>IF(U1302=0,"",IF(Y1302=1,MAX(0,Q1302-G1302),IF(L1302=1,MAX(0,R1302-G1302),MAX(0,Assumptions!$C$6-G1302))))</f>
        <v/>
      </c>
      <c r="AC1302">
        <f>IF(Y1302=1,Q1302-F1302,"")</f>
        <v/>
      </c>
      <c r="AD1302">
        <f>IF(Y1302=1,AC1302^2,"")</f>
        <v/>
      </c>
      <c r="AE1302" s="19">
        <f>IF(Z1302=1,(H1302-M1302)*I1302,0)</f>
        <v/>
      </c>
      <c r="AF1302">
        <f>IF(G1302&lt;EDATE(Assumptions!$C$6,-12)+1,"prior_12m","last_12m")</f>
        <v/>
      </c>
      <c r="AG1302" s="21">
        <f>DATE(YEAR(G1302),MONTH(G1302),1)</f>
        <v/>
      </c>
    </row>
    <row r="1303">
      <c r="A1303" t="inlineStr">
        <is>
          <t>SPO-00707-1</t>
        </is>
      </c>
      <c r="B1303" t="inlineStr">
        <is>
          <t>SPO-00707</t>
        </is>
      </c>
      <c r="C1303" t="inlineStr">
        <is>
          <t>SUP-01</t>
        </is>
      </c>
      <c r="D1303" t="inlineStr">
        <is>
          <t>ELEC</t>
        </is>
      </c>
      <c r="E1303" t="inlineStr">
        <is>
          <t>ELEC-06</t>
        </is>
      </c>
      <c r="F1303" s="17" t="n">
        <v>45760</v>
      </c>
      <c r="G1303" s="17" t="n">
        <v>45778</v>
      </c>
      <c r="H1303" s="18" t="n">
        <v>13</v>
      </c>
      <c r="I1303" s="19" t="n">
        <v>140.37</v>
      </c>
      <c r="J1303" s="19" t="n">
        <v>145</v>
      </c>
      <c r="K1303" s="20" t="n">
        <v>0</v>
      </c>
      <c r="L1303" s="20" t="n">
        <v>0</v>
      </c>
      <c r="M1303" s="18" t="n">
        <v>13</v>
      </c>
      <c r="N1303" s="18" t="n">
        <v>10</v>
      </c>
      <c r="O1303" s="18" t="n">
        <v>2</v>
      </c>
      <c r="P1303" s="17" t="n">
        <v>45773</v>
      </c>
      <c r="Q1303" s="17" t="n">
        <v>45782</v>
      </c>
      <c r="R1303" s="17" t="n">
        <v>45782</v>
      </c>
      <c r="S1303" s="19">
        <f>H1303*I1303</f>
        <v/>
      </c>
      <c r="T1303" s="19">
        <f>H1303*J1303</f>
        <v/>
      </c>
      <c r="U1303">
        <f>IF(AND(K1303=0,G1303&lt;=Assumptions!$C$6),1,0)</f>
        <v/>
      </c>
      <c r="V1303">
        <f>IF(U1303=1,IF(M1303&gt;0,IF(P1303&lt;=G1303+Assumptions!$C$7,1,0),0),0)</f>
        <v/>
      </c>
      <c r="W1303">
        <f>IF(AND(U1303=1,M1303&gt;=H1303*(1-Assumptions!$C$8)),1,0)</f>
        <v/>
      </c>
      <c r="X1303">
        <f>IF(AND(U1303=1,N1303&gt;=H1303*(1-Assumptions!$C$8)),1,0)</f>
        <v/>
      </c>
      <c r="Y1303">
        <f>IF(ISNUMBER(Q1303),1,0)</f>
        <v/>
      </c>
      <c r="Z1303">
        <f>IF(AND(K1303=0,L1303=0,Y1303=0),1,0)</f>
        <v/>
      </c>
      <c r="AA1303">
        <f>IF(AND(Z1303=1,G1303&lt;Assumptions!$C$6),1,0)</f>
        <v/>
      </c>
      <c r="AB1303">
        <f>IF(U1303=0,"",IF(Y1303=1,MAX(0,Q1303-G1303),IF(L1303=1,MAX(0,R1303-G1303),MAX(0,Assumptions!$C$6-G1303))))</f>
        <v/>
      </c>
      <c r="AC1303">
        <f>IF(Y1303=1,Q1303-F1303,"")</f>
        <v/>
      </c>
      <c r="AD1303">
        <f>IF(Y1303=1,AC1303^2,"")</f>
        <v/>
      </c>
      <c r="AE1303" s="19">
        <f>IF(Z1303=1,(H1303-M1303)*I1303,0)</f>
        <v/>
      </c>
      <c r="AF1303">
        <f>IF(G1303&lt;EDATE(Assumptions!$C$6,-12)+1,"prior_12m","last_12m")</f>
        <v/>
      </c>
      <c r="AG1303" s="21">
        <f>DATE(YEAR(G1303),MONTH(G1303),1)</f>
        <v/>
      </c>
    </row>
    <row r="1304">
      <c r="A1304" t="inlineStr">
        <is>
          <t>SPO-00708-1</t>
        </is>
      </c>
      <c r="B1304" t="inlineStr">
        <is>
          <t>SPO-00708</t>
        </is>
      </c>
      <c r="C1304" t="inlineStr">
        <is>
          <t>SUP-01</t>
        </is>
      </c>
      <c r="D1304" t="inlineStr">
        <is>
          <t>ELEC</t>
        </is>
      </c>
      <c r="E1304" t="inlineStr">
        <is>
          <t>ELEC-04</t>
        </is>
      </c>
      <c r="F1304" s="17" t="n">
        <v>45761</v>
      </c>
      <c r="G1304" s="17" t="n">
        <v>45779</v>
      </c>
      <c r="H1304" s="18" t="n">
        <v>25</v>
      </c>
      <c r="I1304" s="19" t="n">
        <v>70.58</v>
      </c>
      <c r="J1304" s="19" t="n">
        <v>72</v>
      </c>
      <c r="K1304" s="20" t="n">
        <v>0</v>
      </c>
      <c r="L1304" s="20" t="n">
        <v>0</v>
      </c>
      <c r="M1304" s="18" t="n">
        <v>25</v>
      </c>
      <c r="N1304" s="18" t="n">
        <v>25</v>
      </c>
      <c r="O1304" s="18" t="n">
        <v>0</v>
      </c>
      <c r="P1304" s="17" t="n">
        <v>45771</v>
      </c>
      <c r="Q1304" s="17" t="n">
        <v>45771</v>
      </c>
      <c r="R1304" s="17" t="n">
        <v>45771</v>
      </c>
      <c r="S1304" s="19">
        <f>H1304*I1304</f>
        <v/>
      </c>
      <c r="T1304" s="19">
        <f>H1304*J1304</f>
        <v/>
      </c>
      <c r="U1304">
        <f>IF(AND(K1304=0,G1304&lt;=Assumptions!$C$6),1,0)</f>
        <v/>
      </c>
      <c r="V1304">
        <f>IF(U1304=1,IF(M1304&gt;0,IF(P1304&lt;=G1304+Assumptions!$C$7,1,0),0),0)</f>
        <v/>
      </c>
      <c r="W1304">
        <f>IF(AND(U1304=1,M1304&gt;=H1304*(1-Assumptions!$C$8)),1,0)</f>
        <v/>
      </c>
      <c r="X1304">
        <f>IF(AND(U1304=1,N1304&gt;=H1304*(1-Assumptions!$C$8)),1,0)</f>
        <v/>
      </c>
      <c r="Y1304">
        <f>IF(ISNUMBER(Q1304),1,0)</f>
        <v/>
      </c>
      <c r="Z1304">
        <f>IF(AND(K1304=0,L1304=0,Y1304=0),1,0)</f>
        <v/>
      </c>
      <c r="AA1304">
        <f>IF(AND(Z1304=1,G1304&lt;Assumptions!$C$6),1,0)</f>
        <v/>
      </c>
      <c r="AB1304">
        <f>IF(U1304=0,"",IF(Y1304=1,MAX(0,Q1304-G1304),IF(L1304=1,MAX(0,R1304-G1304),MAX(0,Assumptions!$C$6-G1304))))</f>
        <v/>
      </c>
      <c r="AC1304">
        <f>IF(Y1304=1,Q1304-F1304,"")</f>
        <v/>
      </c>
      <c r="AD1304">
        <f>IF(Y1304=1,AC1304^2,"")</f>
        <v/>
      </c>
      <c r="AE1304" s="19">
        <f>IF(Z1304=1,(H1304-M1304)*I1304,0)</f>
        <v/>
      </c>
      <c r="AF1304">
        <f>IF(G1304&lt;EDATE(Assumptions!$C$6,-12)+1,"prior_12m","last_12m")</f>
        <v/>
      </c>
      <c r="AG1304" s="21">
        <f>DATE(YEAR(G1304),MONTH(G1304),1)</f>
        <v/>
      </c>
    </row>
    <row r="1305">
      <c r="A1305" t="inlineStr">
        <is>
          <t>SPO-00708-2</t>
        </is>
      </c>
      <c r="B1305" t="inlineStr">
        <is>
          <t>SPO-00708</t>
        </is>
      </c>
      <c r="C1305" t="inlineStr">
        <is>
          <t>SUP-01</t>
        </is>
      </c>
      <c r="D1305" t="inlineStr">
        <is>
          <t>ELEC</t>
        </is>
      </c>
      <c r="E1305" t="inlineStr">
        <is>
          <t>ELEC-01</t>
        </is>
      </c>
      <c r="F1305" s="17" t="n">
        <v>45761</v>
      </c>
      <c r="G1305" s="17" t="n">
        <v>45779</v>
      </c>
      <c r="H1305" s="18" t="n">
        <v>134</v>
      </c>
      <c r="I1305" s="19" t="n">
        <v>36.21</v>
      </c>
      <c r="J1305" s="19" t="n">
        <v>38</v>
      </c>
      <c r="K1305" s="20" t="n">
        <v>0</v>
      </c>
      <c r="L1305" s="20" t="n">
        <v>0</v>
      </c>
      <c r="M1305" s="18" t="n">
        <v>134</v>
      </c>
      <c r="N1305" s="18" t="n">
        <v>134</v>
      </c>
      <c r="O1305" s="18" t="n">
        <v>0</v>
      </c>
      <c r="P1305" s="17" t="n">
        <v>45776</v>
      </c>
      <c r="Q1305" s="17" t="n">
        <v>45776</v>
      </c>
      <c r="R1305" s="17" t="n">
        <v>45776</v>
      </c>
      <c r="S1305" s="19">
        <f>H1305*I1305</f>
        <v/>
      </c>
      <c r="T1305" s="19">
        <f>H1305*J1305</f>
        <v/>
      </c>
      <c r="U1305">
        <f>IF(AND(K1305=0,G1305&lt;=Assumptions!$C$6),1,0)</f>
        <v/>
      </c>
      <c r="V1305">
        <f>IF(U1305=1,IF(M1305&gt;0,IF(P1305&lt;=G1305+Assumptions!$C$7,1,0),0),0)</f>
        <v/>
      </c>
      <c r="W1305">
        <f>IF(AND(U1305=1,M1305&gt;=H1305*(1-Assumptions!$C$8)),1,0)</f>
        <v/>
      </c>
      <c r="X1305">
        <f>IF(AND(U1305=1,N1305&gt;=H1305*(1-Assumptions!$C$8)),1,0)</f>
        <v/>
      </c>
      <c r="Y1305">
        <f>IF(ISNUMBER(Q1305),1,0)</f>
        <v/>
      </c>
      <c r="Z1305">
        <f>IF(AND(K1305=0,L1305=0,Y1305=0),1,0)</f>
        <v/>
      </c>
      <c r="AA1305">
        <f>IF(AND(Z1305=1,G1305&lt;Assumptions!$C$6),1,0)</f>
        <v/>
      </c>
      <c r="AB1305">
        <f>IF(U1305=0,"",IF(Y1305=1,MAX(0,Q1305-G1305),IF(L1305=1,MAX(0,R1305-G1305),MAX(0,Assumptions!$C$6-G1305))))</f>
        <v/>
      </c>
      <c r="AC1305">
        <f>IF(Y1305=1,Q1305-F1305,"")</f>
        <v/>
      </c>
      <c r="AD1305">
        <f>IF(Y1305=1,AC1305^2,"")</f>
        <v/>
      </c>
      <c r="AE1305" s="19">
        <f>IF(Z1305=1,(H1305-M1305)*I1305,0)</f>
        <v/>
      </c>
      <c r="AF1305">
        <f>IF(G1305&lt;EDATE(Assumptions!$C$6,-12)+1,"prior_12m","last_12m")</f>
        <v/>
      </c>
      <c r="AG1305" s="21">
        <f>DATE(YEAR(G1305),MONTH(G1305),1)</f>
        <v/>
      </c>
    </row>
    <row r="1306">
      <c r="A1306" t="inlineStr">
        <is>
          <t>SPO-00709-1</t>
        </is>
      </c>
      <c r="B1306" t="inlineStr">
        <is>
          <t>SPO-00709</t>
        </is>
      </c>
      <c r="C1306" t="inlineStr">
        <is>
          <t>SUP-05</t>
        </is>
      </c>
      <c r="D1306" t="inlineStr">
        <is>
          <t>FLEET</t>
        </is>
      </c>
      <c r="E1306" t="inlineStr">
        <is>
          <t>FLEET-02</t>
        </is>
      </c>
      <c r="F1306" s="17" t="n">
        <v>45761</v>
      </c>
      <c r="G1306" s="17" t="n">
        <v>45775</v>
      </c>
      <c r="H1306" s="18" t="n">
        <v>213</v>
      </c>
      <c r="I1306" s="19" t="n">
        <v>7.67</v>
      </c>
      <c r="J1306" s="19" t="n">
        <v>7.5</v>
      </c>
      <c r="K1306" s="20" t="n">
        <v>0</v>
      </c>
      <c r="L1306" s="20" t="n">
        <v>0</v>
      </c>
      <c r="M1306" s="18" t="n">
        <v>213</v>
      </c>
      <c r="N1306" s="18" t="n">
        <v>213</v>
      </c>
      <c r="O1306" s="18" t="n">
        <v>0</v>
      </c>
      <c r="P1306" s="17" t="n">
        <v>45773</v>
      </c>
      <c r="Q1306" s="17" t="n">
        <v>45773</v>
      </c>
      <c r="R1306" s="17" t="n">
        <v>45773</v>
      </c>
      <c r="S1306" s="19">
        <f>H1306*I1306</f>
        <v/>
      </c>
      <c r="T1306" s="19">
        <f>H1306*J1306</f>
        <v/>
      </c>
      <c r="U1306">
        <f>IF(AND(K1306=0,G1306&lt;=Assumptions!$C$6),1,0)</f>
        <v/>
      </c>
      <c r="V1306">
        <f>IF(U1306=1,IF(M1306&gt;0,IF(P1306&lt;=G1306+Assumptions!$C$7,1,0),0),0)</f>
        <v/>
      </c>
      <c r="W1306">
        <f>IF(AND(U1306=1,M1306&gt;=H1306*(1-Assumptions!$C$8)),1,0)</f>
        <v/>
      </c>
      <c r="X1306">
        <f>IF(AND(U1306=1,N1306&gt;=H1306*(1-Assumptions!$C$8)),1,0)</f>
        <v/>
      </c>
      <c r="Y1306">
        <f>IF(ISNUMBER(Q1306),1,0)</f>
        <v/>
      </c>
      <c r="Z1306">
        <f>IF(AND(K1306=0,L1306=0,Y1306=0),1,0)</f>
        <v/>
      </c>
      <c r="AA1306">
        <f>IF(AND(Z1306=1,G1306&lt;Assumptions!$C$6),1,0)</f>
        <v/>
      </c>
      <c r="AB1306">
        <f>IF(U1306=0,"",IF(Y1306=1,MAX(0,Q1306-G1306),IF(L1306=1,MAX(0,R1306-G1306),MAX(0,Assumptions!$C$6-G1306))))</f>
        <v/>
      </c>
      <c r="AC1306">
        <f>IF(Y1306=1,Q1306-F1306,"")</f>
        <v/>
      </c>
      <c r="AD1306">
        <f>IF(Y1306=1,AC1306^2,"")</f>
        <v/>
      </c>
      <c r="AE1306" s="19">
        <f>IF(Z1306=1,(H1306-M1306)*I1306,0)</f>
        <v/>
      </c>
      <c r="AF1306">
        <f>IF(G1306&lt;EDATE(Assumptions!$C$6,-12)+1,"prior_12m","last_12m")</f>
        <v/>
      </c>
      <c r="AG1306" s="21">
        <f>DATE(YEAR(G1306),MONTH(G1306),1)</f>
        <v/>
      </c>
    </row>
    <row r="1307">
      <c r="A1307" t="inlineStr">
        <is>
          <t>SPO-00710-1</t>
        </is>
      </c>
      <c r="B1307" t="inlineStr">
        <is>
          <t>SPO-00710</t>
        </is>
      </c>
      <c r="C1307" t="inlineStr">
        <is>
          <t>SUP-06</t>
        </is>
      </c>
      <c r="D1307" t="inlineStr">
        <is>
          <t>MRO</t>
        </is>
      </c>
      <c r="E1307" t="inlineStr">
        <is>
          <t>MRO-06</t>
        </is>
      </c>
      <c r="F1307" s="17" t="n">
        <v>45761</v>
      </c>
      <c r="G1307" s="17" t="n">
        <v>45769</v>
      </c>
      <c r="H1307" s="18" t="n">
        <v>273</v>
      </c>
      <c r="I1307" s="19" t="n">
        <v>6.17</v>
      </c>
      <c r="J1307" s="19" t="n">
        <v>6.1</v>
      </c>
      <c r="K1307" s="20" t="n">
        <v>0</v>
      </c>
      <c r="L1307" s="20" t="n">
        <v>0</v>
      </c>
      <c r="M1307" s="18" t="n">
        <v>273</v>
      </c>
      <c r="N1307" s="18" t="n">
        <v>273</v>
      </c>
      <c r="O1307" s="18" t="n">
        <v>0</v>
      </c>
      <c r="P1307" s="17" t="n">
        <v>45767</v>
      </c>
      <c r="Q1307" s="17" t="n">
        <v>45767</v>
      </c>
      <c r="R1307" s="17" t="n">
        <v>45767</v>
      </c>
      <c r="S1307" s="19">
        <f>H1307*I1307</f>
        <v/>
      </c>
      <c r="T1307" s="19">
        <f>H1307*J1307</f>
        <v/>
      </c>
      <c r="U1307">
        <f>IF(AND(K1307=0,G1307&lt;=Assumptions!$C$6),1,0)</f>
        <v/>
      </c>
      <c r="V1307">
        <f>IF(U1307=1,IF(M1307&gt;0,IF(P1307&lt;=G1307+Assumptions!$C$7,1,0),0),0)</f>
        <v/>
      </c>
      <c r="W1307">
        <f>IF(AND(U1307=1,M1307&gt;=H1307*(1-Assumptions!$C$8)),1,0)</f>
        <v/>
      </c>
      <c r="X1307">
        <f>IF(AND(U1307=1,N1307&gt;=H1307*(1-Assumptions!$C$8)),1,0)</f>
        <v/>
      </c>
      <c r="Y1307">
        <f>IF(ISNUMBER(Q1307),1,0)</f>
        <v/>
      </c>
      <c r="Z1307">
        <f>IF(AND(K1307=0,L1307=0,Y1307=0),1,0)</f>
        <v/>
      </c>
      <c r="AA1307">
        <f>IF(AND(Z1307=1,G1307&lt;Assumptions!$C$6),1,0)</f>
        <v/>
      </c>
      <c r="AB1307">
        <f>IF(U1307=0,"",IF(Y1307=1,MAX(0,Q1307-G1307),IF(L1307=1,MAX(0,R1307-G1307),MAX(0,Assumptions!$C$6-G1307))))</f>
        <v/>
      </c>
      <c r="AC1307">
        <f>IF(Y1307=1,Q1307-F1307,"")</f>
        <v/>
      </c>
      <c r="AD1307">
        <f>IF(Y1307=1,AC1307^2,"")</f>
        <v/>
      </c>
      <c r="AE1307" s="19">
        <f>IF(Z1307=1,(H1307-M1307)*I1307,0)</f>
        <v/>
      </c>
      <c r="AF1307">
        <f>IF(G1307&lt;EDATE(Assumptions!$C$6,-12)+1,"prior_12m","last_12m")</f>
        <v/>
      </c>
      <c r="AG1307" s="21">
        <f>DATE(YEAR(G1307),MONTH(G1307),1)</f>
        <v/>
      </c>
    </row>
    <row r="1308">
      <c r="A1308" t="inlineStr">
        <is>
          <t>SPO-00710-2</t>
        </is>
      </c>
      <c r="B1308" t="inlineStr">
        <is>
          <t>SPO-00710</t>
        </is>
      </c>
      <c r="C1308" t="inlineStr">
        <is>
          <t>SUP-06</t>
        </is>
      </c>
      <c r="D1308" t="inlineStr">
        <is>
          <t>MRO</t>
        </is>
      </c>
      <c r="E1308" t="inlineStr">
        <is>
          <t>MRO-05</t>
        </is>
      </c>
      <c r="F1308" s="17" t="n">
        <v>45761</v>
      </c>
      <c r="G1308" s="17" t="n">
        <v>45769</v>
      </c>
      <c r="H1308" s="18" t="n">
        <v>79</v>
      </c>
      <c r="I1308" s="19" t="n">
        <v>36.37</v>
      </c>
      <c r="J1308" s="19" t="n">
        <v>36</v>
      </c>
      <c r="K1308" s="20" t="n">
        <v>0</v>
      </c>
      <c r="L1308" s="20" t="n">
        <v>0</v>
      </c>
      <c r="M1308" s="18" t="n">
        <v>79</v>
      </c>
      <c r="N1308" s="18" t="n">
        <v>79</v>
      </c>
      <c r="O1308" s="18" t="n">
        <v>0</v>
      </c>
      <c r="P1308" s="17" t="n">
        <v>45767</v>
      </c>
      <c r="Q1308" s="17" t="n">
        <v>45767</v>
      </c>
      <c r="R1308" s="17" t="n">
        <v>45767</v>
      </c>
      <c r="S1308" s="19">
        <f>H1308*I1308</f>
        <v/>
      </c>
      <c r="T1308" s="19">
        <f>H1308*J1308</f>
        <v/>
      </c>
      <c r="U1308">
        <f>IF(AND(K1308=0,G1308&lt;=Assumptions!$C$6),1,0)</f>
        <v/>
      </c>
      <c r="V1308">
        <f>IF(U1308=1,IF(M1308&gt;0,IF(P1308&lt;=G1308+Assumptions!$C$7,1,0),0),0)</f>
        <v/>
      </c>
      <c r="W1308">
        <f>IF(AND(U1308=1,M1308&gt;=H1308*(1-Assumptions!$C$8)),1,0)</f>
        <v/>
      </c>
      <c r="X1308">
        <f>IF(AND(U1308=1,N1308&gt;=H1308*(1-Assumptions!$C$8)),1,0)</f>
        <v/>
      </c>
      <c r="Y1308">
        <f>IF(ISNUMBER(Q1308),1,0)</f>
        <v/>
      </c>
      <c r="Z1308">
        <f>IF(AND(K1308=0,L1308=0,Y1308=0),1,0)</f>
        <v/>
      </c>
      <c r="AA1308">
        <f>IF(AND(Z1308=1,G1308&lt;Assumptions!$C$6),1,0)</f>
        <v/>
      </c>
      <c r="AB1308">
        <f>IF(U1308=0,"",IF(Y1308=1,MAX(0,Q1308-G1308),IF(L1308=1,MAX(0,R1308-G1308),MAX(0,Assumptions!$C$6-G1308))))</f>
        <v/>
      </c>
      <c r="AC1308">
        <f>IF(Y1308=1,Q1308-F1308,"")</f>
        <v/>
      </c>
      <c r="AD1308">
        <f>IF(Y1308=1,AC1308^2,"")</f>
        <v/>
      </c>
      <c r="AE1308" s="19">
        <f>IF(Z1308=1,(H1308-M1308)*I1308,0)</f>
        <v/>
      </c>
      <c r="AF1308">
        <f>IF(G1308&lt;EDATE(Assumptions!$C$6,-12)+1,"prior_12m","last_12m")</f>
        <v/>
      </c>
      <c r="AG1308" s="21">
        <f>DATE(YEAR(G1308),MONTH(G1308),1)</f>
        <v/>
      </c>
    </row>
    <row r="1309">
      <c r="A1309" t="inlineStr">
        <is>
          <t>SPO-00711-1</t>
        </is>
      </c>
      <c r="B1309" t="inlineStr">
        <is>
          <t>SPO-00711</t>
        </is>
      </c>
      <c r="C1309" t="inlineStr">
        <is>
          <t>SUP-01</t>
        </is>
      </c>
      <c r="D1309" t="inlineStr">
        <is>
          <t>ELEC</t>
        </is>
      </c>
      <c r="E1309" t="inlineStr">
        <is>
          <t>ELEC-06</t>
        </is>
      </c>
      <c r="F1309" s="17" t="n">
        <v>45761</v>
      </c>
      <c r="G1309" s="17" t="n">
        <v>45779</v>
      </c>
      <c r="H1309" s="18" t="n">
        <v>11</v>
      </c>
      <c r="I1309" s="19" t="n">
        <v>145.07</v>
      </c>
      <c r="J1309" s="19" t="n">
        <v>145</v>
      </c>
      <c r="K1309" s="20" t="n">
        <v>0</v>
      </c>
      <c r="L1309" s="20" t="n">
        <v>0</v>
      </c>
      <c r="M1309" s="18" t="n">
        <v>11</v>
      </c>
      <c r="N1309" s="18" t="n">
        <v>11</v>
      </c>
      <c r="O1309" s="18" t="n">
        <v>0</v>
      </c>
      <c r="P1309" s="17" t="n">
        <v>45776</v>
      </c>
      <c r="Q1309" s="17" t="n">
        <v>45776</v>
      </c>
      <c r="R1309" s="17" t="n">
        <v>45776</v>
      </c>
      <c r="S1309" s="19">
        <f>H1309*I1309</f>
        <v/>
      </c>
      <c r="T1309" s="19">
        <f>H1309*J1309</f>
        <v/>
      </c>
      <c r="U1309">
        <f>IF(AND(K1309=0,G1309&lt;=Assumptions!$C$6),1,0)</f>
        <v/>
      </c>
      <c r="V1309">
        <f>IF(U1309=1,IF(M1309&gt;0,IF(P1309&lt;=G1309+Assumptions!$C$7,1,0),0),0)</f>
        <v/>
      </c>
      <c r="W1309">
        <f>IF(AND(U1309=1,M1309&gt;=H1309*(1-Assumptions!$C$8)),1,0)</f>
        <v/>
      </c>
      <c r="X1309">
        <f>IF(AND(U1309=1,N1309&gt;=H1309*(1-Assumptions!$C$8)),1,0)</f>
        <v/>
      </c>
      <c r="Y1309">
        <f>IF(ISNUMBER(Q1309),1,0)</f>
        <v/>
      </c>
      <c r="Z1309">
        <f>IF(AND(K1309=0,L1309=0,Y1309=0),1,0)</f>
        <v/>
      </c>
      <c r="AA1309">
        <f>IF(AND(Z1309=1,G1309&lt;Assumptions!$C$6),1,0)</f>
        <v/>
      </c>
      <c r="AB1309">
        <f>IF(U1309=0,"",IF(Y1309=1,MAX(0,Q1309-G1309),IF(L1309=1,MAX(0,R1309-G1309),MAX(0,Assumptions!$C$6-G1309))))</f>
        <v/>
      </c>
      <c r="AC1309">
        <f>IF(Y1309=1,Q1309-F1309,"")</f>
        <v/>
      </c>
      <c r="AD1309">
        <f>IF(Y1309=1,AC1309^2,"")</f>
        <v/>
      </c>
      <c r="AE1309" s="19">
        <f>IF(Z1309=1,(H1309-M1309)*I1309,0)</f>
        <v/>
      </c>
      <c r="AF1309">
        <f>IF(G1309&lt;EDATE(Assumptions!$C$6,-12)+1,"prior_12m","last_12m")</f>
        <v/>
      </c>
      <c r="AG1309" s="21">
        <f>DATE(YEAR(G1309),MONTH(G1309),1)</f>
        <v/>
      </c>
    </row>
    <row r="1310">
      <c r="A1310" t="inlineStr">
        <is>
          <t>SPO-00712-1</t>
        </is>
      </c>
      <c r="B1310" t="inlineStr">
        <is>
          <t>SPO-00712</t>
        </is>
      </c>
      <c r="C1310" t="inlineStr">
        <is>
          <t>SUP-02</t>
        </is>
      </c>
      <c r="D1310" t="inlineStr">
        <is>
          <t>ELEC</t>
        </is>
      </c>
      <c r="E1310" t="inlineStr">
        <is>
          <t>ELEC-08</t>
        </is>
      </c>
      <c r="F1310" s="17" t="n">
        <v>45761</v>
      </c>
      <c r="G1310" s="17" t="n">
        <v>45777</v>
      </c>
      <c r="H1310" s="18" t="n">
        <v>96</v>
      </c>
      <c r="I1310" s="19" t="n">
        <v>18.4</v>
      </c>
      <c r="J1310" s="19" t="n">
        <v>18</v>
      </c>
      <c r="K1310" s="20" t="n">
        <v>0</v>
      </c>
      <c r="L1310" s="20" t="n">
        <v>0</v>
      </c>
      <c r="M1310" s="18" t="n">
        <v>96</v>
      </c>
      <c r="N1310" s="18" t="n">
        <v>96</v>
      </c>
      <c r="O1310" s="18" t="n">
        <v>0</v>
      </c>
      <c r="P1310" s="17" t="n">
        <v>45773</v>
      </c>
      <c r="Q1310" s="17" t="n">
        <v>45773</v>
      </c>
      <c r="R1310" s="17" t="n">
        <v>45773</v>
      </c>
      <c r="S1310" s="19">
        <f>H1310*I1310</f>
        <v/>
      </c>
      <c r="T1310" s="19">
        <f>H1310*J1310</f>
        <v/>
      </c>
      <c r="U1310">
        <f>IF(AND(K1310=0,G1310&lt;=Assumptions!$C$6),1,0)</f>
        <v/>
      </c>
      <c r="V1310">
        <f>IF(U1310=1,IF(M1310&gt;0,IF(P1310&lt;=G1310+Assumptions!$C$7,1,0),0),0)</f>
        <v/>
      </c>
      <c r="W1310">
        <f>IF(AND(U1310=1,M1310&gt;=H1310*(1-Assumptions!$C$8)),1,0)</f>
        <v/>
      </c>
      <c r="X1310">
        <f>IF(AND(U1310=1,N1310&gt;=H1310*(1-Assumptions!$C$8)),1,0)</f>
        <v/>
      </c>
      <c r="Y1310">
        <f>IF(ISNUMBER(Q1310),1,0)</f>
        <v/>
      </c>
      <c r="Z1310">
        <f>IF(AND(K1310=0,L1310=0,Y1310=0),1,0)</f>
        <v/>
      </c>
      <c r="AA1310">
        <f>IF(AND(Z1310=1,G1310&lt;Assumptions!$C$6),1,0)</f>
        <v/>
      </c>
      <c r="AB1310">
        <f>IF(U1310=0,"",IF(Y1310=1,MAX(0,Q1310-G1310),IF(L1310=1,MAX(0,R1310-G1310),MAX(0,Assumptions!$C$6-G1310))))</f>
        <v/>
      </c>
      <c r="AC1310">
        <f>IF(Y1310=1,Q1310-F1310,"")</f>
        <v/>
      </c>
      <c r="AD1310">
        <f>IF(Y1310=1,AC1310^2,"")</f>
        <v/>
      </c>
      <c r="AE1310" s="19">
        <f>IF(Z1310=1,(H1310-M1310)*I1310,0)</f>
        <v/>
      </c>
      <c r="AF1310">
        <f>IF(G1310&lt;EDATE(Assumptions!$C$6,-12)+1,"prior_12m","last_12m")</f>
        <v/>
      </c>
      <c r="AG1310" s="21">
        <f>DATE(YEAR(G1310),MONTH(G1310),1)</f>
        <v/>
      </c>
    </row>
    <row r="1311">
      <c r="A1311" t="inlineStr">
        <is>
          <t>SPO-00713-1</t>
        </is>
      </c>
      <c r="B1311" t="inlineStr">
        <is>
          <t>SPO-00713</t>
        </is>
      </c>
      <c r="C1311" t="inlineStr">
        <is>
          <t>SUP-09</t>
        </is>
      </c>
      <c r="D1311" t="inlineStr">
        <is>
          <t>CHEM</t>
        </is>
      </c>
      <c r="E1311" t="inlineStr">
        <is>
          <t>CHEM-05</t>
        </is>
      </c>
      <c r="F1311" s="17" t="n">
        <v>45761</v>
      </c>
      <c r="G1311" s="17" t="n">
        <v>45775</v>
      </c>
      <c r="H1311" s="18" t="n">
        <v>1</v>
      </c>
      <c r="I1311" s="19" t="n">
        <v>985.6799999999999</v>
      </c>
      <c r="J1311" s="19" t="n">
        <v>930</v>
      </c>
      <c r="K1311" s="20" t="n">
        <v>0</v>
      </c>
      <c r="L1311" s="20" t="n">
        <v>0</v>
      </c>
      <c r="M1311" s="18" t="n">
        <v>1</v>
      </c>
      <c r="N1311" s="18" t="n">
        <v>1</v>
      </c>
      <c r="O1311" s="18" t="n">
        <v>0</v>
      </c>
      <c r="P1311" s="17" t="n">
        <v>45768</v>
      </c>
      <c r="Q1311" s="17" t="n">
        <v>45768</v>
      </c>
      <c r="R1311" s="17" t="n">
        <v>45768</v>
      </c>
      <c r="S1311" s="19">
        <f>H1311*I1311</f>
        <v/>
      </c>
      <c r="T1311" s="19">
        <f>H1311*J1311</f>
        <v/>
      </c>
      <c r="U1311">
        <f>IF(AND(K1311=0,G1311&lt;=Assumptions!$C$6),1,0)</f>
        <v/>
      </c>
      <c r="V1311">
        <f>IF(U1311=1,IF(M1311&gt;0,IF(P1311&lt;=G1311+Assumptions!$C$7,1,0),0),0)</f>
        <v/>
      </c>
      <c r="W1311">
        <f>IF(AND(U1311=1,M1311&gt;=H1311*(1-Assumptions!$C$8)),1,0)</f>
        <v/>
      </c>
      <c r="X1311">
        <f>IF(AND(U1311=1,N1311&gt;=H1311*(1-Assumptions!$C$8)),1,0)</f>
        <v/>
      </c>
      <c r="Y1311">
        <f>IF(ISNUMBER(Q1311),1,0)</f>
        <v/>
      </c>
      <c r="Z1311">
        <f>IF(AND(K1311=0,L1311=0,Y1311=0),1,0)</f>
        <v/>
      </c>
      <c r="AA1311">
        <f>IF(AND(Z1311=1,G1311&lt;Assumptions!$C$6),1,0)</f>
        <v/>
      </c>
      <c r="AB1311">
        <f>IF(U1311=0,"",IF(Y1311=1,MAX(0,Q1311-G1311),IF(L1311=1,MAX(0,R1311-G1311),MAX(0,Assumptions!$C$6-G1311))))</f>
        <v/>
      </c>
      <c r="AC1311">
        <f>IF(Y1311=1,Q1311-F1311,"")</f>
        <v/>
      </c>
      <c r="AD1311">
        <f>IF(Y1311=1,AC1311^2,"")</f>
        <v/>
      </c>
      <c r="AE1311" s="19">
        <f>IF(Z1311=1,(H1311-M1311)*I1311,0)</f>
        <v/>
      </c>
      <c r="AF1311">
        <f>IF(G1311&lt;EDATE(Assumptions!$C$6,-12)+1,"prior_12m","last_12m")</f>
        <v/>
      </c>
      <c r="AG1311" s="21">
        <f>DATE(YEAR(G1311),MONTH(G1311),1)</f>
        <v/>
      </c>
    </row>
    <row r="1312">
      <c r="A1312" t="inlineStr">
        <is>
          <t>SPO-00714-1</t>
        </is>
      </c>
      <c r="B1312" t="inlineStr">
        <is>
          <t>SPO-00714</t>
        </is>
      </c>
      <c r="C1312" t="inlineStr">
        <is>
          <t>SUP-08</t>
        </is>
      </c>
      <c r="D1312" t="inlineStr">
        <is>
          <t>MRO</t>
        </is>
      </c>
      <c r="E1312" t="inlineStr">
        <is>
          <t>MRO-06</t>
        </is>
      </c>
      <c r="F1312" s="17" t="n">
        <v>45761</v>
      </c>
      <c r="G1312" s="17" t="n">
        <v>45772</v>
      </c>
      <c r="H1312" s="18" t="n">
        <v>380</v>
      </c>
      <c r="I1312" s="19" t="n">
        <v>5.96</v>
      </c>
      <c r="J1312" s="19" t="n">
        <v>6.1</v>
      </c>
      <c r="K1312" s="20" t="n">
        <v>0</v>
      </c>
      <c r="L1312" s="20" t="n">
        <v>0</v>
      </c>
      <c r="M1312" s="18" t="n">
        <v>380</v>
      </c>
      <c r="N1312" s="18" t="n">
        <v>380</v>
      </c>
      <c r="O1312" s="18" t="n">
        <v>0</v>
      </c>
      <c r="P1312" s="17" t="n">
        <v>45769</v>
      </c>
      <c r="Q1312" s="17" t="n">
        <v>45769</v>
      </c>
      <c r="R1312" s="17" t="n">
        <v>45769</v>
      </c>
      <c r="S1312" s="19">
        <f>H1312*I1312</f>
        <v/>
      </c>
      <c r="T1312" s="19">
        <f>H1312*J1312</f>
        <v/>
      </c>
      <c r="U1312">
        <f>IF(AND(K1312=0,G1312&lt;=Assumptions!$C$6),1,0)</f>
        <v/>
      </c>
      <c r="V1312">
        <f>IF(U1312=1,IF(M1312&gt;0,IF(P1312&lt;=G1312+Assumptions!$C$7,1,0),0),0)</f>
        <v/>
      </c>
      <c r="W1312">
        <f>IF(AND(U1312=1,M1312&gt;=H1312*(1-Assumptions!$C$8)),1,0)</f>
        <v/>
      </c>
      <c r="X1312">
        <f>IF(AND(U1312=1,N1312&gt;=H1312*(1-Assumptions!$C$8)),1,0)</f>
        <v/>
      </c>
      <c r="Y1312">
        <f>IF(ISNUMBER(Q1312),1,0)</f>
        <v/>
      </c>
      <c r="Z1312">
        <f>IF(AND(K1312=0,L1312=0,Y1312=0),1,0)</f>
        <v/>
      </c>
      <c r="AA1312">
        <f>IF(AND(Z1312=1,G1312&lt;Assumptions!$C$6),1,0)</f>
        <v/>
      </c>
      <c r="AB1312">
        <f>IF(U1312=0,"",IF(Y1312=1,MAX(0,Q1312-G1312),IF(L1312=1,MAX(0,R1312-G1312),MAX(0,Assumptions!$C$6-G1312))))</f>
        <v/>
      </c>
      <c r="AC1312">
        <f>IF(Y1312=1,Q1312-F1312,"")</f>
        <v/>
      </c>
      <c r="AD1312">
        <f>IF(Y1312=1,AC1312^2,"")</f>
        <v/>
      </c>
      <c r="AE1312" s="19">
        <f>IF(Z1312=1,(H1312-M1312)*I1312,0)</f>
        <v/>
      </c>
      <c r="AF1312">
        <f>IF(G1312&lt;EDATE(Assumptions!$C$6,-12)+1,"prior_12m","last_12m")</f>
        <v/>
      </c>
      <c r="AG1312" s="21">
        <f>DATE(YEAR(G1312),MONTH(G1312),1)</f>
        <v/>
      </c>
    </row>
    <row r="1313">
      <c r="A1313" t="inlineStr">
        <is>
          <t>SPO-00714-2</t>
        </is>
      </c>
      <c r="B1313" t="inlineStr">
        <is>
          <t>SPO-00714</t>
        </is>
      </c>
      <c r="C1313" t="inlineStr">
        <is>
          <t>SUP-08</t>
        </is>
      </c>
      <c r="D1313" t="inlineStr">
        <is>
          <t>MRO</t>
        </is>
      </c>
      <c r="E1313" t="inlineStr">
        <is>
          <t>MRO-08</t>
        </is>
      </c>
      <c r="F1313" s="17" t="n">
        <v>45761</v>
      </c>
      <c r="G1313" s="17" t="n">
        <v>45772</v>
      </c>
      <c r="H1313" s="18" t="n">
        <v>255</v>
      </c>
      <c r="I1313" s="19" t="n">
        <v>7.54</v>
      </c>
      <c r="J1313" s="19" t="n">
        <v>7.2</v>
      </c>
      <c r="K1313" s="20" t="n">
        <v>0</v>
      </c>
      <c r="L1313" s="20" t="n">
        <v>0</v>
      </c>
      <c r="M1313" s="18" t="n">
        <v>255</v>
      </c>
      <c r="N1313" s="18" t="n">
        <v>255</v>
      </c>
      <c r="O1313" s="18" t="n">
        <v>0</v>
      </c>
      <c r="P1313" s="17" t="n">
        <v>45772</v>
      </c>
      <c r="Q1313" s="17" t="n">
        <v>45772</v>
      </c>
      <c r="R1313" s="17" t="n">
        <v>45772</v>
      </c>
      <c r="S1313" s="19">
        <f>H1313*I1313</f>
        <v/>
      </c>
      <c r="T1313" s="19">
        <f>H1313*J1313</f>
        <v/>
      </c>
      <c r="U1313">
        <f>IF(AND(K1313=0,G1313&lt;=Assumptions!$C$6),1,0)</f>
        <v/>
      </c>
      <c r="V1313">
        <f>IF(U1313=1,IF(M1313&gt;0,IF(P1313&lt;=G1313+Assumptions!$C$7,1,0),0),0)</f>
        <v/>
      </c>
      <c r="W1313">
        <f>IF(AND(U1313=1,M1313&gt;=H1313*(1-Assumptions!$C$8)),1,0)</f>
        <v/>
      </c>
      <c r="X1313">
        <f>IF(AND(U1313=1,N1313&gt;=H1313*(1-Assumptions!$C$8)),1,0)</f>
        <v/>
      </c>
      <c r="Y1313">
        <f>IF(ISNUMBER(Q1313),1,0)</f>
        <v/>
      </c>
      <c r="Z1313">
        <f>IF(AND(K1313=0,L1313=0,Y1313=0),1,0)</f>
        <v/>
      </c>
      <c r="AA1313">
        <f>IF(AND(Z1313=1,G1313&lt;Assumptions!$C$6),1,0)</f>
        <v/>
      </c>
      <c r="AB1313">
        <f>IF(U1313=0,"",IF(Y1313=1,MAX(0,Q1313-G1313),IF(L1313=1,MAX(0,R1313-G1313),MAX(0,Assumptions!$C$6-G1313))))</f>
        <v/>
      </c>
      <c r="AC1313">
        <f>IF(Y1313=1,Q1313-F1313,"")</f>
        <v/>
      </c>
      <c r="AD1313">
        <f>IF(Y1313=1,AC1313^2,"")</f>
        <v/>
      </c>
      <c r="AE1313" s="19">
        <f>IF(Z1313=1,(H1313-M1313)*I1313,0)</f>
        <v/>
      </c>
      <c r="AF1313">
        <f>IF(G1313&lt;EDATE(Assumptions!$C$6,-12)+1,"prior_12m","last_12m")</f>
        <v/>
      </c>
      <c r="AG1313" s="21">
        <f>DATE(YEAR(G1313),MONTH(G1313),1)</f>
        <v/>
      </c>
    </row>
    <row r="1314">
      <c r="A1314" t="inlineStr">
        <is>
          <t>SPO-00714-3</t>
        </is>
      </c>
      <c r="B1314" t="inlineStr">
        <is>
          <t>SPO-00714</t>
        </is>
      </c>
      <c r="C1314" t="inlineStr">
        <is>
          <t>SUP-08</t>
        </is>
      </c>
      <c r="D1314" t="inlineStr">
        <is>
          <t>MRO</t>
        </is>
      </c>
      <c r="E1314" t="inlineStr">
        <is>
          <t>MRO-02</t>
        </is>
      </c>
      <c r="F1314" s="17" t="n">
        <v>45761</v>
      </c>
      <c r="G1314" s="17" t="n">
        <v>45772</v>
      </c>
      <c r="H1314" s="18" t="n">
        <v>108</v>
      </c>
      <c r="I1314" s="19" t="n">
        <v>41.49</v>
      </c>
      <c r="J1314" s="19" t="n">
        <v>41</v>
      </c>
      <c r="K1314" s="20" t="n">
        <v>0</v>
      </c>
      <c r="L1314" s="20" t="n">
        <v>0</v>
      </c>
      <c r="M1314" s="18" t="n">
        <v>108</v>
      </c>
      <c r="N1314" s="18" t="n">
        <v>108</v>
      </c>
      <c r="O1314" s="18" t="n">
        <v>0</v>
      </c>
      <c r="P1314" s="17" t="n">
        <v>45772</v>
      </c>
      <c r="Q1314" s="17" t="n">
        <v>45772</v>
      </c>
      <c r="R1314" s="17" t="n">
        <v>45772</v>
      </c>
      <c r="S1314" s="19">
        <f>H1314*I1314</f>
        <v/>
      </c>
      <c r="T1314" s="19">
        <f>H1314*J1314</f>
        <v/>
      </c>
      <c r="U1314">
        <f>IF(AND(K1314=0,G1314&lt;=Assumptions!$C$6),1,0)</f>
        <v/>
      </c>
      <c r="V1314">
        <f>IF(U1314=1,IF(M1314&gt;0,IF(P1314&lt;=G1314+Assumptions!$C$7,1,0),0),0)</f>
        <v/>
      </c>
      <c r="W1314">
        <f>IF(AND(U1314=1,M1314&gt;=H1314*(1-Assumptions!$C$8)),1,0)</f>
        <v/>
      </c>
      <c r="X1314">
        <f>IF(AND(U1314=1,N1314&gt;=H1314*(1-Assumptions!$C$8)),1,0)</f>
        <v/>
      </c>
      <c r="Y1314">
        <f>IF(ISNUMBER(Q1314),1,0)</f>
        <v/>
      </c>
      <c r="Z1314">
        <f>IF(AND(K1314=0,L1314=0,Y1314=0),1,0)</f>
        <v/>
      </c>
      <c r="AA1314">
        <f>IF(AND(Z1314=1,G1314&lt;Assumptions!$C$6),1,0)</f>
        <v/>
      </c>
      <c r="AB1314">
        <f>IF(U1314=0,"",IF(Y1314=1,MAX(0,Q1314-G1314),IF(L1314=1,MAX(0,R1314-G1314),MAX(0,Assumptions!$C$6-G1314))))</f>
        <v/>
      </c>
      <c r="AC1314">
        <f>IF(Y1314=1,Q1314-F1314,"")</f>
        <v/>
      </c>
      <c r="AD1314">
        <f>IF(Y1314=1,AC1314^2,"")</f>
        <v/>
      </c>
      <c r="AE1314" s="19">
        <f>IF(Z1314=1,(H1314-M1314)*I1314,0)</f>
        <v/>
      </c>
      <c r="AF1314">
        <f>IF(G1314&lt;EDATE(Assumptions!$C$6,-12)+1,"prior_12m","last_12m")</f>
        <v/>
      </c>
      <c r="AG1314" s="21">
        <f>DATE(YEAR(G1314),MONTH(G1314),1)</f>
        <v/>
      </c>
    </row>
    <row r="1315">
      <c r="A1315" t="inlineStr">
        <is>
          <t>SPO-00715-1</t>
        </is>
      </c>
      <c r="B1315" t="inlineStr">
        <is>
          <t>SPO-00715</t>
        </is>
      </c>
      <c r="C1315" t="inlineStr">
        <is>
          <t>SUP-09</t>
        </is>
      </c>
      <c r="D1315" t="inlineStr">
        <is>
          <t>CHEM</t>
        </is>
      </c>
      <c r="E1315" t="inlineStr">
        <is>
          <t>CHEM-01</t>
        </is>
      </c>
      <c r="F1315" s="17" t="n">
        <v>45761</v>
      </c>
      <c r="G1315" s="17" t="n">
        <v>45775</v>
      </c>
      <c r="H1315" s="18" t="n">
        <v>3</v>
      </c>
      <c r="I1315" s="19" t="n">
        <v>649.42</v>
      </c>
      <c r="J1315" s="19" t="n">
        <v>640</v>
      </c>
      <c r="K1315" s="20" t="n">
        <v>0</v>
      </c>
      <c r="L1315" s="20" t="n">
        <v>0</v>
      </c>
      <c r="M1315" s="18" t="n">
        <v>3</v>
      </c>
      <c r="N1315" s="18" t="n">
        <v>3</v>
      </c>
      <c r="O1315" s="18" t="n">
        <v>0</v>
      </c>
      <c r="P1315" s="17" t="n">
        <v>45772</v>
      </c>
      <c r="Q1315" s="17" t="n">
        <v>45772</v>
      </c>
      <c r="R1315" s="17" t="n">
        <v>45772</v>
      </c>
      <c r="S1315" s="19">
        <f>H1315*I1315</f>
        <v/>
      </c>
      <c r="T1315" s="19">
        <f>H1315*J1315</f>
        <v/>
      </c>
      <c r="U1315">
        <f>IF(AND(K1315=0,G1315&lt;=Assumptions!$C$6),1,0)</f>
        <v/>
      </c>
      <c r="V1315">
        <f>IF(U1315=1,IF(M1315&gt;0,IF(P1315&lt;=G1315+Assumptions!$C$7,1,0),0),0)</f>
        <v/>
      </c>
      <c r="W1315">
        <f>IF(AND(U1315=1,M1315&gt;=H1315*(1-Assumptions!$C$8)),1,0)</f>
        <v/>
      </c>
      <c r="X1315">
        <f>IF(AND(U1315=1,N1315&gt;=H1315*(1-Assumptions!$C$8)),1,0)</f>
        <v/>
      </c>
      <c r="Y1315">
        <f>IF(ISNUMBER(Q1315),1,0)</f>
        <v/>
      </c>
      <c r="Z1315">
        <f>IF(AND(K1315=0,L1315=0,Y1315=0),1,0)</f>
        <v/>
      </c>
      <c r="AA1315">
        <f>IF(AND(Z1315=1,G1315&lt;Assumptions!$C$6),1,0)</f>
        <v/>
      </c>
      <c r="AB1315">
        <f>IF(U1315=0,"",IF(Y1315=1,MAX(0,Q1315-G1315),IF(L1315=1,MAX(0,R1315-G1315),MAX(0,Assumptions!$C$6-G1315))))</f>
        <v/>
      </c>
      <c r="AC1315">
        <f>IF(Y1315=1,Q1315-F1315,"")</f>
        <v/>
      </c>
      <c r="AD1315">
        <f>IF(Y1315=1,AC1315^2,"")</f>
        <v/>
      </c>
      <c r="AE1315" s="19">
        <f>IF(Z1315=1,(H1315-M1315)*I1315,0)</f>
        <v/>
      </c>
      <c r="AF1315">
        <f>IF(G1315&lt;EDATE(Assumptions!$C$6,-12)+1,"prior_12m","last_12m")</f>
        <v/>
      </c>
      <c r="AG1315" s="21">
        <f>DATE(YEAR(G1315),MONTH(G1315),1)</f>
        <v/>
      </c>
    </row>
    <row r="1316">
      <c r="A1316" t="inlineStr">
        <is>
          <t>SPO-00715-2</t>
        </is>
      </c>
      <c r="B1316" t="inlineStr">
        <is>
          <t>SPO-00715</t>
        </is>
      </c>
      <c r="C1316" t="inlineStr">
        <is>
          <t>SUP-09</t>
        </is>
      </c>
      <c r="D1316" t="inlineStr">
        <is>
          <t>CHEM</t>
        </is>
      </c>
      <c r="E1316" t="inlineStr">
        <is>
          <t>CHEM-05</t>
        </is>
      </c>
      <c r="F1316" s="17" t="n">
        <v>45761</v>
      </c>
      <c r="G1316" s="17" t="n">
        <v>45775</v>
      </c>
      <c r="H1316" s="18" t="n">
        <v>2</v>
      </c>
      <c r="I1316" s="19" t="n">
        <v>958.39</v>
      </c>
      <c r="J1316" s="19" t="n">
        <v>930</v>
      </c>
      <c r="K1316" s="20" t="n">
        <v>0</v>
      </c>
      <c r="L1316" s="20" t="n">
        <v>0</v>
      </c>
      <c r="M1316" s="18" t="n">
        <v>2</v>
      </c>
      <c r="N1316" s="18" t="n">
        <v>2</v>
      </c>
      <c r="O1316" s="18" t="n">
        <v>0</v>
      </c>
      <c r="P1316" s="17" t="n">
        <v>45771</v>
      </c>
      <c r="Q1316" s="17" t="n">
        <v>45771</v>
      </c>
      <c r="R1316" s="17" t="n">
        <v>45771</v>
      </c>
      <c r="S1316" s="19">
        <f>H1316*I1316</f>
        <v/>
      </c>
      <c r="T1316" s="19">
        <f>H1316*J1316</f>
        <v/>
      </c>
      <c r="U1316">
        <f>IF(AND(K1316=0,G1316&lt;=Assumptions!$C$6),1,0)</f>
        <v/>
      </c>
      <c r="V1316">
        <f>IF(U1316=1,IF(M1316&gt;0,IF(P1316&lt;=G1316+Assumptions!$C$7,1,0),0),0)</f>
        <v/>
      </c>
      <c r="W1316">
        <f>IF(AND(U1316=1,M1316&gt;=H1316*(1-Assumptions!$C$8)),1,0)</f>
        <v/>
      </c>
      <c r="X1316">
        <f>IF(AND(U1316=1,N1316&gt;=H1316*(1-Assumptions!$C$8)),1,0)</f>
        <v/>
      </c>
      <c r="Y1316">
        <f>IF(ISNUMBER(Q1316),1,0)</f>
        <v/>
      </c>
      <c r="Z1316">
        <f>IF(AND(K1316=0,L1316=0,Y1316=0),1,0)</f>
        <v/>
      </c>
      <c r="AA1316">
        <f>IF(AND(Z1316=1,G1316&lt;Assumptions!$C$6),1,0)</f>
        <v/>
      </c>
      <c r="AB1316">
        <f>IF(U1316=0,"",IF(Y1316=1,MAX(0,Q1316-G1316),IF(L1316=1,MAX(0,R1316-G1316),MAX(0,Assumptions!$C$6-G1316))))</f>
        <v/>
      </c>
      <c r="AC1316">
        <f>IF(Y1316=1,Q1316-F1316,"")</f>
        <v/>
      </c>
      <c r="AD1316">
        <f>IF(Y1316=1,AC1316^2,"")</f>
        <v/>
      </c>
      <c r="AE1316" s="19">
        <f>IF(Z1316=1,(H1316-M1316)*I1316,0)</f>
        <v/>
      </c>
      <c r="AF1316">
        <f>IF(G1316&lt;EDATE(Assumptions!$C$6,-12)+1,"prior_12m","last_12m")</f>
        <v/>
      </c>
      <c r="AG1316" s="21">
        <f>DATE(YEAR(G1316),MONTH(G1316),1)</f>
        <v/>
      </c>
    </row>
    <row r="1317">
      <c r="A1317" t="inlineStr">
        <is>
          <t>SPO-00715-3</t>
        </is>
      </c>
      <c r="B1317" t="inlineStr">
        <is>
          <t>SPO-00715</t>
        </is>
      </c>
      <c r="C1317" t="inlineStr">
        <is>
          <t>SUP-09</t>
        </is>
      </c>
      <c r="D1317" t="inlineStr">
        <is>
          <t>CHEM</t>
        </is>
      </c>
      <c r="E1317" t="inlineStr">
        <is>
          <t>CHEM-02</t>
        </is>
      </c>
      <c r="F1317" s="17" t="n">
        <v>45761</v>
      </c>
      <c r="G1317" s="17" t="n">
        <v>45775</v>
      </c>
      <c r="H1317" s="18" t="n">
        <v>3</v>
      </c>
      <c r="I1317" s="19" t="n">
        <v>424.57</v>
      </c>
      <c r="J1317" s="19" t="n">
        <v>410</v>
      </c>
      <c r="K1317" s="20" t="n">
        <v>0</v>
      </c>
      <c r="L1317" s="20" t="n">
        <v>0</v>
      </c>
      <c r="M1317" s="18" t="n">
        <v>3</v>
      </c>
      <c r="N1317" s="18" t="n">
        <v>3</v>
      </c>
      <c r="O1317" s="18" t="n">
        <v>0</v>
      </c>
      <c r="P1317" s="17" t="n">
        <v>45772</v>
      </c>
      <c r="Q1317" s="17" t="n">
        <v>45772</v>
      </c>
      <c r="R1317" s="17" t="n">
        <v>45772</v>
      </c>
      <c r="S1317" s="19">
        <f>H1317*I1317</f>
        <v/>
      </c>
      <c r="T1317" s="19">
        <f>H1317*J1317</f>
        <v/>
      </c>
      <c r="U1317">
        <f>IF(AND(K1317=0,G1317&lt;=Assumptions!$C$6),1,0)</f>
        <v/>
      </c>
      <c r="V1317">
        <f>IF(U1317=1,IF(M1317&gt;0,IF(P1317&lt;=G1317+Assumptions!$C$7,1,0),0),0)</f>
        <v/>
      </c>
      <c r="W1317">
        <f>IF(AND(U1317=1,M1317&gt;=H1317*(1-Assumptions!$C$8)),1,0)</f>
        <v/>
      </c>
      <c r="X1317">
        <f>IF(AND(U1317=1,N1317&gt;=H1317*(1-Assumptions!$C$8)),1,0)</f>
        <v/>
      </c>
      <c r="Y1317">
        <f>IF(ISNUMBER(Q1317),1,0)</f>
        <v/>
      </c>
      <c r="Z1317">
        <f>IF(AND(K1317=0,L1317=0,Y1317=0),1,0)</f>
        <v/>
      </c>
      <c r="AA1317">
        <f>IF(AND(Z1317=1,G1317&lt;Assumptions!$C$6),1,0)</f>
        <v/>
      </c>
      <c r="AB1317">
        <f>IF(U1317=0,"",IF(Y1317=1,MAX(0,Q1317-G1317),IF(L1317=1,MAX(0,R1317-G1317),MAX(0,Assumptions!$C$6-G1317))))</f>
        <v/>
      </c>
      <c r="AC1317">
        <f>IF(Y1317=1,Q1317-F1317,"")</f>
        <v/>
      </c>
      <c r="AD1317">
        <f>IF(Y1317=1,AC1317^2,"")</f>
        <v/>
      </c>
      <c r="AE1317" s="19">
        <f>IF(Z1317=1,(H1317-M1317)*I1317,0)</f>
        <v/>
      </c>
      <c r="AF1317">
        <f>IF(G1317&lt;EDATE(Assumptions!$C$6,-12)+1,"prior_12m","last_12m")</f>
        <v/>
      </c>
      <c r="AG1317" s="21">
        <f>DATE(YEAR(G1317),MONTH(G1317),1)</f>
        <v/>
      </c>
    </row>
    <row r="1318">
      <c r="A1318" t="inlineStr">
        <is>
          <t>SPO-00716-1</t>
        </is>
      </c>
      <c r="B1318" t="inlineStr">
        <is>
          <t>SPO-00716</t>
        </is>
      </c>
      <c r="C1318" t="inlineStr">
        <is>
          <t>SUP-08</t>
        </is>
      </c>
      <c r="D1318" t="inlineStr">
        <is>
          <t>PPE</t>
        </is>
      </c>
      <c r="E1318" t="inlineStr">
        <is>
          <t>PPE-03</t>
        </is>
      </c>
      <c r="F1318" s="17" t="n">
        <v>45762</v>
      </c>
      <c r="G1318" s="17" t="n">
        <v>45773</v>
      </c>
      <c r="H1318" s="18" t="n">
        <v>101</v>
      </c>
      <c r="I1318" s="19" t="n">
        <v>20.5</v>
      </c>
      <c r="J1318" s="19" t="n">
        <v>21</v>
      </c>
      <c r="K1318" s="20" t="n">
        <v>0</v>
      </c>
      <c r="L1318" s="20" t="n">
        <v>0</v>
      </c>
      <c r="M1318" s="18" t="n">
        <v>101</v>
      </c>
      <c r="N1318" s="18" t="n">
        <v>0</v>
      </c>
      <c r="O1318" s="18" t="n">
        <v>0</v>
      </c>
      <c r="P1318" s="17" t="n">
        <v>45774</v>
      </c>
      <c r="Q1318" s="17" t="n">
        <v>45774</v>
      </c>
      <c r="R1318" s="17" t="n">
        <v>45774</v>
      </c>
      <c r="S1318" s="19">
        <f>H1318*I1318</f>
        <v/>
      </c>
      <c r="T1318" s="19">
        <f>H1318*J1318</f>
        <v/>
      </c>
      <c r="U1318">
        <f>IF(AND(K1318=0,G1318&lt;=Assumptions!$C$6),1,0)</f>
        <v/>
      </c>
      <c r="V1318">
        <f>IF(U1318=1,IF(M1318&gt;0,IF(P1318&lt;=G1318+Assumptions!$C$7,1,0),0),0)</f>
        <v/>
      </c>
      <c r="W1318">
        <f>IF(AND(U1318=1,M1318&gt;=H1318*(1-Assumptions!$C$8)),1,0)</f>
        <v/>
      </c>
      <c r="X1318">
        <f>IF(AND(U1318=1,N1318&gt;=H1318*(1-Assumptions!$C$8)),1,0)</f>
        <v/>
      </c>
      <c r="Y1318">
        <f>IF(ISNUMBER(Q1318),1,0)</f>
        <v/>
      </c>
      <c r="Z1318">
        <f>IF(AND(K1318=0,L1318=0,Y1318=0),1,0)</f>
        <v/>
      </c>
      <c r="AA1318">
        <f>IF(AND(Z1318=1,G1318&lt;Assumptions!$C$6),1,0)</f>
        <v/>
      </c>
      <c r="AB1318">
        <f>IF(U1318=0,"",IF(Y1318=1,MAX(0,Q1318-G1318),IF(L1318=1,MAX(0,R1318-G1318),MAX(0,Assumptions!$C$6-G1318))))</f>
        <v/>
      </c>
      <c r="AC1318">
        <f>IF(Y1318=1,Q1318-F1318,"")</f>
        <v/>
      </c>
      <c r="AD1318">
        <f>IF(Y1318=1,AC1318^2,"")</f>
        <v/>
      </c>
      <c r="AE1318" s="19">
        <f>IF(Z1318=1,(H1318-M1318)*I1318,0)</f>
        <v/>
      </c>
      <c r="AF1318">
        <f>IF(G1318&lt;EDATE(Assumptions!$C$6,-12)+1,"prior_12m","last_12m")</f>
        <v/>
      </c>
      <c r="AG1318" s="21">
        <f>DATE(YEAR(G1318),MONTH(G1318),1)</f>
        <v/>
      </c>
    </row>
    <row r="1319">
      <c r="A1319" t="inlineStr">
        <is>
          <t>SPO-00717-1</t>
        </is>
      </c>
      <c r="B1319" t="inlineStr">
        <is>
          <t>SPO-00717</t>
        </is>
      </c>
      <c r="C1319" t="inlineStr">
        <is>
          <t>SUP-11</t>
        </is>
      </c>
      <c r="D1319" t="inlineStr">
        <is>
          <t>PPE</t>
        </is>
      </c>
      <c r="E1319" t="inlineStr">
        <is>
          <t>PPE-08</t>
        </is>
      </c>
      <c r="F1319" s="17" t="n">
        <v>45762</v>
      </c>
      <c r="G1319" s="17" t="n">
        <v>45774</v>
      </c>
      <c r="H1319" s="18" t="n">
        <v>13</v>
      </c>
      <c r="I1319" s="19" t="n">
        <v>63.28</v>
      </c>
      <c r="J1319" s="19" t="n">
        <v>64</v>
      </c>
      <c r="K1319" s="20" t="n">
        <v>0</v>
      </c>
      <c r="L1319" s="20" t="n">
        <v>0</v>
      </c>
      <c r="M1319" s="18" t="n">
        <v>13</v>
      </c>
      <c r="N1319" s="18" t="n">
        <v>13</v>
      </c>
      <c r="O1319" s="18" t="n">
        <v>0</v>
      </c>
      <c r="P1319" s="17" t="n">
        <v>45772</v>
      </c>
      <c r="Q1319" s="17" t="n">
        <v>45772</v>
      </c>
      <c r="R1319" s="17" t="n">
        <v>45772</v>
      </c>
      <c r="S1319" s="19">
        <f>H1319*I1319</f>
        <v/>
      </c>
      <c r="T1319" s="19">
        <f>H1319*J1319</f>
        <v/>
      </c>
      <c r="U1319">
        <f>IF(AND(K1319=0,G1319&lt;=Assumptions!$C$6),1,0)</f>
        <v/>
      </c>
      <c r="V1319">
        <f>IF(U1319=1,IF(M1319&gt;0,IF(P1319&lt;=G1319+Assumptions!$C$7,1,0),0),0)</f>
        <v/>
      </c>
      <c r="W1319">
        <f>IF(AND(U1319=1,M1319&gt;=H1319*(1-Assumptions!$C$8)),1,0)</f>
        <v/>
      </c>
      <c r="X1319">
        <f>IF(AND(U1319=1,N1319&gt;=H1319*(1-Assumptions!$C$8)),1,0)</f>
        <v/>
      </c>
      <c r="Y1319">
        <f>IF(ISNUMBER(Q1319),1,0)</f>
        <v/>
      </c>
      <c r="Z1319">
        <f>IF(AND(K1319=0,L1319=0,Y1319=0),1,0)</f>
        <v/>
      </c>
      <c r="AA1319">
        <f>IF(AND(Z1319=1,G1319&lt;Assumptions!$C$6),1,0)</f>
        <v/>
      </c>
      <c r="AB1319">
        <f>IF(U1319=0,"",IF(Y1319=1,MAX(0,Q1319-G1319),IF(L1319=1,MAX(0,R1319-G1319),MAX(0,Assumptions!$C$6-G1319))))</f>
        <v/>
      </c>
      <c r="AC1319">
        <f>IF(Y1319=1,Q1319-F1319,"")</f>
        <v/>
      </c>
      <c r="AD1319">
        <f>IF(Y1319=1,AC1319^2,"")</f>
        <v/>
      </c>
      <c r="AE1319" s="19">
        <f>IF(Z1319=1,(H1319-M1319)*I1319,0)</f>
        <v/>
      </c>
      <c r="AF1319">
        <f>IF(G1319&lt;EDATE(Assumptions!$C$6,-12)+1,"prior_12m","last_12m")</f>
        <v/>
      </c>
      <c r="AG1319" s="21">
        <f>DATE(YEAR(G1319),MONTH(G1319),1)</f>
        <v/>
      </c>
    </row>
    <row r="1320">
      <c r="A1320" t="inlineStr">
        <is>
          <t>SPO-00718-1</t>
        </is>
      </c>
      <c r="B1320" t="inlineStr">
        <is>
          <t>SPO-00718</t>
        </is>
      </c>
      <c r="C1320" t="inlineStr">
        <is>
          <t>SUP-07</t>
        </is>
      </c>
      <c r="D1320" t="inlineStr">
        <is>
          <t>MRO</t>
        </is>
      </c>
      <c r="E1320" t="inlineStr">
        <is>
          <t>MRO-02</t>
        </is>
      </c>
      <c r="F1320" s="17" t="n">
        <v>45762</v>
      </c>
      <c r="G1320" s="17" t="n">
        <v>45772</v>
      </c>
      <c r="H1320" s="18" t="n">
        <v>21</v>
      </c>
      <c r="I1320" s="19" t="n">
        <v>41.78</v>
      </c>
      <c r="J1320" s="19" t="n">
        <v>41</v>
      </c>
      <c r="K1320" s="20" t="n">
        <v>0</v>
      </c>
      <c r="L1320" s="20" t="n">
        <v>0</v>
      </c>
      <c r="M1320" s="18" t="n">
        <v>21</v>
      </c>
      <c r="N1320" s="18" t="n">
        <v>9</v>
      </c>
      <c r="O1320" s="18" t="n">
        <v>0</v>
      </c>
      <c r="P1320" s="17" t="n">
        <v>45769</v>
      </c>
      <c r="Q1320" s="17" t="n">
        <v>45785</v>
      </c>
      <c r="R1320" s="17" t="n">
        <v>45785</v>
      </c>
      <c r="S1320" s="19">
        <f>H1320*I1320</f>
        <v/>
      </c>
      <c r="T1320" s="19">
        <f>H1320*J1320</f>
        <v/>
      </c>
      <c r="U1320">
        <f>IF(AND(K1320=0,G1320&lt;=Assumptions!$C$6),1,0)</f>
        <v/>
      </c>
      <c r="V1320">
        <f>IF(U1320=1,IF(M1320&gt;0,IF(P1320&lt;=G1320+Assumptions!$C$7,1,0),0),0)</f>
        <v/>
      </c>
      <c r="W1320">
        <f>IF(AND(U1320=1,M1320&gt;=H1320*(1-Assumptions!$C$8)),1,0)</f>
        <v/>
      </c>
      <c r="X1320">
        <f>IF(AND(U1320=1,N1320&gt;=H1320*(1-Assumptions!$C$8)),1,0)</f>
        <v/>
      </c>
      <c r="Y1320">
        <f>IF(ISNUMBER(Q1320),1,0)</f>
        <v/>
      </c>
      <c r="Z1320">
        <f>IF(AND(K1320=0,L1320=0,Y1320=0),1,0)</f>
        <v/>
      </c>
      <c r="AA1320">
        <f>IF(AND(Z1320=1,G1320&lt;Assumptions!$C$6),1,0)</f>
        <v/>
      </c>
      <c r="AB1320">
        <f>IF(U1320=0,"",IF(Y1320=1,MAX(0,Q1320-G1320),IF(L1320=1,MAX(0,R1320-G1320),MAX(0,Assumptions!$C$6-G1320))))</f>
        <v/>
      </c>
      <c r="AC1320">
        <f>IF(Y1320=1,Q1320-F1320,"")</f>
        <v/>
      </c>
      <c r="AD1320">
        <f>IF(Y1320=1,AC1320^2,"")</f>
        <v/>
      </c>
      <c r="AE1320" s="19">
        <f>IF(Z1320=1,(H1320-M1320)*I1320,0)</f>
        <v/>
      </c>
      <c r="AF1320">
        <f>IF(G1320&lt;EDATE(Assumptions!$C$6,-12)+1,"prior_12m","last_12m")</f>
        <v/>
      </c>
      <c r="AG1320" s="21">
        <f>DATE(YEAR(G1320),MONTH(G1320),1)</f>
        <v/>
      </c>
    </row>
    <row r="1321">
      <c r="A1321" t="inlineStr">
        <is>
          <t>SPO-00718-2</t>
        </is>
      </c>
      <c r="B1321" t="inlineStr">
        <is>
          <t>SPO-00718</t>
        </is>
      </c>
      <c r="C1321" t="inlineStr">
        <is>
          <t>SUP-07</t>
        </is>
      </c>
      <c r="D1321" t="inlineStr">
        <is>
          <t>MRO</t>
        </is>
      </c>
      <c r="E1321" t="inlineStr">
        <is>
          <t>MRO-06</t>
        </is>
      </c>
      <c r="F1321" s="17" t="n">
        <v>45762</v>
      </c>
      <c r="G1321" s="17" t="n">
        <v>45772</v>
      </c>
      <c r="H1321" s="18" t="n">
        <v>159</v>
      </c>
      <c r="I1321" s="19" t="n">
        <v>6.03</v>
      </c>
      <c r="J1321" s="19" t="n">
        <v>6.1</v>
      </c>
      <c r="K1321" s="20" t="n">
        <v>0</v>
      </c>
      <c r="L1321" s="20" t="n">
        <v>0</v>
      </c>
      <c r="M1321" s="18" t="n">
        <v>159</v>
      </c>
      <c r="N1321" s="18" t="n">
        <v>159</v>
      </c>
      <c r="O1321" s="18" t="n">
        <v>0</v>
      </c>
      <c r="P1321" s="17" t="n">
        <v>45768</v>
      </c>
      <c r="Q1321" s="17" t="n">
        <v>45768</v>
      </c>
      <c r="R1321" s="17" t="n">
        <v>45768</v>
      </c>
      <c r="S1321" s="19">
        <f>H1321*I1321</f>
        <v/>
      </c>
      <c r="T1321" s="19">
        <f>H1321*J1321</f>
        <v/>
      </c>
      <c r="U1321">
        <f>IF(AND(K1321=0,G1321&lt;=Assumptions!$C$6),1,0)</f>
        <v/>
      </c>
      <c r="V1321">
        <f>IF(U1321=1,IF(M1321&gt;0,IF(P1321&lt;=G1321+Assumptions!$C$7,1,0),0),0)</f>
        <v/>
      </c>
      <c r="W1321">
        <f>IF(AND(U1321=1,M1321&gt;=H1321*(1-Assumptions!$C$8)),1,0)</f>
        <v/>
      </c>
      <c r="X1321">
        <f>IF(AND(U1321=1,N1321&gt;=H1321*(1-Assumptions!$C$8)),1,0)</f>
        <v/>
      </c>
      <c r="Y1321">
        <f>IF(ISNUMBER(Q1321),1,0)</f>
        <v/>
      </c>
      <c r="Z1321">
        <f>IF(AND(K1321=0,L1321=0,Y1321=0),1,0)</f>
        <v/>
      </c>
      <c r="AA1321">
        <f>IF(AND(Z1321=1,G1321&lt;Assumptions!$C$6),1,0)</f>
        <v/>
      </c>
      <c r="AB1321">
        <f>IF(U1321=0,"",IF(Y1321=1,MAX(0,Q1321-G1321),IF(L1321=1,MAX(0,R1321-G1321),MAX(0,Assumptions!$C$6-G1321))))</f>
        <v/>
      </c>
      <c r="AC1321">
        <f>IF(Y1321=1,Q1321-F1321,"")</f>
        <v/>
      </c>
      <c r="AD1321">
        <f>IF(Y1321=1,AC1321^2,"")</f>
        <v/>
      </c>
      <c r="AE1321" s="19">
        <f>IF(Z1321=1,(H1321-M1321)*I1321,0)</f>
        <v/>
      </c>
      <c r="AF1321">
        <f>IF(G1321&lt;EDATE(Assumptions!$C$6,-12)+1,"prior_12m","last_12m")</f>
        <v/>
      </c>
      <c r="AG1321" s="21">
        <f>DATE(YEAR(G1321),MONTH(G1321),1)</f>
        <v/>
      </c>
    </row>
    <row r="1322">
      <c r="A1322" t="inlineStr">
        <is>
          <t>SPO-00718-3</t>
        </is>
      </c>
      <c r="B1322" t="inlineStr">
        <is>
          <t>SPO-00718</t>
        </is>
      </c>
      <c r="C1322" t="inlineStr">
        <is>
          <t>SUP-07</t>
        </is>
      </c>
      <c r="D1322" t="inlineStr">
        <is>
          <t>MRO</t>
        </is>
      </c>
      <c r="E1322" t="inlineStr">
        <is>
          <t>MRO-07</t>
        </is>
      </c>
      <c r="F1322" s="17" t="n">
        <v>45762</v>
      </c>
      <c r="G1322" s="17" t="n">
        <v>45772</v>
      </c>
      <c r="H1322" s="18" t="n">
        <v>137</v>
      </c>
      <c r="I1322" s="19" t="n">
        <v>13.69</v>
      </c>
      <c r="J1322" s="19" t="n">
        <v>14</v>
      </c>
      <c r="K1322" s="20" t="n">
        <v>0</v>
      </c>
      <c r="L1322" s="20" t="n">
        <v>0</v>
      </c>
      <c r="M1322" s="18" t="n">
        <v>137</v>
      </c>
      <c r="N1322" s="18" t="n">
        <v>137</v>
      </c>
      <c r="O1322" s="18" t="n">
        <v>0</v>
      </c>
      <c r="P1322" s="17" t="n">
        <v>45768</v>
      </c>
      <c r="Q1322" s="17" t="n">
        <v>45768</v>
      </c>
      <c r="R1322" s="17" t="n">
        <v>45768</v>
      </c>
      <c r="S1322" s="19">
        <f>H1322*I1322</f>
        <v/>
      </c>
      <c r="T1322" s="19">
        <f>H1322*J1322</f>
        <v/>
      </c>
      <c r="U1322">
        <f>IF(AND(K1322=0,G1322&lt;=Assumptions!$C$6),1,0)</f>
        <v/>
      </c>
      <c r="V1322">
        <f>IF(U1322=1,IF(M1322&gt;0,IF(P1322&lt;=G1322+Assumptions!$C$7,1,0),0),0)</f>
        <v/>
      </c>
      <c r="W1322">
        <f>IF(AND(U1322=1,M1322&gt;=H1322*(1-Assumptions!$C$8)),1,0)</f>
        <v/>
      </c>
      <c r="X1322">
        <f>IF(AND(U1322=1,N1322&gt;=H1322*(1-Assumptions!$C$8)),1,0)</f>
        <v/>
      </c>
      <c r="Y1322">
        <f>IF(ISNUMBER(Q1322),1,0)</f>
        <v/>
      </c>
      <c r="Z1322">
        <f>IF(AND(K1322=0,L1322=0,Y1322=0),1,0)</f>
        <v/>
      </c>
      <c r="AA1322">
        <f>IF(AND(Z1322=1,G1322&lt;Assumptions!$C$6),1,0)</f>
        <v/>
      </c>
      <c r="AB1322">
        <f>IF(U1322=0,"",IF(Y1322=1,MAX(0,Q1322-G1322),IF(L1322=1,MAX(0,R1322-G1322),MAX(0,Assumptions!$C$6-G1322))))</f>
        <v/>
      </c>
      <c r="AC1322">
        <f>IF(Y1322=1,Q1322-F1322,"")</f>
        <v/>
      </c>
      <c r="AD1322">
        <f>IF(Y1322=1,AC1322^2,"")</f>
        <v/>
      </c>
      <c r="AE1322" s="19">
        <f>IF(Z1322=1,(H1322-M1322)*I1322,0)</f>
        <v/>
      </c>
      <c r="AF1322">
        <f>IF(G1322&lt;EDATE(Assumptions!$C$6,-12)+1,"prior_12m","last_12m")</f>
        <v/>
      </c>
      <c r="AG1322" s="21">
        <f>DATE(YEAR(G1322),MONTH(G1322),1)</f>
        <v/>
      </c>
    </row>
    <row r="1323">
      <c r="A1323" t="inlineStr">
        <is>
          <t>SPO-00718-4</t>
        </is>
      </c>
      <c r="B1323" t="inlineStr">
        <is>
          <t>SPO-00718</t>
        </is>
      </c>
      <c r="C1323" t="inlineStr">
        <is>
          <t>SUP-07</t>
        </is>
      </c>
      <c r="D1323" t="inlineStr">
        <is>
          <t>MRO</t>
        </is>
      </c>
      <c r="E1323" t="inlineStr">
        <is>
          <t>MRO-01</t>
        </is>
      </c>
      <c r="F1323" s="17" t="n">
        <v>45762</v>
      </c>
      <c r="G1323" s="17" t="n">
        <v>45772</v>
      </c>
      <c r="H1323" s="18" t="n">
        <v>53</v>
      </c>
      <c r="I1323" s="19" t="n">
        <v>51.89</v>
      </c>
      <c r="J1323" s="19" t="n">
        <v>52</v>
      </c>
      <c r="K1323" s="20" t="n">
        <v>0</v>
      </c>
      <c r="L1323" s="20" t="n">
        <v>0</v>
      </c>
      <c r="M1323" s="18" t="n">
        <v>53</v>
      </c>
      <c r="N1323" s="18" t="n">
        <v>53</v>
      </c>
      <c r="O1323" s="18" t="n">
        <v>0</v>
      </c>
      <c r="P1323" s="17" t="n">
        <v>45771</v>
      </c>
      <c r="Q1323" s="17" t="n">
        <v>45771</v>
      </c>
      <c r="R1323" s="17" t="n">
        <v>45771</v>
      </c>
      <c r="S1323" s="19">
        <f>H1323*I1323</f>
        <v/>
      </c>
      <c r="T1323" s="19">
        <f>H1323*J1323</f>
        <v/>
      </c>
      <c r="U1323">
        <f>IF(AND(K1323=0,G1323&lt;=Assumptions!$C$6),1,0)</f>
        <v/>
      </c>
      <c r="V1323">
        <f>IF(U1323=1,IF(M1323&gt;0,IF(P1323&lt;=G1323+Assumptions!$C$7,1,0),0),0)</f>
        <v/>
      </c>
      <c r="W1323">
        <f>IF(AND(U1323=1,M1323&gt;=H1323*(1-Assumptions!$C$8)),1,0)</f>
        <v/>
      </c>
      <c r="X1323">
        <f>IF(AND(U1323=1,N1323&gt;=H1323*(1-Assumptions!$C$8)),1,0)</f>
        <v/>
      </c>
      <c r="Y1323">
        <f>IF(ISNUMBER(Q1323),1,0)</f>
        <v/>
      </c>
      <c r="Z1323">
        <f>IF(AND(K1323=0,L1323=0,Y1323=0),1,0)</f>
        <v/>
      </c>
      <c r="AA1323">
        <f>IF(AND(Z1323=1,G1323&lt;Assumptions!$C$6),1,0)</f>
        <v/>
      </c>
      <c r="AB1323">
        <f>IF(U1323=0,"",IF(Y1323=1,MAX(0,Q1323-G1323),IF(L1323=1,MAX(0,R1323-G1323),MAX(0,Assumptions!$C$6-G1323))))</f>
        <v/>
      </c>
      <c r="AC1323">
        <f>IF(Y1323=1,Q1323-F1323,"")</f>
        <v/>
      </c>
      <c r="AD1323">
        <f>IF(Y1323=1,AC1323^2,"")</f>
        <v/>
      </c>
      <c r="AE1323" s="19">
        <f>IF(Z1323=1,(H1323-M1323)*I1323,0)</f>
        <v/>
      </c>
      <c r="AF1323">
        <f>IF(G1323&lt;EDATE(Assumptions!$C$6,-12)+1,"prior_12m","last_12m")</f>
        <v/>
      </c>
      <c r="AG1323" s="21">
        <f>DATE(YEAR(G1323),MONTH(G1323),1)</f>
        <v/>
      </c>
    </row>
    <row r="1324">
      <c r="A1324" t="inlineStr">
        <is>
          <t>SPO-00719-1</t>
        </is>
      </c>
      <c r="B1324" t="inlineStr">
        <is>
          <t>SPO-00719</t>
        </is>
      </c>
      <c r="C1324" t="inlineStr">
        <is>
          <t>SUP-11</t>
        </is>
      </c>
      <c r="D1324" t="inlineStr">
        <is>
          <t>PPE</t>
        </is>
      </c>
      <c r="E1324" t="inlineStr">
        <is>
          <t>PPE-07</t>
        </is>
      </c>
      <c r="F1324" s="17" t="n">
        <v>45762</v>
      </c>
      <c r="G1324" s="17" t="n">
        <v>45774</v>
      </c>
      <c r="H1324" s="18" t="n">
        <v>51</v>
      </c>
      <c r="I1324" s="19" t="n">
        <v>31.1</v>
      </c>
      <c r="J1324" s="19" t="n">
        <v>31</v>
      </c>
      <c r="K1324" s="20" t="n">
        <v>0</v>
      </c>
      <c r="L1324" s="20" t="n">
        <v>0</v>
      </c>
      <c r="M1324" s="18" t="n">
        <v>51</v>
      </c>
      <c r="N1324" s="18" t="n">
        <v>51</v>
      </c>
      <c r="O1324" s="18" t="n">
        <v>0</v>
      </c>
      <c r="P1324" s="17" t="n">
        <v>45774</v>
      </c>
      <c r="Q1324" s="17" t="n">
        <v>45774</v>
      </c>
      <c r="R1324" s="17" t="n">
        <v>45774</v>
      </c>
      <c r="S1324" s="19">
        <f>H1324*I1324</f>
        <v/>
      </c>
      <c r="T1324" s="19">
        <f>H1324*J1324</f>
        <v/>
      </c>
      <c r="U1324">
        <f>IF(AND(K1324=0,G1324&lt;=Assumptions!$C$6),1,0)</f>
        <v/>
      </c>
      <c r="V1324">
        <f>IF(U1324=1,IF(M1324&gt;0,IF(P1324&lt;=G1324+Assumptions!$C$7,1,0),0),0)</f>
        <v/>
      </c>
      <c r="W1324">
        <f>IF(AND(U1324=1,M1324&gt;=H1324*(1-Assumptions!$C$8)),1,0)</f>
        <v/>
      </c>
      <c r="X1324">
        <f>IF(AND(U1324=1,N1324&gt;=H1324*(1-Assumptions!$C$8)),1,0)</f>
        <v/>
      </c>
      <c r="Y1324">
        <f>IF(ISNUMBER(Q1324),1,0)</f>
        <v/>
      </c>
      <c r="Z1324">
        <f>IF(AND(K1324=0,L1324=0,Y1324=0),1,0)</f>
        <v/>
      </c>
      <c r="AA1324">
        <f>IF(AND(Z1324=1,G1324&lt;Assumptions!$C$6),1,0)</f>
        <v/>
      </c>
      <c r="AB1324">
        <f>IF(U1324=0,"",IF(Y1324=1,MAX(0,Q1324-G1324),IF(L1324=1,MAX(0,R1324-G1324),MAX(0,Assumptions!$C$6-G1324))))</f>
        <v/>
      </c>
      <c r="AC1324">
        <f>IF(Y1324=1,Q1324-F1324,"")</f>
        <v/>
      </c>
      <c r="AD1324">
        <f>IF(Y1324=1,AC1324^2,"")</f>
        <v/>
      </c>
      <c r="AE1324" s="19">
        <f>IF(Z1324=1,(H1324-M1324)*I1324,0)</f>
        <v/>
      </c>
      <c r="AF1324">
        <f>IF(G1324&lt;EDATE(Assumptions!$C$6,-12)+1,"prior_12m","last_12m")</f>
        <v/>
      </c>
      <c r="AG1324" s="21">
        <f>DATE(YEAR(G1324),MONTH(G1324),1)</f>
        <v/>
      </c>
    </row>
    <row r="1325">
      <c r="A1325" t="inlineStr">
        <is>
          <t>SPO-00719-2</t>
        </is>
      </c>
      <c r="B1325" t="inlineStr">
        <is>
          <t>SPO-00719</t>
        </is>
      </c>
      <c r="C1325" t="inlineStr">
        <is>
          <t>SUP-11</t>
        </is>
      </c>
      <c r="D1325" t="inlineStr">
        <is>
          <t>PPE</t>
        </is>
      </c>
      <c r="E1325" t="inlineStr">
        <is>
          <t>PPE-01</t>
        </is>
      </c>
      <c r="F1325" s="17" t="n">
        <v>45762</v>
      </c>
      <c r="G1325" s="17" t="n">
        <v>45774</v>
      </c>
      <c r="H1325" s="18" t="n">
        <v>45</v>
      </c>
      <c r="I1325" s="19" t="n">
        <v>5.04</v>
      </c>
      <c r="J1325" s="19" t="n">
        <v>4.8</v>
      </c>
      <c r="K1325" s="20" t="n">
        <v>0</v>
      </c>
      <c r="L1325" s="20" t="n">
        <v>0</v>
      </c>
      <c r="M1325" s="18" t="n">
        <v>45</v>
      </c>
      <c r="N1325" s="18" t="n">
        <v>45</v>
      </c>
      <c r="O1325" s="18" t="n">
        <v>0</v>
      </c>
      <c r="P1325" s="17" t="n">
        <v>45770</v>
      </c>
      <c r="Q1325" s="17" t="n">
        <v>45770</v>
      </c>
      <c r="R1325" s="17" t="n">
        <v>45770</v>
      </c>
      <c r="S1325" s="19">
        <f>H1325*I1325</f>
        <v/>
      </c>
      <c r="T1325" s="19">
        <f>H1325*J1325</f>
        <v/>
      </c>
      <c r="U1325">
        <f>IF(AND(K1325=0,G1325&lt;=Assumptions!$C$6),1,0)</f>
        <v/>
      </c>
      <c r="V1325">
        <f>IF(U1325=1,IF(M1325&gt;0,IF(P1325&lt;=G1325+Assumptions!$C$7,1,0),0),0)</f>
        <v/>
      </c>
      <c r="W1325">
        <f>IF(AND(U1325=1,M1325&gt;=H1325*(1-Assumptions!$C$8)),1,0)</f>
        <v/>
      </c>
      <c r="X1325">
        <f>IF(AND(U1325=1,N1325&gt;=H1325*(1-Assumptions!$C$8)),1,0)</f>
        <v/>
      </c>
      <c r="Y1325">
        <f>IF(ISNUMBER(Q1325),1,0)</f>
        <v/>
      </c>
      <c r="Z1325">
        <f>IF(AND(K1325=0,L1325=0,Y1325=0),1,0)</f>
        <v/>
      </c>
      <c r="AA1325">
        <f>IF(AND(Z1325=1,G1325&lt;Assumptions!$C$6),1,0)</f>
        <v/>
      </c>
      <c r="AB1325">
        <f>IF(U1325=0,"",IF(Y1325=1,MAX(0,Q1325-G1325),IF(L1325=1,MAX(0,R1325-G1325),MAX(0,Assumptions!$C$6-G1325))))</f>
        <v/>
      </c>
      <c r="AC1325">
        <f>IF(Y1325=1,Q1325-F1325,"")</f>
        <v/>
      </c>
      <c r="AD1325">
        <f>IF(Y1325=1,AC1325^2,"")</f>
        <v/>
      </c>
      <c r="AE1325" s="19">
        <f>IF(Z1325=1,(H1325-M1325)*I1325,0)</f>
        <v/>
      </c>
      <c r="AF1325">
        <f>IF(G1325&lt;EDATE(Assumptions!$C$6,-12)+1,"prior_12m","last_12m")</f>
        <v/>
      </c>
      <c r="AG1325" s="21">
        <f>DATE(YEAR(G1325),MONTH(G1325),1)</f>
        <v/>
      </c>
    </row>
    <row r="1326">
      <c r="A1326" t="inlineStr">
        <is>
          <t>SPO-00720-1</t>
        </is>
      </c>
      <c r="B1326" t="inlineStr">
        <is>
          <t>SPO-00720</t>
        </is>
      </c>
      <c r="C1326" t="inlineStr">
        <is>
          <t>SUP-01</t>
        </is>
      </c>
      <c r="D1326" t="inlineStr">
        <is>
          <t>ELEC</t>
        </is>
      </c>
      <c r="E1326" t="inlineStr">
        <is>
          <t>ELEC-05</t>
        </is>
      </c>
      <c r="F1326" s="17" t="n">
        <v>45764</v>
      </c>
      <c r="G1326" s="17" t="n">
        <v>45782</v>
      </c>
      <c r="H1326" s="18" t="n">
        <v>187</v>
      </c>
      <c r="I1326" s="19" t="n">
        <v>11.63</v>
      </c>
      <c r="J1326" s="19" t="n">
        <v>11.5</v>
      </c>
      <c r="K1326" s="20" t="n">
        <v>0</v>
      </c>
      <c r="L1326" s="20" t="n">
        <v>0</v>
      </c>
      <c r="M1326" s="18" t="n">
        <v>187</v>
      </c>
      <c r="N1326" s="18" t="n">
        <v>187</v>
      </c>
      <c r="O1326" s="18" t="n">
        <v>0</v>
      </c>
      <c r="P1326" s="17" t="n">
        <v>45778</v>
      </c>
      <c r="Q1326" s="17" t="n">
        <v>45778</v>
      </c>
      <c r="R1326" s="17" t="n">
        <v>45778</v>
      </c>
      <c r="S1326" s="19">
        <f>H1326*I1326</f>
        <v/>
      </c>
      <c r="T1326" s="19">
        <f>H1326*J1326</f>
        <v/>
      </c>
      <c r="U1326">
        <f>IF(AND(K1326=0,G1326&lt;=Assumptions!$C$6),1,0)</f>
        <v/>
      </c>
      <c r="V1326">
        <f>IF(U1326=1,IF(M1326&gt;0,IF(P1326&lt;=G1326+Assumptions!$C$7,1,0),0),0)</f>
        <v/>
      </c>
      <c r="W1326">
        <f>IF(AND(U1326=1,M1326&gt;=H1326*(1-Assumptions!$C$8)),1,0)</f>
        <v/>
      </c>
      <c r="X1326">
        <f>IF(AND(U1326=1,N1326&gt;=H1326*(1-Assumptions!$C$8)),1,0)</f>
        <v/>
      </c>
      <c r="Y1326">
        <f>IF(ISNUMBER(Q1326),1,0)</f>
        <v/>
      </c>
      <c r="Z1326">
        <f>IF(AND(K1326=0,L1326=0,Y1326=0),1,0)</f>
        <v/>
      </c>
      <c r="AA1326">
        <f>IF(AND(Z1326=1,G1326&lt;Assumptions!$C$6),1,0)</f>
        <v/>
      </c>
      <c r="AB1326">
        <f>IF(U1326=0,"",IF(Y1326=1,MAX(0,Q1326-G1326),IF(L1326=1,MAX(0,R1326-G1326),MAX(0,Assumptions!$C$6-G1326))))</f>
        <v/>
      </c>
      <c r="AC1326">
        <f>IF(Y1326=1,Q1326-F1326,"")</f>
        <v/>
      </c>
      <c r="AD1326">
        <f>IF(Y1326=1,AC1326^2,"")</f>
        <v/>
      </c>
      <c r="AE1326" s="19">
        <f>IF(Z1326=1,(H1326-M1326)*I1326,0)</f>
        <v/>
      </c>
      <c r="AF1326">
        <f>IF(G1326&lt;EDATE(Assumptions!$C$6,-12)+1,"prior_12m","last_12m")</f>
        <v/>
      </c>
      <c r="AG1326" s="21">
        <f>DATE(YEAR(G1326),MONTH(G1326),1)</f>
        <v/>
      </c>
    </row>
    <row r="1327">
      <c r="A1327" t="inlineStr">
        <is>
          <t>SPO-00720-2</t>
        </is>
      </c>
      <c r="B1327" t="inlineStr">
        <is>
          <t>SPO-00720</t>
        </is>
      </c>
      <c r="C1327" t="inlineStr">
        <is>
          <t>SUP-01</t>
        </is>
      </c>
      <c r="D1327" t="inlineStr">
        <is>
          <t>ELEC</t>
        </is>
      </c>
      <c r="E1327" t="inlineStr">
        <is>
          <t>ELEC-07</t>
        </is>
      </c>
      <c r="F1327" s="17" t="n">
        <v>45764</v>
      </c>
      <c r="G1327" s="17" t="n">
        <v>45782</v>
      </c>
      <c r="H1327" s="18" t="n">
        <v>197</v>
      </c>
      <c r="I1327" s="19" t="n">
        <v>9.789999999999999</v>
      </c>
      <c r="J1327" s="19" t="n">
        <v>9.800000000000001</v>
      </c>
      <c r="K1327" s="20" t="n">
        <v>0</v>
      </c>
      <c r="L1327" s="20" t="n">
        <v>0</v>
      </c>
      <c r="M1327" s="18" t="n">
        <v>197</v>
      </c>
      <c r="N1327" s="18" t="n">
        <v>197</v>
      </c>
      <c r="O1327" s="18" t="n">
        <v>38</v>
      </c>
      <c r="P1327" s="17" t="n">
        <v>45776</v>
      </c>
      <c r="Q1327" s="17" t="n">
        <v>45776</v>
      </c>
      <c r="R1327" s="17" t="n">
        <v>45776</v>
      </c>
      <c r="S1327" s="19">
        <f>H1327*I1327</f>
        <v/>
      </c>
      <c r="T1327" s="19">
        <f>H1327*J1327</f>
        <v/>
      </c>
      <c r="U1327">
        <f>IF(AND(K1327=0,G1327&lt;=Assumptions!$C$6),1,0)</f>
        <v/>
      </c>
      <c r="V1327">
        <f>IF(U1327=1,IF(M1327&gt;0,IF(P1327&lt;=G1327+Assumptions!$C$7,1,0),0),0)</f>
        <v/>
      </c>
      <c r="W1327">
        <f>IF(AND(U1327=1,M1327&gt;=H1327*(1-Assumptions!$C$8)),1,0)</f>
        <v/>
      </c>
      <c r="X1327">
        <f>IF(AND(U1327=1,N1327&gt;=H1327*(1-Assumptions!$C$8)),1,0)</f>
        <v/>
      </c>
      <c r="Y1327">
        <f>IF(ISNUMBER(Q1327),1,0)</f>
        <v/>
      </c>
      <c r="Z1327">
        <f>IF(AND(K1327=0,L1327=0,Y1327=0),1,0)</f>
        <v/>
      </c>
      <c r="AA1327">
        <f>IF(AND(Z1327=1,G1327&lt;Assumptions!$C$6),1,0)</f>
        <v/>
      </c>
      <c r="AB1327">
        <f>IF(U1327=0,"",IF(Y1327=1,MAX(0,Q1327-G1327),IF(L1327=1,MAX(0,R1327-G1327),MAX(0,Assumptions!$C$6-G1327))))</f>
        <v/>
      </c>
      <c r="AC1327">
        <f>IF(Y1327=1,Q1327-F1327,"")</f>
        <v/>
      </c>
      <c r="AD1327">
        <f>IF(Y1327=1,AC1327^2,"")</f>
        <v/>
      </c>
      <c r="AE1327" s="19">
        <f>IF(Z1327=1,(H1327-M1327)*I1327,0)</f>
        <v/>
      </c>
      <c r="AF1327">
        <f>IF(G1327&lt;EDATE(Assumptions!$C$6,-12)+1,"prior_12m","last_12m")</f>
        <v/>
      </c>
      <c r="AG1327" s="21">
        <f>DATE(YEAR(G1327),MONTH(G1327),1)</f>
        <v/>
      </c>
    </row>
    <row r="1328">
      <c r="A1328" t="inlineStr">
        <is>
          <t>SPO-00720-3</t>
        </is>
      </c>
      <c r="B1328" t="inlineStr">
        <is>
          <t>SPO-00720</t>
        </is>
      </c>
      <c r="C1328" t="inlineStr">
        <is>
          <t>SUP-01</t>
        </is>
      </c>
      <c r="D1328" t="inlineStr">
        <is>
          <t>ELEC</t>
        </is>
      </c>
      <c r="E1328" t="inlineStr">
        <is>
          <t>ELEC-08</t>
        </is>
      </c>
      <c r="F1328" s="17" t="n">
        <v>45764</v>
      </c>
      <c r="G1328" s="17" t="n">
        <v>45782</v>
      </c>
      <c r="H1328" s="18" t="n">
        <v>188</v>
      </c>
      <c r="I1328" s="19" t="n">
        <v>18.84</v>
      </c>
      <c r="J1328" s="19" t="n">
        <v>18</v>
      </c>
      <c r="K1328" s="20" t="n">
        <v>0</v>
      </c>
      <c r="L1328" s="20" t="n">
        <v>0</v>
      </c>
      <c r="M1328" s="18" t="n">
        <v>188</v>
      </c>
      <c r="N1328" s="18" t="n">
        <v>188</v>
      </c>
      <c r="O1328" s="18" t="n">
        <v>0</v>
      </c>
      <c r="P1328" s="17" t="n">
        <v>45779</v>
      </c>
      <c r="Q1328" s="17" t="n">
        <v>45779</v>
      </c>
      <c r="R1328" s="17" t="n">
        <v>45779</v>
      </c>
      <c r="S1328" s="19">
        <f>H1328*I1328</f>
        <v/>
      </c>
      <c r="T1328" s="19">
        <f>H1328*J1328</f>
        <v/>
      </c>
      <c r="U1328">
        <f>IF(AND(K1328=0,G1328&lt;=Assumptions!$C$6),1,0)</f>
        <v/>
      </c>
      <c r="V1328">
        <f>IF(U1328=1,IF(M1328&gt;0,IF(P1328&lt;=G1328+Assumptions!$C$7,1,0),0),0)</f>
        <v/>
      </c>
      <c r="W1328">
        <f>IF(AND(U1328=1,M1328&gt;=H1328*(1-Assumptions!$C$8)),1,0)</f>
        <v/>
      </c>
      <c r="X1328">
        <f>IF(AND(U1328=1,N1328&gt;=H1328*(1-Assumptions!$C$8)),1,0)</f>
        <v/>
      </c>
      <c r="Y1328">
        <f>IF(ISNUMBER(Q1328),1,0)</f>
        <v/>
      </c>
      <c r="Z1328">
        <f>IF(AND(K1328=0,L1328=0,Y1328=0),1,0)</f>
        <v/>
      </c>
      <c r="AA1328">
        <f>IF(AND(Z1328=1,G1328&lt;Assumptions!$C$6),1,0)</f>
        <v/>
      </c>
      <c r="AB1328">
        <f>IF(U1328=0,"",IF(Y1328=1,MAX(0,Q1328-G1328),IF(L1328=1,MAX(0,R1328-G1328),MAX(0,Assumptions!$C$6-G1328))))</f>
        <v/>
      </c>
      <c r="AC1328">
        <f>IF(Y1328=1,Q1328-F1328,"")</f>
        <v/>
      </c>
      <c r="AD1328">
        <f>IF(Y1328=1,AC1328^2,"")</f>
        <v/>
      </c>
      <c r="AE1328" s="19">
        <f>IF(Z1328=1,(H1328-M1328)*I1328,0)</f>
        <v/>
      </c>
      <c r="AF1328">
        <f>IF(G1328&lt;EDATE(Assumptions!$C$6,-12)+1,"prior_12m","last_12m")</f>
        <v/>
      </c>
      <c r="AG1328" s="21">
        <f>DATE(YEAR(G1328),MONTH(G1328),1)</f>
        <v/>
      </c>
    </row>
    <row r="1329">
      <c r="A1329" t="inlineStr">
        <is>
          <t>SPO-00721-1</t>
        </is>
      </c>
      <c r="B1329" t="inlineStr">
        <is>
          <t>SPO-00721</t>
        </is>
      </c>
      <c r="C1329" t="inlineStr">
        <is>
          <t>SUP-06</t>
        </is>
      </c>
      <c r="D1329" t="inlineStr">
        <is>
          <t>MRO</t>
        </is>
      </c>
      <c r="E1329" t="inlineStr">
        <is>
          <t>MRO-05</t>
        </is>
      </c>
      <c r="F1329" s="17" t="n">
        <v>45764</v>
      </c>
      <c r="G1329" s="17" t="n">
        <v>45772</v>
      </c>
      <c r="H1329" s="18" t="n">
        <v>36</v>
      </c>
      <c r="I1329" s="19" t="n">
        <v>36.47</v>
      </c>
      <c r="J1329" s="19" t="n">
        <v>36</v>
      </c>
      <c r="K1329" s="20" t="n">
        <v>0</v>
      </c>
      <c r="L1329" s="20" t="n">
        <v>0</v>
      </c>
      <c r="M1329" s="18" t="n">
        <v>36</v>
      </c>
      <c r="N1329" s="18" t="n">
        <v>36</v>
      </c>
      <c r="O1329" s="18" t="n">
        <v>0</v>
      </c>
      <c r="P1329" s="17" t="n">
        <v>45771</v>
      </c>
      <c r="Q1329" s="17" t="n">
        <v>45771</v>
      </c>
      <c r="R1329" s="17" t="n">
        <v>45771</v>
      </c>
      <c r="S1329" s="19">
        <f>H1329*I1329</f>
        <v/>
      </c>
      <c r="T1329" s="19">
        <f>H1329*J1329</f>
        <v/>
      </c>
      <c r="U1329">
        <f>IF(AND(K1329=0,G1329&lt;=Assumptions!$C$6),1,0)</f>
        <v/>
      </c>
      <c r="V1329">
        <f>IF(U1329=1,IF(M1329&gt;0,IF(P1329&lt;=G1329+Assumptions!$C$7,1,0),0),0)</f>
        <v/>
      </c>
      <c r="W1329">
        <f>IF(AND(U1329=1,M1329&gt;=H1329*(1-Assumptions!$C$8)),1,0)</f>
        <v/>
      </c>
      <c r="X1329">
        <f>IF(AND(U1329=1,N1329&gt;=H1329*(1-Assumptions!$C$8)),1,0)</f>
        <v/>
      </c>
      <c r="Y1329">
        <f>IF(ISNUMBER(Q1329),1,0)</f>
        <v/>
      </c>
      <c r="Z1329">
        <f>IF(AND(K1329=0,L1329=0,Y1329=0),1,0)</f>
        <v/>
      </c>
      <c r="AA1329">
        <f>IF(AND(Z1329=1,G1329&lt;Assumptions!$C$6),1,0)</f>
        <v/>
      </c>
      <c r="AB1329">
        <f>IF(U1329=0,"",IF(Y1329=1,MAX(0,Q1329-G1329),IF(L1329=1,MAX(0,R1329-G1329),MAX(0,Assumptions!$C$6-G1329))))</f>
        <v/>
      </c>
      <c r="AC1329">
        <f>IF(Y1329=1,Q1329-F1329,"")</f>
        <v/>
      </c>
      <c r="AD1329">
        <f>IF(Y1329=1,AC1329^2,"")</f>
        <v/>
      </c>
      <c r="AE1329" s="19">
        <f>IF(Z1329=1,(H1329-M1329)*I1329,0)</f>
        <v/>
      </c>
      <c r="AF1329">
        <f>IF(G1329&lt;EDATE(Assumptions!$C$6,-12)+1,"prior_12m","last_12m")</f>
        <v/>
      </c>
      <c r="AG1329" s="21">
        <f>DATE(YEAR(G1329),MONTH(G1329),1)</f>
        <v/>
      </c>
    </row>
    <row r="1330">
      <c r="A1330" t="inlineStr">
        <is>
          <t>SPO-00722-1</t>
        </is>
      </c>
      <c r="B1330" t="inlineStr">
        <is>
          <t>SPO-00722</t>
        </is>
      </c>
      <c r="C1330" t="inlineStr">
        <is>
          <t>SUP-02</t>
        </is>
      </c>
      <c r="D1330" t="inlineStr">
        <is>
          <t>ELEC</t>
        </is>
      </c>
      <c r="E1330" t="inlineStr">
        <is>
          <t>ELEC-05</t>
        </is>
      </c>
      <c r="F1330" s="17" t="n">
        <v>45764</v>
      </c>
      <c r="G1330" s="17" t="n">
        <v>45780</v>
      </c>
      <c r="H1330" s="18" t="n">
        <v>57</v>
      </c>
      <c r="I1330" s="19" t="n">
        <v>11.65</v>
      </c>
      <c r="J1330" s="19" t="n">
        <v>11.5</v>
      </c>
      <c r="K1330" s="20" t="n">
        <v>0</v>
      </c>
      <c r="L1330" s="20" t="n">
        <v>0</v>
      </c>
      <c r="M1330" s="18" t="n">
        <v>57</v>
      </c>
      <c r="N1330" s="18" t="n">
        <v>57</v>
      </c>
      <c r="O1330" s="18" t="n">
        <v>0</v>
      </c>
      <c r="P1330" s="17" t="n">
        <v>45775</v>
      </c>
      <c r="Q1330" s="17" t="n">
        <v>45775</v>
      </c>
      <c r="R1330" s="17" t="n">
        <v>45775</v>
      </c>
      <c r="S1330" s="19">
        <f>H1330*I1330</f>
        <v/>
      </c>
      <c r="T1330" s="19">
        <f>H1330*J1330</f>
        <v/>
      </c>
      <c r="U1330">
        <f>IF(AND(K1330=0,G1330&lt;=Assumptions!$C$6),1,0)</f>
        <v/>
      </c>
      <c r="V1330">
        <f>IF(U1330=1,IF(M1330&gt;0,IF(P1330&lt;=G1330+Assumptions!$C$7,1,0),0),0)</f>
        <v/>
      </c>
      <c r="W1330">
        <f>IF(AND(U1330=1,M1330&gt;=H1330*(1-Assumptions!$C$8)),1,0)</f>
        <v/>
      </c>
      <c r="X1330">
        <f>IF(AND(U1330=1,N1330&gt;=H1330*(1-Assumptions!$C$8)),1,0)</f>
        <v/>
      </c>
      <c r="Y1330">
        <f>IF(ISNUMBER(Q1330),1,0)</f>
        <v/>
      </c>
      <c r="Z1330">
        <f>IF(AND(K1330=0,L1330=0,Y1330=0),1,0)</f>
        <v/>
      </c>
      <c r="AA1330">
        <f>IF(AND(Z1330=1,G1330&lt;Assumptions!$C$6),1,0)</f>
        <v/>
      </c>
      <c r="AB1330">
        <f>IF(U1330=0,"",IF(Y1330=1,MAX(0,Q1330-G1330),IF(L1330=1,MAX(0,R1330-G1330),MAX(0,Assumptions!$C$6-G1330))))</f>
        <v/>
      </c>
      <c r="AC1330">
        <f>IF(Y1330=1,Q1330-F1330,"")</f>
        <v/>
      </c>
      <c r="AD1330">
        <f>IF(Y1330=1,AC1330^2,"")</f>
        <v/>
      </c>
      <c r="AE1330" s="19">
        <f>IF(Z1330=1,(H1330-M1330)*I1330,0)</f>
        <v/>
      </c>
      <c r="AF1330">
        <f>IF(G1330&lt;EDATE(Assumptions!$C$6,-12)+1,"prior_12m","last_12m")</f>
        <v/>
      </c>
      <c r="AG1330" s="21">
        <f>DATE(YEAR(G1330),MONTH(G1330),1)</f>
        <v/>
      </c>
    </row>
    <row r="1331">
      <c r="A1331" t="inlineStr">
        <is>
          <t>SPO-00722-2</t>
        </is>
      </c>
      <c r="B1331" t="inlineStr">
        <is>
          <t>SPO-00722</t>
        </is>
      </c>
      <c r="C1331" t="inlineStr">
        <is>
          <t>SUP-02</t>
        </is>
      </c>
      <c r="D1331" t="inlineStr">
        <is>
          <t>ELEC</t>
        </is>
      </c>
      <c r="E1331" t="inlineStr">
        <is>
          <t>ELEC-04</t>
        </is>
      </c>
      <c r="F1331" s="17" t="n">
        <v>45764</v>
      </c>
      <c r="G1331" s="17" t="n">
        <v>45780</v>
      </c>
      <c r="H1331" s="18" t="n">
        <v>28</v>
      </c>
      <c r="I1331" s="19" t="n">
        <v>73.95999999999999</v>
      </c>
      <c r="J1331" s="19" t="n">
        <v>72</v>
      </c>
      <c r="K1331" s="20" t="n">
        <v>0</v>
      </c>
      <c r="L1331" s="20" t="n">
        <v>0</v>
      </c>
      <c r="M1331" s="18" t="n">
        <v>28</v>
      </c>
      <c r="N1331" s="18" t="n">
        <v>28</v>
      </c>
      <c r="O1331" s="18" t="n">
        <v>0</v>
      </c>
      <c r="P1331" s="17" t="n">
        <v>45780</v>
      </c>
      <c r="Q1331" s="17" t="n">
        <v>45780</v>
      </c>
      <c r="R1331" s="17" t="n">
        <v>45780</v>
      </c>
      <c r="S1331" s="19">
        <f>H1331*I1331</f>
        <v/>
      </c>
      <c r="T1331" s="19">
        <f>H1331*J1331</f>
        <v/>
      </c>
      <c r="U1331">
        <f>IF(AND(K1331=0,G1331&lt;=Assumptions!$C$6),1,0)</f>
        <v/>
      </c>
      <c r="V1331">
        <f>IF(U1331=1,IF(M1331&gt;0,IF(P1331&lt;=G1331+Assumptions!$C$7,1,0),0),0)</f>
        <v/>
      </c>
      <c r="W1331">
        <f>IF(AND(U1331=1,M1331&gt;=H1331*(1-Assumptions!$C$8)),1,0)</f>
        <v/>
      </c>
      <c r="X1331">
        <f>IF(AND(U1331=1,N1331&gt;=H1331*(1-Assumptions!$C$8)),1,0)</f>
        <v/>
      </c>
      <c r="Y1331">
        <f>IF(ISNUMBER(Q1331),1,0)</f>
        <v/>
      </c>
      <c r="Z1331">
        <f>IF(AND(K1331=0,L1331=0,Y1331=0),1,0)</f>
        <v/>
      </c>
      <c r="AA1331">
        <f>IF(AND(Z1331=1,G1331&lt;Assumptions!$C$6),1,0)</f>
        <v/>
      </c>
      <c r="AB1331">
        <f>IF(U1331=0,"",IF(Y1331=1,MAX(0,Q1331-G1331),IF(L1331=1,MAX(0,R1331-G1331),MAX(0,Assumptions!$C$6-G1331))))</f>
        <v/>
      </c>
      <c r="AC1331">
        <f>IF(Y1331=1,Q1331-F1331,"")</f>
        <v/>
      </c>
      <c r="AD1331">
        <f>IF(Y1331=1,AC1331^2,"")</f>
        <v/>
      </c>
      <c r="AE1331" s="19">
        <f>IF(Z1331=1,(H1331-M1331)*I1331,0)</f>
        <v/>
      </c>
      <c r="AF1331">
        <f>IF(G1331&lt;EDATE(Assumptions!$C$6,-12)+1,"prior_12m","last_12m")</f>
        <v/>
      </c>
      <c r="AG1331" s="21">
        <f>DATE(YEAR(G1331),MONTH(G1331),1)</f>
        <v/>
      </c>
    </row>
    <row r="1332">
      <c r="A1332" t="inlineStr">
        <is>
          <t>SPO-00723-1</t>
        </is>
      </c>
      <c r="B1332" t="inlineStr">
        <is>
          <t>SPO-00723</t>
        </is>
      </c>
      <c r="C1332" t="inlineStr">
        <is>
          <t>SUP-08</t>
        </is>
      </c>
      <c r="D1332" t="inlineStr">
        <is>
          <t>PPE</t>
        </is>
      </c>
      <c r="E1332" t="inlineStr">
        <is>
          <t>PPE-04</t>
        </is>
      </c>
      <c r="F1332" s="17" t="n">
        <v>45764</v>
      </c>
      <c r="G1332" s="17" t="n">
        <v>45775</v>
      </c>
      <c r="H1332" s="18" t="n">
        <v>102</v>
      </c>
      <c r="I1332" s="19" t="n">
        <v>27.06</v>
      </c>
      <c r="J1332" s="19" t="n">
        <v>26</v>
      </c>
      <c r="K1332" s="20" t="n">
        <v>0</v>
      </c>
      <c r="L1332" s="20" t="n">
        <v>0</v>
      </c>
      <c r="M1332" s="18" t="n">
        <v>102</v>
      </c>
      <c r="N1332" s="18" t="n">
        <v>102</v>
      </c>
      <c r="O1332" s="18" t="n">
        <v>0</v>
      </c>
      <c r="P1332" s="17" t="n">
        <v>45772</v>
      </c>
      <c r="Q1332" s="17" t="n">
        <v>45772</v>
      </c>
      <c r="R1332" s="17" t="n">
        <v>45772</v>
      </c>
      <c r="S1332" s="19">
        <f>H1332*I1332</f>
        <v/>
      </c>
      <c r="T1332" s="19">
        <f>H1332*J1332</f>
        <v/>
      </c>
      <c r="U1332">
        <f>IF(AND(K1332=0,G1332&lt;=Assumptions!$C$6),1,0)</f>
        <v/>
      </c>
      <c r="V1332">
        <f>IF(U1332=1,IF(M1332&gt;0,IF(P1332&lt;=G1332+Assumptions!$C$7,1,0),0),0)</f>
        <v/>
      </c>
      <c r="W1332">
        <f>IF(AND(U1332=1,M1332&gt;=H1332*(1-Assumptions!$C$8)),1,0)</f>
        <v/>
      </c>
      <c r="X1332">
        <f>IF(AND(U1332=1,N1332&gt;=H1332*(1-Assumptions!$C$8)),1,0)</f>
        <v/>
      </c>
      <c r="Y1332">
        <f>IF(ISNUMBER(Q1332),1,0)</f>
        <v/>
      </c>
      <c r="Z1332">
        <f>IF(AND(K1332=0,L1332=0,Y1332=0),1,0)</f>
        <v/>
      </c>
      <c r="AA1332">
        <f>IF(AND(Z1332=1,G1332&lt;Assumptions!$C$6),1,0)</f>
        <v/>
      </c>
      <c r="AB1332">
        <f>IF(U1332=0,"",IF(Y1332=1,MAX(0,Q1332-G1332),IF(L1332=1,MAX(0,R1332-G1332),MAX(0,Assumptions!$C$6-G1332))))</f>
        <v/>
      </c>
      <c r="AC1332">
        <f>IF(Y1332=1,Q1332-F1332,"")</f>
        <v/>
      </c>
      <c r="AD1332">
        <f>IF(Y1332=1,AC1332^2,"")</f>
        <v/>
      </c>
      <c r="AE1332" s="19">
        <f>IF(Z1332=1,(H1332-M1332)*I1332,0)</f>
        <v/>
      </c>
      <c r="AF1332">
        <f>IF(G1332&lt;EDATE(Assumptions!$C$6,-12)+1,"prior_12m","last_12m")</f>
        <v/>
      </c>
      <c r="AG1332" s="21">
        <f>DATE(YEAR(G1332),MONTH(G1332),1)</f>
        <v/>
      </c>
    </row>
    <row r="1333">
      <c r="A1333" t="inlineStr">
        <is>
          <t>SPO-00724-1</t>
        </is>
      </c>
      <c r="B1333" t="inlineStr">
        <is>
          <t>SPO-00724</t>
        </is>
      </c>
      <c r="C1333" t="inlineStr">
        <is>
          <t>SUP-05</t>
        </is>
      </c>
      <c r="D1333" t="inlineStr">
        <is>
          <t>FLEET</t>
        </is>
      </c>
      <c r="E1333" t="inlineStr">
        <is>
          <t>FLEET-07</t>
        </is>
      </c>
      <c r="F1333" s="17" t="n">
        <v>45764</v>
      </c>
      <c r="G1333" s="17" t="n">
        <v>45778</v>
      </c>
      <c r="H1333" s="18" t="n">
        <v>7</v>
      </c>
      <c r="I1333" s="19" t="n">
        <v>123.8</v>
      </c>
      <c r="J1333" s="19" t="n">
        <v>118</v>
      </c>
      <c r="K1333" s="20" t="n">
        <v>0</v>
      </c>
      <c r="L1333" s="20" t="n">
        <v>0</v>
      </c>
      <c r="M1333" s="18" t="n">
        <v>7</v>
      </c>
      <c r="N1333" s="18" t="n">
        <v>7</v>
      </c>
      <c r="O1333" s="18" t="n">
        <v>0</v>
      </c>
      <c r="P1333" s="17" t="n">
        <v>45775</v>
      </c>
      <c r="Q1333" s="17" t="n">
        <v>45775</v>
      </c>
      <c r="R1333" s="17" t="n">
        <v>45775</v>
      </c>
      <c r="S1333" s="19">
        <f>H1333*I1333</f>
        <v/>
      </c>
      <c r="T1333" s="19">
        <f>H1333*J1333</f>
        <v/>
      </c>
      <c r="U1333">
        <f>IF(AND(K1333=0,G1333&lt;=Assumptions!$C$6),1,0)</f>
        <v/>
      </c>
      <c r="V1333">
        <f>IF(U1333=1,IF(M1333&gt;0,IF(P1333&lt;=G1333+Assumptions!$C$7,1,0),0),0)</f>
        <v/>
      </c>
      <c r="W1333">
        <f>IF(AND(U1333=1,M1333&gt;=H1333*(1-Assumptions!$C$8)),1,0)</f>
        <v/>
      </c>
      <c r="X1333">
        <f>IF(AND(U1333=1,N1333&gt;=H1333*(1-Assumptions!$C$8)),1,0)</f>
        <v/>
      </c>
      <c r="Y1333">
        <f>IF(ISNUMBER(Q1333),1,0)</f>
        <v/>
      </c>
      <c r="Z1333">
        <f>IF(AND(K1333=0,L1333=0,Y1333=0),1,0)</f>
        <v/>
      </c>
      <c r="AA1333">
        <f>IF(AND(Z1333=1,G1333&lt;Assumptions!$C$6),1,0)</f>
        <v/>
      </c>
      <c r="AB1333">
        <f>IF(U1333=0,"",IF(Y1333=1,MAX(0,Q1333-G1333),IF(L1333=1,MAX(0,R1333-G1333),MAX(0,Assumptions!$C$6-G1333))))</f>
        <v/>
      </c>
      <c r="AC1333">
        <f>IF(Y1333=1,Q1333-F1333,"")</f>
        <v/>
      </c>
      <c r="AD1333">
        <f>IF(Y1333=1,AC1333^2,"")</f>
        <v/>
      </c>
      <c r="AE1333" s="19">
        <f>IF(Z1333=1,(H1333-M1333)*I1333,0)</f>
        <v/>
      </c>
      <c r="AF1333">
        <f>IF(G1333&lt;EDATE(Assumptions!$C$6,-12)+1,"prior_12m","last_12m")</f>
        <v/>
      </c>
      <c r="AG1333" s="21">
        <f>DATE(YEAR(G1333),MONTH(G1333),1)</f>
        <v/>
      </c>
    </row>
    <row r="1334">
      <c r="A1334" t="inlineStr">
        <is>
          <t>SPO-00725-1</t>
        </is>
      </c>
      <c r="B1334" t="inlineStr">
        <is>
          <t>SPO-00725</t>
        </is>
      </c>
      <c r="C1334" t="inlineStr">
        <is>
          <t>SUP-14</t>
        </is>
      </c>
      <c r="D1334" t="inlineStr">
        <is>
          <t>FLEET</t>
        </is>
      </c>
      <c r="E1334" t="inlineStr">
        <is>
          <t>FLEET-02</t>
        </is>
      </c>
      <c r="F1334" s="17" t="n">
        <v>45764</v>
      </c>
      <c r="G1334" s="17" t="n">
        <v>45778</v>
      </c>
      <c r="H1334" s="18" t="n">
        <v>134</v>
      </c>
      <c r="I1334" s="19" t="n">
        <v>7.63</v>
      </c>
      <c r="J1334" s="19" t="n">
        <v>7.5</v>
      </c>
      <c r="K1334" s="20" t="n">
        <v>0</v>
      </c>
      <c r="L1334" s="20" t="n">
        <v>0</v>
      </c>
      <c r="M1334" s="18" t="n">
        <v>134</v>
      </c>
      <c r="N1334" s="18" t="n">
        <v>134</v>
      </c>
      <c r="O1334" s="18" t="n">
        <v>0</v>
      </c>
      <c r="P1334" s="17" t="n">
        <v>45770</v>
      </c>
      <c r="Q1334" s="17" t="n">
        <v>45770</v>
      </c>
      <c r="R1334" s="17" t="n">
        <v>45770</v>
      </c>
      <c r="S1334" s="19">
        <f>H1334*I1334</f>
        <v/>
      </c>
      <c r="T1334" s="19">
        <f>H1334*J1334</f>
        <v/>
      </c>
      <c r="U1334">
        <f>IF(AND(K1334=0,G1334&lt;=Assumptions!$C$6),1,0)</f>
        <v/>
      </c>
      <c r="V1334">
        <f>IF(U1334=1,IF(M1334&gt;0,IF(P1334&lt;=G1334+Assumptions!$C$7,1,0),0),0)</f>
        <v/>
      </c>
      <c r="W1334">
        <f>IF(AND(U1334=1,M1334&gt;=H1334*(1-Assumptions!$C$8)),1,0)</f>
        <v/>
      </c>
      <c r="X1334">
        <f>IF(AND(U1334=1,N1334&gt;=H1334*(1-Assumptions!$C$8)),1,0)</f>
        <v/>
      </c>
      <c r="Y1334">
        <f>IF(ISNUMBER(Q1334),1,0)</f>
        <v/>
      </c>
      <c r="Z1334">
        <f>IF(AND(K1334=0,L1334=0,Y1334=0),1,0)</f>
        <v/>
      </c>
      <c r="AA1334">
        <f>IF(AND(Z1334=1,G1334&lt;Assumptions!$C$6),1,0)</f>
        <v/>
      </c>
      <c r="AB1334">
        <f>IF(U1334=0,"",IF(Y1334=1,MAX(0,Q1334-G1334),IF(L1334=1,MAX(0,R1334-G1334),MAX(0,Assumptions!$C$6-G1334))))</f>
        <v/>
      </c>
      <c r="AC1334">
        <f>IF(Y1334=1,Q1334-F1334,"")</f>
        <v/>
      </c>
      <c r="AD1334">
        <f>IF(Y1334=1,AC1334^2,"")</f>
        <v/>
      </c>
      <c r="AE1334" s="19">
        <f>IF(Z1334=1,(H1334-M1334)*I1334,0)</f>
        <v/>
      </c>
      <c r="AF1334">
        <f>IF(G1334&lt;EDATE(Assumptions!$C$6,-12)+1,"prior_12m","last_12m")</f>
        <v/>
      </c>
      <c r="AG1334" s="21">
        <f>DATE(YEAR(G1334),MONTH(G1334),1)</f>
        <v/>
      </c>
    </row>
    <row r="1335">
      <c r="A1335" t="inlineStr">
        <is>
          <t>SPO-00725-2</t>
        </is>
      </c>
      <c r="B1335" t="inlineStr">
        <is>
          <t>SPO-00725</t>
        </is>
      </c>
      <c r="C1335" t="inlineStr">
        <is>
          <t>SUP-14</t>
        </is>
      </c>
      <c r="D1335" t="inlineStr">
        <is>
          <t>FLEET</t>
        </is>
      </c>
      <c r="E1335" t="inlineStr">
        <is>
          <t>FLEET-07</t>
        </is>
      </c>
      <c r="F1335" s="17" t="n">
        <v>45764</v>
      </c>
      <c r="G1335" s="17" t="n">
        <v>45778</v>
      </c>
      <c r="H1335" s="18" t="n">
        <v>17</v>
      </c>
      <c r="I1335" s="19" t="n">
        <v>122.66</v>
      </c>
      <c r="J1335" s="19" t="n">
        <v>118</v>
      </c>
      <c r="K1335" s="20" t="n">
        <v>0</v>
      </c>
      <c r="L1335" s="20" t="n">
        <v>0</v>
      </c>
      <c r="M1335" s="18" t="n">
        <v>17</v>
      </c>
      <c r="N1335" s="18" t="n">
        <v>17</v>
      </c>
      <c r="O1335" s="18" t="n">
        <v>0</v>
      </c>
      <c r="P1335" s="17" t="n">
        <v>45778</v>
      </c>
      <c r="Q1335" s="17" t="n">
        <v>45778</v>
      </c>
      <c r="R1335" s="17" t="n">
        <v>45778</v>
      </c>
      <c r="S1335" s="19">
        <f>H1335*I1335</f>
        <v/>
      </c>
      <c r="T1335" s="19">
        <f>H1335*J1335</f>
        <v/>
      </c>
      <c r="U1335">
        <f>IF(AND(K1335=0,G1335&lt;=Assumptions!$C$6),1,0)</f>
        <v/>
      </c>
      <c r="V1335">
        <f>IF(U1335=1,IF(M1335&gt;0,IF(P1335&lt;=G1335+Assumptions!$C$7,1,0),0),0)</f>
        <v/>
      </c>
      <c r="W1335">
        <f>IF(AND(U1335=1,M1335&gt;=H1335*(1-Assumptions!$C$8)),1,0)</f>
        <v/>
      </c>
      <c r="X1335">
        <f>IF(AND(U1335=1,N1335&gt;=H1335*(1-Assumptions!$C$8)),1,0)</f>
        <v/>
      </c>
      <c r="Y1335">
        <f>IF(ISNUMBER(Q1335),1,0)</f>
        <v/>
      </c>
      <c r="Z1335">
        <f>IF(AND(K1335=0,L1335=0,Y1335=0),1,0)</f>
        <v/>
      </c>
      <c r="AA1335">
        <f>IF(AND(Z1335=1,G1335&lt;Assumptions!$C$6),1,0)</f>
        <v/>
      </c>
      <c r="AB1335">
        <f>IF(U1335=0,"",IF(Y1335=1,MAX(0,Q1335-G1335),IF(L1335=1,MAX(0,R1335-G1335),MAX(0,Assumptions!$C$6-G1335))))</f>
        <v/>
      </c>
      <c r="AC1335">
        <f>IF(Y1335=1,Q1335-F1335,"")</f>
        <v/>
      </c>
      <c r="AD1335">
        <f>IF(Y1335=1,AC1335^2,"")</f>
        <v/>
      </c>
      <c r="AE1335" s="19">
        <f>IF(Z1335=1,(H1335-M1335)*I1335,0)</f>
        <v/>
      </c>
      <c r="AF1335">
        <f>IF(G1335&lt;EDATE(Assumptions!$C$6,-12)+1,"prior_12m","last_12m")</f>
        <v/>
      </c>
      <c r="AG1335" s="21">
        <f>DATE(YEAR(G1335),MONTH(G1335),1)</f>
        <v/>
      </c>
    </row>
    <row r="1336">
      <c r="A1336" t="inlineStr">
        <is>
          <t>SPO-00726-1</t>
        </is>
      </c>
      <c r="B1336" t="inlineStr">
        <is>
          <t>SPO-00726</t>
        </is>
      </c>
      <c r="C1336" t="inlineStr">
        <is>
          <t>SUP-02</t>
        </is>
      </c>
      <c r="D1336" t="inlineStr">
        <is>
          <t>ELEC</t>
        </is>
      </c>
      <c r="E1336" t="inlineStr">
        <is>
          <t>ELEC-04</t>
        </is>
      </c>
      <c r="F1336" s="17" t="n">
        <v>45765</v>
      </c>
      <c r="G1336" s="17" t="n">
        <v>45781</v>
      </c>
      <c r="H1336" s="18" t="n">
        <v>36</v>
      </c>
      <c r="I1336" s="19" t="n">
        <v>69.31999999999999</v>
      </c>
      <c r="J1336" s="19" t="n">
        <v>72</v>
      </c>
      <c r="K1336" s="20" t="n">
        <v>0</v>
      </c>
      <c r="L1336" s="20" t="n">
        <v>0</v>
      </c>
      <c r="M1336" s="18" t="n">
        <v>36</v>
      </c>
      <c r="N1336" s="18" t="n">
        <v>21</v>
      </c>
      <c r="O1336" s="18" t="n">
        <v>0</v>
      </c>
      <c r="P1336" s="17" t="n">
        <v>45779</v>
      </c>
      <c r="Q1336" s="17" t="n">
        <v>45793</v>
      </c>
      <c r="R1336" s="17" t="n">
        <v>45793</v>
      </c>
      <c r="S1336" s="19">
        <f>H1336*I1336</f>
        <v/>
      </c>
      <c r="T1336" s="19">
        <f>H1336*J1336</f>
        <v/>
      </c>
      <c r="U1336">
        <f>IF(AND(K1336=0,G1336&lt;=Assumptions!$C$6),1,0)</f>
        <v/>
      </c>
      <c r="V1336">
        <f>IF(U1336=1,IF(M1336&gt;0,IF(P1336&lt;=G1336+Assumptions!$C$7,1,0),0),0)</f>
        <v/>
      </c>
      <c r="W1336">
        <f>IF(AND(U1336=1,M1336&gt;=H1336*(1-Assumptions!$C$8)),1,0)</f>
        <v/>
      </c>
      <c r="X1336">
        <f>IF(AND(U1336=1,N1336&gt;=H1336*(1-Assumptions!$C$8)),1,0)</f>
        <v/>
      </c>
      <c r="Y1336">
        <f>IF(ISNUMBER(Q1336),1,0)</f>
        <v/>
      </c>
      <c r="Z1336">
        <f>IF(AND(K1336=0,L1336=0,Y1336=0),1,0)</f>
        <v/>
      </c>
      <c r="AA1336">
        <f>IF(AND(Z1336=1,G1336&lt;Assumptions!$C$6),1,0)</f>
        <v/>
      </c>
      <c r="AB1336">
        <f>IF(U1336=0,"",IF(Y1336=1,MAX(0,Q1336-G1336),IF(L1336=1,MAX(0,R1336-G1336),MAX(0,Assumptions!$C$6-G1336))))</f>
        <v/>
      </c>
      <c r="AC1336">
        <f>IF(Y1336=1,Q1336-F1336,"")</f>
        <v/>
      </c>
      <c r="AD1336">
        <f>IF(Y1336=1,AC1336^2,"")</f>
        <v/>
      </c>
      <c r="AE1336" s="19">
        <f>IF(Z1336=1,(H1336-M1336)*I1336,0)</f>
        <v/>
      </c>
      <c r="AF1336">
        <f>IF(G1336&lt;EDATE(Assumptions!$C$6,-12)+1,"prior_12m","last_12m")</f>
        <v/>
      </c>
      <c r="AG1336" s="21">
        <f>DATE(YEAR(G1336),MONTH(G1336),1)</f>
        <v/>
      </c>
    </row>
    <row r="1337">
      <c r="A1337" t="inlineStr">
        <is>
          <t>SPO-00726-2</t>
        </is>
      </c>
      <c r="B1337" t="inlineStr">
        <is>
          <t>SPO-00726</t>
        </is>
      </c>
      <c r="C1337" t="inlineStr">
        <is>
          <t>SUP-02</t>
        </is>
      </c>
      <c r="D1337" t="inlineStr">
        <is>
          <t>ELEC</t>
        </is>
      </c>
      <c r="E1337" t="inlineStr">
        <is>
          <t>ELEC-06</t>
        </is>
      </c>
      <c r="F1337" s="17" t="n">
        <v>45765</v>
      </c>
      <c r="G1337" s="17" t="n">
        <v>45781</v>
      </c>
      <c r="H1337" s="18" t="n">
        <v>8</v>
      </c>
      <c r="I1337" s="19" t="n">
        <v>152.94</v>
      </c>
      <c r="J1337" s="19" t="n">
        <v>145</v>
      </c>
      <c r="K1337" s="20" t="n">
        <v>0</v>
      </c>
      <c r="L1337" s="20" t="n">
        <v>0</v>
      </c>
      <c r="M1337" s="18" t="n">
        <v>8</v>
      </c>
      <c r="N1337" s="18" t="n">
        <v>8</v>
      </c>
      <c r="O1337" s="18" t="n">
        <v>0</v>
      </c>
      <c r="P1337" s="17" t="n">
        <v>45780</v>
      </c>
      <c r="Q1337" s="17" t="n">
        <v>45780</v>
      </c>
      <c r="R1337" s="17" t="n">
        <v>45780</v>
      </c>
      <c r="S1337" s="19">
        <f>H1337*I1337</f>
        <v/>
      </c>
      <c r="T1337" s="19">
        <f>H1337*J1337</f>
        <v/>
      </c>
      <c r="U1337">
        <f>IF(AND(K1337=0,G1337&lt;=Assumptions!$C$6),1,0)</f>
        <v/>
      </c>
      <c r="V1337">
        <f>IF(U1337=1,IF(M1337&gt;0,IF(P1337&lt;=G1337+Assumptions!$C$7,1,0),0),0)</f>
        <v/>
      </c>
      <c r="W1337">
        <f>IF(AND(U1337=1,M1337&gt;=H1337*(1-Assumptions!$C$8)),1,0)</f>
        <v/>
      </c>
      <c r="X1337">
        <f>IF(AND(U1337=1,N1337&gt;=H1337*(1-Assumptions!$C$8)),1,0)</f>
        <v/>
      </c>
      <c r="Y1337">
        <f>IF(ISNUMBER(Q1337),1,0)</f>
        <v/>
      </c>
      <c r="Z1337">
        <f>IF(AND(K1337=0,L1337=0,Y1337=0),1,0)</f>
        <v/>
      </c>
      <c r="AA1337">
        <f>IF(AND(Z1337=1,G1337&lt;Assumptions!$C$6),1,0)</f>
        <v/>
      </c>
      <c r="AB1337">
        <f>IF(U1337=0,"",IF(Y1337=1,MAX(0,Q1337-G1337),IF(L1337=1,MAX(0,R1337-G1337),MAX(0,Assumptions!$C$6-G1337))))</f>
        <v/>
      </c>
      <c r="AC1337">
        <f>IF(Y1337=1,Q1337-F1337,"")</f>
        <v/>
      </c>
      <c r="AD1337">
        <f>IF(Y1337=1,AC1337^2,"")</f>
        <v/>
      </c>
      <c r="AE1337" s="19">
        <f>IF(Z1337=1,(H1337-M1337)*I1337,0)</f>
        <v/>
      </c>
      <c r="AF1337">
        <f>IF(G1337&lt;EDATE(Assumptions!$C$6,-12)+1,"prior_12m","last_12m")</f>
        <v/>
      </c>
      <c r="AG1337" s="21">
        <f>DATE(YEAR(G1337),MONTH(G1337),1)</f>
        <v/>
      </c>
    </row>
    <row r="1338">
      <c r="A1338" t="inlineStr">
        <is>
          <t>SPO-00727-1</t>
        </is>
      </c>
      <c r="B1338" t="inlineStr">
        <is>
          <t>SPO-00727</t>
        </is>
      </c>
      <c r="C1338" t="inlineStr">
        <is>
          <t>SUP-08</t>
        </is>
      </c>
      <c r="D1338" t="inlineStr">
        <is>
          <t>MRO</t>
        </is>
      </c>
      <c r="E1338" t="inlineStr">
        <is>
          <t>MRO-05</t>
        </is>
      </c>
      <c r="F1338" s="17" t="n">
        <v>45766</v>
      </c>
      <c r="G1338" s="17" t="n">
        <v>45777</v>
      </c>
      <c r="H1338" s="18" t="n">
        <v>27</v>
      </c>
      <c r="I1338" s="19" t="n">
        <v>37.06</v>
      </c>
      <c r="J1338" s="19" t="n">
        <v>36</v>
      </c>
      <c r="K1338" s="20" t="n">
        <v>0</v>
      </c>
      <c r="L1338" s="20" t="n">
        <v>0</v>
      </c>
      <c r="M1338" s="18" t="n">
        <v>27</v>
      </c>
      <c r="N1338" s="18" t="n">
        <v>27</v>
      </c>
      <c r="O1338" s="18" t="n">
        <v>0</v>
      </c>
      <c r="P1338" s="17" t="n">
        <v>45773</v>
      </c>
      <c r="Q1338" s="17" t="n">
        <v>45773</v>
      </c>
      <c r="R1338" s="17" t="n">
        <v>45773</v>
      </c>
      <c r="S1338" s="19">
        <f>H1338*I1338</f>
        <v/>
      </c>
      <c r="T1338" s="19">
        <f>H1338*J1338</f>
        <v/>
      </c>
      <c r="U1338">
        <f>IF(AND(K1338=0,G1338&lt;=Assumptions!$C$6),1,0)</f>
        <v/>
      </c>
      <c r="V1338">
        <f>IF(U1338=1,IF(M1338&gt;0,IF(P1338&lt;=G1338+Assumptions!$C$7,1,0),0),0)</f>
        <v/>
      </c>
      <c r="W1338">
        <f>IF(AND(U1338=1,M1338&gt;=H1338*(1-Assumptions!$C$8)),1,0)</f>
        <v/>
      </c>
      <c r="X1338">
        <f>IF(AND(U1338=1,N1338&gt;=H1338*(1-Assumptions!$C$8)),1,0)</f>
        <v/>
      </c>
      <c r="Y1338">
        <f>IF(ISNUMBER(Q1338),1,0)</f>
        <v/>
      </c>
      <c r="Z1338">
        <f>IF(AND(K1338=0,L1338=0,Y1338=0),1,0)</f>
        <v/>
      </c>
      <c r="AA1338">
        <f>IF(AND(Z1338=1,G1338&lt;Assumptions!$C$6),1,0)</f>
        <v/>
      </c>
      <c r="AB1338">
        <f>IF(U1338=0,"",IF(Y1338=1,MAX(0,Q1338-G1338),IF(L1338=1,MAX(0,R1338-G1338),MAX(0,Assumptions!$C$6-G1338))))</f>
        <v/>
      </c>
      <c r="AC1338">
        <f>IF(Y1338=1,Q1338-F1338,"")</f>
        <v/>
      </c>
      <c r="AD1338">
        <f>IF(Y1338=1,AC1338^2,"")</f>
        <v/>
      </c>
      <c r="AE1338" s="19">
        <f>IF(Z1338=1,(H1338-M1338)*I1338,0)</f>
        <v/>
      </c>
      <c r="AF1338">
        <f>IF(G1338&lt;EDATE(Assumptions!$C$6,-12)+1,"prior_12m","last_12m")</f>
        <v/>
      </c>
      <c r="AG1338" s="21">
        <f>DATE(YEAR(G1338),MONTH(G1338),1)</f>
        <v/>
      </c>
    </row>
    <row r="1339">
      <c r="A1339" t="inlineStr">
        <is>
          <t>SPO-00728-1</t>
        </is>
      </c>
      <c r="B1339" t="inlineStr">
        <is>
          <t>SPO-00728</t>
        </is>
      </c>
      <c r="C1339" t="inlineStr">
        <is>
          <t>SUP-09</t>
        </is>
      </c>
      <c r="D1339" t="inlineStr">
        <is>
          <t>CHEM</t>
        </is>
      </c>
      <c r="E1339" t="inlineStr">
        <is>
          <t>CHEM-06</t>
        </is>
      </c>
      <c r="F1339" s="17" t="n">
        <v>45766</v>
      </c>
      <c r="G1339" s="17" t="n">
        <v>45780</v>
      </c>
      <c r="H1339" s="18" t="n">
        <v>3</v>
      </c>
      <c r="I1339" s="19" t="n">
        <v>397.21</v>
      </c>
      <c r="J1339" s="19" t="n">
        <v>380</v>
      </c>
      <c r="K1339" s="20" t="n">
        <v>0</v>
      </c>
      <c r="L1339" s="20" t="n">
        <v>0</v>
      </c>
      <c r="M1339" s="18" t="n">
        <v>3</v>
      </c>
      <c r="N1339" s="18" t="n">
        <v>3</v>
      </c>
      <c r="O1339" s="18" t="n">
        <v>0</v>
      </c>
      <c r="P1339" s="17" t="n">
        <v>45780</v>
      </c>
      <c r="Q1339" s="17" t="n">
        <v>45780</v>
      </c>
      <c r="R1339" s="17" t="n">
        <v>45780</v>
      </c>
      <c r="S1339" s="19">
        <f>H1339*I1339</f>
        <v/>
      </c>
      <c r="T1339" s="19">
        <f>H1339*J1339</f>
        <v/>
      </c>
      <c r="U1339">
        <f>IF(AND(K1339=0,G1339&lt;=Assumptions!$C$6),1,0)</f>
        <v/>
      </c>
      <c r="V1339">
        <f>IF(U1339=1,IF(M1339&gt;0,IF(P1339&lt;=G1339+Assumptions!$C$7,1,0),0),0)</f>
        <v/>
      </c>
      <c r="W1339">
        <f>IF(AND(U1339=1,M1339&gt;=H1339*(1-Assumptions!$C$8)),1,0)</f>
        <v/>
      </c>
      <c r="X1339">
        <f>IF(AND(U1339=1,N1339&gt;=H1339*(1-Assumptions!$C$8)),1,0)</f>
        <v/>
      </c>
      <c r="Y1339">
        <f>IF(ISNUMBER(Q1339),1,0)</f>
        <v/>
      </c>
      <c r="Z1339">
        <f>IF(AND(K1339=0,L1339=0,Y1339=0),1,0)</f>
        <v/>
      </c>
      <c r="AA1339">
        <f>IF(AND(Z1339=1,G1339&lt;Assumptions!$C$6),1,0)</f>
        <v/>
      </c>
      <c r="AB1339">
        <f>IF(U1339=0,"",IF(Y1339=1,MAX(0,Q1339-G1339),IF(L1339=1,MAX(0,R1339-G1339),MAX(0,Assumptions!$C$6-G1339))))</f>
        <v/>
      </c>
      <c r="AC1339">
        <f>IF(Y1339=1,Q1339-F1339,"")</f>
        <v/>
      </c>
      <c r="AD1339">
        <f>IF(Y1339=1,AC1339^2,"")</f>
        <v/>
      </c>
      <c r="AE1339" s="19">
        <f>IF(Z1339=1,(H1339-M1339)*I1339,0)</f>
        <v/>
      </c>
      <c r="AF1339">
        <f>IF(G1339&lt;EDATE(Assumptions!$C$6,-12)+1,"prior_12m","last_12m")</f>
        <v/>
      </c>
      <c r="AG1339" s="21">
        <f>DATE(YEAR(G1339),MONTH(G1339),1)</f>
        <v/>
      </c>
    </row>
    <row r="1340">
      <c r="A1340" t="inlineStr">
        <is>
          <t>SPO-00728-2</t>
        </is>
      </c>
      <c r="B1340" t="inlineStr">
        <is>
          <t>SPO-00728</t>
        </is>
      </c>
      <c r="C1340" t="inlineStr">
        <is>
          <t>SUP-09</t>
        </is>
      </c>
      <c r="D1340" t="inlineStr">
        <is>
          <t>CHEM</t>
        </is>
      </c>
      <c r="E1340" t="inlineStr">
        <is>
          <t>CHEM-03</t>
        </is>
      </c>
      <c r="F1340" s="17" t="n">
        <v>45766</v>
      </c>
      <c r="G1340" s="17" t="n">
        <v>45780</v>
      </c>
      <c r="H1340" s="18" t="n">
        <v>6</v>
      </c>
      <c r="I1340" s="19" t="n">
        <v>275.87</v>
      </c>
      <c r="J1340" s="19" t="n">
        <v>265</v>
      </c>
      <c r="K1340" s="20" t="n">
        <v>0</v>
      </c>
      <c r="L1340" s="20" t="n">
        <v>0</v>
      </c>
      <c r="M1340" s="18" t="n">
        <v>6</v>
      </c>
      <c r="N1340" s="18" t="n">
        <v>6</v>
      </c>
      <c r="O1340" s="18" t="n">
        <v>0</v>
      </c>
      <c r="P1340" s="17" t="n">
        <v>45777</v>
      </c>
      <c r="Q1340" s="17" t="n">
        <v>45777</v>
      </c>
      <c r="R1340" s="17" t="n">
        <v>45777</v>
      </c>
      <c r="S1340" s="19">
        <f>H1340*I1340</f>
        <v/>
      </c>
      <c r="T1340" s="19">
        <f>H1340*J1340</f>
        <v/>
      </c>
      <c r="U1340">
        <f>IF(AND(K1340=0,G1340&lt;=Assumptions!$C$6),1,0)</f>
        <v/>
      </c>
      <c r="V1340">
        <f>IF(U1340=1,IF(M1340&gt;0,IF(P1340&lt;=G1340+Assumptions!$C$7,1,0),0),0)</f>
        <v/>
      </c>
      <c r="W1340">
        <f>IF(AND(U1340=1,M1340&gt;=H1340*(1-Assumptions!$C$8)),1,0)</f>
        <v/>
      </c>
      <c r="X1340">
        <f>IF(AND(U1340=1,N1340&gt;=H1340*(1-Assumptions!$C$8)),1,0)</f>
        <v/>
      </c>
      <c r="Y1340">
        <f>IF(ISNUMBER(Q1340),1,0)</f>
        <v/>
      </c>
      <c r="Z1340">
        <f>IF(AND(K1340=0,L1340=0,Y1340=0),1,0)</f>
        <v/>
      </c>
      <c r="AA1340">
        <f>IF(AND(Z1340=1,G1340&lt;Assumptions!$C$6),1,0)</f>
        <v/>
      </c>
      <c r="AB1340">
        <f>IF(U1340=0,"",IF(Y1340=1,MAX(0,Q1340-G1340),IF(L1340=1,MAX(0,R1340-G1340),MAX(0,Assumptions!$C$6-G1340))))</f>
        <v/>
      </c>
      <c r="AC1340">
        <f>IF(Y1340=1,Q1340-F1340,"")</f>
        <v/>
      </c>
      <c r="AD1340">
        <f>IF(Y1340=1,AC1340^2,"")</f>
        <v/>
      </c>
      <c r="AE1340" s="19">
        <f>IF(Z1340=1,(H1340-M1340)*I1340,0)</f>
        <v/>
      </c>
      <c r="AF1340">
        <f>IF(G1340&lt;EDATE(Assumptions!$C$6,-12)+1,"prior_12m","last_12m")</f>
        <v/>
      </c>
      <c r="AG1340" s="21">
        <f>DATE(YEAR(G1340),MONTH(G1340),1)</f>
        <v/>
      </c>
    </row>
    <row r="1341">
      <c r="A1341" t="inlineStr">
        <is>
          <t>SPO-00729-1</t>
        </is>
      </c>
      <c r="B1341" t="inlineStr">
        <is>
          <t>SPO-00729</t>
        </is>
      </c>
      <c r="C1341" t="inlineStr">
        <is>
          <t>SUP-01</t>
        </is>
      </c>
      <c r="D1341" t="inlineStr">
        <is>
          <t>ELEC</t>
        </is>
      </c>
      <c r="E1341" t="inlineStr">
        <is>
          <t>ELEC-04</t>
        </is>
      </c>
      <c r="F1341" s="17" t="n">
        <v>45766</v>
      </c>
      <c r="G1341" s="17" t="n">
        <v>45784</v>
      </c>
      <c r="H1341" s="18" t="n">
        <v>29</v>
      </c>
      <c r="I1341" s="19" t="n">
        <v>72.34</v>
      </c>
      <c r="J1341" s="19" t="n">
        <v>72</v>
      </c>
      <c r="K1341" s="20" t="n">
        <v>0</v>
      </c>
      <c r="L1341" s="20" t="n">
        <v>0</v>
      </c>
      <c r="M1341" s="18" t="n">
        <v>29</v>
      </c>
      <c r="N1341" s="18" t="n">
        <v>29</v>
      </c>
      <c r="O1341" s="18" t="n">
        <v>0</v>
      </c>
      <c r="P1341" s="17" t="n">
        <v>45780</v>
      </c>
      <c r="Q1341" s="17" t="n">
        <v>45780</v>
      </c>
      <c r="R1341" s="17" t="n">
        <v>45780</v>
      </c>
      <c r="S1341" s="19">
        <f>H1341*I1341</f>
        <v/>
      </c>
      <c r="T1341" s="19">
        <f>H1341*J1341</f>
        <v/>
      </c>
      <c r="U1341">
        <f>IF(AND(K1341=0,G1341&lt;=Assumptions!$C$6),1,0)</f>
        <v/>
      </c>
      <c r="V1341">
        <f>IF(U1341=1,IF(M1341&gt;0,IF(P1341&lt;=G1341+Assumptions!$C$7,1,0),0),0)</f>
        <v/>
      </c>
      <c r="W1341">
        <f>IF(AND(U1341=1,M1341&gt;=H1341*(1-Assumptions!$C$8)),1,0)</f>
        <v/>
      </c>
      <c r="X1341">
        <f>IF(AND(U1341=1,N1341&gt;=H1341*(1-Assumptions!$C$8)),1,0)</f>
        <v/>
      </c>
      <c r="Y1341">
        <f>IF(ISNUMBER(Q1341),1,0)</f>
        <v/>
      </c>
      <c r="Z1341">
        <f>IF(AND(K1341=0,L1341=0,Y1341=0),1,0)</f>
        <v/>
      </c>
      <c r="AA1341">
        <f>IF(AND(Z1341=1,G1341&lt;Assumptions!$C$6),1,0)</f>
        <v/>
      </c>
      <c r="AB1341">
        <f>IF(U1341=0,"",IF(Y1341=1,MAX(0,Q1341-G1341),IF(L1341=1,MAX(0,R1341-G1341),MAX(0,Assumptions!$C$6-G1341))))</f>
        <v/>
      </c>
      <c r="AC1341">
        <f>IF(Y1341=1,Q1341-F1341,"")</f>
        <v/>
      </c>
      <c r="AD1341">
        <f>IF(Y1341=1,AC1341^2,"")</f>
        <v/>
      </c>
      <c r="AE1341" s="19">
        <f>IF(Z1341=1,(H1341-M1341)*I1341,0)</f>
        <v/>
      </c>
      <c r="AF1341">
        <f>IF(G1341&lt;EDATE(Assumptions!$C$6,-12)+1,"prior_12m","last_12m")</f>
        <v/>
      </c>
      <c r="AG1341" s="21">
        <f>DATE(YEAR(G1341),MONTH(G1341),1)</f>
        <v/>
      </c>
    </row>
    <row r="1342">
      <c r="A1342" t="inlineStr">
        <is>
          <t>SPO-00730-1</t>
        </is>
      </c>
      <c r="B1342" t="inlineStr">
        <is>
          <t>SPO-00730</t>
        </is>
      </c>
      <c r="C1342" t="inlineStr">
        <is>
          <t>SUP-07</t>
        </is>
      </c>
      <c r="D1342" t="inlineStr">
        <is>
          <t>MRO</t>
        </is>
      </c>
      <c r="E1342" t="inlineStr">
        <is>
          <t>MRO-08</t>
        </is>
      </c>
      <c r="F1342" s="17" t="n">
        <v>45767</v>
      </c>
      <c r="G1342" s="17" t="n">
        <v>45777</v>
      </c>
      <c r="H1342" s="18" t="n">
        <v>97</v>
      </c>
      <c r="I1342" s="19" t="n">
        <v>7.17</v>
      </c>
      <c r="J1342" s="19" t="n">
        <v>7.2</v>
      </c>
      <c r="K1342" s="20" t="n">
        <v>0</v>
      </c>
      <c r="L1342" s="20" t="n">
        <v>0</v>
      </c>
      <c r="M1342" s="18" t="n">
        <v>97</v>
      </c>
      <c r="N1342" s="18" t="n">
        <v>41</v>
      </c>
      <c r="O1342" s="18" t="n">
        <v>0</v>
      </c>
      <c r="P1342" s="17" t="n">
        <v>45774</v>
      </c>
      <c r="Q1342" s="17" t="n">
        <v>45794</v>
      </c>
      <c r="R1342" s="17" t="n">
        <v>45794</v>
      </c>
      <c r="S1342" s="19">
        <f>H1342*I1342</f>
        <v/>
      </c>
      <c r="T1342" s="19">
        <f>H1342*J1342</f>
        <v/>
      </c>
      <c r="U1342">
        <f>IF(AND(K1342=0,G1342&lt;=Assumptions!$C$6),1,0)</f>
        <v/>
      </c>
      <c r="V1342">
        <f>IF(U1342=1,IF(M1342&gt;0,IF(P1342&lt;=G1342+Assumptions!$C$7,1,0),0),0)</f>
        <v/>
      </c>
      <c r="W1342">
        <f>IF(AND(U1342=1,M1342&gt;=H1342*(1-Assumptions!$C$8)),1,0)</f>
        <v/>
      </c>
      <c r="X1342">
        <f>IF(AND(U1342=1,N1342&gt;=H1342*(1-Assumptions!$C$8)),1,0)</f>
        <v/>
      </c>
      <c r="Y1342">
        <f>IF(ISNUMBER(Q1342),1,0)</f>
        <v/>
      </c>
      <c r="Z1342">
        <f>IF(AND(K1342=0,L1342=0,Y1342=0),1,0)</f>
        <v/>
      </c>
      <c r="AA1342">
        <f>IF(AND(Z1342=1,G1342&lt;Assumptions!$C$6),1,0)</f>
        <v/>
      </c>
      <c r="AB1342">
        <f>IF(U1342=0,"",IF(Y1342=1,MAX(0,Q1342-G1342),IF(L1342=1,MAX(0,R1342-G1342),MAX(0,Assumptions!$C$6-G1342))))</f>
        <v/>
      </c>
      <c r="AC1342">
        <f>IF(Y1342=1,Q1342-F1342,"")</f>
        <v/>
      </c>
      <c r="AD1342">
        <f>IF(Y1342=1,AC1342^2,"")</f>
        <v/>
      </c>
      <c r="AE1342" s="19">
        <f>IF(Z1342=1,(H1342-M1342)*I1342,0)</f>
        <v/>
      </c>
      <c r="AF1342">
        <f>IF(G1342&lt;EDATE(Assumptions!$C$6,-12)+1,"prior_12m","last_12m")</f>
        <v/>
      </c>
      <c r="AG1342" s="21">
        <f>DATE(YEAR(G1342),MONTH(G1342),1)</f>
        <v/>
      </c>
    </row>
    <row r="1343">
      <c r="A1343" t="inlineStr">
        <is>
          <t>SPO-00730-2</t>
        </is>
      </c>
      <c r="B1343" t="inlineStr">
        <is>
          <t>SPO-00730</t>
        </is>
      </c>
      <c r="C1343" t="inlineStr">
        <is>
          <t>SUP-07</t>
        </is>
      </c>
      <c r="D1343" t="inlineStr">
        <is>
          <t>MRO</t>
        </is>
      </c>
      <c r="E1343" t="inlineStr">
        <is>
          <t>MRO-07</t>
        </is>
      </c>
      <c r="F1343" s="17" t="n">
        <v>45767</v>
      </c>
      <c r="G1343" s="17" t="n">
        <v>45777</v>
      </c>
      <c r="H1343" s="18" t="n">
        <v>50</v>
      </c>
      <c r="I1343" s="19" t="n">
        <v>13.13</v>
      </c>
      <c r="J1343" s="19" t="n">
        <v>14</v>
      </c>
      <c r="K1343" s="20" t="n">
        <v>0</v>
      </c>
      <c r="L1343" s="20" t="n">
        <v>0</v>
      </c>
      <c r="M1343" s="18" t="n">
        <v>50</v>
      </c>
      <c r="N1343" s="18" t="n">
        <v>23</v>
      </c>
      <c r="O1343" s="18" t="n">
        <v>0</v>
      </c>
      <c r="P1343" s="17" t="n">
        <v>45774</v>
      </c>
      <c r="Q1343" s="17" t="n">
        <v>45789</v>
      </c>
      <c r="R1343" s="17" t="n">
        <v>45789</v>
      </c>
      <c r="S1343" s="19">
        <f>H1343*I1343</f>
        <v/>
      </c>
      <c r="T1343" s="19">
        <f>H1343*J1343</f>
        <v/>
      </c>
      <c r="U1343">
        <f>IF(AND(K1343=0,G1343&lt;=Assumptions!$C$6),1,0)</f>
        <v/>
      </c>
      <c r="V1343">
        <f>IF(U1343=1,IF(M1343&gt;0,IF(P1343&lt;=G1343+Assumptions!$C$7,1,0),0),0)</f>
        <v/>
      </c>
      <c r="W1343">
        <f>IF(AND(U1343=1,M1343&gt;=H1343*(1-Assumptions!$C$8)),1,0)</f>
        <v/>
      </c>
      <c r="X1343">
        <f>IF(AND(U1343=1,N1343&gt;=H1343*(1-Assumptions!$C$8)),1,0)</f>
        <v/>
      </c>
      <c r="Y1343">
        <f>IF(ISNUMBER(Q1343),1,0)</f>
        <v/>
      </c>
      <c r="Z1343">
        <f>IF(AND(K1343=0,L1343=0,Y1343=0),1,0)</f>
        <v/>
      </c>
      <c r="AA1343">
        <f>IF(AND(Z1343=1,G1343&lt;Assumptions!$C$6),1,0)</f>
        <v/>
      </c>
      <c r="AB1343">
        <f>IF(U1343=0,"",IF(Y1343=1,MAX(0,Q1343-G1343),IF(L1343=1,MAX(0,R1343-G1343),MAX(0,Assumptions!$C$6-G1343))))</f>
        <v/>
      </c>
      <c r="AC1343">
        <f>IF(Y1343=1,Q1343-F1343,"")</f>
        <v/>
      </c>
      <c r="AD1343">
        <f>IF(Y1343=1,AC1343^2,"")</f>
        <v/>
      </c>
      <c r="AE1343" s="19">
        <f>IF(Z1343=1,(H1343-M1343)*I1343,0)</f>
        <v/>
      </c>
      <c r="AF1343">
        <f>IF(G1343&lt;EDATE(Assumptions!$C$6,-12)+1,"prior_12m","last_12m")</f>
        <v/>
      </c>
      <c r="AG1343" s="21">
        <f>DATE(YEAR(G1343),MONTH(G1343),1)</f>
        <v/>
      </c>
    </row>
    <row r="1344">
      <c r="A1344" t="inlineStr">
        <is>
          <t>SPO-00731-1</t>
        </is>
      </c>
      <c r="B1344" t="inlineStr">
        <is>
          <t>SPO-00731</t>
        </is>
      </c>
      <c r="C1344" t="inlineStr">
        <is>
          <t>SUP-02</t>
        </is>
      </c>
      <c r="D1344" t="inlineStr">
        <is>
          <t>ELEC</t>
        </is>
      </c>
      <c r="E1344" t="inlineStr">
        <is>
          <t>ELEC-04</t>
        </is>
      </c>
      <c r="F1344" s="17" t="n">
        <v>45767</v>
      </c>
      <c r="G1344" s="17" t="n">
        <v>45783</v>
      </c>
      <c r="H1344" s="18" t="n">
        <v>37</v>
      </c>
      <c r="I1344" s="19" t="n">
        <v>72.34</v>
      </c>
      <c r="J1344" s="19" t="n">
        <v>72</v>
      </c>
      <c r="K1344" s="20" t="n">
        <v>0</v>
      </c>
      <c r="L1344" s="20" t="n">
        <v>0</v>
      </c>
      <c r="M1344" s="18" t="n">
        <v>37</v>
      </c>
      <c r="N1344" s="18" t="n">
        <v>37</v>
      </c>
      <c r="O1344" s="18" t="n">
        <v>0</v>
      </c>
      <c r="P1344" s="17" t="n">
        <v>45779</v>
      </c>
      <c r="Q1344" s="17" t="n">
        <v>45779</v>
      </c>
      <c r="R1344" s="17" t="n">
        <v>45779</v>
      </c>
      <c r="S1344" s="19">
        <f>H1344*I1344</f>
        <v/>
      </c>
      <c r="T1344" s="19">
        <f>H1344*J1344</f>
        <v/>
      </c>
      <c r="U1344">
        <f>IF(AND(K1344=0,G1344&lt;=Assumptions!$C$6),1,0)</f>
        <v/>
      </c>
      <c r="V1344">
        <f>IF(U1344=1,IF(M1344&gt;0,IF(P1344&lt;=G1344+Assumptions!$C$7,1,0),0),0)</f>
        <v/>
      </c>
      <c r="W1344">
        <f>IF(AND(U1344=1,M1344&gt;=H1344*(1-Assumptions!$C$8)),1,0)</f>
        <v/>
      </c>
      <c r="X1344">
        <f>IF(AND(U1344=1,N1344&gt;=H1344*(1-Assumptions!$C$8)),1,0)</f>
        <v/>
      </c>
      <c r="Y1344">
        <f>IF(ISNUMBER(Q1344),1,0)</f>
        <v/>
      </c>
      <c r="Z1344">
        <f>IF(AND(K1344=0,L1344=0,Y1344=0),1,0)</f>
        <v/>
      </c>
      <c r="AA1344">
        <f>IF(AND(Z1344=1,G1344&lt;Assumptions!$C$6),1,0)</f>
        <v/>
      </c>
      <c r="AB1344">
        <f>IF(U1344=0,"",IF(Y1344=1,MAX(0,Q1344-G1344),IF(L1344=1,MAX(0,R1344-G1344),MAX(0,Assumptions!$C$6-G1344))))</f>
        <v/>
      </c>
      <c r="AC1344">
        <f>IF(Y1344=1,Q1344-F1344,"")</f>
        <v/>
      </c>
      <c r="AD1344">
        <f>IF(Y1344=1,AC1344^2,"")</f>
        <v/>
      </c>
      <c r="AE1344" s="19">
        <f>IF(Z1344=1,(H1344-M1344)*I1344,0)</f>
        <v/>
      </c>
      <c r="AF1344">
        <f>IF(G1344&lt;EDATE(Assumptions!$C$6,-12)+1,"prior_12m","last_12m")</f>
        <v/>
      </c>
      <c r="AG1344" s="21">
        <f>DATE(YEAR(G1344),MONTH(G1344),1)</f>
        <v/>
      </c>
    </row>
    <row r="1345">
      <c r="A1345" t="inlineStr">
        <is>
          <t>SPO-00732-1</t>
        </is>
      </c>
      <c r="B1345" t="inlineStr">
        <is>
          <t>SPO-00732</t>
        </is>
      </c>
      <c r="C1345" t="inlineStr">
        <is>
          <t>SUP-01</t>
        </is>
      </c>
      <c r="D1345" t="inlineStr">
        <is>
          <t>ELEC</t>
        </is>
      </c>
      <c r="E1345" t="inlineStr">
        <is>
          <t>ELEC-01</t>
        </is>
      </c>
      <c r="F1345" s="17" t="n">
        <v>45767</v>
      </c>
      <c r="G1345" s="17" t="n">
        <v>45785</v>
      </c>
      <c r="H1345" s="18" t="n">
        <v>43</v>
      </c>
      <c r="I1345" s="19" t="n">
        <v>39.98</v>
      </c>
      <c r="J1345" s="19" t="n">
        <v>38</v>
      </c>
      <c r="K1345" s="20" t="n">
        <v>0</v>
      </c>
      <c r="L1345" s="20" t="n">
        <v>0</v>
      </c>
      <c r="M1345" s="18" t="n">
        <v>43</v>
      </c>
      <c r="N1345" s="18" t="n">
        <v>43</v>
      </c>
      <c r="O1345" s="18" t="n">
        <v>0</v>
      </c>
      <c r="P1345" s="17" t="n">
        <v>45780</v>
      </c>
      <c r="Q1345" s="17" t="n">
        <v>45780</v>
      </c>
      <c r="R1345" s="17" t="n">
        <v>45780</v>
      </c>
      <c r="S1345" s="19">
        <f>H1345*I1345</f>
        <v/>
      </c>
      <c r="T1345" s="19">
        <f>H1345*J1345</f>
        <v/>
      </c>
      <c r="U1345">
        <f>IF(AND(K1345=0,G1345&lt;=Assumptions!$C$6),1,0)</f>
        <v/>
      </c>
      <c r="V1345">
        <f>IF(U1345=1,IF(M1345&gt;0,IF(P1345&lt;=G1345+Assumptions!$C$7,1,0),0),0)</f>
        <v/>
      </c>
      <c r="W1345">
        <f>IF(AND(U1345=1,M1345&gt;=H1345*(1-Assumptions!$C$8)),1,0)</f>
        <v/>
      </c>
      <c r="X1345">
        <f>IF(AND(U1345=1,N1345&gt;=H1345*(1-Assumptions!$C$8)),1,0)</f>
        <v/>
      </c>
      <c r="Y1345">
        <f>IF(ISNUMBER(Q1345),1,0)</f>
        <v/>
      </c>
      <c r="Z1345">
        <f>IF(AND(K1345=0,L1345=0,Y1345=0),1,0)</f>
        <v/>
      </c>
      <c r="AA1345">
        <f>IF(AND(Z1345=1,G1345&lt;Assumptions!$C$6),1,0)</f>
        <v/>
      </c>
      <c r="AB1345">
        <f>IF(U1345=0,"",IF(Y1345=1,MAX(0,Q1345-G1345),IF(L1345=1,MAX(0,R1345-G1345),MAX(0,Assumptions!$C$6-G1345))))</f>
        <v/>
      </c>
      <c r="AC1345">
        <f>IF(Y1345=1,Q1345-F1345,"")</f>
        <v/>
      </c>
      <c r="AD1345">
        <f>IF(Y1345=1,AC1345^2,"")</f>
        <v/>
      </c>
      <c r="AE1345" s="19">
        <f>IF(Z1345=1,(H1345-M1345)*I1345,0)</f>
        <v/>
      </c>
      <c r="AF1345">
        <f>IF(G1345&lt;EDATE(Assumptions!$C$6,-12)+1,"prior_12m","last_12m")</f>
        <v/>
      </c>
      <c r="AG1345" s="21">
        <f>DATE(YEAR(G1345),MONTH(G1345),1)</f>
        <v/>
      </c>
    </row>
    <row r="1346">
      <c r="A1346" t="inlineStr">
        <is>
          <t>SPO-00733-1</t>
        </is>
      </c>
      <c r="B1346" t="inlineStr">
        <is>
          <t>SPO-00733</t>
        </is>
      </c>
      <c r="C1346" t="inlineStr">
        <is>
          <t>SUP-02</t>
        </is>
      </c>
      <c r="D1346" t="inlineStr">
        <is>
          <t>ELEC</t>
        </is>
      </c>
      <c r="E1346" t="inlineStr">
        <is>
          <t>ELEC-04</t>
        </is>
      </c>
      <c r="F1346" s="17" t="n">
        <v>45767</v>
      </c>
      <c r="G1346" s="17" t="n">
        <v>45783</v>
      </c>
      <c r="H1346" s="18" t="n">
        <v>25</v>
      </c>
      <c r="I1346" s="19" t="n">
        <v>72.48</v>
      </c>
      <c r="J1346" s="19" t="n">
        <v>72</v>
      </c>
      <c r="K1346" s="20" t="n">
        <v>0</v>
      </c>
      <c r="L1346" s="20" t="n">
        <v>0</v>
      </c>
      <c r="M1346" s="18" t="n">
        <v>25</v>
      </c>
      <c r="N1346" s="18" t="n">
        <v>25</v>
      </c>
      <c r="O1346" s="18" t="n">
        <v>0</v>
      </c>
      <c r="P1346" s="17" t="n">
        <v>45782</v>
      </c>
      <c r="Q1346" s="17" t="n">
        <v>45782</v>
      </c>
      <c r="R1346" s="17" t="n">
        <v>45782</v>
      </c>
      <c r="S1346" s="19">
        <f>H1346*I1346</f>
        <v/>
      </c>
      <c r="T1346" s="19">
        <f>H1346*J1346</f>
        <v/>
      </c>
      <c r="U1346">
        <f>IF(AND(K1346=0,G1346&lt;=Assumptions!$C$6),1,0)</f>
        <v/>
      </c>
      <c r="V1346">
        <f>IF(U1346=1,IF(M1346&gt;0,IF(P1346&lt;=G1346+Assumptions!$C$7,1,0),0),0)</f>
        <v/>
      </c>
      <c r="W1346">
        <f>IF(AND(U1346=1,M1346&gt;=H1346*(1-Assumptions!$C$8)),1,0)</f>
        <v/>
      </c>
      <c r="X1346">
        <f>IF(AND(U1346=1,N1346&gt;=H1346*(1-Assumptions!$C$8)),1,0)</f>
        <v/>
      </c>
      <c r="Y1346">
        <f>IF(ISNUMBER(Q1346),1,0)</f>
        <v/>
      </c>
      <c r="Z1346">
        <f>IF(AND(K1346=0,L1346=0,Y1346=0),1,0)</f>
        <v/>
      </c>
      <c r="AA1346">
        <f>IF(AND(Z1346=1,G1346&lt;Assumptions!$C$6),1,0)</f>
        <v/>
      </c>
      <c r="AB1346">
        <f>IF(U1346=0,"",IF(Y1346=1,MAX(0,Q1346-G1346),IF(L1346=1,MAX(0,R1346-G1346),MAX(0,Assumptions!$C$6-G1346))))</f>
        <v/>
      </c>
      <c r="AC1346">
        <f>IF(Y1346=1,Q1346-F1346,"")</f>
        <v/>
      </c>
      <c r="AD1346">
        <f>IF(Y1346=1,AC1346^2,"")</f>
        <v/>
      </c>
      <c r="AE1346" s="19">
        <f>IF(Z1346=1,(H1346-M1346)*I1346,0)</f>
        <v/>
      </c>
      <c r="AF1346">
        <f>IF(G1346&lt;EDATE(Assumptions!$C$6,-12)+1,"prior_12m","last_12m")</f>
        <v/>
      </c>
      <c r="AG1346" s="21">
        <f>DATE(YEAR(G1346),MONTH(G1346),1)</f>
        <v/>
      </c>
    </row>
    <row r="1347">
      <c r="A1347" t="inlineStr">
        <is>
          <t>SPO-00733-2</t>
        </is>
      </c>
      <c r="B1347" t="inlineStr">
        <is>
          <t>SPO-00733</t>
        </is>
      </c>
      <c r="C1347" t="inlineStr">
        <is>
          <t>SUP-02</t>
        </is>
      </c>
      <c r="D1347" t="inlineStr">
        <is>
          <t>ELEC</t>
        </is>
      </c>
      <c r="E1347" t="inlineStr">
        <is>
          <t>ELEC-06</t>
        </is>
      </c>
      <c r="F1347" s="17" t="n">
        <v>45767</v>
      </c>
      <c r="G1347" s="17" t="n">
        <v>45783</v>
      </c>
      <c r="H1347" s="18" t="n">
        <v>6</v>
      </c>
      <c r="I1347" s="19" t="n">
        <v>139.62</v>
      </c>
      <c r="J1347" s="19" t="n">
        <v>145</v>
      </c>
      <c r="K1347" s="20" t="n">
        <v>0</v>
      </c>
      <c r="L1347" s="20" t="n">
        <v>0</v>
      </c>
      <c r="M1347" s="18" t="n">
        <v>6</v>
      </c>
      <c r="N1347" s="18" t="n">
        <v>6</v>
      </c>
      <c r="O1347" s="18" t="n">
        <v>0</v>
      </c>
      <c r="P1347" s="17" t="n">
        <v>45782</v>
      </c>
      <c r="Q1347" s="17" t="n">
        <v>45782</v>
      </c>
      <c r="R1347" s="17" t="n">
        <v>45782</v>
      </c>
      <c r="S1347" s="19">
        <f>H1347*I1347</f>
        <v/>
      </c>
      <c r="T1347" s="19">
        <f>H1347*J1347</f>
        <v/>
      </c>
      <c r="U1347">
        <f>IF(AND(K1347=0,G1347&lt;=Assumptions!$C$6),1,0)</f>
        <v/>
      </c>
      <c r="V1347">
        <f>IF(U1347=1,IF(M1347&gt;0,IF(P1347&lt;=G1347+Assumptions!$C$7,1,0),0),0)</f>
        <v/>
      </c>
      <c r="W1347">
        <f>IF(AND(U1347=1,M1347&gt;=H1347*(1-Assumptions!$C$8)),1,0)</f>
        <v/>
      </c>
      <c r="X1347">
        <f>IF(AND(U1347=1,N1347&gt;=H1347*(1-Assumptions!$C$8)),1,0)</f>
        <v/>
      </c>
      <c r="Y1347">
        <f>IF(ISNUMBER(Q1347),1,0)</f>
        <v/>
      </c>
      <c r="Z1347">
        <f>IF(AND(K1347=0,L1347=0,Y1347=0),1,0)</f>
        <v/>
      </c>
      <c r="AA1347">
        <f>IF(AND(Z1347=1,G1347&lt;Assumptions!$C$6),1,0)</f>
        <v/>
      </c>
      <c r="AB1347">
        <f>IF(U1347=0,"",IF(Y1347=1,MAX(0,Q1347-G1347),IF(L1347=1,MAX(0,R1347-G1347),MAX(0,Assumptions!$C$6-G1347))))</f>
        <v/>
      </c>
      <c r="AC1347">
        <f>IF(Y1347=1,Q1347-F1347,"")</f>
        <v/>
      </c>
      <c r="AD1347">
        <f>IF(Y1347=1,AC1347^2,"")</f>
        <v/>
      </c>
      <c r="AE1347" s="19">
        <f>IF(Z1347=1,(H1347-M1347)*I1347,0)</f>
        <v/>
      </c>
      <c r="AF1347">
        <f>IF(G1347&lt;EDATE(Assumptions!$C$6,-12)+1,"prior_12m","last_12m")</f>
        <v/>
      </c>
      <c r="AG1347" s="21">
        <f>DATE(YEAR(G1347),MONTH(G1347),1)</f>
        <v/>
      </c>
    </row>
    <row r="1348">
      <c r="A1348" t="inlineStr">
        <is>
          <t>SPO-00733-3</t>
        </is>
      </c>
      <c r="B1348" t="inlineStr">
        <is>
          <t>SPO-00733</t>
        </is>
      </c>
      <c r="C1348" t="inlineStr">
        <is>
          <t>SUP-02</t>
        </is>
      </c>
      <c r="D1348" t="inlineStr">
        <is>
          <t>ELEC</t>
        </is>
      </c>
      <c r="E1348" t="inlineStr">
        <is>
          <t>ELEC-02</t>
        </is>
      </c>
      <c r="F1348" s="17" t="n">
        <v>45767</v>
      </c>
      <c r="G1348" s="17" t="n">
        <v>45783</v>
      </c>
      <c r="H1348" s="18" t="n">
        <v>344</v>
      </c>
      <c r="I1348" s="19" t="n">
        <v>4.12</v>
      </c>
      <c r="J1348" s="19" t="n">
        <v>4.2</v>
      </c>
      <c r="K1348" s="20" t="n">
        <v>0</v>
      </c>
      <c r="L1348" s="20" t="n">
        <v>0</v>
      </c>
      <c r="M1348" s="18" t="n">
        <v>344</v>
      </c>
      <c r="N1348" s="18" t="n">
        <v>344</v>
      </c>
      <c r="O1348" s="18" t="n">
        <v>0</v>
      </c>
      <c r="P1348" s="17" t="n">
        <v>45779</v>
      </c>
      <c r="Q1348" s="17" t="n">
        <v>45779</v>
      </c>
      <c r="R1348" s="17" t="n">
        <v>45779</v>
      </c>
      <c r="S1348" s="19">
        <f>H1348*I1348</f>
        <v/>
      </c>
      <c r="T1348" s="19">
        <f>H1348*J1348</f>
        <v/>
      </c>
      <c r="U1348">
        <f>IF(AND(K1348=0,G1348&lt;=Assumptions!$C$6),1,0)</f>
        <v/>
      </c>
      <c r="V1348">
        <f>IF(U1348=1,IF(M1348&gt;0,IF(P1348&lt;=G1348+Assumptions!$C$7,1,0),0),0)</f>
        <v/>
      </c>
      <c r="W1348">
        <f>IF(AND(U1348=1,M1348&gt;=H1348*(1-Assumptions!$C$8)),1,0)</f>
        <v/>
      </c>
      <c r="X1348">
        <f>IF(AND(U1348=1,N1348&gt;=H1348*(1-Assumptions!$C$8)),1,0)</f>
        <v/>
      </c>
      <c r="Y1348">
        <f>IF(ISNUMBER(Q1348),1,0)</f>
        <v/>
      </c>
      <c r="Z1348">
        <f>IF(AND(K1348=0,L1348=0,Y1348=0),1,0)</f>
        <v/>
      </c>
      <c r="AA1348">
        <f>IF(AND(Z1348=1,G1348&lt;Assumptions!$C$6),1,0)</f>
        <v/>
      </c>
      <c r="AB1348">
        <f>IF(U1348=0,"",IF(Y1348=1,MAX(0,Q1348-G1348),IF(L1348=1,MAX(0,R1348-G1348),MAX(0,Assumptions!$C$6-G1348))))</f>
        <v/>
      </c>
      <c r="AC1348">
        <f>IF(Y1348=1,Q1348-F1348,"")</f>
        <v/>
      </c>
      <c r="AD1348">
        <f>IF(Y1348=1,AC1348^2,"")</f>
        <v/>
      </c>
      <c r="AE1348" s="19">
        <f>IF(Z1348=1,(H1348-M1348)*I1348,0)</f>
        <v/>
      </c>
      <c r="AF1348">
        <f>IF(G1348&lt;EDATE(Assumptions!$C$6,-12)+1,"prior_12m","last_12m")</f>
        <v/>
      </c>
      <c r="AG1348" s="21">
        <f>DATE(YEAR(G1348),MONTH(G1348),1)</f>
        <v/>
      </c>
    </row>
    <row r="1349">
      <c r="A1349" t="inlineStr">
        <is>
          <t>SPO-00733-4</t>
        </is>
      </c>
      <c r="B1349" t="inlineStr">
        <is>
          <t>SPO-00733</t>
        </is>
      </c>
      <c r="C1349" t="inlineStr">
        <is>
          <t>SUP-02</t>
        </is>
      </c>
      <c r="D1349" t="inlineStr">
        <is>
          <t>ELEC</t>
        </is>
      </c>
      <c r="E1349" t="inlineStr">
        <is>
          <t>ELEC-07</t>
        </is>
      </c>
      <c r="F1349" s="17" t="n">
        <v>45767</v>
      </c>
      <c r="G1349" s="17" t="n">
        <v>45783</v>
      </c>
      <c r="H1349" s="18" t="n">
        <v>115</v>
      </c>
      <c r="I1349" s="19" t="n">
        <v>9.92</v>
      </c>
      <c r="J1349" s="19" t="n">
        <v>9.800000000000001</v>
      </c>
      <c r="K1349" s="20" t="n">
        <v>0</v>
      </c>
      <c r="L1349" s="20" t="n">
        <v>0</v>
      </c>
      <c r="M1349" s="18" t="n">
        <v>115</v>
      </c>
      <c r="N1349" s="18" t="n">
        <v>115</v>
      </c>
      <c r="O1349" s="18" t="n">
        <v>0</v>
      </c>
      <c r="P1349" s="17" t="n">
        <v>45776</v>
      </c>
      <c r="Q1349" s="17" t="n">
        <v>45776</v>
      </c>
      <c r="R1349" s="17" t="n">
        <v>45776</v>
      </c>
      <c r="S1349" s="19">
        <f>H1349*I1349</f>
        <v/>
      </c>
      <c r="T1349" s="19">
        <f>H1349*J1349</f>
        <v/>
      </c>
      <c r="U1349">
        <f>IF(AND(K1349=0,G1349&lt;=Assumptions!$C$6),1,0)</f>
        <v/>
      </c>
      <c r="V1349">
        <f>IF(U1349=1,IF(M1349&gt;0,IF(P1349&lt;=G1349+Assumptions!$C$7,1,0),0),0)</f>
        <v/>
      </c>
      <c r="W1349">
        <f>IF(AND(U1349=1,M1349&gt;=H1349*(1-Assumptions!$C$8)),1,0)</f>
        <v/>
      </c>
      <c r="X1349">
        <f>IF(AND(U1349=1,N1349&gt;=H1349*(1-Assumptions!$C$8)),1,0)</f>
        <v/>
      </c>
      <c r="Y1349">
        <f>IF(ISNUMBER(Q1349),1,0)</f>
        <v/>
      </c>
      <c r="Z1349">
        <f>IF(AND(K1349=0,L1349=0,Y1349=0),1,0)</f>
        <v/>
      </c>
      <c r="AA1349">
        <f>IF(AND(Z1349=1,G1349&lt;Assumptions!$C$6),1,0)</f>
        <v/>
      </c>
      <c r="AB1349">
        <f>IF(U1349=0,"",IF(Y1349=1,MAX(0,Q1349-G1349),IF(L1349=1,MAX(0,R1349-G1349),MAX(0,Assumptions!$C$6-G1349))))</f>
        <v/>
      </c>
      <c r="AC1349">
        <f>IF(Y1349=1,Q1349-F1349,"")</f>
        <v/>
      </c>
      <c r="AD1349">
        <f>IF(Y1349=1,AC1349^2,"")</f>
        <v/>
      </c>
      <c r="AE1349" s="19">
        <f>IF(Z1349=1,(H1349-M1349)*I1349,0)</f>
        <v/>
      </c>
      <c r="AF1349">
        <f>IF(G1349&lt;EDATE(Assumptions!$C$6,-12)+1,"prior_12m","last_12m")</f>
        <v/>
      </c>
      <c r="AG1349" s="21">
        <f>DATE(YEAR(G1349),MONTH(G1349),1)</f>
        <v/>
      </c>
    </row>
    <row r="1350">
      <c r="A1350" t="inlineStr">
        <is>
          <t>SPO-00734-1</t>
        </is>
      </c>
      <c r="B1350" t="inlineStr">
        <is>
          <t>SPO-00734</t>
        </is>
      </c>
      <c r="C1350" t="inlineStr">
        <is>
          <t>SUP-12</t>
        </is>
      </c>
      <c r="D1350" t="inlineStr">
        <is>
          <t>IT</t>
        </is>
      </c>
      <c r="E1350" t="inlineStr">
        <is>
          <t>IT-08</t>
        </is>
      </c>
      <c r="F1350" s="17" t="n">
        <v>45767</v>
      </c>
      <c r="G1350" s="17" t="n">
        <v>45777</v>
      </c>
      <c r="H1350" s="18" t="n">
        <v>7</v>
      </c>
      <c r="I1350" s="19" t="n">
        <v>279.82</v>
      </c>
      <c r="J1350" s="19" t="n">
        <v>245</v>
      </c>
      <c r="K1350" s="20" t="n">
        <v>0</v>
      </c>
      <c r="L1350" s="20" t="n">
        <v>0</v>
      </c>
      <c r="M1350" s="18" t="n">
        <v>7</v>
      </c>
      <c r="N1350" s="18" t="n">
        <v>7</v>
      </c>
      <c r="O1350" s="18" t="n">
        <v>0</v>
      </c>
      <c r="P1350" s="17" t="n">
        <v>45772</v>
      </c>
      <c r="Q1350" s="17" t="n">
        <v>45772</v>
      </c>
      <c r="R1350" s="17" t="n">
        <v>45772</v>
      </c>
      <c r="S1350" s="19">
        <f>H1350*I1350</f>
        <v/>
      </c>
      <c r="T1350" s="19">
        <f>H1350*J1350</f>
        <v/>
      </c>
      <c r="U1350">
        <f>IF(AND(K1350=0,G1350&lt;=Assumptions!$C$6),1,0)</f>
        <v/>
      </c>
      <c r="V1350">
        <f>IF(U1350=1,IF(M1350&gt;0,IF(P1350&lt;=G1350+Assumptions!$C$7,1,0),0),0)</f>
        <v/>
      </c>
      <c r="W1350">
        <f>IF(AND(U1350=1,M1350&gt;=H1350*(1-Assumptions!$C$8)),1,0)</f>
        <v/>
      </c>
      <c r="X1350">
        <f>IF(AND(U1350=1,N1350&gt;=H1350*(1-Assumptions!$C$8)),1,0)</f>
        <v/>
      </c>
      <c r="Y1350">
        <f>IF(ISNUMBER(Q1350),1,0)</f>
        <v/>
      </c>
      <c r="Z1350">
        <f>IF(AND(K1350=0,L1350=0,Y1350=0),1,0)</f>
        <v/>
      </c>
      <c r="AA1350">
        <f>IF(AND(Z1350=1,G1350&lt;Assumptions!$C$6),1,0)</f>
        <v/>
      </c>
      <c r="AB1350">
        <f>IF(U1350=0,"",IF(Y1350=1,MAX(0,Q1350-G1350),IF(L1350=1,MAX(0,R1350-G1350),MAX(0,Assumptions!$C$6-G1350))))</f>
        <v/>
      </c>
      <c r="AC1350">
        <f>IF(Y1350=1,Q1350-F1350,"")</f>
        <v/>
      </c>
      <c r="AD1350">
        <f>IF(Y1350=1,AC1350^2,"")</f>
        <v/>
      </c>
      <c r="AE1350" s="19">
        <f>IF(Z1350=1,(H1350-M1350)*I1350,0)</f>
        <v/>
      </c>
      <c r="AF1350">
        <f>IF(G1350&lt;EDATE(Assumptions!$C$6,-12)+1,"prior_12m","last_12m")</f>
        <v/>
      </c>
      <c r="AG1350" s="21">
        <f>DATE(YEAR(G1350),MONTH(G1350),1)</f>
        <v/>
      </c>
    </row>
    <row r="1351">
      <c r="A1351" t="inlineStr">
        <is>
          <t>SPO-00734-2</t>
        </is>
      </c>
      <c r="B1351" t="inlineStr">
        <is>
          <t>SPO-00734</t>
        </is>
      </c>
      <c r="C1351" t="inlineStr">
        <is>
          <t>SUP-12</t>
        </is>
      </c>
      <c r="D1351" t="inlineStr">
        <is>
          <t>IT</t>
        </is>
      </c>
      <c r="E1351" t="inlineStr">
        <is>
          <t>IT-03</t>
        </is>
      </c>
      <c r="F1351" s="17" t="n">
        <v>45767</v>
      </c>
      <c r="G1351" s="17" t="n">
        <v>45777</v>
      </c>
      <c r="H1351" s="18" t="n">
        <v>52</v>
      </c>
      <c r="I1351" s="19" t="n">
        <v>41.77</v>
      </c>
      <c r="J1351" s="19" t="n">
        <v>38</v>
      </c>
      <c r="K1351" s="20" t="n">
        <v>0</v>
      </c>
      <c r="L1351" s="20" t="n">
        <v>0</v>
      </c>
      <c r="M1351" s="18" t="n">
        <v>52</v>
      </c>
      <c r="N1351" s="18" t="n">
        <v>52</v>
      </c>
      <c r="O1351" s="18" t="n">
        <v>0</v>
      </c>
      <c r="P1351" s="17" t="n">
        <v>45775</v>
      </c>
      <c r="Q1351" s="17" t="n">
        <v>45775</v>
      </c>
      <c r="R1351" s="17" t="n">
        <v>45775</v>
      </c>
      <c r="S1351" s="19">
        <f>H1351*I1351</f>
        <v/>
      </c>
      <c r="T1351" s="19">
        <f>H1351*J1351</f>
        <v/>
      </c>
      <c r="U1351">
        <f>IF(AND(K1351=0,G1351&lt;=Assumptions!$C$6),1,0)</f>
        <v/>
      </c>
      <c r="V1351">
        <f>IF(U1351=1,IF(M1351&gt;0,IF(P1351&lt;=G1351+Assumptions!$C$7,1,0),0),0)</f>
        <v/>
      </c>
      <c r="W1351">
        <f>IF(AND(U1351=1,M1351&gt;=H1351*(1-Assumptions!$C$8)),1,0)</f>
        <v/>
      </c>
      <c r="X1351">
        <f>IF(AND(U1351=1,N1351&gt;=H1351*(1-Assumptions!$C$8)),1,0)</f>
        <v/>
      </c>
      <c r="Y1351">
        <f>IF(ISNUMBER(Q1351),1,0)</f>
        <v/>
      </c>
      <c r="Z1351">
        <f>IF(AND(K1351=0,L1351=0,Y1351=0),1,0)</f>
        <v/>
      </c>
      <c r="AA1351">
        <f>IF(AND(Z1351=1,G1351&lt;Assumptions!$C$6),1,0)</f>
        <v/>
      </c>
      <c r="AB1351">
        <f>IF(U1351=0,"",IF(Y1351=1,MAX(0,Q1351-G1351),IF(L1351=1,MAX(0,R1351-G1351),MAX(0,Assumptions!$C$6-G1351))))</f>
        <v/>
      </c>
      <c r="AC1351">
        <f>IF(Y1351=1,Q1351-F1351,"")</f>
        <v/>
      </c>
      <c r="AD1351">
        <f>IF(Y1351=1,AC1351^2,"")</f>
        <v/>
      </c>
      <c r="AE1351" s="19">
        <f>IF(Z1351=1,(H1351-M1351)*I1351,0)</f>
        <v/>
      </c>
      <c r="AF1351">
        <f>IF(G1351&lt;EDATE(Assumptions!$C$6,-12)+1,"prior_12m","last_12m")</f>
        <v/>
      </c>
      <c r="AG1351" s="21">
        <f>DATE(YEAR(G1351),MONTH(G1351),1)</f>
        <v/>
      </c>
    </row>
    <row r="1352">
      <c r="A1352" t="inlineStr">
        <is>
          <t>SPO-00734-3</t>
        </is>
      </c>
      <c r="B1352" t="inlineStr">
        <is>
          <t>SPO-00734</t>
        </is>
      </c>
      <c r="C1352" t="inlineStr">
        <is>
          <t>SUP-12</t>
        </is>
      </c>
      <c r="D1352" t="inlineStr">
        <is>
          <t>IT</t>
        </is>
      </c>
      <c r="E1352" t="inlineStr">
        <is>
          <t>IT-06</t>
        </is>
      </c>
      <c r="F1352" s="17" t="n">
        <v>45767</v>
      </c>
      <c r="G1352" s="17" t="n">
        <v>45777</v>
      </c>
      <c r="H1352" s="18" t="n">
        <v>14</v>
      </c>
      <c r="I1352" s="19" t="n">
        <v>99.3</v>
      </c>
      <c r="J1352" s="19" t="n">
        <v>89</v>
      </c>
      <c r="K1352" s="20" t="n">
        <v>0</v>
      </c>
      <c r="L1352" s="20" t="n">
        <v>0</v>
      </c>
      <c r="M1352" s="18" t="n">
        <v>14</v>
      </c>
      <c r="N1352" s="18" t="n">
        <v>14</v>
      </c>
      <c r="O1352" s="18" t="n">
        <v>0</v>
      </c>
      <c r="P1352" s="17" t="n">
        <v>45773</v>
      </c>
      <c r="Q1352" s="17" t="n">
        <v>45773</v>
      </c>
      <c r="R1352" s="17" t="n">
        <v>45773</v>
      </c>
      <c r="S1352" s="19">
        <f>H1352*I1352</f>
        <v/>
      </c>
      <c r="T1352" s="19">
        <f>H1352*J1352</f>
        <v/>
      </c>
      <c r="U1352">
        <f>IF(AND(K1352=0,G1352&lt;=Assumptions!$C$6),1,0)</f>
        <v/>
      </c>
      <c r="V1352">
        <f>IF(U1352=1,IF(M1352&gt;0,IF(P1352&lt;=G1352+Assumptions!$C$7,1,0),0),0)</f>
        <v/>
      </c>
      <c r="W1352">
        <f>IF(AND(U1352=1,M1352&gt;=H1352*(1-Assumptions!$C$8)),1,0)</f>
        <v/>
      </c>
      <c r="X1352">
        <f>IF(AND(U1352=1,N1352&gt;=H1352*(1-Assumptions!$C$8)),1,0)</f>
        <v/>
      </c>
      <c r="Y1352">
        <f>IF(ISNUMBER(Q1352),1,0)</f>
        <v/>
      </c>
      <c r="Z1352">
        <f>IF(AND(K1352=0,L1352=0,Y1352=0),1,0)</f>
        <v/>
      </c>
      <c r="AA1352">
        <f>IF(AND(Z1352=1,G1352&lt;Assumptions!$C$6),1,0)</f>
        <v/>
      </c>
      <c r="AB1352">
        <f>IF(U1352=0,"",IF(Y1352=1,MAX(0,Q1352-G1352),IF(L1352=1,MAX(0,R1352-G1352),MAX(0,Assumptions!$C$6-G1352))))</f>
        <v/>
      </c>
      <c r="AC1352">
        <f>IF(Y1352=1,Q1352-F1352,"")</f>
        <v/>
      </c>
      <c r="AD1352">
        <f>IF(Y1352=1,AC1352^2,"")</f>
        <v/>
      </c>
      <c r="AE1352" s="19">
        <f>IF(Z1352=1,(H1352-M1352)*I1352,0)</f>
        <v/>
      </c>
      <c r="AF1352">
        <f>IF(G1352&lt;EDATE(Assumptions!$C$6,-12)+1,"prior_12m","last_12m")</f>
        <v/>
      </c>
      <c r="AG1352" s="21">
        <f>DATE(YEAR(G1352),MONTH(G1352),1)</f>
        <v/>
      </c>
    </row>
    <row r="1353">
      <c r="A1353" t="inlineStr">
        <is>
          <t>SPO-00734-4</t>
        </is>
      </c>
      <c r="B1353" t="inlineStr">
        <is>
          <t>SPO-00734</t>
        </is>
      </c>
      <c r="C1353" t="inlineStr">
        <is>
          <t>SUP-12</t>
        </is>
      </c>
      <c r="D1353" t="inlineStr">
        <is>
          <t>IT</t>
        </is>
      </c>
      <c r="E1353" t="inlineStr">
        <is>
          <t>IT-02</t>
        </is>
      </c>
      <c r="F1353" s="17" t="n">
        <v>45767</v>
      </c>
      <c r="G1353" s="17" t="n">
        <v>45777</v>
      </c>
      <c r="H1353" s="18" t="n">
        <v>5</v>
      </c>
      <c r="I1353" s="19" t="n">
        <v>181.12</v>
      </c>
      <c r="J1353" s="19" t="n">
        <v>162</v>
      </c>
      <c r="K1353" s="20" t="n">
        <v>0</v>
      </c>
      <c r="L1353" s="20" t="n">
        <v>0</v>
      </c>
      <c r="M1353" s="18" t="n">
        <v>5</v>
      </c>
      <c r="N1353" s="18" t="n">
        <v>5</v>
      </c>
      <c r="O1353" s="18" t="n">
        <v>0</v>
      </c>
      <c r="P1353" s="17" t="n">
        <v>45774</v>
      </c>
      <c r="Q1353" s="17" t="n">
        <v>45774</v>
      </c>
      <c r="R1353" s="17" t="n">
        <v>45774</v>
      </c>
      <c r="S1353" s="19">
        <f>H1353*I1353</f>
        <v/>
      </c>
      <c r="T1353" s="19">
        <f>H1353*J1353</f>
        <v/>
      </c>
      <c r="U1353">
        <f>IF(AND(K1353=0,G1353&lt;=Assumptions!$C$6),1,0)</f>
        <v/>
      </c>
      <c r="V1353">
        <f>IF(U1353=1,IF(M1353&gt;0,IF(P1353&lt;=G1353+Assumptions!$C$7,1,0),0),0)</f>
        <v/>
      </c>
      <c r="W1353">
        <f>IF(AND(U1353=1,M1353&gt;=H1353*(1-Assumptions!$C$8)),1,0)</f>
        <v/>
      </c>
      <c r="X1353">
        <f>IF(AND(U1353=1,N1353&gt;=H1353*(1-Assumptions!$C$8)),1,0)</f>
        <v/>
      </c>
      <c r="Y1353">
        <f>IF(ISNUMBER(Q1353),1,0)</f>
        <v/>
      </c>
      <c r="Z1353">
        <f>IF(AND(K1353=0,L1353=0,Y1353=0),1,0)</f>
        <v/>
      </c>
      <c r="AA1353">
        <f>IF(AND(Z1353=1,G1353&lt;Assumptions!$C$6),1,0)</f>
        <v/>
      </c>
      <c r="AB1353">
        <f>IF(U1353=0,"",IF(Y1353=1,MAX(0,Q1353-G1353),IF(L1353=1,MAX(0,R1353-G1353),MAX(0,Assumptions!$C$6-G1353))))</f>
        <v/>
      </c>
      <c r="AC1353">
        <f>IF(Y1353=1,Q1353-F1353,"")</f>
        <v/>
      </c>
      <c r="AD1353">
        <f>IF(Y1353=1,AC1353^2,"")</f>
        <v/>
      </c>
      <c r="AE1353" s="19">
        <f>IF(Z1353=1,(H1353-M1353)*I1353,0)</f>
        <v/>
      </c>
      <c r="AF1353">
        <f>IF(G1353&lt;EDATE(Assumptions!$C$6,-12)+1,"prior_12m","last_12m")</f>
        <v/>
      </c>
      <c r="AG1353" s="21">
        <f>DATE(YEAR(G1353),MONTH(G1353),1)</f>
        <v/>
      </c>
    </row>
    <row r="1354">
      <c r="A1354" t="inlineStr">
        <is>
          <t>SPO-00735-1</t>
        </is>
      </c>
      <c r="B1354" t="inlineStr">
        <is>
          <t>SPO-00735</t>
        </is>
      </c>
      <c r="C1354" t="inlineStr">
        <is>
          <t>SUP-01</t>
        </is>
      </c>
      <c r="D1354" t="inlineStr">
        <is>
          <t>ELEC</t>
        </is>
      </c>
      <c r="E1354" t="inlineStr">
        <is>
          <t>ELEC-05</t>
        </is>
      </c>
      <c r="F1354" s="17" t="n">
        <v>45767</v>
      </c>
      <c r="G1354" s="17" t="n">
        <v>45785</v>
      </c>
      <c r="H1354" s="18" t="n">
        <v>159</v>
      </c>
      <c r="I1354" s="19" t="n">
        <v>11.72</v>
      </c>
      <c r="J1354" s="19" t="n">
        <v>11.5</v>
      </c>
      <c r="K1354" s="20" t="n">
        <v>0</v>
      </c>
      <c r="L1354" s="20" t="n">
        <v>0</v>
      </c>
      <c r="M1354" s="18" t="n">
        <v>159</v>
      </c>
      <c r="N1354" s="18" t="n">
        <v>69</v>
      </c>
      <c r="O1354" s="18" t="n">
        <v>0</v>
      </c>
      <c r="P1354" s="17" t="n">
        <v>45781</v>
      </c>
      <c r="Q1354" s="17" t="n">
        <v>45798</v>
      </c>
      <c r="R1354" s="17" t="n">
        <v>45798</v>
      </c>
      <c r="S1354" s="19">
        <f>H1354*I1354</f>
        <v/>
      </c>
      <c r="T1354" s="19">
        <f>H1354*J1354</f>
        <v/>
      </c>
      <c r="U1354">
        <f>IF(AND(K1354=0,G1354&lt;=Assumptions!$C$6),1,0)</f>
        <v/>
      </c>
      <c r="V1354">
        <f>IF(U1354=1,IF(M1354&gt;0,IF(P1354&lt;=G1354+Assumptions!$C$7,1,0),0),0)</f>
        <v/>
      </c>
      <c r="W1354">
        <f>IF(AND(U1354=1,M1354&gt;=H1354*(1-Assumptions!$C$8)),1,0)</f>
        <v/>
      </c>
      <c r="X1354">
        <f>IF(AND(U1354=1,N1354&gt;=H1354*(1-Assumptions!$C$8)),1,0)</f>
        <v/>
      </c>
      <c r="Y1354">
        <f>IF(ISNUMBER(Q1354),1,0)</f>
        <v/>
      </c>
      <c r="Z1354">
        <f>IF(AND(K1354=0,L1354=0,Y1354=0),1,0)</f>
        <v/>
      </c>
      <c r="AA1354">
        <f>IF(AND(Z1354=1,G1354&lt;Assumptions!$C$6),1,0)</f>
        <v/>
      </c>
      <c r="AB1354">
        <f>IF(U1354=0,"",IF(Y1354=1,MAX(0,Q1354-G1354),IF(L1354=1,MAX(0,R1354-G1354),MAX(0,Assumptions!$C$6-G1354))))</f>
        <v/>
      </c>
      <c r="AC1354">
        <f>IF(Y1354=1,Q1354-F1354,"")</f>
        <v/>
      </c>
      <c r="AD1354">
        <f>IF(Y1354=1,AC1354^2,"")</f>
        <v/>
      </c>
      <c r="AE1354" s="19">
        <f>IF(Z1354=1,(H1354-M1354)*I1354,0)</f>
        <v/>
      </c>
      <c r="AF1354">
        <f>IF(G1354&lt;EDATE(Assumptions!$C$6,-12)+1,"prior_12m","last_12m")</f>
        <v/>
      </c>
      <c r="AG1354" s="21">
        <f>DATE(YEAR(G1354),MONTH(G1354),1)</f>
        <v/>
      </c>
    </row>
    <row r="1355">
      <c r="A1355" t="inlineStr">
        <is>
          <t>SPO-00735-2</t>
        </is>
      </c>
      <c r="B1355" t="inlineStr">
        <is>
          <t>SPO-00735</t>
        </is>
      </c>
      <c r="C1355" t="inlineStr">
        <is>
          <t>SUP-01</t>
        </is>
      </c>
      <c r="D1355" t="inlineStr">
        <is>
          <t>ELEC</t>
        </is>
      </c>
      <c r="E1355" t="inlineStr">
        <is>
          <t>ELEC-04</t>
        </is>
      </c>
      <c r="F1355" s="17" t="n">
        <v>45767</v>
      </c>
      <c r="G1355" s="17" t="n">
        <v>45785</v>
      </c>
      <c r="H1355" s="18" t="n">
        <v>64</v>
      </c>
      <c r="I1355" s="19" t="n">
        <v>75.59</v>
      </c>
      <c r="J1355" s="19" t="n">
        <v>72</v>
      </c>
      <c r="K1355" s="20" t="n">
        <v>0</v>
      </c>
      <c r="L1355" s="20" t="n">
        <v>0</v>
      </c>
      <c r="M1355" s="18" t="n">
        <v>64</v>
      </c>
      <c r="N1355" s="18" t="n">
        <v>64</v>
      </c>
      <c r="O1355" s="18" t="n">
        <v>0</v>
      </c>
      <c r="P1355" s="17" t="n">
        <v>45780</v>
      </c>
      <c r="Q1355" s="17" t="n">
        <v>45780</v>
      </c>
      <c r="R1355" s="17" t="n">
        <v>45780</v>
      </c>
      <c r="S1355" s="19">
        <f>H1355*I1355</f>
        <v/>
      </c>
      <c r="T1355" s="19">
        <f>H1355*J1355</f>
        <v/>
      </c>
      <c r="U1355">
        <f>IF(AND(K1355=0,G1355&lt;=Assumptions!$C$6),1,0)</f>
        <v/>
      </c>
      <c r="V1355">
        <f>IF(U1355=1,IF(M1355&gt;0,IF(P1355&lt;=G1355+Assumptions!$C$7,1,0),0),0)</f>
        <v/>
      </c>
      <c r="W1355">
        <f>IF(AND(U1355=1,M1355&gt;=H1355*(1-Assumptions!$C$8)),1,0)</f>
        <v/>
      </c>
      <c r="X1355">
        <f>IF(AND(U1355=1,N1355&gt;=H1355*(1-Assumptions!$C$8)),1,0)</f>
        <v/>
      </c>
      <c r="Y1355">
        <f>IF(ISNUMBER(Q1355),1,0)</f>
        <v/>
      </c>
      <c r="Z1355">
        <f>IF(AND(K1355=0,L1355=0,Y1355=0),1,0)</f>
        <v/>
      </c>
      <c r="AA1355">
        <f>IF(AND(Z1355=1,G1355&lt;Assumptions!$C$6),1,0)</f>
        <v/>
      </c>
      <c r="AB1355">
        <f>IF(U1355=0,"",IF(Y1355=1,MAX(0,Q1355-G1355),IF(L1355=1,MAX(0,R1355-G1355),MAX(0,Assumptions!$C$6-G1355))))</f>
        <v/>
      </c>
      <c r="AC1355">
        <f>IF(Y1355=1,Q1355-F1355,"")</f>
        <v/>
      </c>
      <c r="AD1355">
        <f>IF(Y1355=1,AC1355^2,"")</f>
        <v/>
      </c>
      <c r="AE1355" s="19">
        <f>IF(Z1355=1,(H1355-M1355)*I1355,0)</f>
        <v/>
      </c>
      <c r="AF1355">
        <f>IF(G1355&lt;EDATE(Assumptions!$C$6,-12)+1,"prior_12m","last_12m")</f>
        <v/>
      </c>
      <c r="AG1355" s="21">
        <f>DATE(YEAR(G1355),MONTH(G1355),1)</f>
        <v/>
      </c>
    </row>
    <row r="1356">
      <c r="A1356" t="inlineStr">
        <is>
          <t>SPO-00735-3</t>
        </is>
      </c>
      <c r="B1356" t="inlineStr">
        <is>
          <t>SPO-00735</t>
        </is>
      </c>
      <c r="C1356" t="inlineStr">
        <is>
          <t>SUP-01</t>
        </is>
      </c>
      <c r="D1356" t="inlineStr">
        <is>
          <t>ELEC</t>
        </is>
      </c>
      <c r="E1356" t="inlineStr">
        <is>
          <t>ELEC-02</t>
        </is>
      </c>
      <c r="F1356" s="17" t="n">
        <v>45767</v>
      </c>
      <c r="G1356" s="17" t="n">
        <v>45785</v>
      </c>
      <c r="H1356" s="18" t="n">
        <v>1191</v>
      </c>
      <c r="I1356" s="19" t="n">
        <v>4.13</v>
      </c>
      <c r="J1356" s="19" t="n">
        <v>4.2</v>
      </c>
      <c r="K1356" s="20" t="n">
        <v>0</v>
      </c>
      <c r="L1356" s="20" t="n">
        <v>0</v>
      </c>
      <c r="M1356" s="18" t="n">
        <v>1191</v>
      </c>
      <c r="N1356" s="18" t="n">
        <v>1191</v>
      </c>
      <c r="O1356" s="18" t="n">
        <v>0</v>
      </c>
      <c r="P1356" s="17" t="n">
        <v>45780</v>
      </c>
      <c r="Q1356" s="17" t="n">
        <v>45780</v>
      </c>
      <c r="R1356" s="17" t="n">
        <v>45780</v>
      </c>
      <c r="S1356" s="19">
        <f>H1356*I1356</f>
        <v/>
      </c>
      <c r="T1356" s="19">
        <f>H1356*J1356</f>
        <v/>
      </c>
      <c r="U1356">
        <f>IF(AND(K1356=0,G1356&lt;=Assumptions!$C$6),1,0)</f>
        <v/>
      </c>
      <c r="V1356">
        <f>IF(U1356=1,IF(M1356&gt;0,IF(P1356&lt;=G1356+Assumptions!$C$7,1,0),0),0)</f>
        <v/>
      </c>
      <c r="W1356">
        <f>IF(AND(U1356=1,M1356&gt;=H1356*(1-Assumptions!$C$8)),1,0)</f>
        <v/>
      </c>
      <c r="X1356">
        <f>IF(AND(U1356=1,N1356&gt;=H1356*(1-Assumptions!$C$8)),1,0)</f>
        <v/>
      </c>
      <c r="Y1356">
        <f>IF(ISNUMBER(Q1356),1,0)</f>
        <v/>
      </c>
      <c r="Z1356">
        <f>IF(AND(K1356=0,L1356=0,Y1356=0),1,0)</f>
        <v/>
      </c>
      <c r="AA1356">
        <f>IF(AND(Z1356=1,G1356&lt;Assumptions!$C$6),1,0)</f>
        <v/>
      </c>
      <c r="AB1356">
        <f>IF(U1356=0,"",IF(Y1356=1,MAX(0,Q1356-G1356),IF(L1356=1,MAX(0,R1356-G1356),MAX(0,Assumptions!$C$6-G1356))))</f>
        <v/>
      </c>
      <c r="AC1356">
        <f>IF(Y1356=1,Q1356-F1356,"")</f>
        <v/>
      </c>
      <c r="AD1356">
        <f>IF(Y1356=1,AC1356^2,"")</f>
        <v/>
      </c>
      <c r="AE1356" s="19">
        <f>IF(Z1356=1,(H1356-M1356)*I1356,0)</f>
        <v/>
      </c>
      <c r="AF1356">
        <f>IF(G1356&lt;EDATE(Assumptions!$C$6,-12)+1,"prior_12m","last_12m")</f>
        <v/>
      </c>
      <c r="AG1356" s="21">
        <f>DATE(YEAR(G1356),MONTH(G1356),1)</f>
        <v/>
      </c>
    </row>
    <row r="1357">
      <c r="A1357" t="inlineStr">
        <is>
          <t>SPO-00736-1</t>
        </is>
      </c>
      <c r="B1357" t="inlineStr">
        <is>
          <t>SPO-00736</t>
        </is>
      </c>
      <c r="C1357" t="inlineStr">
        <is>
          <t>SUP-09</t>
        </is>
      </c>
      <c r="D1357" t="inlineStr">
        <is>
          <t>CHEM</t>
        </is>
      </c>
      <c r="E1357" t="inlineStr">
        <is>
          <t>CHEM-03</t>
        </is>
      </c>
      <c r="F1357" s="17" t="n">
        <v>45768</v>
      </c>
      <c r="G1357" s="17" t="n">
        <v>45782</v>
      </c>
      <c r="H1357" s="18" t="n">
        <v>7</v>
      </c>
      <c r="I1357" s="19" t="n">
        <v>278.47</v>
      </c>
      <c r="J1357" s="19" t="n">
        <v>265</v>
      </c>
      <c r="K1357" s="20" t="n">
        <v>0</v>
      </c>
      <c r="L1357" s="20" t="n">
        <v>0</v>
      </c>
      <c r="M1357" s="18" t="n">
        <v>7</v>
      </c>
      <c r="N1357" s="18" t="n">
        <v>7</v>
      </c>
      <c r="O1357" s="18" t="n">
        <v>0</v>
      </c>
      <c r="P1357" s="17" t="n">
        <v>45781</v>
      </c>
      <c r="Q1357" s="17" t="n">
        <v>45781</v>
      </c>
      <c r="R1357" s="17" t="n">
        <v>45781</v>
      </c>
      <c r="S1357" s="19">
        <f>H1357*I1357</f>
        <v/>
      </c>
      <c r="T1357" s="19">
        <f>H1357*J1357</f>
        <v/>
      </c>
      <c r="U1357">
        <f>IF(AND(K1357=0,G1357&lt;=Assumptions!$C$6),1,0)</f>
        <v/>
      </c>
      <c r="V1357">
        <f>IF(U1357=1,IF(M1357&gt;0,IF(P1357&lt;=G1357+Assumptions!$C$7,1,0),0),0)</f>
        <v/>
      </c>
      <c r="W1357">
        <f>IF(AND(U1357=1,M1357&gt;=H1357*(1-Assumptions!$C$8)),1,0)</f>
        <v/>
      </c>
      <c r="X1357">
        <f>IF(AND(U1357=1,N1357&gt;=H1357*(1-Assumptions!$C$8)),1,0)</f>
        <v/>
      </c>
      <c r="Y1357">
        <f>IF(ISNUMBER(Q1357),1,0)</f>
        <v/>
      </c>
      <c r="Z1357">
        <f>IF(AND(K1357=0,L1357=0,Y1357=0),1,0)</f>
        <v/>
      </c>
      <c r="AA1357">
        <f>IF(AND(Z1357=1,G1357&lt;Assumptions!$C$6),1,0)</f>
        <v/>
      </c>
      <c r="AB1357">
        <f>IF(U1357=0,"",IF(Y1357=1,MAX(0,Q1357-G1357),IF(L1357=1,MAX(0,R1357-G1357),MAX(0,Assumptions!$C$6-G1357))))</f>
        <v/>
      </c>
      <c r="AC1357">
        <f>IF(Y1357=1,Q1357-F1357,"")</f>
        <v/>
      </c>
      <c r="AD1357">
        <f>IF(Y1357=1,AC1357^2,"")</f>
        <v/>
      </c>
      <c r="AE1357" s="19">
        <f>IF(Z1357=1,(H1357-M1357)*I1357,0)</f>
        <v/>
      </c>
      <c r="AF1357">
        <f>IF(G1357&lt;EDATE(Assumptions!$C$6,-12)+1,"prior_12m","last_12m")</f>
        <v/>
      </c>
      <c r="AG1357" s="21">
        <f>DATE(YEAR(G1357),MONTH(G1357),1)</f>
        <v/>
      </c>
    </row>
    <row r="1358">
      <c r="A1358" t="inlineStr">
        <is>
          <t>SPO-00737-1</t>
        </is>
      </c>
      <c r="B1358" t="inlineStr">
        <is>
          <t>SPO-00737</t>
        </is>
      </c>
      <c r="C1358" t="inlineStr">
        <is>
          <t>SUP-14</t>
        </is>
      </c>
      <c r="D1358" t="inlineStr">
        <is>
          <t>FLEET</t>
        </is>
      </c>
      <c r="E1358" t="inlineStr">
        <is>
          <t>FLEET-03</t>
        </is>
      </c>
      <c r="F1358" s="17" t="n">
        <v>45769</v>
      </c>
      <c r="G1358" s="17" t="n">
        <v>45783</v>
      </c>
      <c r="H1358" s="18" t="n">
        <v>39</v>
      </c>
      <c r="I1358" s="19" t="n">
        <v>21.3</v>
      </c>
      <c r="J1358" s="19" t="n">
        <v>21</v>
      </c>
      <c r="K1358" s="20" t="n">
        <v>0</v>
      </c>
      <c r="L1358" s="20" t="n">
        <v>0</v>
      </c>
      <c r="M1358" s="18" t="n">
        <v>39</v>
      </c>
      <c r="N1358" s="18" t="n">
        <v>39</v>
      </c>
      <c r="O1358" s="18" t="n">
        <v>5</v>
      </c>
      <c r="P1358" s="17" t="n">
        <v>45777</v>
      </c>
      <c r="Q1358" s="17" t="n">
        <v>45777</v>
      </c>
      <c r="R1358" s="17" t="n">
        <v>45777</v>
      </c>
      <c r="S1358" s="19">
        <f>H1358*I1358</f>
        <v/>
      </c>
      <c r="T1358" s="19">
        <f>H1358*J1358</f>
        <v/>
      </c>
      <c r="U1358">
        <f>IF(AND(K1358=0,G1358&lt;=Assumptions!$C$6),1,0)</f>
        <v/>
      </c>
      <c r="V1358">
        <f>IF(U1358=1,IF(M1358&gt;0,IF(P1358&lt;=G1358+Assumptions!$C$7,1,0),0),0)</f>
        <v/>
      </c>
      <c r="W1358">
        <f>IF(AND(U1358=1,M1358&gt;=H1358*(1-Assumptions!$C$8)),1,0)</f>
        <v/>
      </c>
      <c r="X1358">
        <f>IF(AND(U1358=1,N1358&gt;=H1358*(1-Assumptions!$C$8)),1,0)</f>
        <v/>
      </c>
      <c r="Y1358">
        <f>IF(ISNUMBER(Q1358),1,0)</f>
        <v/>
      </c>
      <c r="Z1358">
        <f>IF(AND(K1358=0,L1358=0,Y1358=0),1,0)</f>
        <v/>
      </c>
      <c r="AA1358">
        <f>IF(AND(Z1358=1,G1358&lt;Assumptions!$C$6),1,0)</f>
        <v/>
      </c>
      <c r="AB1358">
        <f>IF(U1358=0,"",IF(Y1358=1,MAX(0,Q1358-G1358),IF(L1358=1,MAX(0,R1358-G1358),MAX(0,Assumptions!$C$6-G1358))))</f>
        <v/>
      </c>
      <c r="AC1358">
        <f>IF(Y1358=1,Q1358-F1358,"")</f>
        <v/>
      </c>
      <c r="AD1358">
        <f>IF(Y1358=1,AC1358^2,"")</f>
        <v/>
      </c>
      <c r="AE1358" s="19">
        <f>IF(Z1358=1,(H1358-M1358)*I1358,0)</f>
        <v/>
      </c>
      <c r="AF1358">
        <f>IF(G1358&lt;EDATE(Assumptions!$C$6,-12)+1,"prior_12m","last_12m")</f>
        <v/>
      </c>
      <c r="AG1358" s="21">
        <f>DATE(YEAR(G1358),MONTH(G1358),1)</f>
        <v/>
      </c>
    </row>
    <row r="1359">
      <c r="A1359" t="inlineStr">
        <is>
          <t>SPO-00737-2</t>
        </is>
      </c>
      <c r="B1359" t="inlineStr">
        <is>
          <t>SPO-00737</t>
        </is>
      </c>
      <c r="C1359" t="inlineStr">
        <is>
          <t>SUP-14</t>
        </is>
      </c>
      <c r="D1359" t="inlineStr">
        <is>
          <t>FLEET</t>
        </is>
      </c>
      <c r="E1359" t="inlineStr">
        <is>
          <t>FLEET-04</t>
        </is>
      </c>
      <c r="F1359" s="17" t="n">
        <v>45769</v>
      </c>
      <c r="G1359" s="17" t="n">
        <v>45783</v>
      </c>
      <c r="H1359" s="18" t="n">
        <v>178</v>
      </c>
      <c r="I1359" s="19" t="n">
        <v>8.91</v>
      </c>
      <c r="J1359" s="19" t="n">
        <v>9</v>
      </c>
      <c r="K1359" s="20" t="n">
        <v>0</v>
      </c>
      <c r="L1359" s="20" t="n">
        <v>0</v>
      </c>
      <c r="M1359" s="18" t="n">
        <v>178</v>
      </c>
      <c r="N1359" s="18" t="n">
        <v>178</v>
      </c>
      <c r="O1359" s="18" t="n">
        <v>0</v>
      </c>
      <c r="P1359" s="17" t="n">
        <v>45781</v>
      </c>
      <c r="Q1359" s="17" t="n">
        <v>45781</v>
      </c>
      <c r="R1359" s="17" t="n">
        <v>45781</v>
      </c>
      <c r="S1359" s="19">
        <f>H1359*I1359</f>
        <v/>
      </c>
      <c r="T1359" s="19">
        <f>H1359*J1359</f>
        <v/>
      </c>
      <c r="U1359">
        <f>IF(AND(K1359=0,G1359&lt;=Assumptions!$C$6),1,0)</f>
        <v/>
      </c>
      <c r="V1359">
        <f>IF(U1359=1,IF(M1359&gt;0,IF(P1359&lt;=G1359+Assumptions!$C$7,1,0),0),0)</f>
        <v/>
      </c>
      <c r="W1359">
        <f>IF(AND(U1359=1,M1359&gt;=H1359*(1-Assumptions!$C$8)),1,0)</f>
        <v/>
      </c>
      <c r="X1359">
        <f>IF(AND(U1359=1,N1359&gt;=H1359*(1-Assumptions!$C$8)),1,0)</f>
        <v/>
      </c>
      <c r="Y1359">
        <f>IF(ISNUMBER(Q1359),1,0)</f>
        <v/>
      </c>
      <c r="Z1359">
        <f>IF(AND(K1359=0,L1359=0,Y1359=0),1,0)</f>
        <v/>
      </c>
      <c r="AA1359">
        <f>IF(AND(Z1359=1,G1359&lt;Assumptions!$C$6),1,0)</f>
        <v/>
      </c>
      <c r="AB1359">
        <f>IF(U1359=0,"",IF(Y1359=1,MAX(0,Q1359-G1359),IF(L1359=1,MAX(0,R1359-G1359),MAX(0,Assumptions!$C$6-G1359))))</f>
        <v/>
      </c>
      <c r="AC1359">
        <f>IF(Y1359=1,Q1359-F1359,"")</f>
        <v/>
      </c>
      <c r="AD1359">
        <f>IF(Y1359=1,AC1359^2,"")</f>
        <v/>
      </c>
      <c r="AE1359" s="19">
        <f>IF(Z1359=1,(H1359-M1359)*I1359,0)</f>
        <v/>
      </c>
      <c r="AF1359">
        <f>IF(G1359&lt;EDATE(Assumptions!$C$6,-12)+1,"prior_12m","last_12m")</f>
        <v/>
      </c>
      <c r="AG1359" s="21">
        <f>DATE(YEAR(G1359),MONTH(G1359),1)</f>
        <v/>
      </c>
    </row>
    <row r="1360">
      <c r="A1360" t="inlineStr">
        <is>
          <t>SPO-00738-1</t>
        </is>
      </c>
      <c r="B1360" t="inlineStr">
        <is>
          <t>SPO-00738</t>
        </is>
      </c>
      <c r="C1360" t="inlineStr">
        <is>
          <t>SUP-09</t>
        </is>
      </c>
      <c r="D1360" t="inlineStr">
        <is>
          <t>CHEM</t>
        </is>
      </c>
      <c r="E1360" t="inlineStr">
        <is>
          <t>CHEM-01</t>
        </is>
      </c>
      <c r="F1360" s="17" t="n">
        <v>45769</v>
      </c>
      <c r="G1360" s="17" t="n">
        <v>45783</v>
      </c>
      <c r="H1360" s="18" t="n">
        <v>4</v>
      </c>
      <c r="I1360" s="19" t="n">
        <v>687.23</v>
      </c>
      <c r="J1360" s="19" t="n">
        <v>640</v>
      </c>
      <c r="K1360" s="20" t="n">
        <v>0</v>
      </c>
      <c r="L1360" s="20" t="n">
        <v>0</v>
      </c>
      <c r="M1360" s="18" t="n">
        <v>4</v>
      </c>
      <c r="N1360" s="18" t="n">
        <v>4</v>
      </c>
      <c r="O1360" s="18" t="n">
        <v>0</v>
      </c>
      <c r="P1360" s="17" t="n">
        <v>45781</v>
      </c>
      <c r="Q1360" s="17" t="n">
        <v>45781</v>
      </c>
      <c r="R1360" s="17" t="n">
        <v>45781</v>
      </c>
      <c r="S1360" s="19">
        <f>H1360*I1360</f>
        <v/>
      </c>
      <c r="T1360" s="19">
        <f>H1360*J1360</f>
        <v/>
      </c>
      <c r="U1360">
        <f>IF(AND(K1360=0,G1360&lt;=Assumptions!$C$6),1,0)</f>
        <v/>
      </c>
      <c r="V1360">
        <f>IF(U1360=1,IF(M1360&gt;0,IF(P1360&lt;=G1360+Assumptions!$C$7,1,0),0),0)</f>
        <v/>
      </c>
      <c r="W1360">
        <f>IF(AND(U1360=1,M1360&gt;=H1360*(1-Assumptions!$C$8)),1,0)</f>
        <v/>
      </c>
      <c r="X1360">
        <f>IF(AND(U1360=1,N1360&gt;=H1360*(1-Assumptions!$C$8)),1,0)</f>
        <v/>
      </c>
      <c r="Y1360">
        <f>IF(ISNUMBER(Q1360),1,0)</f>
        <v/>
      </c>
      <c r="Z1360">
        <f>IF(AND(K1360=0,L1360=0,Y1360=0),1,0)</f>
        <v/>
      </c>
      <c r="AA1360">
        <f>IF(AND(Z1360=1,G1360&lt;Assumptions!$C$6),1,0)</f>
        <v/>
      </c>
      <c r="AB1360">
        <f>IF(U1360=0,"",IF(Y1360=1,MAX(0,Q1360-G1360),IF(L1360=1,MAX(0,R1360-G1360),MAX(0,Assumptions!$C$6-G1360))))</f>
        <v/>
      </c>
      <c r="AC1360">
        <f>IF(Y1360=1,Q1360-F1360,"")</f>
        <v/>
      </c>
      <c r="AD1360">
        <f>IF(Y1360=1,AC1360^2,"")</f>
        <v/>
      </c>
      <c r="AE1360" s="19">
        <f>IF(Z1360=1,(H1360-M1360)*I1360,0)</f>
        <v/>
      </c>
      <c r="AF1360">
        <f>IF(G1360&lt;EDATE(Assumptions!$C$6,-12)+1,"prior_12m","last_12m")</f>
        <v/>
      </c>
      <c r="AG1360" s="21">
        <f>DATE(YEAR(G1360),MONTH(G1360),1)</f>
        <v/>
      </c>
    </row>
    <row r="1361">
      <c r="A1361" t="inlineStr">
        <is>
          <t>SPO-00739-1</t>
        </is>
      </c>
      <c r="B1361" t="inlineStr">
        <is>
          <t>SPO-00739</t>
        </is>
      </c>
      <c r="C1361" t="inlineStr">
        <is>
          <t>SUP-14</t>
        </is>
      </c>
      <c r="D1361" t="inlineStr">
        <is>
          <t>FLEET</t>
        </is>
      </c>
      <c r="E1361" t="inlineStr">
        <is>
          <t>FLEET-07</t>
        </is>
      </c>
      <c r="F1361" s="17" t="n">
        <v>45769</v>
      </c>
      <c r="G1361" s="17" t="n">
        <v>45783</v>
      </c>
      <c r="H1361" s="18" t="n">
        <v>10</v>
      </c>
      <c r="I1361" s="19" t="n">
        <v>119.15</v>
      </c>
      <c r="J1361" s="19" t="n">
        <v>118</v>
      </c>
      <c r="K1361" s="20" t="n">
        <v>0</v>
      </c>
      <c r="L1361" s="20" t="n">
        <v>0</v>
      </c>
      <c r="M1361" s="18" t="n">
        <v>10</v>
      </c>
      <c r="N1361" s="18" t="n">
        <v>10</v>
      </c>
      <c r="O1361" s="18" t="n">
        <v>0</v>
      </c>
      <c r="P1361" s="17" t="n">
        <v>45776</v>
      </c>
      <c r="Q1361" s="17" t="n">
        <v>45776</v>
      </c>
      <c r="R1361" s="17" t="n">
        <v>45776</v>
      </c>
      <c r="S1361" s="19">
        <f>H1361*I1361</f>
        <v/>
      </c>
      <c r="T1361" s="19">
        <f>H1361*J1361</f>
        <v/>
      </c>
      <c r="U1361">
        <f>IF(AND(K1361=0,G1361&lt;=Assumptions!$C$6),1,0)</f>
        <v/>
      </c>
      <c r="V1361">
        <f>IF(U1361=1,IF(M1361&gt;0,IF(P1361&lt;=G1361+Assumptions!$C$7,1,0),0),0)</f>
        <v/>
      </c>
      <c r="W1361">
        <f>IF(AND(U1361=1,M1361&gt;=H1361*(1-Assumptions!$C$8)),1,0)</f>
        <v/>
      </c>
      <c r="X1361">
        <f>IF(AND(U1361=1,N1361&gt;=H1361*(1-Assumptions!$C$8)),1,0)</f>
        <v/>
      </c>
      <c r="Y1361">
        <f>IF(ISNUMBER(Q1361),1,0)</f>
        <v/>
      </c>
      <c r="Z1361">
        <f>IF(AND(K1361=0,L1361=0,Y1361=0),1,0)</f>
        <v/>
      </c>
      <c r="AA1361">
        <f>IF(AND(Z1361=1,G1361&lt;Assumptions!$C$6),1,0)</f>
        <v/>
      </c>
      <c r="AB1361">
        <f>IF(U1361=0,"",IF(Y1361=1,MAX(0,Q1361-G1361),IF(L1361=1,MAX(0,R1361-G1361),MAX(0,Assumptions!$C$6-G1361))))</f>
        <v/>
      </c>
      <c r="AC1361">
        <f>IF(Y1361=1,Q1361-F1361,"")</f>
        <v/>
      </c>
      <c r="AD1361">
        <f>IF(Y1361=1,AC1361^2,"")</f>
        <v/>
      </c>
      <c r="AE1361" s="19">
        <f>IF(Z1361=1,(H1361-M1361)*I1361,0)</f>
        <v/>
      </c>
      <c r="AF1361">
        <f>IF(G1361&lt;EDATE(Assumptions!$C$6,-12)+1,"prior_12m","last_12m")</f>
        <v/>
      </c>
      <c r="AG1361" s="21">
        <f>DATE(YEAR(G1361),MONTH(G1361),1)</f>
        <v/>
      </c>
    </row>
    <row r="1362">
      <c r="A1362" t="inlineStr">
        <is>
          <t>SPO-00740-1</t>
        </is>
      </c>
      <c r="B1362" t="inlineStr">
        <is>
          <t>SPO-00740</t>
        </is>
      </c>
      <c r="C1362" t="inlineStr">
        <is>
          <t>SUP-04</t>
        </is>
      </c>
      <c r="D1362" t="inlineStr">
        <is>
          <t>FLEET</t>
        </is>
      </c>
      <c r="E1362" t="inlineStr">
        <is>
          <t>FLEET-06</t>
        </is>
      </c>
      <c r="F1362" s="17" t="n">
        <v>45770</v>
      </c>
      <c r="G1362" s="17" t="n">
        <v>45783</v>
      </c>
      <c r="H1362" s="18" t="n">
        <v>11</v>
      </c>
      <c r="I1362" s="19" t="n">
        <v>32.42</v>
      </c>
      <c r="J1362" s="19" t="n">
        <v>33</v>
      </c>
      <c r="K1362" s="20" t="n">
        <v>0</v>
      </c>
      <c r="L1362" s="20" t="n">
        <v>0</v>
      </c>
      <c r="M1362" s="18" t="n">
        <v>11</v>
      </c>
      <c r="N1362" s="18" t="n">
        <v>0</v>
      </c>
      <c r="O1362" s="18" t="n">
        <v>0</v>
      </c>
      <c r="P1362" s="17" t="n">
        <v>45784</v>
      </c>
      <c r="Q1362" s="17" t="n">
        <v>45784</v>
      </c>
      <c r="R1362" s="17" t="n">
        <v>45784</v>
      </c>
      <c r="S1362" s="19">
        <f>H1362*I1362</f>
        <v/>
      </c>
      <c r="T1362" s="19">
        <f>H1362*J1362</f>
        <v/>
      </c>
      <c r="U1362">
        <f>IF(AND(K1362=0,G1362&lt;=Assumptions!$C$6),1,0)</f>
        <v/>
      </c>
      <c r="V1362">
        <f>IF(U1362=1,IF(M1362&gt;0,IF(P1362&lt;=G1362+Assumptions!$C$7,1,0),0),0)</f>
        <v/>
      </c>
      <c r="W1362">
        <f>IF(AND(U1362=1,M1362&gt;=H1362*(1-Assumptions!$C$8)),1,0)</f>
        <v/>
      </c>
      <c r="X1362">
        <f>IF(AND(U1362=1,N1362&gt;=H1362*(1-Assumptions!$C$8)),1,0)</f>
        <v/>
      </c>
      <c r="Y1362">
        <f>IF(ISNUMBER(Q1362),1,0)</f>
        <v/>
      </c>
      <c r="Z1362">
        <f>IF(AND(K1362=0,L1362=0,Y1362=0),1,0)</f>
        <v/>
      </c>
      <c r="AA1362">
        <f>IF(AND(Z1362=1,G1362&lt;Assumptions!$C$6),1,0)</f>
        <v/>
      </c>
      <c r="AB1362">
        <f>IF(U1362=0,"",IF(Y1362=1,MAX(0,Q1362-G1362),IF(L1362=1,MAX(0,R1362-G1362),MAX(0,Assumptions!$C$6-G1362))))</f>
        <v/>
      </c>
      <c r="AC1362">
        <f>IF(Y1362=1,Q1362-F1362,"")</f>
        <v/>
      </c>
      <c r="AD1362">
        <f>IF(Y1362=1,AC1362^2,"")</f>
        <v/>
      </c>
      <c r="AE1362" s="19">
        <f>IF(Z1362=1,(H1362-M1362)*I1362,0)</f>
        <v/>
      </c>
      <c r="AF1362">
        <f>IF(G1362&lt;EDATE(Assumptions!$C$6,-12)+1,"prior_12m","last_12m")</f>
        <v/>
      </c>
      <c r="AG1362" s="21">
        <f>DATE(YEAR(G1362),MONTH(G1362),1)</f>
        <v/>
      </c>
    </row>
    <row r="1363">
      <c r="A1363" t="inlineStr">
        <is>
          <t>SPO-00740-2</t>
        </is>
      </c>
      <c r="B1363" t="inlineStr">
        <is>
          <t>SPO-00740</t>
        </is>
      </c>
      <c r="C1363" t="inlineStr">
        <is>
          <t>SUP-04</t>
        </is>
      </c>
      <c r="D1363" t="inlineStr">
        <is>
          <t>FLEET</t>
        </is>
      </c>
      <c r="E1363" t="inlineStr">
        <is>
          <t>FLEET-01</t>
        </is>
      </c>
      <c r="F1363" s="17" t="n">
        <v>45770</v>
      </c>
      <c r="G1363" s="17" t="n">
        <v>45783</v>
      </c>
      <c r="H1363" s="18" t="n">
        <v>43</v>
      </c>
      <c r="I1363" s="19" t="n">
        <v>61.74</v>
      </c>
      <c r="J1363" s="19" t="n">
        <v>64</v>
      </c>
      <c r="K1363" s="20" t="n">
        <v>0</v>
      </c>
      <c r="L1363" s="20" t="n">
        <v>0</v>
      </c>
      <c r="M1363" s="18" t="n">
        <v>43</v>
      </c>
      <c r="N1363" s="18" t="n">
        <v>0</v>
      </c>
      <c r="O1363" s="18" t="n">
        <v>0</v>
      </c>
      <c r="P1363" s="17" t="n">
        <v>45790</v>
      </c>
      <c r="Q1363" s="17" t="n">
        <v>45790</v>
      </c>
      <c r="R1363" s="17" t="n">
        <v>45790</v>
      </c>
      <c r="S1363" s="19">
        <f>H1363*I1363</f>
        <v/>
      </c>
      <c r="T1363" s="19">
        <f>H1363*J1363</f>
        <v/>
      </c>
      <c r="U1363">
        <f>IF(AND(K1363=0,G1363&lt;=Assumptions!$C$6),1,0)</f>
        <v/>
      </c>
      <c r="V1363">
        <f>IF(U1363=1,IF(M1363&gt;0,IF(P1363&lt;=G1363+Assumptions!$C$7,1,0),0),0)</f>
        <v/>
      </c>
      <c r="W1363">
        <f>IF(AND(U1363=1,M1363&gt;=H1363*(1-Assumptions!$C$8)),1,0)</f>
        <v/>
      </c>
      <c r="X1363">
        <f>IF(AND(U1363=1,N1363&gt;=H1363*(1-Assumptions!$C$8)),1,0)</f>
        <v/>
      </c>
      <c r="Y1363">
        <f>IF(ISNUMBER(Q1363),1,0)</f>
        <v/>
      </c>
      <c r="Z1363">
        <f>IF(AND(K1363=0,L1363=0,Y1363=0),1,0)</f>
        <v/>
      </c>
      <c r="AA1363">
        <f>IF(AND(Z1363=1,G1363&lt;Assumptions!$C$6),1,0)</f>
        <v/>
      </c>
      <c r="AB1363">
        <f>IF(U1363=0,"",IF(Y1363=1,MAX(0,Q1363-G1363),IF(L1363=1,MAX(0,R1363-G1363),MAX(0,Assumptions!$C$6-G1363))))</f>
        <v/>
      </c>
      <c r="AC1363">
        <f>IF(Y1363=1,Q1363-F1363,"")</f>
        <v/>
      </c>
      <c r="AD1363">
        <f>IF(Y1363=1,AC1363^2,"")</f>
        <v/>
      </c>
      <c r="AE1363" s="19">
        <f>IF(Z1363=1,(H1363-M1363)*I1363,0)</f>
        <v/>
      </c>
      <c r="AF1363">
        <f>IF(G1363&lt;EDATE(Assumptions!$C$6,-12)+1,"prior_12m","last_12m")</f>
        <v/>
      </c>
      <c r="AG1363" s="21">
        <f>DATE(YEAR(G1363),MONTH(G1363),1)</f>
        <v/>
      </c>
    </row>
    <row r="1364">
      <c r="A1364" t="inlineStr">
        <is>
          <t>SPO-00740-3</t>
        </is>
      </c>
      <c r="B1364" t="inlineStr">
        <is>
          <t>SPO-00740</t>
        </is>
      </c>
      <c r="C1364" t="inlineStr">
        <is>
          <t>SUP-04</t>
        </is>
      </c>
      <c r="D1364" t="inlineStr">
        <is>
          <t>FLEET</t>
        </is>
      </c>
      <c r="E1364" t="inlineStr">
        <is>
          <t>FLEET-03</t>
        </is>
      </c>
      <c r="F1364" s="17" t="n">
        <v>45770</v>
      </c>
      <c r="G1364" s="17" t="n">
        <v>45783</v>
      </c>
      <c r="H1364" s="18" t="n">
        <v>32</v>
      </c>
      <c r="I1364" s="19" t="n">
        <v>20.68</v>
      </c>
      <c r="J1364" s="19" t="n">
        <v>21</v>
      </c>
      <c r="K1364" s="20" t="n">
        <v>0</v>
      </c>
      <c r="L1364" s="20" t="n">
        <v>0</v>
      </c>
      <c r="M1364" s="18" t="n">
        <v>32</v>
      </c>
      <c r="N1364" s="18" t="n">
        <v>0</v>
      </c>
      <c r="O1364" s="18" t="n">
        <v>0</v>
      </c>
      <c r="P1364" s="17" t="n">
        <v>45788</v>
      </c>
      <c r="Q1364" s="17" t="n">
        <v>45788</v>
      </c>
      <c r="R1364" s="17" t="n">
        <v>45788</v>
      </c>
      <c r="S1364" s="19">
        <f>H1364*I1364</f>
        <v/>
      </c>
      <c r="T1364" s="19">
        <f>H1364*J1364</f>
        <v/>
      </c>
      <c r="U1364">
        <f>IF(AND(K1364=0,G1364&lt;=Assumptions!$C$6),1,0)</f>
        <v/>
      </c>
      <c r="V1364">
        <f>IF(U1364=1,IF(M1364&gt;0,IF(P1364&lt;=G1364+Assumptions!$C$7,1,0),0),0)</f>
        <v/>
      </c>
      <c r="W1364">
        <f>IF(AND(U1364=1,M1364&gt;=H1364*(1-Assumptions!$C$8)),1,0)</f>
        <v/>
      </c>
      <c r="X1364">
        <f>IF(AND(U1364=1,N1364&gt;=H1364*(1-Assumptions!$C$8)),1,0)</f>
        <v/>
      </c>
      <c r="Y1364">
        <f>IF(ISNUMBER(Q1364),1,0)</f>
        <v/>
      </c>
      <c r="Z1364">
        <f>IF(AND(K1364=0,L1364=0,Y1364=0),1,0)</f>
        <v/>
      </c>
      <c r="AA1364">
        <f>IF(AND(Z1364=1,G1364&lt;Assumptions!$C$6),1,0)</f>
        <v/>
      </c>
      <c r="AB1364">
        <f>IF(U1364=0,"",IF(Y1364=1,MAX(0,Q1364-G1364),IF(L1364=1,MAX(0,R1364-G1364),MAX(0,Assumptions!$C$6-G1364))))</f>
        <v/>
      </c>
      <c r="AC1364">
        <f>IF(Y1364=1,Q1364-F1364,"")</f>
        <v/>
      </c>
      <c r="AD1364">
        <f>IF(Y1364=1,AC1364^2,"")</f>
        <v/>
      </c>
      <c r="AE1364" s="19">
        <f>IF(Z1364=1,(H1364-M1364)*I1364,0)</f>
        <v/>
      </c>
      <c r="AF1364">
        <f>IF(G1364&lt;EDATE(Assumptions!$C$6,-12)+1,"prior_12m","last_12m")</f>
        <v/>
      </c>
      <c r="AG1364" s="21">
        <f>DATE(YEAR(G1364),MONTH(G1364),1)</f>
        <v/>
      </c>
    </row>
    <row r="1365">
      <c r="A1365" t="inlineStr">
        <is>
          <t>SPO-00741-1</t>
        </is>
      </c>
      <c r="B1365" t="inlineStr">
        <is>
          <t>SPO-00741</t>
        </is>
      </c>
      <c r="C1365" t="inlineStr">
        <is>
          <t>SUP-09</t>
        </is>
      </c>
      <c r="D1365" t="inlineStr">
        <is>
          <t>CHEM</t>
        </is>
      </c>
      <c r="E1365" t="inlineStr">
        <is>
          <t>CHEM-02</t>
        </is>
      </c>
      <c r="F1365" s="17" t="n">
        <v>45770</v>
      </c>
      <c r="G1365" s="17" t="n">
        <v>45784</v>
      </c>
      <c r="H1365" s="18" t="n">
        <v>3</v>
      </c>
      <c r="I1365" s="19" t="n">
        <v>420.34</v>
      </c>
      <c r="J1365" s="19" t="n">
        <v>410</v>
      </c>
      <c r="K1365" s="20" t="n">
        <v>0</v>
      </c>
      <c r="L1365" s="20" t="n">
        <v>0</v>
      </c>
      <c r="M1365" s="18" t="n">
        <v>3</v>
      </c>
      <c r="N1365" s="18" t="n">
        <v>3</v>
      </c>
      <c r="O1365" s="18" t="n">
        <v>0</v>
      </c>
      <c r="P1365" s="17" t="n">
        <v>45783</v>
      </c>
      <c r="Q1365" s="17" t="n">
        <v>45783</v>
      </c>
      <c r="R1365" s="17" t="n">
        <v>45783</v>
      </c>
      <c r="S1365" s="19">
        <f>H1365*I1365</f>
        <v/>
      </c>
      <c r="T1365" s="19">
        <f>H1365*J1365</f>
        <v/>
      </c>
      <c r="U1365">
        <f>IF(AND(K1365=0,G1365&lt;=Assumptions!$C$6),1,0)</f>
        <v/>
      </c>
      <c r="V1365">
        <f>IF(U1365=1,IF(M1365&gt;0,IF(P1365&lt;=G1365+Assumptions!$C$7,1,0),0),0)</f>
        <v/>
      </c>
      <c r="W1365">
        <f>IF(AND(U1365=1,M1365&gt;=H1365*(1-Assumptions!$C$8)),1,0)</f>
        <v/>
      </c>
      <c r="X1365">
        <f>IF(AND(U1365=1,N1365&gt;=H1365*(1-Assumptions!$C$8)),1,0)</f>
        <v/>
      </c>
      <c r="Y1365">
        <f>IF(ISNUMBER(Q1365),1,0)</f>
        <v/>
      </c>
      <c r="Z1365">
        <f>IF(AND(K1365=0,L1365=0,Y1365=0),1,0)</f>
        <v/>
      </c>
      <c r="AA1365">
        <f>IF(AND(Z1365=1,G1365&lt;Assumptions!$C$6),1,0)</f>
        <v/>
      </c>
      <c r="AB1365">
        <f>IF(U1365=0,"",IF(Y1365=1,MAX(0,Q1365-G1365),IF(L1365=1,MAX(0,R1365-G1365),MAX(0,Assumptions!$C$6-G1365))))</f>
        <v/>
      </c>
      <c r="AC1365">
        <f>IF(Y1365=1,Q1365-F1365,"")</f>
        <v/>
      </c>
      <c r="AD1365">
        <f>IF(Y1365=1,AC1365^2,"")</f>
        <v/>
      </c>
      <c r="AE1365" s="19">
        <f>IF(Z1365=1,(H1365-M1365)*I1365,0)</f>
        <v/>
      </c>
      <c r="AF1365">
        <f>IF(G1365&lt;EDATE(Assumptions!$C$6,-12)+1,"prior_12m","last_12m")</f>
        <v/>
      </c>
      <c r="AG1365" s="21">
        <f>DATE(YEAR(G1365),MONTH(G1365),1)</f>
        <v/>
      </c>
    </row>
    <row r="1366">
      <c r="A1366" t="inlineStr">
        <is>
          <t>SPO-00742-1</t>
        </is>
      </c>
      <c r="B1366" t="inlineStr">
        <is>
          <t>SPO-00742</t>
        </is>
      </c>
      <c r="C1366" t="inlineStr">
        <is>
          <t>SUP-02</t>
        </is>
      </c>
      <c r="D1366" t="inlineStr">
        <is>
          <t>ELEC</t>
        </is>
      </c>
      <c r="E1366" t="inlineStr">
        <is>
          <t>ELEC-02</t>
        </is>
      </c>
      <c r="F1366" s="17" t="n">
        <v>45770</v>
      </c>
      <c r="G1366" s="17" t="n">
        <v>45786</v>
      </c>
      <c r="H1366" s="18" t="n">
        <v>657</v>
      </c>
      <c r="I1366" s="19" t="n">
        <v>4.14</v>
      </c>
      <c r="J1366" s="19" t="n">
        <v>4.2</v>
      </c>
      <c r="K1366" s="20" t="n">
        <v>0</v>
      </c>
      <c r="L1366" s="20" t="n">
        <v>0</v>
      </c>
      <c r="M1366" s="18" t="n">
        <v>657</v>
      </c>
      <c r="N1366" s="18" t="n">
        <v>657</v>
      </c>
      <c r="O1366" s="18" t="n">
        <v>0</v>
      </c>
      <c r="P1366" s="17" t="n">
        <v>45783</v>
      </c>
      <c r="Q1366" s="17" t="n">
        <v>45783</v>
      </c>
      <c r="R1366" s="17" t="n">
        <v>45783</v>
      </c>
      <c r="S1366" s="19">
        <f>H1366*I1366</f>
        <v/>
      </c>
      <c r="T1366" s="19">
        <f>H1366*J1366</f>
        <v/>
      </c>
      <c r="U1366">
        <f>IF(AND(K1366=0,G1366&lt;=Assumptions!$C$6),1,0)</f>
        <v/>
      </c>
      <c r="V1366">
        <f>IF(U1366=1,IF(M1366&gt;0,IF(P1366&lt;=G1366+Assumptions!$C$7,1,0),0),0)</f>
        <v/>
      </c>
      <c r="W1366">
        <f>IF(AND(U1366=1,M1366&gt;=H1366*(1-Assumptions!$C$8)),1,0)</f>
        <v/>
      </c>
      <c r="X1366">
        <f>IF(AND(U1366=1,N1366&gt;=H1366*(1-Assumptions!$C$8)),1,0)</f>
        <v/>
      </c>
      <c r="Y1366">
        <f>IF(ISNUMBER(Q1366),1,0)</f>
        <v/>
      </c>
      <c r="Z1366">
        <f>IF(AND(K1366=0,L1366=0,Y1366=0),1,0)</f>
        <v/>
      </c>
      <c r="AA1366">
        <f>IF(AND(Z1366=1,G1366&lt;Assumptions!$C$6),1,0)</f>
        <v/>
      </c>
      <c r="AB1366">
        <f>IF(U1366=0,"",IF(Y1366=1,MAX(0,Q1366-G1366),IF(L1366=1,MAX(0,R1366-G1366),MAX(0,Assumptions!$C$6-G1366))))</f>
        <v/>
      </c>
      <c r="AC1366">
        <f>IF(Y1366=1,Q1366-F1366,"")</f>
        <v/>
      </c>
      <c r="AD1366">
        <f>IF(Y1366=1,AC1366^2,"")</f>
        <v/>
      </c>
      <c r="AE1366" s="19">
        <f>IF(Z1366=1,(H1366-M1366)*I1366,0)</f>
        <v/>
      </c>
      <c r="AF1366">
        <f>IF(G1366&lt;EDATE(Assumptions!$C$6,-12)+1,"prior_12m","last_12m")</f>
        <v/>
      </c>
      <c r="AG1366" s="21">
        <f>DATE(YEAR(G1366),MONTH(G1366),1)</f>
        <v/>
      </c>
    </row>
    <row r="1367">
      <c r="A1367" t="inlineStr">
        <is>
          <t>SPO-00743-1</t>
        </is>
      </c>
      <c r="B1367" t="inlineStr">
        <is>
          <t>SPO-00743</t>
        </is>
      </c>
      <c r="C1367" t="inlineStr">
        <is>
          <t>SUP-01</t>
        </is>
      </c>
      <c r="D1367" t="inlineStr">
        <is>
          <t>ELEC</t>
        </is>
      </c>
      <c r="E1367" t="inlineStr">
        <is>
          <t>ELEC-04</t>
        </is>
      </c>
      <c r="F1367" s="17" t="n">
        <v>45771</v>
      </c>
      <c r="G1367" s="17" t="n">
        <v>45789</v>
      </c>
      <c r="H1367" s="18" t="n">
        <v>36</v>
      </c>
      <c r="I1367" s="19" t="n">
        <v>74.98</v>
      </c>
      <c r="J1367" s="19" t="n">
        <v>72</v>
      </c>
      <c r="K1367" s="20" t="n">
        <v>0</v>
      </c>
      <c r="L1367" s="20" t="n">
        <v>0</v>
      </c>
      <c r="M1367" s="18" t="n">
        <v>36</v>
      </c>
      <c r="N1367" s="18" t="n">
        <v>36</v>
      </c>
      <c r="O1367" s="18" t="n">
        <v>0</v>
      </c>
      <c r="P1367" s="17" t="n">
        <v>45787</v>
      </c>
      <c r="Q1367" s="17" t="n">
        <v>45787</v>
      </c>
      <c r="R1367" s="17" t="n">
        <v>45787</v>
      </c>
      <c r="S1367" s="19">
        <f>H1367*I1367</f>
        <v/>
      </c>
      <c r="T1367" s="19">
        <f>H1367*J1367</f>
        <v/>
      </c>
      <c r="U1367">
        <f>IF(AND(K1367=0,G1367&lt;=Assumptions!$C$6),1,0)</f>
        <v/>
      </c>
      <c r="V1367">
        <f>IF(U1367=1,IF(M1367&gt;0,IF(P1367&lt;=G1367+Assumptions!$C$7,1,0),0),0)</f>
        <v/>
      </c>
      <c r="W1367">
        <f>IF(AND(U1367=1,M1367&gt;=H1367*(1-Assumptions!$C$8)),1,0)</f>
        <v/>
      </c>
      <c r="X1367">
        <f>IF(AND(U1367=1,N1367&gt;=H1367*(1-Assumptions!$C$8)),1,0)</f>
        <v/>
      </c>
      <c r="Y1367">
        <f>IF(ISNUMBER(Q1367),1,0)</f>
        <v/>
      </c>
      <c r="Z1367">
        <f>IF(AND(K1367=0,L1367=0,Y1367=0),1,0)</f>
        <v/>
      </c>
      <c r="AA1367">
        <f>IF(AND(Z1367=1,G1367&lt;Assumptions!$C$6),1,0)</f>
        <v/>
      </c>
      <c r="AB1367">
        <f>IF(U1367=0,"",IF(Y1367=1,MAX(0,Q1367-G1367),IF(L1367=1,MAX(0,R1367-G1367),MAX(0,Assumptions!$C$6-G1367))))</f>
        <v/>
      </c>
      <c r="AC1367">
        <f>IF(Y1367=1,Q1367-F1367,"")</f>
        <v/>
      </c>
      <c r="AD1367">
        <f>IF(Y1367=1,AC1367^2,"")</f>
        <v/>
      </c>
      <c r="AE1367" s="19">
        <f>IF(Z1367=1,(H1367-M1367)*I1367,0)</f>
        <v/>
      </c>
      <c r="AF1367">
        <f>IF(G1367&lt;EDATE(Assumptions!$C$6,-12)+1,"prior_12m","last_12m")</f>
        <v/>
      </c>
      <c r="AG1367" s="21">
        <f>DATE(YEAR(G1367),MONTH(G1367),1)</f>
        <v/>
      </c>
    </row>
    <row r="1368">
      <c r="A1368" t="inlineStr">
        <is>
          <t>SPO-00744-1</t>
        </is>
      </c>
      <c r="B1368" t="inlineStr">
        <is>
          <t>SPO-00744</t>
        </is>
      </c>
      <c r="C1368" t="inlineStr">
        <is>
          <t>SUP-02</t>
        </is>
      </c>
      <c r="D1368" t="inlineStr">
        <is>
          <t>ELEC</t>
        </is>
      </c>
      <c r="E1368" t="inlineStr">
        <is>
          <t>ELEC-07</t>
        </is>
      </c>
      <c r="F1368" s="17" t="n">
        <v>45771</v>
      </c>
      <c r="G1368" s="17" t="n">
        <v>45787</v>
      </c>
      <c r="H1368" s="18" t="n">
        <v>157</v>
      </c>
      <c r="I1368" s="19" t="n">
        <v>10.42</v>
      </c>
      <c r="J1368" s="19" t="n">
        <v>9.800000000000001</v>
      </c>
      <c r="K1368" s="20" t="n">
        <v>0</v>
      </c>
      <c r="L1368" s="20" t="n">
        <v>0</v>
      </c>
      <c r="M1368" s="18" t="n">
        <v>157</v>
      </c>
      <c r="N1368" s="18" t="n">
        <v>157</v>
      </c>
      <c r="O1368" s="18" t="n">
        <v>0</v>
      </c>
      <c r="P1368" s="17" t="n">
        <v>45784</v>
      </c>
      <c r="Q1368" s="17" t="n">
        <v>45784</v>
      </c>
      <c r="R1368" s="17" t="n">
        <v>45784</v>
      </c>
      <c r="S1368" s="19">
        <f>H1368*I1368</f>
        <v/>
      </c>
      <c r="T1368" s="19">
        <f>H1368*J1368</f>
        <v/>
      </c>
      <c r="U1368">
        <f>IF(AND(K1368=0,G1368&lt;=Assumptions!$C$6),1,0)</f>
        <v/>
      </c>
      <c r="V1368">
        <f>IF(U1368=1,IF(M1368&gt;0,IF(P1368&lt;=G1368+Assumptions!$C$7,1,0),0),0)</f>
        <v/>
      </c>
      <c r="W1368">
        <f>IF(AND(U1368=1,M1368&gt;=H1368*(1-Assumptions!$C$8)),1,0)</f>
        <v/>
      </c>
      <c r="X1368">
        <f>IF(AND(U1368=1,N1368&gt;=H1368*(1-Assumptions!$C$8)),1,0)</f>
        <v/>
      </c>
      <c r="Y1368">
        <f>IF(ISNUMBER(Q1368),1,0)</f>
        <v/>
      </c>
      <c r="Z1368">
        <f>IF(AND(K1368=0,L1368=0,Y1368=0),1,0)</f>
        <v/>
      </c>
      <c r="AA1368">
        <f>IF(AND(Z1368=1,G1368&lt;Assumptions!$C$6),1,0)</f>
        <v/>
      </c>
      <c r="AB1368">
        <f>IF(U1368=0,"",IF(Y1368=1,MAX(0,Q1368-G1368),IF(L1368=1,MAX(0,R1368-G1368),MAX(0,Assumptions!$C$6-G1368))))</f>
        <v/>
      </c>
      <c r="AC1368">
        <f>IF(Y1368=1,Q1368-F1368,"")</f>
        <v/>
      </c>
      <c r="AD1368">
        <f>IF(Y1368=1,AC1368^2,"")</f>
        <v/>
      </c>
      <c r="AE1368" s="19">
        <f>IF(Z1368=1,(H1368-M1368)*I1368,0)</f>
        <v/>
      </c>
      <c r="AF1368">
        <f>IF(G1368&lt;EDATE(Assumptions!$C$6,-12)+1,"prior_12m","last_12m")</f>
        <v/>
      </c>
      <c r="AG1368" s="21">
        <f>DATE(YEAR(G1368),MONTH(G1368),1)</f>
        <v/>
      </c>
    </row>
    <row r="1369">
      <c r="A1369" t="inlineStr">
        <is>
          <t>SPO-00745-1</t>
        </is>
      </c>
      <c r="B1369" t="inlineStr">
        <is>
          <t>SPO-00745</t>
        </is>
      </c>
      <c r="C1369" t="inlineStr">
        <is>
          <t>SUP-05</t>
        </is>
      </c>
      <c r="D1369" t="inlineStr">
        <is>
          <t>FLEET</t>
        </is>
      </c>
      <c r="E1369" t="inlineStr">
        <is>
          <t>FLEET-04</t>
        </is>
      </c>
      <c r="F1369" s="17" t="n">
        <v>45771</v>
      </c>
      <c r="G1369" s="17" t="n">
        <v>45785</v>
      </c>
      <c r="H1369" s="18" t="n">
        <v>114</v>
      </c>
      <c r="I1369" s="19" t="n">
        <v>8.800000000000001</v>
      </c>
      <c r="J1369" s="19" t="n">
        <v>9</v>
      </c>
      <c r="K1369" s="20" t="n">
        <v>0</v>
      </c>
      <c r="L1369" s="20" t="n">
        <v>0</v>
      </c>
      <c r="M1369" s="18" t="n">
        <v>114</v>
      </c>
      <c r="N1369" s="18" t="n">
        <v>114</v>
      </c>
      <c r="O1369" s="18" t="n">
        <v>0</v>
      </c>
      <c r="P1369" s="17" t="n">
        <v>45780</v>
      </c>
      <c r="Q1369" s="17" t="n">
        <v>45780</v>
      </c>
      <c r="R1369" s="17" t="n">
        <v>45780</v>
      </c>
      <c r="S1369" s="19">
        <f>H1369*I1369</f>
        <v/>
      </c>
      <c r="T1369" s="19">
        <f>H1369*J1369</f>
        <v/>
      </c>
      <c r="U1369">
        <f>IF(AND(K1369=0,G1369&lt;=Assumptions!$C$6),1,0)</f>
        <v/>
      </c>
      <c r="V1369">
        <f>IF(U1369=1,IF(M1369&gt;0,IF(P1369&lt;=G1369+Assumptions!$C$7,1,0),0),0)</f>
        <v/>
      </c>
      <c r="W1369">
        <f>IF(AND(U1369=1,M1369&gt;=H1369*(1-Assumptions!$C$8)),1,0)</f>
        <v/>
      </c>
      <c r="X1369">
        <f>IF(AND(U1369=1,N1369&gt;=H1369*(1-Assumptions!$C$8)),1,0)</f>
        <v/>
      </c>
      <c r="Y1369">
        <f>IF(ISNUMBER(Q1369),1,0)</f>
        <v/>
      </c>
      <c r="Z1369">
        <f>IF(AND(K1369=0,L1369=0,Y1369=0),1,0)</f>
        <v/>
      </c>
      <c r="AA1369">
        <f>IF(AND(Z1369=1,G1369&lt;Assumptions!$C$6),1,0)</f>
        <v/>
      </c>
      <c r="AB1369">
        <f>IF(U1369=0,"",IF(Y1369=1,MAX(0,Q1369-G1369),IF(L1369=1,MAX(0,R1369-G1369),MAX(0,Assumptions!$C$6-G1369))))</f>
        <v/>
      </c>
      <c r="AC1369">
        <f>IF(Y1369=1,Q1369-F1369,"")</f>
        <v/>
      </c>
      <c r="AD1369">
        <f>IF(Y1369=1,AC1369^2,"")</f>
        <v/>
      </c>
      <c r="AE1369" s="19">
        <f>IF(Z1369=1,(H1369-M1369)*I1369,0)</f>
        <v/>
      </c>
      <c r="AF1369">
        <f>IF(G1369&lt;EDATE(Assumptions!$C$6,-12)+1,"prior_12m","last_12m")</f>
        <v/>
      </c>
      <c r="AG1369" s="21">
        <f>DATE(YEAR(G1369),MONTH(G1369),1)</f>
        <v/>
      </c>
    </row>
    <row r="1370">
      <c r="A1370" t="inlineStr">
        <is>
          <t>SPO-00746-1</t>
        </is>
      </c>
      <c r="B1370" t="inlineStr">
        <is>
          <t>SPO-00746</t>
        </is>
      </c>
      <c r="C1370" t="inlineStr">
        <is>
          <t>SUP-10</t>
        </is>
      </c>
      <c r="D1370" t="inlineStr">
        <is>
          <t>PPE</t>
        </is>
      </c>
      <c r="E1370" t="inlineStr">
        <is>
          <t>PPE-05</t>
        </is>
      </c>
      <c r="F1370" s="17" t="n">
        <v>45772</v>
      </c>
      <c r="G1370" s="17" t="n">
        <v>45785</v>
      </c>
      <c r="H1370" s="18" t="n">
        <v>254</v>
      </c>
      <c r="I1370" s="19" t="n">
        <v>10.51</v>
      </c>
      <c r="J1370" s="19" t="n">
        <v>11</v>
      </c>
      <c r="K1370" s="20" t="n">
        <v>0</v>
      </c>
      <c r="L1370" s="20" t="n">
        <v>0</v>
      </c>
      <c r="M1370" s="18" t="n">
        <v>254</v>
      </c>
      <c r="N1370" s="18" t="n">
        <v>254</v>
      </c>
      <c r="O1370" s="18" t="n">
        <v>0</v>
      </c>
      <c r="P1370" s="17" t="n">
        <v>45782</v>
      </c>
      <c r="Q1370" s="17" t="n">
        <v>45782</v>
      </c>
      <c r="R1370" s="17" t="n">
        <v>45782</v>
      </c>
      <c r="S1370" s="19">
        <f>H1370*I1370</f>
        <v/>
      </c>
      <c r="T1370" s="19">
        <f>H1370*J1370</f>
        <v/>
      </c>
      <c r="U1370">
        <f>IF(AND(K1370=0,G1370&lt;=Assumptions!$C$6),1,0)</f>
        <v/>
      </c>
      <c r="V1370">
        <f>IF(U1370=1,IF(M1370&gt;0,IF(P1370&lt;=G1370+Assumptions!$C$7,1,0),0),0)</f>
        <v/>
      </c>
      <c r="W1370">
        <f>IF(AND(U1370=1,M1370&gt;=H1370*(1-Assumptions!$C$8)),1,0)</f>
        <v/>
      </c>
      <c r="X1370">
        <f>IF(AND(U1370=1,N1370&gt;=H1370*(1-Assumptions!$C$8)),1,0)</f>
        <v/>
      </c>
      <c r="Y1370">
        <f>IF(ISNUMBER(Q1370),1,0)</f>
        <v/>
      </c>
      <c r="Z1370">
        <f>IF(AND(K1370=0,L1370=0,Y1370=0),1,0)</f>
        <v/>
      </c>
      <c r="AA1370">
        <f>IF(AND(Z1370=1,G1370&lt;Assumptions!$C$6),1,0)</f>
        <v/>
      </c>
      <c r="AB1370">
        <f>IF(U1370=0,"",IF(Y1370=1,MAX(0,Q1370-G1370),IF(L1370=1,MAX(0,R1370-G1370),MAX(0,Assumptions!$C$6-G1370))))</f>
        <v/>
      </c>
      <c r="AC1370">
        <f>IF(Y1370=1,Q1370-F1370,"")</f>
        <v/>
      </c>
      <c r="AD1370">
        <f>IF(Y1370=1,AC1370^2,"")</f>
        <v/>
      </c>
      <c r="AE1370" s="19">
        <f>IF(Z1370=1,(H1370-M1370)*I1370,0)</f>
        <v/>
      </c>
      <c r="AF1370">
        <f>IF(G1370&lt;EDATE(Assumptions!$C$6,-12)+1,"prior_12m","last_12m")</f>
        <v/>
      </c>
      <c r="AG1370" s="21">
        <f>DATE(YEAR(G1370),MONTH(G1370),1)</f>
        <v/>
      </c>
    </row>
    <row r="1371">
      <c r="A1371" t="inlineStr">
        <is>
          <t>SPO-00747-1</t>
        </is>
      </c>
      <c r="B1371" t="inlineStr">
        <is>
          <t>SPO-00747</t>
        </is>
      </c>
      <c r="C1371" t="inlineStr">
        <is>
          <t>SUP-02</t>
        </is>
      </c>
      <c r="D1371" t="inlineStr">
        <is>
          <t>ELEC</t>
        </is>
      </c>
      <c r="E1371" t="inlineStr">
        <is>
          <t>ELEC-04</t>
        </is>
      </c>
      <c r="F1371" s="17" t="n">
        <v>45772</v>
      </c>
      <c r="G1371" s="17" t="n">
        <v>45788</v>
      </c>
      <c r="H1371" s="18" t="n">
        <v>35</v>
      </c>
      <c r="I1371" s="19" t="n">
        <v>69.2</v>
      </c>
      <c r="J1371" s="19" t="n">
        <v>72</v>
      </c>
      <c r="K1371" s="20" t="n">
        <v>0</v>
      </c>
      <c r="L1371" s="20" t="n">
        <v>0</v>
      </c>
      <c r="M1371" s="18" t="n">
        <v>35</v>
      </c>
      <c r="N1371" s="18" t="n">
        <v>35</v>
      </c>
      <c r="O1371" s="18" t="n">
        <v>0</v>
      </c>
      <c r="P1371" s="17" t="n">
        <v>45785</v>
      </c>
      <c r="Q1371" s="17" t="n">
        <v>45785</v>
      </c>
      <c r="R1371" s="17" t="n">
        <v>45785</v>
      </c>
      <c r="S1371" s="19">
        <f>H1371*I1371</f>
        <v/>
      </c>
      <c r="T1371" s="19">
        <f>H1371*J1371</f>
        <v/>
      </c>
      <c r="U1371">
        <f>IF(AND(K1371=0,G1371&lt;=Assumptions!$C$6),1,0)</f>
        <v/>
      </c>
      <c r="V1371">
        <f>IF(U1371=1,IF(M1371&gt;0,IF(P1371&lt;=G1371+Assumptions!$C$7,1,0),0),0)</f>
        <v/>
      </c>
      <c r="W1371">
        <f>IF(AND(U1371=1,M1371&gt;=H1371*(1-Assumptions!$C$8)),1,0)</f>
        <v/>
      </c>
      <c r="X1371">
        <f>IF(AND(U1371=1,N1371&gt;=H1371*(1-Assumptions!$C$8)),1,0)</f>
        <v/>
      </c>
      <c r="Y1371">
        <f>IF(ISNUMBER(Q1371),1,0)</f>
        <v/>
      </c>
      <c r="Z1371">
        <f>IF(AND(K1371=0,L1371=0,Y1371=0),1,0)</f>
        <v/>
      </c>
      <c r="AA1371">
        <f>IF(AND(Z1371=1,G1371&lt;Assumptions!$C$6),1,0)</f>
        <v/>
      </c>
      <c r="AB1371">
        <f>IF(U1371=0,"",IF(Y1371=1,MAX(0,Q1371-G1371),IF(L1371=1,MAX(0,R1371-G1371),MAX(0,Assumptions!$C$6-G1371))))</f>
        <v/>
      </c>
      <c r="AC1371">
        <f>IF(Y1371=1,Q1371-F1371,"")</f>
        <v/>
      </c>
      <c r="AD1371">
        <f>IF(Y1371=1,AC1371^2,"")</f>
        <v/>
      </c>
      <c r="AE1371" s="19">
        <f>IF(Z1371=1,(H1371-M1371)*I1371,0)</f>
        <v/>
      </c>
      <c r="AF1371">
        <f>IF(G1371&lt;EDATE(Assumptions!$C$6,-12)+1,"prior_12m","last_12m")</f>
        <v/>
      </c>
      <c r="AG1371" s="21">
        <f>DATE(YEAR(G1371),MONTH(G1371),1)</f>
        <v/>
      </c>
    </row>
    <row r="1372">
      <c r="A1372" t="inlineStr">
        <is>
          <t>SPO-00748-1</t>
        </is>
      </c>
      <c r="B1372" t="inlineStr">
        <is>
          <t>SPO-00748</t>
        </is>
      </c>
      <c r="C1372" t="inlineStr">
        <is>
          <t>SUP-12</t>
        </is>
      </c>
      <c r="D1372" t="inlineStr">
        <is>
          <t>IT</t>
        </is>
      </c>
      <c r="E1372" t="inlineStr">
        <is>
          <t>IT-01</t>
        </is>
      </c>
      <c r="F1372" s="17" t="n">
        <v>45773</v>
      </c>
      <c r="G1372" s="17" t="n">
        <v>45783</v>
      </c>
      <c r="H1372" s="18" t="n">
        <v>17</v>
      </c>
      <c r="I1372" s="19" t="n">
        <v>215.14</v>
      </c>
      <c r="J1372" s="19" t="n">
        <v>189</v>
      </c>
      <c r="K1372" s="20" t="n">
        <v>0</v>
      </c>
      <c r="L1372" s="20" t="n">
        <v>0</v>
      </c>
      <c r="M1372" s="18" t="n">
        <v>17</v>
      </c>
      <c r="N1372" s="18" t="n">
        <v>11</v>
      </c>
      <c r="O1372" s="18" t="n">
        <v>0</v>
      </c>
      <c r="P1372" s="17" t="n">
        <v>45779</v>
      </c>
      <c r="Q1372" s="17" t="n">
        <v>45796</v>
      </c>
      <c r="R1372" s="17" t="n">
        <v>45796</v>
      </c>
      <c r="S1372" s="19">
        <f>H1372*I1372</f>
        <v/>
      </c>
      <c r="T1372" s="19">
        <f>H1372*J1372</f>
        <v/>
      </c>
      <c r="U1372">
        <f>IF(AND(K1372=0,G1372&lt;=Assumptions!$C$6),1,0)</f>
        <v/>
      </c>
      <c r="V1372">
        <f>IF(U1372=1,IF(M1372&gt;0,IF(P1372&lt;=G1372+Assumptions!$C$7,1,0),0),0)</f>
        <v/>
      </c>
      <c r="W1372">
        <f>IF(AND(U1372=1,M1372&gt;=H1372*(1-Assumptions!$C$8)),1,0)</f>
        <v/>
      </c>
      <c r="X1372">
        <f>IF(AND(U1372=1,N1372&gt;=H1372*(1-Assumptions!$C$8)),1,0)</f>
        <v/>
      </c>
      <c r="Y1372">
        <f>IF(ISNUMBER(Q1372),1,0)</f>
        <v/>
      </c>
      <c r="Z1372">
        <f>IF(AND(K1372=0,L1372=0,Y1372=0),1,0)</f>
        <v/>
      </c>
      <c r="AA1372">
        <f>IF(AND(Z1372=1,G1372&lt;Assumptions!$C$6),1,0)</f>
        <v/>
      </c>
      <c r="AB1372">
        <f>IF(U1372=0,"",IF(Y1372=1,MAX(0,Q1372-G1372),IF(L1372=1,MAX(0,R1372-G1372),MAX(0,Assumptions!$C$6-G1372))))</f>
        <v/>
      </c>
      <c r="AC1372">
        <f>IF(Y1372=1,Q1372-F1372,"")</f>
        <v/>
      </c>
      <c r="AD1372">
        <f>IF(Y1372=1,AC1372^2,"")</f>
        <v/>
      </c>
      <c r="AE1372" s="19">
        <f>IF(Z1372=1,(H1372-M1372)*I1372,0)</f>
        <v/>
      </c>
      <c r="AF1372">
        <f>IF(G1372&lt;EDATE(Assumptions!$C$6,-12)+1,"prior_12m","last_12m")</f>
        <v/>
      </c>
      <c r="AG1372" s="21">
        <f>DATE(YEAR(G1372),MONTH(G1372),1)</f>
        <v/>
      </c>
    </row>
    <row r="1373">
      <c r="A1373" t="inlineStr">
        <is>
          <t>SPO-00749-1</t>
        </is>
      </c>
      <c r="B1373" t="inlineStr">
        <is>
          <t>SPO-00749</t>
        </is>
      </c>
      <c r="C1373" t="inlineStr">
        <is>
          <t>SUP-09</t>
        </is>
      </c>
      <c r="D1373" t="inlineStr">
        <is>
          <t>CHEM</t>
        </is>
      </c>
      <c r="E1373" t="inlineStr">
        <is>
          <t>CHEM-05</t>
        </is>
      </c>
      <c r="F1373" s="17" t="n">
        <v>45775</v>
      </c>
      <c r="G1373" s="17" t="n">
        <v>45789</v>
      </c>
      <c r="H1373" s="18" t="n">
        <v>1</v>
      </c>
      <c r="I1373" s="19" t="n">
        <v>949.0700000000001</v>
      </c>
      <c r="J1373" s="19" t="n">
        <v>930</v>
      </c>
      <c r="K1373" s="20" t="n">
        <v>0</v>
      </c>
      <c r="L1373" s="20" t="n">
        <v>0</v>
      </c>
      <c r="M1373" s="18" t="n">
        <v>1</v>
      </c>
      <c r="N1373" s="18" t="n">
        <v>1</v>
      </c>
      <c r="O1373" s="18" t="n">
        <v>0</v>
      </c>
      <c r="P1373" s="17" t="n">
        <v>45785</v>
      </c>
      <c r="Q1373" s="17" t="n">
        <v>45785</v>
      </c>
      <c r="R1373" s="17" t="n">
        <v>45785</v>
      </c>
      <c r="S1373" s="19">
        <f>H1373*I1373</f>
        <v/>
      </c>
      <c r="T1373" s="19">
        <f>H1373*J1373</f>
        <v/>
      </c>
      <c r="U1373">
        <f>IF(AND(K1373=0,G1373&lt;=Assumptions!$C$6),1,0)</f>
        <v/>
      </c>
      <c r="V1373">
        <f>IF(U1373=1,IF(M1373&gt;0,IF(P1373&lt;=G1373+Assumptions!$C$7,1,0),0),0)</f>
        <v/>
      </c>
      <c r="W1373">
        <f>IF(AND(U1373=1,M1373&gt;=H1373*(1-Assumptions!$C$8)),1,0)</f>
        <v/>
      </c>
      <c r="X1373">
        <f>IF(AND(U1373=1,N1373&gt;=H1373*(1-Assumptions!$C$8)),1,0)</f>
        <v/>
      </c>
      <c r="Y1373">
        <f>IF(ISNUMBER(Q1373),1,0)</f>
        <v/>
      </c>
      <c r="Z1373">
        <f>IF(AND(K1373=0,L1373=0,Y1373=0),1,0)</f>
        <v/>
      </c>
      <c r="AA1373">
        <f>IF(AND(Z1373=1,G1373&lt;Assumptions!$C$6),1,0)</f>
        <v/>
      </c>
      <c r="AB1373">
        <f>IF(U1373=0,"",IF(Y1373=1,MAX(0,Q1373-G1373),IF(L1373=1,MAX(0,R1373-G1373),MAX(0,Assumptions!$C$6-G1373))))</f>
        <v/>
      </c>
      <c r="AC1373">
        <f>IF(Y1373=1,Q1373-F1373,"")</f>
        <v/>
      </c>
      <c r="AD1373">
        <f>IF(Y1373=1,AC1373^2,"")</f>
        <v/>
      </c>
      <c r="AE1373" s="19">
        <f>IF(Z1373=1,(H1373-M1373)*I1373,0)</f>
        <v/>
      </c>
      <c r="AF1373">
        <f>IF(G1373&lt;EDATE(Assumptions!$C$6,-12)+1,"prior_12m","last_12m")</f>
        <v/>
      </c>
      <c r="AG1373" s="21">
        <f>DATE(YEAR(G1373),MONTH(G1373),1)</f>
        <v/>
      </c>
    </row>
    <row r="1374">
      <c r="A1374" t="inlineStr">
        <is>
          <t>SPO-00750-1</t>
        </is>
      </c>
      <c r="B1374" t="inlineStr">
        <is>
          <t>SPO-00750</t>
        </is>
      </c>
      <c r="C1374" t="inlineStr">
        <is>
          <t>SUP-06</t>
        </is>
      </c>
      <c r="D1374" t="inlineStr">
        <is>
          <t>MRO</t>
        </is>
      </c>
      <c r="E1374" t="inlineStr">
        <is>
          <t>MRO-08</t>
        </is>
      </c>
      <c r="F1374" s="17" t="n">
        <v>45775</v>
      </c>
      <c r="G1374" s="17" t="n">
        <v>45783</v>
      </c>
      <c r="H1374" s="18" t="n">
        <v>390</v>
      </c>
      <c r="I1374" s="19" t="n">
        <v>7.4</v>
      </c>
      <c r="J1374" s="19" t="n">
        <v>7.2</v>
      </c>
      <c r="K1374" s="20" t="n">
        <v>0</v>
      </c>
      <c r="L1374" s="20" t="n">
        <v>0</v>
      </c>
      <c r="M1374" s="18" t="n">
        <v>390</v>
      </c>
      <c r="N1374" s="18" t="n">
        <v>390</v>
      </c>
      <c r="O1374" s="18" t="n">
        <v>0</v>
      </c>
      <c r="P1374" s="17" t="n">
        <v>45781</v>
      </c>
      <c r="Q1374" s="17" t="n">
        <v>45781</v>
      </c>
      <c r="R1374" s="17" t="n">
        <v>45781</v>
      </c>
      <c r="S1374" s="19">
        <f>H1374*I1374</f>
        <v/>
      </c>
      <c r="T1374" s="19">
        <f>H1374*J1374</f>
        <v/>
      </c>
      <c r="U1374">
        <f>IF(AND(K1374=0,G1374&lt;=Assumptions!$C$6),1,0)</f>
        <v/>
      </c>
      <c r="V1374">
        <f>IF(U1374=1,IF(M1374&gt;0,IF(P1374&lt;=G1374+Assumptions!$C$7,1,0),0),0)</f>
        <v/>
      </c>
      <c r="W1374">
        <f>IF(AND(U1374=1,M1374&gt;=H1374*(1-Assumptions!$C$8)),1,0)</f>
        <v/>
      </c>
      <c r="X1374">
        <f>IF(AND(U1374=1,N1374&gt;=H1374*(1-Assumptions!$C$8)),1,0)</f>
        <v/>
      </c>
      <c r="Y1374">
        <f>IF(ISNUMBER(Q1374),1,0)</f>
        <v/>
      </c>
      <c r="Z1374">
        <f>IF(AND(K1374=0,L1374=0,Y1374=0),1,0)</f>
        <v/>
      </c>
      <c r="AA1374">
        <f>IF(AND(Z1374=1,G1374&lt;Assumptions!$C$6),1,0)</f>
        <v/>
      </c>
      <c r="AB1374">
        <f>IF(U1374=0,"",IF(Y1374=1,MAX(0,Q1374-G1374),IF(L1374=1,MAX(0,R1374-G1374),MAX(0,Assumptions!$C$6-G1374))))</f>
        <v/>
      </c>
      <c r="AC1374">
        <f>IF(Y1374=1,Q1374-F1374,"")</f>
        <v/>
      </c>
      <c r="AD1374">
        <f>IF(Y1374=1,AC1374^2,"")</f>
        <v/>
      </c>
      <c r="AE1374" s="19">
        <f>IF(Z1374=1,(H1374-M1374)*I1374,0)</f>
        <v/>
      </c>
      <c r="AF1374">
        <f>IF(G1374&lt;EDATE(Assumptions!$C$6,-12)+1,"prior_12m","last_12m")</f>
        <v/>
      </c>
      <c r="AG1374" s="21">
        <f>DATE(YEAR(G1374),MONTH(G1374),1)</f>
        <v/>
      </c>
    </row>
    <row r="1375">
      <c r="A1375" t="inlineStr">
        <is>
          <t>SPO-00750-2</t>
        </is>
      </c>
      <c r="B1375" t="inlineStr">
        <is>
          <t>SPO-00750</t>
        </is>
      </c>
      <c r="C1375" t="inlineStr">
        <is>
          <t>SUP-06</t>
        </is>
      </c>
      <c r="D1375" t="inlineStr">
        <is>
          <t>MRO</t>
        </is>
      </c>
      <c r="E1375" t="inlineStr">
        <is>
          <t>MRO-06</t>
        </is>
      </c>
      <c r="F1375" s="17" t="n">
        <v>45775</v>
      </c>
      <c r="G1375" s="17" t="n">
        <v>45783</v>
      </c>
      <c r="H1375" s="18" t="n">
        <v>246</v>
      </c>
      <c r="I1375" s="19" t="n">
        <v>6.26</v>
      </c>
      <c r="J1375" s="19" t="n">
        <v>6.1</v>
      </c>
      <c r="K1375" s="20" t="n">
        <v>0</v>
      </c>
      <c r="L1375" s="20" t="n">
        <v>0</v>
      </c>
      <c r="M1375" s="18" t="n">
        <v>246</v>
      </c>
      <c r="N1375" s="18" t="n">
        <v>246</v>
      </c>
      <c r="O1375" s="18" t="n">
        <v>0</v>
      </c>
      <c r="P1375" s="17" t="n">
        <v>45782</v>
      </c>
      <c r="Q1375" s="17" t="n">
        <v>45782</v>
      </c>
      <c r="R1375" s="17" t="n">
        <v>45782</v>
      </c>
      <c r="S1375" s="19">
        <f>H1375*I1375</f>
        <v/>
      </c>
      <c r="T1375" s="19">
        <f>H1375*J1375</f>
        <v/>
      </c>
      <c r="U1375">
        <f>IF(AND(K1375=0,G1375&lt;=Assumptions!$C$6),1,0)</f>
        <v/>
      </c>
      <c r="V1375">
        <f>IF(U1375=1,IF(M1375&gt;0,IF(P1375&lt;=G1375+Assumptions!$C$7,1,0),0),0)</f>
        <v/>
      </c>
      <c r="W1375">
        <f>IF(AND(U1375=1,M1375&gt;=H1375*(1-Assumptions!$C$8)),1,0)</f>
        <v/>
      </c>
      <c r="X1375">
        <f>IF(AND(U1375=1,N1375&gt;=H1375*(1-Assumptions!$C$8)),1,0)</f>
        <v/>
      </c>
      <c r="Y1375">
        <f>IF(ISNUMBER(Q1375),1,0)</f>
        <v/>
      </c>
      <c r="Z1375">
        <f>IF(AND(K1375=0,L1375=0,Y1375=0),1,0)</f>
        <v/>
      </c>
      <c r="AA1375">
        <f>IF(AND(Z1375=1,G1375&lt;Assumptions!$C$6),1,0)</f>
        <v/>
      </c>
      <c r="AB1375">
        <f>IF(U1375=0,"",IF(Y1375=1,MAX(0,Q1375-G1375),IF(L1375=1,MAX(0,R1375-G1375),MAX(0,Assumptions!$C$6-G1375))))</f>
        <v/>
      </c>
      <c r="AC1375">
        <f>IF(Y1375=1,Q1375-F1375,"")</f>
        <v/>
      </c>
      <c r="AD1375">
        <f>IF(Y1375=1,AC1375^2,"")</f>
        <v/>
      </c>
      <c r="AE1375" s="19">
        <f>IF(Z1375=1,(H1375-M1375)*I1375,0)</f>
        <v/>
      </c>
      <c r="AF1375">
        <f>IF(G1375&lt;EDATE(Assumptions!$C$6,-12)+1,"prior_12m","last_12m")</f>
        <v/>
      </c>
      <c r="AG1375" s="21">
        <f>DATE(YEAR(G1375),MONTH(G1375),1)</f>
        <v/>
      </c>
    </row>
    <row r="1376">
      <c r="A1376" t="inlineStr">
        <is>
          <t>SPO-00750-3</t>
        </is>
      </c>
      <c r="B1376" t="inlineStr">
        <is>
          <t>SPO-00750</t>
        </is>
      </c>
      <c r="C1376" t="inlineStr">
        <is>
          <t>SUP-06</t>
        </is>
      </c>
      <c r="D1376" t="inlineStr">
        <is>
          <t>MRO</t>
        </is>
      </c>
      <c r="E1376" t="inlineStr">
        <is>
          <t>MRO-03</t>
        </is>
      </c>
      <c r="F1376" s="17" t="n">
        <v>45775</v>
      </c>
      <c r="G1376" s="17" t="n">
        <v>45783</v>
      </c>
      <c r="H1376" s="18" t="n">
        <v>186</v>
      </c>
      <c r="I1376" s="19" t="n">
        <v>9</v>
      </c>
      <c r="J1376" s="19" t="n">
        <v>8.9</v>
      </c>
      <c r="K1376" s="20" t="n">
        <v>0</v>
      </c>
      <c r="L1376" s="20" t="n">
        <v>0</v>
      </c>
      <c r="M1376" s="18" t="n">
        <v>186</v>
      </c>
      <c r="N1376" s="18" t="n">
        <v>186</v>
      </c>
      <c r="O1376" s="18" t="n">
        <v>0</v>
      </c>
      <c r="P1376" s="17" t="n">
        <v>45780</v>
      </c>
      <c r="Q1376" s="17" t="n">
        <v>45780</v>
      </c>
      <c r="R1376" s="17" t="n">
        <v>45780</v>
      </c>
      <c r="S1376" s="19">
        <f>H1376*I1376</f>
        <v/>
      </c>
      <c r="T1376" s="19">
        <f>H1376*J1376</f>
        <v/>
      </c>
      <c r="U1376">
        <f>IF(AND(K1376=0,G1376&lt;=Assumptions!$C$6),1,0)</f>
        <v/>
      </c>
      <c r="V1376">
        <f>IF(U1376=1,IF(M1376&gt;0,IF(P1376&lt;=G1376+Assumptions!$C$7,1,0),0),0)</f>
        <v/>
      </c>
      <c r="W1376">
        <f>IF(AND(U1376=1,M1376&gt;=H1376*(1-Assumptions!$C$8)),1,0)</f>
        <v/>
      </c>
      <c r="X1376">
        <f>IF(AND(U1376=1,N1376&gt;=H1376*(1-Assumptions!$C$8)),1,0)</f>
        <v/>
      </c>
      <c r="Y1376">
        <f>IF(ISNUMBER(Q1376),1,0)</f>
        <v/>
      </c>
      <c r="Z1376">
        <f>IF(AND(K1376=0,L1376=0,Y1376=0),1,0)</f>
        <v/>
      </c>
      <c r="AA1376">
        <f>IF(AND(Z1376=1,G1376&lt;Assumptions!$C$6),1,0)</f>
        <v/>
      </c>
      <c r="AB1376">
        <f>IF(U1376=0,"",IF(Y1376=1,MAX(0,Q1376-G1376),IF(L1376=1,MAX(0,R1376-G1376),MAX(0,Assumptions!$C$6-G1376))))</f>
        <v/>
      </c>
      <c r="AC1376">
        <f>IF(Y1376=1,Q1376-F1376,"")</f>
        <v/>
      </c>
      <c r="AD1376">
        <f>IF(Y1376=1,AC1376^2,"")</f>
        <v/>
      </c>
      <c r="AE1376" s="19">
        <f>IF(Z1376=1,(H1376-M1376)*I1376,0)</f>
        <v/>
      </c>
      <c r="AF1376">
        <f>IF(G1376&lt;EDATE(Assumptions!$C$6,-12)+1,"prior_12m","last_12m")</f>
        <v/>
      </c>
      <c r="AG1376" s="21">
        <f>DATE(YEAR(G1376),MONTH(G1376),1)</f>
        <v/>
      </c>
    </row>
    <row r="1377">
      <c r="A1377" t="inlineStr">
        <is>
          <t>SPO-00751-1</t>
        </is>
      </c>
      <c r="B1377" t="inlineStr">
        <is>
          <t>SPO-00751</t>
        </is>
      </c>
      <c r="C1377" t="inlineStr">
        <is>
          <t>SUP-10</t>
        </is>
      </c>
      <c r="D1377" t="inlineStr">
        <is>
          <t>PPE</t>
        </is>
      </c>
      <c r="E1377" t="inlineStr">
        <is>
          <t>PPE-01</t>
        </is>
      </c>
      <c r="F1377" s="17" t="n">
        <v>45775</v>
      </c>
      <c r="G1377" s="17" t="n">
        <v>45788</v>
      </c>
      <c r="H1377" s="18" t="n">
        <v>473</v>
      </c>
      <c r="I1377" s="19" t="n">
        <v>4.38</v>
      </c>
      <c r="J1377" s="19" t="n">
        <v>4.8</v>
      </c>
      <c r="K1377" s="20" t="n">
        <v>0</v>
      </c>
      <c r="L1377" s="20" t="n">
        <v>0</v>
      </c>
      <c r="M1377" s="18" t="n">
        <v>473</v>
      </c>
      <c r="N1377" s="18" t="n">
        <v>473</v>
      </c>
      <c r="O1377" s="18" t="n">
        <v>0</v>
      </c>
      <c r="P1377" s="17" t="n">
        <v>45782</v>
      </c>
      <c r="Q1377" s="17" t="n">
        <v>45782</v>
      </c>
      <c r="R1377" s="17" t="n">
        <v>45782</v>
      </c>
      <c r="S1377" s="19">
        <f>H1377*I1377</f>
        <v/>
      </c>
      <c r="T1377" s="19">
        <f>H1377*J1377</f>
        <v/>
      </c>
      <c r="U1377">
        <f>IF(AND(K1377=0,G1377&lt;=Assumptions!$C$6),1,0)</f>
        <v/>
      </c>
      <c r="V1377">
        <f>IF(U1377=1,IF(M1377&gt;0,IF(P1377&lt;=G1377+Assumptions!$C$7,1,0),0),0)</f>
        <v/>
      </c>
      <c r="W1377">
        <f>IF(AND(U1377=1,M1377&gt;=H1377*(1-Assumptions!$C$8)),1,0)</f>
        <v/>
      </c>
      <c r="X1377">
        <f>IF(AND(U1377=1,N1377&gt;=H1377*(1-Assumptions!$C$8)),1,0)</f>
        <v/>
      </c>
      <c r="Y1377">
        <f>IF(ISNUMBER(Q1377),1,0)</f>
        <v/>
      </c>
      <c r="Z1377">
        <f>IF(AND(K1377=0,L1377=0,Y1377=0),1,0)</f>
        <v/>
      </c>
      <c r="AA1377">
        <f>IF(AND(Z1377=1,G1377&lt;Assumptions!$C$6),1,0)</f>
        <v/>
      </c>
      <c r="AB1377">
        <f>IF(U1377=0,"",IF(Y1377=1,MAX(0,Q1377-G1377),IF(L1377=1,MAX(0,R1377-G1377),MAX(0,Assumptions!$C$6-G1377))))</f>
        <v/>
      </c>
      <c r="AC1377">
        <f>IF(Y1377=1,Q1377-F1377,"")</f>
        <v/>
      </c>
      <c r="AD1377">
        <f>IF(Y1377=1,AC1377^2,"")</f>
        <v/>
      </c>
      <c r="AE1377" s="19">
        <f>IF(Z1377=1,(H1377-M1377)*I1377,0)</f>
        <v/>
      </c>
      <c r="AF1377">
        <f>IF(G1377&lt;EDATE(Assumptions!$C$6,-12)+1,"prior_12m","last_12m")</f>
        <v/>
      </c>
      <c r="AG1377" s="21">
        <f>DATE(YEAR(G1377),MONTH(G1377),1)</f>
        <v/>
      </c>
    </row>
    <row r="1378">
      <c r="A1378" t="inlineStr">
        <is>
          <t>SPO-00752-1</t>
        </is>
      </c>
      <c r="B1378" t="inlineStr">
        <is>
          <t>SPO-00752</t>
        </is>
      </c>
      <c r="C1378" t="inlineStr">
        <is>
          <t>SUP-01</t>
        </is>
      </c>
      <c r="D1378" t="inlineStr">
        <is>
          <t>ELEC</t>
        </is>
      </c>
      <c r="E1378" t="inlineStr">
        <is>
          <t>ELEC-04</t>
        </is>
      </c>
      <c r="F1378" s="17" t="n">
        <v>45776</v>
      </c>
      <c r="G1378" s="17" t="n">
        <v>45794</v>
      </c>
      <c r="H1378" s="18" t="n">
        <v>21</v>
      </c>
      <c r="I1378" s="19" t="n">
        <v>70.14</v>
      </c>
      <c r="J1378" s="19" t="n">
        <v>72</v>
      </c>
      <c r="K1378" s="20" t="n">
        <v>0</v>
      </c>
      <c r="L1378" s="20" t="n">
        <v>0</v>
      </c>
      <c r="M1378" s="18" t="n">
        <v>21</v>
      </c>
      <c r="N1378" s="18" t="n">
        <v>21</v>
      </c>
      <c r="O1378" s="18" t="n">
        <v>0</v>
      </c>
      <c r="P1378" s="17" t="n">
        <v>45792</v>
      </c>
      <c r="Q1378" s="17" t="n">
        <v>45792</v>
      </c>
      <c r="R1378" s="17" t="n">
        <v>45792</v>
      </c>
      <c r="S1378" s="19">
        <f>H1378*I1378</f>
        <v/>
      </c>
      <c r="T1378" s="19">
        <f>H1378*J1378</f>
        <v/>
      </c>
      <c r="U1378">
        <f>IF(AND(K1378=0,G1378&lt;=Assumptions!$C$6),1,0)</f>
        <v/>
      </c>
      <c r="V1378">
        <f>IF(U1378=1,IF(M1378&gt;0,IF(P1378&lt;=G1378+Assumptions!$C$7,1,0),0),0)</f>
        <v/>
      </c>
      <c r="W1378">
        <f>IF(AND(U1378=1,M1378&gt;=H1378*(1-Assumptions!$C$8)),1,0)</f>
        <v/>
      </c>
      <c r="X1378">
        <f>IF(AND(U1378=1,N1378&gt;=H1378*(1-Assumptions!$C$8)),1,0)</f>
        <v/>
      </c>
      <c r="Y1378">
        <f>IF(ISNUMBER(Q1378),1,0)</f>
        <v/>
      </c>
      <c r="Z1378">
        <f>IF(AND(K1378=0,L1378=0,Y1378=0),1,0)</f>
        <v/>
      </c>
      <c r="AA1378">
        <f>IF(AND(Z1378=1,G1378&lt;Assumptions!$C$6),1,0)</f>
        <v/>
      </c>
      <c r="AB1378">
        <f>IF(U1378=0,"",IF(Y1378=1,MAX(0,Q1378-G1378),IF(L1378=1,MAX(0,R1378-G1378),MAX(0,Assumptions!$C$6-G1378))))</f>
        <v/>
      </c>
      <c r="AC1378">
        <f>IF(Y1378=1,Q1378-F1378,"")</f>
        <v/>
      </c>
      <c r="AD1378">
        <f>IF(Y1378=1,AC1378^2,"")</f>
        <v/>
      </c>
      <c r="AE1378" s="19">
        <f>IF(Z1378=1,(H1378-M1378)*I1378,0)</f>
        <v/>
      </c>
      <c r="AF1378">
        <f>IF(G1378&lt;EDATE(Assumptions!$C$6,-12)+1,"prior_12m","last_12m")</f>
        <v/>
      </c>
      <c r="AG1378" s="21">
        <f>DATE(YEAR(G1378),MONTH(G1378),1)</f>
        <v/>
      </c>
    </row>
    <row r="1379">
      <c r="A1379" t="inlineStr">
        <is>
          <t>SPO-00752-2</t>
        </is>
      </c>
      <c r="B1379" t="inlineStr">
        <is>
          <t>SPO-00752</t>
        </is>
      </c>
      <c r="C1379" t="inlineStr">
        <is>
          <t>SUP-01</t>
        </is>
      </c>
      <c r="D1379" t="inlineStr">
        <is>
          <t>ELEC</t>
        </is>
      </c>
      <c r="E1379" t="inlineStr">
        <is>
          <t>ELEC-07</t>
        </is>
      </c>
      <c r="F1379" s="17" t="n">
        <v>45776</v>
      </c>
      <c r="G1379" s="17" t="n">
        <v>45794</v>
      </c>
      <c r="H1379" s="18" t="n">
        <v>168</v>
      </c>
      <c r="I1379" s="19" t="n">
        <v>9.609999999999999</v>
      </c>
      <c r="J1379" s="19" t="n">
        <v>9.800000000000001</v>
      </c>
      <c r="K1379" s="20" t="n">
        <v>0</v>
      </c>
      <c r="L1379" s="20" t="n">
        <v>0</v>
      </c>
      <c r="M1379" s="18" t="n">
        <v>168</v>
      </c>
      <c r="N1379" s="18" t="n">
        <v>168</v>
      </c>
      <c r="O1379" s="18" t="n">
        <v>0</v>
      </c>
      <c r="P1379" s="17" t="n">
        <v>45793</v>
      </c>
      <c r="Q1379" s="17" t="n">
        <v>45793</v>
      </c>
      <c r="R1379" s="17" t="n">
        <v>45793</v>
      </c>
      <c r="S1379" s="19">
        <f>H1379*I1379</f>
        <v/>
      </c>
      <c r="T1379" s="19">
        <f>H1379*J1379</f>
        <v/>
      </c>
      <c r="U1379">
        <f>IF(AND(K1379=0,G1379&lt;=Assumptions!$C$6),1,0)</f>
        <v/>
      </c>
      <c r="V1379">
        <f>IF(U1379=1,IF(M1379&gt;0,IF(P1379&lt;=G1379+Assumptions!$C$7,1,0),0),0)</f>
        <v/>
      </c>
      <c r="W1379">
        <f>IF(AND(U1379=1,M1379&gt;=H1379*(1-Assumptions!$C$8)),1,0)</f>
        <v/>
      </c>
      <c r="X1379">
        <f>IF(AND(U1379=1,N1379&gt;=H1379*(1-Assumptions!$C$8)),1,0)</f>
        <v/>
      </c>
      <c r="Y1379">
        <f>IF(ISNUMBER(Q1379),1,0)</f>
        <v/>
      </c>
      <c r="Z1379">
        <f>IF(AND(K1379=0,L1379=0,Y1379=0),1,0)</f>
        <v/>
      </c>
      <c r="AA1379">
        <f>IF(AND(Z1379=1,G1379&lt;Assumptions!$C$6),1,0)</f>
        <v/>
      </c>
      <c r="AB1379">
        <f>IF(U1379=0,"",IF(Y1379=1,MAX(0,Q1379-G1379),IF(L1379=1,MAX(0,R1379-G1379),MAX(0,Assumptions!$C$6-G1379))))</f>
        <v/>
      </c>
      <c r="AC1379">
        <f>IF(Y1379=1,Q1379-F1379,"")</f>
        <v/>
      </c>
      <c r="AD1379">
        <f>IF(Y1379=1,AC1379^2,"")</f>
        <v/>
      </c>
      <c r="AE1379" s="19">
        <f>IF(Z1379=1,(H1379-M1379)*I1379,0)</f>
        <v/>
      </c>
      <c r="AF1379">
        <f>IF(G1379&lt;EDATE(Assumptions!$C$6,-12)+1,"prior_12m","last_12m")</f>
        <v/>
      </c>
      <c r="AG1379" s="21">
        <f>DATE(YEAR(G1379),MONTH(G1379),1)</f>
        <v/>
      </c>
    </row>
    <row r="1380">
      <c r="A1380" t="inlineStr">
        <is>
          <t>SPO-00753-1</t>
        </is>
      </c>
      <c r="B1380" t="inlineStr">
        <is>
          <t>SPO-00753</t>
        </is>
      </c>
      <c r="C1380" t="inlineStr">
        <is>
          <t>SUP-04</t>
        </is>
      </c>
      <c r="D1380" t="inlineStr">
        <is>
          <t>FLEET</t>
        </is>
      </c>
      <c r="E1380" t="inlineStr">
        <is>
          <t>FLEET-04</t>
        </is>
      </c>
      <c r="F1380" s="17" t="n">
        <v>45776</v>
      </c>
      <c r="G1380" s="17" t="n">
        <v>45789</v>
      </c>
      <c r="H1380" s="18" t="n">
        <v>281</v>
      </c>
      <c r="I1380" s="19" t="n">
        <v>8.92</v>
      </c>
      <c r="J1380" s="19" t="n">
        <v>9</v>
      </c>
      <c r="K1380" s="20" t="n">
        <v>0</v>
      </c>
      <c r="L1380" s="20" t="n">
        <v>0</v>
      </c>
      <c r="M1380" s="18" t="n">
        <v>281</v>
      </c>
      <c r="N1380" s="18" t="n">
        <v>0</v>
      </c>
      <c r="O1380" s="18" t="n">
        <v>0</v>
      </c>
      <c r="P1380" s="17" t="n">
        <v>45874</v>
      </c>
      <c r="Q1380" s="17" t="n">
        <v>45874</v>
      </c>
      <c r="R1380" s="17" t="n">
        <v>45874</v>
      </c>
      <c r="S1380" s="19">
        <f>H1380*I1380</f>
        <v/>
      </c>
      <c r="T1380" s="19">
        <f>H1380*J1380</f>
        <v/>
      </c>
      <c r="U1380">
        <f>IF(AND(K1380=0,G1380&lt;=Assumptions!$C$6),1,0)</f>
        <v/>
      </c>
      <c r="V1380">
        <f>IF(U1380=1,IF(M1380&gt;0,IF(P1380&lt;=G1380+Assumptions!$C$7,1,0),0),0)</f>
        <v/>
      </c>
      <c r="W1380">
        <f>IF(AND(U1380=1,M1380&gt;=H1380*(1-Assumptions!$C$8)),1,0)</f>
        <v/>
      </c>
      <c r="X1380">
        <f>IF(AND(U1380=1,N1380&gt;=H1380*(1-Assumptions!$C$8)),1,0)</f>
        <v/>
      </c>
      <c r="Y1380">
        <f>IF(ISNUMBER(Q1380),1,0)</f>
        <v/>
      </c>
      <c r="Z1380">
        <f>IF(AND(K1380=0,L1380=0,Y1380=0),1,0)</f>
        <v/>
      </c>
      <c r="AA1380">
        <f>IF(AND(Z1380=1,G1380&lt;Assumptions!$C$6),1,0)</f>
        <v/>
      </c>
      <c r="AB1380">
        <f>IF(U1380=0,"",IF(Y1380=1,MAX(0,Q1380-G1380),IF(L1380=1,MAX(0,R1380-G1380),MAX(0,Assumptions!$C$6-G1380))))</f>
        <v/>
      </c>
      <c r="AC1380">
        <f>IF(Y1380=1,Q1380-F1380,"")</f>
        <v/>
      </c>
      <c r="AD1380">
        <f>IF(Y1380=1,AC1380^2,"")</f>
        <v/>
      </c>
      <c r="AE1380" s="19">
        <f>IF(Z1380=1,(H1380-M1380)*I1380,0)</f>
        <v/>
      </c>
      <c r="AF1380">
        <f>IF(G1380&lt;EDATE(Assumptions!$C$6,-12)+1,"prior_12m","last_12m")</f>
        <v/>
      </c>
      <c r="AG1380" s="21">
        <f>DATE(YEAR(G1380),MONTH(G1380),1)</f>
        <v/>
      </c>
    </row>
    <row r="1381">
      <c r="A1381" t="inlineStr">
        <is>
          <t>SPO-00754-1</t>
        </is>
      </c>
      <c r="B1381" t="inlineStr">
        <is>
          <t>SPO-00754</t>
        </is>
      </c>
      <c r="C1381" t="inlineStr">
        <is>
          <t>SUP-01</t>
        </is>
      </c>
      <c r="D1381" t="inlineStr">
        <is>
          <t>ELEC</t>
        </is>
      </c>
      <c r="E1381" t="inlineStr">
        <is>
          <t>ELEC-01</t>
        </is>
      </c>
      <c r="F1381" s="17" t="n">
        <v>45776</v>
      </c>
      <c r="G1381" s="17" t="n">
        <v>45794</v>
      </c>
      <c r="H1381" s="18" t="n">
        <v>88</v>
      </c>
      <c r="I1381" s="19" t="n">
        <v>38.71</v>
      </c>
      <c r="J1381" s="19" t="n">
        <v>38</v>
      </c>
      <c r="K1381" s="20" t="n">
        <v>0</v>
      </c>
      <c r="L1381" s="20" t="n">
        <v>0</v>
      </c>
      <c r="M1381" s="18" t="n">
        <v>88</v>
      </c>
      <c r="N1381" s="18" t="n">
        <v>88</v>
      </c>
      <c r="O1381" s="18" t="n">
        <v>0</v>
      </c>
      <c r="P1381" s="17" t="n">
        <v>45791</v>
      </c>
      <c r="Q1381" s="17" t="n">
        <v>45791</v>
      </c>
      <c r="R1381" s="17" t="n">
        <v>45791</v>
      </c>
      <c r="S1381" s="19">
        <f>H1381*I1381</f>
        <v/>
      </c>
      <c r="T1381" s="19">
        <f>H1381*J1381</f>
        <v/>
      </c>
      <c r="U1381">
        <f>IF(AND(K1381=0,G1381&lt;=Assumptions!$C$6),1,0)</f>
        <v/>
      </c>
      <c r="V1381">
        <f>IF(U1381=1,IF(M1381&gt;0,IF(P1381&lt;=G1381+Assumptions!$C$7,1,0),0),0)</f>
        <v/>
      </c>
      <c r="W1381">
        <f>IF(AND(U1381=1,M1381&gt;=H1381*(1-Assumptions!$C$8)),1,0)</f>
        <v/>
      </c>
      <c r="X1381">
        <f>IF(AND(U1381=1,N1381&gt;=H1381*(1-Assumptions!$C$8)),1,0)</f>
        <v/>
      </c>
      <c r="Y1381">
        <f>IF(ISNUMBER(Q1381),1,0)</f>
        <v/>
      </c>
      <c r="Z1381">
        <f>IF(AND(K1381=0,L1381=0,Y1381=0),1,0)</f>
        <v/>
      </c>
      <c r="AA1381">
        <f>IF(AND(Z1381=1,G1381&lt;Assumptions!$C$6),1,0)</f>
        <v/>
      </c>
      <c r="AB1381">
        <f>IF(U1381=0,"",IF(Y1381=1,MAX(0,Q1381-G1381),IF(L1381=1,MAX(0,R1381-G1381),MAX(0,Assumptions!$C$6-G1381))))</f>
        <v/>
      </c>
      <c r="AC1381">
        <f>IF(Y1381=1,Q1381-F1381,"")</f>
        <v/>
      </c>
      <c r="AD1381">
        <f>IF(Y1381=1,AC1381^2,"")</f>
        <v/>
      </c>
      <c r="AE1381" s="19">
        <f>IF(Z1381=1,(H1381-M1381)*I1381,0)</f>
        <v/>
      </c>
      <c r="AF1381">
        <f>IF(G1381&lt;EDATE(Assumptions!$C$6,-12)+1,"prior_12m","last_12m")</f>
        <v/>
      </c>
      <c r="AG1381" s="21">
        <f>DATE(YEAR(G1381),MONTH(G1381),1)</f>
        <v/>
      </c>
    </row>
    <row r="1382">
      <c r="A1382" t="inlineStr">
        <is>
          <t>SPO-00755-1</t>
        </is>
      </c>
      <c r="B1382" t="inlineStr">
        <is>
          <t>SPO-00755</t>
        </is>
      </c>
      <c r="C1382" t="inlineStr">
        <is>
          <t>SUP-12</t>
        </is>
      </c>
      <c r="D1382" t="inlineStr">
        <is>
          <t>IT</t>
        </is>
      </c>
      <c r="E1382" t="inlineStr">
        <is>
          <t>IT-04</t>
        </is>
      </c>
      <c r="F1382" s="17" t="n">
        <v>45777</v>
      </c>
      <c r="G1382" s="17" t="n">
        <v>45787</v>
      </c>
      <c r="H1382" s="18" t="n">
        <v>123</v>
      </c>
      <c r="I1382" s="19" t="n">
        <v>13.82</v>
      </c>
      <c r="J1382" s="19" t="n">
        <v>12</v>
      </c>
      <c r="K1382" s="20" t="n">
        <v>0</v>
      </c>
      <c r="L1382" s="20" t="n">
        <v>0</v>
      </c>
      <c r="M1382" s="18" t="n">
        <v>123</v>
      </c>
      <c r="N1382" s="18" t="n">
        <v>123</v>
      </c>
      <c r="O1382" s="18" t="n">
        <v>0</v>
      </c>
      <c r="P1382" s="17" t="n">
        <v>45780</v>
      </c>
      <c r="Q1382" s="17" t="n">
        <v>45780</v>
      </c>
      <c r="R1382" s="17" t="n">
        <v>45780</v>
      </c>
      <c r="S1382" s="19">
        <f>H1382*I1382</f>
        <v/>
      </c>
      <c r="T1382" s="19">
        <f>H1382*J1382</f>
        <v/>
      </c>
      <c r="U1382">
        <f>IF(AND(K1382=0,G1382&lt;=Assumptions!$C$6),1,0)</f>
        <v/>
      </c>
      <c r="V1382">
        <f>IF(U1382=1,IF(M1382&gt;0,IF(P1382&lt;=G1382+Assumptions!$C$7,1,0),0),0)</f>
        <v/>
      </c>
      <c r="W1382">
        <f>IF(AND(U1382=1,M1382&gt;=H1382*(1-Assumptions!$C$8)),1,0)</f>
        <v/>
      </c>
      <c r="X1382">
        <f>IF(AND(U1382=1,N1382&gt;=H1382*(1-Assumptions!$C$8)),1,0)</f>
        <v/>
      </c>
      <c r="Y1382">
        <f>IF(ISNUMBER(Q1382),1,0)</f>
        <v/>
      </c>
      <c r="Z1382">
        <f>IF(AND(K1382=0,L1382=0,Y1382=0),1,0)</f>
        <v/>
      </c>
      <c r="AA1382">
        <f>IF(AND(Z1382=1,G1382&lt;Assumptions!$C$6),1,0)</f>
        <v/>
      </c>
      <c r="AB1382">
        <f>IF(U1382=0,"",IF(Y1382=1,MAX(0,Q1382-G1382),IF(L1382=1,MAX(0,R1382-G1382),MAX(0,Assumptions!$C$6-G1382))))</f>
        <v/>
      </c>
      <c r="AC1382">
        <f>IF(Y1382=1,Q1382-F1382,"")</f>
        <v/>
      </c>
      <c r="AD1382">
        <f>IF(Y1382=1,AC1382^2,"")</f>
        <v/>
      </c>
      <c r="AE1382" s="19">
        <f>IF(Z1382=1,(H1382-M1382)*I1382,0)</f>
        <v/>
      </c>
      <c r="AF1382">
        <f>IF(G1382&lt;EDATE(Assumptions!$C$6,-12)+1,"prior_12m","last_12m")</f>
        <v/>
      </c>
      <c r="AG1382" s="21">
        <f>DATE(YEAR(G1382),MONTH(G1382),1)</f>
        <v/>
      </c>
    </row>
    <row r="1383">
      <c r="A1383" t="inlineStr">
        <is>
          <t>SPO-00755-2</t>
        </is>
      </c>
      <c r="B1383" t="inlineStr">
        <is>
          <t>SPO-00755</t>
        </is>
      </c>
      <c r="C1383" t="inlineStr">
        <is>
          <t>SUP-12</t>
        </is>
      </c>
      <c r="D1383" t="inlineStr">
        <is>
          <t>IT</t>
        </is>
      </c>
      <c r="E1383" t="inlineStr">
        <is>
          <t>IT-07</t>
        </is>
      </c>
      <c r="F1383" s="17" t="n">
        <v>45777</v>
      </c>
      <c r="G1383" s="17" t="n">
        <v>45787</v>
      </c>
      <c r="H1383" s="18" t="n">
        <v>19</v>
      </c>
      <c r="I1383" s="19" t="n">
        <v>83.7</v>
      </c>
      <c r="J1383" s="19" t="n">
        <v>74</v>
      </c>
      <c r="K1383" s="20" t="n">
        <v>0</v>
      </c>
      <c r="L1383" s="20" t="n">
        <v>0</v>
      </c>
      <c r="M1383" s="18" t="n">
        <v>19</v>
      </c>
      <c r="N1383" s="18" t="n">
        <v>19</v>
      </c>
      <c r="O1383" s="18" t="n">
        <v>0</v>
      </c>
      <c r="P1383" s="17" t="n">
        <v>45786</v>
      </c>
      <c r="Q1383" s="17" t="n">
        <v>45786</v>
      </c>
      <c r="R1383" s="17" t="n">
        <v>45786</v>
      </c>
      <c r="S1383" s="19">
        <f>H1383*I1383</f>
        <v/>
      </c>
      <c r="T1383" s="19">
        <f>H1383*J1383</f>
        <v/>
      </c>
      <c r="U1383">
        <f>IF(AND(K1383=0,G1383&lt;=Assumptions!$C$6),1,0)</f>
        <v/>
      </c>
      <c r="V1383">
        <f>IF(U1383=1,IF(M1383&gt;0,IF(P1383&lt;=G1383+Assumptions!$C$7,1,0),0),0)</f>
        <v/>
      </c>
      <c r="W1383">
        <f>IF(AND(U1383=1,M1383&gt;=H1383*(1-Assumptions!$C$8)),1,0)</f>
        <v/>
      </c>
      <c r="X1383">
        <f>IF(AND(U1383=1,N1383&gt;=H1383*(1-Assumptions!$C$8)),1,0)</f>
        <v/>
      </c>
      <c r="Y1383">
        <f>IF(ISNUMBER(Q1383),1,0)</f>
        <v/>
      </c>
      <c r="Z1383">
        <f>IF(AND(K1383=0,L1383=0,Y1383=0),1,0)</f>
        <v/>
      </c>
      <c r="AA1383">
        <f>IF(AND(Z1383=1,G1383&lt;Assumptions!$C$6),1,0)</f>
        <v/>
      </c>
      <c r="AB1383">
        <f>IF(U1383=0,"",IF(Y1383=1,MAX(0,Q1383-G1383),IF(L1383=1,MAX(0,R1383-G1383),MAX(0,Assumptions!$C$6-G1383))))</f>
        <v/>
      </c>
      <c r="AC1383">
        <f>IF(Y1383=1,Q1383-F1383,"")</f>
        <v/>
      </c>
      <c r="AD1383">
        <f>IF(Y1383=1,AC1383^2,"")</f>
        <v/>
      </c>
      <c r="AE1383" s="19">
        <f>IF(Z1383=1,(H1383-M1383)*I1383,0)</f>
        <v/>
      </c>
      <c r="AF1383">
        <f>IF(G1383&lt;EDATE(Assumptions!$C$6,-12)+1,"prior_12m","last_12m")</f>
        <v/>
      </c>
      <c r="AG1383" s="21">
        <f>DATE(YEAR(G1383),MONTH(G1383),1)</f>
        <v/>
      </c>
    </row>
    <row r="1384">
      <c r="A1384" t="inlineStr">
        <is>
          <t>SPO-00756-1</t>
        </is>
      </c>
      <c r="B1384" t="inlineStr">
        <is>
          <t>SPO-00756</t>
        </is>
      </c>
      <c r="C1384" t="inlineStr">
        <is>
          <t>SUP-08</t>
        </is>
      </c>
      <c r="D1384" t="inlineStr">
        <is>
          <t>MRO</t>
        </is>
      </c>
      <c r="E1384" t="inlineStr">
        <is>
          <t>MRO-01</t>
        </is>
      </c>
      <c r="F1384" s="17" t="n">
        <v>45777</v>
      </c>
      <c r="G1384" s="17" t="n">
        <v>45788</v>
      </c>
      <c r="H1384" s="18" t="n">
        <v>55</v>
      </c>
      <c r="I1384" s="19" t="n">
        <v>53.61</v>
      </c>
      <c r="J1384" s="19" t="n">
        <v>52</v>
      </c>
      <c r="K1384" s="20" t="n">
        <v>0</v>
      </c>
      <c r="L1384" s="20" t="n">
        <v>0</v>
      </c>
      <c r="M1384" s="18" t="n">
        <v>55</v>
      </c>
      <c r="N1384" s="18" t="n">
        <v>55</v>
      </c>
      <c r="O1384" s="18" t="n">
        <v>0</v>
      </c>
      <c r="P1384" s="17" t="n">
        <v>45784</v>
      </c>
      <c r="Q1384" s="17" t="n">
        <v>45784</v>
      </c>
      <c r="R1384" s="17" t="n">
        <v>45784</v>
      </c>
      <c r="S1384" s="19">
        <f>H1384*I1384</f>
        <v/>
      </c>
      <c r="T1384" s="19">
        <f>H1384*J1384</f>
        <v/>
      </c>
      <c r="U1384">
        <f>IF(AND(K1384=0,G1384&lt;=Assumptions!$C$6),1,0)</f>
        <v/>
      </c>
      <c r="V1384">
        <f>IF(U1384=1,IF(M1384&gt;0,IF(P1384&lt;=G1384+Assumptions!$C$7,1,0),0),0)</f>
        <v/>
      </c>
      <c r="W1384">
        <f>IF(AND(U1384=1,M1384&gt;=H1384*(1-Assumptions!$C$8)),1,0)</f>
        <v/>
      </c>
      <c r="X1384">
        <f>IF(AND(U1384=1,N1384&gt;=H1384*(1-Assumptions!$C$8)),1,0)</f>
        <v/>
      </c>
      <c r="Y1384">
        <f>IF(ISNUMBER(Q1384),1,0)</f>
        <v/>
      </c>
      <c r="Z1384">
        <f>IF(AND(K1384=0,L1384=0,Y1384=0),1,0)</f>
        <v/>
      </c>
      <c r="AA1384">
        <f>IF(AND(Z1384=1,G1384&lt;Assumptions!$C$6),1,0)</f>
        <v/>
      </c>
      <c r="AB1384">
        <f>IF(U1384=0,"",IF(Y1384=1,MAX(0,Q1384-G1384),IF(L1384=1,MAX(0,R1384-G1384),MAX(0,Assumptions!$C$6-G1384))))</f>
        <v/>
      </c>
      <c r="AC1384">
        <f>IF(Y1384=1,Q1384-F1384,"")</f>
        <v/>
      </c>
      <c r="AD1384">
        <f>IF(Y1384=1,AC1384^2,"")</f>
        <v/>
      </c>
      <c r="AE1384" s="19">
        <f>IF(Z1384=1,(H1384-M1384)*I1384,0)</f>
        <v/>
      </c>
      <c r="AF1384">
        <f>IF(G1384&lt;EDATE(Assumptions!$C$6,-12)+1,"prior_12m","last_12m")</f>
        <v/>
      </c>
      <c r="AG1384" s="21">
        <f>DATE(YEAR(G1384),MONTH(G1384),1)</f>
        <v/>
      </c>
    </row>
    <row r="1385">
      <c r="A1385" t="inlineStr">
        <is>
          <t>SPO-00756-2</t>
        </is>
      </c>
      <c r="B1385" t="inlineStr">
        <is>
          <t>SPO-00756</t>
        </is>
      </c>
      <c r="C1385" t="inlineStr">
        <is>
          <t>SUP-08</t>
        </is>
      </c>
      <c r="D1385" t="inlineStr">
        <is>
          <t>MRO</t>
        </is>
      </c>
      <c r="E1385" t="inlineStr">
        <is>
          <t>MRO-02</t>
        </is>
      </c>
      <c r="F1385" s="17" t="n">
        <v>45777</v>
      </c>
      <c r="G1385" s="17" t="n">
        <v>45788</v>
      </c>
      <c r="H1385" s="18" t="n">
        <v>43</v>
      </c>
      <c r="I1385" s="19" t="n">
        <v>42.87</v>
      </c>
      <c r="J1385" s="19" t="n">
        <v>41</v>
      </c>
      <c r="K1385" s="20" t="n">
        <v>0</v>
      </c>
      <c r="L1385" s="20" t="n">
        <v>0</v>
      </c>
      <c r="M1385" s="18" t="n">
        <v>43</v>
      </c>
      <c r="N1385" s="18" t="n">
        <v>43</v>
      </c>
      <c r="O1385" s="18" t="n">
        <v>0</v>
      </c>
      <c r="P1385" s="17" t="n">
        <v>45785</v>
      </c>
      <c r="Q1385" s="17" t="n">
        <v>45785</v>
      </c>
      <c r="R1385" s="17" t="n">
        <v>45785</v>
      </c>
      <c r="S1385" s="19">
        <f>H1385*I1385</f>
        <v/>
      </c>
      <c r="T1385" s="19">
        <f>H1385*J1385</f>
        <v/>
      </c>
      <c r="U1385">
        <f>IF(AND(K1385=0,G1385&lt;=Assumptions!$C$6),1,0)</f>
        <v/>
      </c>
      <c r="V1385">
        <f>IF(U1385=1,IF(M1385&gt;0,IF(P1385&lt;=G1385+Assumptions!$C$7,1,0),0),0)</f>
        <v/>
      </c>
      <c r="W1385">
        <f>IF(AND(U1385=1,M1385&gt;=H1385*(1-Assumptions!$C$8)),1,0)</f>
        <v/>
      </c>
      <c r="X1385">
        <f>IF(AND(U1385=1,N1385&gt;=H1385*(1-Assumptions!$C$8)),1,0)</f>
        <v/>
      </c>
      <c r="Y1385">
        <f>IF(ISNUMBER(Q1385),1,0)</f>
        <v/>
      </c>
      <c r="Z1385">
        <f>IF(AND(K1385=0,L1385=0,Y1385=0),1,0)</f>
        <v/>
      </c>
      <c r="AA1385">
        <f>IF(AND(Z1385=1,G1385&lt;Assumptions!$C$6),1,0)</f>
        <v/>
      </c>
      <c r="AB1385">
        <f>IF(U1385=0,"",IF(Y1385=1,MAX(0,Q1385-G1385),IF(L1385=1,MAX(0,R1385-G1385),MAX(0,Assumptions!$C$6-G1385))))</f>
        <v/>
      </c>
      <c r="AC1385">
        <f>IF(Y1385=1,Q1385-F1385,"")</f>
        <v/>
      </c>
      <c r="AD1385">
        <f>IF(Y1385=1,AC1385^2,"")</f>
        <v/>
      </c>
      <c r="AE1385" s="19">
        <f>IF(Z1385=1,(H1385-M1385)*I1385,0)</f>
        <v/>
      </c>
      <c r="AF1385">
        <f>IF(G1385&lt;EDATE(Assumptions!$C$6,-12)+1,"prior_12m","last_12m")</f>
        <v/>
      </c>
      <c r="AG1385" s="21">
        <f>DATE(YEAR(G1385),MONTH(G1385),1)</f>
        <v/>
      </c>
    </row>
    <row r="1386">
      <c r="A1386" t="inlineStr">
        <is>
          <t>SPO-00757-1</t>
        </is>
      </c>
      <c r="B1386" t="inlineStr">
        <is>
          <t>SPO-00757</t>
        </is>
      </c>
      <c r="C1386" t="inlineStr">
        <is>
          <t>SUP-12</t>
        </is>
      </c>
      <c r="D1386" t="inlineStr">
        <is>
          <t>IT</t>
        </is>
      </c>
      <c r="E1386" t="inlineStr">
        <is>
          <t>IT-03</t>
        </is>
      </c>
      <c r="F1386" s="17" t="n">
        <v>45778</v>
      </c>
      <c r="G1386" s="17" t="n">
        <v>45788</v>
      </c>
      <c r="H1386" s="18" t="n">
        <v>20</v>
      </c>
      <c r="I1386" s="19" t="n">
        <v>42.31</v>
      </c>
      <c r="J1386" s="19" t="n">
        <v>38</v>
      </c>
      <c r="K1386" s="20" t="n">
        <v>0</v>
      </c>
      <c r="L1386" s="20" t="n">
        <v>0</v>
      </c>
      <c r="M1386" s="18" t="n">
        <v>20</v>
      </c>
      <c r="N1386" s="18" t="n">
        <v>20</v>
      </c>
      <c r="O1386" s="18" t="n">
        <v>0</v>
      </c>
      <c r="P1386" s="17" t="n">
        <v>45787</v>
      </c>
      <c r="Q1386" s="17" t="n">
        <v>45787</v>
      </c>
      <c r="R1386" s="17" t="n">
        <v>45787</v>
      </c>
      <c r="S1386" s="19">
        <f>H1386*I1386</f>
        <v/>
      </c>
      <c r="T1386" s="19">
        <f>H1386*J1386</f>
        <v/>
      </c>
      <c r="U1386">
        <f>IF(AND(K1386=0,G1386&lt;=Assumptions!$C$6),1,0)</f>
        <v/>
      </c>
      <c r="V1386">
        <f>IF(U1386=1,IF(M1386&gt;0,IF(P1386&lt;=G1386+Assumptions!$C$7,1,0),0),0)</f>
        <v/>
      </c>
      <c r="W1386">
        <f>IF(AND(U1386=1,M1386&gt;=H1386*(1-Assumptions!$C$8)),1,0)</f>
        <v/>
      </c>
      <c r="X1386">
        <f>IF(AND(U1386=1,N1386&gt;=H1386*(1-Assumptions!$C$8)),1,0)</f>
        <v/>
      </c>
      <c r="Y1386">
        <f>IF(ISNUMBER(Q1386),1,0)</f>
        <v/>
      </c>
      <c r="Z1386">
        <f>IF(AND(K1386=0,L1386=0,Y1386=0),1,0)</f>
        <v/>
      </c>
      <c r="AA1386">
        <f>IF(AND(Z1386=1,G1386&lt;Assumptions!$C$6),1,0)</f>
        <v/>
      </c>
      <c r="AB1386">
        <f>IF(U1386=0,"",IF(Y1386=1,MAX(0,Q1386-G1386),IF(L1386=1,MAX(0,R1386-G1386),MAX(0,Assumptions!$C$6-G1386))))</f>
        <v/>
      </c>
      <c r="AC1386">
        <f>IF(Y1386=1,Q1386-F1386,"")</f>
        <v/>
      </c>
      <c r="AD1386">
        <f>IF(Y1386=1,AC1386^2,"")</f>
        <v/>
      </c>
      <c r="AE1386" s="19">
        <f>IF(Z1386=1,(H1386-M1386)*I1386,0)</f>
        <v/>
      </c>
      <c r="AF1386">
        <f>IF(G1386&lt;EDATE(Assumptions!$C$6,-12)+1,"prior_12m","last_12m")</f>
        <v/>
      </c>
      <c r="AG1386" s="21">
        <f>DATE(YEAR(G1386),MONTH(G1386),1)</f>
        <v/>
      </c>
    </row>
    <row r="1387">
      <c r="A1387" t="inlineStr">
        <is>
          <t>SPO-00758-1</t>
        </is>
      </c>
      <c r="B1387" t="inlineStr">
        <is>
          <t>SPO-00758</t>
        </is>
      </c>
      <c r="C1387" t="inlineStr">
        <is>
          <t>SUP-10</t>
        </is>
      </c>
      <c r="D1387" t="inlineStr">
        <is>
          <t>PPE</t>
        </is>
      </c>
      <c r="E1387" t="inlineStr">
        <is>
          <t>PPE-04</t>
        </is>
      </c>
      <c r="F1387" s="17" t="n">
        <v>45779</v>
      </c>
      <c r="G1387" s="17" t="n">
        <v>45792</v>
      </c>
      <c r="H1387" s="18" t="n">
        <v>116</v>
      </c>
      <c r="I1387" s="19" t="n">
        <v>25.34</v>
      </c>
      <c r="J1387" s="19" t="n">
        <v>26</v>
      </c>
      <c r="K1387" s="20" t="n">
        <v>0</v>
      </c>
      <c r="L1387" s="20" t="n">
        <v>0</v>
      </c>
      <c r="M1387" s="18" t="n">
        <v>116</v>
      </c>
      <c r="N1387" s="18" t="n">
        <v>116</v>
      </c>
      <c r="O1387" s="18" t="n">
        <v>0</v>
      </c>
      <c r="P1387" s="17" t="n">
        <v>45791</v>
      </c>
      <c r="Q1387" s="17" t="n">
        <v>45791</v>
      </c>
      <c r="R1387" s="17" t="n">
        <v>45791</v>
      </c>
      <c r="S1387" s="19">
        <f>H1387*I1387</f>
        <v/>
      </c>
      <c r="T1387" s="19">
        <f>H1387*J1387</f>
        <v/>
      </c>
      <c r="U1387">
        <f>IF(AND(K1387=0,G1387&lt;=Assumptions!$C$6),1,0)</f>
        <v/>
      </c>
      <c r="V1387">
        <f>IF(U1387=1,IF(M1387&gt;0,IF(P1387&lt;=G1387+Assumptions!$C$7,1,0),0),0)</f>
        <v/>
      </c>
      <c r="W1387">
        <f>IF(AND(U1387=1,M1387&gt;=H1387*(1-Assumptions!$C$8)),1,0)</f>
        <v/>
      </c>
      <c r="X1387">
        <f>IF(AND(U1387=1,N1387&gt;=H1387*(1-Assumptions!$C$8)),1,0)</f>
        <v/>
      </c>
      <c r="Y1387">
        <f>IF(ISNUMBER(Q1387),1,0)</f>
        <v/>
      </c>
      <c r="Z1387">
        <f>IF(AND(K1387=0,L1387=0,Y1387=0),1,0)</f>
        <v/>
      </c>
      <c r="AA1387">
        <f>IF(AND(Z1387=1,G1387&lt;Assumptions!$C$6),1,0)</f>
        <v/>
      </c>
      <c r="AB1387">
        <f>IF(U1387=0,"",IF(Y1387=1,MAX(0,Q1387-G1387),IF(L1387=1,MAX(0,R1387-G1387),MAX(0,Assumptions!$C$6-G1387))))</f>
        <v/>
      </c>
      <c r="AC1387">
        <f>IF(Y1387=1,Q1387-F1387,"")</f>
        <v/>
      </c>
      <c r="AD1387">
        <f>IF(Y1387=1,AC1387^2,"")</f>
        <v/>
      </c>
      <c r="AE1387" s="19">
        <f>IF(Z1387=1,(H1387-M1387)*I1387,0)</f>
        <v/>
      </c>
      <c r="AF1387">
        <f>IF(G1387&lt;EDATE(Assumptions!$C$6,-12)+1,"prior_12m","last_12m")</f>
        <v/>
      </c>
      <c r="AG1387" s="21">
        <f>DATE(YEAR(G1387),MONTH(G1387),1)</f>
        <v/>
      </c>
    </row>
    <row r="1388">
      <c r="A1388" t="inlineStr">
        <is>
          <t>SPO-00758-2</t>
        </is>
      </c>
      <c r="B1388" t="inlineStr">
        <is>
          <t>SPO-00758</t>
        </is>
      </c>
      <c r="C1388" t="inlineStr">
        <is>
          <t>SUP-10</t>
        </is>
      </c>
      <c r="D1388" t="inlineStr">
        <is>
          <t>PPE</t>
        </is>
      </c>
      <c r="E1388" t="inlineStr">
        <is>
          <t>PPE-05</t>
        </is>
      </c>
      <c r="F1388" s="17" t="n">
        <v>45779</v>
      </c>
      <c r="G1388" s="17" t="n">
        <v>45792</v>
      </c>
      <c r="H1388" s="18" t="n">
        <v>166</v>
      </c>
      <c r="I1388" s="19" t="n">
        <v>11.05</v>
      </c>
      <c r="J1388" s="19" t="n">
        <v>11</v>
      </c>
      <c r="K1388" s="20" t="n">
        <v>0</v>
      </c>
      <c r="L1388" s="20" t="n">
        <v>0</v>
      </c>
      <c r="M1388" s="18" t="n">
        <v>166</v>
      </c>
      <c r="N1388" s="18" t="n">
        <v>166</v>
      </c>
      <c r="O1388" s="18" t="n">
        <v>38</v>
      </c>
      <c r="P1388" s="17" t="n">
        <v>45788</v>
      </c>
      <c r="Q1388" s="17" t="n">
        <v>45788</v>
      </c>
      <c r="R1388" s="17" t="n">
        <v>45788</v>
      </c>
      <c r="S1388" s="19">
        <f>H1388*I1388</f>
        <v/>
      </c>
      <c r="T1388" s="19">
        <f>H1388*J1388</f>
        <v/>
      </c>
      <c r="U1388">
        <f>IF(AND(K1388=0,G1388&lt;=Assumptions!$C$6),1,0)</f>
        <v/>
      </c>
      <c r="V1388">
        <f>IF(U1388=1,IF(M1388&gt;0,IF(P1388&lt;=G1388+Assumptions!$C$7,1,0),0),0)</f>
        <v/>
      </c>
      <c r="W1388">
        <f>IF(AND(U1388=1,M1388&gt;=H1388*(1-Assumptions!$C$8)),1,0)</f>
        <v/>
      </c>
      <c r="X1388">
        <f>IF(AND(U1388=1,N1388&gt;=H1388*(1-Assumptions!$C$8)),1,0)</f>
        <v/>
      </c>
      <c r="Y1388">
        <f>IF(ISNUMBER(Q1388),1,0)</f>
        <v/>
      </c>
      <c r="Z1388">
        <f>IF(AND(K1388=0,L1388=0,Y1388=0),1,0)</f>
        <v/>
      </c>
      <c r="AA1388">
        <f>IF(AND(Z1388=1,G1388&lt;Assumptions!$C$6),1,0)</f>
        <v/>
      </c>
      <c r="AB1388">
        <f>IF(U1388=0,"",IF(Y1388=1,MAX(0,Q1388-G1388),IF(L1388=1,MAX(0,R1388-G1388),MAX(0,Assumptions!$C$6-G1388))))</f>
        <v/>
      </c>
      <c r="AC1388">
        <f>IF(Y1388=1,Q1388-F1388,"")</f>
        <v/>
      </c>
      <c r="AD1388">
        <f>IF(Y1388=1,AC1388^2,"")</f>
        <v/>
      </c>
      <c r="AE1388" s="19">
        <f>IF(Z1388=1,(H1388-M1388)*I1388,0)</f>
        <v/>
      </c>
      <c r="AF1388">
        <f>IF(G1388&lt;EDATE(Assumptions!$C$6,-12)+1,"prior_12m","last_12m")</f>
        <v/>
      </c>
      <c r="AG1388" s="21">
        <f>DATE(YEAR(G1388),MONTH(G1388),1)</f>
        <v/>
      </c>
    </row>
    <row r="1389">
      <c r="A1389" t="inlineStr">
        <is>
          <t>SPO-00758-3</t>
        </is>
      </c>
      <c r="B1389" t="inlineStr">
        <is>
          <t>SPO-00758</t>
        </is>
      </c>
      <c r="C1389" t="inlineStr">
        <is>
          <t>SUP-10</t>
        </is>
      </c>
      <c r="D1389" t="inlineStr">
        <is>
          <t>PPE</t>
        </is>
      </c>
      <c r="E1389" t="inlineStr">
        <is>
          <t>PPE-06</t>
        </is>
      </c>
      <c r="F1389" s="17" t="n">
        <v>45779</v>
      </c>
      <c r="G1389" s="17" t="n">
        <v>45792</v>
      </c>
      <c r="H1389" s="18" t="n">
        <v>10</v>
      </c>
      <c r="I1389" s="19" t="n">
        <v>115.68</v>
      </c>
      <c r="J1389" s="19" t="n">
        <v>115</v>
      </c>
      <c r="K1389" s="20" t="n">
        <v>0</v>
      </c>
      <c r="L1389" s="20" t="n">
        <v>0</v>
      </c>
      <c r="M1389" s="18" t="n">
        <v>10</v>
      </c>
      <c r="N1389" s="18" t="n">
        <v>10</v>
      </c>
      <c r="O1389" s="18" t="n">
        <v>0</v>
      </c>
      <c r="P1389" s="17" t="n">
        <v>45790</v>
      </c>
      <c r="Q1389" s="17" t="n">
        <v>45790</v>
      </c>
      <c r="R1389" s="17" t="n">
        <v>45790</v>
      </c>
      <c r="S1389" s="19">
        <f>H1389*I1389</f>
        <v/>
      </c>
      <c r="T1389" s="19">
        <f>H1389*J1389</f>
        <v/>
      </c>
      <c r="U1389">
        <f>IF(AND(K1389=0,G1389&lt;=Assumptions!$C$6),1,0)</f>
        <v/>
      </c>
      <c r="V1389">
        <f>IF(U1389=1,IF(M1389&gt;0,IF(P1389&lt;=G1389+Assumptions!$C$7,1,0),0),0)</f>
        <v/>
      </c>
      <c r="W1389">
        <f>IF(AND(U1389=1,M1389&gt;=H1389*(1-Assumptions!$C$8)),1,0)</f>
        <v/>
      </c>
      <c r="X1389">
        <f>IF(AND(U1389=1,N1389&gt;=H1389*(1-Assumptions!$C$8)),1,0)</f>
        <v/>
      </c>
      <c r="Y1389">
        <f>IF(ISNUMBER(Q1389),1,0)</f>
        <v/>
      </c>
      <c r="Z1389">
        <f>IF(AND(K1389=0,L1389=0,Y1389=0),1,0)</f>
        <v/>
      </c>
      <c r="AA1389">
        <f>IF(AND(Z1389=1,G1389&lt;Assumptions!$C$6),1,0)</f>
        <v/>
      </c>
      <c r="AB1389">
        <f>IF(U1389=0,"",IF(Y1389=1,MAX(0,Q1389-G1389),IF(L1389=1,MAX(0,R1389-G1389),MAX(0,Assumptions!$C$6-G1389))))</f>
        <v/>
      </c>
      <c r="AC1389">
        <f>IF(Y1389=1,Q1389-F1389,"")</f>
        <v/>
      </c>
      <c r="AD1389">
        <f>IF(Y1389=1,AC1389^2,"")</f>
        <v/>
      </c>
      <c r="AE1389" s="19">
        <f>IF(Z1389=1,(H1389-M1389)*I1389,0)</f>
        <v/>
      </c>
      <c r="AF1389">
        <f>IF(G1389&lt;EDATE(Assumptions!$C$6,-12)+1,"prior_12m","last_12m")</f>
        <v/>
      </c>
      <c r="AG1389" s="21">
        <f>DATE(YEAR(G1389),MONTH(G1389),1)</f>
        <v/>
      </c>
    </row>
    <row r="1390">
      <c r="A1390" t="inlineStr">
        <is>
          <t>SPO-00758-4</t>
        </is>
      </c>
      <c r="B1390" t="inlineStr">
        <is>
          <t>SPO-00758</t>
        </is>
      </c>
      <c r="C1390" t="inlineStr">
        <is>
          <t>SUP-10</t>
        </is>
      </c>
      <c r="D1390" t="inlineStr">
        <is>
          <t>PPE</t>
        </is>
      </c>
      <c r="E1390" t="inlineStr">
        <is>
          <t>PPE-03</t>
        </is>
      </c>
      <c r="F1390" s="17" t="n">
        <v>45779</v>
      </c>
      <c r="G1390" s="17" t="n">
        <v>45792</v>
      </c>
      <c r="H1390" s="18" t="n">
        <v>32</v>
      </c>
      <c r="I1390" s="19" t="n">
        <v>19.91</v>
      </c>
      <c r="J1390" s="19" t="n">
        <v>21</v>
      </c>
      <c r="K1390" s="20" t="n">
        <v>0</v>
      </c>
      <c r="L1390" s="20" t="n">
        <v>0</v>
      </c>
      <c r="M1390" s="18" t="n">
        <v>32</v>
      </c>
      <c r="N1390" s="18" t="n">
        <v>32</v>
      </c>
      <c r="O1390" s="18" t="n">
        <v>0</v>
      </c>
      <c r="P1390" s="17" t="n">
        <v>45792</v>
      </c>
      <c r="Q1390" s="17" t="n">
        <v>45792</v>
      </c>
      <c r="R1390" s="17" t="n">
        <v>45792</v>
      </c>
      <c r="S1390" s="19">
        <f>H1390*I1390</f>
        <v/>
      </c>
      <c r="T1390" s="19">
        <f>H1390*J1390</f>
        <v/>
      </c>
      <c r="U1390">
        <f>IF(AND(K1390=0,G1390&lt;=Assumptions!$C$6),1,0)</f>
        <v/>
      </c>
      <c r="V1390">
        <f>IF(U1390=1,IF(M1390&gt;0,IF(P1390&lt;=G1390+Assumptions!$C$7,1,0),0),0)</f>
        <v/>
      </c>
      <c r="W1390">
        <f>IF(AND(U1390=1,M1390&gt;=H1390*(1-Assumptions!$C$8)),1,0)</f>
        <v/>
      </c>
      <c r="X1390">
        <f>IF(AND(U1390=1,N1390&gt;=H1390*(1-Assumptions!$C$8)),1,0)</f>
        <v/>
      </c>
      <c r="Y1390">
        <f>IF(ISNUMBER(Q1390),1,0)</f>
        <v/>
      </c>
      <c r="Z1390">
        <f>IF(AND(K1390=0,L1390=0,Y1390=0),1,0)</f>
        <v/>
      </c>
      <c r="AA1390">
        <f>IF(AND(Z1390=1,G1390&lt;Assumptions!$C$6),1,0)</f>
        <v/>
      </c>
      <c r="AB1390">
        <f>IF(U1390=0,"",IF(Y1390=1,MAX(0,Q1390-G1390),IF(L1390=1,MAX(0,R1390-G1390),MAX(0,Assumptions!$C$6-G1390))))</f>
        <v/>
      </c>
      <c r="AC1390">
        <f>IF(Y1390=1,Q1390-F1390,"")</f>
        <v/>
      </c>
      <c r="AD1390">
        <f>IF(Y1390=1,AC1390^2,"")</f>
        <v/>
      </c>
      <c r="AE1390" s="19">
        <f>IF(Z1390=1,(H1390-M1390)*I1390,0)</f>
        <v/>
      </c>
      <c r="AF1390">
        <f>IF(G1390&lt;EDATE(Assumptions!$C$6,-12)+1,"prior_12m","last_12m")</f>
        <v/>
      </c>
      <c r="AG1390" s="21">
        <f>DATE(YEAR(G1390),MONTH(G1390),1)</f>
        <v/>
      </c>
    </row>
    <row r="1391">
      <c r="A1391" t="inlineStr">
        <is>
          <t>SPO-00759-1</t>
        </is>
      </c>
      <c r="B1391" t="inlineStr">
        <is>
          <t>SPO-00759</t>
        </is>
      </c>
      <c r="C1391" t="inlineStr">
        <is>
          <t>SUP-01</t>
        </is>
      </c>
      <c r="D1391" t="inlineStr">
        <is>
          <t>ELEC</t>
        </is>
      </c>
      <c r="E1391" t="inlineStr">
        <is>
          <t>ELEC-05</t>
        </is>
      </c>
      <c r="F1391" s="17" t="n">
        <v>45779</v>
      </c>
      <c r="G1391" s="17" t="n">
        <v>45797</v>
      </c>
      <c r="H1391" s="18" t="n">
        <v>322</v>
      </c>
      <c r="I1391" s="19" t="n">
        <v>11.84</v>
      </c>
      <c r="J1391" s="19" t="n">
        <v>11.5</v>
      </c>
      <c r="K1391" s="20" t="n">
        <v>0</v>
      </c>
      <c r="L1391" s="20" t="n">
        <v>0</v>
      </c>
      <c r="M1391" s="18" t="n">
        <v>322</v>
      </c>
      <c r="N1391" s="18" t="n">
        <v>322</v>
      </c>
      <c r="O1391" s="18" t="n">
        <v>0</v>
      </c>
      <c r="P1391" s="17" t="n">
        <v>45790</v>
      </c>
      <c r="Q1391" s="17" t="n">
        <v>45790</v>
      </c>
      <c r="R1391" s="17" t="n">
        <v>45790</v>
      </c>
      <c r="S1391" s="19">
        <f>H1391*I1391</f>
        <v/>
      </c>
      <c r="T1391" s="19">
        <f>H1391*J1391</f>
        <v/>
      </c>
      <c r="U1391">
        <f>IF(AND(K1391=0,G1391&lt;=Assumptions!$C$6),1,0)</f>
        <v/>
      </c>
      <c r="V1391">
        <f>IF(U1391=1,IF(M1391&gt;0,IF(P1391&lt;=G1391+Assumptions!$C$7,1,0),0),0)</f>
        <v/>
      </c>
      <c r="W1391">
        <f>IF(AND(U1391=1,M1391&gt;=H1391*(1-Assumptions!$C$8)),1,0)</f>
        <v/>
      </c>
      <c r="X1391">
        <f>IF(AND(U1391=1,N1391&gt;=H1391*(1-Assumptions!$C$8)),1,0)</f>
        <v/>
      </c>
      <c r="Y1391">
        <f>IF(ISNUMBER(Q1391),1,0)</f>
        <v/>
      </c>
      <c r="Z1391">
        <f>IF(AND(K1391=0,L1391=0,Y1391=0),1,0)</f>
        <v/>
      </c>
      <c r="AA1391">
        <f>IF(AND(Z1391=1,G1391&lt;Assumptions!$C$6),1,0)</f>
        <v/>
      </c>
      <c r="AB1391">
        <f>IF(U1391=0,"",IF(Y1391=1,MAX(0,Q1391-G1391),IF(L1391=1,MAX(0,R1391-G1391),MAX(0,Assumptions!$C$6-G1391))))</f>
        <v/>
      </c>
      <c r="AC1391">
        <f>IF(Y1391=1,Q1391-F1391,"")</f>
        <v/>
      </c>
      <c r="AD1391">
        <f>IF(Y1391=1,AC1391^2,"")</f>
        <v/>
      </c>
      <c r="AE1391" s="19">
        <f>IF(Z1391=1,(H1391-M1391)*I1391,0)</f>
        <v/>
      </c>
      <c r="AF1391">
        <f>IF(G1391&lt;EDATE(Assumptions!$C$6,-12)+1,"prior_12m","last_12m")</f>
        <v/>
      </c>
      <c r="AG1391" s="21">
        <f>DATE(YEAR(G1391),MONTH(G1391),1)</f>
        <v/>
      </c>
    </row>
    <row r="1392">
      <c r="A1392" t="inlineStr">
        <is>
          <t>SPO-00759-2</t>
        </is>
      </c>
      <c r="B1392" t="inlineStr">
        <is>
          <t>SPO-00759</t>
        </is>
      </c>
      <c r="C1392" t="inlineStr">
        <is>
          <t>SUP-01</t>
        </is>
      </c>
      <c r="D1392" t="inlineStr">
        <is>
          <t>ELEC</t>
        </is>
      </c>
      <c r="E1392" t="inlineStr">
        <is>
          <t>ELEC-03</t>
        </is>
      </c>
      <c r="F1392" s="17" t="n">
        <v>45779</v>
      </c>
      <c r="G1392" s="17" t="n">
        <v>45797</v>
      </c>
      <c r="H1392" s="18" t="n">
        <v>23</v>
      </c>
      <c r="I1392" s="19" t="n">
        <v>98.11</v>
      </c>
      <c r="J1392" s="19" t="n">
        <v>96</v>
      </c>
      <c r="K1392" s="20" t="n">
        <v>0</v>
      </c>
      <c r="L1392" s="20" t="n">
        <v>0</v>
      </c>
      <c r="M1392" s="18" t="n">
        <v>23</v>
      </c>
      <c r="N1392" s="18" t="n">
        <v>23</v>
      </c>
      <c r="O1392" s="18" t="n">
        <v>0</v>
      </c>
      <c r="P1392" s="17" t="n">
        <v>45793</v>
      </c>
      <c r="Q1392" s="17" t="n">
        <v>45793</v>
      </c>
      <c r="R1392" s="17" t="n">
        <v>45793</v>
      </c>
      <c r="S1392" s="19">
        <f>H1392*I1392</f>
        <v/>
      </c>
      <c r="T1392" s="19">
        <f>H1392*J1392</f>
        <v/>
      </c>
      <c r="U1392">
        <f>IF(AND(K1392=0,G1392&lt;=Assumptions!$C$6),1,0)</f>
        <v/>
      </c>
      <c r="V1392">
        <f>IF(U1392=1,IF(M1392&gt;0,IF(P1392&lt;=G1392+Assumptions!$C$7,1,0),0),0)</f>
        <v/>
      </c>
      <c r="W1392">
        <f>IF(AND(U1392=1,M1392&gt;=H1392*(1-Assumptions!$C$8)),1,0)</f>
        <v/>
      </c>
      <c r="X1392">
        <f>IF(AND(U1392=1,N1392&gt;=H1392*(1-Assumptions!$C$8)),1,0)</f>
        <v/>
      </c>
      <c r="Y1392">
        <f>IF(ISNUMBER(Q1392),1,0)</f>
        <v/>
      </c>
      <c r="Z1392">
        <f>IF(AND(K1392=0,L1392=0,Y1392=0),1,0)</f>
        <v/>
      </c>
      <c r="AA1392">
        <f>IF(AND(Z1392=1,G1392&lt;Assumptions!$C$6),1,0)</f>
        <v/>
      </c>
      <c r="AB1392">
        <f>IF(U1392=0,"",IF(Y1392=1,MAX(0,Q1392-G1392),IF(L1392=1,MAX(0,R1392-G1392),MAX(0,Assumptions!$C$6-G1392))))</f>
        <v/>
      </c>
      <c r="AC1392">
        <f>IF(Y1392=1,Q1392-F1392,"")</f>
        <v/>
      </c>
      <c r="AD1392">
        <f>IF(Y1392=1,AC1392^2,"")</f>
        <v/>
      </c>
      <c r="AE1392" s="19">
        <f>IF(Z1392=1,(H1392-M1392)*I1392,0)</f>
        <v/>
      </c>
      <c r="AF1392">
        <f>IF(G1392&lt;EDATE(Assumptions!$C$6,-12)+1,"prior_12m","last_12m")</f>
        <v/>
      </c>
      <c r="AG1392" s="21">
        <f>DATE(YEAR(G1392),MONTH(G1392),1)</f>
        <v/>
      </c>
    </row>
    <row r="1393">
      <c r="A1393" t="inlineStr">
        <is>
          <t>SPO-00760-1</t>
        </is>
      </c>
      <c r="B1393" t="inlineStr">
        <is>
          <t>SPO-00760</t>
        </is>
      </c>
      <c r="C1393" t="inlineStr">
        <is>
          <t>SUP-06</t>
        </is>
      </c>
      <c r="D1393" t="inlineStr">
        <is>
          <t>MRO</t>
        </is>
      </c>
      <c r="E1393" t="inlineStr">
        <is>
          <t>MRO-06</t>
        </is>
      </c>
      <c r="F1393" s="17" t="n">
        <v>45779</v>
      </c>
      <c r="G1393" s="17" t="n">
        <v>45787</v>
      </c>
      <c r="H1393" s="18" t="n">
        <v>953</v>
      </c>
      <c r="I1393" s="19" t="n">
        <v>6.19</v>
      </c>
      <c r="J1393" s="19" t="n">
        <v>6.1</v>
      </c>
      <c r="K1393" s="20" t="n">
        <v>0</v>
      </c>
      <c r="L1393" s="20" t="n">
        <v>0</v>
      </c>
      <c r="M1393" s="18" t="n">
        <v>953</v>
      </c>
      <c r="N1393" s="18" t="n">
        <v>953</v>
      </c>
      <c r="O1393" s="18" t="n">
        <v>0</v>
      </c>
      <c r="P1393" s="17" t="n">
        <v>45785</v>
      </c>
      <c r="Q1393" s="17" t="n">
        <v>45785</v>
      </c>
      <c r="R1393" s="17" t="n">
        <v>45785</v>
      </c>
      <c r="S1393" s="19">
        <f>H1393*I1393</f>
        <v/>
      </c>
      <c r="T1393" s="19">
        <f>H1393*J1393</f>
        <v/>
      </c>
      <c r="U1393">
        <f>IF(AND(K1393=0,G1393&lt;=Assumptions!$C$6),1,0)</f>
        <v/>
      </c>
      <c r="V1393">
        <f>IF(U1393=1,IF(M1393&gt;0,IF(P1393&lt;=G1393+Assumptions!$C$7,1,0),0),0)</f>
        <v/>
      </c>
      <c r="W1393">
        <f>IF(AND(U1393=1,M1393&gt;=H1393*(1-Assumptions!$C$8)),1,0)</f>
        <v/>
      </c>
      <c r="X1393">
        <f>IF(AND(U1393=1,N1393&gt;=H1393*(1-Assumptions!$C$8)),1,0)</f>
        <v/>
      </c>
      <c r="Y1393">
        <f>IF(ISNUMBER(Q1393),1,0)</f>
        <v/>
      </c>
      <c r="Z1393">
        <f>IF(AND(K1393=0,L1393=0,Y1393=0),1,0)</f>
        <v/>
      </c>
      <c r="AA1393">
        <f>IF(AND(Z1393=1,G1393&lt;Assumptions!$C$6),1,0)</f>
        <v/>
      </c>
      <c r="AB1393">
        <f>IF(U1393=0,"",IF(Y1393=1,MAX(0,Q1393-G1393),IF(L1393=1,MAX(0,R1393-G1393),MAX(0,Assumptions!$C$6-G1393))))</f>
        <v/>
      </c>
      <c r="AC1393">
        <f>IF(Y1393=1,Q1393-F1393,"")</f>
        <v/>
      </c>
      <c r="AD1393">
        <f>IF(Y1393=1,AC1393^2,"")</f>
        <v/>
      </c>
      <c r="AE1393" s="19">
        <f>IF(Z1393=1,(H1393-M1393)*I1393,0)</f>
        <v/>
      </c>
      <c r="AF1393">
        <f>IF(G1393&lt;EDATE(Assumptions!$C$6,-12)+1,"prior_12m","last_12m")</f>
        <v/>
      </c>
      <c r="AG1393" s="21">
        <f>DATE(YEAR(G1393),MONTH(G1393),1)</f>
        <v/>
      </c>
    </row>
    <row r="1394">
      <c r="A1394" t="inlineStr">
        <is>
          <t>SPO-00760-2</t>
        </is>
      </c>
      <c r="B1394" t="inlineStr">
        <is>
          <t>SPO-00760</t>
        </is>
      </c>
      <c r="C1394" t="inlineStr">
        <is>
          <t>SUP-06</t>
        </is>
      </c>
      <c r="D1394" t="inlineStr">
        <is>
          <t>MRO</t>
        </is>
      </c>
      <c r="E1394" t="inlineStr">
        <is>
          <t>MRO-04</t>
        </is>
      </c>
      <c r="F1394" s="17" t="n">
        <v>45779</v>
      </c>
      <c r="G1394" s="17" t="n">
        <v>45787</v>
      </c>
      <c r="H1394" s="18" t="n">
        <v>31</v>
      </c>
      <c r="I1394" s="19" t="n">
        <v>55.75</v>
      </c>
      <c r="J1394" s="19" t="n">
        <v>58</v>
      </c>
      <c r="K1394" s="20" t="n">
        <v>0</v>
      </c>
      <c r="L1394" s="20" t="n">
        <v>0</v>
      </c>
      <c r="M1394" s="18" t="n">
        <v>31</v>
      </c>
      <c r="N1394" s="18" t="n">
        <v>31</v>
      </c>
      <c r="O1394" s="18" t="n">
        <v>0</v>
      </c>
      <c r="P1394" s="17" t="n">
        <v>45784</v>
      </c>
      <c r="Q1394" s="17" t="n">
        <v>45784</v>
      </c>
      <c r="R1394" s="17" t="n">
        <v>45784</v>
      </c>
      <c r="S1394" s="19">
        <f>H1394*I1394</f>
        <v/>
      </c>
      <c r="T1394" s="19">
        <f>H1394*J1394</f>
        <v/>
      </c>
      <c r="U1394">
        <f>IF(AND(K1394=0,G1394&lt;=Assumptions!$C$6),1,0)</f>
        <v/>
      </c>
      <c r="V1394">
        <f>IF(U1394=1,IF(M1394&gt;0,IF(P1394&lt;=G1394+Assumptions!$C$7,1,0),0),0)</f>
        <v/>
      </c>
      <c r="W1394">
        <f>IF(AND(U1394=1,M1394&gt;=H1394*(1-Assumptions!$C$8)),1,0)</f>
        <v/>
      </c>
      <c r="X1394">
        <f>IF(AND(U1394=1,N1394&gt;=H1394*(1-Assumptions!$C$8)),1,0)</f>
        <v/>
      </c>
      <c r="Y1394">
        <f>IF(ISNUMBER(Q1394),1,0)</f>
        <v/>
      </c>
      <c r="Z1394">
        <f>IF(AND(K1394=0,L1394=0,Y1394=0),1,0)</f>
        <v/>
      </c>
      <c r="AA1394">
        <f>IF(AND(Z1394=1,G1394&lt;Assumptions!$C$6),1,0)</f>
        <v/>
      </c>
      <c r="AB1394">
        <f>IF(U1394=0,"",IF(Y1394=1,MAX(0,Q1394-G1394),IF(L1394=1,MAX(0,R1394-G1394),MAX(0,Assumptions!$C$6-G1394))))</f>
        <v/>
      </c>
      <c r="AC1394">
        <f>IF(Y1394=1,Q1394-F1394,"")</f>
        <v/>
      </c>
      <c r="AD1394">
        <f>IF(Y1394=1,AC1394^2,"")</f>
        <v/>
      </c>
      <c r="AE1394" s="19">
        <f>IF(Z1394=1,(H1394-M1394)*I1394,0)</f>
        <v/>
      </c>
      <c r="AF1394">
        <f>IF(G1394&lt;EDATE(Assumptions!$C$6,-12)+1,"prior_12m","last_12m")</f>
        <v/>
      </c>
      <c r="AG1394" s="21">
        <f>DATE(YEAR(G1394),MONTH(G1394),1)</f>
        <v/>
      </c>
    </row>
    <row r="1395">
      <c r="A1395" t="inlineStr">
        <is>
          <t>SPO-00760-3</t>
        </is>
      </c>
      <c r="B1395" t="inlineStr">
        <is>
          <t>SPO-00760</t>
        </is>
      </c>
      <c r="C1395" t="inlineStr">
        <is>
          <t>SUP-06</t>
        </is>
      </c>
      <c r="D1395" t="inlineStr">
        <is>
          <t>MRO</t>
        </is>
      </c>
      <c r="E1395" t="inlineStr">
        <is>
          <t>MRO-02</t>
        </is>
      </c>
      <c r="F1395" s="17" t="n">
        <v>45779</v>
      </c>
      <c r="G1395" s="17" t="n">
        <v>45787</v>
      </c>
      <c r="H1395" s="18" t="n">
        <v>62</v>
      </c>
      <c r="I1395" s="19" t="n">
        <v>40.26</v>
      </c>
      <c r="J1395" s="19" t="n">
        <v>41</v>
      </c>
      <c r="K1395" s="20" t="n">
        <v>0</v>
      </c>
      <c r="L1395" s="20" t="n">
        <v>0</v>
      </c>
      <c r="M1395" s="18" t="n">
        <v>62</v>
      </c>
      <c r="N1395" s="18" t="n">
        <v>62</v>
      </c>
      <c r="O1395" s="18" t="n">
        <v>0</v>
      </c>
      <c r="P1395" s="17" t="n">
        <v>45784</v>
      </c>
      <c r="Q1395" s="17" t="n">
        <v>45784</v>
      </c>
      <c r="R1395" s="17" t="n">
        <v>45784</v>
      </c>
      <c r="S1395" s="19">
        <f>H1395*I1395</f>
        <v/>
      </c>
      <c r="T1395" s="19">
        <f>H1395*J1395</f>
        <v/>
      </c>
      <c r="U1395">
        <f>IF(AND(K1395=0,G1395&lt;=Assumptions!$C$6),1,0)</f>
        <v/>
      </c>
      <c r="V1395">
        <f>IF(U1395=1,IF(M1395&gt;0,IF(P1395&lt;=G1395+Assumptions!$C$7,1,0),0),0)</f>
        <v/>
      </c>
      <c r="W1395">
        <f>IF(AND(U1395=1,M1395&gt;=H1395*(1-Assumptions!$C$8)),1,0)</f>
        <v/>
      </c>
      <c r="X1395">
        <f>IF(AND(U1395=1,N1395&gt;=H1395*(1-Assumptions!$C$8)),1,0)</f>
        <v/>
      </c>
      <c r="Y1395">
        <f>IF(ISNUMBER(Q1395),1,0)</f>
        <v/>
      </c>
      <c r="Z1395">
        <f>IF(AND(K1395=0,L1395=0,Y1395=0),1,0)</f>
        <v/>
      </c>
      <c r="AA1395">
        <f>IF(AND(Z1395=1,G1395&lt;Assumptions!$C$6),1,0)</f>
        <v/>
      </c>
      <c r="AB1395">
        <f>IF(U1395=0,"",IF(Y1395=1,MAX(0,Q1395-G1395),IF(L1395=1,MAX(0,R1395-G1395),MAX(0,Assumptions!$C$6-G1395))))</f>
        <v/>
      </c>
      <c r="AC1395">
        <f>IF(Y1395=1,Q1395-F1395,"")</f>
        <v/>
      </c>
      <c r="AD1395">
        <f>IF(Y1395=1,AC1395^2,"")</f>
        <v/>
      </c>
      <c r="AE1395" s="19">
        <f>IF(Z1395=1,(H1395-M1395)*I1395,0)</f>
        <v/>
      </c>
      <c r="AF1395">
        <f>IF(G1395&lt;EDATE(Assumptions!$C$6,-12)+1,"prior_12m","last_12m")</f>
        <v/>
      </c>
      <c r="AG1395" s="21">
        <f>DATE(YEAR(G1395),MONTH(G1395),1)</f>
        <v/>
      </c>
    </row>
    <row r="1396">
      <c r="A1396" t="inlineStr">
        <is>
          <t>SPO-00761-1</t>
        </is>
      </c>
      <c r="B1396" t="inlineStr">
        <is>
          <t>SPO-00761</t>
        </is>
      </c>
      <c r="C1396" t="inlineStr">
        <is>
          <t>SUP-02</t>
        </is>
      </c>
      <c r="D1396" t="inlineStr">
        <is>
          <t>ELEC</t>
        </is>
      </c>
      <c r="E1396" t="inlineStr">
        <is>
          <t>ELEC-08</t>
        </is>
      </c>
      <c r="F1396" s="17" t="n">
        <v>45779</v>
      </c>
      <c r="G1396" s="17" t="n">
        <v>45795</v>
      </c>
      <c r="H1396" s="18" t="n">
        <v>56</v>
      </c>
      <c r="I1396" s="19" t="n">
        <v>18.69</v>
      </c>
      <c r="J1396" s="19" t="n">
        <v>18</v>
      </c>
      <c r="K1396" s="20" t="n">
        <v>0</v>
      </c>
      <c r="L1396" s="20" t="n">
        <v>0</v>
      </c>
      <c r="M1396" s="18" t="n">
        <v>56</v>
      </c>
      <c r="N1396" s="18" t="n">
        <v>56</v>
      </c>
      <c r="O1396" s="18" t="n">
        <v>0</v>
      </c>
      <c r="P1396" s="17" t="n">
        <v>45792</v>
      </c>
      <c r="Q1396" s="17" t="n">
        <v>45792</v>
      </c>
      <c r="R1396" s="17" t="n">
        <v>45792</v>
      </c>
      <c r="S1396" s="19">
        <f>H1396*I1396</f>
        <v/>
      </c>
      <c r="T1396" s="19">
        <f>H1396*J1396</f>
        <v/>
      </c>
      <c r="U1396">
        <f>IF(AND(K1396=0,G1396&lt;=Assumptions!$C$6),1,0)</f>
        <v/>
      </c>
      <c r="V1396">
        <f>IF(U1396=1,IF(M1396&gt;0,IF(P1396&lt;=G1396+Assumptions!$C$7,1,0),0),0)</f>
        <v/>
      </c>
      <c r="W1396">
        <f>IF(AND(U1396=1,M1396&gt;=H1396*(1-Assumptions!$C$8)),1,0)</f>
        <v/>
      </c>
      <c r="X1396">
        <f>IF(AND(U1396=1,N1396&gt;=H1396*(1-Assumptions!$C$8)),1,0)</f>
        <v/>
      </c>
      <c r="Y1396">
        <f>IF(ISNUMBER(Q1396),1,0)</f>
        <v/>
      </c>
      <c r="Z1396">
        <f>IF(AND(K1396=0,L1396=0,Y1396=0),1,0)</f>
        <v/>
      </c>
      <c r="AA1396">
        <f>IF(AND(Z1396=1,G1396&lt;Assumptions!$C$6),1,0)</f>
        <v/>
      </c>
      <c r="AB1396">
        <f>IF(U1396=0,"",IF(Y1396=1,MAX(0,Q1396-G1396),IF(L1396=1,MAX(0,R1396-G1396),MAX(0,Assumptions!$C$6-G1396))))</f>
        <v/>
      </c>
      <c r="AC1396">
        <f>IF(Y1396=1,Q1396-F1396,"")</f>
        <v/>
      </c>
      <c r="AD1396">
        <f>IF(Y1396=1,AC1396^2,"")</f>
        <v/>
      </c>
      <c r="AE1396" s="19">
        <f>IF(Z1396=1,(H1396-M1396)*I1396,0)</f>
        <v/>
      </c>
      <c r="AF1396">
        <f>IF(G1396&lt;EDATE(Assumptions!$C$6,-12)+1,"prior_12m","last_12m")</f>
        <v/>
      </c>
      <c r="AG1396" s="21">
        <f>DATE(YEAR(G1396),MONTH(G1396),1)</f>
        <v/>
      </c>
    </row>
    <row r="1397">
      <c r="A1397" t="inlineStr">
        <is>
          <t>SPO-00761-2</t>
        </is>
      </c>
      <c r="B1397" t="inlineStr">
        <is>
          <t>SPO-00761</t>
        </is>
      </c>
      <c r="C1397" t="inlineStr">
        <is>
          <t>SUP-02</t>
        </is>
      </c>
      <c r="D1397" t="inlineStr">
        <is>
          <t>ELEC</t>
        </is>
      </c>
      <c r="E1397" t="inlineStr">
        <is>
          <t>ELEC-01</t>
        </is>
      </c>
      <c r="F1397" s="17" t="n">
        <v>45779</v>
      </c>
      <c r="G1397" s="17" t="n">
        <v>45795</v>
      </c>
      <c r="H1397" s="18" t="n">
        <v>59</v>
      </c>
      <c r="I1397" s="19" t="n">
        <v>38.91</v>
      </c>
      <c r="J1397" s="19" t="n">
        <v>38</v>
      </c>
      <c r="K1397" s="20" t="n">
        <v>0</v>
      </c>
      <c r="L1397" s="20" t="n">
        <v>0</v>
      </c>
      <c r="M1397" s="18" t="n">
        <v>59</v>
      </c>
      <c r="N1397" s="18" t="n">
        <v>59</v>
      </c>
      <c r="O1397" s="18" t="n">
        <v>0</v>
      </c>
      <c r="P1397" s="17" t="n">
        <v>45791</v>
      </c>
      <c r="Q1397" s="17" t="n">
        <v>45791</v>
      </c>
      <c r="R1397" s="17" t="n">
        <v>45791</v>
      </c>
      <c r="S1397" s="19">
        <f>H1397*I1397</f>
        <v/>
      </c>
      <c r="T1397" s="19">
        <f>H1397*J1397</f>
        <v/>
      </c>
      <c r="U1397">
        <f>IF(AND(K1397=0,G1397&lt;=Assumptions!$C$6),1,0)</f>
        <v/>
      </c>
      <c r="V1397">
        <f>IF(U1397=1,IF(M1397&gt;0,IF(P1397&lt;=G1397+Assumptions!$C$7,1,0),0),0)</f>
        <v/>
      </c>
      <c r="W1397">
        <f>IF(AND(U1397=1,M1397&gt;=H1397*(1-Assumptions!$C$8)),1,0)</f>
        <v/>
      </c>
      <c r="X1397">
        <f>IF(AND(U1397=1,N1397&gt;=H1397*(1-Assumptions!$C$8)),1,0)</f>
        <v/>
      </c>
      <c r="Y1397">
        <f>IF(ISNUMBER(Q1397),1,0)</f>
        <v/>
      </c>
      <c r="Z1397">
        <f>IF(AND(K1397=0,L1397=0,Y1397=0),1,0)</f>
        <v/>
      </c>
      <c r="AA1397">
        <f>IF(AND(Z1397=1,G1397&lt;Assumptions!$C$6),1,0)</f>
        <v/>
      </c>
      <c r="AB1397">
        <f>IF(U1397=0,"",IF(Y1397=1,MAX(0,Q1397-G1397),IF(L1397=1,MAX(0,R1397-G1397),MAX(0,Assumptions!$C$6-G1397))))</f>
        <v/>
      </c>
      <c r="AC1397">
        <f>IF(Y1397=1,Q1397-F1397,"")</f>
        <v/>
      </c>
      <c r="AD1397">
        <f>IF(Y1397=1,AC1397^2,"")</f>
        <v/>
      </c>
      <c r="AE1397" s="19">
        <f>IF(Z1397=1,(H1397-M1397)*I1397,0)</f>
        <v/>
      </c>
      <c r="AF1397">
        <f>IF(G1397&lt;EDATE(Assumptions!$C$6,-12)+1,"prior_12m","last_12m")</f>
        <v/>
      </c>
      <c r="AG1397" s="21">
        <f>DATE(YEAR(G1397),MONTH(G1397),1)</f>
        <v/>
      </c>
    </row>
    <row r="1398">
      <c r="A1398" t="inlineStr">
        <is>
          <t>SPO-00761-3</t>
        </is>
      </c>
      <c r="B1398" t="inlineStr">
        <is>
          <t>SPO-00761</t>
        </is>
      </c>
      <c r="C1398" t="inlineStr">
        <is>
          <t>SUP-02</t>
        </is>
      </c>
      <c r="D1398" t="inlineStr">
        <is>
          <t>ELEC</t>
        </is>
      </c>
      <c r="E1398" t="inlineStr">
        <is>
          <t>ELEC-05</t>
        </is>
      </c>
      <c r="F1398" s="17" t="n">
        <v>45779</v>
      </c>
      <c r="G1398" s="17" t="n">
        <v>45795</v>
      </c>
      <c r="H1398" s="18" t="n">
        <v>208</v>
      </c>
      <c r="I1398" s="19" t="n">
        <v>11.81</v>
      </c>
      <c r="J1398" s="19" t="n">
        <v>11.5</v>
      </c>
      <c r="K1398" s="20" t="n">
        <v>0</v>
      </c>
      <c r="L1398" s="20" t="n">
        <v>0</v>
      </c>
      <c r="M1398" s="18" t="n">
        <v>208</v>
      </c>
      <c r="N1398" s="18" t="n">
        <v>208</v>
      </c>
      <c r="O1398" s="18" t="n">
        <v>0</v>
      </c>
      <c r="P1398" s="17" t="n">
        <v>45791</v>
      </c>
      <c r="Q1398" s="17" t="n">
        <v>45791</v>
      </c>
      <c r="R1398" s="17" t="n">
        <v>45791</v>
      </c>
      <c r="S1398" s="19">
        <f>H1398*I1398</f>
        <v/>
      </c>
      <c r="T1398" s="19">
        <f>H1398*J1398</f>
        <v/>
      </c>
      <c r="U1398">
        <f>IF(AND(K1398=0,G1398&lt;=Assumptions!$C$6),1,0)</f>
        <v/>
      </c>
      <c r="V1398">
        <f>IF(U1398=1,IF(M1398&gt;0,IF(P1398&lt;=G1398+Assumptions!$C$7,1,0),0),0)</f>
        <v/>
      </c>
      <c r="W1398">
        <f>IF(AND(U1398=1,M1398&gt;=H1398*(1-Assumptions!$C$8)),1,0)</f>
        <v/>
      </c>
      <c r="X1398">
        <f>IF(AND(U1398=1,N1398&gt;=H1398*(1-Assumptions!$C$8)),1,0)</f>
        <v/>
      </c>
      <c r="Y1398">
        <f>IF(ISNUMBER(Q1398),1,0)</f>
        <v/>
      </c>
      <c r="Z1398">
        <f>IF(AND(K1398=0,L1398=0,Y1398=0),1,0)</f>
        <v/>
      </c>
      <c r="AA1398">
        <f>IF(AND(Z1398=1,G1398&lt;Assumptions!$C$6),1,0)</f>
        <v/>
      </c>
      <c r="AB1398">
        <f>IF(U1398=0,"",IF(Y1398=1,MAX(0,Q1398-G1398),IF(L1398=1,MAX(0,R1398-G1398),MAX(0,Assumptions!$C$6-G1398))))</f>
        <v/>
      </c>
      <c r="AC1398">
        <f>IF(Y1398=1,Q1398-F1398,"")</f>
        <v/>
      </c>
      <c r="AD1398">
        <f>IF(Y1398=1,AC1398^2,"")</f>
        <v/>
      </c>
      <c r="AE1398" s="19">
        <f>IF(Z1398=1,(H1398-M1398)*I1398,0)</f>
        <v/>
      </c>
      <c r="AF1398">
        <f>IF(G1398&lt;EDATE(Assumptions!$C$6,-12)+1,"prior_12m","last_12m")</f>
        <v/>
      </c>
      <c r="AG1398" s="21">
        <f>DATE(YEAR(G1398),MONTH(G1398),1)</f>
        <v/>
      </c>
    </row>
    <row r="1399">
      <c r="A1399" t="inlineStr">
        <is>
          <t>SPO-00762-1</t>
        </is>
      </c>
      <c r="B1399" t="inlineStr">
        <is>
          <t>SPO-00762</t>
        </is>
      </c>
      <c r="C1399" t="inlineStr">
        <is>
          <t>SUP-01</t>
        </is>
      </c>
      <c r="D1399" t="inlineStr">
        <is>
          <t>ELEC</t>
        </is>
      </c>
      <c r="E1399" t="inlineStr">
        <is>
          <t>ELEC-01</t>
        </is>
      </c>
      <c r="F1399" s="17" t="n">
        <v>45780</v>
      </c>
      <c r="G1399" s="17" t="n">
        <v>45798</v>
      </c>
      <c r="H1399" s="18" t="n">
        <v>51</v>
      </c>
      <c r="I1399" s="19" t="n">
        <v>37.56</v>
      </c>
      <c r="J1399" s="19" t="n">
        <v>38</v>
      </c>
      <c r="K1399" s="20" t="n">
        <v>0</v>
      </c>
      <c r="L1399" s="20" t="n">
        <v>0</v>
      </c>
      <c r="M1399" s="18" t="n">
        <v>51</v>
      </c>
      <c r="N1399" s="18" t="n">
        <v>51</v>
      </c>
      <c r="O1399" s="18" t="n">
        <v>0</v>
      </c>
      <c r="P1399" s="17" t="n">
        <v>45798</v>
      </c>
      <c r="Q1399" s="17" t="n">
        <v>45798</v>
      </c>
      <c r="R1399" s="17" t="n">
        <v>45798</v>
      </c>
      <c r="S1399" s="19">
        <f>H1399*I1399</f>
        <v/>
      </c>
      <c r="T1399" s="19">
        <f>H1399*J1399</f>
        <v/>
      </c>
      <c r="U1399">
        <f>IF(AND(K1399=0,G1399&lt;=Assumptions!$C$6),1,0)</f>
        <v/>
      </c>
      <c r="V1399">
        <f>IF(U1399=1,IF(M1399&gt;0,IF(P1399&lt;=G1399+Assumptions!$C$7,1,0),0),0)</f>
        <v/>
      </c>
      <c r="W1399">
        <f>IF(AND(U1399=1,M1399&gt;=H1399*(1-Assumptions!$C$8)),1,0)</f>
        <v/>
      </c>
      <c r="X1399">
        <f>IF(AND(U1399=1,N1399&gt;=H1399*(1-Assumptions!$C$8)),1,0)</f>
        <v/>
      </c>
      <c r="Y1399">
        <f>IF(ISNUMBER(Q1399),1,0)</f>
        <v/>
      </c>
      <c r="Z1399">
        <f>IF(AND(K1399=0,L1399=0,Y1399=0),1,0)</f>
        <v/>
      </c>
      <c r="AA1399">
        <f>IF(AND(Z1399=1,G1399&lt;Assumptions!$C$6),1,0)</f>
        <v/>
      </c>
      <c r="AB1399">
        <f>IF(U1399=0,"",IF(Y1399=1,MAX(0,Q1399-G1399),IF(L1399=1,MAX(0,R1399-G1399),MAX(0,Assumptions!$C$6-G1399))))</f>
        <v/>
      </c>
      <c r="AC1399">
        <f>IF(Y1399=1,Q1399-F1399,"")</f>
        <v/>
      </c>
      <c r="AD1399">
        <f>IF(Y1399=1,AC1399^2,"")</f>
        <v/>
      </c>
      <c r="AE1399" s="19">
        <f>IF(Z1399=1,(H1399-M1399)*I1399,0)</f>
        <v/>
      </c>
      <c r="AF1399">
        <f>IF(G1399&lt;EDATE(Assumptions!$C$6,-12)+1,"prior_12m","last_12m")</f>
        <v/>
      </c>
      <c r="AG1399" s="21">
        <f>DATE(YEAR(G1399),MONTH(G1399),1)</f>
        <v/>
      </c>
    </row>
    <row r="1400">
      <c r="A1400" t="inlineStr">
        <is>
          <t>SPO-00762-2</t>
        </is>
      </c>
      <c r="B1400" t="inlineStr">
        <is>
          <t>SPO-00762</t>
        </is>
      </c>
      <c r="C1400" t="inlineStr">
        <is>
          <t>SUP-01</t>
        </is>
      </c>
      <c r="D1400" t="inlineStr">
        <is>
          <t>ELEC</t>
        </is>
      </c>
      <c r="E1400" t="inlineStr">
        <is>
          <t>ELEC-07</t>
        </is>
      </c>
      <c r="F1400" s="17" t="n">
        <v>45780</v>
      </c>
      <c r="G1400" s="17" t="n">
        <v>45798</v>
      </c>
      <c r="H1400" s="18" t="n">
        <v>298</v>
      </c>
      <c r="I1400" s="19" t="n">
        <v>9.77</v>
      </c>
      <c r="J1400" s="19" t="n">
        <v>9.800000000000001</v>
      </c>
      <c r="K1400" s="20" t="n">
        <v>0</v>
      </c>
      <c r="L1400" s="20" t="n">
        <v>0</v>
      </c>
      <c r="M1400" s="18" t="n">
        <v>298</v>
      </c>
      <c r="N1400" s="18" t="n">
        <v>298</v>
      </c>
      <c r="O1400" s="18" t="n">
        <v>0</v>
      </c>
      <c r="P1400" s="17" t="n">
        <v>45795</v>
      </c>
      <c r="Q1400" s="17" t="n">
        <v>45795</v>
      </c>
      <c r="R1400" s="17" t="n">
        <v>45795</v>
      </c>
      <c r="S1400" s="19">
        <f>H1400*I1400</f>
        <v/>
      </c>
      <c r="T1400" s="19">
        <f>H1400*J1400</f>
        <v/>
      </c>
      <c r="U1400">
        <f>IF(AND(K1400=0,G1400&lt;=Assumptions!$C$6),1,0)</f>
        <v/>
      </c>
      <c r="V1400">
        <f>IF(U1400=1,IF(M1400&gt;0,IF(P1400&lt;=G1400+Assumptions!$C$7,1,0),0),0)</f>
        <v/>
      </c>
      <c r="W1400">
        <f>IF(AND(U1400=1,M1400&gt;=H1400*(1-Assumptions!$C$8)),1,0)</f>
        <v/>
      </c>
      <c r="X1400">
        <f>IF(AND(U1400=1,N1400&gt;=H1400*(1-Assumptions!$C$8)),1,0)</f>
        <v/>
      </c>
      <c r="Y1400">
        <f>IF(ISNUMBER(Q1400),1,0)</f>
        <v/>
      </c>
      <c r="Z1400">
        <f>IF(AND(K1400=0,L1400=0,Y1400=0),1,0)</f>
        <v/>
      </c>
      <c r="AA1400">
        <f>IF(AND(Z1400=1,G1400&lt;Assumptions!$C$6),1,0)</f>
        <v/>
      </c>
      <c r="AB1400">
        <f>IF(U1400=0,"",IF(Y1400=1,MAX(0,Q1400-G1400),IF(L1400=1,MAX(0,R1400-G1400),MAX(0,Assumptions!$C$6-G1400))))</f>
        <v/>
      </c>
      <c r="AC1400">
        <f>IF(Y1400=1,Q1400-F1400,"")</f>
        <v/>
      </c>
      <c r="AD1400">
        <f>IF(Y1400=1,AC1400^2,"")</f>
        <v/>
      </c>
      <c r="AE1400" s="19">
        <f>IF(Z1400=1,(H1400-M1400)*I1400,0)</f>
        <v/>
      </c>
      <c r="AF1400">
        <f>IF(G1400&lt;EDATE(Assumptions!$C$6,-12)+1,"prior_12m","last_12m")</f>
        <v/>
      </c>
      <c r="AG1400" s="21">
        <f>DATE(YEAR(G1400),MONTH(G1400),1)</f>
        <v/>
      </c>
    </row>
    <row r="1401">
      <c r="A1401" t="inlineStr">
        <is>
          <t>SPO-00763-1</t>
        </is>
      </c>
      <c r="B1401" t="inlineStr">
        <is>
          <t>SPO-00763</t>
        </is>
      </c>
      <c r="C1401" t="inlineStr">
        <is>
          <t>SUP-05</t>
        </is>
      </c>
      <c r="D1401" t="inlineStr">
        <is>
          <t>FLEET</t>
        </is>
      </c>
      <c r="E1401" t="inlineStr">
        <is>
          <t>FLEET-02</t>
        </is>
      </c>
      <c r="F1401" s="17" t="n">
        <v>45780</v>
      </c>
      <c r="G1401" s="17" t="n">
        <v>45794</v>
      </c>
      <c r="H1401" s="18" t="n">
        <v>120</v>
      </c>
      <c r="I1401" s="19" t="n">
        <v>7.38</v>
      </c>
      <c r="J1401" s="19" t="n">
        <v>7.5</v>
      </c>
      <c r="K1401" s="20" t="n">
        <v>0</v>
      </c>
      <c r="L1401" s="20" t="n">
        <v>0</v>
      </c>
      <c r="M1401" s="18" t="n">
        <v>120</v>
      </c>
      <c r="N1401" s="18" t="n">
        <v>120</v>
      </c>
      <c r="O1401" s="18" t="n">
        <v>0</v>
      </c>
      <c r="P1401" s="17" t="n">
        <v>45791</v>
      </c>
      <c r="Q1401" s="17" t="n">
        <v>45791</v>
      </c>
      <c r="R1401" s="17" t="n">
        <v>45791</v>
      </c>
      <c r="S1401" s="19">
        <f>H1401*I1401</f>
        <v/>
      </c>
      <c r="T1401" s="19">
        <f>H1401*J1401</f>
        <v/>
      </c>
      <c r="U1401">
        <f>IF(AND(K1401=0,G1401&lt;=Assumptions!$C$6),1,0)</f>
        <v/>
      </c>
      <c r="V1401">
        <f>IF(U1401=1,IF(M1401&gt;0,IF(P1401&lt;=G1401+Assumptions!$C$7,1,0),0),0)</f>
        <v/>
      </c>
      <c r="W1401">
        <f>IF(AND(U1401=1,M1401&gt;=H1401*(1-Assumptions!$C$8)),1,0)</f>
        <v/>
      </c>
      <c r="X1401">
        <f>IF(AND(U1401=1,N1401&gt;=H1401*(1-Assumptions!$C$8)),1,0)</f>
        <v/>
      </c>
      <c r="Y1401">
        <f>IF(ISNUMBER(Q1401),1,0)</f>
        <v/>
      </c>
      <c r="Z1401">
        <f>IF(AND(K1401=0,L1401=0,Y1401=0),1,0)</f>
        <v/>
      </c>
      <c r="AA1401">
        <f>IF(AND(Z1401=1,G1401&lt;Assumptions!$C$6),1,0)</f>
        <v/>
      </c>
      <c r="AB1401">
        <f>IF(U1401=0,"",IF(Y1401=1,MAX(0,Q1401-G1401),IF(L1401=1,MAX(0,R1401-G1401),MAX(0,Assumptions!$C$6-G1401))))</f>
        <v/>
      </c>
      <c r="AC1401">
        <f>IF(Y1401=1,Q1401-F1401,"")</f>
        <v/>
      </c>
      <c r="AD1401">
        <f>IF(Y1401=1,AC1401^2,"")</f>
        <v/>
      </c>
      <c r="AE1401" s="19">
        <f>IF(Z1401=1,(H1401-M1401)*I1401,0)</f>
        <v/>
      </c>
      <c r="AF1401">
        <f>IF(G1401&lt;EDATE(Assumptions!$C$6,-12)+1,"prior_12m","last_12m")</f>
        <v/>
      </c>
      <c r="AG1401" s="21">
        <f>DATE(YEAR(G1401),MONTH(G1401),1)</f>
        <v/>
      </c>
    </row>
    <row r="1402">
      <c r="A1402" t="inlineStr">
        <is>
          <t>SPO-00763-2</t>
        </is>
      </c>
      <c r="B1402" t="inlineStr">
        <is>
          <t>SPO-00763</t>
        </is>
      </c>
      <c r="C1402" t="inlineStr">
        <is>
          <t>SUP-05</t>
        </is>
      </c>
      <c r="D1402" t="inlineStr">
        <is>
          <t>FLEET</t>
        </is>
      </c>
      <c r="E1402" t="inlineStr">
        <is>
          <t>FLEET-05</t>
        </is>
      </c>
      <c r="F1402" s="17" t="n">
        <v>45780</v>
      </c>
      <c r="G1402" s="17" t="n">
        <v>45794</v>
      </c>
      <c r="H1402" s="18" t="n">
        <v>12</v>
      </c>
      <c r="I1402" s="19" t="n">
        <v>173.31</v>
      </c>
      <c r="J1402" s="19" t="n">
        <v>168</v>
      </c>
      <c r="K1402" s="20" t="n">
        <v>0</v>
      </c>
      <c r="L1402" s="20" t="n">
        <v>0</v>
      </c>
      <c r="M1402" s="18" t="n">
        <v>12</v>
      </c>
      <c r="N1402" s="18" t="n">
        <v>12</v>
      </c>
      <c r="O1402" s="18" t="n">
        <v>0</v>
      </c>
      <c r="P1402" s="17" t="n">
        <v>45793</v>
      </c>
      <c r="Q1402" s="17" t="n">
        <v>45793</v>
      </c>
      <c r="R1402" s="17" t="n">
        <v>45793</v>
      </c>
      <c r="S1402" s="19">
        <f>H1402*I1402</f>
        <v/>
      </c>
      <c r="T1402" s="19">
        <f>H1402*J1402</f>
        <v/>
      </c>
      <c r="U1402">
        <f>IF(AND(K1402=0,G1402&lt;=Assumptions!$C$6),1,0)</f>
        <v/>
      </c>
      <c r="V1402">
        <f>IF(U1402=1,IF(M1402&gt;0,IF(P1402&lt;=G1402+Assumptions!$C$7,1,0),0),0)</f>
        <v/>
      </c>
      <c r="W1402">
        <f>IF(AND(U1402=1,M1402&gt;=H1402*(1-Assumptions!$C$8)),1,0)</f>
        <v/>
      </c>
      <c r="X1402">
        <f>IF(AND(U1402=1,N1402&gt;=H1402*(1-Assumptions!$C$8)),1,0)</f>
        <v/>
      </c>
      <c r="Y1402">
        <f>IF(ISNUMBER(Q1402),1,0)</f>
        <v/>
      </c>
      <c r="Z1402">
        <f>IF(AND(K1402=0,L1402=0,Y1402=0),1,0)</f>
        <v/>
      </c>
      <c r="AA1402">
        <f>IF(AND(Z1402=1,G1402&lt;Assumptions!$C$6),1,0)</f>
        <v/>
      </c>
      <c r="AB1402">
        <f>IF(U1402=0,"",IF(Y1402=1,MAX(0,Q1402-G1402),IF(L1402=1,MAX(0,R1402-G1402),MAX(0,Assumptions!$C$6-G1402))))</f>
        <v/>
      </c>
      <c r="AC1402">
        <f>IF(Y1402=1,Q1402-F1402,"")</f>
        <v/>
      </c>
      <c r="AD1402">
        <f>IF(Y1402=1,AC1402^2,"")</f>
        <v/>
      </c>
      <c r="AE1402" s="19">
        <f>IF(Z1402=1,(H1402-M1402)*I1402,0)</f>
        <v/>
      </c>
      <c r="AF1402">
        <f>IF(G1402&lt;EDATE(Assumptions!$C$6,-12)+1,"prior_12m","last_12m")</f>
        <v/>
      </c>
      <c r="AG1402" s="21">
        <f>DATE(YEAR(G1402),MONTH(G1402),1)</f>
        <v/>
      </c>
    </row>
    <row r="1403">
      <c r="A1403" t="inlineStr">
        <is>
          <t>SPO-00764-1</t>
        </is>
      </c>
      <c r="B1403" t="inlineStr">
        <is>
          <t>SPO-00764</t>
        </is>
      </c>
      <c r="C1403" t="inlineStr">
        <is>
          <t>SUP-09</t>
        </is>
      </c>
      <c r="D1403" t="inlineStr">
        <is>
          <t>CHEM</t>
        </is>
      </c>
      <c r="E1403" t="inlineStr">
        <is>
          <t>CHEM-01</t>
        </is>
      </c>
      <c r="F1403" s="17" t="n">
        <v>45780</v>
      </c>
      <c r="G1403" s="17" t="n">
        <v>45794</v>
      </c>
      <c r="H1403" s="18" t="n">
        <v>4</v>
      </c>
      <c r="I1403" s="19" t="n">
        <v>665.97</v>
      </c>
      <c r="J1403" s="19" t="n">
        <v>640</v>
      </c>
      <c r="K1403" s="20" t="n">
        <v>0</v>
      </c>
      <c r="L1403" s="20" t="n">
        <v>0</v>
      </c>
      <c r="M1403" s="18" t="n">
        <v>4</v>
      </c>
      <c r="N1403" s="18" t="n">
        <v>4</v>
      </c>
      <c r="O1403" s="18" t="n">
        <v>0</v>
      </c>
      <c r="P1403" s="17" t="n">
        <v>45792</v>
      </c>
      <c r="Q1403" s="17" t="n">
        <v>45792</v>
      </c>
      <c r="R1403" s="17" t="n">
        <v>45792</v>
      </c>
      <c r="S1403" s="19">
        <f>H1403*I1403</f>
        <v/>
      </c>
      <c r="T1403" s="19">
        <f>H1403*J1403</f>
        <v/>
      </c>
      <c r="U1403">
        <f>IF(AND(K1403=0,G1403&lt;=Assumptions!$C$6),1,0)</f>
        <v/>
      </c>
      <c r="V1403">
        <f>IF(U1403=1,IF(M1403&gt;0,IF(P1403&lt;=G1403+Assumptions!$C$7,1,0),0),0)</f>
        <v/>
      </c>
      <c r="W1403">
        <f>IF(AND(U1403=1,M1403&gt;=H1403*(1-Assumptions!$C$8)),1,0)</f>
        <v/>
      </c>
      <c r="X1403">
        <f>IF(AND(U1403=1,N1403&gt;=H1403*(1-Assumptions!$C$8)),1,0)</f>
        <v/>
      </c>
      <c r="Y1403">
        <f>IF(ISNUMBER(Q1403),1,0)</f>
        <v/>
      </c>
      <c r="Z1403">
        <f>IF(AND(K1403=0,L1403=0,Y1403=0),1,0)</f>
        <v/>
      </c>
      <c r="AA1403">
        <f>IF(AND(Z1403=1,G1403&lt;Assumptions!$C$6),1,0)</f>
        <v/>
      </c>
      <c r="AB1403">
        <f>IF(U1403=0,"",IF(Y1403=1,MAX(0,Q1403-G1403),IF(L1403=1,MAX(0,R1403-G1403),MAX(0,Assumptions!$C$6-G1403))))</f>
        <v/>
      </c>
      <c r="AC1403">
        <f>IF(Y1403=1,Q1403-F1403,"")</f>
        <v/>
      </c>
      <c r="AD1403">
        <f>IF(Y1403=1,AC1403^2,"")</f>
        <v/>
      </c>
      <c r="AE1403" s="19">
        <f>IF(Z1403=1,(H1403-M1403)*I1403,0)</f>
        <v/>
      </c>
      <c r="AF1403">
        <f>IF(G1403&lt;EDATE(Assumptions!$C$6,-12)+1,"prior_12m","last_12m")</f>
        <v/>
      </c>
      <c r="AG1403" s="21">
        <f>DATE(YEAR(G1403),MONTH(G1403),1)</f>
        <v/>
      </c>
    </row>
    <row r="1404">
      <c r="A1404" t="inlineStr">
        <is>
          <t>SPO-00764-2</t>
        </is>
      </c>
      <c r="B1404" t="inlineStr">
        <is>
          <t>SPO-00764</t>
        </is>
      </c>
      <c r="C1404" t="inlineStr">
        <is>
          <t>SUP-09</t>
        </is>
      </c>
      <c r="D1404" t="inlineStr">
        <is>
          <t>CHEM</t>
        </is>
      </c>
      <c r="E1404" t="inlineStr">
        <is>
          <t>CHEM-04</t>
        </is>
      </c>
      <c r="F1404" s="17" t="n">
        <v>45780</v>
      </c>
      <c r="G1404" s="17" t="n">
        <v>45794</v>
      </c>
      <c r="H1404" s="18" t="n">
        <v>2</v>
      </c>
      <c r="I1404" s="19" t="n">
        <v>866.83</v>
      </c>
      <c r="J1404" s="19" t="n">
        <v>820</v>
      </c>
      <c r="K1404" s="20" t="n">
        <v>0</v>
      </c>
      <c r="L1404" s="20" t="n">
        <v>0</v>
      </c>
      <c r="M1404" s="18" t="n">
        <v>2</v>
      </c>
      <c r="N1404" s="18" t="n">
        <v>2</v>
      </c>
      <c r="O1404" s="18" t="n">
        <v>0</v>
      </c>
      <c r="P1404" s="17" t="n">
        <v>45790</v>
      </c>
      <c r="Q1404" s="17" t="n">
        <v>45790</v>
      </c>
      <c r="R1404" s="17" t="n">
        <v>45790</v>
      </c>
      <c r="S1404" s="19">
        <f>H1404*I1404</f>
        <v/>
      </c>
      <c r="T1404" s="19">
        <f>H1404*J1404</f>
        <v/>
      </c>
      <c r="U1404">
        <f>IF(AND(K1404=0,G1404&lt;=Assumptions!$C$6),1,0)</f>
        <v/>
      </c>
      <c r="V1404">
        <f>IF(U1404=1,IF(M1404&gt;0,IF(P1404&lt;=G1404+Assumptions!$C$7,1,0),0),0)</f>
        <v/>
      </c>
      <c r="W1404">
        <f>IF(AND(U1404=1,M1404&gt;=H1404*(1-Assumptions!$C$8)),1,0)</f>
        <v/>
      </c>
      <c r="X1404">
        <f>IF(AND(U1404=1,N1404&gt;=H1404*(1-Assumptions!$C$8)),1,0)</f>
        <v/>
      </c>
      <c r="Y1404">
        <f>IF(ISNUMBER(Q1404),1,0)</f>
        <v/>
      </c>
      <c r="Z1404">
        <f>IF(AND(K1404=0,L1404=0,Y1404=0),1,0)</f>
        <v/>
      </c>
      <c r="AA1404">
        <f>IF(AND(Z1404=1,G1404&lt;Assumptions!$C$6),1,0)</f>
        <v/>
      </c>
      <c r="AB1404">
        <f>IF(U1404=0,"",IF(Y1404=1,MAX(0,Q1404-G1404),IF(L1404=1,MAX(0,R1404-G1404),MAX(0,Assumptions!$C$6-G1404))))</f>
        <v/>
      </c>
      <c r="AC1404">
        <f>IF(Y1404=1,Q1404-F1404,"")</f>
        <v/>
      </c>
      <c r="AD1404">
        <f>IF(Y1404=1,AC1404^2,"")</f>
        <v/>
      </c>
      <c r="AE1404" s="19">
        <f>IF(Z1404=1,(H1404-M1404)*I1404,0)</f>
        <v/>
      </c>
      <c r="AF1404">
        <f>IF(G1404&lt;EDATE(Assumptions!$C$6,-12)+1,"prior_12m","last_12m")</f>
        <v/>
      </c>
      <c r="AG1404" s="21">
        <f>DATE(YEAR(G1404),MONTH(G1404),1)</f>
        <v/>
      </c>
    </row>
    <row r="1405">
      <c r="A1405" t="inlineStr">
        <is>
          <t>SPO-00764-3</t>
        </is>
      </c>
      <c r="B1405" t="inlineStr">
        <is>
          <t>SPO-00764</t>
        </is>
      </c>
      <c r="C1405" t="inlineStr">
        <is>
          <t>SUP-09</t>
        </is>
      </c>
      <c r="D1405" t="inlineStr">
        <is>
          <t>CHEM</t>
        </is>
      </c>
      <c r="E1405" t="inlineStr">
        <is>
          <t>CHEM-05</t>
        </is>
      </c>
      <c r="F1405" s="17" t="n">
        <v>45780</v>
      </c>
      <c r="G1405" s="17" t="n">
        <v>45794</v>
      </c>
      <c r="H1405" s="18" t="n">
        <v>3</v>
      </c>
      <c r="I1405" s="19" t="n">
        <v>979.24</v>
      </c>
      <c r="J1405" s="19" t="n">
        <v>930</v>
      </c>
      <c r="K1405" s="20" t="n">
        <v>0</v>
      </c>
      <c r="L1405" s="20" t="n">
        <v>0</v>
      </c>
      <c r="M1405" s="18" t="n">
        <v>3</v>
      </c>
      <c r="N1405" s="18" t="n">
        <v>3</v>
      </c>
      <c r="O1405" s="18" t="n">
        <v>0</v>
      </c>
      <c r="P1405" s="17" t="n">
        <v>45791</v>
      </c>
      <c r="Q1405" s="17" t="n">
        <v>45791</v>
      </c>
      <c r="R1405" s="17" t="n">
        <v>45791</v>
      </c>
      <c r="S1405" s="19">
        <f>H1405*I1405</f>
        <v/>
      </c>
      <c r="T1405" s="19">
        <f>H1405*J1405</f>
        <v/>
      </c>
      <c r="U1405">
        <f>IF(AND(K1405=0,G1405&lt;=Assumptions!$C$6),1,0)</f>
        <v/>
      </c>
      <c r="V1405">
        <f>IF(U1405=1,IF(M1405&gt;0,IF(P1405&lt;=G1405+Assumptions!$C$7,1,0),0),0)</f>
        <v/>
      </c>
      <c r="W1405">
        <f>IF(AND(U1405=1,M1405&gt;=H1405*(1-Assumptions!$C$8)),1,0)</f>
        <v/>
      </c>
      <c r="X1405">
        <f>IF(AND(U1405=1,N1405&gt;=H1405*(1-Assumptions!$C$8)),1,0)</f>
        <v/>
      </c>
      <c r="Y1405">
        <f>IF(ISNUMBER(Q1405),1,0)</f>
        <v/>
      </c>
      <c r="Z1405">
        <f>IF(AND(K1405=0,L1405=0,Y1405=0),1,0)</f>
        <v/>
      </c>
      <c r="AA1405">
        <f>IF(AND(Z1405=1,G1405&lt;Assumptions!$C$6),1,0)</f>
        <v/>
      </c>
      <c r="AB1405">
        <f>IF(U1405=0,"",IF(Y1405=1,MAX(0,Q1405-G1405),IF(L1405=1,MAX(0,R1405-G1405),MAX(0,Assumptions!$C$6-G1405))))</f>
        <v/>
      </c>
      <c r="AC1405">
        <f>IF(Y1405=1,Q1405-F1405,"")</f>
        <v/>
      </c>
      <c r="AD1405">
        <f>IF(Y1405=1,AC1405^2,"")</f>
        <v/>
      </c>
      <c r="AE1405" s="19">
        <f>IF(Z1405=1,(H1405-M1405)*I1405,0)</f>
        <v/>
      </c>
      <c r="AF1405">
        <f>IF(G1405&lt;EDATE(Assumptions!$C$6,-12)+1,"prior_12m","last_12m")</f>
        <v/>
      </c>
      <c r="AG1405" s="21">
        <f>DATE(YEAR(G1405),MONTH(G1405),1)</f>
        <v/>
      </c>
    </row>
    <row r="1406">
      <c r="A1406" t="inlineStr">
        <is>
          <t>SPO-00765-1</t>
        </is>
      </c>
      <c r="B1406" t="inlineStr">
        <is>
          <t>SPO-00765</t>
        </is>
      </c>
      <c r="C1406" t="inlineStr">
        <is>
          <t>SUP-09</t>
        </is>
      </c>
      <c r="D1406" t="inlineStr">
        <is>
          <t>CHEM</t>
        </is>
      </c>
      <c r="E1406" t="inlineStr">
        <is>
          <t>CHEM-03</t>
        </is>
      </c>
      <c r="F1406" s="17" t="n">
        <v>45781</v>
      </c>
      <c r="G1406" s="17" t="n">
        <v>45795</v>
      </c>
      <c r="H1406" s="18" t="n">
        <v>8</v>
      </c>
      <c r="I1406" s="19" t="n">
        <v>286.95</v>
      </c>
      <c r="J1406" s="19" t="n">
        <v>265</v>
      </c>
      <c r="K1406" s="20" t="n">
        <v>0</v>
      </c>
      <c r="L1406" s="20" t="n">
        <v>0</v>
      </c>
      <c r="M1406" s="18" t="n">
        <v>8</v>
      </c>
      <c r="N1406" s="18" t="n">
        <v>8</v>
      </c>
      <c r="O1406" s="18" t="n">
        <v>0</v>
      </c>
      <c r="P1406" s="17" t="n">
        <v>45793</v>
      </c>
      <c r="Q1406" s="17" t="n">
        <v>45793</v>
      </c>
      <c r="R1406" s="17" t="n">
        <v>45793</v>
      </c>
      <c r="S1406" s="19">
        <f>H1406*I1406</f>
        <v/>
      </c>
      <c r="T1406" s="19">
        <f>H1406*J1406</f>
        <v/>
      </c>
      <c r="U1406">
        <f>IF(AND(K1406=0,G1406&lt;=Assumptions!$C$6),1,0)</f>
        <v/>
      </c>
      <c r="V1406">
        <f>IF(U1406=1,IF(M1406&gt;0,IF(P1406&lt;=G1406+Assumptions!$C$7,1,0),0),0)</f>
        <v/>
      </c>
      <c r="W1406">
        <f>IF(AND(U1406=1,M1406&gt;=H1406*(1-Assumptions!$C$8)),1,0)</f>
        <v/>
      </c>
      <c r="X1406">
        <f>IF(AND(U1406=1,N1406&gt;=H1406*(1-Assumptions!$C$8)),1,0)</f>
        <v/>
      </c>
      <c r="Y1406">
        <f>IF(ISNUMBER(Q1406),1,0)</f>
        <v/>
      </c>
      <c r="Z1406">
        <f>IF(AND(K1406=0,L1406=0,Y1406=0),1,0)</f>
        <v/>
      </c>
      <c r="AA1406">
        <f>IF(AND(Z1406=1,G1406&lt;Assumptions!$C$6),1,0)</f>
        <v/>
      </c>
      <c r="AB1406">
        <f>IF(U1406=0,"",IF(Y1406=1,MAX(0,Q1406-G1406),IF(L1406=1,MAX(0,R1406-G1406),MAX(0,Assumptions!$C$6-G1406))))</f>
        <v/>
      </c>
      <c r="AC1406">
        <f>IF(Y1406=1,Q1406-F1406,"")</f>
        <v/>
      </c>
      <c r="AD1406">
        <f>IF(Y1406=1,AC1406^2,"")</f>
        <v/>
      </c>
      <c r="AE1406" s="19">
        <f>IF(Z1406=1,(H1406-M1406)*I1406,0)</f>
        <v/>
      </c>
      <c r="AF1406">
        <f>IF(G1406&lt;EDATE(Assumptions!$C$6,-12)+1,"prior_12m","last_12m")</f>
        <v/>
      </c>
      <c r="AG1406" s="21">
        <f>DATE(YEAR(G1406),MONTH(G1406),1)</f>
        <v/>
      </c>
    </row>
    <row r="1407">
      <c r="A1407" t="inlineStr">
        <is>
          <t>SPO-00765-2</t>
        </is>
      </c>
      <c r="B1407" t="inlineStr">
        <is>
          <t>SPO-00765</t>
        </is>
      </c>
      <c r="C1407" t="inlineStr">
        <is>
          <t>SUP-09</t>
        </is>
      </c>
      <c r="D1407" t="inlineStr">
        <is>
          <t>CHEM</t>
        </is>
      </c>
      <c r="E1407" t="inlineStr">
        <is>
          <t>CHEM-01</t>
        </is>
      </c>
      <c r="F1407" s="17" t="n">
        <v>45781</v>
      </c>
      <c r="G1407" s="17" t="n">
        <v>45795</v>
      </c>
      <c r="H1407" s="18" t="n">
        <v>2</v>
      </c>
      <c r="I1407" s="19" t="n">
        <v>675.87</v>
      </c>
      <c r="J1407" s="19" t="n">
        <v>640</v>
      </c>
      <c r="K1407" s="20" t="n">
        <v>0</v>
      </c>
      <c r="L1407" s="20" t="n">
        <v>0</v>
      </c>
      <c r="M1407" s="18" t="n">
        <v>2</v>
      </c>
      <c r="N1407" s="18" t="n">
        <v>2</v>
      </c>
      <c r="O1407" s="18" t="n">
        <v>0</v>
      </c>
      <c r="P1407" s="17" t="n">
        <v>45792</v>
      </c>
      <c r="Q1407" s="17" t="n">
        <v>45792</v>
      </c>
      <c r="R1407" s="17" t="n">
        <v>45792</v>
      </c>
      <c r="S1407" s="19">
        <f>H1407*I1407</f>
        <v/>
      </c>
      <c r="T1407" s="19">
        <f>H1407*J1407</f>
        <v/>
      </c>
      <c r="U1407">
        <f>IF(AND(K1407=0,G1407&lt;=Assumptions!$C$6),1,0)</f>
        <v/>
      </c>
      <c r="V1407">
        <f>IF(U1407=1,IF(M1407&gt;0,IF(P1407&lt;=G1407+Assumptions!$C$7,1,0),0),0)</f>
        <v/>
      </c>
      <c r="W1407">
        <f>IF(AND(U1407=1,M1407&gt;=H1407*(1-Assumptions!$C$8)),1,0)</f>
        <v/>
      </c>
      <c r="X1407">
        <f>IF(AND(U1407=1,N1407&gt;=H1407*(1-Assumptions!$C$8)),1,0)</f>
        <v/>
      </c>
      <c r="Y1407">
        <f>IF(ISNUMBER(Q1407),1,0)</f>
        <v/>
      </c>
      <c r="Z1407">
        <f>IF(AND(K1407=0,L1407=0,Y1407=0),1,0)</f>
        <v/>
      </c>
      <c r="AA1407">
        <f>IF(AND(Z1407=1,G1407&lt;Assumptions!$C$6),1,0)</f>
        <v/>
      </c>
      <c r="AB1407">
        <f>IF(U1407=0,"",IF(Y1407=1,MAX(0,Q1407-G1407),IF(L1407=1,MAX(0,R1407-G1407),MAX(0,Assumptions!$C$6-G1407))))</f>
        <v/>
      </c>
      <c r="AC1407">
        <f>IF(Y1407=1,Q1407-F1407,"")</f>
        <v/>
      </c>
      <c r="AD1407">
        <f>IF(Y1407=1,AC1407^2,"")</f>
        <v/>
      </c>
      <c r="AE1407" s="19">
        <f>IF(Z1407=1,(H1407-M1407)*I1407,0)</f>
        <v/>
      </c>
      <c r="AF1407">
        <f>IF(G1407&lt;EDATE(Assumptions!$C$6,-12)+1,"prior_12m","last_12m")</f>
        <v/>
      </c>
      <c r="AG1407" s="21">
        <f>DATE(YEAR(G1407),MONTH(G1407),1)</f>
        <v/>
      </c>
    </row>
    <row r="1408">
      <c r="A1408" t="inlineStr">
        <is>
          <t>SPO-00766-1</t>
        </is>
      </c>
      <c r="B1408" t="inlineStr">
        <is>
          <t>SPO-00766</t>
        </is>
      </c>
      <c r="C1408" t="inlineStr">
        <is>
          <t>SUP-08</t>
        </is>
      </c>
      <c r="D1408" t="inlineStr">
        <is>
          <t>PPE</t>
        </is>
      </c>
      <c r="E1408" t="inlineStr">
        <is>
          <t>PPE-06</t>
        </is>
      </c>
      <c r="F1408" s="17" t="n">
        <v>45781</v>
      </c>
      <c r="G1408" s="17" t="n">
        <v>45792</v>
      </c>
      <c r="H1408" s="18" t="n">
        <v>13</v>
      </c>
      <c r="I1408" s="19" t="n">
        <v>113.92</v>
      </c>
      <c r="J1408" s="19" t="n">
        <v>115</v>
      </c>
      <c r="K1408" s="20" t="n">
        <v>0</v>
      </c>
      <c r="L1408" s="20" t="n">
        <v>0</v>
      </c>
      <c r="M1408" s="18" t="n">
        <v>13</v>
      </c>
      <c r="N1408" s="18" t="n">
        <v>13</v>
      </c>
      <c r="O1408" s="18" t="n">
        <v>0</v>
      </c>
      <c r="P1408" s="17" t="n">
        <v>45786</v>
      </c>
      <c r="Q1408" s="17" t="n">
        <v>45786</v>
      </c>
      <c r="R1408" s="17" t="n">
        <v>45786</v>
      </c>
      <c r="S1408" s="19">
        <f>H1408*I1408</f>
        <v/>
      </c>
      <c r="T1408" s="19">
        <f>H1408*J1408</f>
        <v/>
      </c>
      <c r="U1408">
        <f>IF(AND(K1408=0,G1408&lt;=Assumptions!$C$6),1,0)</f>
        <v/>
      </c>
      <c r="V1408">
        <f>IF(U1408=1,IF(M1408&gt;0,IF(P1408&lt;=G1408+Assumptions!$C$7,1,0),0),0)</f>
        <v/>
      </c>
      <c r="W1408">
        <f>IF(AND(U1408=1,M1408&gt;=H1408*(1-Assumptions!$C$8)),1,0)</f>
        <v/>
      </c>
      <c r="X1408">
        <f>IF(AND(U1408=1,N1408&gt;=H1408*(1-Assumptions!$C$8)),1,0)</f>
        <v/>
      </c>
      <c r="Y1408">
        <f>IF(ISNUMBER(Q1408),1,0)</f>
        <v/>
      </c>
      <c r="Z1408">
        <f>IF(AND(K1408=0,L1408=0,Y1408=0),1,0)</f>
        <v/>
      </c>
      <c r="AA1408">
        <f>IF(AND(Z1408=1,G1408&lt;Assumptions!$C$6),1,0)</f>
        <v/>
      </c>
      <c r="AB1408">
        <f>IF(U1408=0,"",IF(Y1408=1,MAX(0,Q1408-G1408),IF(L1408=1,MAX(0,R1408-G1408),MAX(0,Assumptions!$C$6-G1408))))</f>
        <v/>
      </c>
      <c r="AC1408">
        <f>IF(Y1408=1,Q1408-F1408,"")</f>
        <v/>
      </c>
      <c r="AD1408">
        <f>IF(Y1408=1,AC1408^2,"")</f>
        <v/>
      </c>
      <c r="AE1408" s="19">
        <f>IF(Z1408=1,(H1408-M1408)*I1408,0)</f>
        <v/>
      </c>
      <c r="AF1408">
        <f>IF(G1408&lt;EDATE(Assumptions!$C$6,-12)+1,"prior_12m","last_12m")</f>
        <v/>
      </c>
      <c r="AG1408" s="21">
        <f>DATE(YEAR(G1408),MONTH(G1408),1)</f>
        <v/>
      </c>
    </row>
    <row r="1409">
      <c r="A1409" t="inlineStr">
        <is>
          <t>SPO-00766-2</t>
        </is>
      </c>
      <c r="B1409" t="inlineStr">
        <is>
          <t>SPO-00766</t>
        </is>
      </c>
      <c r="C1409" t="inlineStr">
        <is>
          <t>SUP-08</t>
        </is>
      </c>
      <c r="D1409" t="inlineStr">
        <is>
          <t>PPE</t>
        </is>
      </c>
      <c r="E1409" t="inlineStr">
        <is>
          <t>PPE-02</t>
        </is>
      </c>
      <c r="F1409" s="17" t="n">
        <v>45781</v>
      </c>
      <c r="G1409" s="17" t="n">
        <v>45792</v>
      </c>
      <c r="H1409" s="18" t="n">
        <v>97</v>
      </c>
      <c r="I1409" s="19" t="n">
        <v>13.29</v>
      </c>
      <c r="J1409" s="19" t="n">
        <v>12.5</v>
      </c>
      <c r="K1409" s="20" t="n">
        <v>1</v>
      </c>
      <c r="L1409" s="20" t="n">
        <v>0</v>
      </c>
      <c r="M1409" s="18" t="n">
        <v>0</v>
      </c>
      <c r="N1409" s="18" t="n">
        <v>0</v>
      </c>
      <c r="O1409" s="18" t="n">
        <v>0</v>
      </c>
      <c r="P1409" s="17" t="n"/>
      <c r="Q1409" s="17" t="n"/>
      <c r="R1409" s="17" t="n"/>
      <c r="S1409" s="19">
        <f>H1409*I1409</f>
        <v/>
      </c>
      <c r="T1409" s="19">
        <f>H1409*J1409</f>
        <v/>
      </c>
      <c r="U1409">
        <f>IF(AND(K1409=0,G1409&lt;=Assumptions!$C$6),1,0)</f>
        <v/>
      </c>
      <c r="V1409">
        <f>IF(U1409=1,IF(M1409&gt;0,IF(P1409&lt;=G1409+Assumptions!$C$7,1,0),0),0)</f>
        <v/>
      </c>
      <c r="W1409">
        <f>IF(AND(U1409=1,M1409&gt;=H1409*(1-Assumptions!$C$8)),1,0)</f>
        <v/>
      </c>
      <c r="X1409">
        <f>IF(AND(U1409=1,N1409&gt;=H1409*(1-Assumptions!$C$8)),1,0)</f>
        <v/>
      </c>
      <c r="Y1409">
        <f>IF(ISNUMBER(Q1409),1,0)</f>
        <v/>
      </c>
      <c r="Z1409">
        <f>IF(AND(K1409=0,L1409=0,Y1409=0),1,0)</f>
        <v/>
      </c>
      <c r="AA1409">
        <f>IF(AND(Z1409=1,G1409&lt;Assumptions!$C$6),1,0)</f>
        <v/>
      </c>
      <c r="AB1409">
        <f>IF(U1409=0,"",IF(Y1409=1,MAX(0,Q1409-G1409),IF(L1409=1,MAX(0,R1409-G1409),MAX(0,Assumptions!$C$6-G1409))))</f>
        <v/>
      </c>
      <c r="AC1409">
        <f>IF(Y1409=1,Q1409-F1409,"")</f>
        <v/>
      </c>
      <c r="AD1409">
        <f>IF(Y1409=1,AC1409^2,"")</f>
        <v/>
      </c>
      <c r="AE1409" s="19">
        <f>IF(Z1409=1,(H1409-M1409)*I1409,0)</f>
        <v/>
      </c>
      <c r="AF1409">
        <f>IF(G1409&lt;EDATE(Assumptions!$C$6,-12)+1,"prior_12m","last_12m")</f>
        <v/>
      </c>
      <c r="AG1409" s="21">
        <f>DATE(YEAR(G1409),MONTH(G1409),1)</f>
        <v/>
      </c>
    </row>
    <row r="1410">
      <c r="A1410" t="inlineStr">
        <is>
          <t>SPO-00766-3</t>
        </is>
      </c>
      <c r="B1410" t="inlineStr">
        <is>
          <t>SPO-00766</t>
        </is>
      </c>
      <c r="C1410" t="inlineStr">
        <is>
          <t>SUP-08</t>
        </is>
      </c>
      <c r="D1410" t="inlineStr">
        <is>
          <t>PPE</t>
        </is>
      </c>
      <c r="E1410" t="inlineStr">
        <is>
          <t>PPE-01</t>
        </is>
      </c>
      <c r="F1410" s="17" t="n">
        <v>45781</v>
      </c>
      <c r="G1410" s="17" t="n">
        <v>45792</v>
      </c>
      <c r="H1410" s="18" t="n">
        <v>79</v>
      </c>
      <c r="I1410" s="19" t="n">
        <v>4.75</v>
      </c>
      <c r="J1410" s="19" t="n">
        <v>4.8</v>
      </c>
      <c r="K1410" s="20" t="n">
        <v>0</v>
      </c>
      <c r="L1410" s="20" t="n">
        <v>0</v>
      </c>
      <c r="M1410" s="18" t="n">
        <v>79</v>
      </c>
      <c r="N1410" s="18" t="n">
        <v>79</v>
      </c>
      <c r="O1410" s="18" t="n">
        <v>0</v>
      </c>
      <c r="P1410" s="17" t="n">
        <v>45790</v>
      </c>
      <c r="Q1410" s="17" t="n">
        <v>45790</v>
      </c>
      <c r="R1410" s="17" t="n">
        <v>45790</v>
      </c>
      <c r="S1410" s="19">
        <f>H1410*I1410</f>
        <v/>
      </c>
      <c r="T1410" s="19">
        <f>H1410*J1410</f>
        <v/>
      </c>
      <c r="U1410">
        <f>IF(AND(K1410=0,G1410&lt;=Assumptions!$C$6),1,0)</f>
        <v/>
      </c>
      <c r="V1410">
        <f>IF(U1410=1,IF(M1410&gt;0,IF(P1410&lt;=G1410+Assumptions!$C$7,1,0),0),0)</f>
        <v/>
      </c>
      <c r="W1410">
        <f>IF(AND(U1410=1,M1410&gt;=H1410*(1-Assumptions!$C$8)),1,0)</f>
        <v/>
      </c>
      <c r="X1410">
        <f>IF(AND(U1410=1,N1410&gt;=H1410*(1-Assumptions!$C$8)),1,0)</f>
        <v/>
      </c>
      <c r="Y1410">
        <f>IF(ISNUMBER(Q1410),1,0)</f>
        <v/>
      </c>
      <c r="Z1410">
        <f>IF(AND(K1410=0,L1410=0,Y1410=0),1,0)</f>
        <v/>
      </c>
      <c r="AA1410">
        <f>IF(AND(Z1410=1,G1410&lt;Assumptions!$C$6),1,0)</f>
        <v/>
      </c>
      <c r="AB1410">
        <f>IF(U1410=0,"",IF(Y1410=1,MAX(0,Q1410-G1410),IF(L1410=1,MAX(0,R1410-G1410),MAX(0,Assumptions!$C$6-G1410))))</f>
        <v/>
      </c>
      <c r="AC1410">
        <f>IF(Y1410=1,Q1410-F1410,"")</f>
        <v/>
      </c>
      <c r="AD1410">
        <f>IF(Y1410=1,AC1410^2,"")</f>
        <v/>
      </c>
      <c r="AE1410" s="19">
        <f>IF(Z1410=1,(H1410-M1410)*I1410,0)</f>
        <v/>
      </c>
      <c r="AF1410">
        <f>IF(G1410&lt;EDATE(Assumptions!$C$6,-12)+1,"prior_12m","last_12m")</f>
        <v/>
      </c>
      <c r="AG1410" s="21">
        <f>DATE(YEAR(G1410),MONTH(G1410),1)</f>
        <v/>
      </c>
    </row>
    <row r="1411">
      <c r="A1411" t="inlineStr">
        <is>
          <t>SPO-00767-1</t>
        </is>
      </c>
      <c r="B1411" t="inlineStr">
        <is>
          <t>SPO-00767</t>
        </is>
      </c>
      <c r="C1411" t="inlineStr">
        <is>
          <t>SUP-12</t>
        </is>
      </c>
      <c r="D1411" t="inlineStr">
        <is>
          <t>IT</t>
        </is>
      </c>
      <c r="E1411" t="inlineStr">
        <is>
          <t>IT-08</t>
        </is>
      </c>
      <c r="F1411" s="17" t="n">
        <v>45781</v>
      </c>
      <c r="G1411" s="17" t="n">
        <v>45791</v>
      </c>
      <c r="H1411" s="18" t="n">
        <v>3</v>
      </c>
      <c r="I1411" s="19" t="n">
        <v>267.25</v>
      </c>
      <c r="J1411" s="19" t="n">
        <v>245</v>
      </c>
      <c r="K1411" s="20" t="n">
        <v>0</v>
      </c>
      <c r="L1411" s="20" t="n">
        <v>0</v>
      </c>
      <c r="M1411" s="18" t="n">
        <v>3</v>
      </c>
      <c r="N1411" s="18" t="n">
        <v>3</v>
      </c>
      <c r="O1411" s="18" t="n">
        <v>0</v>
      </c>
      <c r="P1411" s="17" t="n">
        <v>45786</v>
      </c>
      <c r="Q1411" s="17" t="n">
        <v>45786</v>
      </c>
      <c r="R1411" s="17" t="n">
        <v>45786</v>
      </c>
      <c r="S1411" s="19">
        <f>H1411*I1411</f>
        <v/>
      </c>
      <c r="T1411" s="19">
        <f>H1411*J1411</f>
        <v/>
      </c>
      <c r="U1411">
        <f>IF(AND(K1411=0,G1411&lt;=Assumptions!$C$6),1,0)</f>
        <v/>
      </c>
      <c r="V1411">
        <f>IF(U1411=1,IF(M1411&gt;0,IF(P1411&lt;=G1411+Assumptions!$C$7,1,0),0),0)</f>
        <v/>
      </c>
      <c r="W1411">
        <f>IF(AND(U1411=1,M1411&gt;=H1411*(1-Assumptions!$C$8)),1,0)</f>
        <v/>
      </c>
      <c r="X1411">
        <f>IF(AND(U1411=1,N1411&gt;=H1411*(1-Assumptions!$C$8)),1,0)</f>
        <v/>
      </c>
      <c r="Y1411">
        <f>IF(ISNUMBER(Q1411),1,0)</f>
        <v/>
      </c>
      <c r="Z1411">
        <f>IF(AND(K1411=0,L1411=0,Y1411=0),1,0)</f>
        <v/>
      </c>
      <c r="AA1411">
        <f>IF(AND(Z1411=1,G1411&lt;Assumptions!$C$6),1,0)</f>
        <v/>
      </c>
      <c r="AB1411">
        <f>IF(U1411=0,"",IF(Y1411=1,MAX(0,Q1411-G1411),IF(L1411=1,MAX(0,R1411-G1411),MAX(0,Assumptions!$C$6-G1411))))</f>
        <v/>
      </c>
      <c r="AC1411">
        <f>IF(Y1411=1,Q1411-F1411,"")</f>
        <v/>
      </c>
      <c r="AD1411">
        <f>IF(Y1411=1,AC1411^2,"")</f>
        <v/>
      </c>
      <c r="AE1411" s="19">
        <f>IF(Z1411=1,(H1411-M1411)*I1411,0)</f>
        <v/>
      </c>
      <c r="AF1411">
        <f>IF(G1411&lt;EDATE(Assumptions!$C$6,-12)+1,"prior_12m","last_12m")</f>
        <v/>
      </c>
      <c r="AG1411" s="21">
        <f>DATE(YEAR(G1411),MONTH(G1411),1)</f>
        <v/>
      </c>
    </row>
    <row r="1412">
      <c r="A1412" t="inlineStr">
        <is>
          <t>SPO-00768-1</t>
        </is>
      </c>
      <c r="B1412" t="inlineStr">
        <is>
          <t>SPO-00768</t>
        </is>
      </c>
      <c r="C1412" t="inlineStr">
        <is>
          <t>SUP-08</t>
        </is>
      </c>
      <c r="D1412" t="inlineStr">
        <is>
          <t>PPE</t>
        </is>
      </c>
      <c r="E1412" t="inlineStr">
        <is>
          <t>PPE-01</t>
        </is>
      </c>
      <c r="F1412" s="17" t="n">
        <v>45781</v>
      </c>
      <c r="G1412" s="17" t="n">
        <v>45792</v>
      </c>
      <c r="H1412" s="18" t="n">
        <v>149</v>
      </c>
      <c r="I1412" s="19" t="n">
        <v>4.97</v>
      </c>
      <c r="J1412" s="19" t="n">
        <v>4.8</v>
      </c>
      <c r="K1412" s="20" t="n">
        <v>0</v>
      </c>
      <c r="L1412" s="20" t="n">
        <v>0</v>
      </c>
      <c r="M1412" s="18" t="n">
        <v>149</v>
      </c>
      <c r="N1412" s="18" t="n">
        <v>149</v>
      </c>
      <c r="O1412" s="18" t="n">
        <v>0</v>
      </c>
      <c r="P1412" s="17" t="n">
        <v>45785</v>
      </c>
      <c r="Q1412" s="17" t="n">
        <v>45785</v>
      </c>
      <c r="R1412" s="17" t="n">
        <v>45785</v>
      </c>
      <c r="S1412" s="19">
        <f>H1412*I1412</f>
        <v/>
      </c>
      <c r="T1412" s="19">
        <f>H1412*J1412</f>
        <v/>
      </c>
      <c r="U1412">
        <f>IF(AND(K1412=0,G1412&lt;=Assumptions!$C$6),1,0)</f>
        <v/>
      </c>
      <c r="V1412">
        <f>IF(U1412=1,IF(M1412&gt;0,IF(P1412&lt;=G1412+Assumptions!$C$7,1,0),0),0)</f>
        <v/>
      </c>
      <c r="W1412">
        <f>IF(AND(U1412=1,M1412&gt;=H1412*(1-Assumptions!$C$8)),1,0)</f>
        <v/>
      </c>
      <c r="X1412">
        <f>IF(AND(U1412=1,N1412&gt;=H1412*(1-Assumptions!$C$8)),1,0)</f>
        <v/>
      </c>
      <c r="Y1412">
        <f>IF(ISNUMBER(Q1412),1,0)</f>
        <v/>
      </c>
      <c r="Z1412">
        <f>IF(AND(K1412=0,L1412=0,Y1412=0),1,0)</f>
        <v/>
      </c>
      <c r="AA1412">
        <f>IF(AND(Z1412=1,G1412&lt;Assumptions!$C$6),1,0)</f>
        <v/>
      </c>
      <c r="AB1412">
        <f>IF(U1412=0,"",IF(Y1412=1,MAX(0,Q1412-G1412),IF(L1412=1,MAX(0,R1412-G1412),MAX(0,Assumptions!$C$6-G1412))))</f>
        <v/>
      </c>
      <c r="AC1412">
        <f>IF(Y1412=1,Q1412-F1412,"")</f>
        <v/>
      </c>
      <c r="AD1412">
        <f>IF(Y1412=1,AC1412^2,"")</f>
        <v/>
      </c>
      <c r="AE1412" s="19">
        <f>IF(Z1412=1,(H1412-M1412)*I1412,0)</f>
        <v/>
      </c>
      <c r="AF1412">
        <f>IF(G1412&lt;EDATE(Assumptions!$C$6,-12)+1,"prior_12m","last_12m")</f>
        <v/>
      </c>
      <c r="AG1412" s="21">
        <f>DATE(YEAR(G1412),MONTH(G1412),1)</f>
        <v/>
      </c>
    </row>
    <row r="1413">
      <c r="A1413" t="inlineStr">
        <is>
          <t>SPO-00768-2</t>
        </is>
      </c>
      <c r="B1413" t="inlineStr">
        <is>
          <t>SPO-00768</t>
        </is>
      </c>
      <c r="C1413" t="inlineStr">
        <is>
          <t>SUP-08</t>
        </is>
      </c>
      <c r="D1413" t="inlineStr">
        <is>
          <t>PPE</t>
        </is>
      </c>
      <c r="E1413" t="inlineStr">
        <is>
          <t>PPE-03</t>
        </is>
      </c>
      <c r="F1413" s="17" t="n">
        <v>45781</v>
      </c>
      <c r="G1413" s="17" t="n">
        <v>45792</v>
      </c>
      <c r="H1413" s="18" t="n">
        <v>64</v>
      </c>
      <c r="I1413" s="19" t="n">
        <v>21.79</v>
      </c>
      <c r="J1413" s="19" t="n">
        <v>21</v>
      </c>
      <c r="K1413" s="20" t="n">
        <v>0</v>
      </c>
      <c r="L1413" s="20" t="n">
        <v>0</v>
      </c>
      <c r="M1413" s="18" t="n">
        <v>64</v>
      </c>
      <c r="N1413" s="18" t="n">
        <v>64</v>
      </c>
      <c r="O1413" s="18" t="n">
        <v>0</v>
      </c>
      <c r="P1413" s="17" t="n">
        <v>45788</v>
      </c>
      <c r="Q1413" s="17" t="n">
        <v>45788</v>
      </c>
      <c r="R1413" s="17" t="n">
        <v>45788</v>
      </c>
      <c r="S1413" s="19">
        <f>H1413*I1413</f>
        <v/>
      </c>
      <c r="T1413" s="19">
        <f>H1413*J1413</f>
        <v/>
      </c>
      <c r="U1413">
        <f>IF(AND(K1413=0,G1413&lt;=Assumptions!$C$6),1,0)</f>
        <v/>
      </c>
      <c r="V1413">
        <f>IF(U1413=1,IF(M1413&gt;0,IF(P1413&lt;=G1413+Assumptions!$C$7,1,0),0),0)</f>
        <v/>
      </c>
      <c r="W1413">
        <f>IF(AND(U1413=1,M1413&gt;=H1413*(1-Assumptions!$C$8)),1,0)</f>
        <v/>
      </c>
      <c r="X1413">
        <f>IF(AND(U1413=1,N1413&gt;=H1413*(1-Assumptions!$C$8)),1,0)</f>
        <v/>
      </c>
      <c r="Y1413">
        <f>IF(ISNUMBER(Q1413),1,0)</f>
        <v/>
      </c>
      <c r="Z1413">
        <f>IF(AND(K1413=0,L1413=0,Y1413=0),1,0)</f>
        <v/>
      </c>
      <c r="AA1413">
        <f>IF(AND(Z1413=1,G1413&lt;Assumptions!$C$6),1,0)</f>
        <v/>
      </c>
      <c r="AB1413">
        <f>IF(U1413=0,"",IF(Y1413=1,MAX(0,Q1413-G1413),IF(L1413=1,MAX(0,R1413-G1413),MAX(0,Assumptions!$C$6-G1413))))</f>
        <v/>
      </c>
      <c r="AC1413">
        <f>IF(Y1413=1,Q1413-F1413,"")</f>
        <v/>
      </c>
      <c r="AD1413">
        <f>IF(Y1413=1,AC1413^2,"")</f>
        <v/>
      </c>
      <c r="AE1413" s="19">
        <f>IF(Z1413=1,(H1413-M1413)*I1413,0)</f>
        <v/>
      </c>
      <c r="AF1413">
        <f>IF(G1413&lt;EDATE(Assumptions!$C$6,-12)+1,"prior_12m","last_12m")</f>
        <v/>
      </c>
      <c r="AG1413" s="21">
        <f>DATE(YEAR(G1413),MONTH(G1413),1)</f>
        <v/>
      </c>
    </row>
    <row r="1414">
      <c r="A1414" t="inlineStr">
        <is>
          <t>SPO-00768-3</t>
        </is>
      </c>
      <c r="B1414" t="inlineStr">
        <is>
          <t>SPO-00768</t>
        </is>
      </c>
      <c r="C1414" t="inlineStr">
        <is>
          <t>SUP-08</t>
        </is>
      </c>
      <c r="D1414" t="inlineStr">
        <is>
          <t>PPE</t>
        </is>
      </c>
      <c r="E1414" t="inlineStr">
        <is>
          <t>PPE-08</t>
        </is>
      </c>
      <c r="F1414" s="17" t="n">
        <v>45781</v>
      </c>
      <c r="G1414" s="17" t="n">
        <v>45792</v>
      </c>
      <c r="H1414" s="18" t="n">
        <v>40</v>
      </c>
      <c r="I1414" s="19" t="n">
        <v>62.48</v>
      </c>
      <c r="J1414" s="19" t="n">
        <v>64</v>
      </c>
      <c r="K1414" s="20" t="n">
        <v>0</v>
      </c>
      <c r="L1414" s="20" t="n">
        <v>0</v>
      </c>
      <c r="M1414" s="18" t="n">
        <v>40</v>
      </c>
      <c r="N1414" s="18" t="n">
        <v>40</v>
      </c>
      <c r="O1414" s="18" t="n">
        <v>0</v>
      </c>
      <c r="P1414" s="17" t="n">
        <v>45788</v>
      </c>
      <c r="Q1414" s="17" t="n">
        <v>45788</v>
      </c>
      <c r="R1414" s="17" t="n">
        <v>45788</v>
      </c>
      <c r="S1414" s="19">
        <f>H1414*I1414</f>
        <v/>
      </c>
      <c r="T1414" s="19">
        <f>H1414*J1414</f>
        <v/>
      </c>
      <c r="U1414">
        <f>IF(AND(K1414=0,G1414&lt;=Assumptions!$C$6),1,0)</f>
        <v/>
      </c>
      <c r="V1414">
        <f>IF(U1414=1,IF(M1414&gt;0,IF(P1414&lt;=G1414+Assumptions!$C$7,1,0),0),0)</f>
        <v/>
      </c>
      <c r="W1414">
        <f>IF(AND(U1414=1,M1414&gt;=H1414*(1-Assumptions!$C$8)),1,0)</f>
        <v/>
      </c>
      <c r="X1414">
        <f>IF(AND(U1414=1,N1414&gt;=H1414*(1-Assumptions!$C$8)),1,0)</f>
        <v/>
      </c>
      <c r="Y1414">
        <f>IF(ISNUMBER(Q1414),1,0)</f>
        <v/>
      </c>
      <c r="Z1414">
        <f>IF(AND(K1414=0,L1414=0,Y1414=0),1,0)</f>
        <v/>
      </c>
      <c r="AA1414">
        <f>IF(AND(Z1414=1,G1414&lt;Assumptions!$C$6),1,0)</f>
        <v/>
      </c>
      <c r="AB1414">
        <f>IF(U1414=0,"",IF(Y1414=1,MAX(0,Q1414-G1414),IF(L1414=1,MAX(0,R1414-G1414),MAX(0,Assumptions!$C$6-G1414))))</f>
        <v/>
      </c>
      <c r="AC1414">
        <f>IF(Y1414=1,Q1414-F1414,"")</f>
        <v/>
      </c>
      <c r="AD1414">
        <f>IF(Y1414=1,AC1414^2,"")</f>
        <v/>
      </c>
      <c r="AE1414" s="19">
        <f>IF(Z1414=1,(H1414-M1414)*I1414,0)</f>
        <v/>
      </c>
      <c r="AF1414">
        <f>IF(G1414&lt;EDATE(Assumptions!$C$6,-12)+1,"prior_12m","last_12m")</f>
        <v/>
      </c>
      <c r="AG1414" s="21">
        <f>DATE(YEAR(G1414),MONTH(G1414),1)</f>
        <v/>
      </c>
    </row>
    <row r="1415">
      <c r="A1415" t="inlineStr">
        <is>
          <t>SPO-00769-1</t>
        </is>
      </c>
      <c r="B1415" t="inlineStr">
        <is>
          <t>SPO-00769</t>
        </is>
      </c>
      <c r="C1415" t="inlineStr">
        <is>
          <t>SUP-04</t>
        </is>
      </c>
      <c r="D1415" t="inlineStr">
        <is>
          <t>FLEET</t>
        </is>
      </c>
      <c r="E1415" t="inlineStr">
        <is>
          <t>FLEET-02</t>
        </is>
      </c>
      <c r="F1415" s="17" t="n">
        <v>45781</v>
      </c>
      <c r="G1415" s="17" t="n">
        <v>45794</v>
      </c>
      <c r="H1415" s="18" t="n">
        <v>238</v>
      </c>
      <c r="I1415" s="19" t="n">
        <v>7.37</v>
      </c>
      <c r="J1415" s="19" t="n">
        <v>7.5</v>
      </c>
      <c r="K1415" s="20" t="n">
        <v>0</v>
      </c>
      <c r="L1415" s="20" t="n">
        <v>0</v>
      </c>
      <c r="M1415" s="18" t="n">
        <v>238</v>
      </c>
      <c r="N1415" s="18" t="n">
        <v>238</v>
      </c>
      <c r="O1415" s="18" t="n">
        <v>0</v>
      </c>
      <c r="P1415" s="17" t="n">
        <v>45785</v>
      </c>
      <c r="Q1415" s="17" t="n">
        <v>45785</v>
      </c>
      <c r="R1415" s="17" t="n">
        <v>45785</v>
      </c>
      <c r="S1415" s="19">
        <f>H1415*I1415</f>
        <v/>
      </c>
      <c r="T1415" s="19">
        <f>H1415*J1415</f>
        <v/>
      </c>
      <c r="U1415">
        <f>IF(AND(K1415=0,G1415&lt;=Assumptions!$C$6),1,0)</f>
        <v/>
      </c>
      <c r="V1415">
        <f>IF(U1415=1,IF(M1415&gt;0,IF(P1415&lt;=G1415+Assumptions!$C$7,1,0),0),0)</f>
        <v/>
      </c>
      <c r="W1415">
        <f>IF(AND(U1415=1,M1415&gt;=H1415*(1-Assumptions!$C$8)),1,0)</f>
        <v/>
      </c>
      <c r="X1415">
        <f>IF(AND(U1415=1,N1415&gt;=H1415*(1-Assumptions!$C$8)),1,0)</f>
        <v/>
      </c>
      <c r="Y1415">
        <f>IF(ISNUMBER(Q1415),1,0)</f>
        <v/>
      </c>
      <c r="Z1415">
        <f>IF(AND(K1415=0,L1415=0,Y1415=0),1,0)</f>
        <v/>
      </c>
      <c r="AA1415">
        <f>IF(AND(Z1415=1,G1415&lt;Assumptions!$C$6),1,0)</f>
        <v/>
      </c>
      <c r="AB1415">
        <f>IF(U1415=0,"",IF(Y1415=1,MAX(0,Q1415-G1415),IF(L1415=1,MAX(0,R1415-G1415),MAX(0,Assumptions!$C$6-G1415))))</f>
        <v/>
      </c>
      <c r="AC1415">
        <f>IF(Y1415=1,Q1415-F1415,"")</f>
        <v/>
      </c>
      <c r="AD1415">
        <f>IF(Y1415=1,AC1415^2,"")</f>
        <v/>
      </c>
      <c r="AE1415" s="19">
        <f>IF(Z1415=1,(H1415-M1415)*I1415,0)</f>
        <v/>
      </c>
      <c r="AF1415">
        <f>IF(G1415&lt;EDATE(Assumptions!$C$6,-12)+1,"prior_12m","last_12m")</f>
        <v/>
      </c>
      <c r="AG1415" s="21">
        <f>DATE(YEAR(G1415),MONTH(G1415),1)</f>
        <v/>
      </c>
    </row>
    <row r="1416">
      <c r="A1416" t="inlineStr">
        <is>
          <t>SPO-00770-1</t>
        </is>
      </c>
      <c r="B1416" t="inlineStr">
        <is>
          <t>SPO-00770</t>
        </is>
      </c>
      <c r="C1416" t="inlineStr">
        <is>
          <t>SUP-09</t>
        </is>
      </c>
      <c r="D1416" t="inlineStr">
        <is>
          <t>CHEM</t>
        </is>
      </c>
      <c r="E1416" t="inlineStr">
        <is>
          <t>CHEM-03</t>
        </is>
      </c>
      <c r="F1416" s="17" t="n">
        <v>45782</v>
      </c>
      <c r="G1416" s="17" t="n">
        <v>45796</v>
      </c>
      <c r="H1416" s="18" t="n">
        <v>11</v>
      </c>
      <c r="I1416" s="19" t="n">
        <v>271.4</v>
      </c>
      <c r="J1416" s="19" t="n">
        <v>265</v>
      </c>
      <c r="K1416" s="20" t="n">
        <v>0</v>
      </c>
      <c r="L1416" s="20" t="n">
        <v>0</v>
      </c>
      <c r="M1416" s="18" t="n">
        <v>11</v>
      </c>
      <c r="N1416" s="18" t="n">
        <v>0</v>
      </c>
      <c r="O1416" s="18" t="n">
        <v>0</v>
      </c>
      <c r="P1416" s="17" t="n">
        <v>45797</v>
      </c>
      <c r="Q1416" s="17" t="n">
        <v>45797</v>
      </c>
      <c r="R1416" s="17" t="n">
        <v>45797</v>
      </c>
      <c r="S1416" s="19">
        <f>H1416*I1416</f>
        <v/>
      </c>
      <c r="T1416" s="19">
        <f>H1416*J1416</f>
        <v/>
      </c>
      <c r="U1416">
        <f>IF(AND(K1416=0,G1416&lt;=Assumptions!$C$6),1,0)</f>
        <v/>
      </c>
      <c r="V1416">
        <f>IF(U1416=1,IF(M1416&gt;0,IF(P1416&lt;=G1416+Assumptions!$C$7,1,0),0),0)</f>
        <v/>
      </c>
      <c r="W1416">
        <f>IF(AND(U1416=1,M1416&gt;=H1416*(1-Assumptions!$C$8)),1,0)</f>
        <v/>
      </c>
      <c r="X1416">
        <f>IF(AND(U1416=1,N1416&gt;=H1416*(1-Assumptions!$C$8)),1,0)</f>
        <v/>
      </c>
      <c r="Y1416">
        <f>IF(ISNUMBER(Q1416),1,0)</f>
        <v/>
      </c>
      <c r="Z1416">
        <f>IF(AND(K1416=0,L1416=0,Y1416=0),1,0)</f>
        <v/>
      </c>
      <c r="AA1416">
        <f>IF(AND(Z1416=1,G1416&lt;Assumptions!$C$6),1,0)</f>
        <v/>
      </c>
      <c r="AB1416">
        <f>IF(U1416=0,"",IF(Y1416=1,MAX(0,Q1416-G1416),IF(L1416=1,MAX(0,R1416-G1416),MAX(0,Assumptions!$C$6-G1416))))</f>
        <v/>
      </c>
      <c r="AC1416">
        <f>IF(Y1416=1,Q1416-F1416,"")</f>
        <v/>
      </c>
      <c r="AD1416">
        <f>IF(Y1416=1,AC1416^2,"")</f>
        <v/>
      </c>
      <c r="AE1416" s="19">
        <f>IF(Z1416=1,(H1416-M1416)*I1416,0)</f>
        <v/>
      </c>
      <c r="AF1416">
        <f>IF(G1416&lt;EDATE(Assumptions!$C$6,-12)+1,"prior_12m","last_12m")</f>
        <v/>
      </c>
      <c r="AG1416" s="21">
        <f>DATE(YEAR(G1416),MONTH(G1416),1)</f>
        <v/>
      </c>
    </row>
    <row r="1417">
      <c r="A1417" t="inlineStr">
        <is>
          <t>SPO-00771-1</t>
        </is>
      </c>
      <c r="B1417" t="inlineStr">
        <is>
          <t>SPO-00771</t>
        </is>
      </c>
      <c r="C1417" t="inlineStr">
        <is>
          <t>SUP-05</t>
        </is>
      </c>
      <c r="D1417" t="inlineStr">
        <is>
          <t>FLEET</t>
        </is>
      </c>
      <c r="E1417" t="inlineStr">
        <is>
          <t>FLEET-06</t>
        </is>
      </c>
      <c r="F1417" s="17" t="n">
        <v>45782</v>
      </c>
      <c r="G1417" s="17" t="n">
        <v>45796</v>
      </c>
      <c r="H1417" s="18" t="n">
        <v>42</v>
      </c>
      <c r="I1417" s="19" t="n">
        <v>33.87</v>
      </c>
      <c r="J1417" s="19" t="n">
        <v>33</v>
      </c>
      <c r="K1417" s="20" t="n">
        <v>0</v>
      </c>
      <c r="L1417" s="20" t="n">
        <v>0</v>
      </c>
      <c r="M1417" s="18" t="n">
        <v>42</v>
      </c>
      <c r="N1417" s="18" t="n">
        <v>42</v>
      </c>
      <c r="O1417" s="18" t="n">
        <v>0</v>
      </c>
      <c r="P1417" s="17" t="n">
        <v>45793</v>
      </c>
      <c r="Q1417" s="17" t="n">
        <v>45793</v>
      </c>
      <c r="R1417" s="17" t="n">
        <v>45793</v>
      </c>
      <c r="S1417" s="19">
        <f>H1417*I1417</f>
        <v/>
      </c>
      <c r="T1417" s="19">
        <f>H1417*J1417</f>
        <v/>
      </c>
      <c r="U1417">
        <f>IF(AND(K1417=0,G1417&lt;=Assumptions!$C$6),1,0)</f>
        <v/>
      </c>
      <c r="V1417">
        <f>IF(U1417=1,IF(M1417&gt;0,IF(P1417&lt;=G1417+Assumptions!$C$7,1,0),0),0)</f>
        <v/>
      </c>
      <c r="W1417">
        <f>IF(AND(U1417=1,M1417&gt;=H1417*(1-Assumptions!$C$8)),1,0)</f>
        <v/>
      </c>
      <c r="X1417">
        <f>IF(AND(U1417=1,N1417&gt;=H1417*(1-Assumptions!$C$8)),1,0)</f>
        <v/>
      </c>
      <c r="Y1417">
        <f>IF(ISNUMBER(Q1417),1,0)</f>
        <v/>
      </c>
      <c r="Z1417">
        <f>IF(AND(K1417=0,L1417=0,Y1417=0),1,0)</f>
        <v/>
      </c>
      <c r="AA1417">
        <f>IF(AND(Z1417=1,G1417&lt;Assumptions!$C$6),1,0)</f>
        <v/>
      </c>
      <c r="AB1417">
        <f>IF(U1417=0,"",IF(Y1417=1,MAX(0,Q1417-G1417),IF(L1417=1,MAX(0,R1417-G1417),MAX(0,Assumptions!$C$6-G1417))))</f>
        <v/>
      </c>
      <c r="AC1417">
        <f>IF(Y1417=1,Q1417-F1417,"")</f>
        <v/>
      </c>
      <c r="AD1417">
        <f>IF(Y1417=1,AC1417^2,"")</f>
        <v/>
      </c>
      <c r="AE1417" s="19">
        <f>IF(Z1417=1,(H1417-M1417)*I1417,0)</f>
        <v/>
      </c>
      <c r="AF1417">
        <f>IF(G1417&lt;EDATE(Assumptions!$C$6,-12)+1,"prior_12m","last_12m")</f>
        <v/>
      </c>
      <c r="AG1417" s="21">
        <f>DATE(YEAR(G1417),MONTH(G1417),1)</f>
        <v/>
      </c>
    </row>
    <row r="1418">
      <c r="A1418" t="inlineStr">
        <is>
          <t>SPO-00771-2</t>
        </is>
      </c>
      <c r="B1418" t="inlineStr">
        <is>
          <t>SPO-00771</t>
        </is>
      </c>
      <c r="C1418" t="inlineStr">
        <is>
          <t>SUP-05</t>
        </is>
      </c>
      <c r="D1418" t="inlineStr">
        <is>
          <t>FLEET</t>
        </is>
      </c>
      <c r="E1418" t="inlineStr">
        <is>
          <t>FLEET-05</t>
        </is>
      </c>
      <c r="F1418" s="17" t="n">
        <v>45782</v>
      </c>
      <c r="G1418" s="17" t="n">
        <v>45796</v>
      </c>
      <c r="H1418" s="18" t="n">
        <v>8</v>
      </c>
      <c r="I1418" s="19" t="n">
        <v>174.15</v>
      </c>
      <c r="J1418" s="19" t="n">
        <v>168</v>
      </c>
      <c r="K1418" s="20" t="n">
        <v>0</v>
      </c>
      <c r="L1418" s="20" t="n">
        <v>0</v>
      </c>
      <c r="M1418" s="18" t="n">
        <v>8</v>
      </c>
      <c r="N1418" s="18" t="n">
        <v>8</v>
      </c>
      <c r="O1418" s="18" t="n">
        <v>0</v>
      </c>
      <c r="P1418" s="17" t="n">
        <v>45794</v>
      </c>
      <c r="Q1418" s="17" t="n">
        <v>45794</v>
      </c>
      <c r="R1418" s="17" t="n">
        <v>45794</v>
      </c>
      <c r="S1418" s="19">
        <f>H1418*I1418</f>
        <v/>
      </c>
      <c r="T1418" s="19">
        <f>H1418*J1418</f>
        <v/>
      </c>
      <c r="U1418">
        <f>IF(AND(K1418=0,G1418&lt;=Assumptions!$C$6),1,0)</f>
        <v/>
      </c>
      <c r="V1418">
        <f>IF(U1418=1,IF(M1418&gt;0,IF(P1418&lt;=G1418+Assumptions!$C$7,1,0),0),0)</f>
        <v/>
      </c>
      <c r="W1418">
        <f>IF(AND(U1418=1,M1418&gt;=H1418*(1-Assumptions!$C$8)),1,0)</f>
        <v/>
      </c>
      <c r="X1418">
        <f>IF(AND(U1418=1,N1418&gt;=H1418*(1-Assumptions!$C$8)),1,0)</f>
        <v/>
      </c>
      <c r="Y1418">
        <f>IF(ISNUMBER(Q1418),1,0)</f>
        <v/>
      </c>
      <c r="Z1418">
        <f>IF(AND(K1418=0,L1418=0,Y1418=0),1,0)</f>
        <v/>
      </c>
      <c r="AA1418">
        <f>IF(AND(Z1418=1,G1418&lt;Assumptions!$C$6),1,0)</f>
        <v/>
      </c>
      <c r="AB1418">
        <f>IF(U1418=0,"",IF(Y1418=1,MAX(0,Q1418-G1418),IF(L1418=1,MAX(0,R1418-G1418),MAX(0,Assumptions!$C$6-G1418))))</f>
        <v/>
      </c>
      <c r="AC1418">
        <f>IF(Y1418=1,Q1418-F1418,"")</f>
        <v/>
      </c>
      <c r="AD1418">
        <f>IF(Y1418=1,AC1418^2,"")</f>
        <v/>
      </c>
      <c r="AE1418" s="19">
        <f>IF(Z1418=1,(H1418-M1418)*I1418,0)</f>
        <v/>
      </c>
      <c r="AF1418">
        <f>IF(G1418&lt;EDATE(Assumptions!$C$6,-12)+1,"prior_12m","last_12m")</f>
        <v/>
      </c>
      <c r="AG1418" s="21">
        <f>DATE(YEAR(G1418),MONTH(G1418),1)</f>
        <v/>
      </c>
    </row>
    <row r="1419">
      <c r="A1419" t="inlineStr">
        <is>
          <t>SPO-00772-1</t>
        </is>
      </c>
      <c r="B1419" t="inlineStr">
        <is>
          <t>SPO-00772</t>
        </is>
      </c>
      <c r="C1419" t="inlineStr">
        <is>
          <t>SUP-02</t>
        </is>
      </c>
      <c r="D1419" t="inlineStr">
        <is>
          <t>ELEC</t>
        </is>
      </c>
      <c r="E1419" t="inlineStr">
        <is>
          <t>ELEC-07</t>
        </is>
      </c>
      <c r="F1419" s="17" t="n">
        <v>45782</v>
      </c>
      <c r="G1419" s="17" t="n">
        <v>45798</v>
      </c>
      <c r="H1419" s="18" t="n">
        <v>143</v>
      </c>
      <c r="I1419" s="19" t="n">
        <v>9.68</v>
      </c>
      <c r="J1419" s="19" t="n">
        <v>9.800000000000001</v>
      </c>
      <c r="K1419" s="20" t="n">
        <v>0</v>
      </c>
      <c r="L1419" s="20" t="n">
        <v>0</v>
      </c>
      <c r="M1419" s="18" t="n">
        <v>143</v>
      </c>
      <c r="N1419" s="18" t="n">
        <v>143</v>
      </c>
      <c r="O1419" s="18" t="n">
        <v>0</v>
      </c>
      <c r="P1419" s="17" t="n">
        <v>45795</v>
      </c>
      <c r="Q1419" s="17" t="n">
        <v>45795</v>
      </c>
      <c r="R1419" s="17" t="n">
        <v>45795</v>
      </c>
      <c r="S1419" s="19">
        <f>H1419*I1419</f>
        <v/>
      </c>
      <c r="T1419" s="19">
        <f>H1419*J1419</f>
        <v/>
      </c>
      <c r="U1419">
        <f>IF(AND(K1419=0,G1419&lt;=Assumptions!$C$6),1,0)</f>
        <v/>
      </c>
      <c r="V1419">
        <f>IF(U1419=1,IF(M1419&gt;0,IF(P1419&lt;=G1419+Assumptions!$C$7,1,0),0),0)</f>
        <v/>
      </c>
      <c r="W1419">
        <f>IF(AND(U1419=1,M1419&gt;=H1419*(1-Assumptions!$C$8)),1,0)</f>
        <v/>
      </c>
      <c r="X1419">
        <f>IF(AND(U1419=1,N1419&gt;=H1419*(1-Assumptions!$C$8)),1,0)</f>
        <v/>
      </c>
      <c r="Y1419">
        <f>IF(ISNUMBER(Q1419),1,0)</f>
        <v/>
      </c>
      <c r="Z1419">
        <f>IF(AND(K1419=0,L1419=0,Y1419=0),1,0)</f>
        <v/>
      </c>
      <c r="AA1419">
        <f>IF(AND(Z1419=1,G1419&lt;Assumptions!$C$6),1,0)</f>
        <v/>
      </c>
      <c r="AB1419">
        <f>IF(U1419=0,"",IF(Y1419=1,MAX(0,Q1419-G1419),IF(L1419=1,MAX(0,R1419-G1419),MAX(0,Assumptions!$C$6-G1419))))</f>
        <v/>
      </c>
      <c r="AC1419">
        <f>IF(Y1419=1,Q1419-F1419,"")</f>
        <v/>
      </c>
      <c r="AD1419">
        <f>IF(Y1419=1,AC1419^2,"")</f>
        <v/>
      </c>
      <c r="AE1419" s="19">
        <f>IF(Z1419=1,(H1419-M1419)*I1419,0)</f>
        <v/>
      </c>
      <c r="AF1419">
        <f>IF(G1419&lt;EDATE(Assumptions!$C$6,-12)+1,"prior_12m","last_12m")</f>
        <v/>
      </c>
      <c r="AG1419" s="21">
        <f>DATE(YEAR(G1419),MONTH(G1419),1)</f>
        <v/>
      </c>
    </row>
    <row r="1420">
      <c r="A1420" t="inlineStr">
        <is>
          <t>SPO-00772-2</t>
        </is>
      </c>
      <c r="B1420" t="inlineStr">
        <is>
          <t>SPO-00772</t>
        </is>
      </c>
      <c r="C1420" t="inlineStr">
        <is>
          <t>SUP-02</t>
        </is>
      </c>
      <c r="D1420" t="inlineStr">
        <is>
          <t>ELEC</t>
        </is>
      </c>
      <c r="E1420" t="inlineStr">
        <is>
          <t>ELEC-05</t>
        </is>
      </c>
      <c r="F1420" s="17" t="n">
        <v>45782</v>
      </c>
      <c r="G1420" s="17" t="n">
        <v>45798</v>
      </c>
      <c r="H1420" s="18" t="n">
        <v>244</v>
      </c>
      <c r="I1420" s="19" t="n">
        <v>11.48</v>
      </c>
      <c r="J1420" s="19" t="n">
        <v>11.5</v>
      </c>
      <c r="K1420" s="20" t="n">
        <v>0</v>
      </c>
      <c r="L1420" s="20" t="n">
        <v>0</v>
      </c>
      <c r="M1420" s="18" t="n">
        <v>244</v>
      </c>
      <c r="N1420" s="18" t="n">
        <v>244</v>
      </c>
      <c r="O1420" s="18" t="n">
        <v>0</v>
      </c>
      <c r="P1420" s="17" t="n">
        <v>45797</v>
      </c>
      <c r="Q1420" s="17" t="n">
        <v>45797</v>
      </c>
      <c r="R1420" s="17" t="n">
        <v>45797</v>
      </c>
      <c r="S1420" s="19">
        <f>H1420*I1420</f>
        <v/>
      </c>
      <c r="T1420" s="19">
        <f>H1420*J1420</f>
        <v/>
      </c>
      <c r="U1420">
        <f>IF(AND(K1420=0,G1420&lt;=Assumptions!$C$6),1,0)</f>
        <v/>
      </c>
      <c r="V1420">
        <f>IF(U1420=1,IF(M1420&gt;0,IF(P1420&lt;=G1420+Assumptions!$C$7,1,0),0),0)</f>
        <v/>
      </c>
      <c r="W1420">
        <f>IF(AND(U1420=1,M1420&gt;=H1420*(1-Assumptions!$C$8)),1,0)</f>
        <v/>
      </c>
      <c r="X1420">
        <f>IF(AND(U1420=1,N1420&gt;=H1420*(1-Assumptions!$C$8)),1,0)</f>
        <v/>
      </c>
      <c r="Y1420">
        <f>IF(ISNUMBER(Q1420),1,0)</f>
        <v/>
      </c>
      <c r="Z1420">
        <f>IF(AND(K1420=0,L1420=0,Y1420=0),1,0)</f>
        <v/>
      </c>
      <c r="AA1420">
        <f>IF(AND(Z1420=1,G1420&lt;Assumptions!$C$6),1,0)</f>
        <v/>
      </c>
      <c r="AB1420">
        <f>IF(U1420=0,"",IF(Y1420=1,MAX(0,Q1420-G1420),IF(L1420=1,MAX(0,R1420-G1420),MAX(0,Assumptions!$C$6-G1420))))</f>
        <v/>
      </c>
      <c r="AC1420">
        <f>IF(Y1420=1,Q1420-F1420,"")</f>
        <v/>
      </c>
      <c r="AD1420">
        <f>IF(Y1420=1,AC1420^2,"")</f>
        <v/>
      </c>
      <c r="AE1420" s="19">
        <f>IF(Z1420=1,(H1420-M1420)*I1420,0)</f>
        <v/>
      </c>
      <c r="AF1420">
        <f>IF(G1420&lt;EDATE(Assumptions!$C$6,-12)+1,"prior_12m","last_12m")</f>
        <v/>
      </c>
      <c r="AG1420" s="21">
        <f>DATE(YEAR(G1420),MONTH(G1420),1)</f>
        <v/>
      </c>
    </row>
    <row r="1421">
      <c r="A1421" t="inlineStr">
        <is>
          <t>SPO-00772-3</t>
        </is>
      </c>
      <c r="B1421" t="inlineStr">
        <is>
          <t>SPO-00772</t>
        </is>
      </c>
      <c r="C1421" t="inlineStr">
        <is>
          <t>SUP-02</t>
        </is>
      </c>
      <c r="D1421" t="inlineStr">
        <is>
          <t>ELEC</t>
        </is>
      </c>
      <c r="E1421" t="inlineStr">
        <is>
          <t>ELEC-08</t>
        </is>
      </c>
      <c r="F1421" s="17" t="n">
        <v>45782</v>
      </c>
      <c r="G1421" s="17" t="n">
        <v>45798</v>
      </c>
      <c r="H1421" s="18" t="n">
        <v>142</v>
      </c>
      <c r="I1421" s="19" t="n">
        <v>17.5</v>
      </c>
      <c r="J1421" s="19" t="n">
        <v>18</v>
      </c>
      <c r="K1421" s="20" t="n">
        <v>1</v>
      </c>
      <c r="L1421" s="20" t="n">
        <v>0</v>
      </c>
      <c r="M1421" s="18" t="n">
        <v>0</v>
      </c>
      <c r="N1421" s="18" t="n">
        <v>0</v>
      </c>
      <c r="O1421" s="18" t="n">
        <v>0</v>
      </c>
      <c r="P1421" s="17" t="n"/>
      <c r="Q1421" s="17" t="n"/>
      <c r="R1421" s="17" t="n"/>
      <c r="S1421" s="19">
        <f>H1421*I1421</f>
        <v/>
      </c>
      <c r="T1421" s="19">
        <f>H1421*J1421</f>
        <v/>
      </c>
      <c r="U1421">
        <f>IF(AND(K1421=0,G1421&lt;=Assumptions!$C$6),1,0)</f>
        <v/>
      </c>
      <c r="V1421">
        <f>IF(U1421=1,IF(M1421&gt;0,IF(P1421&lt;=G1421+Assumptions!$C$7,1,0),0),0)</f>
        <v/>
      </c>
      <c r="W1421">
        <f>IF(AND(U1421=1,M1421&gt;=H1421*(1-Assumptions!$C$8)),1,0)</f>
        <v/>
      </c>
      <c r="X1421">
        <f>IF(AND(U1421=1,N1421&gt;=H1421*(1-Assumptions!$C$8)),1,0)</f>
        <v/>
      </c>
      <c r="Y1421">
        <f>IF(ISNUMBER(Q1421),1,0)</f>
        <v/>
      </c>
      <c r="Z1421">
        <f>IF(AND(K1421=0,L1421=0,Y1421=0),1,0)</f>
        <v/>
      </c>
      <c r="AA1421">
        <f>IF(AND(Z1421=1,G1421&lt;Assumptions!$C$6),1,0)</f>
        <v/>
      </c>
      <c r="AB1421">
        <f>IF(U1421=0,"",IF(Y1421=1,MAX(0,Q1421-G1421),IF(L1421=1,MAX(0,R1421-G1421),MAX(0,Assumptions!$C$6-G1421))))</f>
        <v/>
      </c>
      <c r="AC1421">
        <f>IF(Y1421=1,Q1421-F1421,"")</f>
        <v/>
      </c>
      <c r="AD1421">
        <f>IF(Y1421=1,AC1421^2,"")</f>
        <v/>
      </c>
      <c r="AE1421" s="19">
        <f>IF(Z1421=1,(H1421-M1421)*I1421,0)</f>
        <v/>
      </c>
      <c r="AF1421">
        <f>IF(G1421&lt;EDATE(Assumptions!$C$6,-12)+1,"prior_12m","last_12m")</f>
        <v/>
      </c>
      <c r="AG1421" s="21">
        <f>DATE(YEAR(G1421),MONTH(G1421),1)</f>
        <v/>
      </c>
    </row>
    <row r="1422">
      <c r="A1422" t="inlineStr">
        <is>
          <t>SPO-00773-1</t>
        </is>
      </c>
      <c r="B1422" t="inlineStr">
        <is>
          <t>SPO-00773</t>
        </is>
      </c>
      <c r="C1422" t="inlineStr">
        <is>
          <t>SUP-05</t>
        </is>
      </c>
      <c r="D1422" t="inlineStr">
        <is>
          <t>FLEET</t>
        </is>
      </c>
      <c r="E1422" t="inlineStr">
        <is>
          <t>FLEET-03</t>
        </is>
      </c>
      <c r="F1422" s="17" t="n">
        <v>45782</v>
      </c>
      <c r="G1422" s="17" t="n">
        <v>45796</v>
      </c>
      <c r="H1422" s="18" t="n">
        <v>124</v>
      </c>
      <c r="I1422" s="19" t="n">
        <v>22.12</v>
      </c>
      <c r="J1422" s="19" t="n">
        <v>21</v>
      </c>
      <c r="K1422" s="20" t="n">
        <v>0</v>
      </c>
      <c r="L1422" s="20" t="n">
        <v>0</v>
      </c>
      <c r="M1422" s="18" t="n">
        <v>124</v>
      </c>
      <c r="N1422" s="18" t="n">
        <v>0</v>
      </c>
      <c r="O1422" s="18" t="n">
        <v>0</v>
      </c>
      <c r="P1422" s="17" t="n">
        <v>45797</v>
      </c>
      <c r="Q1422" s="17" t="n">
        <v>45797</v>
      </c>
      <c r="R1422" s="17" t="n">
        <v>45797</v>
      </c>
      <c r="S1422" s="19">
        <f>H1422*I1422</f>
        <v/>
      </c>
      <c r="T1422" s="19">
        <f>H1422*J1422</f>
        <v/>
      </c>
      <c r="U1422">
        <f>IF(AND(K1422=0,G1422&lt;=Assumptions!$C$6),1,0)</f>
        <v/>
      </c>
      <c r="V1422">
        <f>IF(U1422=1,IF(M1422&gt;0,IF(P1422&lt;=G1422+Assumptions!$C$7,1,0),0),0)</f>
        <v/>
      </c>
      <c r="W1422">
        <f>IF(AND(U1422=1,M1422&gt;=H1422*(1-Assumptions!$C$8)),1,0)</f>
        <v/>
      </c>
      <c r="X1422">
        <f>IF(AND(U1422=1,N1422&gt;=H1422*(1-Assumptions!$C$8)),1,0)</f>
        <v/>
      </c>
      <c r="Y1422">
        <f>IF(ISNUMBER(Q1422),1,0)</f>
        <v/>
      </c>
      <c r="Z1422">
        <f>IF(AND(K1422=0,L1422=0,Y1422=0),1,0)</f>
        <v/>
      </c>
      <c r="AA1422">
        <f>IF(AND(Z1422=1,G1422&lt;Assumptions!$C$6),1,0)</f>
        <v/>
      </c>
      <c r="AB1422">
        <f>IF(U1422=0,"",IF(Y1422=1,MAX(0,Q1422-G1422),IF(L1422=1,MAX(0,R1422-G1422),MAX(0,Assumptions!$C$6-G1422))))</f>
        <v/>
      </c>
      <c r="AC1422">
        <f>IF(Y1422=1,Q1422-F1422,"")</f>
        <v/>
      </c>
      <c r="AD1422">
        <f>IF(Y1422=1,AC1422^2,"")</f>
        <v/>
      </c>
      <c r="AE1422" s="19">
        <f>IF(Z1422=1,(H1422-M1422)*I1422,0)</f>
        <v/>
      </c>
      <c r="AF1422">
        <f>IF(G1422&lt;EDATE(Assumptions!$C$6,-12)+1,"prior_12m","last_12m")</f>
        <v/>
      </c>
      <c r="AG1422" s="21">
        <f>DATE(YEAR(G1422),MONTH(G1422),1)</f>
        <v/>
      </c>
    </row>
    <row r="1423">
      <c r="A1423" t="inlineStr">
        <is>
          <t>SPO-00773-2</t>
        </is>
      </c>
      <c r="B1423" t="inlineStr">
        <is>
          <t>SPO-00773</t>
        </is>
      </c>
      <c r="C1423" t="inlineStr">
        <is>
          <t>SUP-05</t>
        </is>
      </c>
      <c r="D1423" t="inlineStr">
        <is>
          <t>FLEET</t>
        </is>
      </c>
      <c r="E1423" t="inlineStr">
        <is>
          <t>FLEET-05</t>
        </is>
      </c>
      <c r="F1423" s="17" t="n">
        <v>45782</v>
      </c>
      <c r="G1423" s="17" t="n">
        <v>45796</v>
      </c>
      <c r="H1423" s="18" t="n">
        <v>6</v>
      </c>
      <c r="I1423" s="19" t="n">
        <v>180.11</v>
      </c>
      <c r="J1423" s="19" t="n">
        <v>168</v>
      </c>
      <c r="K1423" s="20" t="n">
        <v>0</v>
      </c>
      <c r="L1423" s="20" t="n">
        <v>0</v>
      </c>
      <c r="M1423" s="18" t="n">
        <v>6</v>
      </c>
      <c r="N1423" s="18" t="n">
        <v>6</v>
      </c>
      <c r="O1423" s="18" t="n">
        <v>0</v>
      </c>
      <c r="P1423" s="17" t="n">
        <v>45796</v>
      </c>
      <c r="Q1423" s="17" t="n">
        <v>45796</v>
      </c>
      <c r="R1423" s="17" t="n">
        <v>45796</v>
      </c>
      <c r="S1423" s="19">
        <f>H1423*I1423</f>
        <v/>
      </c>
      <c r="T1423" s="19">
        <f>H1423*J1423</f>
        <v/>
      </c>
      <c r="U1423">
        <f>IF(AND(K1423=0,G1423&lt;=Assumptions!$C$6),1,0)</f>
        <v/>
      </c>
      <c r="V1423">
        <f>IF(U1423=1,IF(M1423&gt;0,IF(P1423&lt;=G1423+Assumptions!$C$7,1,0),0),0)</f>
        <v/>
      </c>
      <c r="W1423">
        <f>IF(AND(U1423=1,M1423&gt;=H1423*(1-Assumptions!$C$8)),1,0)</f>
        <v/>
      </c>
      <c r="X1423">
        <f>IF(AND(U1423=1,N1423&gt;=H1423*(1-Assumptions!$C$8)),1,0)</f>
        <v/>
      </c>
      <c r="Y1423">
        <f>IF(ISNUMBER(Q1423),1,0)</f>
        <v/>
      </c>
      <c r="Z1423">
        <f>IF(AND(K1423=0,L1423=0,Y1423=0),1,0)</f>
        <v/>
      </c>
      <c r="AA1423">
        <f>IF(AND(Z1423=1,G1423&lt;Assumptions!$C$6),1,0)</f>
        <v/>
      </c>
      <c r="AB1423">
        <f>IF(U1423=0,"",IF(Y1423=1,MAX(0,Q1423-G1423),IF(L1423=1,MAX(0,R1423-G1423),MAX(0,Assumptions!$C$6-G1423))))</f>
        <v/>
      </c>
      <c r="AC1423">
        <f>IF(Y1423=1,Q1423-F1423,"")</f>
        <v/>
      </c>
      <c r="AD1423">
        <f>IF(Y1423=1,AC1423^2,"")</f>
        <v/>
      </c>
      <c r="AE1423" s="19">
        <f>IF(Z1423=1,(H1423-M1423)*I1423,0)</f>
        <v/>
      </c>
      <c r="AF1423">
        <f>IF(G1423&lt;EDATE(Assumptions!$C$6,-12)+1,"prior_12m","last_12m")</f>
        <v/>
      </c>
      <c r="AG1423" s="21">
        <f>DATE(YEAR(G1423),MONTH(G1423),1)</f>
        <v/>
      </c>
    </row>
    <row r="1424">
      <c r="A1424" t="inlineStr">
        <is>
          <t>SPO-00773-3</t>
        </is>
      </c>
      <c r="B1424" t="inlineStr">
        <is>
          <t>SPO-00773</t>
        </is>
      </c>
      <c r="C1424" t="inlineStr">
        <is>
          <t>SUP-05</t>
        </is>
      </c>
      <c r="D1424" t="inlineStr">
        <is>
          <t>FLEET</t>
        </is>
      </c>
      <c r="E1424" t="inlineStr">
        <is>
          <t>FLEET-06</t>
        </is>
      </c>
      <c r="F1424" s="17" t="n">
        <v>45782</v>
      </c>
      <c r="G1424" s="17" t="n">
        <v>45796</v>
      </c>
      <c r="H1424" s="18" t="n">
        <v>51</v>
      </c>
      <c r="I1424" s="19" t="n">
        <v>34.28</v>
      </c>
      <c r="J1424" s="19" t="n">
        <v>33</v>
      </c>
      <c r="K1424" s="20" t="n">
        <v>0</v>
      </c>
      <c r="L1424" s="20" t="n">
        <v>0</v>
      </c>
      <c r="M1424" s="18" t="n">
        <v>51</v>
      </c>
      <c r="N1424" s="18" t="n">
        <v>51</v>
      </c>
      <c r="O1424" s="18" t="n">
        <v>0</v>
      </c>
      <c r="P1424" s="17" t="n">
        <v>45792</v>
      </c>
      <c r="Q1424" s="17" t="n">
        <v>45792</v>
      </c>
      <c r="R1424" s="17" t="n">
        <v>45792</v>
      </c>
      <c r="S1424" s="19">
        <f>H1424*I1424</f>
        <v/>
      </c>
      <c r="T1424" s="19">
        <f>H1424*J1424</f>
        <v/>
      </c>
      <c r="U1424">
        <f>IF(AND(K1424=0,G1424&lt;=Assumptions!$C$6),1,0)</f>
        <v/>
      </c>
      <c r="V1424">
        <f>IF(U1424=1,IF(M1424&gt;0,IF(P1424&lt;=G1424+Assumptions!$C$7,1,0),0),0)</f>
        <v/>
      </c>
      <c r="W1424">
        <f>IF(AND(U1424=1,M1424&gt;=H1424*(1-Assumptions!$C$8)),1,0)</f>
        <v/>
      </c>
      <c r="X1424">
        <f>IF(AND(U1424=1,N1424&gt;=H1424*(1-Assumptions!$C$8)),1,0)</f>
        <v/>
      </c>
      <c r="Y1424">
        <f>IF(ISNUMBER(Q1424),1,0)</f>
        <v/>
      </c>
      <c r="Z1424">
        <f>IF(AND(K1424=0,L1424=0,Y1424=0),1,0)</f>
        <v/>
      </c>
      <c r="AA1424">
        <f>IF(AND(Z1424=1,G1424&lt;Assumptions!$C$6),1,0)</f>
        <v/>
      </c>
      <c r="AB1424">
        <f>IF(U1424=0,"",IF(Y1424=1,MAX(0,Q1424-G1424),IF(L1424=1,MAX(0,R1424-G1424),MAX(0,Assumptions!$C$6-G1424))))</f>
        <v/>
      </c>
      <c r="AC1424">
        <f>IF(Y1424=1,Q1424-F1424,"")</f>
        <v/>
      </c>
      <c r="AD1424">
        <f>IF(Y1424=1,AC1424^2,"")</f>
        <v/>
      </c>
      <c r="AE1424" s="19">
        <f>IF(Z1424=1,(H1424-M1424)*I1424,0)</f>
        <v/>
      </c>
      <c r="AF1424">
        <f>IF(G1424&lt;EDATE(Assumptions!$C$6,-12)+1,"prior_12m","last_12m")</f>
        <v/>
      </c>
      <c r="AG1424" s="21">
        <f>DATE(YEAR(G1424),MONTH(G1424),1)</f>
        <v/>
      </c>
    </row>
    <row r="1425">
      <c r="A1425" t="inlineStr">
        <is>
          <t>SPO-00774-1</t>
        </is>
      </c>
      <c r="B1425" t="inlineStr">
        <is>
          <t>SPO-00774</t>
        </is>
      </c>
      <c r="C1425" t="inlineStr">
        <is>
          <t>SUP-09</t>
        </is>
      </c>
      <c r="D1425" t="inlineStr">
        <is>
          <t>CHEM</t>
        </is>
      </c>
      <c r="E1425" t="inlineStr">
        <is>
          <t>CHEM-01</t>
        </is>
      </c>
      <c r="F1425" s="17" t="n">
        <v>45782</v>
      </c>
      <c r="G1425" s="17" t="n">
        <v>45796</v>
      </c>
      <c r="H1425" s="18" t="n">
        <v>1</v>
      </c>
      <c r="I1425" s="19" t="n">
        <v>656.53</v>
      </c>
      <c r="J1425" s="19" t="n">
        <v>640</v>
      </c>
      <c r="K1425" s="20" t="n">
        <v>0</v>
      </c>
      <c r="L1425" s="20" t="n">
        <v>0</v>
      </c>
      <c r="M1425" s="18" t="n">
        <v>1</v>
      </c>
      <c r="N1425" s="18" t="n">
        <v>1</v>
      </c>
      <c r="O1425" s="18" t="n">
        <v>0</v>
      </c>
      <c r="P1425" s="17" t="n">
        <v>45792</v>
      </c>
      <c r="Q1425" s="17" t="n">
        <v>45792</v>
      </c>
      <c r="R1425" s="17" t="n">
        <v>45792</v>
      </c>
      <c r="S1425" s="19">
        <f>H1425*I1425</f>
        <v/>
      </c>
      <c r="T1425" s="19">
        <f>H1425*J1425</f>
        <v/>
      </c>
      <c r="U1425">
        <f>IF(AND(K1425=0,G1425&lt;=Assumptions!$C$6),1,0)</f>
        <v/>
      </c>
      <c r="V1425">
        <f>IF(U1425=1,IF(M1425&gt;0,IF(P1425&lt;=G1425+Assumptions!$C$7,1,0),0),0)</f>
        <v/>
      </c>
      <c r="W1425">
        <f>IF(AND(U1425=1,M1425&gt;=H1425*(1-Assumptions!$C$8)),1,0)</f>
        <v/>
      </c>
      <c r="X1425">
        <f>IF(AND(U1425=1,N1425&gt;=H1425*(1-Assumptions!$C$8)),1,0)</f>
        <v/>
      </c>
      <c r="Y1425">
        <f>IF(ISNUMBER(Q1425),1,0)</f>
        <v/>
      </c>
      <c r="Z1425">
        <f>IF(AND(K1425=0,L1425=0,Y1425=0),1,0)</f>
        <v/>
      </c>
      <c r="AA1425">
        <f>IF(AND(Z1425=1,G1425&lt;Assumptions!$C$6),1,0)</f>
        <v/>
      </c>
      <c r="AB1425">
        <f>IF(U1425=0,"",IF(Y1425=1,MAX(0,Q1425-G1425),IF(L1425=1,MAX(0,R1425-G1425),MAX(0,Assumptions!$C$6-G1425))))</f>
        <v/>
      </c>
      <c r="AC1425">
        <f>IF(Y1425=1,Q1425-F1425,"")</f>
        <v/>
      </c>
      <c r="AD1425">
        <f>IF(Y1425=1,AC1425^2,"")</f>
        <v/>
      </c>
      <c r="AE1425" s="19">
        <f>IF(Z1425=1,(H1425-M1425)*I1425,0)</f>
        <v/>
      </c>
      <c r="AF1425">
        <f>IF(G1425&lt;EDATE(Assumptions!$C$6,-12)+1,"prior_12m","last_12m")</f>
        <v/>
      </c>
      <c r="AG1425" s="21">
        <f>DATE(YEAR(G1425),MONTH(G1425),1)</f>
        <v/>
      </c>
    </row>
    <row r="1426">
      <c r="A1426" t="inlineStr">
        <is>
          <t>SPO-00774-2</t>
        </is>
      </c>
      <c r="B1426" t="inlineStr">
        <is>
          <t>SPO-00774</t>
        </is>
      </c>
      <c r="C1426" t="inlineStr">
        <is>
          <t>SUP-09</t>
        </is>
      </c>
      <c r="D1426" t="inlineStr">
        <is>
          <t>CHEM</t>
        </is>
      </c>
      <c r="E1426" t="inlineStr">
        <is>
          <t>CHEM-06</t>
        </is>
      </c>
      <c r="F1426" s="17" t="n">
        <v>45782</v>
      </c>
      <c r="G1426" s="17" t="n">
        <v>45796</v>
      </c>
      <c r="H1426" s="18" t="n">
        <v>4</v>
      </c>
      <c r="I1426" s="19" t="n">
        <v>384.44</v>
      </c>
      <c r="J1426" s="19" t="n">
        <v>380</v>
      </c>
      <c r="K1426" s="20" t="n">
        <v>0</v>
      </c>
      <c r="L1426" s="20" t="n">
        <v>0</v>
      </c>
      <c r="M1426" s="18" t="n">
        <v>4</v>
      </c>
      <c r="N1426" s="18" t="n">
        <v>4</v>
      </c>
      <c r="O1426" s="18" t="n">
        <v>0</v>
      </c>
      <c r="P1426" s="17" t="n">
        <v>45792</v>
      </c>
      <c r="Q1426" s="17" t="n">
        <v>45792</v>
      </c>
      <c r="R1426" s="17" t="n">
        <v>45792</v>
      </c>
      <c r="S1426" s="19">
        <f>H1426*I1426</f>
        <v/>
      </c>
      <c r="T1426" s="19">
        <f>H1426*J1426</f>
        <v/>
      </c>
      <c r="U1426">
        <f>IF(AND(K1426=0,G1426&lt;=Assumptions!$C$6),1,0)</f>
        <v/>
      </c>
      <c r="V1426">
        <f>IF(U1426=1,IF(M1426&gt;0,IF(P1426&lt;=G1426+Assumptions!$C$7,1,0),0),0)</f>
        <v/>
      </c>
      <c r="W1426">
        <f>IF(AND(U1426=1,M1426&gt;=H1426*(1-Assumptions!$C$8)),1,0)</f>
        <v/>
      </c>
      <c r="X1426">
        <f>IF(AND(U1426=1,N1426&gt;=H1426*(1-Assumptions!$C$8)),1,0)</f>
        <v/>
      </c>
      <c r="Y1426">
        <f>IF(ISNUMBER(Q1426),1,0)</f>
        <v/>
      </c>
      <c r="Z1426">
        <f>IF(AND(K1426=0,L1426=0,Y1426=0),1,0)</f>
        <v/>
      </c>
      <c r="AA1426">
        <f>IF(AND(Z1426=1,G1426&lt;Assumptions!$C$6),1,0)</f>
        <v/>
      </c>
      <c r="AB1426">
        <f>IF(U1426=0,"",IF(Y1426=1,MAX(0,Q1426-G1426),IF(L1426=1,MAX(0,R1426-G1426),MAX(0,Assumptions!$C$6-G1426))))</f>
        <v/>
      </c>
      <c r="AC1426">
        <f>IF(Y1426=1,Q1426-F1426,"")</f>
        <v/>
      </c>
      <c r="AD1426">
        <f>IF(Y1426=1,AC1426^2,"")</f>
        <v/>
      </c>
      <c r="AE1426" s="19">
        <f>IF(Z1426=1,(H1426-M1426)*I1426,0)</f>
        <v/>
      </c>
      <c r="AF1426">
        <f>IF(G1426&lt;EDATE(Assumptions!$C$6,-12)+1,"prior_12m","last_12m")</f>
        <v/>
      </c>
      <c r="AG1426" s="21">
        <f>DATE(YEAR(G1426),MONTH(G1426),1)</f>
        <v/>
      </c>
    </row>
    <row r="1427">
      <c r="A1427" t="inlineStr">
        <is>
          <t>SPO-00775-1</t>
        </is>
      </c>
      <c r="B1427" t="inlineStr">
        <is>
          <t>SPO-00775</t>
        </is>
      </c>
      <c r="C1427" t="inlineStr">
        <is>
          <t>SUP-04</t>
        </is>
      </c>
      <c r="D1427" t="inlineStr">
        <is>
          <t>FLEET</t>
        </is>
      </c>
      <c r="E1427" t="inlineStr">
        <is>
          <t>FLEET-02</t>
        </is>
      </c>
      <c r="F1427" s="17" t="n">
        <v>45783</v>
      </c>
      <c r="G1427" s="17" t="n">
        <v>45796</v>
      </c>
      <c r="H1427" s="18" t="n">
        <v>78</v>
      </c>
      <c r="I1427" s="19" t="n">
        <v>7.85</v>
      </c>
      <c r="J1427" s="19" t="n">
        <v>7.5</v>
      </c>
      <c r="K1427" s="20" t="n">
        <v>0</v>
      </c>
      <c r="L1427" s="20" t="n">
        <v>0</v>
      </c>
      <c r="M1427" s="18" t="n">
        <v>78</v>
      </c>
      <c r="N1427" s="18" t="n">
        <v>0</v>
      </c>
      <c r="O1427" s="18" t="n">
        <v>0</v>
      </c>
      <c r="P1427" s="17" t="n">
        <v>45802</v>
      </c>
      <c r="Q1427" s="17" t="n">
        <v>45802</v>
      </c>
      <c r="R1427" s="17" t="n">
        <v>45802</v>
      </c>
      <c r="S1427" s="19">
        <f>H1427*I1427</f>
        <v/>
      </c>
      <c r="T1427" s="19">
        <f>H1427*J1427</f>
        <v/>
      </c>
      <c r="U1427">
        <f>IF(AND(K1427=0,G1427&lt;=Assumptions!$C$6),1,0)</f>
        <v/>
      </c>
      <c r="V1427">
        <f>IF(U1427=1,IF(M1427&gt;0,IF(P1427&lt;=G1427+Assumptions!$C$7,1,0),0),0)</f>
        <v/>
      </c>
      <c r="W1427">
        <f>IF(AND(U1427=1,M1427&gt;=H1427*(1-Assumptions!$C$8)),1,0)</f>
        <v/>
      </c>
      <c r="X1427">
        <f>IF(AND(U1427=1,N1427&gt;=H1427*(1-Assumptions!$C$8)),1,0)</f>
        <v/>
      </c>
      <c r="Y1427">
        <f>IF(ISNUMBER(Q1427),1,0)</f>
        <v/>
      </c>
      <c r="Z1427">
        <f>IF(AND(K1427=0,L1427=0,Y1427=0),1,0)</f>
        <v/>
      </c>
      <c r="AA1427">
        <f>IF(AND(Z1427=1,G1427&lt;Assumptions!$C$6),1,0)</f>
        <v/>
      </c>
      <c r="AB1427">
        <f>IF(U1427=0,"",IF(Y1427=1,MAX(0,Q1427-G1427),IF(L1427=1,MAX(0,R1427-G1427),MAX(0,Assumptions!$C$6-G1427))))</f>
        <v/>
      </c>
      <c r="AC1427">
        <f>IF(Y1427=1,Q1427-F1427,"")</f>
        <v/>
      </c>
      <c r="AD1427">
        <f>IF(Y1427=1,AC1427^2,"")</f>
        <v/>
      </c>
      <c r="AE1427" s="19">
        <f>IF(Z1427=1,(H1427-M1427)*I1427,0)</f>
        <v/>
      </c>
      <c r="AF1427">
        <f>IF(G1427&lt;EDATE(Assumptions!$C$6,-12)+1,"prior_12m","last_12m")</f>
        <v/>
      </c>
      <c r="AG1427" s="21">
        <f>DATE(YEAR(G1427),MONTH(G1427),1)</f>
        <v/>
      </c>
    </row>
    <row r="1428">
      <c r="A1428" t="inlineStr">
        <is>
          <t>SPO-00775-2</t>
        </is>
      </c>
      <c r="B1428" t="inlineStr">
        <is>
          <t>SPO-00775</t>
        </is>
      </c>
      <c r="C1428" t="inlineStr">
        <is>
          <t>SUP-04</t>
        </is>
      </c>
      <c r="D1428" t="inlineStr">
        <is>
          <t>FLEET</t>
        </is>
      </c>
      <c r="E1428" t="inlineStr">
        <is>
          <t>FLEET-01</t>
        </is>
      </c>
      <c r="F1428" s="17" t="n">
        <v>45783</v>
      </c>
      <c r="G1428" s="17" t="n">
        <v>45796</v>
      </c>
      <c r="H1428" s="18" t="n">
        <v>12</v>
      </c>
      <c r="I1428" s="19" t="n">
        <v>63.14</v>
      </c>
      <c r="J1428" s="19" t="n">
        <v>64</v>
      </c>
      <c r="K1428" s="20" t="n">
        <v>0</v>
      </c>
      <c r="L1428" s="20" t="n">
        <v>0</v>
      </c>
      <c r="M1428" s="18" t="n">
        <v>12</v>
      </c>
      <c r="N1428" s="18" t="n">
        <v>12</v>
      </c>
      <c r="O1428" s="18" t="n">
        <v>0</v>
      </c>
      <c r="P1428" s="17" t="n">
        <v>45790</v>
      </c>
      <c r="Q1428" s="17" t="n">
        <v>45790</v>
      </c>
      <c r="R1428" s="17" t="n">
        <v>45790</v>
      </c>
      <c r="S1428" s="19">
        <f>H1428*I1428</f>
        <v/>
      </c>
      <c r="T1428" s="19">
        <f>H1428*J1428</f>
        <v/>
      </c>
      <c r="U1428">
        <f>IF(AND(K1428=0,G1428&lt;=Assumptions!$C$6),1,0)</f>
        <v/>
      </c>
      <c r="V1428">
        <f>IF(U1428=1,IF(M1428&gt;0,IF(P1428&lt;=G1428+Assumptions!$C$7,1,0),0),0)</f>
        <v/>
      </c>
      <c r="W1428">
        <f>IF(AND(U1428=1,M1428&gt;=H1428*(1-Assumptions!$C$8)),1,0)</f>
        <v/>
      </c>
      <c r="X1428">
        <f>IF(AND(U1428=1,N1428&gt;=H1428*(1-Assumptions!$C$8)),1,0)</f>
        <v/>
      </c>
      <c r="Y1428">
        <f>IF(ISNUMBER(Q1428),1,0)</f>
        <v/>
      </c>
      <c r="Z1428">
        <f>IF(AND(K1428=0,L1428=0,Y1428=0),1,0)</f>
        <v/>
      </c>
      <c r="AA1428">
        <f>IF(AND(Z1428=1,G1428&lt;Assumptions!$C$6),1,0)</f>
        <v/>
      </c>
      <c r="AB1428">
        <f>IF(U1428=0,"",IF(Y1428=1,MAX(0,Q1428-G1428),IF(L1428=1,MAX(0,R1428-G1428),MAX(0,Assumptions!$C$6-G1428))))</f>
        <v/>
      </c>
      <c r="AC1428">
        <f>IF(Y1428=1,Q1428-F1428,"")</f>
        <v/>
      </c>
      <c r="AD1428">
        <f>IF(Y1428=1,AC1428^2,"")</f>
        <v/>
      </c>
      <c r="AE1428" s="19">
        <f>IF(Z1428=1,(H1428-M1428)*I1428,0)</f>
        <v/>
      </c>
      <c r="AF1428">
        <f>IF(G1428&lt;EDATE(Assumptions!$C$6,-12)+1,"prior_12m","last_12m")</f>
        <v/>
      </c>
      <c r="AG1428" s="21">
        <f>DATE(YEAR(G1428),MONTH(G1428),1)</f>
        <v/>
      </c>
    </row>
    <row r="1429">
      <c r="A1429" t="inlineStr">
        <is>
          <t>SPO-00776-1</t>
        </is>
      </c>
      <c r="B1429" t="inlineStr">
        <is>
          <t>SPO-00776</t>
        </is>
      </c>
      <c r="C1429" t="inlineStr">
        <is>
          <t>SUP-08</t>
        </is>
      </c>
      <c r="D1429" t="inlineStr">
        <is>
          <t>MRO</t>
        </is>
      </c>
      <c r="E1429" t="inlineStr">
        <is>
          <t>MRO-01</t>
        </is>
      </c>
      <c r="F1429" s="17" t="n">
        <v>45783</v>
      </c>
      <c r="G1429" s="17" t="n">
        <v>45794</v>
      </c>
      <c r="H1429" s="18" t="n">
        <v>145</v>
      </c>
      <c r="I1429" s="19" t="n">
        <v>51.69</v>
      </c>
      <c r="J1429" s="19" t="n">
        <v>52</v>
      </c>
      <c r="K1429" s="20" t="n">
        <v>0</v>
      </c>
      <c r="L1429" s="20" t="n">
        <v>0</v>
      </c>
      <c r="M1429" s="18" t="n">
        <v>145</v>
      </c>
      <c r="N1429" s="18" t="n">
        <v>145</v>
      </c>
      <c r="O1429" s="18" t="n">
        <v>0</v>
      </c>
      <c r="P1429" s="17" t="n">
        <v>45790</v>
      </c>
      <c r="Q1429" s="17" t="n">
        <v>45790</v>
      </c>
      <c r="R1429" s="17" t="n">
        <v>45790</v>
      </c>
      <c r="S1429" s="19">
        <f>H1429*I1429</f>
        <v/>
      </c>
      <c r="T1429" s="19">
        <f>H1429*J1429</f>
        <v/>
      </c>
      <c r="U1429">
        <f>IF(AND(K1429=0,G1429&lt;=Assumptions!$C$6),1,0)</f>
        <v/>
      </c>
      <c r="V1429">
        <f>IF(U1429=1,IF(M1429&gt;0,IF(P1429&lt;=G1429+Assumptions!$C$7,1,0),0),0)</f>
        <v/>
      </c>
      <c r="W1429">
        <f>IF(AND(U1429=1,M1429&gt;=H1429*(1-Assumptions!$C$8)),1,0)</f>
        <v/>
      </c>
      <c r="X1429">
        <f>IF(AND(U1429=1,N1429&gt;=H1429*(1-Assumptions!$C$8)),1,0)</f>
        <v/>
      </c>
      <c r="Y1429">
        <f>IF(ISNUMBER(Q1429),1,0)</f>
        <v/>
      </c>
      <c r="Z1429">
        <f>IF(AND(K1429=0,L1429=0,Y1429=0),1,0)</f>
        <v/>
      </c>
      <c r="AA1429">
        <f>IF(AND(Z1429=1,G1429&lt;Assumptions!$C$6),1,0)</f>
        <v/>
      </c>
      <c r="AB1429">
        <f>IF(U1429=0,"",IF(Y1429=1,MAX(0,Q1429-G1429),IF(L1429=1,MAX(0,R1429-G1429),MAX(0,Assumptions!$C$6-G1429))))</f>
        <v/>
      </c>
      <c r="AC1429">
        <f>IF(Y1429=1,Q1429-F1429,"")</f>
        <v/>
      </c>
      <c r="AD1429">
        <f>IF(Y1429=1,AC1429^2,"")</f>
        <v/>
      </c>
      <c r="AE1429" s="19">
        <f>IF(Z1429=1,(H1429-M1429)*I1429,0)</f>
        <v/>
      </c>
      <c r="AF1429">
        <f>IF(G1429&lt;EDATE(Assumptions!$C$6,-12)+1,"prior_12m","last_12m")</f>
        <v/>
      </c>
      <c r="AG1429" s="21">
        <f>DATE(YEAR(G1429),MONTH(G1429),1)</f>
        <v/>
      </c>
    </row>
    <row r="1430">
      <c r="A1430" t="inlineStr">
        <is>
          <t>SPO-00777-1</t>
        </is>
      </c>
      <c r="B1430" t="inlineStr">
        <is>
          <t>SPO-00777</t>
        </is>
      </c>
      <c r="C1430" t="inlineStr">
        <is>
          <t>SUP-04</t>
        </is>
      </c>
      <c r="D1430" t="inlineStr">
        <is>
          <t>FLEET</t>
        </is>
      </c>
      <c r="E1430" t="inlineStr">
        <is>
          <t>FLEET-06</t>
        </is>
      </c>
      <c r="F1430" s="17" t="n">
        <v>45783</v>
      </c>
      <c r="G1430" s="17" t="n">
        <v>45796</v>
      </c>
      <c r="H1430" s="18" t="n">
        <v>81</v>
      </c>
      <c r="I1430" s="19" t="n">
        <v>31.72</v>
      </c>
      <c r="J1430" s="19" t="n">
        <v>33</v>
      </c>
      <c r="K1430" s="20" t="n">
        <v>0</v>
      </c>
      <c r="L1430" s="20" t="n">
        <v>0</v>
      </c>
      <c r="M1430" s="18" t="n">
        <v>81</v>
      </c>
      <c r="N1430" s="18" t="n">
        <v>81</v>
      </c>
      <c r="O1430" s="18" t="n">
        <v>0</v>
      </c>
      <c r="P1430" s="17" t="n">
        <v>45787</v>
      </c>
      <c r="Q1430" s="17" t="n">
        <v>45787</v>
      </c>
      <c r="R1430" s="17" t="n">
        <v>45787</v>
      </c>
      <c r="S1430" s="19">
        <f>H1430*I1430</f>
        <v/>
      </c>
      <c r="T1430" s="19">
        <f>H1430*J1430</f>
        <v/>
      </c>
      <c r="U1430">
        <f>IF(AND(K1430=0,G1430&lt;=Assumptions!$C$6),1,0)</f>
        <v/>
      </c>
      <c r="V1430">
        <f>IF(U1430=1,IF(M1430&gt;0,IF(P1430&lt;=G1430+Assumptions!$C$7,1,0),0),0)</f>
        <v/>
      </c>
      <c r="W1430">
        <f>IF(AND(U1430=1,M1430&gt;=H1430*(1-Assumptions!$C$8)),1,0)</f>
        <v/>
      </c>
      <c r="X1430">
        <f>IF(AND(U1430=1,N1430&gt;=H1430*(1-Assumptions!$C$8)),1,0)</f>
        <v/>
      </c>
      <c r="Y1430">
        <f>IF(ISNUMBER(Q1430),1,0)</f>
        <v/>
      </c>
      <c r="Z1430">
        <f>IF(AND(K1430=0,L1430=0,Y1430=0),1,0)</f>
        <v/>
      </c>
      <c r="AA1430">
        <f>IF(AND(Z1430=1,G1430&lt;Assumptions!$C$6),1,0)</f>
        <v/>
      </c>
      <c r="AB1430">
        <f>IF(U1430=0,"",IF(Y1430=1,MAX(0,Q1430-G1430),IF(L1430=1,MAX(0,R1430-G1430),MAX(0,Assumptions!$C$6-G1430))))</f>
        <v/>
      </c>
      <c r="AC1430">
        <f>IF(Y1430=1,Q1430-F1430,"")</f>
        <v/>
      </c>
      <c r="AD1430">
        <f>IF(Y1430=1,AC1430^2,"")</f>
        <v/>
      </c>
      <c r="AE1430" s="19">
        <f>IF(Z1430=1,(H1430-M1430)*I1430,0)</f>
        <v/>
      </c>
      <c r="AF1430">
        <f>IF(G1430&lt;EDATE(Assumptions!$C$6,-12)+1,"prior_12m","last_12m")</f>
        <v/>
      </c>
      <c r="AG1430" s="21">
        <f>DATE(YEAR(G1430),MONTH(G1430),1)</f>
        <v/>
      </c>
    </row>
    <row r="1431">
      <c r="A1431" t="inlineStr">
        <is>
          <t>SPO-00777-2</t>
        </is>
      </c>
      <c r="B1431" t="inlineStr">
        <is>
          <t>SPO-00777</t>
        </is>
      </c>
      <c r="C1431" t="inlineStr">
        <is>
          <t>SUP-04</t>
        </is>
      </c>
      <c r="D1431" t="inlineStr">
        <is>
          <t>FLEET</t>
        </is>
      </c>
      <c r="E1431" t="inlineStr">
        <is>
          <t>FLEET-02</t>
        </is>
      </c>
      <c r="F1431" s="17" t="n">
        <v>45783</v>
      </c>
      <c r="G1431" s="17" t="n">
        <v>45796</v>
      </c>
      <c r="H1431" s="18" t="n">
        <v>297</v>
      </c>
      <c r="I1431" s="19" t="n">
        <v>7.69</v>
      </c>
      <c r="J1431" s="19" t="n">
        <v>7.5</v>
      </c>
      <c r="K1431" s="20" t="n">
        <v>0</v>
      </c>
      <c r="L1431" s="20" t="n">
        <v>0</v>
      </c>
      <c r="M1431" s="18" t="n">
        <v>297</v>
      </c>
      <c r="N1431" s="18" t="n">
        <v>297</v>
      </c>
      <c r="O1431" s="18" t="n">
        <v>0</v>
      </c>
      <c r="P1431" s="17" t="n">
        <v>45787</v>
      </c>
      <c r="Q1431" s="17" t="n">
        <v>45787</v>
      </c>
      <c r="R1431" s="17" t="n">
        <v>45787</v>
      </c>
      <c r="S1431" s="19">
        <f>H1431*I1431</f>
        <v/>
      </c>
      <c r="T1431" s="19">
        <f>H1431*J1431</f>
        <v/>
      </c>
      <c r="U1431">
        <f>IF(AND(K1431=0,G1431&lt;=Assumptions!$C$6),1,0)</f>
        <v/>
      </c>
      <c r="V1431">
        <f>IF(U1431=1,IF(M1431&gt;0,IF(P1431&lt;=G1431+Assumptions!$C$7,1,0),0),0)</f>
        <v/>
      </c>
      <c r="W1431">
        <f>IF(AND(U1431=1,M1431&gt;=H1431*(1-Assumptions!$C$8)),1,0)</f>
        <v/>
      </c>
      <c r="X1431">
        <f>IF(AND(U1431=1,N1431&gt;=H1431*(1-Assumptions!$C$8)),1,0)</f>
        <v/>
      </c>
      <c r="Y1431">
        <f>IF(ISNUMBER(Q1431),1,0)</f>
        <v/>
      </c>
      <c r="Z1431">
        <f>IF(AND(K1431=0,L1431=0,Y1431=0),1,0)</f>
        <v/>
      </c>
      <c r="AA1431">
        <f>IF(AND(Z1431=1,G1431&lt;Assumptions!$C$6),1,0)</f>
        <v/>
      </c>
      <c r="AB1431">
        <f>IF(U1431=0,"",IF(Y1431=1,MAX(0,Q1431-G1431),IF(L1431=1,MAX(0,R1431-G1431),MAX(0,Assumptions!$C$6-G1431))))</f>
        <v/>
      </c>
      <c r="AC1431">
        <f>IF(Y1431=1,Q1431-F1431,"")</f>
        <v/>
      </c>
      <c r="AD1431">
        <f>IF(Y1431=1,AC1431^2,"")</f>
        <v/>
      </c>
      <c r="AE1431" s="19">
        <f>IF(Z1431=1,(H1431-M1431)*I1431,0)</f>
        <v/>
      </c>
      <c r="AF1431">
        <f>IF(G1431&lt;EDATE(Assumptions!$C$6,-12)+1,"prior_12m","last_12m")</f>
        <v/>
      </c>
      <c r="AG1431" s="21">
        <f>DATE(YEAR(G1431),MONTH(G1431),1)</f>
        <v/>
      </c>
    </row>
    <row r="1432">
      <c r="A1432" t="inlineStr">
        <is>
          <t>SPO-00778-1</t>
        </is>
      </c>
      <c r="B1432" t="inlineStr">
        <is>
          <t>SPO-00778</t>
        </is>
      </c>
      <c r="C1432" t="inlineStr">
        <is>
          <t>SUP-06</t>
        </is>
      </c>
      <c r="D1432" t="inlineStr">
        <is>
          <t>MRO</t>
        </is>
      </c>
      <c r="E1432" t="inlineStr">
        <is>
          <t>MRO-03</t>
        </is>
      </c>
      <c r="F1432" s="17" t="n">
        <v>45783</v>
      </c>
      <c r="G1432" s="17" t="n">
        <v>45791</v>
      </c>
      <c r="H1432" s="18" t="n">
        <v>140</v>
      </c>
      <c r="I1432" s="19" t="n">
        <v>8.68</v>
      </c>
      <c r="J1432" s="19" t="n">
        <v>8.9</v>
      </c>
      <c r="K1432" s="20" t="n">
        <v>0</v>
      </c>
      <c r="L1432" s="20" t="n">
        <v>0</v>
      </c>
      <c r="M1432" s="18" t="n">
        <v>140</v>
      </c>
      <c r="N1432" s="18" t="n">
        <v>140</v>
      </c>
      <c r="O1432" s="18" t="n">
        <v>0</v>
      </c>
      <c r="P1432" s="17" t="n">
        <v>45789</v>
      </c>
      <c r="Q1432" s="17" t="n">
        <v>45789</v>
      </c>
      <c r="R1432" s="17" t="n">
        <v>45789</v>
      </c>
      <c r="S1432" s="19">
        <f>H1432*I1432</f>
        <v/>
      </c>
      <c r="T1432" s="19">
        <f>H1432*J1432</f>
        <v/>
      </c>
      <c r="U1432">
        <f>IF(AND(K1432=0,G1432&lt;=Assumptions!$C$6),1,0)</f>
        <v/>
      </c>
      <c r="V1432">
        <f>IF(U1432=1,IF(M1432&gt;0,IF(P1432&lt;=G1432+Assumptions!$C$7,1,0),0),0)</f>
        <v/>
      </c>
      <c r="W1432">
        <f>IF(AND(U1432=1,M1432&gt;=H1432*(1-Assumptions!$C$8)),1,0)</f>
        <v/>
      </c>
      <c r="X1432">
        <f>IF(AND(U1432=1,N1432&gt;=H1432*(1-Assumptions!$C$8)),1,0)</f>
        <v/>
      </c>
      <c r="Y1432">
        <f>IF(ISNUMBER(Q1432),1,0)</f>
        <v/>
      </c>
      <c r="Z1432">
        <f>IF(AND(K1432=0,L1432=0,Y1432=0),1,0)</f>
        <v/>
      </c>
      <c r="AA1432">
        <f>IF(AND(Z1432=1,G1432&lt;Assumptions!$C$6),1,0)</f>
        <v/>
      </c>
      <c r="AB1432">
        <f>IF(U1432=0,"",IF(Y1432=1,MAX(0,Q1432-G1432),IF(L1432=1,MAX(0,R1432-G1432),MAX(0,Assumptions!$C$6-G1432))))</f>
        <v/>
      </c>
      <c r="AC1432">
        <f>IF(Y1432=1,Q1432-F1432,"")</f>
        <v/>
      </c>
      <c r="AD1432">
        <f>IF(Y1432=1,AC1432^2,"")</f>
        <v/>
      </c>
      <c r="AE1432" s="19">
        <f>IF(Z1432=1,(H1432-M1432)*I1432,0)</f>
        <v/>
      </c>
      <c r="AF1432">
        <f>IF(G1432&lt;EDATE(Assumptions!$C$6,-12)+1,"prior_12m","last_12m")</f>
        <v/>
      </c>
      <c r="AG1432" s="21">
        <f>DATE(YEAR(G1432),MONTH(G1432),1)</f>
        <v/>
      </c>
    </row>
    <row r="1433">
      <c r="A1433" t="inlineStr">
        <is>
          <t>SPO-00779-1</t>
        </is>
      </c>
      <c r="B1433" t="inlineStr">
        <is>
          <t>SPO-00779</t>
        </is>
      </c>
      <c r="C1433" t="inlineStr">
        <is>
          <t>SUP-04</t>
        </is>
      </c>
      <c r="D1433" t="inlineStr">
        <is>
          <t>FLEET</t>
        </is>
      </c>
      <c r="E1433" t="inlineStr">
        <is>
          <t>FLEET-04</t>
        </is>
      </c>
      <c r="F1433" s="17" t="n">
        <v>45784</v>
      </c>
      <c r="G1433" s="17" t="n">
        <v>45797</v>
      </c>
      <c r="H1433" s="18" t="n">
        <v>195</v>
      </c>
      <c r="I1433" s="19" t="n">
        <v>9.210000000000001</v>
      </c>
      <c r="J1433" s="19" t="n">
        <v>9</v>
      </c>
      <c r="K1433" s="20" t="n">
        <v>0</v>
      </c>
      <c r="L1433" s="20" t="n">
        <v>0</v>
      </c>
      <c r="M1433" s="18" t="n">
        <v>195</v>
      </c>
      <c r="N1433" s="18" t="n">
        <v>195</v>
      </c>
      <c r="O1433" s="18" t="n">
        <v>0</v>
      </c>
      <c r="P1433" s="17" t="n">
        <v>45795</v>
      </c>
      <c r="Q1433" s="17" t="n">
        <v>45795</v>
      </c>
      <c r="R1433" s="17" t="n">
        <v>45795</v>
      </c>
      <c r="S1433" s="19">
        <f>H1433*I1433</f>
        <v/>
      </c>
      <c r="T1433" s="19">
        <f>H1433*J1433</f>
        <v/>
      </c>
      <c r="U1433">
        <f>IF(AND(K1433=0,G1433&lt;=Assumptions!$C$6),1,0)</f>
        <v/>
      </c>
      <c r="V1433">
        <f>IF(U1433=1,IF(M1433&gt;0,IF(P1433&lt;=G1433+Assumptions!$C$7,1,0),0),0)</f>
        <v/>
      </c>
      <c r="W1433">
        <f>IF(AND(U1433=1,M1433&gt;=H1433*(1-Assumptions!$C$8)),1,0)</f>
        <v/>
      </c>
      <c r="X1433">
        <f>IF(AND(U1433=1,N1433&gt;=H1433*(1-Assumptions!$C$8)),1,0)</f>
        <v/>
      </c>
      <c r="Y1433">
        <f>IF(ISNUMBER(Q1433),1,0)</f>
        <v/>
      </c>
      <c r="Z1433">
        <f>IF(AND(K1433=0,L1433=0,Y1433=0),1,0)</f>
        <v/>
      </c>
      <c r="AA1433">
        <f>IF(AND(Z1433=1,G1433&lt;Assumptions!$C$6),1,0)</f>
        <v/>
      </c>
      <c r="AB1433">
        <f>IF(U1433=0,"",IF(Y1433=1,MAX(0,Q1433-G1433),IF(L1433=1,MAX(0,R1433-G1433),MAX(0,Assumptions!$C$6-G1433))))</f>
        <v/>
      </c>
      <c r="AC1433">
        <f>IF(Y1433=1,Q1433-F1433,"")</f>
        <v/>
      </c>
      <c r="AD1433">
        <f>IF(Y1433=1,AC1433^2,"")</f>
        <v/>
      </c>
      <c r="AE1433" s="19">
        <f>IF(Z1433=1,(H1433-M1433)*I1433,0)</f>
        <v/>
      </c>
      <c r="AF1433">
        <f>IF(G1433&lt;EDATE(Assumptions!$C$6,-12)+1,"prior_12m","last_12m")</f>
        <v/>
      </c>
      <c r="AG1433" s="21">
        <f>DATE(YEAR(G1433),MONTH(G1433),1)</f>
        <v/>
      </c>
    </row>
    <row r="1434">
      <c r="A1434" t="inlineStr">
        <is>
          <t>SPO-00779-2</t>
        </is>
      </c>
      <c r="B1434" t="inlineStr">
        <is>
          <t>SPO-00779</t>
        </is>
      </c>
      <c r="C1434" t="inlineStr">
        <is>
          <t>SUP-04</t>
        </is>
      </c>
      <c r="D1434" t="inlineStr">
        <is>
          <t>FLEET</t>
        </is>
      </c>
      <c r="E1434" t="inlineStr">
        <is>
          <t>FLEET-08</t>
        </is>
      </c>
      <c r="F1434" s="17" t="n">
        <v>45784</v>
      </c>
      <c r="G1434" s="17" t="n">
        <v>45797</v>
      </c>
      <c r="H1434" s="18" t="n">
        <v>547</v>
      </c>
      <c r="I1434" s="19" t="n">
        <v>6.1</v>
      </c>
      <c r="J1434" s="19" t="n">
        <v>6.4</v>
      </c>
      <c r="K1434" s="20" t="n">
        <v>0</v>
      </c>
      <c r="L1434" s="20" t="n">
        <v>0</v>
      </c>
      <c r="M1434" s="18" t="n">
        <v>547</v>
      </c>
      <c r="N1434" s="18" t="n">
        <v>0</v>
      </c>
      <c r="O1434" s="18" t="n">
        <v>0</v>
      </c>
      <c r="P1434" s="17" t="n">
        <v>45867</v>
      </c>
      <c r="Q1434" s="17" t="n">
        <v>45867</v>
      </c>
      <c r="R1434" s="17" t="n">
        <v>45867</v>
      </c>
      <c r="S1434" s="19">
        <f>H1434*I1434</f>
        <v/>
      </c>
      <c r="T1434" s="19">
        <f>H1434*J1434</f>
        <v/>
      </c>
      <c r="U1434">
        <f>IF(AND(K1434=0,G1434&lt;=Assumptions!$C$6),1,0)</f>
        <v/>
      </c>
      <c r="V1434">
        <f>IF(U1434=1,IF(M1434&gt;0,IF(P1434&lt;=G1434+Assumptions!$C$7,1,0),0),0)</f>
        <v/>
      </c>
      <c r="W1434">
        <f>IF(AND(U1434=1,M1434&gt;=H1434*(1-Assumptions!$C$8)),1,0)</f>
        <v/>
      </c>
      <c r="X1434">
        <f>IF(AND(U1434=1,N1434&gt;=H1434*(1-Assumptions!$C$8)),1,0)</f>
        <v/>
      </c>
      <c r="Y1434">
        <f>IF(ISNUMBER(Q1434),1,0)</f>
        <v/>
      </c>
      <c r="Z1434">
        <f>IF(AND(K1434=0,L1434=0,Y1434=0),1,0)</f>
        <v/>
      </c>
      <c r="AA1434">
        <f>IF(AND(Z1434=1,G1434&lt;Assumptions!$C$6),1,0)</f>
        <v/>
      </c>
      <c r="AB1434">
        <f>IF(U1434=0,"",IF(Y1434=1,MAX(0,Q1434-G1434),IF(L1434=1,MAX(0,R1434-G1434),MAX(0,Assumptions!$C$6-G1434))))</f>
        <v/>
      </c>
      <c r="AC1434">
        <f>IF(Y1434=1,Q1434-F1434,"")</f>
        <v/>
      </c>
      <c r="AD1434">
        <f>IF(Y1434=1,AC1434^2,"")</f>
        <v/>
      </c>
      <c r="AE1434" s="19">
        <f>IF(Z1434=1,(H1434-M1434)*I1434,0)</f>
        <v/>
      </c>
      <c r="AF1434">
        <f>IF(G1434&lt;EDATE(Assumptions!$C$6,-12)+1,"prior_12m","last_12m")</f>
        <v/>
      </c>
      <c r="AG1434" s="21">
        <f>DATE(YEAR(G1434),MONTH(G1434),1)</f>
        <v/>
      </c>
    </row>
    <row r="1435">
      <c r="A1435" t="inlineStr">
        <is>
          <t>SPO-00780-1</t>
        </is>
      </c>
      <c r="B1435" t="inlineStr">
        <is>
          <t>SPO-00780</t>
        </is>
      </c>
      <c r="C1435" t="inlineStr">
        <is>
          <t>SUP-02</t>
        </is>
      </c>
      <c r="D1435" t="inlineStr">
        <is>
          <t>ELEC</t>
        </is>
      </c>
      <c r="E1435" t="inlineStr">
        <is>
          <t>ELEC-06</t>
        </is>
      </c>
      <c r="F1435" s="17" t="n">
        <v>45785</v>
      </c>
      <c r="G1435" s="17" t="n">
        <v>45801</v>
      </c>
      <c r="H1435" s="18" t="n">
        <v>8</v>
      </c>
      <c r="I1435" s="19" t="n">
        <v>146.62</v>
      </c>
      <c r="J1435" s="19" t="n">
        <v>145</v>
      </c>
      <c r="K1435" s="20" t="n">
        <v>0</v>
      </c>
      <c r="L1435" s="20" t="n">
        <v>0</v>
      </c>
      <c r="M1435" s="18" t="n">
        <v>8</v>
      </c>
      <c r="N1435" s="18" t="n">
        <v>8</v>
      </c>
      <c r="O1435" s="18" t="n">
        <v>0</v>
      </c>
      <c r="P1435" s="17" t="n">
        <v>45799</v>
      </c>
      <c r="Q1435" s="17" t="n">
        <v>45799</v>
      </c>
      <c r="R1435" s="17" t="n">
        <v>45799</v>
      </c>
      <c r="S1435" s="19">
        <f>H1435*I1435</f>
        <v/>
      </c>
      <c r="T1435" s="19">
        <f>H1435*J1435</f>
        <v/>
      </c>
      <c r="U1435">
        <f>IF(AND(K1435=0,G1435&lt;=Assumptions!$C$6),1,0)</f>
        <v/>
      </c>
      <c r="V1435">
        <f>IF(U1435=1,IF(M1435&gt;0,IF(P1435&lt;=G1435+Assumptions!$C$7,1,0),0),0)</f>
        <v/>
      </c>
      <c r="W1435">
        <f>IF(AND(U1435=1,M1435&gt;=H1435*(1-Assumptions!$C$8)),1,0)</f>
        <v/>
      </c>
      <c r="X1435">
        <f>IF(AND(U1435=1,N1435&gt;=H1435*(1-Assumptions!$C$8)),1,0)</f>
        <v/>
      </c>
      <c r="Y1435">
        <f>IF(ISNUMBER(Q1435),1,0)</f>
        <v/>
      </c>
      <c r="Z1435">
        <f>IF(AND(K1435=0,L1435=0,Y1435=0),1,0)</f>
        <v/>
      </c>
      <c r="AA1435">
        <f>IF(AND(Z1435=1,G1435&lt;Assumptions!$C$6),1,0)</f>
        <v/>
      </c>
      <c r="AB1435">
        <f>IF(U1435=0,"",IF(Y1435=1,MAX(0,Q1435-G1435),IF(L1435=1,MAX(0,R1435-G1435),MAX(0,Assumptions!$C$6-G1435))))</f>
        <v/>
      </c>
      <c r="AC1435">
        <f>IF(Y1435=1,Q1435-F1435,"")</f>
        <v/>
      </c>
      <c r="AD1435">
        <f>IF(Y1435=1,AC1435^2,"")</f>
        <v/>
      </c>
      <c r="AE1435" s="19">
        <f>IF(Z1435=1,(H1435-M1435)*I1435,0)</f>
        <v/>
      </c>
      <c r="AF1435">
        <f>IF(G1435&lt;EDATE(Assumptions!$C$6,-12)+1,"prior_12m","last_12m")</f>
        <v/>
      </c>
      <c r="AG1435" s="21">
        <f>DATE(YEAR(G1435),MONTH(G1435),1)</f>
        <v/>
      </c>
    </row>
    <row r="1436">
      <c r="A1436" t="inlineStr">
        <is>
          <t>SPO-00781-1</t>
        </is>
      </c>
      <c r="B1436" t="inlineStr">
        <is>
          <t>SPO-00781</t>
        </is>
      </c>
      <c r="C1436" t="inlineStr">
        <is>
          <t>SUP-06</t>
        </is>
      </c>
      <c r="D1436" t="inlineStr">
        <is>
          <t>MRO</t>
        </is>
      </c>
      <c r="E1436" t="inlineStr">
        <is>
          <t>MRO-03</t>
        </is>
      </c>
      <c r="F1436" s="17" t="n">
        <v>45785</v>
      </c>
      <c r="G1436" s="17" t="n">
        <v>45793</v>
      </c>
      <c r="H1436" s="18" t="n">
        <v>170</v>
      </c>
      <c r="I1436" s="19" t="n">
        <v>9.23</v>
      </c>
      <c r="J1436" s="19" t="n">
        <v>8.9</v>
      </c>
      <c r="K1436" s="20" t="n">
        <v>0</v>
      </c>
      <c r="L1436" s="20" t="n">
        <v>0</v>
      </c>
      <c r="M1436" s="18" t="n">
        <v>170</v>
      </c>
      <c r="N1436" s="18" t="n">
        <v>170</v>
      </c>
      <c r="O1436" s="18" t="n">
        <v>0</v>
      </c>
      <c r="P1436" s="17" t="n">
        <v>45790</v>
      </c>
      <c r="Q1436" s="17" t="n">
        <v>45790</v>
      </c>
      <c r="R1436" s="17" t="n">
        <v>45790</v>
      </c>
      <c r="S1436" s="19">
        <f>H1436*I1436</f>
        <v/>
      </c>
      <c r="T1436" s="19">
        <f>H1436*J1436</f>
        <v/>
      </c>
      <c r="U1436">
        <f>IF(AND(K1436=0,G1436&lt;=Assumptions!$C$6),1,0)</f>
        <v/>
      </c>
      <c r="V1436">
        <f>IF(U1436=1,IF(M1436&gt;0,IF(P1436&lt;=G1436+Assumptions!$C$7,1,0),0),0)</f>
        <v/>
      </c>
      <c r="W1436">
        <f>IF(AND(U1436=1,M1436&gt;=H1436*(1-Assumptions!$C$8)),1,0)</f>
        <v/>
      </c>
      <c r="X1436">
        <f>IF(AND(U1436=1,N1436&gt;=H1436*(1-Assumptions!$C$8)),1,0)</f>
        <v/>
      </c>
      <c r="Y1436">
        <f>IF(ISNUMBER(Q1436),1,0)</f>
        <v/>
      </c>
      <c r="Z1436">
        <f>IF(AND(K1436=0,L1436=0,Y1436=0),1,0)</f>
        <v/>
      </c>
      <c r="AA1436">
        <f>IF(AND(Z1436=1,G1436&lt;Assumptions!$C$6),1,0)</f>
        <v/>
      </c>
      <c r="AB1436">
        <f>IF(U1436=0,"",IF(Y1436=1,MAX(0,Q1436-G1436),IF(L1436=1,MAX(0,R1436-G1436),MAX(0,Assumptions!$C$6-G1436))))</f>
        <v/>
      </c>
      <c r="AC1436">
        <f>IF(Y1436=1,Q1436-F1436,"")</f>
        <v/>
      </c>
      <c r="AD1436">
        <f>IF(Y1436=1,AC1436^2,"")</f>
        <v/>
      </c>
      <c r="AE1436" s="19">
        <f>IF(Z1436=1,(H1436-M1436)*I1436,0)</f>
        <v/>
      </c>
      <c r="AF1436">
        <f>IF(G1436&lt;EDATE(Assumptions!$C$6,-12)+1,"prior_12m","last_12m")</f>
        <v/>
      </c>
      <c r="AG1436" s="21">
        <f>DATE(YEAR(G1436),MONTH(G1436),1)</f>
        <v/>
      </c>
    </row>
    <row r="1437">
      <c r="A1437" t="inlineStr">
        <is>
          <t>SPO-00781-2</t>
        </is>
      </c>
      <c r="B1437" t="inlineStr">
        <is>
          <t>SPO-00781</t>
        </is>
      </c>
      <c r="C1437" t="inlineStr">
        <is>
          <t>SUP-06</t>
        </is>
      </c>
      <c r="D1437" t="inlineStr">
        <is>
          <t>MRO</t>
        </is>
      </c>
      <c r="E1437" t="inlineStr">
        <is>
          <t>MRO-06</t>
        </is>
      </c>
      <c r="F1437" s="17" t="n">
        <v>45785</v>
      </c>
      <c r="G1437" s="17" t="n">
        <v>45793</v>
      </c>
      <c r="H1437" s="18" t="n">
        <v>208</v>
      </c>
      <c r="I1437" s="19" t="n">
        <v>6.2</v>
      </c>
      <c r="J1437" s="19" t="n">
        <v>6.1</v>
      </c>
      <c r="K1437" s="20" t="n">
        <v>0</v>
      </c>
      <c r="L1437" s="20" t="n">
        <v>0</v>
      </c>
      <c r="M1437" s="18" t="n">
        <v>208</v>
      </c>
      <c r="N1437" s="18" t="n">
        <v>208</v>
      </c>
      <c r="O1437" s="18" t="n">
        <v>0</v>
      </c>
      <c r="P1437" s="17" t="n">
        <v>45790</v>
      </c>
      <c r="Q1437" s="17" t="n">
        <v>45790</v>
      </c>
      <c r="R1437" s="17" t="n">
        <v>45790</v>
      </c>
      <c r="S1437" s="19">
        <f>H1437*I1437</f>
        <v/>
      </c>
      <c r="T1437" s="19">
        <f>H1437*J1437</f>
        <v/>
      </c>
      <c r="U1437">
        <f>IF(AND(K1437=0,G1437&lt;=Assumptions!$C$6),1,0)</f>
        <v/>
      </c>
      <c r="V1437">
        <f>IF(U1437=1,IF(M1437&gt;0,IF(P1437&lt;=G1437+Assumptions!$C$7,1,0),0),0)</f>
        <v/>
      </c>
      <c r="W1437">
        <f>IF(AND(U1437=1,M1437&gt;=H1437*(1-Assumptions!$C$8)),1,0)</f>
        <v/>
      </c>
      <c r="X1437">
        <f>IF(AND(U1437=1,N1437&gt;=H1437*(1-Assumptions!$C$8)),1,0)</f>
        <v/>
      </c>
      <c r="Y1437">
        <f>IF(ISNUMBER(Q1437),1,0)</f>
        <v/>
      </c>
      <c r="Z1437">
        <f>IF(AND(K1437=0,L1437=0,Y1437=0),1,0)</f>
        <v/>
      </c>
      <c r="AA1437">
        <f>IF(AND(Z1437=1,G1437&lt;Assumptions!$C$6),1,0)</f>
        <v/>
      </c>
      <c r="AB1437">
        <f>IF(U1437=0,"",IF(Y1437=1,MAX(0,Q1437-G1437),IF(L1437=1,MAX(0,R1437-G1437),MAX(0,Assumptions!$C$6-G1437))))</f>
        <v/>
      </c>
      <c r="AC1437">
        <f>IF(Y1437=1,Q1437-F1437,"")</f>
        <v/>
      </c>
      <c r="AD1437">
        <f>IF(Y1437=1,AC1437^2,"")</f>
        <v/>
      </c>
      <c r="AE1437" s="19">
        <f>IF(Z1437=1,(H1437-M1437)*I1437,0)</f>
        <v/>
      </c>
      <c r="AF1437">
        <f>IF(G1437&lt;EDATE(Assumptions!$C$6,-12)+1,"prior_12m","last_12m")</f>
        <v/>
      </c>
      <c r="AG1437" s="21">
        <f>DATE(YEAR(G1437),MONTH(G1437),1)</f>
        <v/>
      </c>
    </row>
    <row r="1438">
      <c r="A1438" t="inlineStr">
        <is>
          <t>SPO-00782-1</t>
        </is>
      </c>
      <c r="B1438" t="inlineStr">
        <is>
          <t>SPO-00782</t>
        </is>
      </c>
      <c r="C1438" t="inlineStr">
        <is>
          <t>SUP-05</t>
        </is>
      </c>
      <c r="D1438" t="inlineStr">
        <is>
          <t>FLEET</t>
        </is>
      </c>
      <c r="E1438" t="inlineStr">
        <is>
          <t>FLEET-06</t>
        </is>
      </c>
      <c r="F1438" s="17" t="n">
        <v>45785</v>
      </c>
      <c r="G1438" s="17" t="n">
        <v>45799</v>
      </c>
      <c r="H1438" s="18" t="n">
        <v>24</v>
      </c>
      <c r="I1438" s="19" t="n">
        <v>35.08</v>
      </c>
      <c r="J1438" s="19" t="n">
        <v>33</v>
      </c>
      <c r="K1438" s="20" t="n">
        <v>0</v>
      </c>
      <c r="L1438" s="20" t="n">
        <v>0</v>
      </c>
      <c r="M1438" s="18" t="n">
        <v>24</v>
      </c>
      <c r="N1438" s="18" t="n">
        <v>24</v>
      </c>
      <c r="O1438" s="18" t="n">
        <v>0</v>
      </c>
      <c r="P1438" s="17" t="n">
        <v>45798</v>
      </c>
      <c r="Q1438" s="17" t="n">
        <v>45798</v>
      </c>
      <c r="R1438" s="17" t="n">
        <v>45798</v>
      </c>
      <c r="S1438" s="19">
        <f>H1438*I1438</f>
        <v/>
      </c>
      <c r="T1438" s="19">
        <f>H1438*J1438</f>
        <v/>
      </c>
      <c r="U1438">
        <f>IF(AND(K1438=0,G1438&lt;=Assumptions!$C$6),1,0)</f>
        <v/>
      </c>
      <c r="V1438">
        <f>IF(U1438=1,IF(M1438&gt;0,IF(P1438&lt;=G1438+Assumptions!$C$7,1,0),0),0)</f>
        <v/>
      </c>
      <c r="W1438">
        <f>IF(AND(U1438=1,M1438&gt;=H1438*(1-Assumptions!$C$8)),1,0)</f>
        <v/>
      </c>
      <c r="X1438">
        <f>IF(AND(U1438=1,N1438&gt;=H1438*(1-Assumptions!$C$8)),1,0)</f>
        <v/>
      </c>
      <c r="Y1438">
        <f>IF(ISNUMBER(Q1438),1,0)</f>
        <v/>
      </c>
      <c r="Z1438">
        <f>IF(AND(K1438=0,L1438=0,Y1438=0),1,0)</f>
        <v/>
      </c>
      <c r="AA1438">
        <f>IF(AND(Z1438=1,G1438&lt;Assumptions!$C$6),1,0)</f>
        <v/>
      </c>
      <c r="AB1438">
        <f>IF(U1438=0,"",IF(Y1438=1,MAX(0,Q1438-G1438),IF(L1438=1,MAX(0,R1438-G1438),MAX(0,Assumptions!$C$6-G1438))))</f>
        <v/>
      </c>
      <c r="AC1438">
        <f>IF(Y1438=1,Q1438-F1438,"")</f>
        <v/>
      </c>
      <c r="AD1438">
        <f>IF(Y1438=1,AC1438^2,"")</f>
        <v/>
      </c>
      <c r="AE1438" s="19">
        <f>IF(Z1438=1,(H1438-M1438)*I1438,0)</f>
        <v/>
      </c>
      <c r="AF1438">
        <f>IF(G1438&lt;EDATE(Assumptions!$C$6,-12)+1,"prior_12m","last_12m")</f>
        <v/>
      </c>
      <c r="AG1438" s="21">
        <f>DATE(YEAR(G1438),MONTH(G1438),1)</f>
        <v/>
      </c>
    </row>
    <row r="1439">
      <c r="A1439" t="inlineStr">
        <is>
          <t>SPO-00783-1</t>
        </is>
      </c>
      <c r="B1439" t="inlineStr">
        <is>
          <t>SPO-00783</t>
        </is>
      </c>
      <c r="C1439" t="inlineStr">
        <is>
          <t>SUP-09</t>
        </is>
      </c>
      <c r="D1439" t="inlineStr">
        <is>
          <t>CHEM</t>
        </is>
      </c>
      <c r="E1439" t="inlineStr">
        <is>
          <t>CHEM-02</t>
        </is>
      </c>
      <c r="F1439" s="17" t="n">
        <v>45785</v>
      </c>
      <c r="G1439" s="17" t="n">
        <v>45799</v>
      </c>
      <c r="H1439" s="18" t="n">
        <v>2</v>
      </c>
      <c r="I1439" s="19" t="n">
        <v>426.84</v>
      </c>
      <c r="J1439" s="19" t="n">
        <v>410</v>
      </c>
      <c r="K1439" s="20" t="n">
        <v>0</v>
      </c>
      <c r="L1439" s="20" t="n">
        <v>0</v>
      </c>
      <c r="M1439" s="18" t="n">
        <v>2</v>
      </c>
      <c r="N1439" s="18" t="n">
        <v>2</v>
      </c>
      <c r="O1439" s="18" t="n">
        <v>0</v>
      </c>
      <c r="P1439" s="17" t="n">
        <v>45798</v>
      </c>
      <c r="Q1439" s="17" t="n">
        <v>45798</v>
      </c>
      <c r="R1439" s="17" t="n">
        <v>45798</v>
      </c>
      <c r="S1439" s="19">
        <f>H1439*I1439</f>
        <v/>
      </c>
      <c r="T1439" s="19">
        <f>H1439*J1439</f>
        <v/>
      </c>
      <c r="U1439">
        <f>IF(AND(K1439=0,G1439&lt;=Assumptions!$C$6),1,0)</f>
        <v/>
      </c>
      <c r="V1439">
        <f>IF(U1439=1,IF(M1439&gt;0,IF(P1439&lt;=G1439+Assumptions!$C$7,1,0),0),0)</f>
        <v/>
      </c>
      <c r="W1439">
        <f>IF(AND(U1439=1,M1439&gt;=H1439*(1-Assumptions!$C$8)),1,0)</f>
        <v/>
      </c>
      <c r="X1439">
        <f>IF(AND(U1439=1,N1439&gt;=H1439*(1-Assumptions!$C$8)),1,0)</f>
        <v/>
      </c>
      <c r="Y1439">
        <f>IF(ISNUMBER(Q1439),1,0)</f>
        <v/>
      </c>
      <c r="Z1439">
        <f>IF(AND(K1439=0,L1439=0,Y1439=0),1,0)</f>
        <v/>
      </c>
      <c r="AA1439">
        <f>IF(AND(Z1439=1,G1439&lt;Assumptions!$C$6),1,0)</f>
        <v/>
      </c>
      <c r="AB1439">
        <f>IF(U1439=0,"",IF(Y1439=1,MAX(0,Q1439-G1439),IF(L1439=1,MAX(0,R1439-G1439),MAX(0,Assumptions!$C$6-G1439))))</f>
        <v/>
      </c>
      <c r="AC1439">
        <f>IF(Y1439=1,Q1439-F1439,"")</f>
        <v/>
      </c>
      <c r="AD1439">
        <f>IF(Y1439=1,AC1439^2,"")</f>
        <v/>
      </c>
      <c r="AE1439" s="19">
        <f>IF(Z1439=1,(H1439-M1439)*I1439,0)</f>
        <v/>
      </c>
      <c r="AF1439">
        <f>IF(G1439&lt;EDATE(Assumptions!$C$6,-12)+1,"prior_12m","last_12m")</f>
        <v/>
      </c>
      <c r="AG1439" s="21">
        <f>DATE(YEAR(G1439),MONTH(G1439),1)</f>
        <v/>
      </c>
    </row>
    <row r="1440">
      <c r="A1440" t="inlineStr">
        <is>
          <t>SPO-00783-2</t>
        </is>
      </c>
      <c r="B1440" t="inlineStr">
        <is>
          <t>SPO-00783</t>
        </is>
      </c>
      <c r="C1440" t="inlineStr">
        <is>
          <t>SUP-09</t>
        </is>
      </c>
      <c r="D1440" t="inlineStr">
        <is>
          <t>CHEM</t>
        </is>
      </c>
      <c r="E1440" t="inlineStr">
        <is>
          <t>CHEM-06</t>
        </is>
      </c>
      <c r="F1440" s="17" t="n">
        <v>45785</v>
      </c>
      <c r="G1440" s="17" t="n">
        <v>45799</v>
      </c>
      <c r="H1440" s="18" t="n">
        <v>4</v>
      </c>
      <c r="I1440" s="19" t="n">
        <v>400.87</v>
      </c>
      <c r="J1440" s="19" t="n">
        <v>380</v>
      </c>
      <c r="K1440" s="20" t="n">
        <v>0</v>
      </c>
      <c r="L1440" s="20" t="n">
        <v>0</v>
      </c>
      <c r="M1440" s="18" t="n">
        <v>4</v>
      </c>
      <c r="N1440" s="18" t="n">
        <v>4</v>
      </c>
      <c r="O1440" s="18" t="n">
        <v>0</v>
      </c>
      <c r="P1440" s="17" t="n">
        <v>45795</v>
      </c>
      <c r="Q1440" s="17" t="n">
        <v>45795</v>
      </c>
      <c r="R1440" s="17" t="n">
        <v>45795</v>
      </c>
      <c r="S1440" s="19">
        <f>H1440*I1440</f>
        <v/>
      </c>
      <c r="T1440" s="19">
        <f>H1440*J1440</f>
        <v/>
      </c>
      <c r="U1440">
        <f>IF(AND(K1440=0,G1440&lt;=Assumptions!$C$6),1,0)</f>
        <v/>
      </c>
      <c r="V1440">
        <f>IF(U1440=1,IF(M1440&gt;0,IF(P1440&lt;=G1440+Assumptions!$C$7,1,0),0),0)</f>
        <v/>
      </c>
      <c r="W1440">
        <f>IF(AND(U1440=1,M1440&gt;=H1440*(1-Assumptions!$C$8)),1,0)</f>
        <v/>
      </c>
      <c r="X1440">
        <f>IF(AND(U1440=1,N1440&gt;=H1440*(1-Assumptions!$C$8)),1,0)</f>
        <v/>
      </c>
      <c r="Y1440">
        <f>IF(ISNUMBER(Q1440),1,0)</f>
        <v/>
      </c>
      <c r="Z1440">
        <f>IF(AND(K1440=0,L1440=0,Y1440=0),1,0)</f>
        <v/>
      </c>
      <c r="AA1440">
        <f>IF(AND(Z1440=1,G1440&lt;Assumptions!$C$6),1,0)</f>
        <v/>
      </c>
      <c r="AB1440">
        <f>IF(U1440=0,"",IF(Y1440=1,MAX(0,Q1440-G1440),IF(L1440=1,MAX(0,R1440-G1440),MAX(0,Assumptions!$C$6-G1440))))</f>
        <v/>
      </c>
      <c r="AC1440">
        <f>IF(Y1440=1,Q1440-F1440,"")</f>
        <v/>
      </c>
      <c r="AD1440">
        <f>IF(Y1440=1,AC1440^2,"")</f>
        <v/>
      </c>
      <c r="AE1440" s="19">
        <f>IF(Z1440=1,(H1440-M1440)*I1440,0)</f>
        <v/>
      </c>
      <c r="AF1440">
        <f>IF(G1440&lt;EDATE(Assumptions!$C$6,-12)+1,"prior_12m","last_12m")</f>
        <v/>
      </c>
      <c r="AG1440" s="21">
        <f>DATE(YEAR(G1440),MONTH(G1440),1)</f>
        <v/>
      </c>
    </row>
    <row r="1441">
      <c r="A1441" t="inlineStr">
        <is>
          <t>SPO-00784-1</t>
        </is>
      </c>
      <c r="B1441" t="inlineStr">
        <is>
          <t>SPO-00784</t>
        </is>
      </c>
      <c r="C1441" t="inlineStr">
        <is>
          <t>SUP-02</t>
        </is>
      </c>
      <c r="D1441" t="inlineStr">
        <is>
          <t>ELEC</t>
        </is>
      </c>
      <c r="E1441" t="inlineStr">
        <is>
          <t>ELEC-08</t>
        </is>
      </c>
      <c r="F1441" s="17" t="n">
        <v>45785</v>
      </c>
      <c r="G1441" s="17" t="n">
        <v>45801</v>
      </c>
      <c r="H1441" s="18" t="n">
        <v>45</v>
      </c>
      <c r="I1441" s="19" t="n">
        <v>17.97</v>
      </c>
      <c r="J1441" s="19" t="n">
        <v>18</v>
      </c>
      <c r="K1441" s="20" t="n">
        <v>0</v>
      </c>
      <c r="L1441" s="20" t="n">
        <v>0</v>
      </c>
      <c r="M1441" s="18" t="n">
        <v>45</v>
      </c>
      <c r="N1441" s="18" t="n">
        <v>45</v>
      </c>
      <c r="O1441" s="18" t="n">
        <v>0</v>
      </c>
      <c r="P1441" s="17" t="n">
        <v>45795</v>
      </c>
      <c r="Q1441" s="17" t="n">
        <v>45795</v>
      </c>
      <c r="R1441" s="17" t="n">
        <v>45795</v>
      </c>
      <c r="S1441" s="19">
        <f>H1441*I1441</f>
        <v/>
      </c>
      <c r="T1441" s="19">
        <f>H1441*J1441</f>
        <v/>
      </c>
      <c r="U1441">
        <f>IF(AND(K1441=0,G1441&lt;=Assumptions!$C$6),1,0)</f>
        <v/>
      </c>
      <c r="V1441">
        <f>IF(U1441=1,IF(M1441&gt;0,IF(P1441&lt;=G1441+Assumptions!$C$7,1,0),0),0)</f>
        <v/>
      </c>
      <c r="W1441">
        <f>IF(AND(U1441=1,M1441&gt;=H1441*(1-Assumptions!$C$8)),1,0)</f>
        <v/>
      </c>
      <c r="X1441">
        <f>IF(AND(U1441=1,N1441&gt;=H1441*(1-Assumptions!$C$8)),1,0)</f>
        <v/>
      </c>
      <c r="Y1441">
        <f>IF(ISNUMBER(Q1441),1,0)</f>
        <v/>
      </c>
      <c r="Z1441">
        <f>IF(AND(K1441=0,L1441=0,Y1441=0),1,0)</f>
        <v/>
      </c>
      <c r="AA1441">
        <f>IF(AND(Z1441=1,G1441&lt;Assumptions!$C$6),1,0)</f>
        <v/>
      </c>
      <c r="AB1441">
        <f>IF(U1441=0,"",IF(Y1441=1,MAX(0,Q1441-G1441),IF(L1441=1,MAX(0,R1441-G1441),MAX(0,Assumptions!$C$6-G1441))))</f>
        <v/>
      </c>
      <c r="AC1441">
        <f>IF(Y1441=1,Q1441-F1441,"")</f>
        <v/>
      </c>
      <c r="AD1441">
        <f>IF(Y1441=1,AC1441^2,"")</f>
        <v/>
      </c>
      <c r="AE1441" s="19">
        <f>IF(Z1441=1,(H1441-M1441)*I1441,0)</f>
        <v/>
      </c>
      <c r="AF1441">
        <f>IF(G1441&lt;EDATE(Assumptions!$C$6,-12)+1,"prior_12m","last_12m")</f>
        <v/>
      </c>
      <c r="AG1441" s="21">
        <f>DATE(YEAR(G1441),MONTH(G1441),1)</f>
        <v/>
      </c>
    </row>
    <row r="1442">
      <c r="A1442" t="inlineStr">
        <is>
          <t>SPO-00785-1</t>
        </is>
      </c>
      <c r="B1442" t="inlineStr">
        <is>
          <t>SPO-00785</t>
        </is>
      </c>
      <c r="C1442" t="inlineStr">
        <is>
          <t>SUP-06</t>
        </is>
      </c>
      <c r="D1442" t="inlineStr">
        <is>
          <t>MRO</t>
        </is>
      </c>
      <c r="E1442" t="inlineStr">
        <is>
          <t>MRO-06</t>
        </is>
      </c>
      <c r="F1442" s="17" t="n">
        <v>45785</v>
      </c>
      <c r="G1442" s="17" t="n">
        <v>45793</v>
      </c>
      <c r="H1442" s="18" t="n">
        <v>196</v>
      </c>
      <c r="I1442" s="19" t="n">
        <v>5.97</v>
      </c>
      <c r="J1442" s="19" t="n">
        <v>6.1</v>
      </c>
      <c r="K1442" s="20" t="n">
        <v>0</v>
      </c>
      <c r="L1442" s="20" t="n">
        <v>0</v>
      </c>
      <c r="M1442" s="18" t="n">
        <v>196</v>
      </c>
      <c r="N1442" s="18" t="n">
        <v>196</v>
      </c>
      <c r="O1442" s="18" t="n">
        <v>0</v>
      </c>
      <c r="P1442" s="17" t="n">
        <v>45791</v>
      </c>
      <c r="Q1442" s="17" t="n">
        <v>45791</v>
      </c>
      <c r="R1442" s="17" t="n">
        <v>45791</v>
      </c>
      <c r="S1442" s="19">
        <f>H1442*I1442</f>
        <v/>
      </c>
      <c r="T1442" s="19">
        <f>H1442*J1442</f>
        <v/>
      </c>
      <c r="U1442">
        <f>IF(AND(K1442=0,G1442&lt;=Assumptions!$C$6),1,0)</f>
        <v/>
      </c>
      <c r="V1442">
        <f>IF(U1442=1,IF(M1442&gt;0,IF(P1442&lt;=G1442+Assumptions!$C$7,1,0),0),0)</f>
        <v/>
      </c>
      <c r="W1442">
        <f>IF(AND(U1442=1,M1442&gt;=H1442*(1-Assumptions!$C$8)),1,0)</f>
        <v/>
      </c>
      <c r="X1442">
        <f>IF(AND(U1442=1,N1442&gt;=H1442*(1-Assumptions!$C$8)),1,0)</f>
        <v/>
      </c>
      <c r="Y1442">
        <f>IF(ISNUMBER(Q1442),1,0)</f>
        <v/>
      </c>
      <c r="Z1442">
        <f>IF(AND(K1442=0,L1442=0,Y1442=0),1,0)</f>
        <v/>
      </c>
      <c r="AA1442">
        <f>IF(AND(Z1442=1,G1442&lt;Assumptions!$C$6),1,0)</f>
        <v/>
      </c>
      <c r="AB1442">
        <f>IF(U1442=0,"",IF(Y1442=1,MAX(0,Q1442-G1442),IF(L1442=1,MAX(0,R1442-G1442),MAX(0,Assumptions!$C$6-G1442))))</f>
        <v/>
      </c>
      <c r="AC1442">
        <f>IF(Y1442=1,Q1442-F1442,"")</f>
        <v/>
      </c>
      <c r="AD1442">
        <f>IF(Y1442=1,AC1442^2,"")</f>
        <v/>
      </c>
      <c r="AE1442" s="19">
        <f>IF(Z1442=1,(H1442-M1442)*I1442,0)</f>
        <v/>
      </c>
      <c r="AF1442">
        <f>IF(G1442&lt;EDATE(Assumptions!$C$6,-12)+1,"prior_12m","last_12m")</f>
        <v/>
      </c>
      <c r="AG1442" s="21">
        <f>DATE(YEAR(G1442),MONTH(G1442),1)</f>
        <v/>
      </c>
    </row>
    <row r="1443">
      <c r="A1443" t="inlineStr">
        <is>
          <t>SPO-00786-1</t>
        </is>
      </c>
      <c r="B1443" t="inlineStr">
        <is>
          <t>SPO-00786</t>
        </is>
      </c>
      <c r="C1443" t="inlineStr">
        <is>
          <t>SUP-02</t>
        </is>
      </c>
      <c r="D1443" t="inlineStr">
        <is>
          <t>ELEC</t>
        </is>
      </c>
      <c r="E1443" t="inlineStr">
        <is>
          <t>ELEC-08</t>
        </is>
      </c>
      <c r="F1443" s="17" t="n">
        <v>45786</v>
      </c>
      <c r="G1443" s="17" t="n">
        <v>45802</v>
      </c>
      <c r="H1443" s="18" t="n">
        <v>97</v>
      </c>
      <c r="I1443" s="19" t="n">
        <v>18.04</v>
      </c>
      <c r="J1443" s="19" t="n">
        <v>18</v>
      </c>
      <c r="K1443" s="20" t="n">
        <v>0</v>
      </c>
      <c r="L1443" s="20" t="n">
        <v>0</v>
      </c>
      <c r="M1443" s="18" t="n">
        <v>97</v>
      </c>
      <c r="N1443" s="18" t="n">
        <v>97</v>
      </c>
      <c r="O1443" s="18" t="n">
        <v>0</v>
      </c>
      <c r="P1443" s="17" t="n">
        <v>45801</v>
      </c>
      <c r="Q1443" s="17" t="n">
        <v>45801</v>
      </c>
      <c r="R1443" s="17" t="n">
        <v>45801</v>
      </c>
      <c r="S1443" s="19">
        <f>H1443*I1443</f>
        <v/>
      </c>
      <c r="T1443" s="19">
        <f>H1443*J1443</f>
        <v/>
      </c>
      <c r="U1443">
        <f>IF(AND(K1443=0,G1443&lt;=Assumptions!$C$6),1,0)</f>
        <v/>
      </c>
      <c r="V1443">
        <f>IF(U1443=1,IF(M1443&gt;0,IF(P1443&lt;=G1443+Assumptions!$C$7,1,0),0),0)</f>
        <v/>
      </c>
      <c r="W1443">
        <f>IF(AND(U1443=1,M1443&gt;=H1443*(1-Assumptions!$C$8)),1,0)</f>
        <v/>
      </c>
      <c r="X1443">
        <f>IF(AND(U1443=1,N1443&gt;=H1443*(1-Assumptions!$C$8)),1,0)</f>
        <v/>
      </c>
      <c r="Y1443">
        <f>IF(ISNUMBER(Q1443),1,0)</f>
        <v/>
      </c>
      <c r="Z1443">
        <f>IF(AND(K1443=0,L1443=0,Y1443=0),1,0)</f>
        <v/>
      </c>
      <c r="AA1443">
        <f>IF(AND(Z1443=1,G1443&lt;Assumptions!$C$6),1,0)</f>
        <v/>
      </c>
      <c r="AB1443">
        <f>IF(U1443=0,"",IF(Y1443=1,MAX(0,Q1443-G1443),IF(L1443=1,MAX(0,R1443-G1443),MAX(0,Assumptions!$C$6-G1443))))</f>
        <v/>
      </c>
      <c r="AC1443">
        <f>IF(Y1443=1,Q1443-F1443,"")</f>
        <v/>
      </c>
      <c r="AD1443">
        <f>IF(Y1443=1,AC1443^2,"")</f>
        <v/>
      </c>
      <c r="AE1443" s="19">
        <f>IF(Z1443=1,(H1443-M1443)*I1443,0)</f>
        <v/>
      </c>
      <c r="AF1443">
        <f>IF(G1443&lt;EDATE(Assumptions!$C$6,-12)+1,"prior_12m","last_12m")</f>
        <v/>
      </c>
      <c r="AG1443" s="21">
        <f>DATE(YEAR(G1443),MONTH(G1443),1)</f>
        <v/>
      </c>
    </row>
    <row r="1444">
      <c r="A1444" t="inlineStr">
        <is>
          <t>SPO-00786-2</t>
        </is>
      </c>
      <c r="B1444" t="inlineStr">
        <is>
          <t>SPO-00786</t>
        </is>
      </c>
      <c r="C1444" t="inlineStr">
        <is>
          <t>SUP-02</t>
        </is>
      </c>
      <c r="D1444" t="inlineStr">
        <is>
          <t>ELEC</t>
        </is>
      </c>
      <c r="E1444" t="inlineStr">
        <is>
          <t>ELEC-02</t>
        </is>
      </c>
      <c r="F1444" s="17" t="n">
        <v>45786</v>
      </c>
      <c r="G1444" s="17" t="n">
        <v>45802</v>
      </c>
      <c r="H1444" s="18" t="n">
        <v>197</v>
      </c>
      <c r="I1444" s="19" t="n">
        <v>4.31</v>
      </c>
      <c r="J1444" s="19" t="n">
        <v>4.2</v>
      </c>
      <c r="K1444" s="20" t="n">
        <v>0</v>
      </c>
      <c r="L1444" s="20" t="n">
        <v>0</v>
      </c>
      <c r="M1444" s="18" t="n">
        <v>197</v>
      </c>
      <c r="N1444" s="18" t="n">
        <v>197</v>
      </c>
      <c r="O1444" s="18" t="n">
        <v>0</v>
      </c>
      <c r="P1444" s="17" t="n">
        <v>45796</v>
      </c>
      <c r="Q1444" s="17" t="n">
        <v>45796</v>
      </c>
      <c r="R1444" s="17" t="n">
        <v>45796</v>
      </c>
      <c r="S1444" s="19">
        <f>H1444*I1444</f>
        <v/>
      </c>
      <c r="T1444" s="19">
        <f>H1444*J1444</f>
        <v/>
      </c>
      <c r="U1444">
        <f>IF(AND(K1444=0,G1444&lt;=Assumptions!$C$6),1,0)</f>
        <v/>
      </c>
      <c r="V1444">
        <f>IF(U1444=1,IF(M1444&gt;0,IF(P1444&lt;=G1444+Assumptions!$C$7,1,0),0),0)</f>
        <v/>
      </c>
      <c r="W1444">
        <f>IF(AND(U1444=1,M1444&gt;=H1444*(1-Assumptions!$C$8)),1,0)</f>
        <v/>
      </c>
      <c r="X1444">
        <f>IF(AND(U1444=1,N1444&gt;=H1444*(1-Assumptions!$C$8)),1,0)</f>
        <v/>
      </c>
      <c r="Y1444">
        <f>IF(ISNUMBER(Q1444),1,0)</f>
        <v/>
      </c>
      <c r="Z1444">
        <f>IF(AND(K1444=0,L1444=0,Y1444=0),1,0)</f>
        <v/>
      </c>
      <c r="AA1444">
        <f>IF(AND(Z1444=1,G1444&lt;Assumptions!$C$6),1,0)</f>
        <v/>
      </c>
      <c r="AB1444">
        <f>IF(U1444=0,"",IF(Y1444=1,MAX(0,Q1444-G1444),IF(L1444=1,MAX(0,R1444-G1444),MAX(0,Assumptions!$C$6-G1444))))</f>
        <v/>
      </c>
      <c r="AC1444">
        <f>IF(Y1444=1,Q1444-F1444,"")</f>
        <v/>
      </c>
      <c r="AD1444">
        <f>IF(Y1444=1,AC1444^2,"")</f>
        <v/>
      </c>
      <c r="AE1444" s="19">
        <f>IF(Z1444=1,(H1444-M1444)*I1444,0)</f>
        <v/>
      </c>
      <c r="AF1444">
        <f>IF(G1444&lt;EDATE(Assumptions!$C$6,-12)+1,"prior_12m","last_12m")</f>
        <v/>
      </c>
      <c r="AG1444" s="21">
        <f>DATE(YEAR(G1444),MONTH(G1444),1)</f>
        <v/>
      </c>
    </row>
    <row r="1445">
      <c r="A1445" t="inlineStr">
        <is>
          <t>SPO-00787-1</t>
        </is>
      </c>
      <c r="B1445" t="inlineStr">
        <is>
          <t>SPO-00787</t>
        </is>
      </c>
      <c r="C1445" t="inlineStr">
        <is>
          <t>SUP-01</t>
        </is>
      </c>
      <c r="D1445" t="inlineStr">
        <is>
          <t>ELEC</t>
        </is>
      </c>
      <c r="E1445" t="inlineStr">
        <is>
          <t>ELEC-05</t>
        </is>
      </c>
      <c r="F1445" s="17" t="n">
        <v>45786</v>
      </c>
      <c r="G1445" s="17" t="n">
        <v>45804</v>
      </c>
      <c r="H1445" s="18" t="n">
        <v>237</v>
      </c>
      <c r="I1445" s="19" t="n">
        <v>11.21</v>
      </c>
      <c r="J1445" s="19" t="n">
        <v>11.5</v>
      </c>
      <c r="K1445" s="20" t="n">
        <v>0</v>
      </c>
      <c r="L1445" s="20" t="n">
        <v>0</v>
      </c>
      <c r="M1445" s="18" t="n">
        <v>237</v>
      </c>
      <c r="N1445" s="18" t="n">
        <v>237</v>
      </c>
      <c r="O1445" s="18" t="n">
        <v>0</v>
      </c>
      <c r="P1445" s="17" t="n">
        <v>45800</v>
      </c>
      <c r="Q1445" s="17" t="n">
        <v>45800</v>
      </c>
      <c r="R1445" s="17" t="n">
        <v>45800</v>
      </c>
      <c r="S1445" s="19">
        <f>H1445*I1445</f>
        <v/>
      </c>
      <c r="T1445" s="19">
        <f>H1445*J1445</f>
        <v/>
      </c>
      <c r="U1445">
        <f>IF(AND(K1445=0,G1445&lt;=Assumptions!$C$6),1,0)</f>
        <v/>
      </c>
      <c r="V1445">
        <f>IF(U1445=1,IF(M1445&gt;0,IF(P1445&lt;=G1445+Assumptions!$C$7,1,0),0),0)</f>
        <v/>
      </c>
      <c r="W1445">
        <f>IF(AND(U1445=1,M1445&gt;=H1445*(1-Assumptions!$C$8)),1,0)</f>
        <v/>
      </c>
      <c r="X1445">
        <f>IF(AND(U1445=1,N1445&gt;=H1445*(1-Assumptions!$C$8)),1,0)</f>
        <v/>
      </c>
      <c r="Y1445">
        <f>IF(ISNUMBER(Q1445),1,0)</f>
        <v/>
      </c>
      <c r="Z1445">
        <f>IF(AND(K1445=0,L1445=0,Y1445=0),1,0)</f>
        <v/>
      </c>
      <c r="AA1445">
        <f>IF(AND(Z1445=1,G1445&lt;Assumptions!$C$6),1,0)</f>
        <v/>
      </c>
      <c r="AB1445">
        <f>IF(U1445=0,"",IF(Y1445=1,MAX(0,Q1445-G1445),IF(L1445=1,MAX(0,R1445-G1445),MAX(0,Assumptions!$C$6-G1445))))</f>
        <v/>
      </c>
      <c r="AC1445">
        <f>IF(Y1445=1,Q1445-F1445,"")</f>
        <v/>
      </c>
      <c r="AD1445">
        <f>IF(Y1445=1,AC1445^2,"")</f>
        <v/>
      </c>
      <c r="AE1445" s="19">
        <f>IF(Z1445=1,(H1445-M1445)*I1445,0)</f>
        <v/>
      </c>
      <c r="AF1445">
        <f>IF(G1445&lt;EDATE(Assumptions!$C$6,-12)+1,"prior_12m","last_12m")</f>
        <v/>
      </c>
      <c r="AG1445" s="21">
        <f>DATE(YEAR(G1445),MONTH(G1445),1)</f>
        <v/>
      </c>
    </row>
    <row r="1446">
      <c r="A1446" t="inlineStr">
        <is>
          <t>SPO-00787-2</t>
        </is>
      </c>
      <c r="B1446" t="inlineStr">
        <is>
          <t>SPO-00787</t>
        </is>
      </c>
      <c r="C1446" t="inlineStr">
        <is>
          <t>SUP-01</t>
        </is>
      </c>
      <c r="D1446" t="inlineStr">
        <is>
          <t>ELEC</t>
        </is>
      </c>
      <c r="E1446" t="inlineStr">
        <is>
          <t>ELEC-02</t>
        </is>
      </c>
      <c r="F1446" s="17" t="n">
        <v>45786</v>
      </c>
      <c r="G1446" s="17" t="n">
        <v>45804</v>
      </c>
      <c r="H1446" s="18" t="n">
        <v>811</v>
      </c>
      <c r="I1446" s="19" t="n">
        <v>4.34</v>
      </c>
      <c r="J1446" s="19" t="n">
        <v>4.2</v>
      </c>
      <c r="K1446" s="20" t="n">
        <v>0</v>
      </c>
      <c r="L1446" s="20" t="n">
        <v>0</v>
      </c>
      <c r="M1446" s="18" t="n">
        <v>811</v>
      </c>
      <c r="N1446" s="18" t="n">
        <v>811</v>
      </c>
      <c r="O1446" s="18" t="n">
        <v>0</v>
      </c>
      <c r="P1446" s="17" t="n">
        <v>45801</v>
      </c>
      <c r="Q1446" s="17" t="n">
        <v>45801</v>
      </c>
      <c r="R1446" s="17" t="n">
        <v>45801</v>
      </c>
      <c r="S1446" s="19">
        <f>H1446*I1446</f>
        <v/>
      </c>
      <c r="T1446" s="19">
        <f>H1446*J1446</f>
        <v/>
      </c>
      <c r="U1446">
        <f>IF(AND(K1446=0,G1446&lt;=Assumptions!$C$6),1,0)</f>
        <v/>
      </c>
      <c r="V1446">
        <f>IF(U1446=1,IF(M1446&gt;0,IF(P1446&lt;=G1446+Assumptions!$C$7,1,0),0),0)</f>
        <v/>
      </c>
      <c r="W1446">
        <f>IF(AND(U1446=1,M1446&gt;=H1446*(1-Assumptions!$C$8)),1,0)</f>
        <v/>
      </c>
      <c r="X1446">
        <f>IF(AND(U1446=1,N1446&gt;=H1446*(1-Assumptions!$C$8)),1,0)</f>
        <v/>
      </c>
      <c r="Y1446">
        <f>IF(ISNUMBER(Q1446),1,0)</f>
        <v/>
      </c>
      <c r="Z1446">
        <f>IF(AND(K1446=0,L1446=0,Y1446=0),1,0)</f>
        <v/>
      </c>
      <c r="AA1446">
        <f>IF(AND(Z1446=1,G1446&lt;Assumptions!$C$6),1,0)</f>
        <v/>
      </c>
      <c r="AB1446">
        <f>IF(U1446=0,"",IF(Y1446=1,MAX(0,Q1446-G1446),IF(L1446=1,MAX(0,R1446-G1446),MAX(0,Assumptions!$C$6-G1446))))</f>
        <v/>
      </c>
      <c r="AC1446">
        <f>IF(Y1446=1,Q1446-F1446,"")</f>
        <v/>
      </c>
      <c r="AD1446">
        <f>IF(Y1446=1,AC1446^2,"")</f>
        <v/>
      </c>
      <c r="AE1446" s="19">
        <f>IF(Z1446=1,(H1446-M1446)*I1446,0)</f>
        <v/>
      </c>
      <c r="AF1446">
        <f>IF(G1446&lt;EDATE(Assumptions!$C$6,-12)+1,"prior_12m","last_12m")</f>
        <v/>
      </c>
      <c r="AG1446" s="21">
        <f>DATE(YEAR(G1446),MONTH(G1446),1)</f>
        <v/>
      </c>
    </row>
    <row r="1447">
      <c r="A1447" t="inlineStr">
        <is>
          <t>SPO-00787-3</t>
        </is>
      </c>
      <c r="B1447" t="inlineStr">
        <is>
          <t>SPO-00787</t>
        </is>
      </c>
      <c r="C1447" t="inlineStr">
        <is>
          <t>SUP-01</t>
        </is>
      </c>
      <c r="D1447" t="inlineStr">
        <is>
          <t>ELEC</t>
        </is>
      </c>
      <c r="E1447" t="inlineStr">
        <is>
          <t>ELEC-01</t>
        </is>
      </c>
      <c r="F1447" s="17" t="n">
        <v>45786</v>
      </c>
      <c r="G1447" s="17" t="n">
        <v>45804</v>
      </c>
      <c r="H1447" s="18" t="n">
        <v>35</v>
      </c>
      <c r="I1447" s="19" t="n">
        <v>37.29</v>
      </c>
      <c r="J1447" s="19" t="n">
        <v>38</v>
      </c>
      <c r="K1447" s="20" t="n">
        <v>0</v>
      </c>
      <c r="L1447" s="20" t="n">
        <v>0</v>
      </c>
      <c r="M1447" s="18" t="n">
        <v>35</v>
      </c>
      <c r="N1447" s="18" t="n">
        <v>35</v>
      </c>
      <c r="O1447" s="18" t="n">
        <v>0</v>
      </c>
      <c r="P1447" s="17" t="n">
        <v>45798</v>
      </c>
      <c r="Q1447" s="17" t="n">
        <v>45798</v>
      </c>
      <c r="R1447" s="17" t="n">
        <v>45798</v>
      </c>
      <c r="S1447" s="19">
        <f>H1447*I1447</f>
        <v/>
      </c>
      <c r="T1447" s="19">
        <f>H1447*J1447</f>
        <v/>
      </c>
      <c r="U1447">
        <f>IF(AND(K1447=0,G1447&lt;=Assumptions!$C$6),1,0)</f>
        <v/>
      </c>
      <c r="V1447">
        <f>IF(U1447=1,IF(M1447&gt;0,IF(P1447&lt;=G1447+Assumptions!$C$7,1,0),0),0)</f>
        <v/>
      </c>
      <c r="W1447">
        <f>IF(AND(U1447=1,M1447&gt;=H1447*(1-Assumptions!$C$8)),1,0)</f>
        <v/>
      </c>
      <c r="X1447">
        <f>IF(AND(U1447=1,N1447&gt;=H1447*(1-Assumptions!$C$8)),1,0)</f>
        <v/>
      </c>
      <c r="Y1447">
        <f>IF(ISNUMBER(Q1447),1,0)</f>
        <v/>
      </c>
      <c r="Z1447">
        <f>IF(AND(K1447=0,L1447=0,Y1447=0),1,0)</f>
        <v/>
      </c>
      <c r="AA1447">
        <f>IF(AND(Z1447=1,G1447&lt;Assumptions!$C$6),1,0)</f>
        <v/>
      </c>
      <c r="AB1447">
        <f>IF(U1447=0,"",IF(Y1447=1,MAX(0,Q1447-G1447),IF(L1447=1,MAX(0,R1447-G1447),MAX(0,Assumptions!$C$6-G1447))))</f>
        <v/>
      </c>
      <c r="AC1447">
        <f>IF(Y1447=1,Q1447-F1447,"")</f>
        <v/>
      </c>
      <c r="AD1447">
        <f>IF(Y1447=1,AC1447^2,"")</f>
        <v/>
      </c>
      <c r="AE1447" s="19">
        <f>IF(Z1447=1,(H1447-M1447)*I1447,0)</f>
        <v/>
      </c>
      <c r="AF1447">
        <f>IF(G1447&lt;EDATE(Assumptions!$C$6,-12)+1,"prior_12m","last_12m")</f>
        <v/>
      </c>
      <c r="AG1447" s="21">
        <f>DATE(YEAR(G1447),MONTH(G1447),1)</f>
        <v/>
      </c>
    </row>
    <row r="1448">
      <c r="A1448" t="inlineStr">
        <is>
          <t>SPO-00788-1</t>
        </is>
      </c>
      <c r="B1448" t="inlineStr">
        <is>
          <t>SPO-00788</t>
        </is>
      </c>
      <c r="C1448" t="inlineStr">
        <is>
          <t>SUP-05</t>
        </is>
      </c>
      <c r="D1448" t="inlineStr">
        <is>
          <t>FLEET</t>
        </is>
      </c>
      <c r="E1448" t="inlineStr">
        <is>
          <t>FLEET-01</t>
        </is>
      </c>
      <c r="F1448" s="17" t="n">
        <v>45786</v>
      </c>
      <c r="G1448" s="17" t="n">
        <v>45800</v>
      </c>
      <c r="H1448" s="18" t="n">
        <v>29</v>
      </c>
      <c r="I1448" s="19" t="n">
        <v>64.84999999999999</v>
      </c>
      <c r="J1448" s="19" t="n">
        <v>64</v>
      </c>
      <c r="K1448" s="20" t="n">
        <v>0</v>
      </c>
      <c r="L1448" s="20" t="n">
        <v>0</v>
      </c>
      <c r="M1448" s="18" t="n">
        <v>29</v>
      </c>
      <c r="N1448" s="18" t="n">
        <v>29</v>
      </c>
      <c r="O1448" s="18" t="n">
        <v>0</v>
      </c>
      <c r="P1448" s="17" t="n">
        <v>45795</v>
      </c>
      <c r="Q1448" s="17" t="n">
        <v>45795</v>
      </c>
      <c r="R1448" s="17" t="n">
        <v>45795</v>
      </c>
      <c r="S1448" s="19">
        <f>H1448*I1448</f>
        <v/>
      </c>
      <c r="T1448" s="19">
        <f>H1448*J1448</f>
        <v/>
      </c>
      <c r="U1448">
        <f>IF(AND(K1448=0,G1448&lt;=Assumptions!$C$6),1,0)</f>
        <v/>
      </c>
      <c r="V1448">
        <f>IF(U1448=1,IF(M1448&gt;0,IF(P1448&lt;=G1448+Assumptions!$C$7,1,0),0),0)</f>
        <v/>
      </c>
      <c r="W1448">
        <f>IF(AND(U1448=1,M1448&gt;=H1448*(1-Assumptions!$C$8)),1,0)</f>
        <v/>
      </c>
      <c r="X1448">
        <f>IF(AND(U1448=1,N1448&gt;=H1448*(1-Assumptions!$C$8)),1,0)</f>
        <v/>
      </c>
      <c r="Y1448">
        <f>IF(ISNUMBER(Q1448),1,0)</f>
        <v/>
      </c>
      <c r="Z1448">
        <f>IF(AND(K1448=0,L1448=0,Y1448=0),1,0)</f>
        <v/>
      </c>
      <c r="AA1448">
        <f>IF(AND(Z1448=1,G1448&lt;Assumptions!$C$6),1,0)</f>
        <v/>
      </c>
      <c r="AB1448">
        <f>IF(U1448=0,"",IF(Y1448=1,MAX(0,Q1448-G1448),IF(L1448=1,MAX(0,R1448-G1448),MAX(0,Assumptions!$C$6-G1448))))</f>
        <v/>
      </c>
      <c r="AC1448">
        <f>IF(Y1448=1,Q1448-F1448,"")</f>
        <v/>
      </c>
      <c r="AD1448">
        <f>IF(Y1448=1,AC1448^2,"")</f>
        <v/>
      </c>
      <c r="AE1448" s="19">
        <f>IF(Z1448=1,(H1448-M1448)*I1448,0)</f>
        <v/>
      </c>
      <c r="AF1448">
        <f>IF(G1448&lt;EDATE(Assumptions!$C$6,-12)+1,"prior_12m","last_12m")</f>
        <v/>
      </c>
      <c r="AG1448" s="21">
        <f>DATE(YEAR(G1448),MONTH(G1448),1)</f>
        <v/>
      </c>
    </row>
    <row r="1449">
      <c r="A1449" t="inlineStr">
        <is>
          <t>SPO-00788-2</t>
        </is>
      </c>
      <c r="B1449" t="inlineStr">
        <is>
          <t>SPO-00788</t>
        </is>
      </c>
      <c r="C1449" t="inlineStr">
        <is>
          <t>SUP-05</t>
        </is>
      </c>
      <c r="D1449" t="inlineStr">
        <is>
          <t>FLEET</t>
        </is>
      </c>
      <c r="E1449" t="inlineStr">
        <is>
          <t>FLEET-02</t>
        </is>
      </c>
      <c r="F1449" s="17" t="n">
        <v>45786</v>
      </c>
      <c r="G1449" s="17" t="n">
        <v>45800</v>
      </c>
      <c r="H1449" s="18" t="n">
        <v>284</v>
      </c>
      <c r="I1449" s="19" t="n">
        <v>7.57</v>
      </c>
      <c r="J1449" s="19" t="n">
        <v>7.5</v>
      </c>
      <c r="K1449" s="20" t="n">
        <v>0</v>
      </c>
      <c r="L1449" s="20" t="n">
        <v>0</v>
      </c>
      <c r="M1449" s="18" t="n">
        <v>284</v>
      </c>
      <c r="N1449" s="18" t="n">
        <v>284</v>
      </c>
      <c r="O1449" s="18" t="n">
        <v>0</v>
      </c>
      <c r="P1449" s="17" t="n">
        <v>45799</v>
      </c>
      <c r="Q1449" s="17" t="n">
        <v>45799</v>
      </c>
      <c r="R1449" s="17" t="n">
        <v>45799</v>
      </c>
      <c r="S1449" s="19">
        <f>H1449*I1449</f>
        <v/>
      </c>
      <c r="T1449" s="19">
        <f>H1449*J1449</f>
        <v/>
      </c>
      <c r="U1449">
        <f>IF(AND(K1449=0,G1449&lt;=Assumptions!$C$6),1,0)</f>
        <v/>
      </c>
      <c r="V1449">
        <f>IF(U1449=1,IF(M1449&gt;0,IF(P1449&lt;=G1449+Assumptions!$C$7,1,0),0),0)</f>
        <v/>
      </c>
      <c r="W1449">
        <f>IF(AND(U1449=1,M1449&gt;=H1449*(1-Assumptions!$C$8)),1,0)</f>
        <v/>
      </c>
      <c r="X1449">
        <f>IF(AND(U1449=1,N1449&gt;=H1449*(1-Assumptions!$C$8)),1,0)</f>
        <v/>
      </c>
      <c r="Y1449">
        <f>IF(ISNUMBER(Q1449),1,0)</f>
        <v/>
      </c>
      <c r="Z1449">
        <f>IF(AND(K1449=0,L1449=0,Y1449=0),1,0)</f>
        <v/>
      </c>
      <c r="AA1449">
        <f>IF(AND(Z1449=1,G1449&lt;Assumptions!$C$6),1,0)</f>
        <v/>
      </c>
      <c r="AB1449">
        <f>IF(U1449=0,"",IF(Y1449=1,MAX(0,Q1449-G1449),IF(L1449=1,MAX(0,R1449-G1449),MAX(0,Assumptions!$C$6-G1449))))</f>
        <v/>
      </c>
      <c r="AC1449">
        <f>IF(Y1449=1,Q1449-F1449,"")</f>
        <v/>
      </c>
      <c r="AD1449">
        <f>IF(Y1449=1,AC1449^2,"")</f>
        <v/>
      </c>
      <c r="AE1449" s="19">
        <f>IF(Z1449=1,(H1449-M1449)*I1449,0)</f>
        <v/>
      </c>
      <c r="AF1449">
        <f>IF(G1449&lt;EDATE(Assumptions!$C$6,-12)+1,"prior_12m","last_12m")</f>
        <v/>
      </c>
      <c r="AG1449" s="21">
        <f>DATE(YEAR(G1449),MONTH(G1449),1)</f>
        <v/>
      </c>
    </row>
    <row r="1450">
      <c r="A1450" t="inlineStr">
        <is>
          <t>SPO-00788-3</t>
        </is>
      </c>
      <c r="B1450" t="inlineStr">
        <is>
          <t>SPO-00788</t>
        </is>
      </c>
      <c r="C1450" t="inlineStr">
        <is>
          <t>SUP-05</t>
        </is>
      </c>
      <c r="D1450" t="inlineStr">
        <is>
          <t>FLEET</t>
        </is>
      </c>
      <c r="E1450" t="inlineStr">
        <is>
          <t>FLEET-06</t>
        </is>
      </c>
      <c r="F1450" s="17" t="n">
        <v>45786</v>
      </c>
      <c r="G1450" s="17" t="n">
        <v>45800</v>
      </c>
      <c r="H1450" s="18" t="n">
        <v>62</v>
      </c>
      <c r="I1450" s="19" t="n">
        <v>33.61</v>
      </c>
      <c r="J1450" s="19" t="n">
        <v>33</v>
      </c>
      <c r="K1450" s="20" t="n">
        <v>0</v>
      </c>
      <c r="L1450" s="20" t="n">
        <v>0</v>
      </c>
      <c r="M1450" s="18" t="n">
        <v>62</v>
      </c>
      <c r="N1450" s="18" t="n">
        <v>62</v>
      </c>
      <c r="O1450" s="18" t="n">
        <v>0</v>
      </c>
      <c r="P1450" s="17" t="n">
        <v>45796</v>
      </c>
      <c r="Q1450" s="17" t="n">
        <v>45796</v>
      </c>
      <c r="R1450" s="17" t="n">
        <v>45796</v>
      </c>
      <c r="S1450" s="19">
        <f>H1450*I1450</f>
        <v/>
      </c>
      <c r="T1450" s="19">
        <f>H1450*J1450</f>
        <v/>
      </c>
      <c r="U1450">
        <f>IF(AND(K1450=0,G1450&lt;=Assumptions!$C$6),1,0)</f>
        <v/>
      </c>
      <c r="V1450">
        <f>IF(U1450=1,IF(M1450&gt;0,IF(P1450&lt;=G1450+Assumptions!$C$7,1,0),0),0)</f>
        <v/>
      </c>
      <c r="W1450">
        <f>IF(AND(U1450=1,M1450&gt;=H1450*(1-Assumptions!$C$8)),1,0)</f>
        <v/>
      </c>
      <c r="X1450">
        <f>IF(AND(U1450=1,N1450&gt;=H1450*(1-Assumptions!$C$8)),1,0)</f>
        <v/>
      </c>
      <c r="Y1450">
        <f>IF(ISNUMBER(Q1450),1,0)</f>
        <v/>
      </c>
      <c r="Z1450">
        <f>IF(AND(K1450=0,L1450=0,Y1450=0),1,0)</f>
        <v/>
      </c>
      <c r="AA1450">
        <f>IF(AND(Z1450=1,G1450&lt;Assumptions!$C$6),1,0)</f>
        <v/>
      </c>
      <c r="AB1450">
        <f>IF(U1450=0,"",IF(Y1450=1,MAX(0,Q1450-G1450),IF(L1450=1,MAX(0,R1450-G1450),MAX(0,Assumptions!$C$6-G1450))))</f>
        <v/>
      </c>
      <c r="AC1450">
        <f>IF(Y1450=1,Q1450-F1450,"")</f>
        <v/>
      </c>
      <c r="AD1450">
        <f>IF(Y1450=1,AC1450^2,"")</f>
        <v/>
      </c>
      <c r="AE1450" s="19">
        <f>IF(Z1450=1,(H1450-M1450)*I1450,0)</f>
        <v/>
      </c>
      <c r="AF1450">
        <f>IF(G1450&lt;EDATE(Assumptions!$C$6,-12)+1,"prior_12m","last_12m")</f>
        <v/>
      </c>
      <c r="AG1450" s="21">
        <f>DATE(YEAR(G1450),MONTH(G1450),1)</f>
        <v/>
      </c>
    </row>
    <row r="1451">
      <c r="A1451" t="inlineStr">
        <is>
          <t>SPO-00788-4</t>
        </is>
      </c>
      <c r="B1451" t="inlineStr">
        <is>
          <t>SPO-00788</t>
        </is>
      </c>
      <c r="C1451" t="inlineStr">
        <is>
          <t>SUP-05</t>
        </is>
      </c>
      <c r="D1451" t="inlineStr">
        <is>
          <t>FLEET</t>
        </is>
      </c>
      <c r="E1451" t="inlineStr">
        <is>
          <t>FLEET-04</t>
        </is>
      </c>
      <c r="F1451" s="17" t="n">
        <v>45786</v>
      </c>
      <c r="G1451" s="17" t="n">
        <v>45800</v>
      </c>
      <c r="H1451" s="18" t="n">
        <v>92</v>
      </c>
      <c r="I1451" s="19" t="n">
        <v>9.359999999999999</v>
      </c>
      <c r="J1451" s="19" t="n">
        <v>9</v>
      </c>
      <c r="K1451" s="20" t="n">
        <v>0</v>
      </c>
      <c r="L1451" s="20" t="n">
        <v>0</v>
      </c>
      <c r="M1451" s="18" t="n">
        <v>92</v>
      </c>
      <c r="N1451" s="18" t="n">
        <v>92</v>
      </c>
      <c r="O1451" s="18" t="n">
        <v>0</v>
      </c>
      <c r="P1451" s="17" t="n">
        <v>45797</v>
      </c>
      <c r="Q1451" s="17" t="n">
        <v>45797</v>
      </c>
      <c r="R1451" s="17" t="n">
        <v>45797</v>
      </c>
      <c r="S1451" s="19">
        <f>H1451*I1451</f>
        <v/>
      </c>
      <c r="T1451" s="19">
        <f>H1451*J1451</f>
        <v/>
      </c>
      <c r="U1451">
        <f>IF(AND(K1451=0,G1451&lt;=Assumptions!$C$6),1,0)</f>
        <v/>
      </c>
      <c r="V1451">
        <f>IF(U1451=1,IF(M1451&gt;0,IF(P1451&lt;=G1451+Assumptions!$C$7,1,0),0),0)</f>
        <v/>
      </c>
      <c r="W1451">
        <f>IF(AND(U1451=1,M1451&gt;=H1451*(1-Assumptions!$C$8)),1,0)</f>
        <v/>
      </c>
      <c r="X1451">
        <f>IF(AND(U1451=1,N1451&gt;=H1451*(1-Assumptions!$C$8)),1,0)</f>
        <v/>
      </c>
      <c r="Y1451">
        <f>IF(ISNUMBER(Q1451),1,0)</f>
        <v/>
      </c>
      <c r="Z1451">
        <f>IF(AND(K1451=0,L1451=0,Y1451=0),1,0)</f>
        <v/>
      </c>
      <c r="AA1451">
        <f>IF(AND(Z1451=1,G1451&lt;Assumptions!$C$6),1,0)</f>
        <v/>
      </c>
      <c r="AB1451">
        <f>IF(U1451=0,"",IF(Y1451=1,MAX(0,Q1451-G1451),IF(L1451=1,MAX(0,R1451-G1451),MAX(0,Assumptions!$C$6-G1451))))</f>
        <v/>
      </c>
      <c r="AC1451">
        <f>IF(Y1451=1,Q1451-F1451,"")</f>
        <v/>
      </c>
      <c r="AD1451">
        <f>IF(Y1451=1,AC1451^2,"")</f>
        <v/>
      </c>
      <c r="AE1451" s="19">
        <f>IF(Z1451=1,(H1451-M1451)*I1451,0)</f>
        <v/>
      </c>
      <c r="AF1451">
        <f>IF(G1451&lt;EDATE(Assumptions!$C$6,-12)+1,"prior_12m","last_12m")</f>
        <v/>
      </c>
      <c r="AG1451" s="21">
        <f>DATE(YEAR(G1451),MONTH(G1451),1)</f>
        <v/>
      </c>
    </row>
    <row r="1452">
      <c r="A1452" t="inlineStr">
        <is>
          <t>SPO-00789-1</t>
        </is>
      </c>
      <c r="B1452" t="inlineStr">
        <is>
          <t>SPO-00789</t>
        </is>
      </c>
      <c r="C1452" t="inlineStr">
        <is>
          <t>SUP-12</t>
        </is>
      </c>
      <c r="D1452" t="inlineStr">
        <is>
          <t>IT</t>
        </is>
      </c>
      <c r="E1452" t="inlineStr">
        <is>
          <t>IT-02</t>
        </is>
      </c>
      <c r="F1452" s="17" t="n">
        <v>45787</v>
      </c>
      <c r="G1452" s="17" t="n">
        <v>45797</v>
      </c>
      <c r="H1452" s="18" t="n">
        <v>9</v>
      </c>
      <c r="I1452" s="19" t="n">
        <v>170.59</v>
      </c>
      <c r="J1452" s="19" t="n">
        <v>162</v>
      </c>
      <c r="K1452" s="20" t="n">
        <v>0</v>
      </c>
      <c r="L1452" s="20" t="n">
        <v>0</v>
      </c>
      <c r="M1452" s="18" t="n">
        <v>9</v>
      </c>
      <c r="N1452" s="18" t="n">
        <v>6</v>
      </c>
      <c r="O1452" s="18" t="n">
        <v>0</v>
      </c>
      <c r="P1452" s="17" t="n">
        <v>45793</v>
      </c>
      <c r="Q1452" s="17" t="n">
        <v>45806</v>
      </c>
      <c r="R1452" s="17" t="n">
        <v>45806</v>
      </c>
      <c r="S1452" s="19">
        <f>H1452*I1452</f>
        <v/>
      </c>
      <c r="T1452" s="19">
        <f>H1452*J1452</f>
        <v/>
      </c>
      <c r="U1452">
        <f>IF(AND(K1452=0,G1452&lt;=Assumptions!$C$6),1,0)</f>
        <v/>
      </c>
      <c r="V1452">
        <f>IF(U1452=1,IF(M1452&gt;0,IF(P1452&lt;=G1452+Assumptions!$C$7,1,0),0),0)</f>
        <v/>
      </c>
      <c r="W1452">
        <f>IF(AND(U1452=1,M1452&gt;=H1452*(1-Assumptions!$C$8)),1,0)</f>
        <v/>
      </c>
      <c r="X1452">
        <f>IF(AND(U1452=1,N1452&gt;=H1452*(1-Assumptions!$C$8)),1,0)</f>
        <v/>
      </c>
      <c r="Y1452">
        <f>IF(ISNUMBER(Q1452),1,0)</f>
        <v/>
      </c>
      <c r="Z1452">
        <f>IF(AND(K1452=0,L1452=0,Y1452=0),1,0)</f>
        <v/>
      </c>
      <c r="AA1452">
        <f>IF(AND(Z1452=1,G1452&lt;Assumptions!$C$6),1,0)</f>
        <v/>
      </c>
      <c r="AB1452">
        <f>IF(U1452=0,"",IF(Y1452=1,MAX(0,Q1452-G1452),IF(L1452=1,MAX(0,R1452-G1452),MAX(0,Assumptions!$C$6-G1452))))</f>
        <v/>
      </c>
      <c r="AC1452">
        <f>IF(Y1452=1,Q1452-F1452,"")</f>
        <v/>
      </c>
      <c r="AD1452">
        <f>IF(Y1452=1,AC1452^2,"")</f>
        <v/>
      </c>
      <c r="AE1452" s="19">
        <f>IF(Z1452=1,(H1452-M1452)*I1452,0)</f>
        <v/>
      </c>
      <c r="AF1452">
        <f>IF(G1452&lt;EDATE(Assumptions!$C$6,-12)+1,"prior_12m","last_12m")</f>
        <v/>
      </c>
      <c r="AG1452" s="21">
        <f>DATE(YEAR(G1452),MONTH(G1452),1)</f>
        <v/>
      </c>
    </row>
    <row r="1453">
      <c r="A1453" t="inlineStr">
        <is>
          <t>SPO-00790-1</t>
        </is>
      </c>
      <c r="B1453" t="inlineStr">
        <is>
          <t>SPO-00790</t>
        </is>
      </c>
      <c r="C1453" t="inlineStr">
        <is>
          <t>SUP-08</t>
        </is>
      </c>
      <c r="D1453" t="inlineStr">
        <is>
          <t>PPE</t>
        </is>
      </c>
      <c r="E1453" t="inlineStr">
        <is>
          <t>PPE-06</t>
        </is>
      </c>
      <c r="F1453" s="17" t="n">
        <v>45787</v>
      </c>
      <c r="G1453" s="17" t="n">
        <v>45798</v>
      </c>
      <c r="H1453" s="18" t="n">
        <v>11</v>
      </c>
      <c r="I1453" s="19" t="n">
        <v>120.93</v>
      </c>
      <c r="J1453" s="19" t="n">
        <v>115</v>
      </c>
      <c r="K1453" s="20" t="n">
        <v>0</v>
      </c>
      <c r="L1453" s="20" t="n">
        <v>0</v>
      </c>
      <c r="M1453" s="18" t="n">
        <v>11</v>
      </c>
      <c r="N1453" s="18" t="n">
        <v>11</v>
      </c>
      <c r="O1453" s="18" t="n">
        <v>0</v>
      </c>
      <c r="P1453" s="17" t="n">
        <v>45796</v>
      </c>
      <c r="Q1453" s="17" t="n">
        <v>45796</v>
      </c>
      <c r="R1453" s="17" t="n">
        <v>45796</v>
      </c>
      <c r="S1453" s="19">
        <f>H1453*I1453</f>
        <v/>
      </c>
      <c r="T1453" s="19">
        <f>H1453*J1453</f>
        <v/>
      </c>
      <c r="U1453">
        <f>IF(AND(K1453=0,G1453&lt;=Assumptions!$C$6),1,0)</f>
        <v/>
      </c>
      <c r="V1453">
        <f>IF(U1453=1,IF(M1453&gt;0,IF(P1453&lt;=G1453+Assumptions!$C$7,1,0),0),0)</f>
        <v/>
      </c>
      <c r="W1453">
        <f>IF(AND(U1453=1,M1453&gt;=H1453*(1-Assumptions!$C$8)),1,0)</f>
        <v/>
      </c>
      <c r="X1453">
        <f>IF(AND(U1453=1,N1453&gt;=H1453*(1-Assumptions!$C$8)),1,0)</f>
        <v/>
      </c>
      <c r="Y1453">
        <f>IF(ISNUMBER(Q1453),1,0)</f>
        <v/>
      </c>
      <c r="Z1453">
        <f>IF(AND(K1453=0,L1453=0,Y1453=0),1,0)</f>
        <v/>
      </c>
      <c r="AA1453">
        <f>IF(AND(Z1453=1,G1453&lt;Assumptions!$C$6),1,0)</f>
        <v/>
      </c>
      <c r="AB1453">
        <f>IF(U1453=0,"",IF(Y1453=1,MAX(0,Q1453-G1453),IF(L1453=1,MAX(0,R1453-G1453),MAX(0,Assumptions!$C$6-G1453))))</f>
        <v/>
      </c>
      <c r="AC1453">
        <f>IF(Y1453=1,Q1453-F1453,"")</f>
        <v/>
      </c>
      <c r="AD1453">
        <f>IF(Y1453=1,AC1453^2,"")</f>
        <v/>
      </c>
      <c r="AE1453" s="19">
        <f>IF(Z1453=1,(H1453-M1453)*I1453,0)</f>
        <v/>
      </c>
      <c r="AF1453">
        <f>IF(G1453&lt;EDATE(Assumptions!$C$6,-12)+1,"prior_12m","last_12m")</f>
        <v/>
      </c>
      <c r="AG1453" s="21">
        <f>DATE(YEAR(G1453),MONTH(G1453),1)</f>
        <v/>
      </c>
    </row>
    <row r="1454">
      <c r="A1454" t="inlineStr">
        <is>
          <t>SPO-00790-2</t>
        </is>
      </c>
      <c r="B1454" t="inlineStr">
        <is>
          <t>SPO-00790</t>
        </is>
      </c>
      <c r="C1454" t="inlineStr">
        <is>
          <t>SUP-08</t>
        </is>
      </c>
      <c r="D1454" t="inlineStr">
        <is>
          <t>PPE</t>
        </is>
      </c>
      <c r="E1454" t="inlineStr">
        <is>
          <t>PPE-03</t>
        </is>
      </c>
      <c r="F1454" s="17" t="n">
        <v>45787</v>
      </c>
      <c r="G1454" s="17" t="n">
        <v>45798</v>
      </c>
      <c r="H1454" s="18" t="n">
        <v>93</v>
      </c>
      <c r="I1454" s="19" t="n">
        <v>21.61</v>
      </c>
      <c r="J1454" s="19" t="n">
        <v>21</v>
      </c>
      <c r="K1454" s="20" t="n">
        <v>0</v>
      </c>
      <c r="L1454" s="20" t="n">
        <v>0</v>
      </c>
      <c r="M1454" s="18" t="n">
        <v>93</v>
      </c>
      <c r="N1454" s="18" t="n">
        <v>93</v>
      </c>
      <c r="O1454" s="18" t="n">
        <v>0</v>
      </c>
      <c r="P1454" s="17" t="n">
        <v>45793</v>
      </c>
      <c r="Q1454" s="17" t="n">
        <v>45793</v>
      </c>
      <c r="R1454" s="17" t="n">
        <v>45793</v>
      </c>
      <c r="S1454" s="19">
        <f>H1454*I1454</f>
        <v/>
      </c>
      <c r="T1454" s="19">
        <f>H1454*J1454</f>
        <v/>
      </c>
      <c r="U1454">
        <f>IF(AND(K1454=0,G1454&lt;=Assumptions!$C$6),1,0)</f>
        <v/>
      </c>
      <c r="V1454">
        <f>IF(U1454=1,IF(M1454&gt;0,IF(P1454&lt;=G1454+Assumptions!$C$7,1,0),0),0)</f>
        <v/>
      </c>
      <c r="W1454">
        <f>IF(AND(U1454=1,M1454&gt;=H1454*(1-Assumptions!$C$8)),1,0)</f>
        <v/>
      </c>
      <c r="X1454">
        <f>IF(AND(U1454=1,N1454&gt;=H1454*(1-Assumptions!$C$8)),1,0)</f>
        <v/>
      </c>
      <c r="Y1454">
        <f>IF(ISNUMBER(Q1454),1,0)</f>
        <v/>
      </c>
      <c r="Z1454">
        <f>IF(AND(K1454=0,L1454=0,Y1454=0),1,0)</f>
        <v/>
      </c>
      <c r="AA1454">
        <f>IF(AND(Z1454=1,G1454&lt;Assumptions!$C$6),1,0)</f>
        <v/>
      </c>
      <c r="AB1454">
        <f>IF(U1454=0,"",IF(Y1454=1,MAX(0,Q1454-G1454),IF(L1454=1,MAX(0,R1454-G1454),MAX(0,Assumptions!$C$6-G1454))))</f>
        <v/>
      </c>
      <c r="AC1454">
        <f>IF(Y1454=1,Q1454-F1454,"")</f>
        <v/>
      </c>
      <c r="AD1454">
        <f>IF(Y1454=1,AC1454^2,"")</f>
        <v/>
      </c>
      <c r="AE1454" s="19">
        <f>IF(Z1454=1,(H1454-M1454)*I1454,0)</f>
        <v/>
      </c>
      <c r="AF1454">
        <f>IF(G1454&lt;EDATE(Assumptions!$C$6,-12)+1,"prior_12m","last_12m")</f>
        <v/>
      </c>
      <c r="AG1454" s="21">
        <f>DATE(YEAR(G1454),MONTH(G1454),1)</f>
        <v/>
      </c>
    </row>
    <row r="1455">
      <c r="A1455" t="inlineStr">
        <is>
          <t>SPO-00790-3</t>
        </is>
      </c>
      <c r="B1455" t="inlineStr">
        <is>
          <t>SPO-00790</t>
        </is>
      </c>
      <c r="C1455" t="inlineStr">
        <is>
          <t>SUP-08</t>
        </is>
      </c>
      <c r="D1455" t="inlineStr">
        <is>
          <t>PPE</t>
        </is>
      </c>
      <c r="E1455" t="inlineStr">
        <is>
          <t>PPE-04</t>
        </is>
      </c>
      <c r="F1455" s="17" t="n">
        <v>45787</v>
      </c>
      <c r="G1455" s="17" t="n">
        <v>45798</v>
      </c>
      <c r="H1455" s="18" t="n">
        <v>68</v>
      </c>
      <c r="I1455" s="19" t="n">
        <v>26.66</v>
      </c>
      <c r="J1455" s="19" t="n">
        <v>26</v>
      </c>
      <c r="K1455" s="20" t="n">
        <v>0</v>
      </c>
      <c r="L1455" s="20" t="n">
        <v>0</v>
      </c>
      <c r="M1455" s="18" t="n">
        <v>68</v>
      </c>
      <c r="N1455" s="18" t="n">
        <v>68</v>
      </c>
      <c r="O1455" s="18" t="n">
        <v>0</v>
      </c>
      <c r="P1455" s="17" t="n">
        <v>45790</v>
      </c>
      <c r="Q1455" s="17" t="n">
        <v>45790</v>
      </c>
      <c r="R1455" s="17" t="n">
        <v>45790</v>
      </c>
      <c r="S1455" s="19">
        <f>H1455*I1455</f>
        <v/>
      </c>
      <c r="T1455" s="19">
        <f>H1455*J1455</f>
        <v/>
      </c>
      <c r="U1455">
        <f>IF(AND(K1455=0,G1455&lt;=Assumptions!$C$6),1,0)</f>
        <v/>
      </c>
      <c r="V1455">
        <f>IF(U1455=1,IF(M1455&gt;0,IF(P1455&lt;=G1455+Assumptions!$C$7,1,0),0),0)</f>
        <v/>
      </c>
      <c r="W1455">
        <f>IF(AND(U1455=1,M1455&gt;=H1455*(1-Assumptions!$C$8)),1,0)</f>
        <v/>
      </c>
      <c r="X1455">
        <f>IF(AND(U1455=1,N1455&gt;=H1455*(1-Assumptions!$C$8)),1,0)</f>
        <v/>
      </c>
      <c r="Y1455">
        <f>IF(ISNUMBER(Q1455),1,0)</f>
        <v/>
      </c>
      <c r="Z1455">
        <f>IF(AND(K1455=0,L1455=0,Y1455=0),1,0)</f>
        <v/>
      </c>
      <c r="AA1455">
        <f>IF(AND(Z1455=1,G1455&lt;Assumptions!$C$6),1,0)</f>
        <v/>
      </c>
      <c r="AB1455">
        <f>IF(U1455=0,"",IF(Y1455=1,MAX(0,Q1455-G1455),IF(L1455=1,MAX(0,R1455-G1455),MAX(0,Assumptions!$C$6-G1455))))</f>
        <v/>
      </c>
      <c r="AC1455">
        <f>IF(Y1455=1,Q1455-F1455,"")</f>
        <v/>
      </c>
      <c r="AD1455">
        <f>IF(Y1455=1,AC1455^2,"")</f>
        <v/>
      </c>
      <c r="AE1455" s="19">
        <f>IF(Z1455=1,(H1455-M1455)*I1455,0)</f>
        <v/>
      </c>
      <c r="AF1455">
        <f>IF(G1455&lt;EDATE(Assumptions!$C$6,-12)+1,"prior_12m","last_12m")</f>
        <v/>
      </c>
      <c r="AG1455" s="21">
        <f>DATE(YEAR(G1455),MONTH(G1455),1)</f>
        <v/>
      </c>
    </row>
    <row r="1456">
      <c r="A1456" t="inlineStr">
        <is>
          <t>SPO-00791-1</t>
        </is>
      </c>
      <c r="B1456" t="inlineStr">
        <is>
          <t>SPO-00791</t>
        </is>
      </c>
      <c r="C1456" t="inlineStr">
        <is>
          <t>SUP-09</t>
        </is>
      </c>
      <c r="D1456" t="inlineStr">
        <is>
          <t>CHEM</t>
        </is>
      </c>
      <c r="E1456" t="inlineStr">
        <is>
          <t>CHEM-01</t>
        </is>
      </c>
      <c r="F1456" s="17" t="n">
        <v>45787</v>
      </c>
      <c r="G1456" s="17" t="n">
        <v>45801</v>
      </c>
      <c r="H1456" s="18" t="n">
        <v>2</v>
      </c>
      <c r="I1456" s="19" t="n">
        <v>710.37</v>
      </c>
      <c r="J1456" s="19" t="n">
        <v>640</v>
      </c>
      <c r="K1456" s="20" t="n">
        <v>0</v>
      </c>
      <c r="L1456" s="20" t="n">
        <v>0</v>
      </c>
      <c r="M1456" s="18" t="n">
        <v>2</v>
      </c>
      <c r="N1456" s="18" t="n">
        <v>2</v>
      </c>
      <c r="O1456" s="18" t="n">
        <v>0</v>
      </c>
      <c r="P1456" s="17" t="n">
        <v>45800</v>
      </c>
      <c r="Q1456" s="17" t="n">
        <v>45800</v>
      </c>
      <c r="R1456" s="17" t="n">
        <v>45800</v>
      </c>
      <c r="S1456" s="19">
        <f>H1456*I1456</f>
        <v/>
      </c>
      <c r="T1456" s="19">
        <f>H1456*J1456</f>
        <v/>
      </c>
      <c r="U1456">
        <f>IF(AND(K1456=0,G1456&lt;=Assumptions!$C$6),1,0)</f>
        <v/>
      </c>
      <c r="V1456">
        <f>IF(U1456=1,IF(M1456&gt;0,IF(P1456&lt;=G1456+Assumptions!$C$7,1,0),0),0)</f>
        <v/>
      </c>
      <c r="W1456">
        <f>IF(AND(U1456=1,M1456&gt;=H1456*(1-Assumptions!$C$8)),1,0)</f>
        <v/>
      </c>
      <c r="X1456">
        <f>IF(AND(U1456=1,N1456&gt;=H1456*(1-Assumptions!$C$8)),1,0)</f>
        <v/>
      </c>
      <c r="Y1456">
        <f>IF(ISNUMBER(Q1456),1,0)</f>
        <v/>
      </c>
      <c r="Z1456">
        <f>IF(AND(K1456=0,L1456=0,Y1456=0),1,0)</f>
        <v/>
      </c>
      <c r="AA1456">
        <f>IF(AND(Z1456=1,G1456&lt;Assumptions!$C$6),1,0)</f>
        <v/>
      </c>
      <c r="AB1456">
        <f>IF(U1456=0,"",IF(Y1456=1,MAX(0,Q1456-G1456),IF(L1456=1,MAX(0,R1456-G1456),MAX(0,Assumptions!$C$6-G1456))))</f>
        <v/>
      </c>
      <c r="AC1456">
        <f>IF(Y1456=1,Q1456-F1456,"")</f>
        <v/>
      </c>
      <c r="AD1456">
        <f>IF(Y1456=1,AC1456^2,"")</f>
        <v/>
      </c>
      <c r="AE1456" s="19">
        <f>IF(Z1456=1,(H1456-M1456)*I1456,0)</f>
        <v/>
      </c>
      <c r="AF1456">
        <f>IF(G1456&lt;EDATE(Assumptions!$C$6,-12)+1,"prior_12m","last_12m")</f>
        <v/>
      </c>
      <c r="AG1456" s="21">
        <f>DATE(YEAR(G1456),MONTH(G1456),1)</f>
        <v/>
      </c>
    </row>
    <row r="1457">
      <c r="A1457" t="inlineStr">
        <is>
          <t>SPO-00791-2</t>
        </is>
      </c>
      <c r="B1457" t="inlineStr">
        <is>
          <t>SPO-00791</t>
        </is>
      </c>
      <c r="C1457" t="inlineStr">
        <is>
          <t>SUP-09</t>
        </is>
      </c>
      <c r="D1457" t="inlineStr">
        <is>
          <t>CHEM</t>
        </is>
      </c>
      <c r="E1457" t="inlineStr">
        <is>
          <t>CHEM-03</t>
        </is>
      </c>
      <c r="F1457" s="17" t="n">
        <v>45787</v>
      </c>
      <c r="G1457" s="17" t="n">
        <v>45801</v>
      </c>
      <c r="H1457" s="18" t="n">
        <v>4</v>
      </c>
      <c r="I1457" s="19" t="n">
        <v>284.31</v>
      </c>
      <c r="J1457" s="19" t="n">
        <v>265</v>
      </c>
      <c r="K1457" s="20" t="n">
        <v>0</v>
      </c>
      <c r="L1457" s="20" t="n">
        <v>0</v>
      </c>
      <c r="M1457" s="18" t="n">
        <v>4</v>
      </c>
      <c r="N1457" s="18" t="n">
        <v>4</v>
      </c>
      <c r="O1457" s="18" t="n">
        <v>0</v>
      </c>
      <c r="P1457" s="17" t="n">
        <v>45797</v>
      </c>
      <c r="Q1457" s="17" t="n">
        <v>45797</v>
      </c>
      <c r="R1457" s="17" t="n">
        <v>45797</v>
      </c>
      <c r="S1457" s="19">
        <f>H1457*I1457</f>
        <v/>
      </c>
      <c r="T1457" s="19">
        <f>H1457*J1457</f>
        <v/>
      </c>
      <c r="U1457">
        <f>IF(AND(K1457=0,G1457&lt;=Assumptions!$C$6),1,0)</f>
        <v/>
      </c>
      <c r="V1457">
        <f>IF(U1457=1,IF(M1457&gt;0,IF(P1457&lt;=G1457+Assumptions!$C$7,1,0),0),0)</f>
        <v/>
      </c>
      <c r="W1457">
        <f>IF(AND(U1457=1,M1457&gt;=H1457*(1-Assumptions!$C$8)),1,0)</f>
        <v/>
      </c>
      <c r="X1457">
        <f>IF(AND(U1457=1,N1457&gt;=H1457*(1-Assumptions!$C$8)),1,0)</f>
        <v/>
      </c>
      <c r="Y1457">
        <f>IF(ISNUMBER(Q1457),1,0)</f>
        <v/>
      </c>
      <c r="Z1457">
        <f>IF(AND(K1457=0,L1457=0,Y1457=0),1,0)</f>
        <v/>
      </c>
      <c r="AA1457">
        <f>IF(AND(Z1457=1,G1457&lt;Assumptions!$C$6),1,0)</f>
        <v/>
      </c>
      <c r="AB1457">
        <f>IF(U1457=0,"",IF(Y1457=1,MAX(0,Q1457-G1457),IF(L1457=1,MAX(0,R1457-G1457),MAX(0,Assumptions!$C$6-G1457))))</f>
        <v/>
      </c>
      <c r="AC1457">
        <f>IF(Y1457=1,Q1457-F1457,"")</f>
        <v/>
      </c>
      <c r="AD1457">
        <f>IF(Y1457=1,AC1457^2,"")</f>
        <v/>
      </c>
      <c r="AE1457" s="19">
        <f>IF(Z1457=1,(H1457-M1457)*I1457,0)</f>
        <v/>
      </c>
      <c r="AF1457">
        <f>IF(G1457&lt;EDATE(Assumptions!$C$6,-12)+1,"prior_12m","last_12m")</f>
        <v/>
      </c>
      <c r="AG1457" s="21">
        <f>DATE(YEAR(G1457),MONTH(G1457),1)</f>
        <v/>
      </c>
    </row>
    <row r="1458">
      <c r="A1458" t="inlineStr">
        <is>
          <t>SPO-00792-1</t>
        </is>
      </c>
      <c r="B1458" t="inlineStr">
        <is>
          <t>SPO-00792</t>
        </is>
      </c>
      <c r="C1458" t="inlineStr">
        <is>
          <t>SUP-14</t>
        </is>
      </c>
      <c r="D1458" t="inlineStr">
        <is>
          <t>FLEET</t>
        </is>
      </c>
      <c r="E1458" t="inlineStr">
        <is>
          <t>FLEET-08</t>
        </is>
      </c>
      <c r="F1458" s="17" t="n">
        <v>45788</v>
      </c>
      <c r="G1458" s="17" t="n">
        <v>45802</v>
      </c>
      <c r="H1458" s="18" t="n">
        <v>349</v>
      </c>
      <c r="I1458" s="19" t="n">
        <v>6.66</v>
      </c>
      <c r="J1458" s="19" t="n">
        <v>6.4</v>
      </c>
      <c r="K1458" s="20" t="n">
        <v>0</v>
      </c>
      <c r="L1458" s="20" t="n">
        <v>0</v>
      </c>
      <c r="M1458" s="18" t="n">
        <v>349</v>
      </c>
      <c r="N1458" s="18" t="n">
        <v>349</v>
      </c>
      <c r="O1458" s="18" t="n">
        <v>96</v>
      </c>
      <c r="P1458" s="17" t="n">
        <v>45794</v>
      </c>
      <c r="Q1458" s="17" t="n">
        <v>45794</v>
      </c>
      <c r="R1458" s="17" t="n">
        <v>45794</v>
      </c>
      <c r="S1458" s="19">
        <f>H1458*I1458</f>
        <v/>
      </c>
      <c r="T1458" s="19">
        <f>H1458*J1458</f>
        <v/>
      </c>
      <c r="U1458">
        <f>IF(AND(K1458=0,G1458&lt;=Assumptions!$C$6),1,0)</f>
        <v/>
      </c>
      <c r="V1458">
        <f>IF(U1458=1,IF(M1458&gt;0,IF(P1458&lt;=G1458+Assumptions!$C$7,1,0),0),0)</f>
        <v/>
      </c>
      <c r="W1458">
        <f>IF(AND(U1458=1,M1458&gt;=H1458*(1-Assumptions!$C$8)),1,0)</f>
        <v/>
      </c>
      <c r="X1458">
        <f>IF(AND(U1458=1,N1458&gt;=H1458*(1-Assumptions!$C$8)),1,0)</f>
        <v/>
      </c>
      <c r="Y1458">
        <f>IF(ISNUMBER(Q1458),1,0)</f>
        <v/>
      </c>
      <c r="Z1458">
        <f>IF(AND(K1458=0,L1458=0,Y1458=0),1,0)</f>
        <v/>
      </c>
      <c r="AA1458">
        <f>IF(AND(Z1458=1,G1458&lt;Assumptions!$C$6),1,0)</f>
        <v/>
      </c>
      <c r="AB1458">
        <f>IF(U1458=0,"",IF(Y1458=1,MAX(0,Q1458-G1458),IF(L1458=1,MAX(0,R1458-G1458),MAX(0,Assumptions!$C$6-G1458))))</f>
        <v/>
      </c>
      <c r="AC1458">
        <f>IF(Y1458=1,Q1458-F1458,"")</f>
        <v/>
      </c>
      <c r="AD1458">
        <f>IF(Y1458=1,AC1458^2,"")</f>
        <v/>
      </c>
      <c r="AE1458" s="19">
        <f>IF(Z1458=1,(H1458-M1458)*I1458,0)</f>
        <v/>
      </c>
      <c r="AF1458">
        <f>IF(G1458&lt;EDATE(Assumptions!$C$6,-12)+1,"prior_12m","last_12m")</f>
        <v/>
      </c>
      <c r="AG1458" s="21">
        <f>DATE(YEAR(G1458),MONTH(G1458),1)</f>
        <v/>
      </c>
    </row>
    <row r="1459">
      <c r="A1459" t="inlineStr">
        <is>
          <t>SPO-00792-2</t>
        </is>
      </c>
      <c r="B1459" t="inlineStr">
        <is>
          <t>SPO-00792</t>
        </is>
      </c>
      <c r="C1459" t="inlineStr">
        <is>
          <t>SUP-14</t>
        </is>
      </c>
      <c r="D1459" t="inlineStr">
        <is>
          <t>FLEET</t>
        </is>
      </c>
      <c r="E1459" t="inlineStr">
        <is>
          <t>FLEET-02</t>
        </is>
      </c>
      <c r="F1459" s="17" t="n">
        <v>45788</v>
      </c>
      <c r="G1459" s="17" t="n">
        <v>45802</v>
      </c>
      <c r="H1459" s="18" t="n">
        <v>241</v>
      </c>
      <c r="I1459" s="19" t="n">
        <v>7.53</v>
      </c>
      <c r="J1459" s="19" t="n">
        <v>7.5</v>
      </c>
      <c r="K1459" s="20" t="n">
        <v>0</v>
      </c>
      <c r="L1459" s="20" t="n">
        <v>0</v>
      </c>
      <c r="M1459" s="18" t="n">
        <v>241</v>
      </c>
      <c r="N1459" s="18" t="n">
        <v>241</v>
      </c>
      <c r="O1459" s="18" t="n">
        <v>0</v>
      </c>
      <c r="P1459" s="17" t="n">
        <v>45800</v>
      </c>
      <c r="Q1459" s="17" t="n">
        <v>45800</v>
      </c>
      <c r="R1459" s="17" t="n">
        <v>45800</v>
      </c>
      <c r="S1459" s="19">
        <f>H1459*I1459</f>
        <v/>
      </c>
      <c r="T1459" s="19">
        <f>H1459*J1459</f>
        <v/>
      </c>
      <c r="U1459">
        <f>IF(AND(K1459=0,G1459&lt;=Assumptions!$C$6),1,0)</f>
        <v/>
      </c>
      <c r="V1459">
        <f>IF(U1459=1,IF(M1459&gt;0,IF(P1459&lt;=G1459+Assumptions!$C$7,1,0),0),0)</f>
        <v/>
      </c>
      <c r="W1459">
        <f>IF(AND(U1459=1,M1459&gt;=H1459*(1-Assumptions!$C$8)),1,0)</f>
        <v/>
      </c>
      <c r="X1459">
        <f>IF(AND(U1459=1,N1459&gt;=H1459*(1-Assumptions!$C$8)),1,0)</f>
        <v/>
      </c>
      <c r="Y1459">
        <f>IF(ISNUMBER(Q1459),1,0)</f>
        <v/>
      </c>
      <c r="Z1459">
        <f>IF(AND(K1459=0,L1459=0,Y1459=0),1,0)</f>
        <v/>
      </c>
      <c r="AA1459">
        <f>IF(AND(Z1459=1,G1459&lt;Assumptions!$C$6),1,0)</f>
        <v/>
      </c>
      <c r="AB1459">
        <f>IF(U1459=0,"",IF(Y1459=1,MAX(0,Q1459-G1459),IF(L1459=1,MAX(0,R1459-G1459),MAX(0,Assumptions!$C$6-G1459))))</f>
        <v/>
      </c>
      <c r="AC1459">
        <f>IF(Y1459=1,Q1459-F1459,"")</f>
        <v/>
      </c>
      <c r="AD1459">
        <f>IF(Y1459=1,AC1459^2,"")</f>
        <v/>
      </c>
      <c r="AE1459" s="19">
        <f>IF(Z1459=1,(H1459-M1459)*I1459,0)</f>
        <v/>
      </c>
      <c r="AF1459">
        <f>IF(G1459&lt;EDATE(Assumptions!$C$6,-12)+1,"prior_12m","last_12m")</f>
        <v/>
      </c>
      <c r="AG1459" s="21">
        <f>DATE(YEAR(G1459),MONTH(G1459),1)</f>
        <v/>
      </c>
    </row>
    <row r="1460">
      <c r="A1460" t="inlineStr">
        <is>
          <t>SPO-00793-1</t>
        </is>
      </c>
      <c r="B1460" t="inlineStr">
        <is>
          <t>SPO-00793</t>
        </is>
      </c>
      <c r="C1460" t="inlineStr">
        <is>
          <t>SUP-08</t>
        </is>
      </c>
      <c r="D1460" t="inlineStr">
        <is>
          <t>MRO</t>
        </is>
      </c>
      <c r="E1460" t="inlineStr">
        <is>
          <t>MRO-03</t>
        </is>
      </c>
      <c r="F1460" s="17" t="n">
        <v>45788</v>
      </c>
      <c r="G1460" s="17" t="n">
        <v>45799</v>
      </c>
      <c r="H1460" s="18" t="n">
        <v>163</v>
      </c>
      <c r="I1460" s="19" t="n">
        <v>8.82</v>
      </c>
      <c r="J1460" s="19" t="n">
        <v>8.9</v>
      </c>
      <c r="K1460" s="20" t="n">
        <v>0</v>
      </c>
      <c r="L1460" s="20" t="n">
        <v>0</v>
      </c>
      <c r="M1460" s="18" t="n">
        <v>163</v>
      </c>
      <c r="N1460" s="18" t="n">
        <v>163</v>
      </c>
      <c r="O1460" s="18" t="n">
        <v>0</v>
      </c>
      <c r="P1460" s="17" t="n">
        <v>45792</v>
      </c>
      <c r="Q1460" s="17" t="n">
        <v>45792</v>
      </c>
      <c r="R1460" s="17" t="n">
        <v>45792</v>
      </c>
      <c r="S1460" s="19">
        <f>H1460*I1460</f>
        <v/>
      </c>
      <c r="T1460" s="19">
        <f>H1460*J1460</f>
        <v/>
      </c>
      <c r="U1460">
        <f>IF(AND(K1460=0,G1460&lt;=Assumptions!$C$6),1,0)</f>
        <v/>
      </c>
      <c r="V1460">
        <f>IF(U1460=1,IF(M1460&gt;0,IF(P1460&lt;=G1460+Assumptions!$C$7,1,0),0),0)</f>
        <v/>
      </c>
      <c r="W1460">
        <f>IF(AND(U1460=1,M1460&gt;=H1460*(1-Assumptions!$C$8)),1,0)</f>
        <v/>
      </c>
      <c r="X1460">
        <f>IF(AND(U1460=1,N1460&gt;=H1460*(1-Assumptions!$C$8)),1,0)</f>
        <v/>
      </c>
      <c r="Y1460">
        <f>IF(ISNUMBER(Q1460),1,0)</f>
        <v/>
      </c>
      <c r="Z1460">
        <f>IF(AND(K1460=0,L1460=0,Y1460=0),1,0)</f>
        <v/>
      </c>
      <c r="AA1460">
        <f>IF(AND(Z1460=1,G1460&lt;Assumptions!$C$6),1,0)</f>
        <v/>
      </c>
      <c r="AB1460">
        <f>IF(U1460=0,"",IF(Y1460=1,MAX(0,Q1460-G1460),IF(L1460=1,MAX(0,R1460-G1460),MAX(0,Assumptions!$C$6-G1460))))</f>
        <v/>
      </c>
      <c r="AC1460">
        <f>IF(Y1460=1,Q1460-F1460,"")</f>
        <v/>
      </c>
      <c r="AD1460">
        <f>IF(Y1460=1,AC1460^2,"")</f>
        <v/>
      </c>
      <c r="AE1460" s="19">
        <f>IF(Z1460=1,(H1460-M1460)*I1460,0)</f>
        <v/>
      </c>
      <c r="AF1460">
        <f>IF(G1460&lt;EDATE(Assumptions!$C$6,-12)+1,"prior_12m","last_12m")</f>
        <v/>
      </c>
      <c r="AG1460" s="21">
        <f>DATE(YEAR(G1460),MONTH(G1460),1)</f>
        <v/>
      </c>
    </row>
    <row r="1461">
      <c r="A1461" t="inlineStr">
        <is>
          <t>SPO-00794-1</t>
        </is>
      </c>
      <c r="B1461" t="inlineStr">
        <is>
          <t>SPO-00794</t>
        </is>
      </c>
      <c r="C1461" t="inlineStr">
        <is>
          <t>SUP-14</t>
        </is>
      </c>
      <c r="D1461" t="inlineStr">
        <is>
          <t>FLEET</t>
        </is>
      </c>
      <c r="E1461" t="inlineStr">
        <is>
          <t>FLEET-02</t>
        </is>
      </c>
      <c r="F1461" s="17" t="n">
        <v>45788</v>
      </c>
      <c r="G1461" s="17" t="n">
        <v>45802</v>
      </c>
      <c r="H1461" s="18" t="n">
        <v>103</v>
      </c>
      <c r="I1461" s="19" t="n">
        <v>7.72</v>
      </c>
      <c r="J1461" s="19" t="n">
        <v>7.5</v>
      </c>
      <c r="K1461" s="20" t="n">
        <v>0</v>
      </c>
      <c r="L1461" s="20" t="n">
        <v>0</v>
      </c>
      <c r="M1461" s="18" t="n">
        <v>103</v>
      </c>
      <c r="N1461" s="18" t="n">
        <v>103</v>
      </c>
      <c r="O1461" s="18" t="n">
        <v>0</v>
      </c>
      <c r="P1461" s="17" t="n">
        <v>45794</v>
      </c>
      <c r="Q1461" s="17" t="n">
        <v>45794</v>
      </c>
      <c r="R1461" s="17" t="n">
        <v>45794</v>
      </c>
      <c r="S1461" s="19">
        <f>H1461*I1461</f>
        <v/>
      </c>
      <c r="T1461" s="19">
        <f>H1461*J1461</f>
        <v/>
      </c>
      <c r="U1461">
        <f>IF(AND(K1461=0,G1461&lt;=Assumptions!$C$6),1,0)</f>
        <v/>
      </c>
      <c r="V1461">
        <f>IF(U1461=1,IF(M1461&gt;0,IF(P1461&lt;=G1461+Assumptions!$C$7,1,0),0),0)</f>
        <v/>
      </c>
      <c r="W1461">
        <f>IF(AND(U1461=1,M1461&gt;=H1461*(1-Assumptions!$C$8)),1,0)</f>
        <v/>
      </c>
      <c r="X1461">
        <f>IF(AND(U1461=1,N1461&gt;=H1461*(1-Assumptions!$C$8)),1,0)</f>
        <v/>
      </c>
      <c r="Y1461">
        <f>IF(ISNUMBER(Q1461),1,0)</f>
        <v/>
      </c>
      <c r="Z1461">
        <f>IF(AND(K1461=0,L1461=0,Y1461=0),1,0)</f>
        <v/>
      </c>
      <c r="AA1461">
        <f>IF(AND(Z1461=1,G1461&lt;Assumptions!$C$6),1,0)</f>
        <v/>
      </c>
      <c r="AB1461">
        <f>IF(U1461=0,"",IF(Y1461=1,MAX(0,Q1461-G1461),IF(L1461=1,MAX(0,R1461-G1461),MAX(0,Assumptions!$C$6-G1461))))</f>
        <v/>
      </c>
      <c r="AC1461">
        <f>IF(Y1461=1,Q1461-F1461,"")</f>
        <v/>
      </c>
      <c r="AD1461">
        <f>IF(Y1461=1,AC1461^2,"")</f>
        <v/>
      </c>
      <c r="AE1461" s="19">
        <f>IF(Z1461=1,(H1461-M1461)*I1461,0)</f>
        <v/>
      </c>
      <c r="AF1461">
        <f>IF(G1461&lt;EDATE(Assumptions!$C$6,-12)+1,"prior_12m","last_12m")</f>
        <v/>
      </c>
      <c r="AG1461" s="21">
        <f>DATE(YEAR(G1461),MONTH(G1461),1)</f>
        <v/>
      </c>
    </row>
    <row r="1462">
      <c r="A1462" t="inlineStr">
        <is>
          <t>SPO-00794-2</t>
        </is>
      </c>
      <c r="B1462" t="inlineStr">
        <is>
          <t>SPO-00794</t>
        </is>
      </c>
      <c r="C1462" t="inlineStr">
        <is>
          <t>SUP-14</t>
        </is>
      </c>
      <c r="D1462" t="inlineStr">
        <is>
          <t>FLEET</t>
        </is>
      </c>
      <c r="E1462" t="inlineStr">
        <is>
          <t>FLEET-07</t>
        </is>
      </c>
      <c r="F1462" s="17" t="n">
        <v>45788</v>
      </c>
      <c r="G1462" s="17" t="n">
        <v>45802</v>
      </c>
      <c r="H1462" s="18" t="n">
        <v>7</v>
      </c>
      <c r="I1462" s="19" t="n">
        <v>115.88</v>
      </c>
      <c r="J1462" s="19" t="n">
        <v>118</v>
      </c>
      <c r="K1462" s="20" t="n">
        <v>0</v>
      </c>
      <c r="L1462" s="20" t="n">
        <v>0</v>
      </c>
      <c r="M1462" s="18" t="n">
        <v>7</v>
      </c>
      <c r="N1462" s="18" t="n">
        <v>7</v>
      </c>
      <c r="O1462" s="18" t="n">
        <v>0</v>
      </c>
      <c r="P1462" s="17" t="n">
        <v>45796</v>
      </c>
      <c r="Q1462" s="17" t="n">
        <v>45796</v>
      </c>
      <c r="R1462" s="17" t="n">
        <v>45796</v>
      </c>
      <c r="S1462" s="19">
        <f>H1462*I1462</f>
        <v/>
      </c>
      <c r="T1462" s="19">
        <f>H1462*J1462</f>
        <v/>
      </c>
      <c r="U1462">
        <f>IF(AND(K1462=0,G1462&lt;=Assumptions!$C$6),1,0)</f>
        <v/>
      </c>
      <c r="V1462">
        <f>IF(U1462=1,IF(M1462&gt;0,IF(P1462&lt;=G1462+Assumptions!$C$7,1,0),0),0)</f>
        <v/>
      </c>
      <c r="W1462">
        <f>IF(AND(U1462=1,M1462&gt;=H1462*(1-Assumptions!$C$8)),1,0)</f>
        <v/>
      </c>
      <c r="X1462">
        <f>IF(AND(U1462=1,N1462&gt;=H1462*(1-Assumptions!$C$8)),1,0)</f>
        <v/>
      </c>
      <c r="Y1462">
        <f>IF(ISNUMBER(Q1462),1,0)</f>
        <v/>
      </c>
      <c r="Z1462">
        <f>IF(AND(K1462=0,L1462=0,Y1462=0),1,0)</f>
        <v/>
      </c>
      <c r="AA1462">
        <f>IF(AND(Z1462=1,G1462&lt;Assumptions!$C$6),1,0)</f>
        <v/>
      </c>
      <c r="AB1462">
        <f>IF(U1462=0,"",IF(Y1462=1,MAX(0,Q1462-G1462),IF(L1462=1,MAX(0,R1462-G1462),MAX(0,Assumptions!$C$6-G1462))))</f>
        <v/>
      </c>
      <c r="AC1462">
        <f>IF(Y1462=1,Q1462-F1462,"")</f>
        <v/>
      </c>
      <c r="AD1462">
        <f>IF(Y1462=1,AC1462^2,"")</f>
        <v/>
      </c>
      <c r="AE1462" s="19">
        <f>IF(Z1462=1,(H1462-M1462)*I1462,0)</f>
        <v/>
      </c>
      <c r="AF1462">
        <f>IF(G1462&lt;EDATE(Assumptions!$C$6,-12)+1,"prior_12m","last_12m")</f>
        <v/>
      </c>
      <c r="AG1462" s="21">
        <f>DATE(YEAR(G1462),MONTH(G1462),1)</f>
        <v/>
      </c>
    </row>
    <row r="1463">
      <c r="A1463" t="inlineStr">
        <is>
          <t>SPO-00795-1</t>
        </is>
      </c>
      <c r="B1463" t="inlineStr">
        <is>
          <t>SPO-00795</t>
        </is>
      </c>
      <c r="C1463" t="inlineStr">
        <is>
          <t>SUP-01</t>
        </is>
      </c>
      <c r="D1463" t="inlineStr">
        <is>
          <t>ELEC</t>
        </is>
      </c>
      <c r="E1463" t="inlineStr">
        <is>
          <t>ELEC-01</t>
        </is>
      </c>
      <c r="F1463" s="17" t="n">
        <v>45789</v>
      </c>
      <c r="G1463" s="17" t="n">
        <v>45807</v>
      </c>
      <c r="H1463" s="18" t="n">
        <v>32</v>
      </c>
      <c r="I1463" s="19" t="n">
        <v>36.21</v>
      </c>
      <c r="J1463" s="19" t="n">
        <v>38</v>
      </c>
      <c r="K1463" s="20" t="n">
        <v>0</v>
      </c>
      <c r="L1463" s="20" t="n">
        <v>0</v>
      </c>
      <c r="M1463" s="18" t="n">
        <v>32</v>
      </c>
      <c r="N1463" s="18" t="n">
        <v>32</v>
      </c>
      <c r="O1463" s="18" t="n">
        <v>0</v>
      </c>
      <c r="P1463" s="17" t="n">
        <v>45803</v>
      </c>
      <c r="Q1463" s="17" t="n">
        <v>45803</v>
      </c>
      <c r="R1463" s="17" t="n">
        <v>45803</v>
      </c>
      <c r="S1463" s="19">
        <f>H1463*I1463</f>
        <v/>
      </c>
      <c r="T1463" s="19">
        <f>H1463*J1463</f>
        <v/>
      </c>
      <c r="U1463">
        <f>IF(AND(K1463=0,G1463&lt;=Assumptions!$C$6),1,0)</f>
        <v/>
      </c>
      <c r="V1463">
        <f>IF(U1463=1,IF(M1463&gt;0,IF(P1463&lt;=G1463+Assumptions!$C$7,1,0),0),0)</f>
        <v/>
      </c>
      <c r="W1463">
        <f>IF(AND(U1463=1,M1463&gt;=H1463*(1-Assumptions!$C$8)),1,0)</f>
        <v/>
      </c>
      <c r="X1463">
        <f>IF(AND(U1463=1,N1463&gt;=H1463*(1-Assumptions!$C$8)),1,0)</f>
        <v/>
      </c>
      <c r="Y1463">
        <f>IF(ISNUMBER(Q1463),1,0)</f>
        <v/>
      </c>
      <c r="Z1463">
        <f>IF(AND(K1463=0,L1463=0,Y1463=0),1,0)</f>
        <v/>
      </c>
      <c r="AA1463">
        <f>IF(AND(Z1463=1,G1463&lt;Assumptions!$C$6),1,0)</f>
        <v/>
      </c>
      <c r="AB1463">
        <f>IF(U1463=0,"",IF(Y1463=1,MAX(0,Q1463-G1463),IF(L1463=1,MAX(0,R1463-G1463),MAX(0,Assumptions!$C$6-G1463))))</f>
        <v/>
      </c>
      <c r="AC1463">
        <f>IF(Y1463=1,Q1463-F1463,"")</f>
        <v/>
      </c>
      <c r="AD1463">
        <f>IF(Y1463=1,AC1463^2,"")</f>
        <v/>
      </c>
      <c r="AE1463" s="19">
        <f>IF(Z1463=1,(H1463-M1463)*I1463,0)</f>
        <v/>
      </c>
      <c r="AF1463">
        <f>IF(G1463&lt;EDATE(Assumptions!$C$6,-12)+1,"prior_12m","last_12m")</f>
        <v/>
      </c>
      <c r="AG1463" s="21">
        <f>DATE(YEAR(G1463),MONTH(G1463),1)</f>
        <v/>
      </c>
    </row>
    <row r="1464">
      <c r="A1464" t="inlineStr">
        <is>
          <t>SPO-00796-1</t>
        </is>
      </c>
      <c r="B1464" t="inlineStr">
        <is>
          <t>SPO-00796</t>
        </is>
      </c>
      <c r="C1464" t="inlineStr">
        <is>
          <t>SUP-02</t>
        </is>
      </c>
      <c r="D1464" t="inlineStr">
        <is>
          <t>ELEC</t>
        </is>
      </c>
      <c r="E1464" t="inlineStr">
        <is>
          <t>ELEC-06</t>
        </is>
      </c>
      <c r="F1464" s="17" t="n">
        <v>45789</v>
      </c>
      <c r="G1464" s="17" t="n">
        <v>45805</v>
      </c>
      <c r="H1464" s="18" t="n">
        <v>8</v>
      </c>
      <c r="I1464" s="19" t="n">
        <v>140.01</v>
      </c>
      <c r="J1464" s="19" t="n">
        <v>145</v>
      </c>
      <c r="K1464" s="20" t="n">
        <v>0</v>
      </c>
      <c r="L1464" s="20" t="n">
        <v>0</v>
      </c>
      <c r="M1464" s="18" t="n">
        <v>8</v>
      </c>
      <c r="N1464" s="18" t="n">
        <v>8</v>
      </c>
      <c r="O1464" s="18" t="n">
        <v>0</v>
      </c>
      <c r="P1464" s="17" t="n">
        <v>45800</v>
      </c>
      <c r="Q1464" s="17" t="n">
        <v>45800</v>
      </c>
      <c r="R1464" s="17" t="n">
        <v>45800</v>
      </c>
      <c r="S1464" s="19">
        <f>H1464*I1464</f>
        <v/>
      </c>
      <c r="T1464" s="19">
        <f>H1464*J1464</f>
        <v/>
      </c>
      <c r="U1464">
        <f>IF(AND(K1464=0,G1464&lt;=Assumptions!$C$6),1,0)</f>
        <v/>
      </c>
      <c r="V1464">
        <f>IF(U1464=1,IF(M1464&gt;0,IF(P1464&lt;=G1464+Assumptions!$C$7,1,0),0),0)</f>
        <v/>
      </c>
      <c r="W1464">
        <f>IF(AND(U1464=1,M1464&gt;=H1464*(1-Assumptions!$C$8)),1,0)</f>
        <v/>
      </c>
      <c r="X1464">
        <f>IF(AND(U1464=1,N1464&gt;=H1464*(1-Assumptions!$C$8)),1,0)</f>
        <v/>
      </c>
      <c r="Y1464">
        <f>IF(ISNUMBER(Q1464),1,0)</f>
        <v/>
      </c>
      <c r="Z1464">
        <f>IF(AND(K1464=0,L1464=0,Y1464=0),1,0)</f>
        <v/>
      </c>
      <c r="AA1464">
        <f>IF(AND(Z1464=1,G1464&lt;Assumptions!$C$6),1,0)</f>
        <v/>
      </c>
      <c r="AB1464">
        <f>IF(U1464=0,"",IF(Y1464=1,MAX(0,Q1464-G1464),IF(L1464=1,MAX(0,R1464-G1464),MAX(0,Assumptions!$C$6-G1464))))</f>
        <v/>
      </c>
      <c r="AC1464">
        <f>IF(Y1464=1,Q1464-F1464,"")</f>
        <v/>
      </c>
      <c r="AD1464">
        <f>IF(Y1464=1,AC1464^2,"")</f>
        <v/>
      </c>
      <c r="AE1464" s="19">
        <f>IF(Z1464=1,(H1464-M1464)*I1464,0)</f>
        <v/>
      </c>
      <c r="AF1464">
        <f>IF(G1464&lt;EDATE(Assumptions!$C$6,-12)+1,"prior_12m","last_12m")</f>
        <v/>
      </c>
      <c r="AG1464" s="21">
        <f>DATE(YEAR(G1464),MONTH(G1464),1)</f>
        <v/>
      </c>
    </row>
    <row r="1465">
      <c r="A1465" t="inlineStr">
        <is>
          <t>SPO-00796-2</t>
        </is>
      </c>
      <c r="B1465" t="inlineStr">
        <is>
          <t>SPO-00796</t>
        </is>
      </c>
      <c r="C1465" t="inlineStr">
        <is>
          <t>SUP-02</t>
        </is>
      </c>
      <c r="D1465" t="inlineStr">
        <is>
          <t>ELEC</t>
        </is>
      </c>
      <c r="E1465" t="inlineStr">
        <is>
          <t>ELEC-05</t>
        </is>
      </c>
      <c r="F1465" s="17" t="n">
        <v>45789</v>
      </c>
      <c r="G1465" s="17" t="n">
        <v>45805</v>
      </c>
      <c r="H1465" s="18" t="n">
        <v>125</v>
      </c>
      <c r="I1465" s="19" t="n">
        <v>11.9</v>
      </c>
      <c r="J1465" s="19" t="n">
        <v>11.5</v>
      </c>
      <c r="K1465" s="20" t="n">
        <v>0</v>
      </c>
      <c r="L1465" s="20" t="n">
        <v>0</v>
      </c>
      <c r="M1465" s="18" t="n">
        <v>125</v>
      </c>
      <c r="N1465" s="18" t="n">
        <v>125</v>
      </c>
      <c r="O1465" s="18" t="n">
        <v>0</v>
      </c>
      <c r="P1465" s="17" t="n">
        <v>45801</v>
      </c>
      <c r="Q1465" s="17" t="n">
        <v>45801</v>
      </c>
      <c r="R1465" s="17" t="n">
        <v>45801</v>
      </c>
      <c r="S1465" s="19">
        <f>H1465*I1465</f>
        <v/>
      </c>
      <c r="T1465" s="19">
        <f>H1465*J1465</f>
        <v/>
      </c>
      <c r="U1465">
        <f>IF(AND(K1465=0,G1465&lt;=Assumptions!$C$6),1,0)</f>
        <v/>
      </c>
      <c r="V1465">
        <f>IF(U1465=1,IF(M1465&gt;0,IF(P1465&lt;=G1465+Assumptions!$C$7,1,0),0),0)</f>
        <v/>
      </c>
      <c r="W1465">
        <f>IF(AND(U1465=1,M1465&gt;=H1465*(1-Assumptions!$C$8)),1,0)</f>
        <v/>
      </c>
      <c r="X1465">
        <f>IF(AND(U1465=1,N1465&gt;=H1465*(1-Assumptions!$C$8)),1,0)</f>
        <v/>
      </c>
      <c r="Y1465">
        <f>IF(ISNUMBER(Q1465),1,0)</f>
        <v/>
      </c>
      <c r="Z1465">
        <f>IF(AND(K1465=0,L1465=0,Y1465=0),1,0)</f>
        <v/>
      </c>
      <c r="AA1465">
        <f>IF(AND(Z1465=1,G1465&lt;Assumptions!$C$6),1,0)</f>
        <v/>
      </c>
      <c r="AB1465">
        <f>IF(U1465=0,"",IF(Y1465=1,MAX(0,Q1465-G1465),IF(L1465=1,MAX(0,R1465-G1465),MAX(0,Assumptions!$C$6-G1465))))</f>
        <v/>
      </c>
      <c r="AC1465">
        <f>IF(Y1465=1,Q1465-F1465,"")</f>
        <v/>
      </c>
      <c r="AD1465">
        <f>IF(Y1465=1,AC1465^2,"")</f>
        <v/>
      </c>
      <c r="AE1465" s="19">
        <f>IF(Z1465=1,(H1465-M1465)*I1465,0)</f>
        <v/>
      </c>
      <c r="AF1465">
        <f>IF(G1465&lt;EDATE(Assumptions!$C$6,-12)+1,"prior_12m","last_12m")</f>
        <v/>
      </c>
      <c r="AG1465" s="21">
        <f>DATE(YEAR(G1465),MONTH(G1465),1)</f>
        <v/>
      </c>
    </row>
    <row r="1466">
      <c r="A1466" t="inlineStr">
        <is>
          <t>SPO-00797-1</t>
        </is>
      </c>
      <c r="B1466" t="inlineStr">
        <is>
          <t>SPO-00797</t>
        </is>
      </c>
      <c r="C1466" t="inlineStr">
        <is>
          <t>SUP-06</t>
        </is>
      </c>
      <c r="D1466" t="inlineStr">
        <is>
          <t>MRO</t>
        </is>
      </c>
      <c r="E1466" t="inlineStr">
        <is>
          <t>MRO-03</t>
        </is>
      </c>
      <c r="F1466" s="17" t="n">
        <v>45789</v>
      </c>
      <c r="G1466" s="17" t="n">
        <v>45797</v>
      </c>
      <c r="H1466" s="18" t="n">
        <v>191</v>
      </c>
      <c r="I1466" s="19" t="n">
        <v>9.23</v>
      </c>
      <c r="J1466" s="19" t="n">
        <v>8.9</v>
      </c>
      <c r="K1466" s="20" t="n">
        <v>0</v>
      </c>
      <c r="L1466" s="20" t="n">
        <v>0</v>
      </c>
      <c r="M1466" s="18" t="n">
        <v>191</v>
      </c>
      <c r="N1466" s="18" t="n">
        <v>191</v>
      </c>
      <c r="O1466" s="18" t="n">
        <v>0</v>
      </c>
      <c r="P1466" s="17" t="n">
        <v>45794</v>
      </c>
      <c r="Q1466" s="17" t="n">
        <v>45794</v>
      </c>
      <c r="R1466" s="17" t="n">
        <v>45794</v>
      </c>
      <c r="S1466" s="19">
        <f>H1466*I1466</f>
        <v/>
      </c>
      <c r="T1466" s="19">
        <f>H1466*J1466</f>
        <v/>
      </c>
      <c r="U1466">
        <f>IF(AND(K1466=0,G1466&lt;=Assumptions!$C$6),1,0)</f>
        <v/>
      </c>
      <c r="V1466">
        <f>IF(U1466=1,IF(M1466&gt;0,IF(P1466&lt;=G1466+Assumptions!$C$7,1,0),0),0)</f>
        <v/>
      </c>
      <c r="W1466">
        <f>IF(AND(U1466=1,M1466&gt;=H1466*(1-Assumptions!$C$8)),1,0)</f>
        <v/>
      </c>
      <c r="X1466">
        <f>IF(AND(U1466=1,N1466&gt;=H1466*(1-Assumptions!$C$8)),1,0)</f>
        <v/>
      </c>
      <c r="Y1466">
        <f>IF(ISNUMBER(Q1466),1,0)</f>
        <v/>
      </c>
      <c r="Z1466">
        <f>IF(AND(K1466=0,L1466=0,Y1466=0),1,0)</f>
        <v/>
      </c>
      <c r="AA1466">
        <f>IF(AND(Z1466=1,G1466&lt;Assumptions!$C$6),1,0)</f>
        <v/>
      </c>
      <c r="AB1466">
        <f>IF(U1466=0,"",IF(Y1466=1,MAX(0,Q1466-G1466),IF(L1466=1,MAX(0,R1466-G1466),MAX(0,Assumptions!$C$6-G1466))))</f>
        <v/>
      </c>
      <c r="AC1466">
        <f>IF(Y1466=1,Q1466-F1466,"")</f>
        <v/>
      </c>
      <c r="AD1466">
        <f>IF(Y1466=1,AC1466^2,"")</f>
        <v/>
      </c>
      <c r="AE1466" s="19">
        <f>IF(Z1466=1,(H1466-M1466)*I1466,0)</f>
        <v/>
      </c>
      <c r="AF1466">
        <f>IF(G1466&lt;EDATE(Assumptions!$C$6,-12)+1,"prior_12m","last_12m")</f>
        <v/>
      </c>
      <c r="AG1466" s="21">
        <f>DATE(YEAR(G1466),MONTH(G1466),1)</f>
        <v/>
      </c>
    </row>
    <row r="1467">
      <c r="A1467" t="inlineStr">
        <is>
          <t>SPO-00798-1</t>
        </is>
      </c>
      <c r="B1467" t="inlineStr">
        <is>
          <t>SPO-00798</t>
        </is>
      </c>
      <c r="C1467" t="inlineStr">
        <is>
          <t>SUP-04</t>
        </is>
      </c>
      <c r="D1467" t="inlineStr">
        <is>
          <t>FLEET</t>
        </is>
      </c>
      <c r="E1467" t="inlineStr">
        <is>
          <t>FLEET-04</t>
        </is>
      </c>
      <c r="F1467" s="17" t="n">
        <v>45789</v>
      </c>
      <c r="G1467" s="17" t="n">
        <v>45802</v>
      </c>
      <c r="H1467" s="18" t="n">
        <v>163</v>
      </c>
      <c r="I1467" s="19" t="n">
        <v>8.779999999999999</v>
      </c>
      <c r="J1467" s="19" t="n">
        <v>9</v>
      </c>
      <c r="K1467" s="20" t="n">
        <v>0</v>
      </c>
      <c r="L1467" s="20" t="n">
        <v>0</v>
      </c>
      <c r="M1467" s="18" t="n">
        <v>163</v>
      </c>
      <c r="N1467" s="18" t="n">
        <v>113</v>
      </c>
      <c r="O1467" s="18" t="n">
        <v>0</v>
      </c>
      <c r="P1467" s="17" t="n">
        <v>45798</v>
      </c>
      <c r="Q1467" s="17" t="n">
        <v>45812</v>
      </c>
      <c r="R1467" s="17" t="n">
        <v>45812</v>
      </c>
      <c r="S1467" s="19">
        <f>H1467*I1467</f>
        <v/>
      </c>
      <c r="T1467" s="19">
        <f>H1467*J1467</f>
        <v/>
      </c>
      <c r="U1467">
        <f>IF(AND(K1467=0,G1467&lt;=Assumptions!$C$6),1,0)</f>
        <v/>
      </c>
      <c r="V1467">
        <f>IF(U1467=1,IF(M1467&gt;0,IF(P1467&lt;=G1467+Assumptions!$C$7,1,0),0),0)</f>
        <v/>
      </c>
      <c r="W1467">
        <f>IF(AND(U1467=1,M1467&gt;=H1467*(1-Assumptions!$C$8)),1,0)</f>
        <v/>
      </c>
      <c r="X1467">
        <f>IF(AND(U1467=1,N1467&gt;=H1467*(1-Assumptions!$C$8)),1,0)</f>
        <v/>
      </c>
      <c r="Y1467">
        <f>IF(ISNUMBER(Q1467),1,0)</f>
        <v/>
      </c>
      <c r="Z1467">
        <f>IF(AND(K1467=0,L1467=0,Y1467=0),1,0)</f>
        <v/>
      </c>
      <c r="AA1467">
        <f>IF(AND(Z1467=1,G1467&lt;Assumptions!$C$6),1,0)</f>
        <v/>
      </c>
      <c r="AB1467">
        <f>IF(U1467=0,"",IF(Y1467=1,MAX(0,Q1467-G1467),IF(L1467=1,MAX(0,R1467-G1467),MAX(0,Assumptions!$C$6-G1467))))</f>
        <v/>
      </c>
      <c r="AC1467">
        <f>IF(Y1467=1,Q1467-F1467,"")</f>
        <v/>
      </c>
      <c r="AD1467">
        <f>IF(Y1467=1,AC1467^2,"")</f>
        <v/>
      </c>
      <c r="AE1467" s="19">
        <f>IF(Z1467=1,(H1467-M1467)*I1467,0)</f>
        <v/>
      </c>
      <c r="AF1467">
        <f>IF(G1467&lt;EDATE(Assumptions!$C$6,-12)+1,"prior_12m","last_12m")</f>
        <v/>
      </c>
      <c r="AG1467" s="21">
        <f>DATE(YEAR(G1467),MONTH(G1467),1)</f>
        <v/>
      </c>
    </row>
    <row r="1468">
      <c r="A1468" t="inlineStr">
        <is>
          <t>SPO-00798-2</t>
        </is>
      </c>
      <c r="B1468" t="inlineStr">
        <is>
          <t>SPO-00798</t>
        </is>
      </c>
      <c r="C1468" t="inlineStr">
        <is>
          <t>SUP-04</t>
        </is>
      </c>
      <c r="D1468" t="inlineStr">
        <is>
          <t>FLEET</t>
        </is>
      </c>
      <c r="E1468" t="inlineStr">
        <is>
          <t>FLEET-07</t>
        </is>
      </c>
      <c r="F1468" s="17" t="n">
        <v>45789</v>
      </c>
      <c r="G1468" s="17" t="n">
        <v>45802</v>
      </c>
      <c r="H1468" s="18" t="n">
        <v>22</v>
      </c>
      <c r="I1468" s="19" t="n">
        <v>120.17</v>
      </c>
      <c r="J1468" s="19" t="n">
        <v>118</v>
      </c>
      <c r="K1468" s="20" t="n">
        <v>0</v>
      </c>
      <c r="L1468" s="20" t="n">
        <v>0</v>
      </c>
      <c r="M1468" s="18" t="n">
        <v>22</v>
      </c>
      <c r="N1468" s="18" t="n">
        <v>0</v>
      </c>
      <c r="O1468" s="18" t="n">
        <v>0</v>
      </c>
      <c r="P1468" s="17" t="n">
        <v>45908</v>
      </c>
      <c r="Q1468" s="17" t="n">
        <v>45908</v>
      </c>
      <c r="R1468" s="17" t="n">
        <v>45908</v>
      </c>
      <c r="S1468" s="19">
        <f>H1468*I1468</f>
        <v/>
      </c>
      <c r="T1468" s="19">
        <f>H1468*J1468</f>
        <v/>
      </c>
      <c r="U1468">
        <f>IF(AND(K1468=0,G1468&lt;=Assumptions!$C$6),1,0)</f>
        <v/>
      </c>
      <c r="V1468">
        <f>IF(U1468=1,IF(M1468&gt;0,IF(P1468&lt;=G1468+Assumptions!$C$7,1,0),0),0)</f>
        <v/>
      </c>
      <c r="W1468">
        <f>IF(AND(U1468=1,M1468&gt;=H1468*(1-Assumptions!$C$8)),1,0)</f>
        <v/>
      </c>
      <c r="X1468">
        <f>IF(AND(U1468=1,N1468&gt;=H1468*(1-Assumptions!$C$8)),1,0)</f>
        <v/>
      </c>
      <c r="Y1468">
        <f>IF(ISNUMBER(Q1468),1,0)</f>
        <v/>
      </c>
      <c r="Z1468">
        <f>IF(AND(K1468=0,L1468=0,Y1468=0),1,0)</f>
        <v/>
      </c>
      <c r="AA1468">
        <f>IF(AND(Z1468=1,G1468&lt;Assumptions!$C$6),1,0)</f>
        <v/>
      </c>
      <c r="AB1468">
        <f>IF(U1468=0,"",IF(Y1468=1,MAX(0,Q1468-G1468),IF(L1468=1,MAX(0,R1468-G1468),MAX(0,Assumptions!$C$6-G1468))))</f>
        <v/>
      </c>
      <c r="AC1468">
        <f>IF(Y1468=1,Q1468-F1468,"")</f>
        <v/>
      </c>
      <c r="AD1468">
        <f>IF(Y1468=1,AC1468^2,"")</f>
        <v/>
      </c>
      <c r="AE1468" s="19">
        <f>IF(Z1468=1,(H1468-M1468)*I1468,0)</f>
        <v/>
      </c>
      <c r="AF1468">
        <f>IF(G1468&lt;EDATE(Assumptions!$C$6,-12)+1,"prior_12m","last_12m")</f>
        <v/>
      </c>
      <c r="AG1468" s="21">
        <f>DATE(YEAR(G1468),MONTH(G1468),1)</f>
        <v/>
      </c>
    </row>
    <row r="1469">
      <c r="A1469" t="inlineStr">
        <is>
          <t>SPO-00799-1</t>
        </is>
      </c>
      <c r="B1469" t="inlineStr">
        <is>
          <t>SPO-00799</t>
        </is>
      </c>
      <c r="C1469" t="inlineStr">
        <is>
          <t>SUP-06</t>
        </is>
      </c>
      <c r="D1469" t="inlineStr">
        <is>
          <t>MRO</t>
        </is>
      </c>
      <c r="E1469" t="inlineStr">
        <is>
          <t>MRO-03</t>
        </is>
      </c>
      <c r="F1469" s="17" t="n">
        <v>45789</v>
      </c>
      <c r="G1469" s="17" t="n">
        <v>45797</v>
      </c>
      <c r="H1469" s="18" t="n">
        <v>155</v>
      </c>
      <c r="I1469" s="19" t="n">
        <v>8.74</v>
      </c>
      <c r="J1469" s="19" t="n">
        <v>8.9</v>
      </c>
      <c r="K1469" s="20" t="n">
        <v>0</v>
      </c>
      <c r="L1469" s="20" t="n">
        <v>0</v>
      </c>
      <c r="M1469" s="18" t="n">
        <v>155</v>
      </c>
      <c r="N1469" s="18" t="n">
        <v>155</v>
      </c>
      <c r="O1469" s="18" t="n">
        <v>0</v>
      </c>
      <c r="P1469" s="17" t="n">
        <v>45796</v>
      </c>
      <c r="Q1469" s="17" t="n">
        <v>45796</v>
      </c>
      <c r="R1469" s="17" t="n">
        <v>45796</v>
      </c>
      <c r="S1469" s="19">
        <f>H1469*I1469</f>
        <v/>
      </c>
      <c r="T1469" s="19">
        <f>H1469*J1469</f>
        <v/>
      </c>
      <c r="U1469">
        <f>IF(AND(K1469=0,G1469&lt;=Assumptions!$C$6),1,0)</f>
        <v/>
      </c>
      <c r="V1469">
        <f>IF(U1469=1,IF(M1469&gt;0,IF(P1469&lt;=G1469+Assumptions!$C$7,1,0),0),0)</f>
        <v/>
      </c>
      <c r="W1469">
        <f>IF(AND(U1469=1,M1469&gt;=H1469*(1-Assumptions!$C$8)),1,0)</f>
        <v/>
      </c>
      <c r="X1469">
        <f>IF(AND(U1469=1,N1469&gt;=H1469*(1-Assumptions!$C$8)),1,0)</f>
        <v/>
      </c>
      <c r="Y1469">
        <f>IF(ISNUMBER(Q1469),1,0)</f>
        <v/>
      </c>
      <c r="Z1469">
        <f>IF(AND(K1469=0,L1469=0,Y1469=0),1,0)</f>
        <v/>
      </c>
      <c r="AA1469">
        <f>IF(AND(Z1469=1,G1469&lt;Assumptions!$C$6),1,0)</f>
        <v/>
      </c>
      <c r="AB1469">
        <f>IF(U1469=0,"",IF(Y1469=1,MAX(0,Q1469-G1469),IF(L1469=1,MAX(0,R1469-G1469),MAX(0,Assumptions!$C$6-G1469))))</f>
        <v/>
      </c>
      <c r="AC1469">
        <f>IF(Y1469=1,Q1469-F1469,"")</f>
        <v/>
      </c>
      <c r="AD1469">
        <f>IF(Y1469=1,AC1469^2,"")</f>
        <v/>
      </c>
      <c r="AE1469" s="19">
        <f>IF(Z1469=1,(H1469-M1469)*I1469,0)</f>
        <v/>
      </c>
      <c r="AF1469">
        <f>IF(G1469&lt;EDATE(Assumptions!$C$6,-12)+1,"prior_12m","last_12m")</f>
        <v/>
      </c>
      <c r="AG1469" s="21">
        <f>DATE(YEAR(G1469),MONTH(G1469),1)</f>
        <v/>
      </c>
    </row>
    <row r="1470">
      <c r="A1470" t="inlineStr">
        <is>
          <t>SPO-00800-1</t>
        </is>
      </c>
      <c r="B1470" t="inlineStr">
        <is>
          <t>SPO-00800</t>
        </is>
      </c>
      <c r="C1470" t="inlineStr">
        <is>
          <t>SUP-01</t>
        </is>
      </c>
      <c r="D1470" t="inlineStr">
        <is>
          <t>ELEC</t>
        </is>
      </c>
      <c r="E1470" t="inlineStr">
        <is>
          <t>ELEC-04</t>
        </is>
      </c>
      <c r="F1470" s="17" t="n">
        <v>45790</v>
      </c>
      <c r="G1470" s="17" t="n">
        <v>45808</v>
      </c>
      <c r="H1470" s="18" t="n">
        <v>10</v>
      </c>
      <c r="I1470" s="19" t="n">
        <v>74.75</v>
      </c>
      <c r="J1470" s="19" t="n">
        <v>72</v>
      </c>
      <c r="K1470" s="20" t="n">
        <v>0</v>
      </c>
      <c r="L1470" s="20" t="n">
        <v>0</v>
      </c>
      <c r="M1470" s="18" t="n">
        <v>10</v>
      </c>
      <c r="N1470" s="18" t="n">
        <v>10</v>
      </c>
      <c r="O1470" s="18" t="n">
        <v>0</v>
      </c>
      <c r="P1470" s="17" t="n">
        <v>45806</v>
      </c>
      <c r="Q1470" s="17" t="n">
        <v>45806</v>
      </c>
      <c r="R1470" s="17" t="n">
        <v>45806</v>
      </c>
      <c r="S1470" s="19">
        <f>H1470*I1470</f>
        <v/>
      </c>
      <c r="T1470" s="19">
        <f>H1470*J1470</f>
        <v/>
      </c>
      <c r="U1470">
        <f>IF(AND(K1470=0,G1470&lt;=Assumptions!$C$6),1,0)</f>
        <v/>
      </c>
      <c r="V1470">
        <f>IF(U1470=1,IF(M1470&gt;0,IF(P1470&lt;=G1470+Assumptions!$C$7,1,0),0),0)</f>
        <v/>
      </c>
      <c r="W1470">
        <f>IF(AND(U1470=1,M1470&gt;=H1470*(1-Assumptions!$C$8)),1,0)</f>
        <v/>
      </c>
      <c r="X1470">
        <f>IF(AND(U1470=1,N1470&gt;=H1470*(1-Assumptions!$C$8)),1,0)</f>
        <v/>
      </c>
      <c r="Y1470">
        <f>IF(ISNUMBER(Q1470),1,0)</f>
        <v/>
      </c>
      <c r="Z1470">
        <f>IF(AND(K1470=0,L1470=0,Y1470=0),1,0)</f>
        <v/>
      </c>
      <c r="AA1470">
        <f>IF(AND(Z1470=1,G1470&lt;Assumptions!$C$6),1,0)</f>
        <v/>
      </c>
      <c r="AB1470">
        <f>IF(U1470=0,"",IF(Y1470=1,MAX(0,Q1470-G1470),IF(L1470=1,MAX(0,R1470-G1470),MAX(0,Assumptions!$C$6-G1470))))</f>
        <v/>
      </c>
      <c r="AC1470">
        <f>IF(Y1470=1,Q1470-F1470,"")</f>
        <v/>
      </c>
      <c r="AD1470">
        <f>IF(Y1470=1,AC1470^2,"")</f>
        <v/>
      </c>
      <c r="AE1470" s="19">
        <f>IF(Z1470=1,(H1470-M1470)*I1470,0)</f>
        <v/>
      </c>
      <c r="AF1470">
        <f>IF(G1470&lt;EDATE(Assumptions!$C$6,-12)+1,"prior_12m","last_12m")</f>
        <v/>
      </c>
      <c r="AG1470" s="21">
        <f>DATE(YEAR(G1470),MONTH(G1470),1)</f>
        <v/>
      </c>
    </row>
    <row r="1471">
      <c r="A1471" t="inlineStr">
        <is>
          <t>SPO-00801-1</t>
        </is>
      </c>
      <c r="B1471" t="inlineStr">
        <is>
          <t>SPO-00801</t>
        </is>
      </c>
      <c r="C1471" t="inlineStr">
        <is>
          <t>SUP-01</t>
        </is>
      </c>
      <c r="D1471" t="inlineStr">
        <is>
          <t>ELEC</t>
        </is>
      </c>
      <c r="E1471" t="inlineStr">
        <is>
          <t>ELEC-03</t>
        </is>
      </c>
      <c r="F1471" s="17" t="n">
        <v>45790</v>
      </c>
      <c r="G1471" s="17" t="n">
        <v>45808</v>
      </c>
      <c r="H1471" s="18" t="n">
        <v>34</v>
      </c>
      <c r="I1471" s="19" t="n">
        <v>96.84999999999999</v>
      </c>
      <c r="J1471" s="19" t="n">
        <v>96</v>
      </c>
      <c r="K1471" s="20" t="n">
        <v>0</v>
      </c>
      <c r="L1471" s="20" t="n">
        <v>0</v>
      </c>
      <c r="M1471" s="18" t="n">
        <v>34</v>
      </c>
      <c r="N1471" s="18" t="n">
        <v>34</v>
      </c>
      <c r="O1471" s="18" t="n">
        <v>0</v>
      </c>
      <c r="P1471" s="17" t="n">
        <v>45806</v>
      </c>
      <c r="Q1471" s="17" t="n">
        <v>45806</v>
      </c>
      <c r="R1471" s="17" t="n">
        <v>45806</v>
      </c>
      <c r="S1471" s="19">
        <f>H1471*I1471</f>
        <v/>
      </c>
      <c r="T1471" s="19">
        <f>H1471*J1471</f>
        <v/>
      </c>
      <c r="U1471">
        <f>IF(AND(K1471=0,G1471&lt;=Assumptions!$C$6),1,0)</f>
        <v/>
      </c>
      <c r="V1471">
        <f>IF(U1471=1,IF(M1471&gt;0,IF(P1471&lt;=G1471+Assumptions!$C$7,1,0),0),0)</f>
        <v/>
      </c>
      <c r="W1471">
        <f>IF(AND(U1471=1,M1471&gt;=H1471*(1-Assumptions!$C$8)),1,0)</f>
        <v/>
      </c>
      <c r="X1471">
        <f>IF(AND(U1471=1,N1471&gt;=H1471*(1-Assumptions!$C$8)),1,0)</f>
        <v/>
      </c>
      <c r="Y1471">
        <f>IF(ISNUMBER(Q1471),1,0)</f>
        <v/>
      </c>
      <c r="Z1471">
        <f>IF(AND(K1471=0,L1471=0,Y1471=0),1,0)</f>
        <v/>
      </c>
      <c r="AA1471">
        <f>IF(AND(Z1471=1,G1471&lt;Assumptions!$C$6),1,0)</f>
        <v/>
      </c>
      <c r="AB1471">
        <f>IF(U1471=0,"",IF(Y1471=1,MAX(0,Q1471-G1471),IF(L1471=1,MAX(0,R1471-G1471),MAX(0,Assumptions!$C$6-G1471))))</f>
        <v/>
      </c>
      <c r="AC1471">
        <f>IF(Y1471=1,Q1471-F1471,"")</f>
        <v/>
      </c>
      <c r="AD1471">
        <f>IF(Y1471=1,AC1471^2,"")</f>
        <v/>
      </c>
      <c r="AE1471" s="19">
        <f>IF(Z1471=1,(H1471-M1471)*I1471,0)</f>
        <v/>
      </c>
      <c r="AF1471">
        <f>IF(G1471&lt;EDATE(Assumptions!$C$6,-12)+1,"prior_12m","last_12m")</f>
        <v/>
      </c>
      <c r="AG1471" s="21">
        <f>DATE(YEAR(G1471),MONTH(G1471),1)</f>
        <v/>
      </c>
    </row>
    <row r="1472">
      <c r="A1472" t="inlineStr">
        <is>
          <t>SPO-00801-2</t>
        </is>
      </c>
      <c r="B1472" t="inlineStr">
        <is>
          <t>SPO-00801</t>
        </is>
      </c>
      <c r="C1472" t="inlineStr">
        <is>
          <t>SUP-01</t>
        </is>
      </c>
      <c r="D1472" t="inlineStr">
        <is>
          <t>ELEC</t>
        </is>
      </c>
      <c r="E1472" t="inlineStr">
        <is>
          <t>ELEC-04</t>
        </is>
      </c>
      <c r="F1472" s="17" t="n">
        <v>45790</v>
      </c>
      <c r="G1472" s="17" t="n">
        <v>45808</v>
      </c>
      <c r="H1472" s="18" t="n">
        <v>26</v>
      </c>
      <c r="I1472" s="19" t="n">
        <v>72.91</v>
      </c>
      <c r="J1472" s="19" t="n">
        <v>72</v>
      </c>
      <c r="K1472" s="20" t="n">
        <v>0</v>
      </c>
      <c r="L1472" s="20" t="n">
        <v>0</v>
      </c>
      <c r="M1472" s="18" t="n">
        <v>26</v>
      </c>
      <c r="N1472" s="18" t="n">
        <v>26</v>
      </c>
      <c r="O1472" s="18" t="n">
        <v>7</v>
      </c>
      <c r="P1472" s="17" t="n">
        <v>45804</v>
      </c>
      <c r="Q1472" s="17" t="n">
        <v>45804</v>
      </c>
      <c r="R1472" s="17" t="n">
        <v>45804</v>
      </c>
      <c r="S1472" s="19">
        <f>H1472*I1472</f>
        <v/>
      </c>
      <c r="T1472" s="19">
        <f>H1472*J1472</f>
        <v/>
      </c>
      <c r="U1472">
        <f>IF(AND(K1472=0,G1472&lt;=Assumptions!$C$6),1,0)</f>
        <v/>
      </c>
      <c r="V1472">
        <f>IF(U1472=1,IF(M1472&gt;0,IF(P1472&lt;=G1472+Assumptions!$C$7,1,0),0),0)</f>
        <v/>
      </c>
      <c r="W1472">
        <f>IF(AND(U1472=1,M1472&gt;=H1472*(1-Assumptions!$C$8)),1,0)</f>
        <v/>
      </c>
      <c r="X1472">
        <f>IF(AND(U1472=1,N1472&gt;=H1472*(1-Assumptions!$C$8)),1,0)</f>
        <v/>
      </c>
      <c r="Y1472">
        <f>IF(ISNUMBER(Q1472),1,0)</f>
        <v/>
      </c>
      <c r="Z1472">
        <f>IF(AND(K1472=0,L1472=0,Y1472=0),1,0)</f>
        <v/>
      </c>
      <c r="AA1472">
        <f>IF(AND(Z1472=1,G1472&lt;Assumptions!$C$6),1,0)</f>
        <v/>
      </c>
      <c r="AB1472">
        <f>IF(U1472=0,"",IF(Y1472=1,MAX(0,Q1472-G1472),IF(L1472=1,MAX(0,R1472-G1472),MAX(0,Assumptions!$C$6-G1472))))</f>
        <v/>
      </c>
      <c r="AC1472">
        <f>IF(Y1472=1,Q1472-F1472,"")</f>
        <v/>
      </c>
      <c r="AD1472">
        <f>IF(Y1472=1,AC1472^2,"")</f>
        <v/>
      </c>
      <c r="AE1472" s="19">
        <f>IF(Z1472=1,(H1472-M1472)*I1472,0)</f>
        <v/>
      </c>
      <c r="AF1472">
        <f>IF(G1472&lt;EDATE(Assumptions!$C$6,-12)+1,"prior_12m","last_12m")</f>
        <v/>
      </c>
      <c r="AG1472" s="21">
        <f>DATE(YEAR(G1472),MONTH(G1472),1)</f>
        <v/>
      </c>
    </row>
    <row r="1473">
      <c r="A1473" t="inlineStr">
        <is>
          <t>SPO-00801-3</t>
        </is>
      </c>
      <c r="B1473" t="inlineStr">
        <is>
          <t>SPO-00801</t>
        </is>
      </c>
      <c r="C1473" t="inlineStr">
        <is>
          <t>SUP-01</t>
        </is>
      </c>
      <c r="D1473" t="inlineStr">
        <is>
          <t>ELEC</t>
        </is>
      </c>
      <c r="E1473" t="inlineStr">
        <is>
          <t>ELEC-06</t>
        </is>
      </c>
      <c r="F1473" s="17" t="n">
        <v>45790</v>
      </c>
      <c r="G1473" s="17" t="n">
        <v>45808</v>
      </c>
      <c r="H1473" s="18" t="n">
        <v>12</v>
      </c>
      <c r="I1473" s="19" t="n">
        <v>150.62</v>
      </c>
      <c r="J1473" s="19" t="n">
        <v>145</v>
      </c>
      <c r="K1473" s="20" t="n">
        <v>0</v>
      </c>
      <c r="L1473" s="20" t="n">
        <v>0</v>
      </c>
      <c r="M1473" s="18" t="n">
        <v>12</v>
      </c>
      <c r="N1473" s="18" t="n">
        <v>12</v>
      </c>
      <c r="O1473" s="18" t="n">
        <v>0</v>
      </c>
      <c r="P1473" s="17" t="n">
        <v>45805</v>
      </c>
      <c r="Q1473" s="17" t="n">
        <v>45805</v>
      </c>
      <c r="R1473" s="17" t="n">
        <v>45805</v>
      </c>
      <c r="S1473" s="19">
        <f>H1473*I1473</f>
        <v/>
      </c>
      <c r="T1473" s="19">
        <f>H1473*J1473</f>
        <v/>
      </c>
      <c r="U1473">
        <f>IF(AND(K1473=0,G1473&lt;=Assumptions!$C$6),1,0)</f>
        <v/>
      </c>
      <c r="V1473">
        <f>IF(U1473=1,IF(M1473&gt;0,IF(P1473&lt;=G1473+Assumptions!$C$7,1,0),0),0)</f>
        <v/>
      </c>
      <c r="W1473">
        <f>IF(AND(U1473=1,M1473&gt;=H1473*(1-Assumptions!$C$8)),1,0)</f>
        <v/>
      </c>
      <c r="X1473">
        <f>IF(AND(U1473=1,N1473&gt;=H1473*(1-Assumptions!$C$8)),1,0)</f>
        <v/>
      </c>
      <c r="Y1473">
        <f>IF(ISNUMBER(Q1473),1,0)</f>
        <v/>
      </c>
      <c r="Z1473">
        <f>IF(AND(K1473=0,L1473=0,Y1473=0),1,0)</f>
        <v/>
      </c>
      <c r="AA1473">
        <f>IF(AND(Z1473=1,G1473&lt;Assumptions!$C$6),1,0)</f>
        <v/>
      </c>
      <c r="AB1473">
        <f>IF(U1473=0,"",IF(Y1473=1,MAX(0,Q1473-G1473),IF(L1473=1,MAX(0,R1473-G1473),MAX(0,Assumptions!$C$6-G1473))))</f>
        <v/>
      </c>
      <c r="AC1473">
        <f>IF(Y1473=1,Q1473-F1473,"")</f>
        <v/>
      </c>
      <c r="AD1473">
        <f>IF(Y1473=1,AC1473^2,"")</f>
        <v/>
      </c>
      <c r="AE1473" s="19">
        <f>IF(Z1473=1,(H1473-M1473)*I1473,0)</f>
        <v/>
      </c>
      <c r="AF1473">
        <f>IF(G1473&lt;EDATE(Assumptions!$C$6,-12)+1,"prior_12m","last_12m")</f>
        <v/>
      </c>
      <c r="AG1473" s="21">
        <f>DATE(YEAR(G1473),MONTH(G1473),1)</f>
        <v/>
      </c>
    </row>
    <row r="1474">
      <c r="A1474" t="inlineStr">
        <is>
          <t>SPO-00802-1</t>
        </is>
      </c>
      <c r="B1474" t="inlineStr">
        <is>
          <t>SPO-00802</t>
        </is>
      </c>
      <c r="C1474" t="inlineStr">
        <is>
          <t>SUP-01</t>
        </is>
      </c>
      <c r="D1474" t="inlineStr">
        <is>
          <t>ELEC</t>
        </is>
      </c>
      <c r="E1474" t="inlineStr">
        <is>
          <t>ELEC-03</t>
        </is>
      </c>
      <c r="F1474" s="17" t="n">
        <v>45790</v>
      </c>
      <c r="G1474" s="17" t="n">
        <v>45808</v>
      </c>
      <c r="H1474" s="18" t="n">
        <v>80</v>
      </c>
      <c r="I1474" s="19" t="n">
        <v>97.06</v>
      </c>
      <c r="J1474" s="19" t="n">
        <v>96</v>
      </c>
      <c r="K1474" s="20" t="n">
        <v>0</v>
      </c>
      <c r="L1474" s="20" t="n">
        <v>0</v>
      </c>
      <c r="M1474" s="18" t="n">
        <v>80</v>
      </c>
      <c r="N1474" s="18" t="n">
        <v>80</v>
      </c>
      <c r="O1474" s="18" t="n">
        <v>0</v>
      </c>
      <c r="P1474" s="17" t="n">
        <v>45807</v>
      </c>
      <c r="Q1474" s="17" t="n">
        <v>45807</v>
      </c>
      <c r="R1474" s="17" t="n">
        <v>45807</v>
      </c>
      <c r="S1474" s="19">
        <f>H1474*I1474</f>
        <v/>
      </c>
      <c r="T1474" s="19">
        <f>H1474*J1474</f>
        <v/>
      </c>
      <c r="U1474">
        <f>IF(AND(K1474=0,G1474&lt;=Assumptions!$C$6),1,0)</f>
        <v/>
      </c>
      <c r="V1474">
        <f>IF(U1474=1,IF(M1474&gt;0,IF(P1474&lt;=G1474+Assumptions!$C$7,1,0),0),0)</f>
        <v/>
      </c>
      <c r="W1474">
        <f>IF(AND(U1474=1,M1474&gt;=H1474*(1-Assumptions!$C$8)),1,0)</f>
        <v/>
      </c>
      <c r="X1474">
        <f>IF(AND(U1474=1,N1474&gt;=H1474*(1-Assumptions!$C$8)),1,0)</f>
        <v/>
      </c>
      <c r="Y1474">
        <f>IF(ISNUMBER(Q1474),1,0)</f>
        <v/>
      </c>
      <c r="Z1474">
        <f>IF(AND(K1474=0,L1474=0,Y1474=0),1,0)</f>
        <v/>
      </c>
      <c r="AA1474">
        <f>IF(AND(Z1474=1,G1474&lt;Assumptions!$C$6),1,0)</f>
        <v/>
      </c>
      <c r="AB1474">
        <f>IF(U1474=0,"",IF(Y1474=1,MAX(0,Q1474-G1474),IF(L1474=1,MAX(0,R1474-G1474),MAX(0,Assumptions!$C$6-G1474))))</f>
        <v/>
      </c>
      <c r="AC1474">
        <f>IF(Y1474=1,Q1474-F1474,"")</f>
        <v/>
      </c>
      <c r="AD1474">
        <f>IF(Y1474=1,AC1474^2,"")</f>
        <v/>
      </c>
      <c r="AE1474" s="19">
        <f>IF(Z1474=1,(H1474-M1474)*I1474,0)</f>
        <v/>
      </c>
      <c r="AF1474">
        <f>IF(G1474&lt;EDATE(Assumptions!$C$6,-12)+1,"prior_12m","last_12m")</f>
        <v/>
      </c>
      <c r="AG1474" s="21">
        <f>DATE(YEAR(G1474),MONTH(G1474),1)</f>
        <v/>
      </c>
    </row>
    <row r="1475">
      <c r="A1475" t="inlineStr">
        <is>
          <t>SPO-00803-1</t>
        </is>
      </c>
      <c r="B1475" t="inlineStr">
        <is>
          <t>SPO-00803</t>
        </is>
      </c>
      <c r="C1475" t="inlineStr">
        <is>
          <t>SUP-01</t>
        </is>
      </c>
      <c r="D1475" t="inlineStr">
        <is>
          <t>ELEC</t>
        </is>
      </c>
      <c r="E1475" t="inlineStr">
        <is>
          <t>ELEC-06</t>
        </is>
      </c>
      <c r="F1475" s="17" t="n">
        <v>45790</v>
      </c>
      <c r="G1475" s="17" t="n">
        <v>45808</v>
      </c>
      <c r="H1475" s="18" t="n">
        <v>17</v>
      </c>
      <c r="I1475" s="19" t="n">
        <v>141.36</v>
      </c>
      <c r="J1475" s="19" t="n">
        <v>145</v>
      </c>
      <c r="K1475" s="20" t="n">
        <v>0</v>
      </c>
      <c r="L1475" s="20" t="n">
        <v>0</v>
      </c>
      <c r="M1475" s="18" t="n">
        <v>17</v>
      </c>
      <c r="N1475" s="18" t="n">
        <v>17</v>
      </c>
      <c r="O1475" s="18" t="n">
        <v>0</v>
      </c>
      <c r="P1475" s="17" t="n">
        <v>45805</v>
      </c>
      <c r="Q1475" s="17" t="n">
        <v>45805</v>
      </c>
      <c r="R1475" s="17" t="n">
        <v>45805</v>
      </c>
      <c r="S1475" s="19">
        <f>H1475*I1475</f>
        <v/>
      </c>
      <c r="T1475" s="19">
        <f>H1475*J1475</f>
        <v/>
      </c>
      <c r="U1475">
        <f>IF(AND(K1475=0,G1475&lt;=Assumptions!$C$6),1,0)</f>
        <v/>
      </c>
      <c r="V1475">
        <f>IF(U1475=1,IF(M1475&gt;0,IF(P1475&lt;=G1475+Assumptions!$C$7,1,0),0),0)</f>
        <v/>
      </c>
      <c r="W1475">
        <f>IF(AND(U1475=1,M1475&gt;=H1475*(1-Assumptions!$C$8)),1,0)</f>
        <v/>
      </c>
      <c r="X1475">
        <f>IF(AND(U1475=1,N1475&gt;=H1475*(1-Assumptions!$C$8)),1,0)</f>
        <v/>
      </c>
      <c r="Y1475">
        <f>IF(ISNUMBER(Q1475),1,0)</f>
        <v/>
      </c>
      <c r="Z1475">
        <f>IF(AND(K1475=0,L1475=0,Y1475=0),1,0)</f>
        <v/>
      </c>
      <c r="AA1475">
        <f>IF(AND(Z1475=1,G1475&lt;Assumptions!$C$6),1,0)</f>
        <v/>
      </c>
      <c r="AB1475">
        <f>IF(U1475=0,"",IF(Y1475=1,MAX(0,Q1475-G1475),IF(L1475=1,MAX(0,R1475-G1475),MAX(0,Assumptions!$C$6-G1475))))</f>
        <v/>
      </c>
      <c r="AC1475">
        <f>IF(Y1475=1,Q1475-F1475,"")</f>
        <v/>
      </c>
      <c r="AD1475">
        <f>IF(Y1475=1,AC1475^2,"")</f>
        <v/>
      </c>
      <c r="AE1475" s="19">
        <f>IF(Z1475=1,(H1475-M1475)*I1475,0)</f>
        <v/>
      </c>
      <c r="AF1475">
        <f>IF(G1475&lt;EDATE(Assumptions!$C$6,-12)+1,"prior_12m","last_12m")</f>
        <v/>
      </c>
      <c r="AG1475" s="21">
        <f>DATE(YEAR(G1475),MONTH(G1475),1)</f>
        <v/>
      </c>
    </row>
    <row r="1476">
      <c r="A1476" t="inlineStr">
        <is>
          <t>SPO-00804-1</t>
        </is>
      </c>
      <c r="B1476" t="inlineStr">
        <is>
          <t>SPO-00804</t>
        </is>
      </c>
      <c r="C1476" t="inlineStr">
        <is>
          <t>SUP-01</t>
        </is>
      </c>
      <c r="D1476" t="inlineStr">
        <is>
          <t>ELEC</t>
        </is>
      </c>
      <c r="E1476" t="inlineStr">
        <is>
          <t>ELEC-06</t>
        </is>
      </c>
      <c r="F1476" s="17" t="n">
        <v>45791</v>
      </c>
      <c r="G1476" s="17" t="n">
        <v>45809</v>
      </c>
      <c r="H1476" s="18" t="n">
        <v>20</v>
      </c>
      <c r="I1476" s="19" t="n">
        <v>149.8</v>
      </c>
      <c r="J1476" s="19" t="n">
        <v>145</v>
      </c>
      <c r="K1476" s="20" t="n">
        <v>0</v>
      </c>
      <c r="L1476" s="20" t="n">
        <v>0</v>
      </c>
      <c r="M1476" s="18" t="n">
        <v>20</v>
      </c>
      <c r="N1476" s="18" t="n">
        <v>20</v>
      </c>
      <c r="O1476" s="18" t="n">
        <v>0</v>
      </c>
      <c r="P1476" s="17" t="n">
        <v>45806</v>
      </c>
      <c r="Q1476" s="17" t="n">
        <v>45806</v>
      </c>
      <c r="R1476" s="17" t="n">
        <v>45806</v>
      </c>
      <c r="S1476" s="19">
        <f>H1476*I1476</f>
        <v/>
      </c>
      <c r="T1476" s="19">
        <f>H1476*J1476</f>
        <v/>
      </c>
      <c r="U1476">
        <f>IF(AND(K1476=0,G1476&lt;=Assumptions!$C$6),1,0)</f>
        <v/>
      </c>
      <c r="V1476">
        <f>IF(U1476=1,IF(M1476&gt;0,IF(P1476&lt;=G1476+Assumptions!$C$7,1,0),0),0)</f>
        <v/>
      </c>
      <c r="W1476">
        <f>IF(AND(U1476=1,M1476&gt;=H1476*(1-Assumptions!$C$8)),1,0)</f>
        <v/>
      </c>
      <c r="X1476">
        <f>IF(AND(U1476=1,N1476&gt;=H1476*(1-Assumptions!$C$8)),1,0)</f>
        <v/>
      </c>
      <c r="Y1476">
        <f>IF(ISNUMBER(Q1476),1,0)</f>
        <v/>
      </c>
      <c r="Z1476">
        <f>IF(AND(K1476=0,L1476=0,Y1476=0),1,0)</f>
        <v/>
      </c>
      <c r="AA1476">
        <f>IF(AND(Z1476=1,G1476&lt;Assumptions!$C$6),1,0)</f>
        <v/>
      </c>
      <c r="AB1476">
        <f>IF(U1476=0,"",IF(Y1476=1,MAX(0,Q1476-G1476),IF(L1476=1,MAX(0,R1476-G1476),MAX(0,Assumptions!$C$6-G1476))))</f>
        <v/>
      </c>
      <c r="AC1476">
        <f>IF(Y1476=1,Q1476-F1476,"")</f>
        <v/>
      </c>
      <c r="AD1476">
        <f>IF(Y1476=1,AC1476^2,"")</f>
        <v/>
      </c>
      <c r="AE1476" s="19">
        <f>IF(Z1476=1,(H1476-M1476)*I1476,0)</f>
        <v/>
      </c>
      <c r="AF1476">
        <f>IF(G1476&lt;EDATE(Assumptions!$C$6,-12)+1,"prior_12m","last_12m")</f>
        <v/>
      </c>
      <c r="AG1476" s="21">
        <f>DATE(YEAR(G1476),MONTH(G1476),1)</f>
        <v/>
      </c>
    </row>
    <row r="1477">
      <c r="A1477" t="inlineStr">
        <is>
          <t>SPO-00805-1</t>
        </is>
      </c>
      <c r="B1477" t="inlineStr">
        <is>
          <t>SPO-00805</t>
        </is>
      </c>
      <c r="C1477" t="inlineStr">
        <is>
          <t>SUP-04</t>
        </is>
      </c>
      <c r="D1477" t="inlineStr">
        <is>
          <t>FLEET</t>
        </is>
      </c>
      <c r="E1477" t="inlineStr">
        <is>
          <t>FLEET-01</t>
        </is>
      </c>
      <c r="F1477" s="17" t="n">
        <v>45791</v>
      </c>
      <c r="G1477" s="17" t="n">
        <v>45804</v>
      </c>
      <c r="H1477" s="18" t="n">
        <v>17</v>
      </c>
      <c r="I1477" s="19" t="n">
        <v>65.84</v>
      </c>
      <c r="J1477" s="19" t="n">
        <v>64</v>
      </c>
      <c r="K1477" s="20" t="n">
        <v>0</v>
      </c>
      <c r="L1477" s="20" t="n">
        <v>0</v>
      </c>
      <c r="M1477" s="18" t="n">
        <v>17</v>
      </c>
      <c r="N1477" s="18" t="n">
        <v>0</v>
      </c>
      <c r="O1477" s="18" t="n">
        <v>0</v>
      </c>
      <c r="P1477" s="17" t="n">
        <v>45808</v>
      </c>
      <c r="Q1477" s="17" t="n">
        <v>45808</v>
      </c>
      <c r="R1477" s="17" t="n">
        <v>45808</v>
      </c>
      <c r="S1477" s="19">
        <f>H1477*I1477</f>
        <v/>
      </c>
      <c r="T1477" s="19">
        <f>H1477*J1477</f>
        <v/>
      </c>
      <c r="U1477">
        <f>IF(AND(K1477=0,G1477&lt;=Assumptions!$C$6),1,0)</f>
        <v/>
      </c>
      <c r="V1477">
        <f>IF(U1477=1,IF(M1477&gt;0,IF(P1477&lt;=G1477+Assumptions!$C$7,1,0),0),0)</f>
        <v/>
      </c>
      <c r="W1477">
        <f>IF(AND(U1477=1,M1477&gt;=H1477*(1-Assumptions!$C$8)),1,0)</f>
        <v/>
      </c>
      <c r="X1477">
        <f>IF(AND(U1477=1,N1477&gt;=H1477*(1-Assumptions!$C$8)),1,0)</f>
        <v/>
      </c>
      <c r="Y1477">
        <f>IF(ISNUMBER(Q1477),1,0)</f>
        <v/>
      </c>
      <c r="Z1477">
        <f>IF(AND(K1477=0,L1477=0,Y1477=0),1,0)</f>
        <v/>
      </c>
      <c r="AA1477">
        <f>IF(AND(Z1477=1,G1477&lt;Assumptions!$C$6),1,0)</f>
        <v/>
      </c>
      <c r="AB1477">
        <f>IF(U1477=0,"",IF(Y1477=1,MAX(0,Q1477-G1477),IF(L1477=1,MAX(0,R1477-G1477),MAX(0,Assumptions!$C$6-G1477))))</f>
        <v/>
      </c>
      <c r="AC1477">
        <f>IF(Y1477=1,Q1477-F1477,"")</f>
        <v/>
      </c>
      <c r="AD1477">
        <f>IF(Y1477=1,AC1477^2,"")</f>
        <v/>
      </c>
      <c r="AE1477" s="19">
        <f>IF(Z1477=1,(H1477-M1477)*I1477,0)</f>
        <v/>
      </c>
      <c r="AF1477">
        <f>IF(G1477&lt;EDATE(Assumptions!$C$6,-12)+1,"prior_12m","last_12m")</f>
        <v/>
      </c>
      <c r="AG1477" s="21">
        <f>DATE(YEAR(G1477),MONTH(G1477),1)</f>
        <v/>
      </c>
    </row>
    <row r="1478">
      <c r="A1478" t="inlineStr">
        <is>
          <t>SPO-00806-1</t>
        </is>
      </c>
      <c r="B1478" t="inlineStr">
        <is>
          <t>SPO-00806</t>
        </is>
      </c>
      <c r="C1478" t="inlineStr">
        <is>
          <t>SUP-12</t>
        </is>
      </c>
      <c r="D1478" t="inlineStr">
        <is>
          <t>IT</t>
        </is>
      </c>
      <c r="E1478" t="inlineStr">
        <is>
          <t>IT-04</t>
        </is>
      </c>
      <c r="F1478" s="17" t="n">
        <v>45791</v>
      </c>
      <c r="G1478" s="17" t="n">
        <v>45801</v>
      </c>
      <c r="H1478" s="18" t="n">
        <v>128</v>
      </c>
      <c r="I1478" s="19" t="n">
        <v>13.4</v>
      </c>
      <c r="J1478" s="19" t="n">
        <v>12</v>
      </c>
      <c r="K1478" s="20" t="n">
        <v>1</v>
      </c>
      <c r="L1478" s="20" t="n">
        <v>0</v>
      </c>
      <c r="M1478" s="18" t="n">
        <v>0</v>
      </c>
      <c r="N1478" s="18" t="n">
        <v>0</v>
      </c>
      <c r="O1478" s="18" t="n">
        <v>0</v>
      </c>
      <c r="P1478" s="17" t="n"/>
      <c r="Q1478" s="17" t="n"/>
      <c r="R1478" s="17" t="n"/>
      <c r="S1478" s="19">
        <f>H1478*I1478</f>
        <v/>
      </c>
      <c r="T1478" s="19">
        <f>H1478*J1478</f>
        <v/>
      </c>
      <c r="U1478">
        <f>IF(AND(K1478=0,G1478&lt;=Assumptions!$C$6),1,0)</f>
        <v/>
      </c>
      <c r="V1478">
        <f>IF(U1478=1,IF(M1478&gt;0,IF(P1478&lt;=G1478+Assumptions!$C$7,1,0),0),0)</f>
        <v/>
      </c>
      <c r="W1478">
        <f>IF(AND(U1478=1,M1478&gt;=H1478*(1-Assumptions!$C$8)),1,0)</f>
        <v/>
      </c>
      <c r="X1478">
        <f>IF(AND(U1478=1,N1478&gt;=H1478*(1-Assumptions!$C$8)),1,0)</f>
        <v/>
      </c>
      <c r="Y1478">
        <f>IF(ISNUMBER(Q1478),1,0)</f>
        <v/>
      </c>
      <c r="Z1478">
        <f>IF(AND(K1478=0,L1478=0,Y1478=0),1,0)</f>
        <v/>
      </c>
      <c r="AA1478">
        <f>IF(AND(Z1478=1,G1478&lt;Assumptions!$C$6),1,0)</f>
        <v/>
      </c>
      <c r="AB1478">
        <f>IF(U1478=0,"",IF(Y1478=1,MAX(0,Q1478-G1478),IF(L1478=1,MAX(0,R1478-G1478),MAX(0,Assumptions!$C$6-G1478))))</f>
        <v/>
      </c>
      <c r="AC1478">
        <f>IF(Y1478=1,Q1478-F1478,"")</f>
        <v/>
      </c>
      <c r="AD1478">
        <f>IF(Y1478=1,AC1478^2,"")</f>
        <v/>
      </c>
      <c r="AE1478" s="19">
        <f>IF(Z1478=1,(H1478-M1478)*I1478,0)</f>
        <v/>
      </c>
      <c r="AF1478">
        <f>IF(G1478&lt;EDATE(Assumptions!$C$6,-12)+1,"prior_12m","last_12m")</f>
        <v/>
      </c>
      <c r="AG1478" s="21">
        <f>DATE(YEAR(G1478),MONTH(G1478),1)</f>
        <v/>
      </c>
    </row>
    <row r="1479">
      <c r="A1479" t="inlineStr">
        <is>
          <t>SPO-00806-2</t>
        </is>
      </c>
      <c r="B1479" t="inlineStr">
        <is>
          <t>SPO-00806</t>
        </is>
      </c>
      <c r="C1479" t="inlineStr">
        <is>
          <t>SUP-12</t>
        </is>
      </c>
      <c r="D1479" t="inlineStr">
        <is>
          <t>IT</t>
        </is>
      </c>
      <c r="E1479" t="inlineStr">
        <is>
          <t>IT-01</t>
        </is>
      </c>
      <c r="F1479" s="17" t="n">
        <v>45791</v>
      </c>
      <c r="G1479" s="17" t="n">
        <v>45801</v>
      </c>
      <c r="H1479" s="18" t="n">
        <v>12</v>
      </c>
      <c r="I1479" s="19" t="n">
        <v>212.26</v>
      </c>
      <c r="J1479" s="19" t="n">
        <v>189</v>
      </c>
      <c r="K1479" s="20" t="n">
        <v>0</v>
      </c>
      <c r="L1479" s="20" t="n">
        <v>1</v>
      </c>
      <c r="M1479" s="18" t="n">
        <v>9</v>
      </c>
      <c r="N1479" s="18" t="n">
        <v>9</v>
      </c>
      <c r="O1479" s="18" t="n">
        <v>0</v>
      </c>
      <c r="P1479" s="17" t="n">
        <v>45801</v>
      </c>
      <c r="Q1479" s="17" t="n"/>
      <c r="R1479" s="17" t="n">
        <v>45801</v>
      </c>
      <c r="S1479" s="19">
        <f>H1479*I1479</f>
        <v/>
      </c>
      <c r="T1479" s="19">
        <f>H1479*J1479</f>
        <v/>
      </c>
      <c r="U1479">
        <f>IF(AND(K1479=0,G1479&lt;=Assumptions!$C$6),1,0)</f>
        <v/>
      </c>
      <c r="V1479">
        <f>IF(U1479=1,IF(M1479&gt;0,IF(P1479&lt;=G1479+Assumptions!$C$7,1,0),0),0)</f>
        <v/>
      </c>
      <c r="W1479">
        <f>IF(AND(U1479=1,M1479&gt;=H1479*(1-Assumptions!$C$8)),1,0)</f>
        <v/>
      </c>
      <c r="X1479">
        <f>IF(AND(U1479=1,N1479&gt;=H1479*(1-Assumptions!$C$8)),1,0)</f>
        <v/>
      </c>
      <c r="Y1479">
        <f>IF(ISNUMBER(Q1479),1,0)</f>
        <v/>
      </c>
      <c r="Z1479">
        <f>IF(AND(K1479=0,L1479=0,Y1479=0),1,0)</f>
        <v/>
      </c>
      <c r="AA1479">
        <f>IF(AND(Z1479=1,G1479&lt;Assumptions!$C$6),1,0)</f>
        <v/>
      </c>
      <c r="AB1479">
        <f>IF(U1479=0,"",IF(Y1479=1,MAX(0,Q1479-G1479),IF(L1479=1,MAX(0,R1479-G1479),MAX(0,Assumptions!$C$6-G1479))))</f>
        <v/>
      </c>
      <c r="AC1479">
        <f>IF(Y1479=1,Q1479-F1479,"")</f>
        <v/>
      </c>
      <c r="AD1479">
        <f>IF(Y1479=1,AC1479^2,"")</f>
        <v/>
      </c>
      <c r="AE1479" s="19">
        <f>IF(Z1479=1,(H1479-M1479)*I1479,0)</f>
        <v/>
      </c>
      <c r="AF1479">
        <f>IF(G1479&lt;EDATE(Assumptions!$C$6,-12)+1,"prior_12m","last_12m")</f>
        <v/>
      </c>
      <c r="AG1479" s="21">
        <f>DATE(YEAR(G1479),MONTH(G1479),1)</f>
        <v/>
      </c>
    </row>
    <row r="1480">
      <c r="A1480" t="inlineStr">
        <is>
          <t>SPO-00807-1</t>
        </is>
      </c>
      <c r="B1480" t="inlineStr">
        <is>
          <t>SPO-00807</t>
        </is>
      </c>
      <c r="C1480" t="inlineStr">
        <is>
          <t>SUP-08</t>
        </is>
      </c>
      <c r="D1480" t="inlineStr">
        <is>
          <t>MRO</t>
        </is>
      </c>
      <c r="E1480" t="inlineStr">
        <is>
          <t>MRO-07</t>
        </is>
      </c>
      <c r="F1480" s="17" t="n">
        <v>45791</v>
      </c>
      <c r="G1480" s="17" t="n">
        <v>45802</v>
      </c>
      <c r="H1480" s="18" t="n">
        <v>87</v>
      </c>
      <c r="I1480" s="19" t="n">
        <v>14.42</v>
      </c>
      <c r="J1480" s="19" t="n">
        <v>14</v>
      </c>
      <c r="K1480" s="20" t="n">
        <v>0</v>
      </c>
      <c r="L1480" s="20" t="n">
        <v>0</v>
      </c>
      <c r="M1480" s="18" t="n">
        <v>87</v>
      </c>
      <c r="N1480" s="18" t="n">
        <v>87</v>
      </c>
      <c r="O1480" s="18" t="n">
        <v>0</v>
      </c>
      <c r="P1480" s="17" t="n">
        <v>45797</v>
      </c>
      <c r="Q1480" s="17" t="n">
        <v>45797</v>
      </c>
      <c r="R1480" s="17" t="n">
        <v>45797</v>
      </c>
      <c r="S1480" s="19">
        <f>H1480*I1480</f>
        <v/>
      </c>
      <c r="T1480" s="19">
        <f>H1480*J1480</f>
        <v/>
      </c>
      <c r="U1480">
        <f>IF(AND(K1480=0,G1480&lt;=Assumptions!$C$6),1,0)</f>
        <v/>
      </c>
      <c r="V1480">
        <f>IF(U1480=1,IF(M1480&gt;0,IF(P1480&lt;=G1480+Assumptions!$C$7,1,0),0),0)</f>
        <v/>
      </c>
      <c r="W1480">
        <f>IF(AND(U1480=1,M1480&gt;=H1480*(1-Assumptions!$C$8)),1,0)</f>
        <v/>
      </c>
      <c r="X1480">
        <f>IF(AND(U1480=1,N1480&gt;=H1480*(1-Assumptions!$C$8)),1,0)</f>
        <v/>
      </c>
      <c r="Y1480">
        <f>IF(ISNUMBER(Q1480),1,0)</f>
        <v/>
      </c>
      <c r="Z1480">
        <f>IF(AND(K1480=0,L1480=0,Y1480=0),1,0)</f>
        <v/>
      </c>
      <c r="AA1480">
        <f>IF(AND(Z1480=1,G1480&lt;Assumptions!$C$6),1,0)</f>
        <v/>
      </c>
      <c r="AB1480">
        <f>IF(U1480=0,"",IF(Y1480=1,MAX(0,Q1480-G1480),IF(L1480=1,MAX(0,R1480-G1480),MAX(0,Assumptions!$C$6-G1480))))</f>
        <v/>
      </c>
      <c r="AC1480">
        <f>IF(Y1480=1,Q1480-F1480,"")</f>
        <v/>
      </c>
      <c r="AD1480">
        <f>IF(Y1480=1,AC1480^2,"")</f>
        <v/>
      </c>
      <c r="AE1480" s="19">
        <f>IF(Z1480=1,(H1480-M1480)*I1480,0)</f>
        <v/>
      </c>
      <c r="AF1480">
        <f>IF(G1480&lt;EDATE(Assumptions!$C$6,-12)+1,"prior_12m","last_12m")</f>
        <v/>
      </c>
      <c r="AG1480" s="21">
        <f>DATE(YEAR(G1480),MONTH(G1480),1)</f>
        <v/>
      </c>
    </row>
    <row r="1481">
      <c r="A1481" t="inlineStr">
        <is>
          <t>SPO-00808-1</t>
        </is>
      </c>
      <c r="B1481" t="inlineStr">
        <is>
          <t>SPO-00808</t>
        </is>
      </c>
      <c r="C1481" t="inlineStr">
        <is>
          <t>SUP-05</t>
        </is>
      </c>
      <c r="D1481" t="inlineStr">
        <is>
          <t>FLEET</t>
        </is>
      </c>
      <c r="E1481" t="inlineStr">
        <is>
          <t>FLEET-05</t>
        </is>
      </c>
      <c r="F1481" s="17" t="n">
        <v>45791</v>
      </c>
      <c r="G1481" s="17" t="n">
        <v>45805</v>
      </c>
      <c r="H1481" s="18" t="n">
        <v>8</v>
      </c>
      <c r="I1481" s="19" t="n">
        <v>176.23</v>
      </c>
      <c r="J1481" s="19" t="n">
        <v>168</v>
      </c>
      <c r="K1481" s="20" t="n">
        <v>0</v>
      </c>
      <c r="L1481" s="20" t="n">
        <v>0</v>
      </c>
      <c r="M1481" s="18" t="n">
        <v>8</v>
      </c>
      <c r="N1481" s="18" t="n">
        <v>0</v>
      </c>
      <c r="O1481" s="18" t="n">
        <v>0</v>
      </c>
      <c r="P1481" s="17" t="n">
        <v>45807</v>
      </c>
      <c r="Q1481" s="17" t="n">
        <v>45807</v>
      </c>
      <c r="R1481" s="17" t="n">
        <v>45807</v>
      </c>
      <c r="S1481" s="19">
        <f>H1481*I1481</f>
        <v/>
      </c>
      <c r="T1481" s="19">
        <f>H1481*J1481</f>
        <v/>
      </c>
      <c r="U1481">
        <f>IF(AND(K1481=0,G1481&lt;=Assumptions!$C$6),1,0)</f>
        <v/>
      </c>
      <c r="V1481">
        <f>IF(U1481=1,IF(M1481&gt;0,IF(P1481&lt;=G1481+Assumptions!$C$7,1,0),0),0)</f>
        <v/>
      </c>
      <c r="W1481">
        <f>IF(AND(U1481=1,M1481&gt;=H1481*(1-Assumptions!$C$8)),1,0)</f>
        <v/>
      </c>
      <c r="X1481">
        <f>IF(AND(U1481=1,N1481&gt;=H1481*(1-Assumptions!$C$8)),1,0)</f>
        <v/>
      </c>
      <c r="Y1481">
        <f>IF(ISNUMBER(Q1481),1,0)</f>
        <v/>
      </c>
      <c r="Z1481">
        <f>IF(AND(K1481=0,L1481=0,Y1481=0),1,0)</f>
        <v/>
      </c>
      <c r="AA1481">
        <f>IF(AND(Z1481=1,G1481&lt;Assumptions!$C$6),1,0)</f>
        <v/>
      </c>
      <c r="AB1481">
        <f>IF(U1481=0,"",IF(Y1481=1,MAX(0,Q1481-G1481),IF(L1481=1,MAX(0,R1481-G1481),MAX(0,Assumptions!$C$6-G1481))))</f>
        <v/>
      </c>
      <c r="AC1481">
        <f>IF(Y1481=1,Q1481-F1481,"")</f>
        <v/>
      </c>
      <c r="AD1481">
        <f>IF(Y1481=1,AC1481^2,"")</f>
        <v/>
      </c>
      <c r="AE1481" s="19">
        <f>IF(Z1481=1,(H1481-M1481)*I1481,0)</f>
        <v/>
      </c>
      <c r="AF1481">
        <f>IF(G1481&lt;EDATE(Assumptions!$C$6,-12)+1,"prior_12m","last_12m")</f>
        <v/>
      </c>
      <c r="AG1481" s="21">
        <f>DATE(YEAR(G1481),MONTH(G1481),1)</f>
        <v/>
      </c>
    </row>
    <row r="1482">
      <c r="A1482" t="inlineStr">
        <is>
          <t>SPO-00809-1</t>
        </is>
      </c>
      <c r="B1482" t="inlineStr">
        <is>
          <t>SPO-00809</t>
        </is>
      </c>
      <c r="C1482" t="inlineStr">
        <is>
          <t>SUP-06</t>
        </is>
      </c>
      <c r="D1482" t="inlineStr">
        <is>
          <t>MRO</t>
        </is>
      </c>
      <c r="E1482" t="inlineStr">
        <is>
          <t>MRO-02</t>
        </is>
      </c>
      <c r="F1482" s="17" t="n">
        <v>45791</v>
      </c>
      <c r="G1482" s="17" t="n">
        <v>45799</v>
      </c>
      <c r="H1482" s="18" t="n">
        <v>25</v>
      </c>
      <c r="I1482" s="19" t="n">
        <v>39.5</v>
      </c>
      <c r="J1482" s="19" t="n">
        <v>41</v>
      </c>
      <c r="K1482" s="20" t="n">
        <v>0</v>
      </c>
      <c r="L1482" s="20" t="n">
        <v>0</v>
      </c>
      <c r="M1482" s="18" t="n">
        <v>25</v>
      </c>
      <c r="N1482" s="18" t="n">
        <v>11</v>
      </c>
      <c r="O1482" s="18" t="n">
        <v>0</v>
      </c>
      <c r="P1482" s="17" t="n">
        <v>45797</v>
      </c>
      <c r="Q1482" s="17" t="n">
        <v>45813</v>
      </c>
      <c r="R1482" s="17" t="n">
        <v>45813</v>
      </c>
      <c r="S1482" s="19">
        <f>H1482*I1482</f>
        <v/>
      </c>
      <c r="T1482" s="19">
        <f>H1482*J1482</f>
        <v/>
      </c>
      <c r="U1482">
        <f>IF(AND(K1482=0,G1482&lt;=Assumptions!$C$6),1,0)</f>
        <v/>
      </c>
      <c r="V1482">
        <f>IF(U1482=1,IF(M1482&gt;0,IF(P1482&lt;=G1482+Assumptions!$C$7,1,0),0),0)</f>
        <v/>
      </c>
      <c r="W1482">
        <f>IF(AND(U1482=1,M1482&gt;=H1482*(1-Assumptions!$C$8)),1,0)</f>
        <v/>
      </c>
      <c r="X1482">
        <f>IF(AND(U1482=1,N1482&gt;=H1482*(1-Assumptions!$C$8)),1,0)</f>
        <v/>
      </c>
      <c r="Y1482">
        <f>IF(ISNUMBER(Q1482),1,0)</f>
        <v/>
      </c>
      <c r="Z1482">
        <f>IF(AND(K1482=0,L1482=0,Y1482=0),1,0)</f>
        <v/>
      </c>
      <c r="AA1482">
        <f>IF(AND(Z1482=1,G1482&lt;Assumptions!$C$6),1,0)</f>
        <v/>
      </c>
      <c r="AB1482">
        <f>IF(U1482=0,"",IF(Y1482=1,MAX(0,Q1482-G1482),IF(L1482=1,MAX(0,R1482-G1482),MAX(0,Assumptions!$C$6-G1482))))</f>
        <v/>
      </c>
      <c r="AC1482">
        <f>IF(Y1482=1,Q1482-F1482,"")</f>
        <v/>
      </c>
      <c r="AD1482">
        <f>IF(Y1482=1,AC1482^2,"")</f>
        <v/>
      </c>
      <c r="AE1482" s="19">
        <f>IF(Z1482=1,(H1482-M1482)*I1482,0)</f>
        <v/>
      </c>
      <c r="AF1482">
        <f>IF(G1482&lt;EDATE(Assumptions!$C$6,-12)+1,"prior_12m","last_12m")</f>
        <v/>
      </c>
      <c r="AG1482" s="21">
        <f>DATE(YEAR(G1482),MONTH(G1482),1)</f>
        <v/>
      </c>
    </row>
    <row r="1483">
      <c r="A1483" t="inlineStr">
        <is>
          <t>SPO-00810-1</t>
        </is>
      </c>
      <c r="B1483" t="inlineStr">
        <is>
          <t>SPO-00810</t>
        </is>
      </c>
      <c r="C1483" t="inlineStr">
        <is>
          <t>SUP-09</t>
        </is>
      </c>
      <c r="D1483" t="inlineStr">
        <is>
          <t>CHEM</t>
        </is>
      </c>
      <c r="E1483" t="inlineStr">
        <is>
          <t>CHEM-02</t>
        </is>
      </c>
      <c r="F1483" s="17" t="n">
        <v>45792</v>
      </c>
      <c r="G1483" s="17" t="n">
        <v>45806</v>
      </c>
      <c r="H1483" s="18" t="n">
        <v>3</v>
      </c>
      <c r="I1483" s="19" t="n">
        <v>412.7</v>
      </c>
      <c r="J1483" s="19" t="n">
        <v>410</v>
      </c>
      <c r="K1483" s="20" t="n">
        <v>0</v>
      </c>
      <c r="L1483" s="20" t="n">
        <v>0</v>
      </c>
      <c r="M1483" s="18" t="n">
        <v>3</v>
      </c>
      <c r="N1483" s="18" t="n">
        <v>3</v>
      </c>
      <c r="O1483" s="18" t="n">
        <v>0</v>
      </c>
      <c r="P1483" s="17" t="n">
        <v>45803</v>
      </c>
      <c r="Q1483" s="17" t="n">
        <v>45803</v>
      </c>
      <c r="R1483" s="17" t="n">
        <v>45803</v>
      </c>
      <c r="S1483" s="19">
        <f>H1483*I1483</f>
        <v/>
      </c>
      <c r="T1483" s="19">
        <f>H1483*J1483</f>
        <v/>
      </c>
      <c r="U1483">
        <f>IF(AND(K1483=0,G1483&lt;=Assumptions!$C$6),1,0)</f>
        <v/>
      </c>
      <c r="V1483">
        <f>IF(U1483=1,IF(M1483&gt;0,IF(P1483&lt;=G1483+Assumptions!$C$7,1,0),0),0)</f>
        <v/>
      </c>
      <c r="W1483">
        <f>IF(AND(U1483=1,M1483&gt;=H1483*(1-Assumptions!$C$8)),1,0)</f>
        <v/>
      </c>
      <c r="X1483">
        <f>IF(AND(U1483=1,N1483&gt;=H1483*(1-Assumptions!$C$8)),1,0)</f>
        <v/>
      </c>
      <c r="Y1483">
        <f>IF(ISNUMBER(Q1483),1,0)</f>
        <v/>
      </c>
      <c r="Z1483">
        <f>IF(AND(K1483=0,L1483=0,Y1483=0),1,0)</f>
        <v/>
      </c>
      <c r="AA1483">
        <f>IF(AND(Z1483=1,G1483&lt;Assumptions!$C$6),1,0)</f>
        <v/>
      </c>
      <c r="AB1483">
        <f>IF(U1483=0,"",IF(Y1483=1,MAX(0,Q1483-G1483),IF(L1483=1,MAX(0,R1483-G1483),MAX(0,Assumptions!$C$6-G1483))))</f>
        <v/>
      </c>
      <c r="AC1483">
        <f>IF(Y1483=1,Q1483-F1483,"")</f>
        <v/>
      </c>
      <c r="AD1483">
        <f>IF(Y1483=1,AC1483^2,"")</f>
        <v/>
      </c>
      <c r="AE1483" s="19">
        <f>IF(Z1483=1,(H1483-M1483)*I1483,0)</f>
        <v/>
      </c>
      <c r="AF1483">
        <f>IF(G1483&lt;EDATE(Assumptions!$C$6,-12)+1,"prior_12m","last_12m")</f>
        <v/>
      </c>
      <c r="AG1483" s="21">
        <f>DATE(YEAR(G1483),MONTH(G1483),1)</f>
        <v/>
      </c>
    </row>
    <row r="1484">
      <c r="A1484" t="inlineStr">
        <is>
          <t>SPO-00811-1</t>
        </is>
      </c>
      <c r="B1484" t="inlineStr">
        <is>
          <t>SPO-00811</t>
        </is>
      </c>
      <c r="C1484" t="inlineStr">
        <is>
          <t>SUP-05</t>
        </is>
      </c>
      <c r="D1484" t="inlineStr">
        <is>
          <t>FLEET</t>
        </is>
      </c>
      <c r="E1484" t="inlineStr">
        <is>
          <t>FLEET-08</t>
        </is>
      </c>
      <c r="F1484" s="17" t="n">
        <v>45792</v>
      </c>
      <c r="G1484" s="17" t="n">
        <v>45806</v>
      </c>
      <c r="H1484" s="18" t="n">
        <v>285</v>
      </c>
      <c r="I1484" s="19" t="n">
        <v>6.6</v>
      </c>
      <c r="J1484" s="19" t="n">
        <v>6.4</v>
      </c>
      <c r="K1484" s="20" t="n">
        <v>0</v>
      </c>
      <c r="L1484" s="20" t="n">
        <v>0</v>
      </c>
      <c r="M1484" s="18" t="n">
        <v>285</v>
      </c>
      <c r="N1484" s="18" t="n">
        <v>285</v>
      </c>
      <c r="O1484" s="18" t="n">
        <v>0</v>
      </c>
      <c r="P1484" s="17" t="n">
        <v>45804</v>
      </c>
      <c r="Q1484" s="17" t="n">
        <v>45804</v>
      </c>
      <c r="R1484" s="17" t="n">
        <v>45804</v>
      </c>
      <c r="S1484" s="19">
        <f>H1484*I1484</f>
        <v/>
      </c>
      <c r="T1484" s="19">
        <f>H1484*J1484</f>
        <v/>
      </c>
      <c r="U1484">
        <f>IF(AND(K1484=0,G1484&lt;=Assumptions!$C$6),1,0)</f>
        <v/>
      </c>
      <c r="V1484">
        <f>IF(U1484=1,IF(M1484&gt;0,IF(P1484&lt;=G1484+Assumptions!$C$7,1,0),0),0)</f>
        <v/>
      </c>
      <c r="W1484">
        <f>IF(AND(U1484=1,M1484&gt;=H1484*(1-Assumptions!$C$8)),1,0)</f>
        <v/>
      </c>
      <c r="X1484">
        <f>IF(AND(U1484=1,N1484&gt;=H1484*(1-Assumptions!$C$8)),1,0)</f>
        <v/>
      </c>
      <c r="Y1484">
        <f>IF(ISNUMBER(Q1484),1,0)</f>
        <v/>
      </c>
      <c r="Z1484">
        <f>IF(AND(K1484=0,L1484=0,Y1484=0),1,0)</f>
        <v/>
      </c>
      <c r="AA1484">
        <f>IF(AND(Z1484=1,G1484&lt;Assumptions!$C$6),1,0)</f>
        <v/>
      </c>
      <c r="AB1484">
        <f>IF(U1484=0,"",IF(Y1484=1,MAX(0,Q1484-G1484),IF(L1484=1,MAX(0,R1484-G1484),MAX(0,Assumptions!$C$6-G1484))))</f>
        <v/>
      </c>
      <c r="AC1484">
        <f>IF(Y1484=1,Q1484-F1484,"")</f>
        <v/>
      </c>
      <c r="AD1484">
        <f>IF(Y1484=1,AC1484^2,"")</f>
        <v/>
      </c>
      <c r="AE1484" s="19">
        <f>IF(Z1484=1,(H1484-M1484)*I1484,0)</f>
        <v/>
      </c>
      <c r="AF1484">
        <f>IF(G1484&lt;EDATE(Assumptions!$C$6,-12)+1,"prior_12m","last_12m")</f>
        <v/>
      </c>
      <c r="AG1484" s="21">
        <f>DATE(YEAR(G1484),MONTH(G1484),1)</f>
        <v/>
      </c>
    </row>
    <row r="1485">
      <c r="A1485" t="inlineStr">
        <is>
          <t>SPO-00812-1</t>
        </is>
      </c>
      <c r="B1485" t="inlineStr">
        <is>
          <t>SPO-00812</t>
        </is>
      </c>
      <c r="C1485" t="inlineStr">
        <is>
          <t>SUP-06</t>
        </is>
      </c>
      <c r="D1485" t="inlineStr">
        <is>
          <t>MRO</t>
        </is>
      </c>
      <c r="E1485" t="inlineStr">
        <is>
          <t>MRO-08</t>
        </is>
      </c>
      <c r="F1485" s="17" t="n">
        <v>45792</v>
      </c>
      <c r="G1485" s="17" t="n">
        <v>45800</v>
      </c>
      <c r="H1485" s="18" t="n">
        <v>216</v>
      </c>
      <c r="I1485" s="19" t="n">
        <v>7.43</v>
      </c>
      <c r="J1485" s="19" t="n">
        <v>7.2</v>
      </c>
      <c r="K1485" s="20" t="n">
        <v>0</v>
      </c>
      <c r="L1485" s="20" t="n">
        <v>0</v>
      </c>
      <c r="M1485" s="18" t="n">
        <v>216</v>
      </c>
      <c r="N1485" s="18" t="n">
        <v>216</v>
      </c>
      <c r="O1485" s="18" t="n">
        <v>0</v>
      </c>
      <c r="P1485" s="17" t="n">
        <v>45797</v>
      </c>
      <c r="Q1485" s="17" t="n">
        <v>45797</v>
      </c>
      <c r="R1485" s="17" t="n">
        <v>45797</v>
      </c>
      <c r="S1485" s="19">
        <f>H1485*I1485</f>
        <v/>
      </c>
      <c r="T1485" s="19">
        <f>H1485*J1485</f>
        <v/>
      </c>
      <c r="U1485">
        <f>IF(AND(K1485=0,G1485&lt;=Assumptions!$C$6),1,0)</f>
        <v/>
      </c>
      <c r="V1485">
        <f>IF(U1485=1,IF(M1485&gt;0,IF(P1485&lt;=G1485+Assumptions!$C$7,1,0),0),0)</f>
        <v/>
      </c>
      <c r="W1485">
        <f>IF(AND(U1485=1,M1485&gt;=H1485*(1-Assumptions!$C$8)),1,0)</f>
        <v/>
      </c>
      <c r="X1485">
        <f>IF(AND(U1485=1,N1485&gt;=H1485*(1-Assumptions!$C$8)),1,0)</f>
        <v/>
      </c>
      <c r="Y1485">
        <f>IF(ISNUMBER(Q1485),1,0)</f>
        <v/>
      </c>
      <c r="Z1485">
        <f>IF(AND(K1485=0,L1485=0,Y1485=0),1,0)</f>
        <v/>
      </c>
      <c r="AA1485">
        <f>IF(AND(Z1485=1,G1485&lt;Assumptions!$C$6),1,0)</f>
        <v/>
      </c>
      <c r="AB1485">
        <f>IF(U1485=0,"",IF(Y1485=1,MAX(0,Q1485-G1485),IF(L1485=1,MAX(0,R1485-G1485),MAX(0,Assumptions!$C$6-G1485))))</f>
        <v/>
      </c>
      <c r="AC1485">
        <f>IF(Y1485=1,Q1485-F1485,"")</f>
        <v/>
      </c>
      <c r="AD1485">
        <f>IF(Y1485=1,AC1485^2,"")</f>
        <v/>
      </c>
      <c r="AE1485" s="19">
        <f>IF(Z1485=1,(H1485-M1485)*I1485,0)</f>
        <v/>
      </c>
      <c r="AF1485">
        <f>IF(G1485&lt;EDATE(Assumptions!$C$6,-12)+1,"prior_12m","last_12m")</f>
        <v/>
      </c>
      <c r="AG1485" s="21">
        <f>DATE(YEAR(G1485),MONTH(G1485),1)</f>
        <v/>
      </c>
    </row>
    <row r="1486">
      <c r="A1486" t="inlineStr">
        <is>
          <t>SPO-00812-2</t>
        </is>
      </c>
      <c r="B1486" t="inlineStr">
        <is>
          <t>SPO-00812</t>
        </is>
      </c>
      <c r="C1486" t="inlineStr">
        <is>
          <t>SUP-06</t>
        </is>
      </c>
      <c r="D1486" t="inlineStr">
        <is>
          <t>MRO</t>
        </is>
      </c>
      <c r="E1486" t="inlineStr">
        <is>
          <t>MRO-06</t>
        </is>
      </c>
      <c r="F1486" s="17" t="n">
        <v>45792</v>
      </c>
      <c r="G1486" s="17" t="n">
        <v>45800</v>
      </c>
      <c r="H1486" s="18" t="n">
        <v>228</v>
      </c>
      <c r="I1486" s="19" t="n">
        <v>6.32</v>
      </c>
      <c r="J1486" s="19" t="n">
        <v>6.1</v>
      </c>
      <c r="K1486" s="20" t="n">
        <v>0</v>
      </c>
      <c r="L1486" s="20" t="n">
        <v>0</v>
      </c>
      <c r="M1486" s="18" t="n">
        <v>228</v>
      </c>
      <c r="N1486" s="18" t="n">
        <v>228</v>
      </c>
      <c r="O1486" s="18" t="n">
        <v>0</v>
      </c>
      <c r="P1486" s="17" t="n">
        <v>45799</v>
      </c>
      <c r="Q1486" s="17" t="n">
        <v>45799</v>
      </c>
      <c r="R1486" s="17" t="n">
        <v>45799</v>
      </c>
      <c r="S1486" s="19">
        <f>H1486*I1486</f>
        <v/>
      </c>
      <c r="T1486" s="19">
        <f>H1486*J1486</f>
        <v/>
      </c>
      <c r="U1486">
        <f>IF(AND(K1486=0,G1486&lt;=Assumptions!$C$6),1,0)</f>
        <v/>
      </c>
      <c r="V1486">
        <f>IF(U1486=1,IF(M1486&gt;0,IF(P1486&lt;=G1486+Assumptions!$C$7,1,0),0),0)</f>
        <v/>
      </c>
      <c r="W1486">
        <f>IF(AND(U1486=1,M1486&gt;=H1486*(1-Assumptions!$C$8)),1,0)</f>
        <v/>
      </c>
      <c r="X1486">
        <f>IF(AND(U1486=1,N1486&gt;=H1486*(1-Assumptions!$C$8)),1,0)</f>
        <v/>
      </c>
      <c r="Y1486">
        <f>IF(ISNUMBER(Q1486),1,0)</f>
        <v/>
      </c>
      <c r="Z1486">
        <f>IF(AND(K1486=0,L1486=0,Y1486=0),1,0)</f>
        <v/>
      </c>
      <c r="AA1486">
        <f>IF(AND(Z1486=1,G1486&lt;Assumptions!$C$6),1,0)</f>
        <v/>
      </c>
      <c r="AB1486">
        <f>IF(U1486=0,"",IF(Y1486=1,MAX(0,Q1486-G1486),IF(L1486=1,MAX(0,R1486-G1486),MAX(0,Assumptions!$C$6-G1486))))</f>
        <v/>
      </c>
      <c r="AC1486">
        <f>IF(Y1486=1,Q1486-F1486,"")</f>
        <v/>
      </c>
      <c r="AD1486">
        <f>IF(Y1486=1,AC1486^2,"")</f>
        <v/>
      </c>
      <c r="AE1486" s="19">
        <f>IF(Z1486=1,(H1486-M1486)*I1486,0)</f>
        <v/>
      </c>
      <c r="AF1486">
        <f>IF(G1486&lt;EDATE(Assumptions!$C$6,-12)+1,"prior_12m","last_12m")</f>
        <v/>
      </c>
      <c r="AG1486" s="21">
        <f>DATE(YEAR(G1486),MONTH(G1486),1)</f>
        <v/>
      </c>
    </row>
    <row r="1487">
      <c r="A1487" t="inlineStr">
        <is>
          <t>SPO-00812-3</t>
        </is>
      </c>
      <c r="B1487" t="inlineStr">
        <is>
          <t>SPO-00812</t>
        </is>
      </c>
      <c r="C1487" t="inlineStr">
        <is>
          <t>SUP-06</t>
        </is>
      </c>
      <c r="D1487" t="inlineStr">
        <is>
          <t>MRO</t>
        </is>
      </c>
      <c r="E1487" t="inlineStr">
        <is>
          <t>MRO-02</t>
        </is>
      </c>
      <c r="F1487" s="17" t="n">
        <v>45792</v>
      </c>
      <c r="G1487" s="17" t="n">
        <v>45800</v>
      </c>
      <c r="H1487" s="18" t="n">
        <v>31</v>
      </c>
      <c r="I1487" s="19" t="n">
        <v>40.83</v>
      </c>
      <c r="J1487" s="19" t="n">
        <v>41</v>
      </c>
      <c r="K1487" s="20" t="n">
        <v>0</v>
      </c>
      <c r="L1487" s="20" t="n">
        <v>0</v>
      </c>
      <c r="M1487" s="18" t="n">
        <v>31</v>
      </c>
      <c r="N1487" s="18" t="n">
        <v>31</v>
      </c>
      <c r="O1487" s="18" t="n">
        <v>0</v>
      </c>
      <c r="P1487" s="17" t="n">
        <v>45799</v>
      </c>
      <c r="Q1487" s="17" t="n">
        <v>45799</v>
      </c>
      <c r="R1487" s="17" t="n">
        <v>45799</v>
      </c>
      <c r="S1487" s="19">
        <f>H1487*I1487</f>
        <v/>
      </c>
      <c r="T1487" s="19">
        <f>H1487*J1487</f>
        <v/>
      </c>
      <c r="U1487">
        <f>IF(AND(K1487=0,G1487&lt;=Assumptions!$C$6),1,0)</f>
        <v/>
      </c>
      <c r="V1487">
        <f>IF(U1487=1,IF(M1487&gt;0,IF(P1487&lt;=G1487+Assumptions!$C$7,1,0),0),0)</f>
        <v/>
      </c>
      <c r="W1487">
        <f>IF(AND(U1487=1,M1487&gt;=H1487*(1-Assumptions!$C$8)),1,0)</f>
        <v/>
      </c>
      <c r="X1487">
        <f>IF(AND(U1487=1,N1487&gt;=H1487*(1-Assumptions!$C$8)),1,0)</f>
        <v/>
      </c>
      <c r="Y1487">
        <f>IF(ISNUMBER(Q1487),1,0)</f>
        <v/>
      </c>
      <c r="Z1487">
        <f>IF(AND(K1487=0,L1487=0,Y1487=0),1,0)</f>
        <v/>
      </c>
      <c r="AA1487">
        <f>IF(AND(Z1487=1,G1487&lt;Assumptions!$C$6),1,0)</f>
        <v/>
      </c>
      <c r="AB1487">
        <f>IF(U1487=0,"",IF(Y1487=1,MAX(0,Q1487-G1487),IF(L1487=1,MAX(0,R1487-G1487),MAX(0,Assumptions!$C$6-G1487))))</f>
        <v/>
      </c>
      <c r="AC1487">
        <f>IF(Y1487=1,Q1487-F1487,"")</f>
        <v/>
      </c>
      <c r="AD1487">
        <f>IF(Y1487=1,AC1487^2,"")</f>
        <v/>
      </c>
      <c r="AE1487" s="19">
        <f>IF(Z1487=1,(H1487-M1487)*I1487,0)</f>
        <v/>
      </c>
      <c r="AF1487">
        <f>IF(G1487&lt;EDATE(Assumptions!$C$6,-12)+1,"prior_12m","last_12m")</f>
        <v/>
      </c>
      <c r="AG1487" s="21">
        <f>DATE(YEAR(G1487),MONTH(G1487),1)</f>
        <v/>
      </c>
    </row>
    <row r="1488">
      <c r="A1488" t="inlineStr">
        <is>
          <t>SPO-00812-4</t>
        </is>
      </c>
      <c r="B1488" t="inlineStr">
        <is>
          <t>SPO-00812</t>
        </is>
      </c>
      <c r="C1488" t="inlineStr">
        <is>
          <t>SUP-06</t>
        </is>
      </c>
      <c r="D1488" t="inlineStr">
        <is>
          <t>MRO</t>
        </is>
      </c>
      <c r="E1488" t="inlineStr">
        <is>
          <t>MRO-04</t>
        </is>
      </c>
      <c r="F1488" s="17" t="n">
        <v>45792</v>
      </c>
      <c r="G1488" s="17" t="n">
        <v>45800</v>
      </c>
      <c r="H1488" s="18" t="n">
        <v>37</v>
      </c>
      <c r="I1488" s="19" t="n">
        <v>60.74</v>
      </c>
      <c r="J1488" s="19" t="n">
        <v>58</v>
      </c>
      <c r="K1488" s="20" t="n">
        <v>0</v>
      </c>
      <c r="L1488" s="20" t="n">
        <v>0</v>
      </c>
      <c r="M1488" s="18" t="n">
        <v>37</v>
      </c>
      <c r="N1488" s="18" t="n">
        <v>37</v>
      </c>
      <c r="O1488" s="18" t="n">
        <v>0</v>
      </c>
      <c r="P1488" s="17" t="n">
        <v>45798</v>
      </c>
      <c r="Q1488" s="17" t="n">
        <v>45798</v>
      </c>
      <c r="R1488" s="17" t="n">
        <v>45798</v>
      </c>
      <c r="S1488" s="19">
        <f>H1488*I1488</f>
        <v/>
      </c>
      <c r="T1488" s="19">
        <f>H1488*J1488</f>
        <v/>
      </c>
      <c r="U1488">
        <f>IF(AND(K1488=0,G1488&lt;=Assumptions!$C$6),1,0)</f>
        <v/>
      </c>
      <c r="V1488">
        <f>IF(U1488=1,IF(M1488&gt;0,IF(P1488&lt;=G1488+Assumptions!$C$7,1,0),0),0)</f>
        <v/>
      </c>
      <c r="W1488">
        <f>IF(AND(U1488=1,M1488&gt;=H1488*(1-Assumptions!$C$8)),1,0)</f>
        <v/>
      </c>
      <c r="X1488">
        <f>IF(AND(U1488=1,N1488&gt;=H1488*(1-Assumptions!$C$8)),1,0)</f>
        <v/>
      </c>
      <c r="Y1488">
        <f>IF(ISNUMBER(Q1488),1,0)</f>
        <v/>
      </c>
      <c r="Z1488">
        <f>IF(AND(K1488=0,L1488=0,Y1488=0),1,0)</f>
        <v/>
      </c>
      <c r="AA1488">
        <f>IF(AND(Z1488=1,G1488&lt;Assumptions!$C$6),1,0)</f>
        <v/>
      </c>
      <c r="AB1488">
        <f>IF(U1488=0,"",IF(Y1488=1,MAX(0,Q1488-G1488),IF(L1488=1,MAX(0,R1488-G1488),MAX(0,Assumptions!$C$6-G1488))))</f>
        <v/>
      </c>
      <c r="AC1488">
        <f>IF(Y1488=1,Q1488-F1488,"")</f>
        <v/>
      </c>
      <c r="AD1488">
        <f>IF(Y1488=1,AC1488^2,"")</f>
        <v/>
      </c>
      <c r="AE1488" s="19">
        <f>IF(Z1488=1,(H1488-M1488)*I1488,0)</f>
        <v/>
      </c>
      <c r="AF1488">
        <f>IF(G1488&lt;EDATE(Assumptions!$C$6,-12)+1,"prior_12m","last_12m")</f>
        <v/>
      </c>
      <c r="AG1488" s="21">
        <f>DATE(YEAR(G1488),MONTH(G1488),1)</f>
        <v/>
      </c>
    </row>
    <row r="1489">
      <c r="A1489" t="inlineStr">
        <is>
          <t>SPO-00813-1</t>
        </is>
      </c>
      <c r="B1489" t="inlineStr">
        <is>
          <t>SPO-00813</t>
        </is>
      </c>
      <c r="C1489" t="inlineStr">
        <is>
          <t>SUP-01</t>
        </is>
      </c>
      <c r="D1489" t="inlineStr">
        <is>
          <t>ELEC</t>
        </is>
      </c>
      <c r="E1489" t="inlineStr">
        <is>
          <t>ELEC-05</t>
        </is>
      </c>
      <c r="F1489" s="17" t="n">
        <v>45793</v>
      </c>
      <c r="G1489" s="17" t="n">
        <v>45811</v>
      </c>
      <c r="H1489" s="18" t="n">
        <v>223</v>
      </c>
      <c r="I1489" s="19" t="n">
        <v>12.45</v>
      </c>
      <c r="J1489" s="19" t="n">
        <v>11.5</v>
      </c>
      <c r="K1489" s="20" t="n">
        <v>0</v>
      </c>
      <c r="L1489" s="20" t="n">
        <v>0</v>
      </c>
      <c r="M1489" s="18" t="n">
        <v>223</v>
      </c>
      <c r="N1489" s="18" t="n">
        <v>223</v>
      </c>
      <c r="O1489" s="18" t="n">
        <v>0</v>
      </c>
      <c r="P1489" s="17" t="n">
        <v>45806</v>
      </c>
      <c r="Q1489" s="17" t="n">
        <v>45806</v>
      </c>
      <c r="R1489" s="17" t="n">
        <v>45806</v>
      </c>
      <c r="S1489" s="19">
        <f>H1489*I1489</f>
        <v/>
      </c>
      <c r="T1489" s="19">
        <f>H1489*J1489</f>
        <v/>
      </c>
      <c r="U1489">
        <f>IF(AND(K1489=0,G1489&lt;=Assumptions!$C$6),1,0)</f>
        <v/>
      </c>
      <c r="V1489">
        <f>IF(U1489=1,IF(M1489&gt;0,IF(P1489&lt;=G1489+Assumptions!$C$7,1,0),0),0)</f>
        <v/>
      </c>
      <c r="W1489">
        <f>IF(AND(U1489=1,M1489&gt;=H1489*(1-Assumptions!$C$8)),1,0)</f>
        <v/>
      </c>
      <c r="X1489">
        <f>IF(AND(U1489=1,N1489&gt;=H1489*(1-Assumptions!$C$8)),1,0)</f>
        <v/>
      </c>
      <c r="Y1489">
        <f>IF(ISNUMBER(Q1489),1,0)</f>
        <v/>
      </c>
      <c r="Z1489">
        <f>IF(AND(K1489=0,L1489=0,Y1489=0),1,0)</f>
        <v/>
      </c>
      <c r="AA1489">
        <f>IF(AND(Z1489=1,G1489&lt;Assumptions!$C$6),1,0)</f>
        <v/>
      </c>
      <c r="AB1489">
        <f>IF(U1489=0,"",IF(Y1489=1,MAX(0,Q1489-G1489),IF(L1489=1,MAX(0,R1489-G1489),MAX(0,Assumptions!$C$6-G1489))))</f>
        <v/>
      </c>
      <c r="AC1489">
        <f>IF(Y1489=1,Q1489-F1489,"")</f>
        <v/>
      </c>
      <c r="AD1489">
        <f>IF(Y1489=1,AC1489^2,"")</f>
        <v/>
      </c>
      <c r="AE1489" s="19">
        <f>IF(Z1489=1,(H1489-M1489)*I1489,0)</f>
        <v/>
      </c>
      <c r="AF1489">
        <f>IF(G1489&lt;EDATE(Assumptions!$C$6,-12)+1,"prior_12m","last_12m")</f>
        <v/>
      </c>
      <c r="AG1489" s="21">
        <f>DATE(YEAR(G1489),MONTH(G1489),1)</f>
        <v/>
      </c>
    </row>
    <row r="1490">
      <c r="A1490" t="inlineStr">
        <is>
          <t>SPO-00813-2</t>
        </is>
      </c>
      <c r="B1490" t="inlineStr">
        <is>
          <t>SPO-00813</t>
        </is>
      </c>
      <c r="C1490" t="inlineStr">
        <is>
          <t>SUP-01</t>
        </is>
      </c>
      <c r="D1490" t="inlineStr">
        <is>
          <t>ELEC</t>
        </is>
      </c>
      <c r="E1490" t="inlineStr">
        <is>
          <t>ELEC-04</t>
        </is>
      </c>
      <c r="F1490" s="17" t="n">
        <v>45793</v>
      </c>
      <c r="G1490" s="17" t="n">
        <v>45811</v>
      </c>
      <c r="H1490" s="18" t="n">
        <v>29</v>
      </c>
      <c r="I1490" s="19" t="n">
        <v>72.28</v>
      </c>
      <c r="J1490" s="19" t="n">
        <v>72</v>
      </c>
      <c r="K1490" s="20" t="n">
        <v>0</v>
      </c>
      <c r="L1490" s="20" t="n">
        <v>0</v>
      </c>
      <c r="M1490" s="18" t="n">
        <v>29</v>
      </c>
      <c r="N1490" s="18" t="n">
        <v>29</v>
      </c>
      <c r="O1490" s="18" t="n">
        <v>0</v>
      </c>
      <c r="P1490" s="17" t="n">
        <v>45810</v>
      </c>
      <c r="Q1490" s="17" t="n">
        <v>45810</v>
      </c>
      <c r="R1490" s="17" t="n">
        <v>45810</v>
      </c>
      <c r="S1490" s="19">
        <f>H1490*I1490</f>
        <v/>
      </c>
      <c r="T1490" s="19">
        <f>H1490*J1490</f>
        <v/>
      </c>
      <c r="U1490">
        <f>IF(AND(K1490=0,G1490&lt;=Assumptions!$C$6),1,0)</f>
        <v/>
      </c>
      <c r="V1490">
        <f>IF(U1490=1,IF(M1490&gt;0,IF(P1490&lt;=G1490+Assumptions!$C$7,1,0),0),0)</f>
        <v/>
      </c>
      <c r="W1490">
        <f>IF(AND(U1490=1,M1490&gt;=H1490*(1-Assumptions!$C$8)),1,0)</f>
        <v/>
      </c>
      <c r="X1490">
        <f>IF(AND(U1490=1,N1490&gt;=H1490*(1-Assumptions!$C$8)),1,0)</f>
        <v/>
      </c>
      <c r="Y1490">
        <f>IF(ISNUMBER(Q1490),1,0)</f>
        <v/>
      </c>
      <c r="Z1490">
        <f>IF(AND(K1490=0,L1490=0,Y1490=0),1,0)</f>
        <v/>
      </c>
      <c r="AA1490">
        <f>IF(AND(Z1490=1,G1490&lt;Assumptions!$C$6),1,0)</f>
        <v/>
      </c>
      <c r="AB1490">
        <f>IF(U1490=0,"",IF(Y1490=1,MAX(0,Q1490-G1490),IF(L1490=1,MAX(0,R1490-G1490),MAX(0,Assumptions!$C$6-G1490))))</f>
        <v/>
      </c>
      <c r="AC1490">
        <f>IF(Y1490=1,Q1490-F1490,"")</f>
        <v/>
      </c>
      <c r="AD1490">
        <f>IF(Y1490=1,AC1490^2,"")</f>
        <v/>
      </c>
      <c r="AE1490" s="19">
        <f>IF(Z1490=1,(H1490-M1490)*I1490,0)</f>
        <v/>
      </c>
      <c r="AF1490">
        <f>IF(G1490&lt;EDATE(Assumptions!$C$6,-12)+1,"prior_12m","last_12m")</f>
        <v/>
      </c>
      <c r="AG1490" s="21">
        <f>DATE(YEAR(G1490),MONTH(G1490),1)</f>
        <v/>
      </c>
    </row>
    <row r="1491">
      <c r="A1491" t="inlineStr">
        <is>
          <t>SPO-00814-1</t>
        </is>
      </c>
      <c r="B1491" t="inlineStr">
        <is>
          <t>SPO-00814</t>
        </is>
      </c>
      <c r="C1491" t="inlineStr">
        <is>
          <t>SUP-12</t>
        </is>
      </c>
      <c r="D1491" t="inlineStr">
        <is>
          <t>IT</t>
        </is>
      </c>
      <c r="E1491" t="inlineStr">
        <is>
          <t>IT-06</t>
        </is>
      </c>
      <c r="F1491" s="17" t="n">
        <v>45793</v>
      </c>
      <c r="G1491" s="17" t="n">
        <v>45803</v>
      </c>
      <c r="H1491" s="18" t="n">
        <v>30</v>
      </c>
      <c r="I1491" s="19" t="n">
        <v>104.09</v>
      </c>
      <c r="J1491" s="19" t="n">
        <v>89</v>
      </c>
      <c r="K1491" s="20" t="n">
        <v>0</v>
      </c>
      <c r="L1491" s="20" t="n">
        <v>0</v>
      </c>
      <c r="M1491" s="18" t="n">
        <v>30</v>
      </c>
      <c r="N1491" s="18" t="n">
        <v>30</v>
      </c>
      <c r="O1491" s="18" t="n">
        <v>0</v>
      </c>
      <c r="P1491" s="17" t="n">
        <v>45801</v>
      </c>
      <c r="Q1491" s="17" t="n">
        <v>45801</v>
      </c>
      <c r="R1491" s="17" t="n">
        <v>45801</v>
      </c>
      <c r="S1491" s="19">
        <f>H1491*I1491</f>
        <v/>
      </c>
      <c r="T1491" s="19">
        <f>H1491*J1491</f>
        <v/>
      </c>
      <c r="U1491">
        <f>IF(AND(K1491=0,G1491&lt;=Assumptions!$C$6),1,0)</f>
        <v/>
      </c>
      <c r="V1491">
        <f>IF(U1491=1,IF(M1491&gt;0,IF(P1491&lt;=G1491+Assumptions!$C$7,1,0),0),0)</f>
        <v/>
      </c>
      <c r="W1491">
        <f>IF(AND(U1491=1,M1491&gt;=H1491*(1-Assumptions!$C$8)),1,0)</f>
        <v/>
      </c>
      <c r="X1491">
        <f>IF(AND(U1491=1,N1491&gt;=H1491*(1-Assumptions!$C$8)),1,0)</f>
        <v/>
      </c>
      <c r="Y1491">
        <f>IF(ISNUMBER(Q1491),1,0)</f>
        <v/>
      </c>
      <c r="Z1491">
        <f>IF(AND(K1491=0,L1491=0,Y1491=0),1,0)</f>
        <v/>
      </c>
      <c r="AA1491">
        <f>IF(AND(Z1491=1,G1491&lt;Assumptions!$C$6),1,0)</f>
        <v/>
      </c>
      <c r="AB1491">
        <f>IF(U1491=0,"",IF(Y1491=1,MAX(0,Q1491-G1491),IF(L1491=1,MAX(0,R1491-G1491),MAX(0,Assumptions!$C$6-G1491))))</f>
        <v/>
      </c>
      <c r="AC1491">
        <f>IF(Y1491=1,Q1491-F1491,"")</f>
        <v/>
      </c>
      <c r="AD1491">
        <f>IF(Y1491=1,AC1491^2,"")</f>
        <v/>
      </c>
      <c r="AE1491" s="19">
        <f>IF(Z1491=1,(H1491-M1491)*I1491,0)</f>
        <v/>
      </c>
      <c r="AF1491">
        <f>IF(G1491&lt;EDATE(Assumptions!$C$6,-12)+1,"prior_12m","last_12m")</f>
        <v/>
      </c>
      <c r="AG1491" s="21">
        <f>DATE(YEAR(G1491),MONTH(G1491),1)</f>
        <v/>
      </c>
    </row>
    <row r="1492">
      <c r="A1492" t="inlineStr">
        <is>
          <t>SPO-00815-1</t>
        </is>
      </c>
      <c r="B1492" t="inlineStr">
        <is>
          <t>SPO-00815</t>
        </is>
      </c>
      <c r="C1492" t="inlineStr">
        <is>
          <t>SUP-06</t>
        </is>
      </c>
      <c r="D1492" t="inlineStr">
        <is>
          <t>MRO</t>
        </is>
      </c>
      <c r="E1492" t="inlineStr">
        <is>
          <t>MRO-04</t>
        </is>
      </c>
      <c r="F1492" s="17" t="n">
        <v>45793</v>
      </c>
      <c r="G1492" s="17" t="n">
        <v>45801</v>
      </c>
      <c r="H1492" s="18" t="n">
        <v>53</v>
      </c>
      <c r="I1492" s="19" t="n">
        <v>58.69</v>
      </c>
      <c r="J1492" s="19" t="n">
        <v>58</v>
      </c>
      <c r="K1492" s="20" t="n">
        <v>0</v>
      </c>
      <c r="L1492" s="20" t="n">
        <v>0</v>
      </c>
      <c r="M1492" s="18" t="n">
        <v>53</v>
      </c>
      <c r="N1492" s="18" t="n">
        <v>53</v>
      </c>
      <c r="O1492" s="18" t="n">
        <v>0</v>
      </c>
      <c r="P1492" s="17" t="n">
        <v>45799</v>
      </c>
      <c r="Q1492" s="17" t="n">
        <v>45799</v>
      </c>
      <c r="R1492" s="17" t="n">
        <v>45799</v>
      </c>
      <c r="S1492" s="19">
        <f>H1492*I1492</f>
        <v/>
      </c>
      <c r="T1492" s="19">
        <f>H1492*J1492</f>
        <v/>
      </c>
      <c r="U1492">
        <f>IF(AND(K1492=0,G1492&lt;=Assumptions!$C$6),1,0)</f>
        <v/>
      </c>
      <c r="V1492">
        <f>IF(U1492=1,IF(M1492&gt;0,IF(P1492&lt;=G1492+Assumptions!$C$7,1,0),0),0)</f>
        <v/>
      </c>
      <c r="W1492">
        <f>IF(AND(U1492=1,M1492&gt;=H1492*(1-Assumptions!$C$8)),1,0)</f>
        <v/>
      </c>
      <c r="X1492">
        <f>IF(AND(U1492=1,N1492&gt;=H1492*(1-Assumptions!$C$8)),1,0)</f>
        <v/>
      </c>
      <c r="Y1492">
        <f>IF(ISNUMBER(Q1492),1,0)</f>
        <v/>
      </c>
      <c r="Z1492">
        <f>IF(AND(K1492=0,L1492=0,Y1492=0),1,0)</f>
        <v/>
      </c>
      <c r="AA1492">
        <f>IF(AND(Z1492=1,G1492&lt;Assumptions!$C$6),1,0)</f>
        <v/>
      </c>
      <c r="AB1492">
        <f>IF(U1492=0,"",IF(Y1492=1,MAX(0,Q1492-G1492),IF(L1492=1,MAX(0,R1492-G1492),MAX(0,Assumptions!$C$6-G1492))))</f>
        <v/>
      </c>
      <c r="AC1492">
        <f>IF(Y1492=1,Q1492-F1492,"")</f>
        <v/>
      </c>
      <c r="AD1492">
        <f>IF(Y1492=1,AC1492^2,"")</f>
        <v/>
      </c>
      <c r="AE1492" s="19">
        <f>IF(Z1492=1,(H1492-M1492)*I1492,0)</f>
        <v/>
      </c>
      <c r="AF1492">
        <f>IF(G1492&lt;EDATE(Assumptions!$C$6,-12)+1,"prior_12m","last_12m")</f>
        <v/>
      </c>
      <c r="AG1492" s="21">
        <f>DATE(YEAR(G1492),MONTH(G1492),1)</f>
        <v/>
      </c>
    </row>
    <row r="1493">
      <c r="A1493" t="inlineStr">
        <is>
          <t>SPO-00815-2</t>
        </is>
      </c>
      <c r="B1493" t="inlineStr">
        <is>
          <t>SPO-00815</t>
        </is>
      </c>
      <c r="C1493" t="inlineStr">
        <is>
          <t>SUP-06</t>
        </is>
      </c>
      <c r="D1493" t="inlineStr">
        <is>
          <t>MRO</t>
        </is>
      </c>
      <c r="E1493" t="inlineStr">
        <is>
          <t>MRO-06</t>
        </is>
      </c>
      <c r="F1493" s="17" t="n">
        <v>45793</v>
      </c>
      <c r="G1493" s="17" t="n">
        <v>45801</v>
      </c>
      <c r="H1493" s="18" t="n">
        <v>512</v>
      </c>
      <c r="I1493" s="19" t="n">
        <v>6.21</v>
      </c>
      <c r="J1493" s="19" t="n">
        <v>6.1</v>
      </c>
      <c r="K1493" s="20" t="n">
        <v>0</v>
      </c>
      <c r="L1493" s="20" t="n">
        <v>0</v>
      </c>
      <c r="M1493" s="18" t="n">
        <v>512</v>
      </c>
      <c r="N1493" s="18" t="n">
        <v>512</v>
      </c>
      <c r="O1493" s="18" t="n">
        <v>0</v>
      </c>
      <c r="P1493" s="17" t="n">
        <v>45801</v>
      </c>
      <c r="Q1493" s="17" t="n">
        <v>45801</v>
      </c>
      <c r="R1493" s="17" t="n">
        <v>45801</v>
      </c>
      <c r="S1493" s="19">
        <f>H1493*I1493</f>
        <v/>
      </c>
      <c r="T1493" s="19">
        <f>H1493*J1493</f>
        <v/>
      </c>
      <c r="U1493">
        <f>IF(AND(K1493=0,G1493&lt;=Assumptions!$C$6),1,0)</f>
        <v/>
      </c>
      <c r="V1493">
        <f>IF(U1493=1,IF(M1493&gt;0,IF(P1493&lt;=G1493+Assumptions!$C$7,1,0),0),0)</f>
        <v/>
      </c>
      <c r="W1493">
        <f>IF(AND(U1493=1,M1493&gt;=H1493*(1-Assumptions!$C$8)),1,0)</f>
        <v/>
      </c>
      <c r="X1493">
        <f>IF(AND(U1493=1,N1493&gt;=H1493*(1-Assumptions!$C$8)),1,0)</f>
        <v/>
      </c>
      <c r="Y1493">
        <f>IF(ISNUMBER(Q1493),1,0)</f>
        <v/>
      </c>
      <c r="Z1493">
        <f>IF(AND(K1493=0,L1493=0,Y1493=0),1,0)</f>
        <v/>
      </c>
      <c r="AA1493">
        <f>IF(AND(Z1493=1,G1493&lt;Assumptions!$C$6),1,0)</f>
        <v/>
      </c>
      <c r="AB1493">
        <f>IF(U1493=0,"",IF(Y1493=1,MAX(0,Q1493-G1493),IF(L1493=1,MAX(0,R1493-G1493),MAX(0,Assumptions!$C$6-G1493))))</f>
        <v/>
      </c>
      <c r="AC1493">
        <f>IF(Y1493=1,Q1493-F1493,"")</f>
        <v/>
      </c>
      <c r="AD1493">
        <f>IF(Y1493=1,AC1493^2,"")</f>
        <v/>
      </c>
      <c r="AE1493" s="19">
        <f>IF(Z1493=1,(H1493-M1493)*I1493,0)</f>
        <v/>
      </c>
      <c r="AF1493">
        <f>IF(G1493&lt;EDATE(Assumptions!$C$6,-12)+1,"prior_12m","last_12m")</f>
        <v/>
      </c>
      <c r="AG1493" s="21">
        <f>DATE(YEAR(G1493),MONTH(G1493),1)</f>
        <v/>
      </c>
    </row>
    <row r="1494">
      <c r="A1494" t="inlineStr">
        <is>
          <t>SPO-00815-3</t>
        </is>
      </c>
      <c r="B1494" t="inlineStr">
        <is>
          <t>SPO-00815</t>
        </is>
      </c>
      <c r="C1494" t="inlineStr">
        <is>
          <t>SUP-06</t>
        </is>
      </c>
      <c r="D1494" t="inlineStr">
        <is>
          <t>MRO</t>
        </is>
      </c>
      <c r="E1494" t="inlineStr">
        <is>
          <t>MRO-07</t>
        </is>
      </c>
      <c r="F1494" s="17" t="n">
        <v>45793</v>
      </c>
      <c r="G1494" s="17" t="n">
        <v>45801</v>
      </c>
      <c r="H1494" s="18" t="n">
        <v>84</v>
      </c>
      <c r="I1494" s="19" t="n">
        <v>14.07</v>
      </c>
      <c r="J1494" s="19" t="n">
        <v>14</v>
      </c>
      <c r="K1494" s="20" t="n">
        <v>0</v>
      </c>
      <c r="L1494" s="20" t="n">
        <v>0</v>
      </c>
      <c r="M1494" s="18" t="n">
        <v>84</v>
      </c>
      <c r="N1494" s="18" t="n">
        <v>84</v>
      </c>
      <c r="O1494" s="18" t="n">
        <v>0</v>
      </c>
      <c r="P1494" s="17" t="n">
        <v>45798</v>
      </c>
      <c r="Q1494" s="17" t="n">
        <v>45798</v>
      </c>
      <c r="R1494" s="17" t="n">
        <v>45798</v>
      </c>
      <c r="S1494" s="19">
        <f>H1494*I1494</f>
        <v/>
      </c>
      <c r="T1494" s="19">
        <f>H1494*J1494</f>
        <v/>
      </c>
      <c r="U1494">
        <f>IF(AND(K1494=0,G1494&lt;=Assumptions!$C$6),1,0)</f>
        <v/>
      </c>
      <c r="V1494">
        <f>IF(U1494=1,IF(M1494&gt;0,IF(P1494&lt;=G1494+Assumptions!$C$7,1,0),0),0)</f>
        <v/>
      </c>
      <c r="W1494">
        <f>IF(AND(U1494=1,M1494&gt;=H1494*(1-Assumptions!$C$8)),1,0)</f>
        <v/>
      </c>
      <c r="X1494">
        <f>IF(AND(U1494=1,N1494&gt;=H1494*(1-Assumptions!$C$8)),1,0)</f>
        <v/>
      </c>
      <c r="Y1494">
        <f>IF(ISNUMBER(Q1494),1,0)</f>
        <v/>
      </c>
      <c r="Z1494">
        <f>IF(AND(K1494=0,L1494=0,Y1494=0),1,0)</f>
        <v/>
      </c>
      <c r="AA1494">
        <f>IF(AND(Z1494=1,G1494&lt;Assumptions!$C$6),1,0)</f>
        <v/>
      </c>
      <c r="AB1494">
        <f>IF(U1494=0,"",IF(Y1494=1,MAX(0,Q1494-G1494),IF(L1494=1,MAX(0,R1494-G1494),MAX(0,Assumptions!$C$6-G1494))))</f>
        <v/>
      </c>
      <c r="AC1494">
        <f>IF(Y1494=1,Q1494-F1494,"")</f>
        <v/>
      </c>
      <c r="AD1494">
        <f>IF(Y1494=1,AC1494^2,"")</f>
        <v/>
      </c>
      <c r="AE1494" s="19">
        <f>IF(Z1494=1,(H1494-M1494)*I1494,0)</f>
        <v/>
      </c>
      <c r="AF1494">
        <f>IF(G1494&lt;EDATE(Assumptions!$C$6,-12)+1,"prior_12m","last_12m")</f>
        <v/>
      </c>
      <c r="AG1494" s="21">
        <f>DATE(YEAR(G1494),MONTH(G1494),1)</f>
        <v/>
      </c>
    </row>
    <row r="1495">
      <c r="A1495" t="inlineStr">
        <is>
          <t>SPO-00816-1</t>
        </is>
      </c>
      <c r="B1495" t="inlineStr">
        <is>
          <t>SPO-00816</t>
        </is>
      </c>
      <c r="C1495" t="inlineStr">
        <is>
          <t>SUP-09</t>
        </is>
      </c>
      <c r="D1495" t="inlineStr">
        <is>
          <t>CHEM</t>
        </is>
      </c>
      <c r="E1495" t="inlineStr">
        <is>
          <t>CHEM-02</t>
        </is>
      </c>
      <c r="F1495" s="17" t="n">
        <v>45793</v>
      </c>
      <c r="G1495" s="17" t="n">
        <v>45807</v>
      </c>
      <c r="H1495" s="18" t="n">
        <v>5</v>
      </c>
      <c r="I1495" s="19" t="n">
        <v>426.44</v>
      </c>
      <c r="J1495" s="19" t="n">
        <v>410</v>
      </c>
      <c r="K1495" s="20" t="n">
        <v>0</v>
      </c>
      <c r="L1495" s="20" t="n">
        <v>0</v>
      </c>
      <c r="M1495" s="18" t="n">
        <v>5</v>
      </c>
      <c r="N1495" s="18" t="n">
        <v>5</v>
      </c>
      <c r="O1495" s="18" t="n">
        <v>0</v>
      </c>
      <c r="P1495" s="17" t="n">
        <v>45803</v>
      </c>
      <c r="Q1495" s="17" t="n">
        <v>45803</v>
      </c>
      <c r="R1495" s="17" t="n">
        <v>45803</v>
      </c>
      <c r="S1495" s="19">
        <f>H1495*I1495</f>
        <v/>
      </c>
      <c r="T1495" s="19">
        <f>H1495*J1495</f>
        <v/>
      </c>
      <c r="U1495">
        <f>IF(AND(K1495=0,G1495&lt;=Assumptions!$C$6),1,0)</f>
        <v/>
      </c>
      <c r="V1495">
        <f>IF(U1495=1,IF(M1495&gt;0,IF(P1495&lt;=G1495+Assumptions!$C$7,1,0),0),0)</f>
        <v/>
      </c>
      <c r="W1495">
        <f>IF(AND(U1495=1,M1495&gt;=H1495*(1-Assumptions!$C$8)),1,0)</f>
        <v/>
      </c>
      <c r="X1495">
        <f>IF(AND(U1495=1,N1495&gt;=H1495*(1-Assumptions!$C$8)),1,0)</f>
        <v/>
      </c>
      <c r="Y1495">
        <f>IF(ISNUMBER(Q1495),1,0)</f>
        <v/>
      </c>
      <c r="Z1495">
        <f>IF(AND(K1495=0,L1495=0,Y1495=0),1,0)</f>
        <v/>
      </c>
      <c r="AA1495">
        <f>IF(AND(Z1495=1,G1495&lt;Assumptions!$C$6),1,0)</f>
        <v/>
      </c>
      <c r="AB1495">
        <f>IF(U1495=0,"",IF(Y1495=1,MAX(0,Q1495-G1495),IF(L1495=1,MAX(0,R1495-G1495),MAX(0,Assumptions!$C$6-G1495))))</f>
        <v/>
      </c>
      <c r="AC1495">
        <f>IF(Y1495=1,Q1495-F1495,"")</f>
        <v/>
      </c>
      <c r="AD1495">
        <f>IF(Y1495=1,AC1495^2,"")</f>
        <v/>
      </c>
      <c r="AE1495" s="19">
        <f>IF(Z1495=1,(H1495-M1495)*I1495,0)</f>
        <v/>
      </c>
      <c r="AF1495">
        <f>IF(G1495&lt;EDATE(Assumptions!$C$6,-12)+1,"prior_12m","last_12m")</f>
        <v/>
      </c>
      <c r="AG1495" s="21">
        <f>DATE(YEAR(G1495),MONTH(G1495),1)</f>
        <v/>
      </c>
    </row>
    <row r="1496">
      <c r="A1496" t="inlineStr">
        <is>
          <t>SPO-00816-2</t>
        </is>
      </c>
      <c r="B1496" t="inlineStr">
        <is>
          <t>SPO-00816</t>
        </is>
      </c>
      <c r="C1496" t="inlineStr">
        <is>
          <t>SUP-09</t>
        </is>
      </c>
      <c r="D1496" t="inlineStr">
        <is>
          <t>CHEM</t>
        </is>
      </c>
      <c r="E1496" t="inlineStr">
        <is>
          <t>CHEM-06</t>
        </is>
      </c>
      <c r="F1496" s="17" t="n">
        <v>45793</v>
      </c>
      <c r="G1496" s="17" t="n">
        <v>45807</v>
      </c>
      <c r="H1496" s="18" t="n">
        <v>3</v>
      </c>
      <c r="I1496" s="19" t="n">
        <v>389.99</v>
      </c>
      <c r="J1496" s="19" t="n">
        <v>380</v>
      </c>
      <c r="K1496" s="20" t="n">
        <v>0</v>
      </c>
      <c r="L1496" s="20" t="n">
        <v>0</v>
      </c>
      <c r="M1496" s="18" t="n">
        <v>3</v>
      </c>
      <c r="N1496" s="18" t="n">
        <v>3</v>
      </c>
      <c r="O1496" s="18" t="n">
        <v>0</v>
      </c>
      <c r="P1496" s="17" t="n">
        <v>45805</v>
      </c>
      <c r="Q1496" s="17" t="n">
        <v>45805</v>
      </c>
      <c r="R1496" s="17" t="n">
        <v>45805</v>
      </c>
      <c r="S1496" s="19">
        <f>H1496*I1496</f>
        <v/>
      </c>
      <c r="T1496" s="19">
        <f>H1496*J1496</f>
        <v/>
      </c>
      <c r="U1496">
        <f>IF(AND(K1496=0,G1496&lt;=Assumptions!$C$6),1,0)</f>
        <v/>
      </c>
      <c r="V1496">
        <f>IF(U1496=1,IF(M1496&gt;0,IF(P1496&lt;=G1496+Assumptions!$C$7,1,0),0),0)</f>
        <v/>
      </c>
      <c r="W1496">
        <f>IF(AND(U1496=1,M1496&gt;=H1496*(1-Assumptions!$C$8)),1,0)</f>
        <v/>
      </c>
      <c r="X1496">
        <f>IF(AND(U1496=1,N1496&gt;=H1496*(1-Assumptions!$C$8)),1,0)</f>
        <v/>
      </c>
      <c r="Y1496">
        <f>IF(ISNUMBER(Q1496),1,0)</f>
        <v/>
      </c>
      <c r="Z1496">
        <f>IF(AND(K1496=0,L1496=0,Y1496=0),1,0)</f>
        <v/>
      </c>
      <c r="AA1496">
        <f>IF(AND(Z1496=1,G1496&lt;Assumptions!$C$6),1,0)</f>
        <v/>
      </c>
      <c r="AB1496">
        <f>IF(U1496=0,"",IF(Y1496=1,MAX(0,Q1496-G1496),IF(L1496=1,MAX(0,R1496-G1496),MAX(0,Assumptions!$C$6-G1496))))</f>
        <v/>
      </c>
      <c r="AC1496">
        <f>IF(Y1496=1,Q1496-F1496,"")</f>
        <v/>
      </c>
      <c r="AD1496">
        <f>IF(Y1496=1,AC1496^2,"")</f>
        <v/>
      </c>
      <c r="AE1496" s="19">
        <f>IF(Z1496=1,(H1496-M1496)*I1496,0)</f>
        <v/>
      </c>
      <c r="AF1496">
        <f>IF(G1496&lt;EDATE(Assumptions!$C$6,-12)+1,"prior_12m","last_12m")</f>
        <v/>
      </c>
      <c r="AG1496" s="21">
        <f>DATE(YEAR(G1496),MONTH(G1496),1)</f>
        <v/>
      </c>
    </row>
    <row r="1497">
      <c r="A1497" t="inlineStr">
        <is>
          <t>SPO-00817-1</t>
        </is>
      </c>
      <c r="B1497" t="inlineStr">
        <is>
          <t>SPO-00817</t>
        </is>
      </c>
      <c r="C1497" t="inlineStr">
        <is>
          <t>SUP-01</t>
        </is>
      </c>
      <c r="D1497" t="inlineStr">
        <is>
          <t>ELEC</t>
        </is>
      </c>
      <c r="E1497" t="inlineStr">
        <is>
          <t>ELEC-02</t>
        </is>
      </c>
      <c r="F1497" s="17" t="n">
        <v>45793</v>
      </c>
      <c r="G1497" s="17" t="n">
        <v>45811</v>
      </c>
      <c r="H1497" s="18" t="n">
        <v>319</v>
      </c>
      <c r="I1497" s="19" t="n">
        <v>4.51</v>
      </c>
      <c r="J1497" s="19" t="n">
        <v>4.2</v>
      </c>
      <c r="K1497" s="20" t="n">
        <v>0</v>
      </c>
      <c r="L1497" s="20" t="n">
        <v>0</v>
      </c>
      <c r="M1497" s="18" t="n">
        <v>319</v>
      </c>
      <c r="N1497" s="18" t="n">
        <v>226</v>
      </c>
      <c r="O1497" s="18" t="n">
        <v>0</v>
      </c>
      <c r="P1497" s="17" t="n">
        <v>45803</v>
      </c>
      <c r="Q1497" s="17" t="n">
        <v>45822</v>
      </c>
      <c r="R1497" s="17" t="n">
        <v>45822</v>
      </c>
      <c r="S1497" s="19">
        <f>H1497*I1497</f>
        <v/>
      </c>
      <c r="T1497" s="19">
        <f>H1497*J1497</f>
        <v/>
      </c>
      <c r="U1497">
        <f>IF(AND(K1497=0,G1497&lt;=Assumptions!$C$6),1,0)</f>
        <v/>
      </c>
      <c r="V1497">
        <f>IF(U1497=1,IF(M1497&gt;0,IF(P1497&lt;=G1497+Assumptions!$C$7,1,0),0),0)</f>
        <v/>
      </c>
      <c r="W1497">
        <f>IF(AND(U1497=1,M1497&gt;=H1497*(1-Assumptions!$C$8)),1,0)</f>
        <v/>
      </c>
      <c r="X1497">
        <f>IF(AND(U1497=1,N1497&gt;=H1497*(1-Assumptions!$C$8)),1,0)</f>
        <v/>
      </c>
      <c r="Y1497">
        <f>IF(ISNUMBER(Q1497),1,0)</f>
        <v/>
      </c>
      <c r="Z1497">
        <f>IF(AND(K1497=0,L1497=0,Y1497=0),1,0)</f>
        <v/>
      </c>
      <c r="AA1497">
        <f>IF(AND(Z1497=1,G1497&lt;Assumptions!$C$6),1,0)</f>
        <v/>
      </c>
      <c r="AB1497">
        <f>IF(U1497=0,"",IF(Y1497=1,MAX(0,Q1497-G1497),IF(L1497=1,MAX(0,R1497-G1497),MAX(0,Assumptions!$C$6-G1497))))</f>
        <v/>
      </c>
      <c r="AC1497">
        <f>IF(Y1497=1,Q1497-F1497,"")</f>
        <v/>
      </c>
      <c r="AD1497">
        <f>IF(Y1497=1,AC1497^2,"")</f>
        <v/>
      </c>
      <c r="AE1497" s="19">
        <f>IF(Z1497=1,(H1497-M1497)*I1497,0)</f>
        <v/>
      </c>
      <c r="AF1497">
        <f>IF(G1497&lt;EDATE(Assumptions!$C$6,-12)+1,"prior_12m","last_12m")</f>
        <v/>
      </c>
      <c r="AG1497" s="21">
        <f>DATE(YEAR(G1497),MONTH(G1497),1)</f>
        <v/>
      </c>
    </row>
    <row r="1498">
      <c r="A1498" t="inlineStr">
        <is>
          <t>SPO-00817-2</t>
        </is>
      </c>
      <c r="B1498" t="inlineStr">
        <is>
          <t>SPO-00817</t>
        </is>
      </c>
      <c r="C1498" t="inlineStr">
        <is>
          <t>SUP-01</t>
        </is>
      </c>
      <c r="D1498" t="inlineStr">
        <is>
          <t>ELEC</t>
        </is>
      </c>
      <c r="E1498" t="inlineStr">
        <is>
          <t>ELEC-03</t>
        </is>
      </c>
      <c r="F1498" s="17" t="n">
        <v>45793</v>
      </c>
      <c r="G1498" s="17" t="n">
        <v>45811</v>
      </c>
      <c r="H1498" s="18" t="n">
        <v>37</v>
      </c>
      <c r="I1498" s="19" t="n">
        <v>97.79000000000001</v>
      </c>
      <c r="J1498" s="19" t="n">
        <v>96</v>
      </c>
      <c r="K1498" s="20" t="n">
        <v>0</v>
      </c>
      <c r="L1498" s="20" t="n">
        <v>0</v>
      </c>
      <c r="M1498" s="18" t="n">
        <v>37</v>
      </c>
      <c r="N1498" s="18" t="n">
        <v>37</v>
      </c>
      <c r="O1498" s="18" t="n">
        <v>0</v>
      </c>
      <c r="P1498" s="17" t="n">
        <v>45805</v>
      </c>
      <c r="Q1498" s="17" t="n">
        <v>45805</v>
      </c>
      <c r="R1498" s="17" t="n">
        <v>45805</v>
      </c>
      <c r="S1498" s="19">
        <f>H1498*I1498</f>
        <v/>
      </c>
      <c r="T1498" s="19">
        <f>H1498*J1498</f>
        <v/>
      </c>
      <c r="U1498">
        <f>IF(AND(K1498=0,G1498&lt;=Assumptions!$C$6),1,0)</f>
        <v/>
      </c>
      <c r="V1498">
        <f>IF(U1498=1,IF(M1498&gt;0,IF(P1498&lt;=G1498+Assumptions!$C$7,1,0),0),0)</f>
        <v/>
      </c>
      <c r="W1498">
        <f>IF(AND(U1498=1,M1498&gt;=H1498*(1-Assumptions!$C$8)),1,0)</f>
        <v/>
      </c>
      <c r="X1498">
        <f>IF(AND(U1498=1,N1498&gt;=H1498*(1-Assumptions!$C$8)),1,0)</f>
        <v/>
      </c>
      <c r="Y1498">
        <f>IF(ISNUMBER(Q1498),1,0)</f>
        <v/>
      </c>
      <c r="Z1498">
        <f>IF(AND(K1498=0,L1498=0,Y1498=0),1,0)</f>
        <v/>
      </c>
      <c r="AA1498">
        <f>IF(AND(Z1498=1,G1498&lt;Assumptions!$C$6),1,0)</f>
        <v/>
      </c>
      <c r="AB1498">
        <f>IF(U1498=0,"",IF(Y1498=1,MAX(0,Q1498-G1498),IF(L1498=1,MAX(0,R1498-G1498),MAX(0,Assumptions!$C$6-G1498))))</f>
        <v/>
      </c>
      <c r="AC1498">
        <f>IF(Y1498=1,Q1498-F1498,"")</f>
        <v/>
      </c>
      <c r="AD1498">
        <f>IF(Y1498=1,AC1498^2,"")</f>
        <v/>
      </c>
      <c r="AE1498" s="19">
        <f>IF(Z1498=1,(H1498-M1498)*I1498,0)</f>
        <v/>
      </c>
      <c r="AF1498">
        <f>IF(G1498&lt;EDATE(Assumptions!$C$6,-12)+1,"prior_12m","last_12m")</f>
        <v/>
      </c>
      <c r="AG1498" s="21">
        <f>DATE(YEAR(G1498),MONTH(G1498),1)</f>
        <v/>
      </c>
    </row>
    <row r="1499">
      <c r="A1499" t="inlineStr">
        <is>
          <t>SPO-00818-1</t>
        </is>
      </c>
      <c r="B1499" t="inlineStr">
        <is>
          <t>SPO-00818</t>
        </is>
      </c>
      <c r="C1499" t="inlineStr">
        <is>
          <t>SUP-06</t>
        </is>
      </c>
      <c r="D1499" t="inlineStr">
        <is>
          <t>MRO</t>
        </is>
      </c>
      <c r="E1499" t="inlineStr">
        <is>
          <t>MRO-06</t>
        </is>
      </c>
      <c r="F1499" s="17" t="n">
        <v>45793</v>
      </c>
      <c r="G1499" s="17" t="n">
        <v>45801</v>
      </c>
      <c r="H1499" s="18" t="n">
        <v>163</v>
      </c>
      <c r="I1499" s="19" t="n">
        <v>5.97</v>
      </c>
      <c r="J1499" s="19" t="n">
        <v>6.1</v>
      </c>
      <c r="K1499" s="20" t="n">
        <v>0</v>
      </c>
      <c r="L1499" s="20" t="n">
        <v>0</v>
      </c>
      <c r="M1499" s="18" t="n">
        <v>163</v>
      </c>
      <c r="N1499" s="18" t="n">
        <v>163</v>
      </c>
      <c r="O1499" s="18" t="n">
        <v>0</v>
      </c>
      <c r="P1499" s="17" t="n">
        <v>45799</v>
      </c>
      <c r="Q1499" s="17" t="n">
        <v>45799</v>
      </c>
      <c r="R1499" s="17" t="n">
        <v>45799</v>
      </c>
      <c r="S1499" s="19">
        <f>H1499*I1499</f>
        <v/>
      </c>
      <c r="T1499" s="19">
        <f>H1499*J1499</f>
        <v/>
      </c>
      <c r="U1499">
        <f>IF(AND(K1499=0,G1499&lt;=Assumptions!$C$6),1,0)</f>
        <v/>
      </c>
      <c r="V1499">
        <f>IF(U1499=1,IF(M1499&gt;0,IF(P1499&lt;=G1499+Assumptions!$C$7,1,0),0),0)</f>
        <v/>
      </c>
      <c r="W1499">
        <f>IF(AND(U1499=1,M1499&gt;=H1499*(1-Assumptions!$C$8)),1,0)</f>
        <v/>
      </c>
      <c r="X1499">
        <f>IF(AND(U1499=1,N1499&gt;=H1499*(1-Assumptions!$C$8)),1,0)</f>
        <v/>
      </c>
      <c r="Y1499">
        <f>IF(ISNUMBER(Q1499),1,0)</f>
        <v/>
      </c>
      <c r="Z1499">
        <f>IF(AND(K1499=0,L1499=0,Y1499=0),1,0)</f>
        <v/>
      </c>
      <c r="AA1499">
        <f>IF(AND(Z1499=1,G1499&lt;Assumptions!$C$6),1,0)</f>
        <v/>
      </c>
      <c r="AB1499">
        <f>IF(U1499=0,"",IF(Y1499=1,MAX(0,Q1499-G1499),IF(L1499=1,MAX(0,R1499-G1499),MAX(0,Assumptions!$C$6-G1499))))</f>
        <v/>
      </c>
      <c r="AC1499">
        <f>IF(Y1499=1,Q1499-F1499,"")</f>
        <v/>
      </c>
      <c r="AD1499">
        <f>IF(Y1499=1,AC1499^2,"")</f>
        <v/>
      </c>
      <c r="AE1499" s="19">
        <f>IF(Z1499=1,(H1499-M1499)*I1499,0)</f>
        <v/>
      </c>
      <c r="AF1499">
        <f>IF(G1499&lt;EDATE(Assumptions!$C$6,-12)+1,"prior_12m","last_12m")</f>
        <v/>
      </c>
      <c r="AG1499" s="21">
        <f>DATE(YEAR(G1499),MONTH(G1499),1)</f>
        <v/>
      </c>
    </row>
    <row r="1500">
      <c r="A1500" t="inlineStr">
        <is>
          <t>SPO-00819-1</t>
        </is>
      </c>
      <c r="B1500" t="inlineStr">
        <is>
          <t>SPO-00819</t>
        </is>
      </c>
      <c r="C1500" t="inlineStr">
        <is>
          <t>SUP-01</t>
        </is>
      </c>
      <c r="D1500" t="inlineStr">
        <is>
          <t>ELEC</t>
        </is>
      </c>
      <c r="E1500" t="inlineStr">
        <is>
          <t>ELEC-04</t>
        </is>
      </c>
      <c r="F1500" s="17" t="n">
        <v>45793</v>
      </c>
      <c r="G1500" s="17" t="n">
        <v>45811</v>
      </c>
      <c r="H1500" s="18" t="n">
        <v>56</v>
      </c>
      <c r="I1500" s="19" t="n">
        <v>72.87</v>
      </c>
      <c r="J1500" s="19" t="n">
        <v>72</v>
      </c>
      <c r="K1500" s="20" t="n">
        <v>0</v>
      </c>
      <c r="L1500" s="20" t="n">
        <v>0</v>
      </c>
      <c r="M1500" s="18" t="n">
        <v>56</v>
      </c>
      <c r="N1500" s="18" t="n">
        <v>56</v>
      </c>
      <c r="O1500" s="18" t="n">
        <v>0</v>
      </c>
      <c r="P1500" s="17" t="n">
        <v>45808</v>
      </c>
      <c r="Q1500" s="17" t="n">
        <v>45808</v>
      </c>
      <c r="R1500" s="17" t="n">
        <v>45808</v>
      </c>
      <c r="S1500" s="19">
        <f>H1500*I1500</f>
        <v/>
      </c>
      <c r="T1500" s="19">
        <f>H1500*J1500</f>
        <v/>
      </c>
      <c r="U1500">
        <f>IF(AND(K1500=0,G1500&lt;=Assumptions!$C$6),1,0)</f>
        <v/>
      </c>
      <c r="V1500">
        <f>IF(U1500=1,IF(M1500&gt;0,IF(P1500&lt;=G1500+Assumptions!$C$7,1,0),0),0)</f>
        <v/>
      </c>
      <c r="W1500">
        <f>IF(AND(U1500=1,M1500&gt;=H1500*(1-Assumptions!$C$8)),1,0)</f>
        <v/>
      </c>
      <c r="X1500">
        <f>IF(AND(U1500=1,N1500&gt;=H1500*(1-Assumptions!$C$8)),1,0)</f>
        <v/>
      </c>
      <c r="Y1500">
        <f>IF(ISNUMBER(Q1500),1,0)</f>
        <v/>
      </c>
      <c r="Z1500">
        <f>IF(AND(K1500=0,L1500=0,Y1500=0),1,0)</f>
        <v/>
      </c>
      <c r="AA1500">
        <f>IF(AND(Z1500=1,G1500&lt;Assumptions!$C$6),1,0)</f>
        <v/>
      </c>
      <c r="AB1500">
        <f>IF(U1500=0,"",IF(Y1500=1,MAX(0,Q1500-G1500),IF(L1500=1,MAX(0,R1500-G1500),MAX(0,Assumptions!$C$6-G1500))))</f>
        <v/>
      </c>
      <c r="AC1500">
        <f>IF(Y1500=1,Q1500-F1500,"")</f>
        <v/>
      </c>
      <c r="AD1500">
        <f>IF(Y1500=1,AC1500^2,"")</f>
        <v/>
      </c>
      <c r="AE1500" s="19">
        <f>IF(Z1500=1,(H1500-M1500)*I1500,0)</f>
        <v/>
      </c>
      <c r="AF1500">
        <f>IF(G1500&lt;EDATE(Assumptions!$C$6,-12)+1,"prior_12m","last_12m")</f>
        <v/>
      </c>
      <c r="AG1500" s="21">
        <f>DATE(YEAR(G1500),MONTH(G1500),1)</f>
        <v/>
      </c>
    </row>
    <row r="1501">
      <c r="A1501" t="inlineStr">
        <is>
          <t>SPO-00819-2</t>
        </is>
      </c>
      <c r="B1501" t="inlineStr">
        <is>
          <t>SPO-00819</t>
        </is>
      </c>
      <c r="C1501" t="inlineStr">
        <is>
          <t>SUP-01</t>
        </is>
      </c>
      <c r="D1501" t="inlineStr">
        <is>
          <t>ELEC</t>
        </is>
      </c>
      <c r="E1501" t="inlineStr">
        <is>
          <t>ELEC-05</t>
        </is>
      </c>
      <c r="F1501" s="17" t="n">
        <v>45793</v>
      </c>
      <c r="G1501" s="17" t="n">
        <v>45811</v>
      </c>
      <c r="H1501" s="18" t="n">
        <v>268</v>
      </c>
      <c r="I1501" s="19" t="n">
        <v>11.54</v>
      </c>
      <c r="J1501" s="19" t="n">
        <v>11.5</v>
      </c>
      <c r="K1501" s="20" t="n">
        <v>0</v>
      </c>
      <c r="L1501" s="20" t="n">
        <v>0</v>
      </c>
      <c r="M1501" s="18" t="n">
        <v>268</v>
      </c>
      <c r="N1501" s="18" t="n">
        <v>268</v>
      </c>
      <c r="O1501" s="18" t="n">
        <v>0</v>
      </c>
      <c r="P1501" s="17" t="n">
        <v>45810</v>
      </c>
      <c r="Q1501" s="17" t="n">
        <v>45810</v>
      </c>
      <c r="R1501" s="17" t="n">
        <v>45810</v>
      </c>
      <c r="S1501" s="19">
        <f>H1501*I1501</f>
        <v/>
      </c>
      <c r="T1501" s="19">
        <f>H1501*J1501</f>
        <v/>
      </c>
      <c r="U1501">
        <f>IF(AND(K1501=0,G1501&lt;=Assumptions!$C$6),1,0)</f>
        <v/>
      </c>
      <c r="V1501">
        <f>IF(U1501=1,IF(M1501&gt;0,IF(P1501&lt;=G1501+Assumptions!$C$7,1,0),0),0)</f>
        <v/>
      </c>
      <c r="W1501">
        <f>IF(AND(U1501=1,M1501&gt;=H1501*(1-Assumptions!$C$8)),1,0)</f>
        <v/>
      </c>
      <c r="X1501">
        <f>IF(AND(U1501=1,N1501&gt;=H1501*(1-Assumptions!$C$8)),1,0)</f>
        <v/>
      </c>
      <c r="Y1501">
        <f>IF(ISNUMBER(Q1501),1,0)</f>
        <v/>
      </c>
      <c r="Z1501">
        <f>IF(AND(K1501=0,L1501=0,Y1501=0),1,0)</f>
        <v/>
      </c>
      <c r="AA1501">
        <f>IF(AND(Z1501=1,G1501&lt;Assumptions!$C$6),1,0)</f>
        <v/>
      </c>
      <c r="AB1501">
        <f>IF(U1501=0,"",IF(Y1501=1,MAX(0,Q1501-G1501),IF(L1501=1,MAX(0,R1501-G1501),MAX(0,Assumptions!$C$6-G1501))))</f>
        <v/>
      </c>
      <c r="AC1501">
        <f>IF(Y1501=1,Q1501-F1501,"")</f>
        <v/>
      </c>
      <c r="AD1501">
        <f>IF(Y1501=1,AC1501^2,"")</f>
        <v/>
      </c>
      <c r="AE1501" s="19">
        <f>IF(Z1501=1,(H1501-M1501)*I1501,0)</f>
        <v/>
      </c>
      <c r="AF1501">
        <f>IF(G1501&lt;EDATE(Assumptions!$C$6,-12)+1,"prior_12m","last_12m")</f>
        <v/>
      </c>
      <c r="AG1501" s="21">
        <f>DATE(YEAR(G1501),MONTH(G1501),1)</f>
        <v/>
      </c>
    </row>
    <row r="1502">
      <c r="A1502" t="inlineStr">
        <is>
          <t>SPO-00819-3</t>
        </is>
      </c>
      <c r="B1502" t="inlineStr">
        <is>
          <t>SPO-00819</t>
        </is>
      </c>
      <c r="C1502" t="inlineStr">
        <is>
          <t>SUP-01</t>
        </is>
      </c>
      <c r="D1502" t="inlineStr">
        <is>
          <t>ELEC</t>
        </is>
      </c>
      <c r="E1502" t="inlineStr">
        <is>
          <t>ELEC-03</t>
        </is>
      </c>
      <c r="F1502" s="17" t="n">
        <v>45793</v>
      </c>
      <c r="G1502" s="17" t="n">
        <v>45811</v>
      </c>
      <c r="H1502" s="18" t="n">
        <v>16</v>
      </c>
      <c r="I1502" s="19" t="n">
        <v>100.02</v>
      </c>
      <c r="J1502" s="19" t="n">
        <v>96</v>
      </c>
      <c r="K1502" s="20" t="n">
        <v>0</v>
      </c>
      <c r="L1502" s="20" t="n">
        <v>0</v>
      </c>
      <c r="M1502" s="18" t="n">
        <v>16</v>
      </c>
      <c r="N1502" s="18" t="n">
        <v>16</v>
      </c>
      <c r="O1502" s="18" t="n">
        <v>0</v>
      </c>
      <c r="P1502" s="17" t="n">
        <v>45809</v>
      </c>
      <c r="Q1502" s="17" t="n">
        <v>45809</v>
      </c>
      <c r="R1502" s="17" t="n">
        <v>45809</v>
      </c>
      <c r="S1502" s="19">
        <f>H1502*I1502</f>
        <v/>
      </c>
      <c r="T1502" s="19">
        <f>H1502*J1502</f>
        <v/>
      </c>
      <c r="U1502">
        <f>IF(AND(K1502=0,G1502&lt;=Assumptions!$C$6),1,0)</f>
        <v/>
      </c>
      <c r="V1502">
        <f>IF(U1502=1,IF(M1502&gt;0,IF(P1502&lt;=G1502+Assumptions!$C$7,1,0),0),0)</f>
        <v/>
      </c>
      <c r="W1502">
        <f>IF(AND(U1502=1,M1502&gt;=H1502*(1-Assumptions!$C$8)),1,0)</f>
        <v/>
      </c>
      <c r="X1502">
        <f>IF(AND(U1502=1,N1502&gt;=H1502*(1-Assumptions!$C$8)),1,0)</f>
        <v/>
      </c>
      <c r="Y1502">
        <f>IF(ISNUMBER(Q1502),1,0)</f>
        <v/>
      </c>
      <c r="Z1502">
        <f>IF(AND(K1502=0,L1502=0,Y1502=0),1,0)</f>
        <v/>
      </c>
      <c r="AA1502">
        <f>IF(AND(Z1502=1,G1502&lt;Assumptions!$C$6),1,0)</f>
        <v/>
      </c>
      <c r="AB1502">
        <f>IF(U1502=0,"",IF(Y1502=1,MAX(0,Q1502-G1502),IF(L1502=1,MAX(0,R1502-G1502),MAX(0,Assumptions!$C$6-G1502))))</f>
        <v/>
      </c>
      <c r="AC1502">
        <f>IF(Y1502=1,Q1502-F1502,"")</f>
        <v/>
      </c>
      <c r="AD1502">
        <f>IF(Y1502=1,AC1502^2,"")</f>
        <v/>
      </c>
      <c r="AE1502" s="19">
        <f>IF(Z1502=1,(H1502-M1502)*I1502,0)</f>
        <v/>
      </c>
      <c r="AF1502">
        <f>IF(G1502&lt;EDATE(Assumptions!$C$6,-12)+1,"prior_12m","last_12m")</f>
        <v/>
      </c>
      <c r="AG1502" s="21">
        <f>DATE(YEAR(G1502),MONTH(G1502),1)</f>
        <v/>
      </c>
    </row>
    <row r="1503">
      <c r="A1503" t="inlineStr">
        <is>
          <t>SPO-00820-1</t>
        </is>
      </c>
      <c r="B1503" t="inlineStr">
        <is>
          <t>SPO-00820</t>
        </is>
      </c>
      <c r="C1503" t="inlineStr">
        <is>
          <t>SUP-02</t>
        </is>
      </c>
      <c r="D1503" t="inlineStr">
        <is>
          <t>ELEC</t>
        </is>
      </c>
      <c r="E1503" t="inlineStr">
        <is>
          <t>ELEC-06</t>
        </is>
      </c>
      <c r="F1503" s="17" t="n">
        <v>45793</v>
      </c>
      <c r="G1503" s="17" t="n">
        <v>45809</v>
      </c>
      <c r="H1503" s="18" t="n">
        <v>8</v>
      </c>
      <c r="I1503" s="19" t="n">
        <v>148.03</v>
      </c>
      <c r="J1503" s="19" t="n">
        <v>145</v>
      </c>
      <c r="K1503" s="20" t="n">
        <v>0</v>
      </c>
      <c r="L1503" s="20" t="n">
        <v>0</v>
      </c>
      <c r="M1503" s="18" t="n">
        <v>8</v>
      </c>
      <c r="N1503" s="18" t="n">
        <v>8</v>
      </c>
      <c r="O1503" s="18" t="n">
        <v>0</v>
      </c>
      <c r="P1503" s="17" t="n">
        <v>45806</v>
      </c>
      <c r="Q1503" s="17" t="n">
        <v>45806</v>
      </c>
      <c r="R1503" s="17" t="n">
        <v>45806</v>
      </c>
      <c r="S1503" s="19">
        <f>H1503*I1503</f>
        <v/>
      </c>
      <c r="T1503" s="19">
        <f>H1503*J1503</f>
        <v/>
      </c>
      <c r="U1503">
        <f>IF(AND(K1503=0,G1503&lt;=Assumptions!$C$6),1,0)</f>
        <v/>
      </c>
      <c r="V1503">
        <f>IF(U1503=1,IF(M1503&gt;0,IF(P1503&lt;=G1503+Assumptions!$C$7,1,0),0),0)</f>
        <v/>
      </c>
      <c r="W1503">
        <f>IF(AND(U1503=1,M1503&gt;=H1503*(1-Assumptions!$C$8)),1,0)</f>
        <v/>
      </c>
      <c r="X1503">
        <f>IF(AND(U1503=1,N1503&gt;=H1503*(1-Assumptions!$C$8)),1,0)</f>
        <v/>
      </c>
      <c r="Y1503">
        <f>IF(ISNUMBER(Q1503),1,0)</f>
        <v/>
      </c>
      <c r="Z1503">
        <f>IF(AND(K1503=0,L1503=0,Y1503=0),1,0)</f>
        <v/>
      </c>
      <c r="AA1503">
        <f>IF(AND(Z1503=1,G1503&lt;Assumptions!$C$6),1,0)</f>
        <v/>
      </c>
      <c r="AB1503">
        <f>IF(U1503=0,"",IF(Y1503=1,MAX(0,Q1503-G1503),IF(L1503=1,MAX(0,R1503-G1503),MAX(0,Assumptions!$C$6-G1503))))</f>
        <v/>
      </c>
      <c r="AC1503">
        <f>IF(Y1503=1,Q1503-F1503,"")</f>
        <v/>
      </c>
      <c r="AD1503">
        <f>IF(Y1503=1,AC1503^2,"")</f>
        <v/>
      </c>
      <c r="AE1503" s="19">
        <f>IF(Z1503=1,(H1503-M1503)*I1503,0)</f>
        <v/>
      </c>
      <c r="AF1503">
        <f>IF(G1503&lt;EDATE(Assumptions!$C$6,-12)+1,"prior_12m","last_12m")</f>
        <v/>
      </c>
      <c r="AG1503" s="21">
        <f>DATE(YEAR(G1503),MONTH(G1503),1)</f>
        <v/>
      </c>
    </row>
    <row r="1504">
      <c r="A1504" t="inlineStr">
        <is>
          <t>SPO-00820-2</t>
        </is>
      </c>
      <c r="B1504" t="inlineStr">
        <is>
          <t>SPO-00820</t>
        </is>
      </c>
      <c r="C1504" t="inlineStr">
        <is>
          <t>SUP-02</t>
        </is>
      </c>
      <c r="D1504" t="inlineStr">
        <is>
          <t>ELEC</t>
        </is>
      </c>
      <c r="E1504" t="inlineStr">
        <is>
          <t>ELEC-07</t>
        </is>
      </c>
      <c r="F1504" s="17" t="n">
        <v>45793</v>
      </c>
      <c r="G1504" s="17" t="n">
        <v>45809</v>
      </c>
      <c r="H1504" s="18" t="n">
        <v>170</v>
      </c>
      <c r="I1504" s="19" t="n">
        <v>9.23</v>
      </c>
      <c r="J1504" s="19" t="n">
        <v>9.800000000000001</v>
      </c>
      <c r="K1504" s="20" t="n">
        <v>0</v>
      </c>
      <c r="L1504" s="20" t="n">
        <v>0</v>
      </c>
      <c r="M1504" s="18" t="n">
        <v>170</v>
      </c>
      <c r="N1504" s="18" t="n">
        <v>170</v>
      </c>
      <c r="O1504" s="18" t="n">
        <v>0</v>
      </c>
      <c r="P1504" s="17" t="n">
        <v>45804</v>
      </c>
      <c r="Q1504" s="17" t="n">
        <v>45804</v>
      </c>
      <c r="R1504" s="17" t="n">
        <v>45804</v>
      </c>
      <c r="S1504" s="19">
        <f>H1504*I1504</f>
        <v/>
      </c>
      <c r="T1504" s="19">
        <f>H1504*J1504</f>
        <v/>
      </c>
      <c r="U1504">
        <f>IF(AND(K1504=0,G1504&lt;=Assumptions!$C$6),1,0)</f>
        <v/>
      </c>
      <c r="V1504">
        <f>IF(U1504=1,IF(M1504&gt;0,IF(P1504&lt;=G1504+Assumptions!$C$7,1,0),0),0)</f>
        <v/>
      </c>
      <c r="W1504">
        <f>IF(AND(U1504=1,M1504&gt;=H1504*(1-Assumptions!$C$8)),1,0)</f>
        <v/>
      </c>
      <c r="X1504">
        <f>IF(AND(U1504=1,N1504&gt;=H1504*(1-Assumptions!$C$8)),1,0)</f>
        <v/>
      </c>
      <c r="Y1504">
        <f>IF(ISNUMBER(Q1504),1,0)</f>
        <v/>
      </c>
      <c r="Z1504">
        <f>IF(AND(K1504=0,L1504=0,Y1504=0),1,0)</f>
        <v/>
      </c>
      <c r="AA1504">
        <f>IF(AND(Z1504=1,G1504&lt;Assumptions!$C$6),1,0)</f>
        <v/>
      </c>
      <c r="AB1504">
        <f>IF(U1504=0,"",IF(Y1504=1,MAX(0,Q1504-G1504),IF(L1504=1,MAX(0,R1504-G1504),MAX(0,Assumptions!$C$6-G1504))))</f>
        <v/>
      </c>
      <c r="AC1504">
        <f>IF(Y1504=1,Q1504-F1504,"")</f>
        <v/>
      </c>
      <c r="AD1504">
        <f>IF(Y1504=1,AC1504^2,"")</f>
        <v/>
      </c>
      <c r="AE1504" s="19">
        <f>IF(Z1504=1,(H1504-M1504)*I1504,0)</f>
        <v/>
      </c>
      <c r="AF1504">
        <f>IF(G1504&lt;EDATE(Assumptions!$C$6,-12)+1,"prior_12m","last_12m")</f>
        <v/>
      </c>
      <c r="AG1504" s="21">
        <f>DATE(YEAR(G1504),MONTH(G1504),1)</f>
        <v/>
      </c>
    </row>
    <row r="1505">
      <c r="A1505" t="inlineStr">
        <is>
          <t>SPO-00820-3</t>
        </is>
      </c>
      <c r="B1505" t="inlineStr">
        <is>
          <t>SPO-00820</t>
        </is>
      </c>
      <c r="C1505" t="inlineStr">
        <is>
          <t>SUP-02</t>
        </is>
      </c>
      <c r="D1505" t="inlineStr">
        <is>
          <t>ELEC</t>
        </is>
      </c>
      <c r="E1505" t="inlineStr">
        <is>
          <t>ELEC-04</t>
        </is>
      </c>
      <c r="F1505" s="17" t="n">
        <v>45793</v>
      </c>
      <c r="G1505" s="17" t="n">
        <v>45809</v>
      </c>
      <c r="H1505" s="18" t="n">
        <v>13</v>
      </c>
      <c r="I1505" s="19" t="n">
        <v>68.53</v>
      </c>
      <c r="J1505" s="19" t="n">
        <v>72</v>
      </c>
      <c r="K1505" s="20" t="n">
        <v>0</v>
      </c>
      <c r="L1505" s="20" t="n">
        <v>0</v>
      </c>
      <c r="M1505" s="18" t="n">
        <v>13</v>
      </c>
      <c r="N1505" s="18" t="n">
        <v>13</v>
      </c>
      <c r="O1505" s="18" t="n">
        <v>0</v>
      </c>
      <c r="P1505" s="17" t="n">
        <v>45808</v>
      </c>
      <c r="Q1505" s="17" t="n">
        <v>45808</v>
      </c>
      <c r="R1505" s="17" t="n">
        <v>45808</v>
      </c>
      <c r="S1505" s="19">
        <f>H1505*I1505</f>
        <v/>
      </c>
      <c r="T1505" s="19">
        <f>H1505*J1505</f>
        <v/>
      </c>
      <c r="U1505">
        <f>IF(AND(K1505=0,G1505&lt;=Assumptions!$C$6),1,0)</f>
        <v/>
      </c>
      <c r="V1505">
        <f>IF(U1505=1,IF(M1505&gt;0,IF(P1505&lt;=G1505+Assumptions!$C$7,1,0),0),0)</f>
        <v/>
      </c>
      <c r="W1505">
        <f>IF(AND(U1505=1,M1505&gt;=H1505*(1-Assumptions!$C$8)),1,0)</f>
        <v/>
      </c>
      <c r="X1505">
        <f>IF(AND(U1505=1,N1505&gt;=H1505*(1-Assumptions!$C$8)),1,0)</f>
        <v/>
      </c>
      <c r="Y1505">
        <f>IF(ISNUMBER(Q1505),1,0)</f>
        <v/>
      </c>
      <c r="Z1505">
        <f>IF(AND(K1505=0,L1505=0,Y1505=0),1,0)</f>
        <v/>
      </c>
      <c r="AA1505">
        <f>IF(AND(Z1505=1,G1505&lt;Assumptions!$C$6),1,0)</f>
        <v/>
      </c>
      <c r="AB1505">
        <f>IF(U1505=0,"",IF(Y1505=1,MAX(0,Q1505-G1505),IF(L1505=1,MAX(0,R1505-G1505),MAX(0,Assumptions!$C$6-G1505))))</f>
        <v/>
      </c>
      <c r="AC1505">
        <f>IF(Y1505=1,Q1505-F1505,"")</f>
        <v/>
      </c>
      <c r="AD1505">
        <f>IF(Y1505=1,AC1505^2,"")</f>
        <v/>
      </c>
      <c r="AE1505" s="19">
        <f>IF(Z1505=1,(H1505-M1505)*I1505,0)</f>
        <v/>
      </c>
      <c r="AF1505">
        <f>IF(G1505&lt;EDATE(Assumptions!$C$6,-12)+1,"prior_12m","last_12m")</f>
        <v/>
      </c>
      <c r="AG1505" s="21">
        <f>DATE(YEAR(G1505),MONTH(G1505),1)</f>
        <v/>
      </c>
    </row>
    <row r="1506">
      <c r="A1506" t="inlineStr">
        <is>
          <t>SPO-00821-1</t>
        </is>
      </c>
      <c r="B1506" t="inlineStr">
        <is>
          <t>SPO-00821</t>
        </is>
      </c>
      <c r="C1506" t="inlineStr">
        <is>
          <t>SUP-02</t>
        </is>
      </c>
      <c r="D1506" t="inlineStr">
        <is>
          <t>ELEC</t>
        </is>
      </c>
      <c r="E1506" t="inlineStr">
        <is>
          <t>ELEC-05</t>
        </is>
      </c>
      <c r="F1506" s="17" t="n">
        <v>45793</v>
      </c>
      <c r="G1506" s="17" t="n">
        <v>45809</v>
      </c>
      <c r="H1506" s="18" t="n">
        <v>88</v>
      </c>
      <c r="I1506" s="19" t="n">
        <v>11</v>
      </c>
      <c r="J1506" s="19" t="n">
        <v>11.5</v>
      </c>
      <c r="K1506" s="20" t="n">
        <v>0</v>
      </c>
      <c r="L1506" s="20" t="n">
        <v>0</v>
      </c>
      <c r="M1506" s="18" t="n">
        <v>88</v>
      </c>
      <c r="N1506" s="18" t="n">
        <v>88</v>
      </c>
      <c r="O1506" s="18" t="n">
        <v>0</v>
      </c>
      <c r="P1506" s="17" t="n">
        <v>45803</v>
      </c>
      <c r="Q1506" s="17" t="n">
        <v>45803</v>
      </c>
      <c r="R1506" s="17" t="n">
        <v>45803</v>
      </c>
      <c r="S1506" s="19">
        <f>H1506*I1506</f>
        <v/>
      </c>
      <c r="T1506" s="19">
        <f>H1506*J1506</f>
        <v/>
      </c>
      <c r="U1506">
        <f>IF(AND(K1506=0,G1506&lt;=Assumptions!$C$6),1,0)</f>
        <v/>
      </c>
      <c r="V1506">
        <f>IF(U1506=1,IF(M1506&gt;0,IF(P1506&lt;=G1506+Assumptions!$C$7,1,0),0),0)</f>
        <v/>
      </c>
      <c r="W1506">
        <f>IF(AND(U1506=1,M1506&gt;=H1506*(1-Assumptions!$C$8)),1,0)</f>
        <v/>
      </c>
      <c r="X1506">
        <f>IF(AND(U1506=1,N1506&gt;=H1506*(1-Assumptions!$C$8)),1,0)</f>
        <v/>
      </c>
      <c r="Y1506">
        <f>IF(ISNUMBER(Q1506),1,0)</f>
        <v/>
      </c>
      <c r="Z1506">
        <f>IF(AND(K1506=0,L1506=0,Y1506=0),1,0)</f>
        <v/>
      </c>
      <c r="AA1506">
        <f>IF(AND(Z1506=1,G1506&lt;Assumptions!$C$6),1,0)</f>
        <v/>
      </c>
      <c r="AB1506">
        <f>IF(U1506=0,"",IF(Y1506=1,MAX(0,Q1506-G1506),IF(L1506=1,MAX(0,R1506-G1506),MAX(0,Assumptions!$C$6-G1506))))</f>
        <v/>
      </c>
      <c r="AC1506">
        <f>IF(Y1506=1,Q1506-F1506,"")</f>
        <v/>
      </c>
      <c r="AD1506">
        <f>IF(Y1506=1,AC1506^2,"")</f>
        <v/>
      </c>
      <c r="AE1506" s="19">
        <f>IF(Z1506=1,(H1506-M1506)*I1506,0)</f>
        <v/>
      </c>
      <c r="AF1506">
        <f>IF(G1506&lt;EDATE(Assumptions!$C$6,-12)+1,"prior_12m","last_12m")</f>
        <v/>
      </c>
      <c r="AG1506" s="21">
        <f>DATE(YEAR(G1506),MONTH(G1506),1)</f>
        <v/>
      </c>
    </row>
    <row r="1507">
      <c r="A1507" t="inlineStr">
        <is>
          <t>SPO-00821-2</t>
        </is>
      </c>
      <c r="B1507" t="inlineStr">
        <is>
          <t>SPO-00821</t>
        </is>
      </c>
      <c r="C1507" t="inlineStr">
        <is>
          <t>SUP-02</t>
        </is>
      </c>
      <c r="D1507" t="inlineStr">
        <is>
          <t>ELEC</t>
        </is>
      </c>
      <c r="E1507" t="inlineStr">
        <is>
          <t>ELEC-06</t>
        </is>
      </c>
      <c r="F1507" s="17" t="n">
        <v>45793</v>
      </c>
      <c r="G1507" s="17" t="n">
        <v>45809</v>
      </c>
      <c r="H1507" s="18" t="n">
        <v>12</v>
      </c>
      <c r="I1507" s="19" t="n">
        <v>148.9</v>
      </c>
      <c r="J1507" s="19" t="n">
        <v>145</v>
      </c>
      <c r="K1507" s="20" t="n">
        <v>0</v>
      </c>
      <c r="L1507" s="20" t="n">
        <v>0</v>
      </c>
      <c r="M1507" s="18" t="n">
        <v>12</v>
      </c>
      <c r="N1507" s="18" t="n">
        <v>0</v>
      </c>
      <c r="O1507" s="18" t="n">
        <v>0</v>
      </c>
      <c r="P1507" s="17" t="n">
        <v>45811</v>
      </c>
      <c r="Q1507" s="17" t="n">
        <v>45811</v>
      </c>
      <c r="R1507" s="17" t="n">
        <v>45811</v>
      </c>
      <c r="S1507" s="19">
        <f>H1507*I1507</f>
        <v/>
      </c>
      <c r="T1507" s="19">
        <f>H1507*J1507</f>
        <v/>
      </c>
      <c r="U1507">
        <f>IF(AND(K1507=0,G1507&lt;=Assumptions!$C$6),1,0)</f>
        <v/>
      </c>
      <c r="V1507">
        <f>IF(U1507=1,IF(M1507&gt;0,IF(P1507&lt;=G1507+Assumptions!$C$7,1,0),0),0)</f>
        <v/>
      </c>
      <c r="W1507">
        <f>IF(AND(U1507=1,M1507&gt;=H1507*(1-Assumptions!$C$8)),1,0)</f>
        <v/>
      </c>
      <c r="X1507">
        <f>IF(AND(U1507=1,N1507&gt;=H1507*(1-Assumptions!$C$8)),1,0)</f>
        <v/>
      </c>
      <c r="Y1507">
        <f>IF(ISNUMBER(Q1507),1,0)</f>
        <v/>
      </c>
      <c r="Z1507">
        <f>IF(AND(K1507=0,L1507=0,Y1507=0),1,0)</f>
        <v/>
      </c>
      <c r="AA1507">
        <f>IF(AND(Z1507=1,G1507&lt;Assumptions!$C$6),1,0)</f>
        <v/>
      </c>
      <c r="AB1507">
        <f>IF(U1507=0,"",IF(Y1507=1,MAX(0,Q1507-G1507),IF(L1507=1,MAX(0,R1507-G1507),MAX(0,Assumptions!$C$6-G1507))))</f>
        <v/>
      </c>
      <c r="AC1507">
        <f>IF(Y1507=1,Q1507-F1507,"")</f>
        <v/>
      </c>
      <c r="AD1507">
        <f>IF(Y1507=1,AC1507^2,"")</f>
        <v/>
      </c>
      <c r="AE1507" s="19">
        <f>IF(Z1507=1,(H1507-M1507)*I1507,0)</f>
        <v/>
      </c>
      <c r="AF1507">
        <f>IF(G1507&lt;EDATE(Assumptions!$C$6,-12)+1,"prior_12m","last_12m")</f>
        <v/>
      </c>
      <c r="AG1507" s="21">
        <f>DATE(YEAR(G1507),MONTH(G1507),1)</f>
        <v/>
      </c>
    </row>
    <row r="1508">
      <c r="A1508" t="inlineStr">
        <is>
          <t>SPO-00821-3</t>
        </is>
      </c>
      <c r="B1508" t="inlineStr">
        <is>
          <t>SPO-00821</t>
        </is>
      </c>
      <c r="C1508" t="inlineStr">
        <is>
          <t>SUP-02</t>
        </is>
      </c>
      <c r="D1508" t="inlineStr">
        <is>
          <t>ELEC</t>
        </is>
      </c>
      <c r="E1508" t="inlineStr">
        <is>
          <t>ELEC-07</t>
        </is>
      </c>
      <c r="F1508" s="17" t="n">
        <v>45793</v>
      </c>
      <c r="G1508" s="17" t="n">
        <v>45809</v>
      </c>
      <c r="H1508" s="18" t="n">
        <v>194</v>
      </c>
      <c r="I1508" s="19" t="n">
        <v>9.75</v>
      </c>
      <c r="J1508" s="19" t="n">
        <v>9.800000000000001</v>
      </c>
      <c r="K1508" s="20" t="n">
        <v>0</v>
      </c>
      <c r="L1508" s="20" t="n">
        <v>0</v>
      </c>
      <c r="M1508" s="18" t="n">
        <v>194</v>
      </c>
      <c r="N1508" s="18" t="n">
        <v>194</v>
      </c>
      <c r="O1508" s="18" t="n">
        <v>0</v>
      </c>
      <c r="P1508" s="17" t="n">
        <v>45806</v>
      </c>
      <c r="Q1508" s="17" t="n">
        <v>45806</v>
      </c>
      <c r="R1508" s="17" t="n">
        <v>45806</v>
      </c>
      <c r="S1508" s="19">
        <f>H1508*I1508</f>
        <v/>
      </c>
      <c r="T1508" s="19">
        <f>H1508*J1508</f>
        <v/>
      </c>
      <c r="U1508">
        <f>IF(AND(K1508=0,G1508&lt;=Assumptions!$C$6),1,0)</f>
        <v/>
      </c>
      <c r="V1508">
        <f>IF(U1508=1,IF(M1508&gt;0,IF(P1508&lt;=G1508+Assumptions!$C$7,1,0),0),0)</f>
        <v/>
      </c>
      <c r="W1508">
        <f>IF(AND(U1508=1,M1508&gt;=H1508*(1-Assumptions!$C$8)),1,0)</f>
        <v/>
      </c>
      <c r="X1508">
        <f>IF(AND(U1508=1,N1508&gt;=H1508*(1-Assumptions!$C$8)),1,0)</f>
        <v/>
      </c>
      <c r="Y1508">
        <f>IF(ISNUMBER(Q1508),1,0)</f>
        <v/>
      </c>
      <c r="Z1508">
        <f>IF(AND(K1508=0,L1508=0,Y1508=0),1,0)</f>
        <v/>
      </c>
      <c r="AA1508">
        <f>IF(AND(Z1508=1,G1508&lt;Assumptions!$C$6),1,0)</f>
        <v/>
      </c>
      <c r="AB1508">
        <f>IF(U1508=0,"",IF(Y1508=1,MAX(0,Q1508-G1508),IF(L1508=1,MAX(0,R1508-G1508),MAX(0,Assumptions!$C$6-G1508))))</f>
        <v/>
      </c>
      <c r="AC1508">
        <f>IF(Y1508=1,Q1508-F1508,"")</f>
        <v/>
      </c>
      <c r="AD1508">
        <f>IF(Y1508=1,AC1508^2,"")</f>
        <v/>
      </c>
      <c r="AE1508" s="19">
        <f>IF(Z1508=1,(H1508-M1508)*I1508,0)</f>
        <v/>
      </c>
      <c r="AF1508">
        <f>IF(G1508&lt;EDATE(Assumptions!$C$6,-12)+1,"prior_12m","last_12m")</f>
        <v/>
      </c>
      <c r="AG1508" s="21">
        <f>DATE(YEAR(G1508),MONTH(G1508),1)</f>
        <v/>
      </c>
    </row>
    <row r="1509">
      <c r="A1509" t="inlineStr">
        <is>
          <t>SPO-00822-1</t>
        </is>
      </c>
      <c r="B1509" t="inlineStr">
        <is>
          <t>SPO-00822</t>
        </is>
      </c>
      <c r="C1509" t="inlineStr">
        <is>
          <t>SUP-01</t>
        </is>
      </c>
      <c r="D1509" t="inlineStr">
        <is>
          <t>ELEC</t>
        </is>
      </c>
      <c r="E1509" t="inlineStr">
        <is>
          <t>ELEC-03</t>
        </is>
      </c>
      <c r="F1509" s="17" t="n">
        <v>45794</v>
      </c>
      <c r="G1509" s="17" t="n">
        <v>45812</v>
      </c>
      <c r="H1509" s="18" t="n">
        <v>21</v>
      </c>
      <c r="I1509" s="19" t="n">
        <v>96.89</v>
      </c>
      <c r="J1509" s="19" t="n">
        <v>96</v>
      </c>
      <c r="K1509" s="20" t="n">
        <v>0</v>
      </c>
      <c r="L1509" s="20" t="n">
        <v>0</v>
      </c>
      <c r="M1509" s="18" t="n">
        <v>21</v>
      </c>
      <c r="N1509" s="18" t="n">
        <v>21</v>
      </c>
      <c r="O1509" s="18" t="n">
        <v>0</v>
      </c>
      <c r="P1509" s="17" t="n">
        <v>45809</v>
      </c>
      <c r="Q1509" s="17" t="n">
        <v>45809</v>
      </c>
      <c r="R1509" s="17" t="n">
        <v>45809</v>
      </c>
      <c r="S1509" s="19">
        <f>H1509*I1509</f>
        <v/>
      </c>
      <c r="T1509" s="19">
        <f>H1509*J1509</f>
        <v/>
      </c>
      <c r="U1509">
        <f>IF(AND(K1509=0,G1509&lt;=Assumptions!$C$6),1,0)</f>
        <v/>
      </c>
      <c r="V1509">
        <f>IF(U1509=1,IF(M1509&gt;0,IF(P1509&lt;=G1509+Assumptions!$C$7,1,0),0),0)</f>
        <v/>
      </c>
      <c r="W1509">
        <f>IF(AND(U1509=1,M1509&gt;=H1509*(1-Assumptions!$C$8)),1,0)</f>
        <v/>
      </c>
      <c r="X1509">
        <f>IF(AND(U1509=1,N1509&gt;=H1509*(1-Assumptions!$C$8)),1,0)</f>
        <v/>
      </c>
      <c r="Y1509">
        <f>IF(ISNUMBER(Q1509),1,0)</f>
        <v/>
      </c>
      <c r="Z1509">
        <f>IF(AND(K1509=0,L1509=0,Y1509=0),1,0)</f>
        <v/>
      </c>
      <c r="AA1509">
        <f>IF(AND(Z1509=1,G1509&lt;Assumptions!$C$6),1,0)</f>
        <v/>
      </c>
      <c r="AB1509">
        <f>IF(U1509=0,"",IF(Y1509=1,MAX(0,Q1509-G1509),IF(L1509=1,MAX(0,R1509-G1509),MAX(0,Assumptions!$C$6-G1509))))</f>
        <v/>
      </c>
      <c r="AC1509">
        <f>IF(Y1509=1,Q1509-F1509,"")</f>
        <v/>
      </c>
      <c r="AD1509">
        <f>IF(Y1509=1,AC1509^2,"")</f>
        <v/>
      </c>
      <c r="AE1509" s="19">
        <f>IF(Z1509=1,(H1509-M1509)*I1509,0)</f>
        <v/>
      </c>
      <c r="AF1509">
        <f>IF(G1509&lt;EDATE(Assumptions!$C$6,-12)+1,"prior_12m","last_12m")</f>
        <v/>
      </c>
      <c r="AG1509" s="21">
        <f>DATE(YEAR(G1509),MONTH(G1509),1)</f>
        <v/>
      </c>
    </row>
    <row r="1510">
      <c r="A1510" t="inlineStr">
        <is>
          <t>SPO-00822-2</t>
        </is>
      </c>
      <c r="B1510" t="inlineStr">
        <is>
          <t>SPO-00822</t>
        </is>
      </c>
      <c r="C1510" t="inlineStr">
        <is>
          <t>SUP-01</t>
        </is>
      </c>
      <c r="D1510" t="inlineStr">
        <is>
          <t>ELEC</t>
        </is>
      </c>
      <c r="E1510" t="inlineStr">
        <is>
          <t>ELEC-08</t>
        </is>
      </c>
      <c r="F1510" s="17" t="n">
        <v>45794</v>
      </c>
      <c r="G1510" s="17" t="n">
        <v>45812</v>
      </c>
      <c r="H1510" s="18" t="n">
        <v>120</v>
      </c>
      <c r="I1510" s="19" t="n">
        <v>16.94</v>
      </c>
      <c r="J1510" s="19" t="n">
        <v>18</v>
      </c>
      <c r="K1510" s="20" t="n">
        <v>0</v>
      </c>
      <c r="L1510" s="20" t="n">
        <v>0</v>
      </c>
      <c r="M1510" s="18" t="n">
        <v>120</v>
      </c>
      <c r="N1510" s="18" t="n">
        <v>120</v>
      </c>
      <c r="O1510" s="18" t="n">
        <v>0</v>
      </c>
      <c r="P1510" s="17" t="n">
        <v>45809</v>
      </c>
      <c r="Q1510" s="17" t="n">
        <v>45809</v>
      </c>
      <c r="R1510" s="17" t="n">
        <v>45809</v>
      </c>
      <c r="S1510" s="19">
        <f>H1510*I1510</f>
        <v/>
      </c>
      <c r="T1510" s="19">
        <f>H1510*J1510</f>
        <v/>
      </c>
      <c r="U1510">
        <f>IF(AND(K1510=0,G1510&lt;=Assumptions!$C$6),1,0)</f>
        <v/>
      </c>
      <c r="V1510">
        <f>IF(U1510=1,IF(M1510&gt;0,IF(P1510&lt;=G1510+Assumptions!$C$7,1,0),0),0)</f>
        <v/>
      </c>
      <c r="W1510">
        <f>IF(AND(U1510=1,M1510&gt;=H1510*(1-Assumptions!$C$8)),1,0)</f>
        <v/>
      </c>
      <c r="X1510">
        <f>IF(AND(U1510=1,N1510&gt;=H1510*(1-Assumptions!$C$8)),1,0)</f>
        <v/>
      </c>
      <c r="Y1510">
        <f>IF(ISNUMBER(Q1510),1,0)</f>
        <v/>
      </c>
      <c r="Z1510">
        <f>IF(AND(K1510=0,L1510=0,Y1510=0),1,0)</f>
        <v/>
      </c>
      <c r="AA1510">
        <f>IF(AND(Z1510=1,G1510&lt;Assumptions!$C$6),1,0)</f>
        <v/>
      </c>
      <c r="AB1510">
        <f>IF(U1510=0,"",IF(Y1510=1,MAX(0,Q1510-G1510),IF(L1510=1,MAX(0,R1510-G1510),MAX(0,Assumptions!$C$6-G1510))))</f>
        <v/>
      </c>
      <c r="AC1510">
        <f>IF(Y1510=1,Q1510-F1510,"")</f>
        <v/>
      </c>
      <c r="AD1510">
        <f>IF(Y1510=1,AC1510^2,"")</f>
        <v/>
      </c>
      <c r="AE1510" s="19">
        <f>IF(Z1510=1,(H1510-M1510)*I1510,0)</f>
        <v/>
      </c>
      <c r="AF1510">
        <f>IF(G1510&lt;EDATE(Assumptions!$C$6,-12)+1,"prior_12m","last_12m")</f>
        <v/>
      </c>
      <c r="AG1510" s="21">
        <f>DATE(YEAR(G1510),MONTH(G1510),1)</f>
        <v/>
      </c>
    </row>
    <row r="1511">
      <c r="A1511" t="inlineStr">
        <is>
          <t>SPO-00822-3</t>
        </is>
      </c>
      <c r="B1511" t="inlineStr">
        <is>
          <t>SPO-00822</t>
        </is>
      </c>
      <c r="C1511" t="inlineStr">
        <is>
          <t>SUP-01</t>
        </is>
      </c>
      <c r="D1511" t="inlineStr">
        <is>
          <t>ELEC</t>
        </is>
      </c>
      <c r="E1511" t="inlineStr">
        <is>
          <t>ELEC-01</t>
        </is>
      </c>
      <c r="F1511" s="17" t="n">
        <v>45794</v>
      </c>
      <c r="G1511" s="17" t="n">
        <v>45812</v>
      </c>
      <c r="H1511" s="18" t="n">
        <v>21</v>
      </c>
      <c r="I1511" s="19" t="n">
        <v>37.91</v>
      </c>
      <c r="J1511" s="19" t="n">
        <v>38</v>
      </c>
      <c r="K1511" s="20" t="n">
        <v>0</v>
      </c>
      <c r="L1511" s="20" t="n">
        <v>0</v>
      </c>
      <c r="M1511" s="18" t="n">
        <v>21</v>
      </c>
      <c r="N1511" s="18" t="n">
        <v>21</v>
      </c>
      <c r="O1511" s="18" t="n">
        <v>0</v>
      </c>
      <c r="P1511" s="17" t="n">
        <v>45812</v>
      </c>
      <c r="Q1511" s="17" t="n">
        <v>45812</v>
      </c>
      <c r="R1511" s="17" t="n">
        <v>45812</v>
      </c>
      <c r="S1511" s="19">
        <f>H1511*I1511</f>
        <v/>
      </c>
      <c r="T1511" s="19">
        <f>H1511*J1511</f>
        <v/>
      </c>
      <c r="U1511">
        <f>IF(AND(K1511=0,G1511&lt;=Assumptions!$C$6),1,0)</f>
        <v/>
      </c>
      <c r="V1511">
        <f>IF(U1511=1,IF(M1511&gt;0,IF(P1511&lt;=G1511+Assumptions!$C$7,1,0),0),0)</f>
        <v/>
      </c>
      <c r="W1511">
        <f>IF(AND(U1511=1,M1511&gt;=H1511*(1-Assumptions!$C$8)),1,0)</f>
        <v/>
      </c>
      <c r="X1511">
        <f>IF(AND(U1511=1,N1511&gt;=H1511*(1-Assumptions!$C$8)),1,0)</f>
        <v/>
      </c>
      <c r="Y1511">
        <f>IF(ISNUMBER(Q1511),1,0)</f>
        <v/>
      </c>
      <c r="Z1511">
        <f>IF(AND(K1511=0,L1511=0,Y1511=0),1,0)</f>
        <v/>
      </c>
      <c r="AA1511">
        <f>IF(AND(Z1511=1,G1511&lt;Assumptions!$C$6),1,0)</f>
        <v/>
      </c>
      <c r="AB1511">
        <f>IF(U1511=0,"",IF(Y1511=1,MAX(0,Q1511-G1511),IF(L1511=1,MAX(0,R1511-G1511),MAX(0,Assumptions!$C$6-G1511))))</f>
        <v/>
      </c>
      <c r="AC1511">
        <f>IF(Y1511=1,Q1511-F1511,"")</f>
        <v/>
      </c>
      <c r="AD1511">
        <f>IF(Y1511=1,AC1511^2,"")</f>
        <v/>
      </c>
      <c r="AE1511" s="19">
        <f>IF(Z1511=1,(H1511-M1511)*I1511,0)</f>
        <v/>
      </c>
      <c r="AF1511">
        <f>IF(G1511&lt;EDATE(Assumptions!$C$6,-12)+1,"prior_12m","last_12m")</f>
        <v/>
      </c>
      <c r="AG1511" s="21">
        <f>DATE(YEAR(G1511),MONTH(G1511),1)</f>
        <v/>
      </c>
    </row>
    <row r="1512">
      <c r="A1512" t="inlineStr">
        <is>
          <t>SPO-00823-1</t>
        </is>
      </c>
      <c r="B1512" t="inlineStr">
        <is>
          <t>SPO-00823</t>
        </is>
      </c>
      <c r="C1512" t="inlineStr">
        <is>
          <t>SUP-01</t>
        </is>
      </c>
      <c r="D1512" t="inlineStr">
        <is>
          <t>ELEC</t>
        </is>
      </c>
      <c r="E1512" t="inlineStr">
        <is>
          <t>ELEC-06</t>
        </is>
      </c>
      <c r="F1512" s="17" t="n">
        <v>45795</v>
      </c>
      <c r="G1512" s="17" t="n">
        <v>45813</v>
      </c>
      <c r="H1512" s="18" t="n">
        <v>17</v>
      </c>
      <c r="I1512" s="19" t="n">
        <v>145.22</v>
      </c>
      <c r="J1512" s="19" t="n">
        <v>145</v>
      </c>
      <c r="K1512" s="20" t="n">
        <v>0</v>
      </c>
      <c r="L1512" s="20" t="n">
        <v>0</v>
      </c>
      <c r="M1512" s="18" t="n">
        <v>17</v>
      </c>
      <c r="N1512" s="18" t="n">
        <v>17</v>
      </c>
      <c r="O1512" s="18" t="n">
        <v>0</v>
      </c>
      <c r="P1512" s="17" t="n">
        <v>45810</v>
      </c>
      <c r="Q1512" s="17" t="n">
        <v>45810</v>
      </c>
      <c r="R1512" s="17" t="n">
        <v>45810</v>
      </c>
      <c r="S1512" s="19">
        <f>H1512*I1512</f>
        <v/>
      </c>
      <c r="T1512" s="19">
        <f>H1512*J1512</f>
        <v/>
      </c>
      <c r="U1512">
        <f>IF(AND(K1512=0,G1512&lt;=Assumptions!$C$6),1,0)</f>
        <v/>
      </c>
      <c r="V1512">
        <f>IF(U1512=1,IF(M1512&gt;0,IF(P1512&lt;=G1512+Assumptions!$C$7,1,0),0),0)</f>
        <v/>
      </c>
      <c r="W1512">
        <f>IF(AND(U1512=1,M1512&gt;=H1512*(1-Assumptions!$C$8)),1,0)</f>
        <v/>
      </c>
      <c r="X1512">
        <f>IF(AND(U1512=1,N1512&gt;=H1512*(1-Assumptions!$C$8)),1,0)</f>
        <v/>
      </c>
      <c r="Y1512">
        <f>IF(ISNUMBER(Q1512),1,0)</f>
        <v/>
      </c>
      <c r="Z1512">
        <f>IF(AND(K1512=0,L1512=0,Y1512=0),1,0)</f>
        <v/>
      </c>
      <c r="AA1512">
        <f>IF(AND(Z1512=1,G1512&lt;Assumptions!$C$6),1,0)</f>
        <v/>
      </c>
      <c r="AB1512">
        <f>IF(U1512=0,"",IF(Y1512=1,MAX(0,Q1512-G1512),IF(L1512=1,MAX(0,R1512-G1512),MAX(0,Assumptions!$C$6-G1512))))</f>
        <v/>
      </c>
      <c r="AC1512">
        <f>IF(Y1512=1,Q1512-F1512,"")</f>
        <v/>
      </c>
      <c r="AD1512">
        <f>IF(Y1512=1,AC1512^2,"")</f>
        <v/>
      </c>
      <c r="AE1512" s="19">
        <f>IF(Z1512=1,(H1512-M1512)*I1512,0)</f>
        <v/>
      </c>
      <c r="AF1512">
        <f>IF(G1512&lt;EDATE(Assumptions!$C$6,-12)+1,"prior_12m","last_12m")</f>
        <v/>
      </c>
      <c r="AG1512" s="21">
        <f>DATE(YEAR(G1512),MONTH(G1512),1)</f>
        <v/>
      </c>
    </row>
    <row r="1513">
      <c r="A1513" t="inlineStr">
        <is>
          <t>SPO-00823-2</t>
        </is>
      </c>
      <c r="B1513" t="inlineStr">
        <is>
          <t>SPO-00823</t>
        </is>
      </c>
      <c r="C1513" t="inlineStr">
        <is>
          <t>SUP-01</t>
        </is>
      </c>
      <c r="D1513" t="inlineStr">
        <is>
          <t>ELEC</t>
        </is>
      </c>
      <c r="E1513" t="inlineStr">
        <is>
          <t>ELEC-01</t>
        </is>
      </c>
      <c r="F1513" s="17" t="n">
        <v>45795</v>
      </c>
      <c r="G1513" s="17" t="n">
        <v>45813</v>
      </c>
      <c r="H1513" s="18" t="n">
        <v>93</v>
      </c>
      <c r="I1513" s="19" t="n">
        <v>41.61</v>
      </c>
      <c r="J1513" s="19" t="n">
        <v>38</v>
      </c>
      <c r="K1513" s="20" t="n">
        <v>0</v>
      </c>
      <c r="L1513" s="20" t="n">
        <v>0</v>
      </c>
      <c r="M1513" s="18" t="n">
        <v>93</v>
      </c>
      <c r="N1513" s="18" t="n">
        <v>72</v>
      </c>
      <c r="O1513" s="18" t="n">
        <v>0</v>
      </c>
      <c r="P1513" s="17" t="n">
        <v>45810</v>
      </c>
      <c r="Q1513" s="17" t="n">
        <v>45819</v>
      </c>
      <c r="R1513" s="17" t="n">
        <v>45819</v>
      </c>
      <c r="S1513" s="19">
        <f>H1513*I1513</f>
        <v/>
      </c>
      <c r="T1513" s="19">
        <f>H1513*J1513</f>
        <v/>
      </c>
      <c r="U1513">
        <f>IF(AND(K1513=0,G1513&lt;=Assumptions!$C$6),1,0)</f>
        <v/>
      </c>
      <c r="V1513">
        <f>IF(U1513=1,IF(M1513&gt;0,IF(P1513&lt;=G1513+Assumptions!$C$7,1,0),0),0)</f>
        <v/>
      </c>
      <c r="W1513">
        <f>IF(AND(U1513=1,M1513&gt;=H1513*(1-Assumptions!$C$8)),1,0)</f>
        <v/>
      </c>
      <c r="X1513">
        <f>IF(AND(U1513=1,N1513&gt;=H1513*(1-Assumptions!$C$8)),1,0)</f>
        <v/>
      </c>
      <c r="Y1513">
        <f>IF(ISNUMBER(Q1513),1,0)</f>
        <v/>
      </c>
      <c r="Z1513">
        <f>IF(AND(K1513=0,L1513=0,Y1513=0),1,0)</f>
        <v/>
      </c>
      <c r="AA1513">
        <f>IF(AND(Z1513=1,G1513&lt;Assumptions!$C$6),1,0)</f>
        <v/>
      </c>
      <c r="AB1513">
        <f>IF(U1513=0,"",IF(Y1513=1,MAX(0,Q1513-G1513),IF(L1513=1,MAX(0,R1513-G1513),MAX(0,Assumptions!$C$6-G1513))))</f>
        <v/>
      </c>
      <c r="AC1513">
        <f>IF(Y1513=1,Q1513-F1513,"")</f>
        <v/>
      </c>
      <c r="AD1513">
        <f>IF(Y1513=1,AC1513^2,"")</f>
        <v/>
      </c>
      <c r="AE1513" s="19">
        <f>IF(Z1513=1,(H1513-M1513)*I1513,0)</f>
        <v/>
      </c>
      <c r="AF1513">
        <f>IF(G1513&lt;EDATE(Assumptions!$C$6,-12)+1,"prior_12m","last_12m")</f>
        <v/>
      </c>
      <c r="AG1513" s="21">
        <f>DATE(YEAR(G1513),MONTH(G1513),1)</f>
        <v/>
      </c>
    </row>
    <row r="1514">
      <c r="A1514" t="inlineStr">
        <is>
          <t>SPO-00823-3</t>
        </is>
      </c>
      <c r="B1514" t="inlineStr">
        <is>
          <t>SPO-00823</t>
        </is>
      </c>
      <c r="C1514" t="inlineStr">
        <is>
          <t>SUP-01</t>
        </is>
      </c>
      <c r="D1514" t="inlineStr">
        <is>
          <t>ELEC</t>
        </is>
      </c>
      <c r="E1514" t="inlineStr">
        <is>
          <t>ELEC-05</t>
        </is>
      </c>
      <c r="F1514" s="17" t="n">
        <v>45795</v>
      </c>
      <c r="G1514" s="17" t="n">
        <v>45813</v>
      </c>
      <c r="H1514" s="18" t="n">
        <v>93</v>
      </c>
      <c r="I1514" s="19" t="n">
        <v>12.01</v>
      </c>
      <c r="J1514" s="19" t="n">
        <v>11.5</v>
      </c>
      <c r="K1514" s="20" t="n">
        <v>0</v>
      </c>
      <c r="L1514" s="20" t="n">
        <v>0</v>
      </c>
      <c r="M1514" s="18" t="n">
        <v>93</v>
      </c>
      <c r="N1514" s="18" t="n">
        <v>93</v>
      </c>
      <c r="O1514" s="18" t="n">
        <v>0</v>
      </c>
      <c r="P1514" s="17" t="n">
        <v>45809</v>
      </c>
      <c r="Q1514" s="17" t="n">
        <v>45809</v>
      </c>
      <c r="R1514" s="17" t="n">
        <v>45809</v>
      </c>
      <c r="S1514" s="19">
        <f>H1514*I1514</f>
        <v/>
      </c>
      <c r="T1514" s="19">
        <f>H1514*J1514</f>
        <v/>
      </c>
      <c r="U1514">
        <f>IF(AND(K1514=0,G1514&lt;=Assumptions!$C$6),1,0)</f>
        <v/>
      </c>
      <c r="V1514">
        <f>IF(U1514=1,IF(M1514&gt;0,IF(P1514&lt;=G1514+Assumptions!$C$7,1,0),0),0)</f>
        <v/>
      </c>
      <c r="W1514">
        <f>IF(AND(U1514=1,M1514&gt;=H1514*(1-Assumptions!$C$8)),1,0)</f>
        <v/>
      </c>
      <c r="X1514">
        <f>IF(AND(U1514=1,N1514&gt;=H1514*(1-Assumptions!$C$8)),1,0)</f>
        <v/>
      </c>
      <c r="Y1514">
        <f>IF(ISNUMBER(Q1514),1,0)</f>
        <v/>
      </c>
      <c r="Z1514">
        <f>IF(AND(K1514=0,L1514=0,Y1514=0),1,0)</f>
        <v/>
      </c>
      <c r="AA1514">
        <f>IF(AND(Z1514=1,G1514&lt;Assumptions!$C$6),1,0)</f>
        <v/>
      </c>
      <c r="AB1514">
        <f>IF(U1514=0,"",IF(Y1514=1,MAX(0,Q1514-G1514),IF(L1514=1,MAX(0,R1514-G1514),MAX(0,Assumptions!$C$6-G1514))))</f>
        <v/>
      </c>
      <c r="AC1514">
        <f>IF(Y1514=1,Q1514-F1514,"")</f>
        <v/>
      </c>
      <c r="AD1514">
        <f>IF(Y1514=1,AC1514^2,"")</f>
        <v/>
      </c>
      <c r="AE1514" s="19">
        <f>IF(Z1514=1,(H1514-M1514)*I1514,0)</f>
        <v/>
      </c>
      <c r="AF1514">
        <f>IF(G1514&lt;EDATE(Assumptions!$C$6,-12)+1,"prior_12m","last_12m")</f>
        <v/>
      </c>
      <c r="AG1514" s="21">
        <f>DATE(YEAR(G1514),MONTH(G1514),1)</f>
        <v/>
      </c>
    </row>
    <row r="1515">
      <c r="A1515" t="inlineStr">
        <is>
          <t>SPO-00824-1</t>
        </is>
      </c>
      <c r="B1515" t="inlineStr">
        <is>
          <t>SPO-00824</t>
        </is>
      </c>
      <c r="C1515" t="inlineStr">
        <is>
          <t>SUP-12</t>
        </is>
      </c>
      <c r="D1515" t="inlineStr">
        <is>
          <t>IT</t>
        </is>
      </c>
      <c r="E1515" t="inlineStr">
        <is>
          <t>IT-01</t>
        </is>
      </c>
      <c r="F1515" s="17" t="n">
        <v>45795</v>
      </c>
      <c r="G1515" s="17" t="n">
        <v>45805</v>
      </c>
      <c r="H1515" s="18" t="n">
        <v>17</v>
      </c>
      <c r="I1515" s="19" t="n">
        <v>214.02</v>
      </c>
      <c r="J1515" s="19" t="n">
        <v>189</v>
      </c>
      <c r="K1515" s="20" t="n">
        <v>0</v>
      </c>
      <c r="L1515" s="20" t="n">
        <v>1</v>
      </c>
      <c r="M1515" s="18" t="n">
        <v>9</v>
      </c>
      <c r="N1515" s="18" t="n">
        <v>9</v>
      </c>
      <c r="O1515" s="18" t="n">
        <v>0</v>
      </c>
      <c r="P1515" s="17" t="n">
        <v>45796</v>
      </c>
      <c r="Q1515" s="17" t="n"/>
      <c r="R1515" s="17" t="n">
        <v>45796</v>
      </c>
      <c r="S1515" s="19">
        <f>H1515*I1515</f>
        <v/>
      </c>
      <c r="T1515" s="19">
        <f>H1515*J1515</f>
        <v/>
      </c>
      <c r="U1515">
        <f>IF(AND(K1515=0,G1515&lt;=Assumptions!$C$6),1,0)</f>
        <v/>
      </c>
      <c r="V1515">
        <f>IF(U1515=1,IF(M1515&gt;0,IF(P1515&lt;=G1515+Assumptions!$C$7,1,0),0),0)</f>
        <v/>
      </c>
      <c r="W1515">
        <f>IF(AND(U1515=1,M1515&gt;=H1515*(1-Assumptions!$C$8)),1,0)</f>
        <v/>
      </c>
      <c r="X1515">
        <f>IF(AND(U1515=1,N1515&gt;=H1515*(1-Assumptions!$C$8)),1,0)</f>
        <v/>
      </c>
      <c r="Y1515">
        <f>IF(ISNUMBER(Q1515),1,0)</f>
        <v/>
      </c>
      <c r="Z1515">
        <f>IF(AND(K1515=0,L1515=0,Y1515=0),1,0)</f>
        <v/>
      </c>
      <c r="AA1515">
        <f>IF(AND(Z1515=1,G1515&lt;Assumptions!$C$6),1,0)</f>
        <v/>
      </c>
      <c r="AB1515">
        <f>IF(U1515=0,"",IF(Y1515=1,MAX(0,Q1515-G1515),IF(L1515=1,MAX(0,R1515-G1515),MAX(0,Assumptions!$C$6-G1515))))</f>
        <v/>
      </c>
      <c r="AC1515">
        <f>IF(Y1515=1,Q1515-F1515,"")</f>
        <v/>
      </c>
      <c r="AD1515">
        <f>IF(Y1515=1,AC1515^2,"")</f>
        <v/>
      </c>
      <c r="AE1515" s="19">
        <f>IF(Z1515=1,(H1515-M1515)*I1515,0)</f>
        <v/>
      </c>
      <c r="AF1515">
        <f>IF(G1515&lt;EDATE(Assumptions!$C$6,-12)+1,"prior_12m","last_12m")</f>
        <v/>
      </c>
      <c r="AG1515" s="21">
        <f>DATE(YEAR(G1515),MONTH(G1515),1)</f>
        <v/>
      </c>
    </row>
    <row r="1516">
      <c r="A1516" t="inlineStr">
        <is>
          <t>SPO-00824-2</t>
        </is>
      </c>
      <c r="B1516" t="inlineStr">
        <is>
          <t>SPO-00824</t>
        </is>
      </c>
      <c r="C1516" t="inlineStr">
        <is>
          <t>SUP-12</t>
        </is>
      </c>
      <c r="D1516" t="inlineStr">
        <is>
          <t>IT</t>
        </is>
      </c>
      <c r="E1516" t="inlineStr">
        <is>
          <t>IT-07</t>
        </is>
      </c>
      <c r="F1516" s="17" t="n">
        <v>45795</v>
      </c>
      <c r="G1516" s="17" t="n">
        <v>45805</v>
      </c>
      <c r="H1516" s="18" t="n">
        <v>16</v>
      </c>
      <c r="I1516" s="19" t="n">
        <v>79.92</v>
      </c>
      <c r="J1516" s="19" t="n">
        <v>74</v>
      </c>
      <c r="K1516" s="20" t="n">
        <v>0</v>
      </c>
      <c r="L1516" s="20" t="n">
        <v>0</v>
      </c>
      <c r="M1516" s="18" t="n">
        <v>16</v>
      </c>
      <c r="N1516" s="18" t="n">
        <v>16</v>
      </c>
      <c r="O1516" s="18" t="n">
        <v>0</v>
      </c>
      <c r="P1516" s="17" t="n">
        <v>45802</v>
      </c>
      <c r="Q1516" s="17" t="n">
        <v>45802</v>
      </c>
      <c r="R1516" s="17" t="n">
        <v>45802</v>
      </c>
      <c r="S1516" s="19">
        <f>H1516*I1516</f>
        <v/>
      </c>
      <c r="T1516" s="19">
        <f>H1516*J1516</f>
        <v/>
      </c>
      <c r="U1516">
        <f>IF(AND(K1516=0,G1516&lt;=Assumptions!$C$6),1,0)</f>
        <v/>
      </c>
      <c r="V1516">
        <f>IF(U1516=1,IF(M1516&gt;0,IF(P1516&lt;=G1516+Assumptions!$C$7,1,0),0),0)</f>
        <v/>
      </c>
      <c r="W1516">
        <f>IF(AND(U1516=1,M1516&gt;=H1516*(1-Assumptions!$C$8)),1,0)</f>
        <v/>
      </c>
      <c r="X1516">
        <f>IF(AND(U1516=1,N1516&gt;=H1516*(1-Assumptions!$C$8)),1,0)</f>
        <v/>
      </c>
      <c r="Y1516">
        <f>IF(ISNUMBER(Q1516),1,0)</f>
        <v/>
      </c>
      <c r="Z1516">
        <f>IF(AND(K1516=0,L1516=0,Y1516=0),1,0)</f>
        <v/>
      </c>
      <c r="AA1516">
        <f>IF(AND(Z1516=1,G1516&lt;Assumptions!$C$6),1,0)</f>
        <v/>
      </c>
      <c r="AB1516">
        <f>IF(U1516=0,"",IF(Y1516=1,MAX(0,Q1516-G1516),IF(L1516=1,MAX(0,R1516-G1516),MAX(0,Assumptions!$C$6-G1516))))</f>
        <v/>
      </c>
      <c r="AC1516">
        <f>IF(Y1516=1,Q1516-F1516,"")</f>
        <v/>
      </c>
      <c r="AD1516">
        <f>IF(Y1516=1,AC1516^2,"")</f>
        <v/>
      </c>
      <c r="AE1516" s="19">
        <f>IF(Z1516=1,(H1516-M1516)*I1516,0)</f>
        <v/>
      </c>
      <c r="AF1516">
        <f>IF(G1516&lt;EDATE(Assumptions!$C$6,-12)+1,"prior_12m","last_12m")</f>
        <v/>
      </c>
      <c r="AG1516" s="21">
        <f>DATE(YEAR(G1516),MONTH(G1516),1)</f>
        <v/>
      </c>
    </row>
    <row r="1517">
      <c r="A1517" t="inlineStr">
        <is>
          <t>SPO-00824-3</t>
        </is>
      </c>
      <c r="B1517" t="inlineStr">
        <is>
          <t>SPO-00824</t>
        </is>
      </c>
      <c r="C1517" t="inlineStr">
        <is>
          <t>SUP-12</t>
        </is>
      </c>
      <c r="D1517" t="inlineStr">
        <is>
          <t>IT</t>
        </is>
      </c>
      <c r="E1517" t="inlineStr">
        <is>
          <t>IT-03</t>
        </is>
      </c>
      <c r="F1517" s="17" t="n">
        <v>45795</v>
      </c>
      <c r="G1517" s="17" t="n">
        <v>45805</v>
      </c>
      <c r="H1517" s="18" t="n">
        <v>53</v>
      </c>
      <c r="I1517" s="19" t="n">
        <v>41.64</v>
      </c>
      <c r="J1517" s="19" t="n">
        <v>38</v>
      </c>
      <c r="K1517" s="20" t="n">
        <v>0</v>
      </c>
      <c r="L1517" s="20" t="n">
        <v>0</v>
      </c>
      <c r="M1517" s="18" t="n">
        <v>53</v>
      </c>
      <c r="N1517" s="18" t="n">
        <v>53</v>
      </c>
      <c r="O1517" s="18" t="n">
        <v>0</v>
      </c>
      <c r="P1517" s="17" t="n">
        <v>45802</v>
      </c>
      <c r="Q1517" s="17" t="n">
        <v>45802</v>
      </c>
      <c r="R1517" s="17" t="n">
        <v>45802</v>
      </c>
      <c r="S1517" s="19">
        <f>H1517*I1517</f>
        <v/>
      </c>
      <c r="T1517" s="19">
        <f>H1517*J1517</f>
        <v/>
      </c>
      <c r="U1517">
        <f>IF(AND(K1517=0,G1517&lt;=Assumptions!$C$6),1,0)</f>
        <v/>
      </c>
      <c r="V1517">
        <f>IF(U1517=1,IF(M1517&gt;0,IF(P1517&lt;=G1517+Assumptions!$C$7,1,0),0),0)</f>
        <v/>
      </c>
      <c r="W1517">
        <f>IF(AND(U1517=1,M1517&gt;=H1517*(1-Assumptions!$C$8)),1,0)</f>
        <v/>
      </c>
      <c r="X1517">
        <f>IF(AND(U1517=1,N1517&gt;=H1517*(1-Assumptions!$C$8)),1,0)</f>
        <v/>
      </c>
      <c r="Y1517">
        <f>IF(ISNUMBER(Q1517),1,0)</f>
        <v/>
      </c>
      <c r="Z1517">
        <f>IF(AND(K1517=0,L1517=0,Y1517=0),1,0)</f>
        <v/>
      </c>
      <c r="AA1517">
        <f>IF(AND(Z1517=1,G1517&lt;Assumptions!$C$6),1,0)</f>
        <v/>
      </c>
      <c r="AB1517">
        <f>IF(U1517=0,"",IF(Y1517=1,MAX(0,Q1517-G1517),IF(L1517=1,MAX(0,R1517-G1517),MAX(0,Assumptions!$C$6-G1517))))</f>
        <v/>
      </c>
      <c r="AC1517">
        <f>IF(Y1517=1,Q1517-F1517,"")</f>
        <v/>
      </c>
      <c r="AD1517">
        <f>IF(Y1517=1,AC1517^2,"")</f>
        <v/>
      </c>
      <c r="AE1517" s="19">
        <f>IF(Z1517=1,(H1517-M1517)*I1517,0)</f>
        <v/>
      </c>
      <c r="AF1517">
        <f>IF(G1517&lt;EDATE(Assumptions!$C$6,-12)+1,"prior_12m","last_12m")</f>
        <v/>
      </c>
      <c r="AG1517" s="21">
        <f>DATE(YEAR(G1517),MONTH(G1517),1)</f>
        <v/>
      </c>
    </row>
    <row r="1518">
      <c r="A1518" t="inlineStr">
        <is>
          <t>SPO-00825-1</t>
        </is>
      </c>
      <c r="B1518" t="inlineStr">
        <is>
          <t>SPO-00825</t>
        </is>
      </c>
      <c r="C1518" t="inlineStr">
        <is>
          <t>SUP-06</t>
        </is>
      </c>
      <c r="D1518" t="inlineStr">
        <is>
          <t>MRO</t>
        </is>
      </c>
      <c r="E1518" t="inlineStr">
        <is>
          <t>MRO-07</t>
        </is>
      </c>
      <c r="F1518" s="17" t="n">
        <v>45796</v>
      </c>
      <c r="G1518" s="17" t="n">
        <v>45804</v>
      </c>
      <c r="H1518" s="18" t="n">
        <v>143</v>
      </c>
      <c r="I1518" s="19" t="n">
        <v>14.39</v>
      </c>
      <c r="J1518" s="19" t="n">
        <v>14</v>
      </c>
      <c r="K1518" s="20" t="n">
        <v>0</v>
      </c>
      <c r="L1518" s="20" t="n">
        <v>0</v>
      </c>
      <c r="M1518" s="18" t="n">
        <v>143</v>
      </c>
      <c r="N1518" s="18" t="n">
        <v>143</v>
      </c>
      <c r="O1518" s="18" t="n">
        <v>0</v>
      </c>
      <c r="P1518" s="17" t="n">
        <v>45803</v>
      </c>
      <c r="Q1518" s="17" t="n">
        <v>45803</v>
      </c>
      <c r="R1518" s="17" t="n">
        <v>45803</v>
      </c>
      <c r="S1518" s="19">
        <f>H1518*I1518</f>
        <v/>
      </c>
      <c r="T1518" s="19">
        <f>H1518*J1518</f>
        <v/>
      </c>
      <c r="U1518">
        <f>IF(AND(K1518=0,G1518&lt;=Assumptions!$C$6),1,0)</f>
        <v/>
      </c>
      <c r="V1518">
        <f>IF(U1518=1,IF(M1518&gt;0,IF(P1518&lt;=G1518+Assumptions!$C$7,1,0),0),0)</f>
        <v/>
      </c>
      <c r="W1518">
        <f>IF(AND(U1518=1,M1518&gt;=H1518*(1-Assumptions!$C$8)),1,0)</f>
        <v/>
      </c>
      <c r="X1518">
        <f>IF(AND(U1518=1,N1518&gt;=H1518*(1-Assumptions!$C$8)),1,0)</f>
        <v/>
      </c>
      <c r="Y1518">
        <f>IF(ISNUMBER(Q1518),1,0)</f>
        <v/>
      </c>
      <c r="Z1518">
        <f>IF(AND(K1518=0,L1518=0,Y1518=0),1,0)</f>
        <v/>
      </c>
      <c r="AA1518">
        <f>IF(AND(Z1518=1,G1518&lt;Assumptions!$C$6),1,0)</f>
        <v/>
      </c>
      <c r="AB1518">
        <f>IF(U1518=0,"",IF(Y1518=1,MAX(0,Q1518-G1518),IF(L1518=1,MAX(0,R1518-G1518),MAX(0,Assumptions!$C$6-G1518))))</f>
        <v/>
      </c>
      <c r="AC1518">
        <f>IF(Y1518=1,Q1518-F1518,"")</f>
        <v/>
      </c>
      <c r="AD1518">
        <f>IF(Y1518=1,AC1518^2,"")</f>
        <v/>
      </c>
      <c r="AE1518" s="19">
        <f>IF(Z1518=1,(H1518-M1518)*I1518,0)</f>
        <v/>
      </c>
      <c r="AF1518">
        <f>IF(G1518&lt;EDATE(Assumptions!$C$6,-12)+1,"prior_12m","last_12m")</f>
        <v/>
      </c>
      <c r="AG1518" s="21">
        <f>DATE(YEAR(G1518),MONTH(G1518),1)</f>
        <v/>
      </c>
    </row>
    <row r="1519">
      <c r="A1519" t="inlineStr">
        <is>
          <t>SPO-00825-2</t>
        </is>
      </c>
      <c r="B1519" t="inlineStr">
        <is>
          <t>SPO-00825</t>
        </is>
      </c>
      <c r="C1519" t="inlineStr">
        <is>
          <t>SUP-06</t>
        </is>
      </c>
      <c r="D1519" t="inlineStr">
        <is>
          <t>MRO</t>
        </is>
      </c>
      <c r="E1519" t="inlineStr">
        <is>
          <t>MRO-03</t>
        </is>
      </c>
      <c r="F1519" s="17" t="n">
        <v>45796</v>
      </c>
      <c r="G1519" s="17" t="n">
        <v>45804</v>
      </c>
      <c r="H1519" s="18" t="n">
        <v>82</v>
      </c>
      <c r="I1519" s="19" t="n">
        <v>9.390000000000001</v>
      </c>
      <c r="J1519" s="19" t="n">
        <v>8.9</v>
      </c>
      <c r="K1519" s="20" t="n">
        <v>0</v>
      </c>
      <c r="L1519" s="20" t="n">
        <v>0</v>
      </c>
      <c r="M1519" s="18" t="n">
        <v>82</v>
      </c>
      <c r="N1519" s="18" t="n">
        <v>62</v>
      </c>
      <c r="O1519" s="18" t="n">
        <v>0</v>
      </c>
      <c r="P1519" s="17" t="n">
        <v>45803</v>
      </c>
      <c r="Q1519" s="17" t="n">
        <v>45817</v>
      </c>
      <c r="R1519" s="17" t="n">
        <v>45817</v>
      </c>
      <c r="S1519" s="19">
        <f>H1519*I1519</f>
        <v/>
      </c>
      <c r="T1519" s="19">
        <f>H1519*J1519</f>
        <v/>
      </c>
      <c r="U1519">
        <f>IF(AND(K1519=0,G1519&lt;=Assumptions!$C$6),1,0)</f>
        <v/>
      </c>
      <c r="V1519">
        <f>IF(U1519=1,IF(M1519&gt;0,IF(P1519&lt;=G1519+Assumptions!$C$7,1,0),0),0)</f>
        <v/>
      </c>
      <c r="W1519">
        <f>IF(AND(U1519=1,M1519&gt;=H1519*(1-Assumptions!$C$8)),1,0)</f>
        <v/>
      </c>
      <c r="X1519">
        <f>IF(AND(U1519=1,N1519&gt;=H1519*(1-Assumptions!$C$8)),1,0)</f>
        <v/>
      </c>
      <c r="Y1519">
        <f>IF(ISNUMBER(Q1519),1,0)</f>
        <v/>
      </c>
      <c r="Z1519">
        <f>IF(AND(K1519=0,L1519=0,Y1519=0),1,0)</f>
        <v/>
      </c>
      <c r="AA1519">
        <f>IF(AND(Z1519=1,G1519&lt;Assumptions!$C$6),1,0)</f>
        <v/>
      </c>
      <c r="AB1519">
        <f>IF(U1519=0,"",IF(Y1519=1,MAX(0,Q1519-G1519),IF(L1519=1,MAX(0,R1519-G1519),MAX(0,Assumptions!$C$6-G1519))))</f>
        <v/>
      </c>
      <c r="AC1519">
        <f>IF(Y1519=1,Q1519-F1519,"")</f>
        <v/>
      </c>
      <c r="AD1519">
        <f>IF(Y1519=1,AC1519^2,"")</f>
        <v/>
      </c>
      <c r="AE1519" s="19">
        <f>IF(Z1519=1,(H1519-M1519)*I1519,0)</f>
        <v/>
      </c>
      <c r="AF1519">
        <f>IF(G1519&lt;EDATE(Assumptions!$C$6,-12)+1,"prior_12m","last_12m")</f>
        <v/>
      </c>
      <c r="AG1519" s="21">
        <f>DATE(YEAR(G1519),MONTH(G1519),1)</f>
        <v/>
      </c>
    </row>
    <row r="1520">
      <c r="A1520" t="inlineStr">
        <is>
          <t>SPO-00826-1</t>
        </is>
      </c>
      <c r="B1520" t="inlineStr">
        <is>
          <t>SPO-00826</t>
        </is>
      </c>
      <c r="C1520" t="inlineStr">
        <is>
          <t>SUP-08</t>
        </is>
      </c>
      <c r="D1520" t="inlineStr">
        <is>
          <t>MRO</t>
        </is>
      </c>
      <c r="E1520" t="inlineStr">
        <is>
          <t>MRO-02</t>
        </is>
      </c>
      <c r="F1520" s="17" t="n">
        <v>45796</v>
      </c>
      <c r="G1520" s="17" t="n">
        <v>45807</v>
      </c>
      <c r="H1520" s="18" t="n">
        <v>48</v>
      </c>
      <c r="I1520" s="19" t="n">
        <v>41.51</v>
      </c>
      <c r="J1520" s="19" t="n">
        <v>41</v>
      </c>
      <c r="K1520" s="20" t="n">
        <v>0</v>
      </c>
      <c r="L1520" s="20" t="n">
        <v>0</v>
      </c>
      <c r="M1520" s="18" t="n">
        <v>48</v>
      </c>
      <c r="N1520" s="18" t="n">
        <v>48</v>
      </c>
      <c r="O1520" s="18" t="n">
        <v>0</v>
      </c>
      <c r="P1520" s="17" t="n">
        <v>45801</v>
      </c>
      <c r="Q1520" s="17" t="n">
        <v>45801</v>
      </c>
      <c r="R1520" s="17" t="n">
        <v>45801</v>
      </c>
      <c r="S1520" s="19">
        <f>H1520*I1520</f>
        <v/>
      </c>
      <c r="T1520" s="19">
        <f>H1520*J1520</f>
        <v/>
      </c>
      <c r="U1520">
        <f>IF(AND(K1520=0,G1520&lt;=Assumptions!$C$6),1,0)</f>
        <v/>
      </c>
      <c r="V1520">
        <f>IF(U1520=1,IF(M1520&gt;0,IF(P1520&lt;=G1520+Assumptions!$C$7,1,0),0),0)</f>
        <v/>
      </c>
      <c r="W1520">
        <f>IF(AND(U1520=1,M1520&gt;=H1520*(1-Assumptions!$C$8)),1,0)</f>
        <v/>
      </c>
      <c r="X1520">
        <f>IF(AND(U1520=1,N1520&gt;=H1520*(1-Assumptions!$C$8)),1,0)</f>
        <v/>
      </c>
      <c r="Y1520">
        <f>IF(ISNUMBER(Q1520),1,0)</f>
        <v/>
      </c>
      <c r="Z1520">
        <f>IF(AND(K1520=0,L1520=0,Y1520=0),1,0)</f>
        <v/>
      </c>
      <c r="AA1520">
        <f>IF(AND(Z1520=1,G1520&lt;Assumptions!$C$6),1,0)</f>
        <v/>
      </c>
      <c r="AB1520">
        <f>IF(U1520=0,"",IF(Y1520=1,MAX(0,Q1520-G1520),IF(L1520=1,MAX(0,R1520-G1520),MAX(0,Assumptions!$C$6-G1520))))</f>
        <v/>
      </c>
      <c r="AC1520">
        <f>IF(Y1520=1,Q1520-F1520,"")</f>
        <v/>
      </c>
      <c r="AD1520">
        <f>IF(Y1520=1,AC1520^2,"")</f>
        <v/>
      </c>
      <c r="AE1520" s="19">
        <f>IF(Z1520=1,(H1520-M1520)*I1520,0)</f>
        <v/>
      </c>
      <c r="AF1520">
        <f>IF(G1520&lt;EDATE(Assumptions!$C$6,-12)+1,"prior_12m","last_12m")</f>
        <v/>
      </c>
      <c r="AG1520" s="21">
        <f>DATE(YEAR(G1520),MONTH(G1520),1)</f>
        <v/>
      </c>
    </row>
    <row r="1521">
      <c r="A1521" t="inlineStr">
        <is>
          <t>SPO-00827-1</t>
        </is>
      </c>
      <c r="B1521" t="inlineStr">
        <is>
          <t>SPO-00827</t>
        </is>
      </c>
      <c r="C1521" t="inlineStr">
        <is>
          <t>SUP-01</t>
        </is>
      </c>
      <c r="D1521" t="inlineStr">
        <is>
          <t>ELEC</t>
        </is>
      </c>
      <c r="E1521" t="inlineStr">
        <is>
          <t>ELEC-05</t>
        </is>
      </c>
      <c r="F1521" s="17" t="n">
        <v>45796</v>
      </c>
      <c r="G1521" s="17" t="n">
        <v>45814</v>
      </c>
      <c r="H1521" s="18" t="n">
        <v>134</v>
      </c>
      <c r="I1521" s="19" t="n">
        <v>11.72</v>
      </c>
      <c r="J1521" s="19" t="n">
        <v>11.5</v>
      </c>
      <c r="K1521" s="20" t="n">
        <v>0</v>
      </c>
      <c r="L1521" s="20" t="n">
        <v>0</v>
      </c>
      <c r="M1521" s="18" t="n">
        <v>134</v>
      </c>
      <c r="N1521" s="18" t="n">
        <v>59</v>
      </c>
      <c r="O1521" s="18" t="n">
        <v>0</v>
      </c>
      <c r="P1521" s="17" t="n">
        <v>45812</v>
      </c>
      <c r="Q1521" s="17" t="n">
        <v>45826</v>
      </c>
      <c r="R1521" s="17" t="n">
        <v>45826</v>
      </c>
      <c r="S1521" s="19">
        <f>H1521*I1521</f>
        <v/>
      </c>
      <c r="T1521" s="19">
        <f>H1521*J1521</f>
        <v/>
      </c>
      <c r="U1521">
        <f>IF(AND(K1521=0,G1521&lt;=Assumptions!$C$6),1,0)</f>
        <v/>
      </c>
      <c r="V1521">
        <f>IF(U1521=1,IF(M1521&gt;0,IF(P1521&lt;=G1521+Assumptions!$C$7,1,0),0),0)</f>
        <v/>
      </c>
      <c r="W1521">
        <f>IF(AND(U1521=1,M1521&gt;=H1521*(1-Assumptions!$C$8)),1,0)</f>
        <v/>
      </c>
      <c r="X1521">
        <f>IF(AND(U1521=1,N1521&gt;=H1521*(1-Assumptions!$C$8)),1,0)</f>
        <v/>
      </c>
      <c r="Y1521">
        <f>IF(ISNUMBER(Q1521),1,0)</f>
        <v/>
      </c>
      <c r="Z1521">
        <f>IF(AND(K1521=0,L1521=0,Y1521=0),1,0)</f>
        <v/>
      </c>
      <c r="AA1521">
        <f>IF(AND(Z1521=1,G1521&lt;Assumptions!$C$6),1,0)</f>
        <v/>
      </c>
      <c r="AB1521">
        <f>IF(U1521=0,"",IF(Y1521=1,MAX(0,Q1521-G1521),IF(L1521=1,MAX(0,R1521-G1521),MAX(0,Assumptions!$C$6-G1521))))</f>
        <v/>
      </c>
      <c r="AC1521">
        <f>IF(Y1521=1,Q1521-F1521,"")</f>
        <v/>
      </c>
      <c r="AD1521">
        <f>IF(Y1521=1,AC1521^2,"")</f>
        <v/>
      </c>
      <c r="AE1521" s="19">
        <f>IF(Z1521=1,(H1521-M1521)*I1521,0)</f>
        <v/>
      </c>
      <c r="AF1521">
        <f>IF(G1521&lt;EDATE(Assumptions!$C$6,-12)+1,"prior_12m","last_12m")</f>
        <v/>
      </c>
      <c r="AG1521" s="21">
        <f>DATE(YEAR(G1521),MONTH(G1521),1)</f>
        <v/>
      </c>
    </row>
    <row r="1522">
      <c r="A1522" t="inlineStr">
        <is>
          <t>SPO-00827-2</t>
        </is>
      </c>
      <c r="B1522" t="inlineStr">
        <is>
          <t>SPO-00827</t>
        </is>
      </c>
      <c r="C1522" t="inlineStr">
        <is>
          <t>SUP-01</t>
        </is>
      </c>
      <c r="D1522" t="inlineStr">
        <is>
          <t>ELEC</t>
        </is>
      </c>
      <c r="E1522" t="inlineStr">
        <is>
          <t>ELEC-01</t>
        </is>
      </c>
      <c r="F1522" s="17" t="n">
        <v>45796</v>
      </c>
      <c r="G1522" s="17" t="n">
        <v>45814</v>
      </c>
      <c r="H1522" s="18" t="n">
        <v>76</v>
      </c>
      <c r="I1522" s="19" t="n">
        <v>37.19</v>
      </c>
      <c r="J1522" s="19" t="n">
        <v>38</v>
      </c>
      <c r="K1522" s="20" t="n">
        <v>0</v>
      </c>
      <c r="L1522" s="20" t="n">
        <v>0</v>
      </c>
      <c r="M1522" s="18" t="n">
        <v>76</v>
      </c>
      <c r="N1522" s="18" t="n">
        <v>76</v>
      </c>
      <c r="O1522" s="18" t="n">
        <v>0</v>
      </c>
      <c r="P1522" s="17" t="n">
        <v>45812</v>
      </c>
      <c r="Q1522" s="17" t="n">
        <v>45812</v>
      </c>
      <c r="R1522" s="17" t="n">
        <v>45812</v>
      </c>
      <c r="S1522" s="19">
        <f>H1522*I1522</f>
        <v/>
      </c>
      <c r="T1522" s="19">
        <f>H1522*J1522</f>
        <v/>
      </c>
      <c r="U1522">
        <f>IF(AND(K1522=0,G1522&lt;=Assumptions!$C$6),1,0)</f>
        <v/>
      </c>
      <c r="V1522">
        <f>IF(U1522=1,IF(M1522&gt;0,IF(P1522&lt;=G1522+Assumptions!$C$7,1,0),0),0)</f>
        <v/>
      </c>
      <c r="W1522">
        <f>IF(AND(U1522=1,M1522&gt;=H1522*(1-Assumptions!$C$8)),1,0)</f>
        <v/>
      </c>
      <c r="X1522">
        <f>IF(AND(U1522=1,N1522&gt;=H1522*(1-Assumptions!$C$8)),1,0)</f>
        <v/>
      </c>
      <c r="Y1522">
        <f>IF(ISNUMBER(Q1522),1,0)</f>
        <v/>
      </c>
      <c r="Z1522">
        <f>IF(AND(K1522=0,L1522=0,Y1522=0),1,0)</f>
        <v/>
      </c>
      <c r="AA1522">
        <f>IF(AND(Z1522=1,G1522&lt;Assumptions!$C$6),1,0)</f>
        <v/>
      </c>
      <c r="AB1522">
        <f>IF(U1522=0,"",IF(Y1522=1,MAX(0,Q1522-G1522),IF(L1522=1,MAX(0,R1522-G1522),MAX(0,Assumptions!$C$6-G1522))))</f>
        <v/>
      </c>
      <c r="AC1522">
        <f>IF(Y1522=1,Q1522-F1522,"")</f>
        <v/>
      </c>
      <c r="AD1522">
        <f>IF(Y1522=1,AC1522^2,"")</f>
        <v/>
      </c>
      <c r="AE1522" s="19">
        <f>IF(Z1522=1,(H1522-M1522)*I1522,0)</f>
        <v/>
      </c>
      <c r="AF1522">
        <f>IF(G1522&lt;EDATE(Assumptions!$C$6,-12)+1,"prior_12m","last_12m")</f>
        <v/>
      </c>
      <c r="AG1522" s="21">
        <f>DATE(YEAR(G1522),MONTH(G1522),1)</f>
        <v/>
      </c>
    </row>
    <row r="1523">
      <c r="A1523" t="inlineStr">
        <is>
          <t>SPO-00828-1</t>
        </is>
      </c>
      <c r="B1523" t="inlineStr">
        <is>
          <t>SPO-00828</t>
        </is>
      </c>
      <c r="C1523" t="inlineStr">
        <is>
          <t>SUP-01</t>
        </is>
      </c>
      <c r="D1523" t="inlineStr">
        <is>
          <t>ELEC</t>
        </is>
      </c>
      <c r="E1523" t="inlineStr">
        <is>
          <t>ELEC-05</t>
        </is>
      </c>
      <c r="F1523" s="17" t="n">
        <v>45796</v>
      </c>
      <c r="G1523" s="17" t="n">
        <v>45814</v>
      </c>
      <c r="H1523" s="18" t="n">
        <v>480</v>
      </c>
      <c r="I1523" s="19" t="n">
        <v>12.27</v>
      </c>
      <c r="J1523" s="19" t="n">
        <v>11.5</v>
      </c>
      <c r="K1523" s="20" t="n">
        <v>0</v>
      </c>
      <c r="L1523" s="20" t="n">
        <v>0</v>
      </c>
      <c r="M1523" s="18" t="n">
        <v>480</v>
      </c>
      <c r="N1523" s="18" t="n">
        <v>480</v>
      </c>
      <c r="O1523" s="18" t="n">
        <v>0</v>
      </c>
      <c r="P1523" s="17" t="n">
        <v>45813</v>
      </c>
      <c r="Q1523" s="17" t="n">
        <v>45813</v>
      </c>
      <c r="R1523" s="17" t="n">
        <v>45813</v>
      </c>
      <c r="S1523" s="19">
        <f>H1523*I1523</f>
        <v/>
      </c>
      <c r="T1523" s="19">
        <f>H1523*J1523</f>
        <v/>
      </c>
      <c r="U1523">
        <f>IF(AND(K1523=0,G1523&lt;=Assumptions!$C$6),1,0)</f>
        <v/>
      </c>
      <c r="V1523">
        <f>IF(U1523=1,IF(M1523&gt;0,IF(P1523&lt;=G1523+Assumptions!$C$7,1,0),0),0)</f>
        <v/>
      </c>
      <c r="W1523">
        <f>IF(AND(U1523=1,M1523&gt;=H1523*(1-Assumptions!$C$8)),1,0)</f>
        <v/>
      </c>
      <c r="X1523">
        <f>IF(AND(U1523=1,N1523&gt;=H1523*(1-Assumptions!$C$8)),1,0)</f>
        <v/>
      </c>
      <c r="Y1523">
        <f>IF(ISNUMBER(Q1523),1,0)</f>
        <v/>
      </c>
      <c r="Z1523">
        <f>IF(AND(K1523=0,L1523=0,Y1523=0),1,0)</f>
        <v/>
      </c>
      <c r="AA1523">
        <f>IF(AND(Z1523=1,G1523&lt;Assumptions!$C$6),1,0)</f>
        <v/>
      </c>
      <c r="AB1523">
        <f>IF(U1523=0,"",IF(Y1523=1,MAX(0,Q1523-G1523),IF(L1523=1,MAX(0,R1523-G1523),MAX(0,Assumptions!$C$6-G1523))))</f>
        <v/>
      </c>
      <c r="AC1523">
        <f>IF(Y1523=1,Q1523-F1523,"")</f>
        <v/>
      </c>
      <c r="AD1523">
        <f>IF(Y1523=1,AC1523^2,"")</f>
        <v/>
      </c>
      <c r="AE1523" s="19">
        <f>IF(Z1523=1,(H1523-M1523)*I1523,0)</f>
        <v/>
      </c>
      <c r="AF1523">
        <f>IF(G1523&lt;EDATE(Assumptions!$C$6,-12)+1,"prior_12m","last_12m")</f>
        <v/>
      </c>
      <c r="AG1523" s="21">
        <f>DATE(YEAR(G1523),MONTH(G1523),1)</f>
        <v/>
      </c>
    </row>
    <row r="1524">
      <c r="A1524" t="inlineStr">
        <is>
          <t>SPO-00829-1</t>
        </is>
      </c>
      <c r="B1524" t="inlineStr">
        <is>
          <t>SPO-00829</t>
        </is>
      </c>
      <c r="C1524" t="inlineStr">
        <is>
          <t>SUP-02</t>
        </is>
      </c>
      <c r="D1524" t="inlineStr">
        <is>
          <t>ELEC</t>
        </is>
      </c>
      <c r="E1524" t="inlineStr">
        <is>
          <t>ELEC-01</t>
        </is>
      </c>
      <c r="F1524" s="17" t="n">
        <v>45797</v>
      </c>
      <c r="G1524" s="17" t="n">
        <v>45813</v>
      </c>
      <c r="H1524" s="18" t="n">
        <v>33</v>
      </c>
      <c r="I1524" s="19" t="n">
        <v>39.22</v>
      </c>
      <c r="J1524" s="19" t="n">
        <v>38</v>
      </c>
      <c r="K1524" s="20" t="n">
        <v>0</v>
      </c>
      <c r="L1524" s="20" t="n">
        <v>0</v>
      </c>
      <c r="M1524" s="18" t="n">
        <v>33</v>
      </c>
      <c r="N1524" s="18" t="n">
        <v>33</v>
      </c>
      <c r="O1524" s="18" t="n">
        <v>0</v>
      </c>
      <c r="P1524" s="17" t="n">
        <v>45810</v>
      </c>
      <c r="Q1524" s="17" t="n">
        <v>45810</v>
      </c>
      <c r="R1524" s="17" t="n">
        <v>45810</v>
      </c>
      <c r="S1524" s="19">
        <f>H1524*I1524</f>
        <v/>
      </c>
      <c r="T1524" s="19">
        <f>H1524*J1524</f>
        <v/>
      </c>
      <c r="U1524">
        <f>IF(AND(K1524=0,G1524&lt;=Assumptions!$C$6),1,0)</f>
        <v/>
      </c>
      <c r="V1524">
        <f>IF(U1524=1,IF(M1524&gt;0,IF(P1524&lt;=G1524+Assumptions!$C$7,1,0),0),0)</f>
        <v/>
      </c>
      <c r="W1524">
        <f>IF(AND(U1524=1,M1524&gt;=H1524*(1-Assumptions!$C$8)),1,0)</f>
        <v/>
      </c>
      <c r="X1524">
        <f>IF(AND(U1524=1,N1524&gt;=H1524*(1-Assumptions!$C$8)),1,0)</f>
        <v/>
      </c>
      <c r="Y1524">
        <f>IF(ISNUMBER(Q1524),1,0)</f>
        <v/>
      </c>
      <c r="Z1524">
        <f>IF(AND(K1524=0,L1524=0,Y1524=0),1,0)</f>
        <v/>
      </c>
      <c r="AA1524">
        <f>IF(AND(Z1524=1,G1524&lt;Assumptions!$C$6),1,0)</f>
        <v/>
      </c>
      <c r="AB1524">
        <f>IF(U1524=0,"",IF(Y1524=1,MAX(0,Q1524-G1524),IF(L1524=1,MAX(0,R1524-G1524),MAX(0,Assumptions!$C$6-G1524))))</f>
        <v/>
      </c>
      <c r="AC1524">
        <f>IF(Y1524=1,Q1524-F1524,"")</f>
        <v/>
      </c>
      <c r="AD1524">
        <f>IF(Y1524=1,AC1524^2,"")</f>
        <v/>
      </c>
      <c r="AE1524" s="19">
        <f>IF(Z1524=1,(H1524-M1524)*I1524,0)</f>
        <v/>
      </c>
      <c r="AF1524">
        <f>IF(G1524&lt;EDATE(Assumptions!$C$6,-12)+1,"prior_12m","last_12m")</f>
        <v/>
      </c>
      <c r="AG1524" s="21">
        <f>DATE(YEAR(G1524),MONTH(G1524),1)</f>
        <v/>
      </c>
    </row>
    <row r="1525">
      <c r="A1525" t="inlineStr">
        <is>
          <t>SPO-00829-2</t>
        </is>
      </c>
      <c r="B1525" t="inlineStr">
        <is>
          <t>SPO-00829</t>
        </is>
      </c>
      <c r="C1525" t="inlineStr">
        <is>
          <t>SUP-02</t>
        </is>
      </c>
      <c r="D1525" t="inlineStr">
        <is>
          <t>ELEC</t>
        </is>
      </c>
      <c r="E1525" t="inlineStr">
        <is>
          <t>ELEC-04</t>
        </is>
      </c>
      <c r="F1525" s="17" t="n">
        <v>45797</v>
      </c>
      <c r="G1525" s="17" t="n">
        <v>45813</v>
      </c>
      <c r="H1525" s="18" t="n">
        <v>30</v>
      </c>
      <c r="I1525" s="19" t="n">
        <v>72.26000000000001</v>
      </c>
      <c r="J1525" s="19" t="n">
        <v>72</v>
      </c>
      <c r="K1525" s="20" t="n">
        <v>0</v>
      </c>
      <c r="L1525" s="20" t="n">
        <v>0</v>
      </c>
      <c r="M1525" s="18" t="n">
        <v>30</v>
      </c>
      <c r="N1525" s="18" t="n">
        <v>30</v>
      </c>
      <c r="O1525" s="18" t="n">
        <v>0</v>
      </c>
      <c r="P1525" s="17" t="n">
        <v>45809</v>
      </c>
      <c r="Q1525" s="17" t="n">
        <v>45809</v>
      </c>
      <c r="R1525" s="17" t="n">
        <v>45809</v>
      </c>
      <c r="S1525" s="19">
        <f>H1525*I1525</f>
        <v/>
      </c>
      <c r="T1525" s="19">
        <f>H1525*J1525</f>
        <v/>
      </c>
      <c r="U1525">
        <f>IF(AND(K1525=0,G1525&lt;=Assumptions!$C$6),1,0)</f>
        <v/>
      </c>
      <c r="V1525">
        <f>IF(U1525=1,IF(M1525&gt;0,IF(P1525&lt;=G1525+Assumptions!$C$7,1,0),0),0)</f>
        <v/>
      </c>
      <c r="W1525">
        <f>IF(AND(U1525=1,M1525&gt;=H1525*(1-Assumptions!$C$8)),1,0)</f>
        <v/>
      </c>
      <c r="X1525">
        <f>IF(AND(U1525=1,N1525&gt;=H1525*(1-Assumptions!$C$8)),1,0)</f>
        <v/>
      </c>
      <c r="Y1525">
        <f>IF(ISNUMBER(Q1525),1,0)</f>
        <v/>
      </c>
      <c r="Z1525">
        <f>IF(AND(K1525=0,L1525=0,Y1525=0),1,0)</f>
        <v/>
      </c>
      <c r="AA1525">
        <f>IF(AND(Z1525=1,G1525&lt;Assumptions!$C$6),1,0)</f>
        <v/>
      </c>
      <c r="AB1525">
        <f>IF(U1525=0,"",IF(Y1525=1,MAX(0,Q1525-G1525),IF(L1525=1,MAX(0,R1525-G1525),MAX(0,Assumptions!$C$6-G1525))))</f>
        <v/>
      </c>
      <c r="AC1525">
        <f>IF(Y1525=1,Q1525-F1525,"")</f>
        <v/>
      </c>
      <c r="AD1525">
        <f>IF(Y1525=1,AC1525^2,"")</f>
        <v/>
      </c>
      <c r="AE1525" s="19">
        <f>IF(Z1525=1,(H1525-M1525)*I1525,0)</f>
        <v/>
      </c>
      <c r="AF1525">
        <f>IF(G1525&lt;EDATE(Assumptions!$C$6,-12)+1,"prior_12m","last_12m")</f>
        <v/>
      </c>
      <c r="AG1525" s="21">
        <f>DATE(YEAR(G1525),MONTH(G1525),1)</f>
        <v/>
      </c>
    </row>
    <row r="1526">
      <c r="A1526" t="inlineStr">
        <is>
          <t>SPO-00830-1</t>
        </is>
      </c>
      <c r="B1526" t="inlineStr">
        <is>
          <t>SPO-00830</t>
        </is>
      </c>
      <c r="C1526" t="inlineStr">
        <is>
          <t>SUP-12</t>
        </is>
      </c>
      <c r="D1526" t="inlineStr">
        <is>
          <t>IT</t>
        </is>
      </c>
      <c r="E1526" t="inlineStr">
        <is>
          <t>IT-05</t>
        </is>
      </c>
      <c r="F1526" s="17" t="n">
        <v>45797</v>
      </c>
      <c r="G1526" s="17" t="n">
        <v>45807</v>
      </c>
      <c r="H1526" s="18" t="n">
        <v>1</v>
      </c>
      <c r="I1526" s="19" t="n">
        <v>742.17</v>
      </c>
      <c r="J1526" s="19" t="n">
        <v>640</v>
      </c>
      <c r="K1526" s="20" t="n">
        <v>0</v>
      </c>
      <c r="L1526" s="20" t="n">
        <v>0</v>
      </c>
      <c r="M1526" s="18" t="n">
        <v>1</v>
      </c>
      <c r="N1526" s="18" t="n">
        <v>1</v>
      </c>
      <c r="O1526" s="18" t="n">
        <v>0</v>
      </c>
      <c r="P1526" s="17" t="n">
        <v>45800</v>
      </c>
      <c r="Q1526" s="17" t="n">
        <v>45800</v>
      </c>
      <c r="R1526" s="17" t="n">
        <v>45800</v>
      </c>
      <c r="S1526" s="19">
        <f>H1526*I1526</f>
        <v/>
      </c>
      <c r="T1526" s="19">
        <f>H1526*J1526</f>
        <v/>
      </c>
      <c r="U1526">
        <f>IF(AND(K1526=0,G1526&lt;=Assumptions!$C$6),1,0)</f>
        <v/>
      </c>
      <c r="V1526">
        <f>IF(U1526=1,IF(M1526&gt;0,IF(P1526&lt;=G1526+Assumptions!$C$7,1,0),0),0)</f>
        <v/>
      </c>
      <c r="W1526">
        <f>IF(AND(U1526=1,M1526&gt;=H1526*(1-Assumptions!$C$8)),1,0)</f>
        <v/>
      </c>
      <c r="X1526">
        <f>IF(AND(U1526=1,N1526&gt;=H1526*(1-Assumptions!$C$8)),1,0)</f>
        <v/>
      </c>
      <c r="Y1526">
        <f>IF(ISNUMBER(Q1526),1,0)</f>
        <v/>
      </c>
      <c r="Z1526">
        <f>IF(AND(K1526=0,L1526=0,Y1526=0),1,0)</f>
        <v/>
      </c>
      <c r="AA1526">
        <f>IF(AND(Z1526=1,G1526&lt;Assumptions!$C$6),1,0)</f>
        <v/>
      </c>
      <c r="AB1526">
        <f>IF(U1526=0,"",IF(Y1526=1,MAX(0,Q1526-G1526),IF(L1526=1,MAX(0,R1526-G1526),MAX(0,Assumptions!$C$6-G1526))))</f>
        <v/>
      </c>
      <c r="AC1526">
        <f>IF(Y1526=1,Q1526-F1526,"")</f>
        <v/>
      </c>
      <c r="AD1526">
        <f>IF(Y1526=1,AC1526^2,"")</f>
        <v/>
      </c>
      <c r="AE1526" s="19">
        <f>IF(Z1526=1,(H1526-M1526)*I1526,0)</f>
        <v/>
      </c>
      <c r="AF1526">
        <f>IF(G1526&lt;EDATE(Assumptions!$C$6,-12)+1,"prior_12m","last_12m")</f>
        <v/>
      </c>
      <c r="AG1526" s="21">
        <f>DATE(YEAR(G1526),MONTH(G1526),1)</f>
        <v/>
      </c>
    </row>
    <row r="1527">
      <c r="A1527" t="inlineStr">
        <is>
          <t>SPO-00830-2</t>
        </is>
      </c>
      <c r="B1527" t="inlineStr">
        <is>
          <t>SPO-00830</t>
        </is>
      </c>
      <c r="C1527" t="inlineStr">
        <is>
          <t>SUP-12</t>
        </is>
      </c>
      <c r="D1527" t="inlineStr">
        <is>
          <t>IT</t>
        </is>
      </c>
      <c r="E1527" t="inlineStr">
        <is>
          <t>IT-08</t>
        </is>
      </c>
      <c r="F1527" s="17" t="n">
        <v>45797</v>
      </c>
      <c r="G1527" s="17" t="n">
        <v>45807</v>
      </c>
      <c r="H1527" s="18" t="n">
        <v>15</v>
      </c>
      <c r="I1527" s="19" t="n">
        <v>288.2</v>
      </c>
      <c r="J1527" s="19" t="n">
        <v>245</v>
      </c>
      <c r="K1527" s="20" t="n">
        <v>0</v>
      </c>
      <c r="L1527" s="20" t="n">
        <v>0</v>
      </c>
      <c r="M1527" s="18" t="n">
        <v>15</v>
      </c>
      <c r="N1527" s="18" t="n">
        <v>15</v>
      </c>
      <c r="O1527" s="18" t="n">
        <v>0</v>
      </c>
      <c r="P1527" s="17" t="n">
        <v>45805</v>
      </c>
      <c r="Q1527" s="17" t="n">
        <v>45805</v>
      </c>
      <c r="R1527" s="17" t="n">
        <v>45805</v>
      </c>
      <c r="S1527" s="19">
        <f>H1527*I1527</f>
        <v/>
      </c>
      <c r="T1527" s="19">
        <f>H1527*J1527</f>
        <v/>
      </c>
      <c r="U1527">
        <f>IF(AND(K1527=0,G1527&lt;=Assumptions!$C$6),1,0)</f>
        <v/>
      </c>
      <c r="V1527">
        <f>IF(U1527=1,IF(M1527&gt;0,IF(P1527&lt;=G1527+Assumptions!$C$7,1,0),0),0)</f>
        <v/>
      </c>
      <c r="W1527">
        <f>IF(AND(U1527=1,M1527&gt;=H1527*(1-Assumptions!$C$8)),1,0)</f>
        <v/>
      </c>
      <c r="X1527">
        <f>IF(AND(U1527=1,N1527&gt;=H1527*(1-Assumptions!$C$8)),1,0)</f>
        <v/>
      </c>
      <c r="Y1527">
        <f>IF(ISNUMBER(Q1527),1,0)</f>
        <v/>
      </c>
      <c r="Z1527">
        <f>IF(AND(K1527=0,L1527=0,Y1527=0),1,0)</f>
        <v/>
      </c>
      <c r="AA1527">
        <f>IF(AND(Z1527=1,G1527&lt;Assumptions!$C$6),1,0)</f>
        <v/>
      </c>
      <c r="AB1527">
        <f>IF(U1527=0,"",IF(Y1527=1,MAX(0,Q1527-G1527),IF(L1527=1,MAX(0,R1527-G1527),MAX(0,Assumptions!$C$6-G1527))))</f>
        <v/>
      </c>
      <c r="AC1527">
        <f>IF(Y1527=1,Q1527-F1527,"")</f>
        <v/>
      </c>
      <c r="AD1527">
        <f>IF(Y1527=1,AC1527^2,"")</f>
        <v/>
      </c>
      <c r="AE1527" s="19">
        <f>IF(Z1527=1,(H1527-M1527)*I1527,0)</f>
        <v/>
      </c>
      <c r="AF1527">
        <f>IF(G1527&lt;EDATE(Assumptions!$C$6,-12)+1,"prior_12m","last_12m")</f>
        <v/>
      </c>
      <c r="AG1527" s="21">
        <f>DATE(YEAR(G1527),MONTH(G1527),1)</f>
        <v/>
      </c>
    </row>
    <row r="1528">
      <c r="A1528" t="inlineStr">
        <is>
          <t>SPO-00831-1</t>
        </is>
      </c>
      <c r="B1528" t="inlineStr">
        <is>
          <t>SPO-00831</t>
        </is>
      </c>
      <c r="C1528" t="inlineStr">
        <is>
          <t>SUP-10</t>
        </is>
      </c>
      <c r="D1528" t="inlineStr">
        <is>
          <t>PPE</t>
        </is>
      </c>
      <c r="E1528" t="inlineStr">
        <is>
          <t>PPE-04</t>
        </is>
      </c>
      <c r="F1528" s="17" t="n">
        <v>45797</v>
      </c>
      <c r="G1528" s="17" t="n">
        <v>45810</v>
      </c>
      <c r="H1528" s="18" t="n">
        <v>42</v>
      </c>
      <c r="I1528" s="19" t="n">
        <v>23.64</v>
      </c>
      <c r="J1528" s="19" t="n">
        <v>26</v>
      </c>
      <c r="K1528" s="20" t="n">
        <v>0</v>
      </c>
      <c r="L1528" s="20" t="n">
        <v>0</v>
      </c>
      <c r="M1528" s="18" t="n">
        <v>42</v>
      </c>
      <c r="N1528" s="18" t="n">
        <v>42</v>
      </c>
      <c r="O1528" s="18" t="n">
        <v>10</v>
      </c>
      <c r="P1528" s="17" t="n">
        <v>45804</v>
      </c>
      <c r="Q1528" s="17" t="n">
        <v>45804</v>
      </c>
      <c r="R1528" s="17" t="n">
        <v>45804</v>
      </c>
      <c r="S1528" s="19">
        <f>H1528*I1528</f>
        <v/>
      </c>
      <c r="T1528" s="19">
        <f>H1528*J1528</f>
        <v/>
      </c>
      <c r="U1528">
        <f>IF(AND(K1528=0,G1528&lt;=Assumptions!$C$6),1,0)</f>
        <v/>
      </c>
      <c r="V1528">
        <f>IF(U1528=1,IF(M1528&gt;0,IF(P1528&lt;=G1528+Assumptions!$C$7,1,0),0),0)</f>
        <v/>
      </c>
      <c r="W1528">
        <f>IF(AND(U1528=1,M1528&gt;=H1528*(1-Assumptions!$C$8)),1,0)</f>
        <v/>
      </c>
      <c r="X1528">
        <f>IF(AND(U1528=1,N1528&gt;=H1528*(1-Assumptions!$C$8)),1,0)</f>
        <v/>
      </c>
      <c r="Y1528">
        <f>IF(ISNUMBER(Q1528),1,0)</f>
        <v/>
      </c>
      <c r="Z1528">
        <f>IF(AND(K1528=0,L1528=0,Y1528=0),1,0)</f>
        <v/>
      </c>
      <c r="AA1528">
        <f>IF(AND(Z1528=1,G1528&lt;Assumptions!$C$6),1,0)</f>
        <v/>
      </c>
      <c r="AB1528">
        <f>IF(U1528=0,"",IF(Y1528=1,MAX(0,Q1528-G1528),IF(L1528=1,MAX(0,R1528-G1528),MAX(0,Assumptions!$C$6-G1528))))</f>
        <v/>
      </c>
      <c r="AC1528">
        <f>IF(Y1528=1,Q1528-F1528,"")</f>
        <v/>
      </c>
      <c r="AD1528">
        <f>IF(Y1528=1,AC1528^2,"")</f>
        <v/>
      </c>
      <c r="AE1528" s="19">
        <f>IF(Z1528=1,(H1528-M1528)*I1528,0)</f>
        <v/>
      </c>
      <c r="AF1528">
        <f>IF(G1528&lt;EDATE(Assumptions!$C$6,-12)+1,"prior_12m","last_12m")</f>
        <v/>
      </c>
      <c r="AG1528" s="21">
        <f>DATE(YEAR(G1528),MONTH(G1528),1)</f>
        <v/>
      </c>
    </row>
    <row r="1529">
      <c r="A1529" t="inlineStr">
        <is>
          <t>SPO-00831-2</t>
        </is>
      </c>
      <c r="B1529" t="inlineStr">
        <is>
          <t>SPO-00831</t>
        </is>
      </c>
      <c r="C1529" t="inlineStr">
        <is>
          <t>SUP-10</t>
        </is>
      </c>
      <c r="D1529" t="inlineStr">
        <is>
          <t>PPE</t>
        </is>
      </c>
      <c r="E1529" t="inlineStr">
        <is>
          <t>PPE-06</t>
        </is>
      </c>
      <c r="F1529" s="17" t="n">
        <v>45797</v>
      </c>
      <c r="G1529" s="17" t="n">
        <v>45810</v>
      </c>
      <c r="H1529" s="18" t="n">
        <v>5</v>
      </c>
      <c r="I1529" s="19" t="n">
        <v>107.9</v>
      </c>
      <c r="J1529" s="19" t="n">
        <v>115</v>
      </c>
      <c r="K1529" s="20" t="n">
        <v>0</v>
      </c>
      <c r="L1529" s="20" t="n">
        <v>0</v>
      </c>
      <c r="M1529" s="18" t="n">
        <v>5</v>
      </c>
      <c r="N1529" s="18" t="n">
        <v>5</v>
      </c>
      <c r="O1529" s="18" t="n">
        <v>0</v>
      </c>
      <c r="P1529" s="17" t="n">
        <v>45806</v>
      </c>
      <c r="Q1529" s="17" t="n">
        <v>45806</v>
      </c>
      <c r="R1529" s="17" t="n">
        <v>45806</v>
      </c>
      <c r="S1529" s="19">
        <f>H1529*I1529</f>
        <v/>
      </c>
      <c r="T1529" s="19">
        <f>H1529*J1529</f>
        <v/>
      </c>
      <c r="U1529">
        <f>IF(AND(K1529=0,G1529&lt;=Assumptions!$C$6),1,0)</f>
        <v/>
      </c>
      <c r="V1529">
        <f>IF(U1529=1,IF(M1529&gt;0,IF(P1529&lt;=G1529+Assumptions!$C$7,1,0),0),0)</f>
        <v/>
      </c>
      <c r="W1529">
        <f>IF(AND(U1529=1,M1529&gt;=H1529*(1-Assumptions!$C$8)),1,0)</f>
        <v/>
      </c>
      <c r="X1529">
        <f>IF(AND(U1529=1,N1529&gt;=H1529*(1-Assumptions!$C$8)),1,0)</f>
        <v/>
      </c>
      <c r="Y1529">
        <f>IF(ISNUMBER(Q1529),1,0)</f>
        <v/>
      </c>
      <c r="Z1529">
        <f>IF(AND(K1529=0,L1529=0,Y1529=0),1,0)</f>
        <v/>
      </c>
      <c r="AA1529">
        <f>IF(AND(Z1529=1,G1529&lt;Assumptions!$C$6),1,0)</f>
        <v/>
      </c>
      <c r="AB1529">
        <f>IF(U1529=0,"",IF(Y1529=1,MAX(0,Q1529-G1529),IF(L1529=1,MAX(0,R1529-G1529),MAX(0,Assumptions!$C$6-G1529))))</f>
        <v/>
      </c>
      <c r="AC1529">
        <f>IF(Y1529=1,Q1529-F1529,"")</f>
        <v/>
      </c>
      <c r="AD1529">
        <f>IF(Y1529=1,AC1529^2,"")</f>
        <v/>
      </c>
      <c r="AE1529" s="19">
        <f>IF(Z1529=1,(H1529-M1529)*I1529,0)</f>
        <v/>
      </c>
      <c r="AF1529">
        <f>IF(G1529&lt;EDATE(Assumptions!$C$6,-12)+1,"prior_12m","last_12m")</f>
        <v/>
      </c>
      <c r="AG1529" s="21">
        <f>DATE(YEAR(G1529),MONTH(G1529),1)</f>
        <v/>
      </c>
    </row>
    <row r="1530">
      <c r="A1530" t="inlineStr">
        <is>
          <t>SPO-00831-3</t>
        </is>
      </c>
      <c r="B1530" t="inlineStr">
        <is>
          <t>SPO-00831</t>
        </is>
      </c>
      <c r="C1530" t="inlineStr">
        <is>
          <t>SUP-10</t>
        </is>
      </c>
      <c r="D1530" t="inlineStr">
        <is>
          <t>PPE</t>
        </is>
      </c>
      <c r="E1530" t="inlineStr">
        <is>
          <t>PPE-02</t>
        </is>
      </c>
      <c r="F1530" s="17" t="n">
        <v>45797</v>
      </c>
      <c r="G1530" s="17" t="n">
        <v>45810</v>
      </c>
      <c r="H1530" s="18" t="n">
        <v>198</v>
      </c>
      <c r="I1530" s="19" t="n">
        <v>12.3</v>
      </c>
      <c r="J1530" s="19" t="n">
        <v>12.5</v>
      </c>
      <c r="K1530" s="20" t="n">
        <v>0</v>
      </c>
      <c r="L1530" s="20" t="n">
        <v>0</v>
      </c>
      <c r="M1530" s="18" t="n">
        <v>198</v>
      </c>
      <c r="N1530" s="18" t="n">
        <v>198</v>
      </c>
      <c r="O1530" s="18" t="n">
        <v>0</v>
      </c>
      <c r="P1530" s="17" t="n">
        <v>45805</v>
      </c>
      <c r="Q1530" s="17" t="n">
        <v>45805</v>
      </c>
      <c r="R1530" s="17" t="n">
        <v>45805</v>
      </c>
      <c r="S1530" s="19">
        <f>H1530*I1530</f>
        <v/>
      </c>
      <c r="T1530" s="19">
        <f>H1530*J1530</f>
        <v/>
      </c>
      <c r="U1530">
        <f>IF(AND(K1530=0,G1530&lt;=Assumptions!$C$6),1,0)</f>
        <v/>
      </c>
      <c r="V1530">
        <f>IF(U1530=1,IF(M1530&gt;0,IF(P1530&lt;=G1530+Assumptions!$C$7,1,0),0),0)</f>
        <v/>
      </c>
      <c r="W1530">
        <f>IF(AND(U1530=1,M1530&gt;=H1530*(1-Assumptions!$C$8)),1,0)</f>
        <v/>
      </c>
      <c r="X1530">
        <f>IF(AND(U1530=1,N1530&gt;=H1530*(1-Assumptions!$C$8)),1,0)</f>
        <v/>
      </c>
      <c r="Y1530">
        <f>IF(ISNUMBER(Q1530),1,0)</f>
        <v/>
      </c>
      <c r="Z1530">
        <f>IF(AND(K1530=0,L1530=0,Y1530=0),1,0)</f>
        <v/>
      </c>
      <c r="AA1530">
        <f>IF(AND(Z1530=1,G1530&lt;Assumptions!$C$6),1,0)</f>
        <v/>
      </c>
      <c r="AB1530">
        <f>IF(U1530=0,"",IF(Y1530=1,MAX(0,Q1530-G1530),IF(L1530=1,MAX(0,R1530-G1530),MAX(0,Assumptions!$C$6-G1530))))</f>
        <v/>
      </c>
      <c r="AC1530">
        <f>IF(Y1530=1,Q1530-F1530,"")</f>
        <v/>
      </c>
      <c r="AD1530">
        <f>IF(Y1530=1,AC1530^2,"")</f>
        <v/>
      </c>
      <c r="AE1530" s="19">
        <f>IF(Z1530=1,(H1530-M1530)*I1530,0)</f>
        <v/>
      </c>
      <c r="AF1530">
        <f>IF(G1530&lt;EDATE(Assumptions!$C$6,-12)+1,"prior_12m","last_12m")</f>
        <v/>
      </c>
      <c r="AG1530" s="21">
        <f>DATE(YEAR(G1530),MONTH(G1530),1)</f>
        <v/>
      </c>
    </row>
    <row r="1531">
      <c r="A1531" t="inlineStr">
        <is>
          <t>SPO-00831-4</t>
        </is>
      </c>
      <c r="B1531" t="inlineStr">
        <is>
          <t>SPO-00831</t>
        </is>
      </c>
      <c r="C1531" t="inlineStr">
        <is>
          <t>SUP-10</t>
        </is>
      </c>
      <c r="D1531" t="inlineStr">
        <is>
          <t>PPE</t>
        </is>
      </c>
      <c r="E1531" t="inlineStr">
        <is>
          <t>PPE-08</t>
        </is>
      </c>
      <c r="F1531" s="17" t="n">
        <v>45797</v>
      </c>
      <c r="G1531" s="17" t="n">
        <v>45810</v>
      </c>
      <c r="H1531" s="18" t="n">
        <v>25</v>
      </c>
      <c r="I1531" s="19" t="n">
        <v>63.59</v>
      </c>
      <c r="J1531" s="19" t="n">
        <v>64</v>
      </c>
      <c r="K1531" s="20" t="n">
        <v>0</v>
      </c>
      <c r="L1531" s="20" t="n">
        <v>0</v>
      </c>
      <c r="M1531" s="18" t="n">
        <v>25</v>
      </c>
      <c r="N1531" s="18" t="n">
        <v>25</v>
      </c>
      <c r="O1531" s="18" t="n">
        <v>0</v>
      </c>
      <c r="P1531" s="17" t="n">
        <v>45805</v>
      </c>
      <c r="Q1531" s="17" t="n">
        <v>45805</v>
      </c>
      <c r="R1531" s="17" t="n">
        <v>45805</v>
      </c>
      <c r="S1531" s="19">
        <f>H1531*I1531</f>
        <v/>
      </c>
      <c r="T1531" s="19">
        <f>H1531*J1531</f>
        <v/>
      </c>
      <c r="U1531">
        <f>IF(AND(K1531=0,G1531&lt;=Assumptions!$C$6),1,0)</f>
        <v/>
      </c>
      <c r="V1531">
        <f>IF(U1531=1,IF(M1531&gt;0,IF(P1531&lt;=G1531+Assumptions!$C$7,1,0),0),0)</f>
        <v/>
      </c>
      <c r="W1531">
        <f>IF(AND(U1531=1,M1531&gt;=H1531*(1-Assumptions!$C$8)),1,0)</f>
        <v/>
      </c>
      <c r="X1531">
        <f>IF(AND(U1531=1,N1531&gt;=H1531*(1-Assumptions!$C$8)),1,0)</f>
        <v/>
      </c>
      <c r="Y1531">
        <f>IF(ISNUMBER(Q1531),1,0)</f>
        <v/>
      </c>
      <c r="Z1531">
        <f>IF(AND(K1531=0,L1531=0,Y1531=0),1,0)</f>
        <v/>
      </c>
      <c r="AA1531">
        <f>IF(AND(Z1531=1,G1531&lt;Assumptions!$C$6),1,0)</f>
        <v/>
      </c>
      <c r="AB1531">
        <f>IF(U1531=0,"",IF(Y1531=1,MAX(0,Q1531-G1531),IF(L1531=1,MAX(0,R1531-G1531),MAX(0,Assumptions!$C$6-G1531))))</f>
        <v/>
      </c>
      <c r="AC1531">
        <f>IF(Y1531=1,Q1531-F1531,"")</f>
        <v/>
      </c>
      <c r="AD1531">
        <f>IF(Y1531=1,AC1531^2,"")</f>
        <v/>
      </c>
      <c r="AE1531" s="19">
        <f>IF(Z1531=1,(H1531-M1531)*I1531,0)</f>
        <v/>
      </c>
      <c r="AF1531">
        <f>IF(G1531&lt;EDATE(Assumptions!$C$6,-12)+1,"prior_12m","last_12m")</f>
        <v/>
      </c>
      <c r="AG1531" s="21">
        <f>DATE(YEAR(G1531),MONTH(G1531),1)</f>
        <v/>
      </c>
    </row>
    <row r="1532">
      <c r="A1532" t="inlineStr">
        <is>
          <t>SPO-00832-1</t>
        </is>
      </c>
      <c r="B1532" t="inlineStr">
        <is>
          <t>SPO-00832</t>
        </is>
      </c>
      <c r="C1532" t="inlineStr">
        <is>
          <t>SUP-07</t>
        </is>
      </c>
      <c r="D1532" t="inlineStr">
        <is>
          <t>MRO</t>
        </is>
      </c>
      <c r="E1532" t="inlineStr">
        <is>
          <t>MRO-06</t>
        </is>
      </c>
      <c r="F1532" s="17" t="n">
        <v>45797</v>
      </c>
      <c r="G1532" s="17" t="n">
        <v>45807</v>
      </c>
      <c r="H1532" s="18" t="n">
        <v>221</v>
      </c>
      <c r="I1532" s="19" t="n">
        <v>6.2</v>
      </c>
      <c r="J1532" s="19" t="n">
        <v>6.1</v>
      </c>
      <c r="K1532" s="20" t="n">
        <v>0</v>
      </c>
      <c r="L1532" s="20" t="n">
        <v>0</v>
      </c>
      <c r="M1532" s="18" t="n">
        <v>221</v>
      </c>
      <c r="N1532" s="18" t="n">
        <v>221</v>
      </c>
      <c r="O1532" s="18" t="n">
        <v>0</v>
      </c>
      <c r="P1532" s="17" t="n">
        <v>45801</v>
      </c>
      <c r="Q1532" s="17" t="n">
        <v>45801</v>
      </c>
      <c r="R1532" s="17" t="n">
        <v>45801</v>
      </c>
      <c r="S1532" s="19">
        <f>H1532*I1532</f>
        <v/>
      </c>
      <c r="T1532" s="19">
        <f>H1532*J1532</f>
        <v/>
      </c>
      <c r="U1532">
        <f>IF(AND(K1532=0,G1532&lt;=Assumptions!$C$6),1,0)</f>
        <v/>
      </c>
      <c r="V1532">
        <f>IF(U1532=1,IF(M1532&gt;0,IF(P1532&lt;=G1532+Assumptions!$C$7,1,0),0),0)</f>
        <v/>
      </c>
      <c r="W1532">
        <f>IF(AND(U1532=1,M1532&gt;=H1532*(1-Assumptions!$C$8)),1,0)</f>
        <v/>
      </c>
      <c r="X1532">
        <f>IF(AND(U1532=1,N1532&gt;=H1532*(1-Assumptions!$C$8)),1,0)</f>
        <v/>
      </c>
      <c r="Y1532">
        <f>IF(ISNUMBER(Q1532),1,0)</f>
        <v/>
      </c>
      <c r="Z1532">
        <f>IF(AND(K1532=0,L1532=0,Y1532=0),1,0)</f>
        <v/>
      </c>
      <c r="AA1532">
        <f>IF(AND(Z1532=1,G1532&lt;Assumptions!$C$6),1,0)</f>
        <v/>
      </c>
      <c r="AB1532">
        <f>IF(U1532=0,"",IF(Y1532=1,MAX(0,Q1532-G1532),IF(L1532=1,MAX(0,R1532-G1532),MAX(0,Assumptions!$C$6-G1532))))</f>
        <v/>
      </c>
      <c r="AC1532">
        <f>IF(Y1532=1,Q1532-F1532,"")</f>
        <v/>
      </c>
      <c r="AD1532">
        <f>IF(Y1532=1,AC1532^2,"")</f>
        <v/>
      </c>
      <c r="AE1532" s="19">
        <f>IF(Z1532=1,(H1532-M1532)*I1532,0)</f>
        <v/>
      </c>
      <c r="AF1532">
        <f>IF(G1532&lt;EDATE(Assumptions!$C$6,-12)+1,"prior_12m","last_12m")</f>
        <v/>
      </c>
      <c r="AG1532" s="21">
        <f>DATE(YEAR(G1532),MONTH(G1532),1)</f>
        <v/>
      </c>
    </row>
    <row r="1533">
      <c r="A1533" t="inlineStr">
        <is>
          <t>SPO-00832-2</t>
        </is>
      </c>
      <c r="B1533" t="inlineStr">
        <is>
          <t>SPO-00832</t>
        </is>
      </c>
      <c r="C1533" t="inlineStr">
        <is>
          <t>SUP-07</t>
        </is>
      </c>
      <c r="D1533" t="inlineStr">
        <is>
          <t>MRO</t>
        </is>
      </c>
      <c r="E1533" t="inlineStr">
        <is>
          <t>MRO-02</t>
        </is>
      </c>
      <c r="F1533" s="17" t="n">
        <v>45797</v>
      </c>
      <c r="G1533" s="17" t="n">
        <v>45807</v>
      </c>
      <c r="H1533" s="18" t="n">
        <v>72</v>
      </c>
      <c r="I1533" s="19" t="n">
        <v>41.24</v>
      </c>
      <c r="J1533" s="19" t="n">
        <v>41</v>
      </c>
      <c r="K1533" s="20" t="n">
        <v>0</v>
      </c>
      <c r="L1533" s="20" t="n">
        <v>0</v>
      </c>
      <c r="M1533" s="18" t="n">
        <v>72</v>
      </c>
      <c r="N1533" s="18" t="n">
        <v>72</v>
      </c>
      <c r="O1533" s="18" t="n">
        <v>0</v>
      </c>
      <c r="P1533" s="17" t="n">
        <v>45806</v>
      </c>
      <c r="Q1533" s="17" t="n">
        <v>45806</v>
      </c>
      <c r="R1533" s="17" t="n">
        <v>45806</v>
      </c>
      <c r="S1533" s="19">
        <f>H1533*I1533</f>
        <v/>
      </c>
      <c r="T1533" s="19">
        <f>H1533*J1533</f>
        <v/>
      </c>
      <c r="U1533">
        <f>IF(AND(K1533=0,G1533&lt;=Assumptions!$C$6),1,0)</f>
        <v/>
      </c>
      <c r="V1533">
        <f>IF(U1533=1,IF(M1533&gt;0,IF(P1533&lt;=G1533+Assumptions!$C$7,1,0),0),0)</f>
        <v/>
      </c>
      <c r="W1533">
        <f>IF(AND(U1533=1,M1533&gt;=H1533*(1-Assumptions!$C$8)),1,0)</f>
        <v/>
      </c>
      <c r="X1533">
        <f>IF(AND(U1533=1,N1533&gt;=H1533*(1-Assumptions!$C$8)),1,0)</f>
        <v/>
      </c>
      <c r="Y1533">
        <f>IF(ISNUMBER(Q1533),1,0)</f>
        <v/>
      </c>
      <c r="Z1533">
        <f>IF(AND(K1533=0,L1533=0,Y1533=0),1,0)</f>
        <v/>
      </c>
      <c r="AA1533">
        <f>IF(AND(Z1533=1,G1533&lt;Assumptions!$C$6),1,0)</f>
        <v/>
      </c>
      <c r="AB1533">
        <f>IF(U1533=0,"",IF(Y1533=1,MAX(0,Q1533-G1533),IF(L1533=1,MAX(0,R1533-G1533),MAX(0,Assumptions!$C$6-G1533))))</f>
        <v/>
      </c>
      <c r="AC1533">
        <f>IF(Y1533=1,Q1533-F1533,"")</f>
        <v/>
      </c>
      <c r="AD1533">
        <f>IF(Y1533=1,AC1533^2,"")</f>
        <v/>
      </c>
      <c r="AE1533" s="19">
        <f>IF(Z1533=1,(H1533-M1533)*I1533,0)</f>
        <v/>
      </c>
      <c r="AF1533">
        <f>IF(G1533&lt;EDATE(Assumptions!$C$6,-12)+1,"prior_12m","last_12m")</f>
        <v/>
      </c>
      <c r="AG1533" s="21">
        <f>DATE(YEAR(G1533),MONTH(G1533),1)</f>
        <v/>
      </c>
    </row>
    <row r="1534">
      <c r="A1534" t="inlineStr">
        <is>
          <t>SPO-00833-1</t>
        </is>
      </c>
      <c r="B1534" t="inlineStr">
        <is>
          <t>SPO-00833</t>
        </is>
      </c>
      <c r="C1534" t="inlineStr">
        <is>
          <t>SUP-07</t>
        </is>
      </c>
      <c r="D1534" t="inlineStr">
        <is>
          <t>MRO</t>
        </is>
      </c>
      <c r="E1534" t="inlineStr">
        <is>
          <t>MRO-02</t>
        </is>
      </c>
      <c r="F1534" s="17" t="n">
        <v>45797</v>
      </c>
      <c r="G1534" s="17" t="n">
        <v>45807</v>
      </c>
      <c r="H1534" s="18" t="n">
        <v>26</v>
      </c>
      <c r="I1534" s="19" t="n">
        <v>42.67</v>
      </c>
      <c r="J1534" s="19" t="n">
        <v>41</v>
      </c>
      <c r="K1534" s="20" t="n">
        <v>0</v>
      </c>
      <c r="L1534" s="20" t="n">
        <v>0</v>
      </c>
      <c r="M1534" s="18" t="n">
        <v>26</v>
      </c>
      <c r="N1534" s="18" t="n">
        <v>0</v>
      </c>
      <c r="O1534" s="18" t="n">
        <v>0</v>
      </c>
      <c r="P1534" s="17" t="n">
        <v>45808</v>
      </c>
      <c r="Q1534" s="17" t="n">
        <v>45808</v>
      </c>
      <c r="R1534" s="17" t="n">
        <v>45808</v>
      </c>
      <c r="S1534" s="19">
        <f>H1534*I1534</f>
        <v/>
      </c>
      <c r="T1534" s="19">
        <f>H1534*J1534</f>
        <v/>
      </c>
      <c r="U1534">
        <f>IF(AND(K1534=0,G1534&lt;=Assumptions!$C$6),1,0)</f>
        <v/>
      </c>
      <c r="V1534">
        <f>IF(U1534=1,IF(M1534&gt;0,IF(P1534&lt;=G1534+Assumptions!$C$7,1,0),0),0)</f>
        <v/>
      </c>
      <c r="W1534">
        <f>IF(AND(U1534=1,M1534&gt;=H1534*(1-Assumptions!$C$8)),1,0)</f>
        <v/>
      </c>
      <c r="X1534">
        <f>IF(AND(U1534=1,N1534&gt;=H1534*(1-Assumptions!$C$8)),1,0)</f>
        <v/>
      </c>
      <c r="Y1534">
        <f>IF(ISNUMBER(Q1534),1,0)</f>
        <v/>
      </c>
      <c r="Z1534">
        <f>IF(AND(K1534=0,L1534=0,Y1534=0),1,0)</f>
        <v/>
      </c>
      <c r="AA1534">
        <f>IF(AND(Z1534=1,G1534&lt;Assumptions!$C$6),1,0)</f>
        <v/>
      </c>
      <c r="AB1534">
        <f>IF(U1534=0,"",IF(Y1534=1,MAX(0,Q1534-G1534),IF(L1534=1,MAX(0,R1534-G1534),MAX(0,Assumptions!$C$6-G1534))))</f>
        <v/>
      </c>
      <c r="AC1534">
        <f>IF(Y1534=1,Q1534-F1534,"")</f>
        <v/>
      </c>
      <c r="AD1534">
        <f>IF(Y1534=1,AC1534^2,"")</f>
        <v/>
      </c>
      <c r="AE1534" s="19">
        <f>IF(Z1534=1,(H1534-M1534)*I1534,0)</f>
        <v/>
      </c>
      <c r="AF1534">
        <f>IF(G1534&lt;EDATE(Assumptions!$C$6,-12)+1,"prior_12m","last_12m")</f>
        <v/>
      </c>
      <c r="AG1534" s="21">
        <f>DATE(YEAR(G1534),MONTH(G1534),1)</f>
        <v/>
      </c>
    </row>
    <row r="1535">
      <c r="A1535" t="inlineStr">
        <is>
          <t>SPO-00834-1</t>
        </is>
      </c>
      <c r="B1535" t="inlineStr">
        <is>
          <t>SPO-00834</t>
        </is>
      </c>
      <c r="C1535" t="inlineStr">
        <is>
          <t>SUP-01</t>
        </is>
      </c>
      <c r="D1535" t="inlineStr">
        <is>
          <t>ELEC</t>
        </is>
      </c>
      <c r="E1535" t="inlineStr">
        <is>
          <t>ELEC-04</t>
        </is>
      </c>
      <c r="F1535" s="17" t="n">
        <v>45797</v>
      </c>
      <c r="G1535" s="17" t="n">
        <v>45815</v>
      </c>
      <c r="H1535" s="18" t="n">
        <v>28</v>
      </c>
      <c r="I1535" s="19" t="n">
        <v>72.87</v>
      </c>
      <c r="J1535" s="19" t="n">
        <v>72</v>
      </c>
      <c r="K1535" s="20" t="n">
        <v>0</v>
      </c>
      <c r="L1535" s="20" t="n">
        <v>0</v>
      </c>
      <c r="M1535" s="18" t="n">
        <v>28</v>
      </c>
      <c r="N1535" s="18" t="n">
        <v>28</v>
      </c>
      <c r="O1535" s="18" t="n">
        <v>0</v>
      </c>
      <c r="P1535" s="17" t="n">
        <v>45810</v>
      </c>
      <c r="Q1535" s="17" t="n">
        <v>45810</v>
      </c>
      <c r="R1535" s="17" t="n">
        <v>45810</v>
      </c>
      <c r="S1535" s="19">
        <f>H1535*I1535</f>
        <v/>
      </c>
      <c r="T1535" s="19">
        <f>H1535*J1535</f>
        <v/>
      </c>
      <c r="U1535">
        <f>IF(AND(K1535=0,G1535&lt;=Assumptions!$C$6),1,0)</f>
        <v/>
      </c>
      <c r="V1535">
        <f>IF(U1535=1,IF(M1535&gt;0,IF(P1535&lt;=G1535+Assumptions!$C$7,1,0),0),0)</f>
        <v/>
      </c>
      <c r="W1535">
        <f>IF(AND(U1535=1,M1535&gt;=H1535*(1-Assumptions!$C$8)),1,0)</f>
        <v/>
      </c>
      <c r="X1535">
        <f>IF(AND(U1535=1,N1535&gt;=H1535*(1-Assumptions!$C$8)),1,0)</f>
        <v/>
      </c>
      <c r="Y1535">
        <f>IF(ISNUMBER(Q1535),1,0)</f>
        <v/>
      </c>
      <c r="Z1535">
        <f>IF(AND(K1535=0,L1535=0,Y1535=0),1,0)</f>
        <v/>
      </c>
      <c r="AA1535">
        <f>IF(AND(Z1535=1,G1535&lt;Assumptions!$C$6),1,0)</f>
        <v/>
      </c>
      <c r="AB1535">
        <f>IF(U1535=0,"",IF(Y1535=1,MAX(0,Q1535-G1535),IF(L1535=1,MAX(0,R1535-G1535),MAX(0,Assumptions!$C$6-G1535))))</f>
        <v/>
      </c>
      <c r="AC1535">
        <f>IF(Y1535=1,Q1535-F1535,"")</f>
        <v/>
      </c>
      <c r="AD1535">
        <f>IF(Y1535=1,AC1535^2,"")</f>
        <v/>
      </c>
      <c r="AE1535" s="19">
        <f>IF(Z1535=1,(H1535-M1535)*I1535,0)</f>
        <v/>
      </c>
      <c r="AF1535">
        <f>IF(G1535&lt;EDATE(Assumptions!$C$6,-12)+1,"prior_12m","last_12m")</f>
        <v/>
      </c>
      <c r="AG1535" s="21">
        <f>DATE(YEAR(G1535),MONTH(G1535),1)</f>
        <v/>
      </c>
    </row>
    <row r="1536">
      <c r="A1536" t="inlineStr">
        <is>
          <t>SPO-00835-1</t>
        </is>
      </c>
      <c r="B1536" t="inlineStr">
        <is>
          <t>SPO-00835</t>
        </is>
      </c>
      <c r="C1536" t="inlineStr">
        <is>
          <t>SUP-05</t>
        </is>
      </c>
      <c r="D1536" t="inlineStr">
        <is>
          <t>FLEET</t>
        </is>
      </c>
      <c r="E1536" t="inlineStr">
        <is>
          <t>FLEET-02</t>
        </is>
      </c>
      <c r="F1536" s="17" t="n">
        <v>45797</v>
      </c>
      <c r="G1536" s="17" t="n">
        <v>45811</v>
      </c>
      <c r="H1536" s="18" t="n">
        <v>391</v>
      </c>
      <c r="I1536" s="19" t="n">
        <v>7.6</v>
      </c>
      <c r="J1536" s="19" t="n">
        <v>7.5</v>
      </c>
      <c r="K1536" s="20" t="n">
        <v>0</v>
      </c>
      <c r="L1536" s="20" t="n">
        <v>0</v>
      </c>
      <c r="M1536" s="18" t="n">
        <v>391</v>
      </c>
      <c r="N1536" s="18" t="n">
        <v>391</v>
      </c>
      <c r="O1536" s="18" t="n">
        <v>0</v>
      </c>
      <c r="P1536" s="17" t="n">
        <v>45810</v>
      </c>
      <c r="Q1536" s="17" t="n">
        <v>45810</v>
      </c>
      <c r="R1536" s="17" t="n">
        <v>45810</v>
      </c>
      <c r="S1536" s="19">
        <f>H1536*I1536</f>
        <v/>
      </c>
      <c r="T1536" s="19">
        <f>H1536*J1536</f>
        <v/>
      </c>
      <c r="U1536">
        <f>IF(AND(K1536=0,G1536&lt;=Assumptions!$C$6),1,0)</f>
        <v/>
      </c>
      <c r="V1536">
        <f>IF(U1536=1,IF(M1536&gt;0,IF(P1536&lt;=G1536+Assumptions!$C$7,1,0),0),0)</f>
        <v/>
      </c>
      <c r="W1536">
        <f>IF(AND(U1536=1,M1536&gt;=H1536*(1-Assumptions!$C$8)),1,0)</f>
        <v/>
      </c>
      <c r="X1536">
        <f>IF(AND(U1536=1,N1536&gt;=H1536*(1-Assumptions!$C$8)),1,0)</f>
        <v/>
      </c>
      <c r="Y1536">
        <f>IF(ISNUMBER(Q1536),1,0)</f>
        <v/>
      </c>
      <c r="Z1536">
        <f>IF(AND(K1536=0,L1536=0,Y1536=0),1,0)</f>
        <v/>
      </c>
      <c r="AA1536">
        <f>IF(AND(Z1536=1,G1536&lt;Assumptions!$C$6),1,0)</f>
        <v/>
      </c>
      <c r="AB1536">
        <f>IF(U1536=0,"",IF(Y1536=1,MAX(0,Q1536-G1536),IF(L1536=1,MAX(0,R1536-G1536),MAX(0,Assumptions!$C$6-G1536))))</f>
        <v/>
      </c>
      <c r="AC1536">
        <f>IF(Y1536=1,Q1536-F1536,"")</f>
        <v/>
      </c>
      <c r="AD1536">
        <f>IF(Y1536=1,AC1536^2,"")</f>
        <v/>
      </c>
      <c r="AE1536" s="19">
        <f>IF(Z1536=1,(H1536-M1536)*I1536,0)</f>
        <v/>
      </c>
      <c r="AF1536">
        <f>IF(G1536&lt;EDATE(Assumptions!$C$6,-12)+1,"prior_12m","last_12m")</f>
        <v/>
      </c>
      <c r="AG1536" s="21">
        <f>DATE(YEAR(G1536),MONTH(G1536),1)</f>
        <v/>
      </c>
    </row>
    <row r="1537">
      <c r="A1537" t="inlineStr">
        <is>
          <t>SPO-00835-2</t>
        </is>
      </c>
      <c r="B1537" t="inlineStr">
        <is>
          <t>SPO-00835</t>
        </is>
      </c>
      <c r="C1537" t="inlineStr">
        <is>
          <t>SUP-05</t>
        </is>
      </c>
      <c r="D1537" t="inlineStr">
        <is>
          <t>FLEET</t>
        </is>
      </c>
      <c r="E1537" t="inlineStr">
        <is>
          <t>FLEET-03</t>
        </is>
      </c>
      <c r="F1537" s="17" t="n">
        <v>45797</v>
      </c>
      <c r="G1537" s="17" t="n">
        <v>45811</v>
      </c>
      <c r="H1537" s="18" t="n">
        <v>102</v>
      </c>
      <c r="I1537" s="19" t="n">
        <v>20.83</v>
      </c>
      <c r="J1537" s="19" t="n">
        <v>21</v>
      </c>
      <c r="K1537" s="20" t="n">
        <v>0</v>
      </c>
      <c r="L1537" s="20" t="n">
        <v>0</v>
      </c>
      <c r="M1537" s="18" t="n">
        <v>102</v>
      </c>
      <c r="N1537" s="18" t="n">
        <v>102</v>
      </c>
      <c r="O1537" s="18" t="n">
        <v>0</v>
      </c>
      <c r="P1537" s="17" t="n">
        <v>45808</v>
      </c>
      <c r="Q1537" s="17" t="n">
        <v>45808</v>
      </c>
      <c r="R1537" s="17" t="n">
        <v>45808</v>
      </c>
      <c r="S1537" s="19">
        <f>H1537*I1537</f>
        <v/>
      </c>
      <c r="T1537" s="19">
        <f>H1537*J1537</f>
        <v/>
      </c>
      <c r="U1537">
        <f>IF(AND(K1537=0,G1537&lt;=Assumptions!$C$6),1,0)</f>
        <v/>
      </c>
      <c r="V1537">
        <f>IF(U1537=1,IF(M1537&gt;0,IF(P1537&lt;=G1537+Assumptions!$C$7,1,0),0),0)</f>
        <v/>
      </c>
      <c r="W1537">
        <f>IF(AND(U1537=1,M1537&gt;=H1537*(1-Assumptions!$C$8)),1,0)</f>
        <v/>
      </c>
      <c r="X1537">
        <f>IF(AND(U1537=1,N1537&gt;=H1537*(1-Assumptions!$C$8)),1,0)</f>
        <v/>
      </c>
      <c r="Y1537">
        <f>IF(ISNUMBER(Q1537),1,0)</f>
        <v/>
      </c>
      <c r="Z1537">
        <f>IF(AND(K1537=0,L1537=0,Y1537=0),1,0)</f>
        <v/>
      </c>
      <c r="AA1537">
        <f>IF(AND(Z1537=1,G1537&lt;Assumptions!$C$6),1,0)</f>
        <v/>
      </c>
      <c r="AB1537">
        <f>IF(U1537=0,"",IF(Y1537=1,MAX(0,Q1537-G1537),IF(L1537=1,MAX(0,R1537-G1537),MAX(0,Assumptions!$C$6-G1537))))</f>
        <v/>
      </c>
      <c r="AC1537">
        <f>IF(Y1537=1,Q1537-F1537,"")</f>
        <v/>
      </c>
      <c r="AD1537">
        <f>IF(Y1537=1,AC1537^2,"")</f>
        <v/>
      </c>
      <c r="AE1537" s="19">
        <f>IF(Z1537=1,(H1537-M1537)*I1537,0)</f>
        <v/>
      </c>
      <c r="AF1537">
        <f>IF(G1537&lt;EDATE(Assumptions!$C$6,-12)+1,"prior_12m","last_12m")</f>
        <v/>
      </c>
      <c r="AG1537" s="21">
        <f>DATE(YEAR(G1537),MONTH(G1537),1)</f>
        <v/>
      </c>
    </row>
    <row r="1538">
      <c r="A1538" t="inlineStr">
        <is>
          <t>SPO-00836-1</t>
        </is>
      </c>
      <c r="B1538" t="inlineStr">
        <is>
          <t>SPO-00836</t>
        </is>
      </c>
      <c r="C1538" t="inlineStr">
        <is>
          <t>SUP-01</t>
        </is>
      </c>
      <c r="D1538" t="inlineStr">
        <is>
          <t>ELEC</t>
        </is>
      </c>
      <c r="E1538" t="inlineStr">
        <is>
          <t>ELEC-05</t>
        </is>
      </c>
      <c r="F1538" s="17" t="n">
        <v>45797</v>
      </c>
      <c r="G1538" s="17" t="n">
        <v>45815</v>
      </c>
      <c r="H1538" s="18" t="n">
        <v>118</v>
      </c>
      <c r="I1538" s="19" t="n">
        <v>11.46</v>
      </c>
      <c r="J1538" s="19" t="n">
        <v>11.5</v>
      </c>
      <c r="K1538" s="20" t="n">
        <v>0</v>
      </c>
      <c r="L1538" s="20" t="n">
        <v>0</v>
      </c>
      <c r="M1538" s="18" t="n">
        <v>118</v>
      </c>
      <c r="N1538" s="18" t="n">
        <v>118</v>
      </c>
      <c r="O1538" s="18" t="n">
        <v>0</v>
      </c>
      <c r="P1538" s="17" t="n">
        <v>45811</v>
      </c>
      <c r="Q1538" s="17" t="n">
        <v>45811</v>
      </c>
      <c r="R1538" s="17" t="n">
        <v>45811</v>
      </c>
      <c r="S1538" s="19">
        <f>H1538*I1538</f>
        <v/>
      </c>
      <c r="T1538" s="19">
        <f>H1538*J1538</f>
        <v/>
      </c>
      <c r="U1538">
        <f>IF(AND(K1538=0,G1538&lt;=Assumptions!$C$6),1,0)</f>
        <v/>
      </c>
      <c r="V1538">
        <f>IF(U1538=1,IF(M1538&gt;0,IF(P1538&lt;=G1538+Assumptions!$C$7,1,0),0),0)</f>
        <v/>
      </c>
      <c r="W1538">
        <f>IF(AND(U1538=1,M1538&gt;=H1538*(1-Assumptions!$C$8)),1,0)</f>
        <v/>
      </c>
      <c r="X1538">
        <f>IF(AND(U1538=1,N1538&gt;=H1538*(1-Assumptions!$C$8)),1,0)</f>
        <v/>
      </c>
      <c r="Y1538">
        <f>IF(ISNUMBER(Q1538),1,0)</f>
        <v/>
      </c>
      <c r="Z1538">
        <f>IF(AND(K1538=0,L1538=0,Y1538=0),1,0)</f>
        <v/>
      </c>
      <c r="AA1538">
        <f>IF(AND(Z1538=1,G1538&lt;Assumptions!$C$6),1,0)</f>
        <v/>
      </c>
      <c r="AB1538">
        <f>IF(U1538=0,"",IF(Y1538=1,MAX(0,Q1538-G1538),IF(L1538=1,MAX(0,R1538-G1538),MAX(0,Assumptions!$C$6-G1538))))</f>
        <v/>
      </c>
      <c r="AC1538">
        <f>IF(Y1538=1,Q1538-F1538,"")</f>
        <v/>
      </c>
      <c r="AD1538">
        <f>IF(Y1538=1,AC1538^2,"")</f>
        <v/>
      </c>
      <c r="AE1538" s="19">
        <f>IF(Z1538=1,(H1538-M1538)*I1538,0)</f>
        <v/>
      </c>
      <c r="AF1538">
        <f>IF(G1538&lt;EDATE(Assumptions!$C$6,-12)+1,"prior_12m","last_12m")</f>
        <v/>
      </c>
      <c r="AG1538" s="21">
        <f>DATE(YEAR(G1538),MONTH(G1538),1)</f>
        <v/>
      </c>
    </row>
    <row r="1539">
      <c r="A1539" t="inlineStr">
        <is>
          <t>SPO-00837-1</t>
        </is>
      </c>
      <c r="B1539" t="inlineStr">
        <is>
          <t>SPO-00837</t>
        </is>
      </c>
      <c r="C1539" t="inlineStr">
        <is>
          <t>SUP-02</t>
        </is>
      </c>
      <c r="D1539" t="inlineStr">
        <is>
          <t>ELEC</t>
        </is>
      </c>
      <c r="E1539" t="inlineStr">
        <is>
          <t>ELEC-06</t>
        </is>
      </c>
      <c r="F1539" s="17" t="n">
        <v>45798</v>
      </c>
      <c r="G1539" s="17" t="n">
        <v>45814</v>
      </c>
      <c r="H1539" s="18" t="n">
        <v>14</v>
      </c>
      <c r="I1539" s="19" t="n">
        <v>152.33</v>
      </c>
      <c r="J1539" s="19" t="n">
        <v>145</v>
      </c>
      <c r="K1539" s="20" t="n">
        <v>0</v>
      </c>
      <c r="L1539" s="20" t="n">
        <v>0</v>
      </c>
      <c r="M1539" s="18" t="n">
        <v>14</v>
      </c>
      <c r="N1539" s="18" t="n">
        <v>14</v>
      </c>
      <c r="O1539" s="18" t="n">
        <v>0</v>
      </c>
      <c r="P1539" s="17" t="n">
        <v>45810</v>
      </c>
      <c r="Q1539" s="17" t="n">
        <v>45810</v>
      </c>
      <c r="R1539" s="17" t="n">
        <v>45810</v>
      </c>
      <c r="S1539" s="19">
        <f>H1539*I1539</f>
        <v/>
      </c>
      <c r="T1539" s="19">
        <f>H1539*J1539</f>
        <v/>
      </c>
      <c r="U1539">
        <f>IF(AND(K1539=0,G1539&lt;=Assumptions!$C$6),1,0)</f>
        <v/>
      </c>
      <c r="V1539">
        <f>IF(U1539=1,IF(M1539&gt;0,IF(P1539&lt;=G1539+Assumptions!$C$7,1,0),0),0)</f>
        <v/>
      </c>
      <c r="W1539">
        <f>IF(AND(U1539=1,M1539&gt;=H1539*(1-Assumptions!$C$8)),1,0)</f>
        <v/>
      </c>
      <c r="X1539">
        <f>IF(AND(U1539=1,N1539&gt;=H1539*(1-Assumptions!$C$8)),1,0)</f>
        <v/>
      </c>
      <c r="Y1539">
        <f>IF(ISNUMBER(Q1539),1,0)</f>
        <v/>
      </c>
      <c r="Z1539">
        <f>IF(AND(K1539=0,L1539=0,Y1539=0),1,0)</f>
        <v/>
      </c>
      <c r="AA1539">
        <f>IF(AND(Z1539=1,G1539&lt;Assumptions!$C$6),1,0)</f>
        <v/>
      </c>
      <c r="AB1539">
        <f>IF(U1539=0,"",IF(Y1539=1,MAX(0,Q1539-G1539),IF(L1539=1,MAX(0,R1539-G1539),MAX(0,Assumptions!$C$6-G1539))))</f>
        <v/>
      </c>
      <c r="AC1539">
        <f>IF(Y1539=1,Q1539-F1539,"")</f>
        <v/>
      </c>
      <c r="AD1539">
        <f>IF(Y1539=1,AC1539^2,"")</f>
        <v/>
      </c>
      <c r="AE1539" s="19">
        <f>IF(Z1539=1,(H1539-M1539)*I1539,0)</f>
        <v/>
      </c>
      <c r="AF1539">
        <f>IF(G1539&lt;EDATE(Assumptions!$C$6,-12)+1,"prior_12m","last_12m")</f>
        <v/>
      </c>
      <c r="AG1539" s="21">
        <f>DATE(YEAR(G1539),MONTH(G1539),1)</f>
        <v/>
      </c>
    </row>
    <row r="1540">
      <c r="A1540" t="inlineStr">
        <is>
          <t>SPO-00837-2</t>
        </is>
      </c>
      <c r="B1540" t="inlineStr">
        <is>
          <t>SPO-00837</t>
        </is>
      </c>
      <c r="C1540" t="inlineStr">
        <is>
          <t>SUP-02</t>
        </is>
      </c>
      <c r="D1540" t="inlineStr">
        <is>
          <t>ELEC</t>
        </is>
      </c>
      <c r="E1540" t="inlineStr">
        <is>
          <t>ELEC-01</t>
        </is>
      </c>
      <c r="F1540" s="17" t="n">
        <v>45798</v>
      </c>
      <c r="G1540" s="17" t="n">
        <v>45814</v>
      </c>
      <c r="H1540" s="18" t="n">
        <v>86</v>
      </c>
      <c r="I1540" s="19" t="n">
        <v>39.3</v>
      </c>
      <c r="J1540" s="19" t="n">
        <v>38</v>
      </c>
      <c r="K1540" s="20" t="n">
        <v>0</v>
      </c>
      <c r="L1540" s="20" t="n">
        <v>0</v>
      </c>
      <c r="M1540" s="18" t="n">
        <v>86</v>
      </c>
      <c r="N1540" s="18" t="n">
        <v>86</v>
      </c>
      <c r="O1540" s="18" t="n">
        <v>0</v>
      </c>
      <c r="P1540" s="17" t="n">
        <v>45812</v>
      </c>
      <c r="Q1540" s="17" t="n">
        <v>45812</v>
      </c>
      <c r="R1540" s="17" t="n">
        <v>45812</v>
      </c>
      <c r="S1540" s="19">
        <f>H1540*I1540</f>
        <v/>
      </c>
      <c r="T1540" s="19">
        <f>H1540*J1540</f>
        <v/>
      </c>
      <c r="U1540">
        <f>IF(AND(K1540=0,G1540&lt;=Assumptions!$C$6),1,0)</f>
        <v/>
      </c>
      <c r="V1540">
        <f>IF(U1540=1,IF(M1540&gt;0,IF(P1540&lt;=G1540+Assumptions!$C$7,1,0),0),0)</f>
        <v/>
      </c>
      <c r="W1540">
        <f>IF(AND(U1540=1,M1540&gt;=H1540*(1-Assumptions!$C$8)),1,0)</f>
        <v/>
      </c>
      <c r="X1540">
        <f>IF(AND(U1540=1,N1540&gt;=H1540*(1-Assumptions!$C$8)),1,0)</f>
        <v/>
      </c>
      <c r="Y1540">
        <f>IF(ISNUMBER(Q1540),1,0)</f>
        <v/>
      </c>
      <c r="Z1540">
        <f>IF(AND(K1540=0,L1540=0,Y1540=0),1,0)</f>
        <v/>
      </c>
      <c r="AA1540">
        <f>IF(AND(Z1540=1,G1540&lt;Assumptions!$C$6),1,0)</f>
        <v/>
      </c>
      <c r="AB1540">
        <f>IF(U1540=0,"",IF(Y1540=1,MAX(0,Q1540-G1540),IF(L1540=1,MAX(0,R1540-G1540),MAX(0,Assumptions!$C$6-G1540))))</f>
        <v/>
      </c>
      <c r="AC1540">
        <f>IF(Y1540=1,Q1540-F1540,"")</f>
        <v/>
      </c>
      <c r="AD1540">
        <f>IF(Y1540=1,AC1540^2,"")</f>
        <v/>
      </c>
      <c r="AE1540" s="19">
        <f>IF(Z1540=1,(H1540-M1540)*I1540,0)</f>
        <v/>
      </c>
      <c r="AF1540">
        <f>IF(G1540&lt;EDATE(Assumptions!$C$6,-12)+1,"prior_12m","last_12m")</f>
        <v/>
      </c>
      <c r="AG1540" s="21">
        <f>DATE(YEAR(G1540),MONTH(G1540),1)</f>
        <v/>
      </c>
    </row>
    <row r="1541">
      <c r="A1541" t="inlineStr">
        <is>
          <t>SPO-00837-3</t>
        </is>
      </c>
      <c r="B1541" t="inlineStr">
        <is>
          <t>SPO-00837</t>
        </is>
      </c>
      <c r="C1541" t="inlineStr">
        <is>
          <t>SUP-02</t>
        </is>
      </c>
      <c r="D1541" t="inlineStr">
        <is>
          <t>ELEC</t>
        </is>
      </c>
      <c r="E1541" t="inlineStr">
        <is>
          <t>ELEC-02</t>
        </is>
      </c>
      <c r="F1541" s="17" t="n">
        <v>45798</v>
      </c>
      <c r="G1541" s="17" t="n">
        <v>45814</v>
      </c>
      <c r="H1541" s="18" t="n">
        <v>291</v>
      </c>
      <c r="I1541" s="19" t="n">
        <v>4.15</v>
      </c>
      <c r="J1541" s="19" t="n">
        <v>4.2</v>
      </c>
      <c r="K1541" s="20" t="n">
        <v>0</v>
      </c>
      <c r="L1541" s="20" t="n">
        <v>0</v>
      </c>
      <c r="M1541" s="18" t="n">
        <v>291</v>
      </c>
      <c r="N1541" s="18" t="n">
        <v>291</v>
      </c>
      <c r="O1541" s="18" t="n">
        <v>0</v>
      </c>
      <c r="P1541" s="17" t="n">
        <v>45811</v>
      </c>
      <c r="Q1541" s="17" t="n">
        <v>45811</v>
      </c>
      <c r="R1541" s="17" t="n">
        <v>45811</v>
      </c>
      <c r="S1541" s="19">
        <f>H1541*I1541</f>
        <v/>
      </c>
      <c r="T1541" s="19">
        <f>H1541*J1541</f>
        <v/>
      </c>
      <c r="U1541">
        <f>IF(AND(K1541=0,G1541&lt;=Assumptions!$C$6),1,0)</f>
        <v/>
      </c>
      <c r="V1541">
        <f>IF(U1541=1,IF(M1541&gt;0,IF(P1541&lt;=G1541+Assumptions!$C$7,1,0),0),0)</f>
        <v/>
      </c>
      <c r="W1541">
        <f>IF(AND(U1541=1,M1541&gt;=H1541*(1-Assumptions!$C$8)),1,0)</f>
        <v/>
      </c>
      <c r="X1541">
        <f>IF(AND(U1541=1,N1541&gt;=H1541*(1-Assumptions!$C$8)),1,0)</f>
        <v/>
      </c>
      <c r="Y1541">
        <f>IF(ISNUMBER(Q1541),1,0)</f>
        <v/>
      </c>
      <c r="Z1541">
        <f>IF(AND(K1541=0,L1541=0,Y1541=0),1,0)</f>
        <v/>
      </c>
      <c r="AA1541">
        <f>IF(AND(Z1541=1,G1541&lt;Assumptions!$C$6),1,0)</f>
        <v/>
      </c>
      <c r="AB1541">
        <f>IF(U1541=0,"",IF(Y1541=1,MAX(0,Q1541-G1541),IF(L1541=1,MAX(0,R1541-G1541),MAX(0,Assumptions!$C$6-G1541))))</f>
        <v/>
      </c>
      <c r="AC1541">
        <f>IF(Y1541=1,Q1541-F1541,"")</f>
        <v/>
      </c>
      <c r="AD1541">
        <f>IF(Y1541=1,AC1541^2,"")</f>
        <v/>
      </c>
      <c r="AE1541" s="19">
        <f>IF(Z1541=1,(H1541-M1541)*I1541,0)</f>
        <v/>
      </c>
      <c r="AF1541">
        <f>IF(G1541&lt;EDATE(Assumptions!$C$6,-12)+1,"prior_12m","last_12m")</f>
        <v/>
      </c>
      <c r="AG1541" s="21">
        <f>DATE(YEAR(G1541),MONTH(G1541),1)</f>
        <v/>
      </c>
    </row>
    <row r="1542">
      <c r="A1542" t="inlineStr">
        <is>
          <t>SPO-00838-1</t>
        </is>
      </c>
      <c r="B1542" t="inlineStr">
        <is>
          <t>SPO-00838</t>
        </is>
      </c>
      <c r="C1542" t="inlineStr">
        <is>
          <t>SUP-11</t>
        </is>
      </c>
      <c r="D1542" t="inlineStr">
        <is>
          <t>PPE</t>
        </is>
      </c>
      <c r="E1542" t="inlineStr">
        <is>
          <t>PPE-01</t>
        </is>
      </c>
      <c r="F1542" s="17" t="n">
        <v>45798</v>
      </c>
      <c r="G1542" s="17" t="n">
        <v>45810</v>
      </c>
      <c r="H1542" s="18" t="n">
        <v>679</v>
      </c>
      <c r="I1542" s="19" t="n">
        <v>4.9</v>
      </c>
      <c r="J1542" s="19" t="n">
        <v>4.8</v>
      </c>
      <c r="K1542" s="20" t="n">
        <v>0</v>
      </c>
      <c r="L1542" s="20" t="n">
        <v>0</v>
      </c>
      <c r="M1542" s="18" t="n">
        <v>679</v>
      </c>
      <c r="N1542" s="18" t="n">
        <v>679</v>
      </c>
      <c r="O1542" s="18" t="n">
        <v>0</v>
      </c>
      <c r="P1542" s="17" t="n">
        <v>45807</v>
      </c>
      <c r="Q1542" s="17" t="n">
        <v>45807</v>
      </c>
      <c r="R1542" s="17" t="n">
        <v>45807</v>
      </c>
      <c r="S1542" s="19">
        <f>H1542*I1542</f>
        <v/>
      </c>
      <c r="T1542" s="19">
        <f>H1542*J1542</f>
        <v/>
      </c>
      <c r="U1542">
        <f>IF(AND(K1542=0,G1542&lt;=Assumptions!$C$6),1,0)</f>
        <v/>
      </c>
      <c r="V1542">
        <f>IF(U1542=1,IF(M1542&gt;0,IF(P1542&lt;=G1542+Assumptions!$C$7,1,0),0),0)</f>
        <v/>
      </c>
      <c r="W1542">
        <f>IF(AND(U1542=1,M1542&gt;=H1542*(1-Assumptions!$C$8)),1,0)</f>
        <v/>
      </c>
      <c r="X1542">
        <f>IF(AND(U1542=1,N1542&gt;=H1542*(1-Assumptions!$C$8)),1,0)</f>
        <v/>
      </c>
      <c r="Y1542">
        <f>IF(ISNUMBER(Q1542),1,0)</f>
        <v/>
      </c>
      <c r="Z1542">
        <f>IF(AND(K1542=0,L1542=0,Y1542=0),1,0)</f>
        <v/>
      </c>
      <c r="AA1542">
        <f>IF(AND(Z1542=1,G1542&lt;Assumptions!$C$6),1,0)</f>
        <v/>
      </c>
      <c r="AB1542">
        <f>IF(U1542=0,"",IF(Y1542=1,MAX(0,Q1542-G1542),IF(L1542=1,MAX(0,R1542-G1542),MAX(0,Assumptions!$C$6-G1542))))</f>
        <v/>
      </c>
      <c r="AC1542">
        <f>IF(Y1542=1,Q1542-F1542,"")</f>
        <v/>
      </c>
      <c r="AD1542">
        <f>IF(Y1542=1,AC1542^2,"")</f>
        <v/>
      </c>
      <c r="AE1542" s="19">
        <f>IF(Z1542=1,(H1542-M1542)*I1542,0)</f>
        <v/>
      </c>
      <c r="AF1542">
        <f>IF(G1542&lt;EDATE(Assumptions!$C$6,-12)+1,"prior_12m","last_12m")</f>
        <v/>
      </c>
      <c r="AG1542" s="21">
        <f>DATE(YEAR(G1542),MONTH(G1542),1)</f>
        <v/>
      </c>
    </row>
    <row r="1543">
      <c r="A1543" t="inlineStr">
        <is>
          <t>SPO-00838-2</t>
        </is>
      </c>
      <c r="B1543" t="inlineStr">
        <is>
          <t>SPO-00838</t>
        </is>
      </c>
      <c r="C1543" t="inlineStr">
        <is>
          <t>SUP-11</t>
        </is>
      </c>
      <c r="D1543" t="inlineStr">
        <is>
          <t>PPE</t>
        </is>
      </c>
      <c r="E1543" t="inlineStr">
        <is>
          <t>PPE-02</t>
        </is>
      </c>
      <c r="F1543" s="17" t="n">
        <v>45798</v>
      </c>
      <c r="G1543" s="17" t="n">
        <v>45810</v>
      </c>
      <c r="H1543" s="18" t="n">
        <v>170</v>
      </c>
      <c r="I1543" s="19" t="n">
        <v>12.13</v>
      </c>
      <c r="J1543" s="19" t="n">
        <v>12.5</v>
      </c>
      <c r="K1543" s="20" t="n">
        <v>0</v>
      </c>
      <c r="L1543" s="20" t="n">
        <v>0</v>
      </c>
      <c r="M1543" s="18" t="n">
        <v>170</v>
      </c>
      <c r="N1543" s="18" t="n">
        <v>0</v>
      </c>
      <c r="O1543" s="18" t="n">
        <v>0</v>
      </c>
      <c r="P1543" s="17" t="n">
        <v>45811</v>
      </c>
      <c r="Q1543" s="17" t="n">
        <v>45811</v>
      </c>
      <c r="R1543" s="17" t="n">
        <v>45811</v>
      </c>
      <c r="S1543" s="19">
        <f>H1543*I1543</f>
        <v/>
      </c>
      <c r="T1543" s="19">
        <f>H1543*J1543</f>
        <v/>
      </c>
      <c r="U1543">
        <f>IF(AND(K1543=0,G1543&lt;=Assumptions!$C$6),1,0)</f>
        <v/>
      </c>
      <c r="V1543">
        <f>IF(U1543=1,IF(M1543&gt;0,IF(P1543&lt;=G1543+Assumptions!$C$7,1,0),0),0)</f>
        <v/>
      </c>
      <c r="W1543">
        <f>IF(AND(U1543=1,M1543&gt;=H1543*(1-Assumptions!$C$8)),1,0)</f>
        <v/>
      </c>
      <c r="X1543">
        <f>IF(AND(U1543=1,N1543&gt;=H1543*(1-Assumptions!$C$8)),1,0)</f>
        <v/>
      </c>
      <c r="Y1543">
        <f>IF(ISNUMBER(Q1543),1,0)</f>
        <v/>
      </c>
      <c r="Z1543">
        <f>IF(AND(K1543=0,L1543=0,Y1543=0),1,0)</f>
        <v/>
      </c>
      <c r="AA1543">
        <f>IF(AND(Z1543=1,G1543&lt;Assumptions!$C$6),1,0)</f>
        <v/>
      </c>
      <c r="AB1543">
        <f>IF(U1543=0,"",IF(Y1543=1,MAX(0,Q1543-G1543),IF(L1543=1,MAX(0,R1543-G1543),MAX(0,Assumptions!$C$6-G1543))))</f>
        <v/>
      </c>
      <c r="AC1543">
        <f>IF(Y1543=1,Q1543-F1543,"")</f>
        <v/>
      </c>
      <c r="AD1543">
        <f>IF(Y1543=1,AC1543^2,"")</f>
        <v/>
      </c>
      <c r="AE1543" s="19">
        <f>IF(Z1543=1,(H1543-M1543)*I1543,0)</f>
        <v/>
      </c>
      <c r="AF1543">
        <f>IF(G1543&lt;EDATE(Assumptions!$C$6,-12)+1,"prior_12m","last_12m")</f>
        <v/>
      </c>
      <c r="AG1543" s="21">
        <f>DATE(YEAR(G1543),MONTH(G1543),1)</f>
        <v/>
      </c>
    </row>
    <row r="1544">
      <c r="A1544" t="inlineStr">
        <is>
          <t>SPO-00839-1</t>
        </is>
      </c>
      <c r="B1544" t="inlineStr">
        <is>
          <t>SPO-00839</t>
        </is>
      </c>
      <c r="C1544" t="inlineStr">
        <is>
          <t>SUP-01</t>
        </is>
      </c>
      <c r="D1544" t="inlineStr">
        <is>
          <t>ELEC</t>
        </is>
      </c>
      <c r="E1544" t="inlineStr">
        <is>
          <t>ELEC-01</t>
        </is>
      </c>
      <c r="F1544" s="17" t="n">
        <v>45799</v>
      </c>
      <c r="G1544" s="17" t="n">
        <v>45817</v>
      </c>
      <c r="H1544" s="18" t="n">
        <v>95</v>
      </c>
      <c r="I1544" s="19" t="n">
        <v>38.23</v>
      </c>
      <c r="J1544" s="19" t="n">
        <v>38</v>
      </c>
      <c r="K1544" s="20" t="n">
        <v>0</v>
      </c>
      <c r="L1544" s="20" t="n">
        <v>0</v>
      </c>
      <c r="M1544" s="18" t="n">
        <v>95</v>
      </c>
      <c r="N1544" s="18" t="n">
        <v>95</v>
      </c>
      <c r="O1544" s="18" t="n">
        <v>0</v>
      </c>
      <c r="P1544" s="17" t="n">
        <v>45812</v>
      </c>
      <c r="Q1544" s="17" t="n">
        <v>45812</v>
      </c>
      <c r="R1544" s="17" t="n">
        <v>45812</v>
      </c>
      <c r="S1544" s="19">
        <f>H1544*I1544</f>
        <v/>
      </c>
      <c r="T1544" s="19">
        <f>H1544*J1544</f>
        <v/>
      </c>
      <c r="U1544">
        <f>IF(AND(K1544=0,G1544&lt;=Assumptions!$C$6),1,0)</f>
        <v/>
      </c>
      <c r="V1544">
        <f>IF(U1544=1,IF(M1544&gt;0,IF(P1544&lt;=G1544+Assumptions!$C$7,1,0),0),0)</f>
        <v/>
      </c>
      <c r="W1544">
        <f>IF(AND(U1544=1,M1544&gt;=H1544*(1-Assumptions!$C$8)),1,0)</f>
        <v/>
      </c>
      <c r="X1544">
        <f>IF(AND(U1544=1,N1544&gt;=H1544*(1-Assumptions!$C$8)),1,0)</f>
        <v/>
      </c>
      <c r="Y1544">
        <f>IF(ISNUMBER(Q1544),1,0)</f>
        <v/>
      </c>
      <c r="Z1544">
        <f>IF(AND(K1544=0,L1544=0,Y1544=0),1,0)</f>
        <v/>
      </c>
      <c r="AA1544">
        <f>IF(AND(Z1544=1,G1544&lt;Assumptions!$C$6),1,0)</f>
        <v/>
      </c>
      <c r="AB1544">
        <f>IF(U1544=0,"",IF(Y1544=1,MAX(0,Q1544-G1544),IF(L1544=1,MAX(0,R1544-G1544),MAX(0,Assumptions!$C$6-G1544))))</f>
        <v/>
      </c>
      <c r="AC1544">
        <f>IF(Y1544=1,Q1544-F1544,"")</f>
        <v/>
      </c>
      <c r="AD1544">
        <f>IF(Y1544=1,AC1544^2,"")</f>
        <v/>
      </c>
      <c r="AE1544" s="19">
        <f>IF(Z1544=1,(H1544-M1544)*I1544,0)</f>
        <v/>
      </c>
      <c r="AF1544">
        <f>IF(G1544&lt;EDATE(Assumptions!$C$6,-12)+1,"prior_12m","last_12m")</f>
        <v/>
      </c>
      <c r="AG1544" s="21">
        <f>DATE(YEAR(G1544),MONTH(G1544),1)</f>
        <v/>
      </c>
    </row>
    <row r="1545">
      <c r="A1545" t="inlineStr">
        <is>
          <t>SPO-00840-1</t>
        </is>
      </c>
      <c r="B1545" t="inlineStr">
        <is>
          <t>SPO-00840</t>
        </is>
      </c>
      <c r="C1545" t="inlineStr">
        <is>
          <t>SUP-12</t>
        </is>
      </c>
      <c r="D1545" t="inlineStr">
        <is>
          <t>IT</t>
        </is>
      </c>
      <c r="E1545" t="inlineStr">
        <is>
          <t>IT-01</t>
        </is>
      </c>
      <c r="F1545" s="17" t="n">
        <v>45799</v>
      </c>
      <c r="G1545" s="17" t="n">
        <v>45809</v>
      </c>
      <c r="H1545" s="18" t="n">
        <v>7</v>
      </c>
      <c r="I1545" s="19" t="n">
        <v>214.72</v>
      </c>
      <c r="J1545" s="19" t="n">
        <v>189</v>
      </c>
      <c r="K1545" s="20" t="n">
        <v>0</v>
      </c>
      <c r="L1545" s="20" t="n">
        <v>0</v>
      </c>
      <c r="M1545" s="18" t="n">
        <v>7</v>
      </c>
      <c r="N1545" s="18" t="n">
        <v>7</v>
      </c>
      <c r="O1545" s="18" t="n">
        <v>0</v>
      </c>
      <c r="P1545" s="17" t="n">
        <v>45803</v>
      </c>
      <c r="Q1545" s="17" t="n">
        <v>45803</v>
      </c>
      <c r="R1545" s="17" t="n">
        <v>45803</v>
      </c>
      <c r="S1545" s="19">
        <f>H1545*I1545</f>
        <v/>
      </c>
      <c r="T1545" s="19">
        <f>H1545*J1545</f>
        <v/>
      </c>
      <c r="U1545">
        <f>IF(AND(K1545=0,G1545&lt;=Assumptions!$C$6),1,0)</f>
        <v/>
      </c>
      <c r="V1545">
        <f>IF(U1545=1,IF(M1545&gt;0,IF(P1545&lt;=G1545+Assumptions!$C$7,1,0),0),0)</f>
        <v/>
      </c>
      <c r="W1545">
        <f>IF(AND(U1545=1,M1545&gt;=H1545*(1-Assumptions!$C$8)),1,0)</f>
        <v/>
      </c>
      <c r="X1545">
        <f>IF(AND(U1545=1,N1545&gt;=H1545*(1-Assumptions!$C$8)),1,0)</f>
        <v/>
      </c>
      <c r="Y1545">
        <f>IF(ISNUMBER(Q1545),1,0)</f>
        <v/>
      </c>
      <c r="Z1545">
        <f>IF(AND(K1545=0,L1545=0,Y1545=0),1,0)</f>
        <v/>
      </c>
      <c r="AA1545">
        <f>IF(AND(Z1545=1,G1545&lt;Assumptions!$C$6),1,0)</f>
        <v/>
      </c>
      <c r="AB1545">
        <f>IF(U1545=0,"",IF(Y1545=1,MAX(0,Q1545-G1545),IF(L1545=1,MAX(0,R1545-G1545),MAX(0,Assumptions!$C$6-G1545))))</f>
        <v/>
      </c>
      <c r="AC1545">
        <f>IF(Y1545=1,Q1545-F1545,"")</f>
        <v/>
      </c>
      <c r="AD1545">
        <f>IF(Y1545=1,AC1545^2,"")</f>
        <v/>
      </c>
      <c r="AE1545" s="19">
        <f>IF(Z1545=1,(H1545-M1545)*I1545,0)</f>
        <v/>
      </c>
      <c r="AF1545">
        <f>IF(G1545&lt;EDATE(Assumptions!$C$6,-12)+1,"prior_12m","last_12m")</f>
        <v/>
      </c>
      <c r="AG1545" s="21">
        <f>DATE(YEAR(G1545),MONTH(G1545),1)</f>
        <v/>
      </c>
    </row>
    <row r="1546">
      <c r="A1546" t="inlineStr">
        <is>
          <t>SPO-00840-2</t>
        </is>
      </c>
      <c r="B1546" t="inlineStr">
        <is>
          <t>SPO-00840</t>
        </is>
      </c>
      <c r="C1546" t="inlineStr">
        <is>
          <t>SUP-12</t>
        </is>
      </c>
      <c r="D1546" t="inlineStr">
        <is>
          <t>IT</t>
        </is>
      </c>
      <c r="E1546" t="inlineStr">
        <is>
          <t>IT-06</t>
        </is>
      </c>
      <c r="F1546" s="17" t="n">
        <v>45799</v>
      </c>
      <c r="G1546" s="17" t="n">
        <v>45809</v>
      </c>
      <c r="H1546" s="18" t="n">
        <v>18</v>
      </c>
      <c r="I1546" s="19" t="n">
        <v>100.44</v>
      </c>
      <c r="J1546" s="19" t="n">
        <v>89</v>
      </c>
      <c r="K1546" s="20" t="n">
        <v>0</v>
      </c>
      <c r="L1546" s="20" t="n">
        <v>0</v>
      </c>
      <c r="M1546" s="18" t="n">
        <v>18</v>
      </c>
      <c r="N1546" s="18" t="n">
        <v>18</v>
      </c>
      <c r="O1546" s="18" t="n">
        <v>0</v>
      </c>
      <c r="P1546" s="17" t="n">
        <v>45808</v>
      </c>
      <c r="Q1546" s="17" t="n">
        <v>45808</v>
      </c>
      <c r="R1546" s="17" t="n">
        <v>45808</v>
      </c>
      <c r="S1546" s="19">
        <f>H1546*I1546</f>
        <v/>
      </c>
      <c r="T1546" s="19">
        <f>H1546*J1546</f>
        <v/>
      </c>
      <c r="U1546">
        <f>IF(AND(K1546=0,G1546&lt;=Assumptions!$C$6),1,0)</f>
        <v/>
      </c>
      <c r="V1546">
        <f>IF(U1546=1,IF(M1546&gt;0,IF(P1546&lt;=G1546+Assumptions!$C$7,1,0),0),0)</f>
        <v/>
      </c>
      <c r="W1546">
        <f>IF(AND(U1546=1,M1546&gt;=H1546*(1-Assumptions!$C$8)),1,0)</f>
        <v/>
      </c>
      <c r="X1546">
        <f>IF(AND(U1546=1,N1546&gt;=H1546*(1-Assumptions!$C$8)),1,0)</f>
        <v/>
      </c>
      <c r="Y1546">
        <f>IF(ISNUMBER(Q1546),1,0)</f>
        <v/>
      </c>
      <c r="Z1546">
        <f>IF(AND(K1546=0,L1546=0,Y1546=0),1,0)</f>
        <v/>
      </c>
      <c r="AA1546">
        <f>IF(AND(Z1546=1,G1546&lt;Assumptions!$C$6),1,0)</f>
        <v/>
      </c>
      <c r="AB1546">
        <f>IF(U1546=0,"",IF(Y1546=1,MAX(0,Q1546-G1546),IF(L1546=1,MAX(0,R1546-G1546),MAX(0,Assumptions!$C$6-G1546))))</f>
        <v/>
      </c>
      <c r="AC1546">
        <f>IF(Y1546=1,Q1546-F1546,"")</f>
        <v/>
      </c>
      <c r="AD1546">
        <f>IF(Y1546=1,AC1546^2,"")</f>
        <v/>
      </c>
      <c r="AE1546" s="19">
        <f>IF(Z1546=1,(H1546-M1546)*I1546,0)</f>
        <v/>
      </c>
      <c r="AF1546">
        <f>IF(G1546&lt;EDATE(Assumptions!$C$6,-12)+1,"prior_12m","last_12m")</f>
        <v/>
      </c>
      <c r="AG1546" s="21">
        <f>DATE(YEAR(G1546),MONTH(G1546),1)</f>
        <v/>
      </c>
    </row>
    <row r="1547">
      <c r="A1547" t="inlineStr">
        <is>
          <t>SPO-00840-3</t>
        </is>
      </c>
      <c r="B1547" t="inlineStr">
        <is>
          <t>SPO-00840</t>
        </is>
      </c>
      <c r="C1547" t="inlineStr">
        <is>
          <t>SUP-12</t>
        </is>
      </c>
      <c r="D1547" t="inlineStr">
        <is>
          <t>IT</t>
        </is>
      </c>
      <c r="E1547" t="inlineStr">
        <is>
          <t>IT-03</t>
        </is>
      </c>
      <c r="F1547" s="17" t="n">
        <v>45799</v>
      </c>
      <c r="G1547" s="17" t="n">
        <v>45809</v>
      </c>
      <c r="H1547" s="18" t="n">
        <v>26</v>
      </c>
      <c r="I1547" s="19" t="n">
        <v>43.61</v>
      </c>
      <c r="J1547" s="19" t="n">
        <v>38</v>
      </c>
      <c r="K1547" s="20" t="n">
        <v>0</v>
      </c>
      <c r="L1547" s="20" t="n">
        <v>0</v>
      </c>
      <c r="M1547" s="18" t="n">
        <v>26</v>
      </c>
      <c r="N1547" s="18" t="n">
        <v>0</v>
      </c>
      <c r="O1547" s="18" t="n">
        <v>0</v>
      </c>
      <c r="P1547" s="17" t="n">
        <v>45811</v>
      </c>
      <c r="Q1547" s="17" t="n">
        <v>45811</v>
      </c>
      <c r="R1547" s="17" t="n">
        <v>45811</v>
      </c>
      <c r="S1547" s="19">
        <f>H1547*I1547</f>
        <v/>
      </c>
      <c r="T1547" s="19">
        <f>H1547*J1547</f>
        <v/>
      </c>
      <c r="U1547">
        <f>IF(AND(K1547=0,G1547&lt;=Assumptions!$C$6),1,0)</f>
        <v/>
      </c>
      <c r="V1547">
        <f>IF(U1547=1,IF(M1547&gt;0,IF(P1547&lt;=G1547+Assumptions!$C$7,1,0),0),0)</f>
        <v/>
      </c>
      <c r="W1547">
        <f>IF(AND(U1547=1,M1547&gt;=H1547*(1-Assumptions!$C$8)),1,0)</f>
        <v/>
      </c>
      <c r="X1547">
        <f>IF(AND(U1547=1,N1547&gt;=H1547*(1-Assumptions!$C$8)),1,0)</f>
        <v/>
      </c>
      <c r="Y1547">
        <f>IF(ISNUMBER(Q1547),1,0)</f>
        <v/>
      </c>
      <c r="Z1547">
        <f>IF(AND(K1547=0,L1547=0,Y1547=0),1,0)</f>
        <v/>
      </c>
      <c r="AA1547">
        <f>IF(AND(Z1547=1,G1547&lt;Assumptions!$C$6),1,0)</f>
        <v/>
      </c>
      <c r="AB1547">
        <f>IF(U1547=0,"",IF(Y1547=1,MAX(0,Q1547-G1547),IF(L1547=1,MAX(0,R1547-G1547),MAX(0,Assumptions!$C$6-G1547))))</f>
        <v/>
      </c>
      <c r="AC1547">
        <f>IF(Y1547=1,Q1547-F1547,"")</f>
        <v/>
      </c>
      <c r="AD1547">
        <f>IF(Y1547=1,AC1547^2,"")</f>
        <v/>
      </c>
      <c r="AE1547" s="19">
        <f>IF(Z1547=1,(H1547-M1547)*I1547,0)</f>
        <v/>
      </c>
      <c r="AF1547">
        <f>IF(G1547&lt;EDATE(Assumptions!$C$6,-12)+1,"prior_12m","last_12m")</f>
        <v/>
      </c>
      <c r="AG1547" s="21">
        <f>DATE(YEAR(G1547),MONTH(G1547),1)</f>
        <v/>
      </c>
    </row>
    <row r="1548">
      <c r="A1548" t="inlineStr">
        <is>
          <t>SPO-00841-1</t>
        </is>
      </c>
      <c r="B1548" t="inlineStr">
        <is>
          <t>SPO-00841</t>
        </is>
      </c>
      <c r="C1548" t="inlineStr">
        <is>
          <t>SUP-08</t>
        </is>
      </c>
      <c r="D1548" t="inlineStr">
        <is>
          <t>PPE</t>
        </is>
      </c>
      <c r="E1548" t="inlineStr">
        <is>
          <t>PPE-06</t>
        </is>
      </c>
      <c r="F1548" s="17" t="n">
        <v>45799</v>
      </c>
      <c r="G1548" s="17" t="n">
        <v>45810</v>
      </c>
      <c r="H1548" s="18" t="n">
        <v>17</v>
      </c>
      <c r="I1548" s="19" t="n">
        <v>115.67</v>
      </c>
      <c r="J1548" s="19" t="n">
        <v>115</v>
      </c>
      <c r="K1548" s="20" t="n">
        <v>0</v>
      </c>
      <c r="L1548" s="20" t="n">
        <v>0</v>
      </c>
      <c r="M1548" s="18" t="n">
        <v>17</v>
      </c>
      <c r="N1548" s="18" t="n">
        <v>17</v>
      </c>
      <c r="O1548" s="18" t="n">
        <v>0</v>
      </c>
      <c r="P1548" s="17" t="n">
        <v>45806</v>
      </c>
      <c r="Q1548" s="17" t="n">
        <v>45806</v>
      </c>
      <c r="R1548" s="17" t="n">
        <v>45806</v>
      </c>
      <c r="S1548" s="19">
        <f>H1548*I1548</f>
        <v/>
      </c>
      <c r="T1548" s="19">
        <f>H1548*J1548</f>
        <v/>
      </c>
      <c r="U1548">
        <f>IF(AND(K1548=0,G1548&lt;=Assumptions!$C$6),1,0)</f>
        <v/>
      </c>
      <c r="V1548">
        <f>IF(U1548=1,IF(M1548&gt;0,IF(P1548&lt;=G1548+Assumptions!$C$7,1,0),0),0)</f>
        <v/>
      </c>
      <c r="W1548">
        <f>IF(AND(U1548=1,M1548&gt;=H1548*(1-Assumptions!$C$8)),1,0)</f>
        <v/>
      </c>
      <c r="X1548">
        <f>IF(AND(U1548=1,N1548&gt;=H1548*(1-Assumptions!$C$8)),1,0)</f>
        <v/>
      </c>
      <c r="Y1548">
        <f>IF(ISNUMBER(Q1548),1,0)</f>
        <v/>
      </c>
      <c r="Z1548">
        <f>IF(AND(K1548=0,L1548=0,Y1548=0),1,0)</f>
        <v/>
      </c>
      <c r="AA1548">
        <f>IF(AND(Z1548=1,G1548&lt;Assumptions!$C$6),1,0)</f>
        <v/>
      </c>
      <c r="AB1548">
        <f>IF(U1548=0,"",IF(Y1548=1,MAX(0,Q1548-G1548),IF(L1548=1,MAX(0,R1548-G1548),MAX(0,Assumptions!$C$6-G1548))))</f>
        <v/>
      </c>
      <c r="AC1548">
        <f>IF(Y1548=1,Q1548-F1548,"")</f>
        <v/>
      </c>
      <c r="AD1548">
        <f>IF(Y1548=1,AC1548^2,"")</f>
        <v/>
      </c>
      <c r="AE1548" s="19">
        <f>IF(Z1548=1,(H1548-M1548)*I1548,0)</f>
        <v/>
      </c>
      <c r="AF1548">
        <f>IF(G1548&lt;EDATE(Assumptions!$C$6,-12)+1,"prior_12m","last_12m")</f>
        <v/>
      </c>
      <c r="AG1548" s="21">
        <f>DATE(YEAR(G1548),MONTH(G1548),1)</f>
        <v/>
      </c>
    </row>
    <row r="1549">
      <c r="A1549" t="inlineStr">
        <is>
          <t>SPO-00842-1</t>
        </is>
      </c>
      <c r="B1549" t="inlineStr">
        <is>
          <t>SPO-00842</t>
        </is>
      </c>
      <c r="C1549" t="inlineStr">
        <is>
          <t>SUP-12</t>
        </is>
      </c>
      <c r="D1549" t="inlineStr">
        <is>
          <t>IT</t>
        </is>
      </c>
      <c r="E1549" t="inlineStr">
        <is>
          <t>IT-08</t>
        </is>
      </c>
      <c r="F1549" s="17" t="n">
        <v>45800</v>
      </c>
      <c r="G1549" s="17" t="n">
        <v>45810</v>
      </c>
      <c r="H1549" s="18" t="n">
        <v>6</v>
      </c>
      <c r="I1549" s="19" t="n">
        <v>284.4</v>
      </c>
      <c r="J1549" s="19" t="n">
        <v>245</v>
      </c>
      <c r="K1549" s="20" t="n">
        <v>1</v>
      </c>
      <c r="L1549" s="20" t="n">
        <v>0</v>
      </c>
      <c r="M1549" s="18" t="n">
        <v>0</v>
      </c>
      <c r="N1549" s="18" t="n">
        <v>0</v>
      </c>
      <c r="O1549" s="18" t="n">
        <v>0</v>
      </c>
      <c r="P1549" s="17" t="n"/>
      <c r="Q1549" s="17" t="n"/>
      <c r="R1549" s="17" t="n"/>
      <c r="S1549" s="19">
        <f>H1549*I1549</f>
        <v/>
      </c>
      <c r="T1549" s="19">
        <f>H1549*J1549</f>
        <v/>
      </c>
      <c r="U1549">
        <f>IF(AND(K1549=0,G1549&lt;=Assumptions!$C$6),1,0)</f>
        <v/>
      </c>
      <c r="V1549">
        <f>IF(U1549=1,IF(M1549&gt;0,IF(P1549&lt;=G1549+Assumptions!$C$7,1,0),0),0)</f>
        <v/>
      </c>
      <c r="W1549">
        <f>IF(AND(U1549=1,M1549&gt;=H1549*(1-Assumptions!$C$8)),1,0)</f>
        <v/>
      </c>
      <c r="X1549">
        <f>IF(AND(U1549=1,N1549&gt;=H1549*(1-Assumptions!$C$8)),1,0)</f>
        <v/>
      </c>
      <c r="Y1549">
        <f>IF(ISNUMBER(Q1549),1,0)</f>
        <v/>
      </c>
      <c r="Z1549">
        <f>IF(AND(K1549=0,L1549=0,Y1549=0),1,0)</f>
        <v/>
      </c>
      <c r="AA1549">
        <f>IF(AND(Z1549=1,G1549&lt;Assumptions!$C$6),1,0)</f>
        <v/>
      </c>
      <c r="AB1549">
        <f>IF(U1549=0,"",IF(Y1549=1,MAX(0,Q1549-G1549),IF(L1549=1,MAX(0,R1549-G1549),MAX(0,Assumptions!$C$6-G1549))))</f>
        <v/>
      </c>
      <c r="AC1549">
        <f>IF(Y1549=1,Q1549-F1549,"")</f>
        <v/>
      </c>
      <c r="AD1549">
        <f>IF(Y1549=1,AC1549^2,"")</f>
        <v/>
      </c>
      <c r="AE1549" s="19">
        <f>IF(Z1549=1,(H1549-M1549)*I1549,0)</f>
        <v/>
      </c>
      <c r="AF1549">
        <f>IF(G1549&lt;EDATE(Assumptions!$C$6,-12)+1,"prior_12m","last_12m")</f>
        <v/>
      </c>
      <c r="AG1549" s="21">
        <f>DATE(YEAR(G1549),MONTH(G1549),1)</f>
        <v/>
      </c>
    </row>
    <row r="1550">
      <c r="A1550" t="inlineStr">
        <is>
          <t>SPO-00842-2</t>
        </is>
      </c>
      <c r="B1550" t="inlineStr">
        <is>
          <t>SPO-00842</t>
        </is>
      </c>
      <c r="C1550" t="inlineStr">
        <is>
          <t>SUP-12</t>
        </is>
      </c>
      <c r="D1550" t="inlineStr">
        <is>
          <t>IT</t>
        </is>
      </c>
      <c r="E1550" t="inlineStr">
        <is>
          <t>IT-06</t>
        </is>
      </c>
      <c r="F1550" s="17" t="n">
        <v>45800</v>
      </c>
      <c r="G1550" s="17" t="n">
        <v>45810</v>
      </c>
      <c r="H1550" s="18" t="n">
        <v>8</v>
      </c>
      <c r="I1550" s="19" t="n">
        <v>98.81999999999999</v>
      </c>
      <c r="J1550" s="19" t="n">
        <v>89</v>
      </c>
      <c r="K1550" s="20" t="n">
        <v>0</v>
      </c>
      <c r="L1550" s="20" t="n">
        <v>0</v>
      </c>
      <c r="M1550" s="18" t="n">
        <v>8</v>
      </c>
      <c r="N1550" s="18" t="n">
        <v>8</v>
      </c>
      <c r="O1550" s="18" t="n">
        <v>0</v>
      </c>
      <c r="P1550" s="17" t="n">
        <v>45810</v>
      </c>
      <c r="Q1550" s="17" t="n">
        <v>45810</v>
      </c>
      <c r="R1550" s="17" t="n">
        <v>45810</v>
      </c>
      <c r="S1550" s="19">
        <f>H1550*I1550</f>
        <v/>
      </c>
      <c r="T1550" s="19">
        <f>H1550*J1550</f>
        <v/>
      </c>
      <c r="U1550">
        <f>IF(AND(K1550=0,G1550&lt;=Assumptions!$C$6),1,0)</f>
        <v/>
      </c>
      <c r="V1550">
        <f>IF(U1550=1,IF(M1550&gt;0,IF(P1550&lt;=G1550+Assumptions!$C$7,1,0),0),0)</f>
        <v/>
      </c>
      <c r="W1550">
        <f>IF(AND(U1550=1,M1550&gt;=H1550*(1-Assumptions!$C$8)),1,0)</f>
        <v/>
      </c>
      <c r="X1550">
        <f>IF(AND(U1550=1,N1550&gt;=H1550*(1-Assumptions!$C$8)),1,0)</f>
        <v/>
      </c>
      <c r="Y1550">
        <f>IF(ISNUMBER(Q1550),1,0)</f>
        <v/>
      </c>
      <c r="Z1550">
        <f>IF(AND(K1550=0,L1550=0,Y1550=0),1,0)</f>
        <v/>
      </c>
      <c r="AA1550">
        <f>IF(AND(Z1550=1,G1550&lt;Assumptions!$C$6),1,0)</f>
        <v/>
      </c>
      <c r="AB1550">
        <f>IF(U1550=0,"",IF(Y1550=1,MAX(0,Q1550-G1550),IF(L1550=1,MAX(0,R1550-G1550),MAX(0,Assumptions!$C$6-G1550))))</f>
        <v/>
      </c>
      <c r="AC1550">
        <f>IF(Y1550=1,Q1550-F1550,"")</f>
        <v/>
      </c>
      <c r="AD1550">
        <f>IF(Y1550=1,AC1550^2,"")</f>
        <v/>
      </c>
      <c r="AE1550" s="19">
        <f>IF(Z1550=1,(H1550-M1550)*I1550,0)</f>
        <v/>
      </c>
      <c r="AF1550">
        <f>IF(G1550&lt;EDATE(Assumptions!$C$6,-12)+1,"prior_12m","last_12m")</f>
        <v/>
      </c>
      <c r="AG1550" s="21">
        <f>DATE(YEAR(G1550),MONTH(G1550),1)</f>
        <v/>
      </c>
    </row>
    <row r="1551">
      <c r="A1551" t="inlineStr">
        <is>
          <t>SPO-00843-1</t>
        </is>
      </c>
      <c r="B1551" t="inlineStr">
        <is>
          <t>SPO-00843</t>
        </is>
      </c>
      <c r="C1551" t="inlineStr">
        <is>
          <t>SUP-12</t>
        </is>
      </c>
      <c r="D1551" t="inlineStr">
        <is>
          <t>IT</t>
        </is>
      </c>
      <c r="E1551" t="inlineStr">
        <is>
          <t>IT-06</t>
        </is>
      </c>
      <c r="F1551" s="17" t="n">
        <v>45800</v>
      </c>
      <c r="G1551" s="17" t="n">
        <v>45810</v>
      </c>
      <c r="H1551" s="18" t="n">
        <v>10</v>
      </c>
      <c r="I1551" s="19" t="n">
        <v>99.69</v>
      </c>
      <c r="J1551" s="19" t="n">
        <v>89</v>
      </c>
      <c r="K1551" s="20" t="n">
        <v>0</v>
      </c>
      <c r="L1551" s="20" t="n">
        <v>0</v>
      </c>
      <c r="M1551" s="18" t="n">
        <v>10</v>
      </c>
      <c r="N1551" s="18" t="n">
        <v>10</v>
      </c>
      <c r="O1551" s="18" t="n">
        <v>0</v>
      </c>
      <c r="P1551" s="17" t="n">
        <v>45809</v>
      </c>
      <c r="Q1551" s="17" t="n">
        <v>45809</v>
      </c>
      <c r="R1551" s="17" t="n">
        <v>45809</v>
      </c>
      <c r="S1551" s="19">
        <f>H1551*I1551</f>
        <v/>
      </c>
      <c r="T1551" s="19">
        <f>H1551*J1551</f>
        <v/>
      </c>
      <c r="U1551">
        <f>IF(AND(K1551=0,G1551&lt;=Assumptions!$C$6),1,0)</f>
        <v/>
      </c>
      <c r="V1551">
        <f>IF(U1551=1,IF(M1551&gt;0,IF(P1551&lt;=G1551+Assumptions!$C$7,1,0),0),0)</f>
        <v/>
      </c>
      <c r="W1551">
        <f>IF(AND(U1551=1,M1551&gt;=H1551*(1-Assumptions!$C$8)),1,0)</f>
        <v/>
      </c>
      <c r="X1551">
        <f>IF(AND(U1551=1,N1551&gt;=H1551*(1-Assumptions!$C$8)),1,0)</f>
        <v/>
      </c>
      <c r="Y1551">
        <f>IF(ISNUMBER(Q1551),1,0)</f>
        <v/>
      </c>
      <c r="Z1551">
        <f>IF(AND(K1551=0,L1551=0,Y1551=0),1,0)</f>
        <v/>
      </c>
      <c r="AA1551">
        <f>IF(AND(Z1551=1,G1551&lt;Assumptions!$C$6),1,0)</f>
        <v/>
      </c>
      <c r="AB1551">
        <f>IF(U1551=0,"",IF(Y1551=1,MAX(0,Q1551-G1551),IF(L1551=1,MAX(0,R1551-G1551),MAX(0,Assumptions!$C$6-G1551))))</f>
        <v/>
      </c>
      <c r="AC1551">
        <f>IF(Y1551=1,Q1551-F1551,"")</f>
        <v/>
      </c>
      <c r="AD1551">
        <f>IF(Y1551=1,AC1551^2,"")</f>
        <v/>
      </c>
      <c r="AE1551" s="19">
        <f>IF(Z1551=1,(H1551-M1551)*I1551,0)</f>
        <v/>
      </c>
      <c r="AF1551">
        <f>IF(G1551&lt;EDATE(Assumptions!$C$6,-12)+1,"prior_12m","last_12m")</f>
        <v/>
      </c>
      <c r="AG1551" s="21">
        <f>DATE(YEAR(G1551),MONTH(G1551),1)</f>
        <v/>
      </c>
    </row>
    <row r="1552">
      <c r="A1552" t="inlineStr">
        <is>
          <t>SPO-00844-1</t>
        </is>
      </c>
      <c r="B1552" t="inlineStr">
        <is>
          <t>SPO-00844</t>
        </is>
      </c>
      <c r="C1552" t="inlineStr">
        <is>
          <t>SUP-01</t>
        </is>
      </c>
      <c r="D1552" t="inlineStr">
        <is>
          <t>ELEC</t>
        </is>
      </c>
      <c r="E1552" t="inlineStr">
        <is>
          <t>ELEC-08</t>
        </is>
      </c>
      <c r="F1552" s="17" t="n">
        <v>45801</v>
      </c>
      <c r="G1552" s="17" t="n">
        <v>45819</v>
      </c>
      <c r="H1552" s="18" t="n">
        <v>95</v>
      </c>
      <c r="I1552" s="19" t="n">
        <v>17.84</v>
      </c>
      <c r="J1552" s="19" t="n">
        <v>18</v>
      </c>
      <c r="K1552" s="20" t="n">
        <v>0</v>
      </c>
      <c r="L1552" s="20" t="n">
        <v>0</v>
      </c>
      <c r="M1552" s="18" t="n">
        <v>95</v>
      </c>
      <c r="N1552" s="18" t="n">
        <v>95</v>
      </c>
      <c r="O1552" s="18" t="n">
        <v>0</v>
      </c>
      <c r="P1552" s="17" t="n">
        <v>45817</v>
      </c>
      <c r="Q1552" s="17" t="n">
        <v>45817</v>
      </c>
      <c r="R1552" s="17" t="n">
        <v>45817</v>
      </c>
      <c r="S1552" s="19">
        <f>H1552*I1552</f>
        <v/>
      </c>
      <c r="T1552" s="19">
        <f>H1552*J1552</f>
        <v/>
      </c>
      <c r="U1552">
        <f>IF(AND(K1552=0,G1552&lt;=Assumptions!$C$6),1,0)</f>
        <v/>
      </c>
      <c r="V1552">
        <f>IF(U1552=1,IF(M1552&gt;0,IF(P1552&lt;=G1552+Assumptions!$C$7,1,0),0),0)</f>
        <v/>
      </c>
      <c r="W1552">
        <f>IF(AND(U1552=1,M1552&gt;=H1552*(1-Assumptions!$C$8)),1,0)</f>
        <v/>
      </c>
      <c r="X1552">
        <f>IF(AND(U1552=1,N1552&gt;=H1552*(1-Assumptions!$C$8)),1,0)</f>
        <v/>
      </c>
      <c r="Y1552">
        <f>IF(ISNUMBER(Q1552),1,0)</f>
        <v/>
      </c>
      <c r="Z1552">
        <f>IF(AND(K1552=0,L1552=0,Y1552=0),1,0)</f>
        <v/>
      </c>
      <c r="AA1552">
        <f>IF(AND(Z1552=1,G1552&lt;Assumptions!$C$6),1,0)</f>
        <v/>
      </c>
      <c r="AB1552">
        <f>IF(U1552=0,"",IF(Y1552=1,MAX(0,Q1552-G1552),IF(L1552=1,MAX(0,R1552-G1552),MAX(0,Assumptions!$C$6-G1552))))</f>
        <v/>
      </c>
      <c r="AC1552">
        <f>IF(Y1552=1,Q1552-F1552,"")</f>
        <v/>
      </c>
      <c r="AD1552">
        <f>IF(Y1552=1,AC1552^2,"")</f>
        <v/>
      </c>
      <c r="AE1552" s="19">
        <f>IF(Z1552=1,(H1552-M1552)*I1552,0)</f>
        <v/>
      </c>
      <c r="AF1552">
        <f>IF(G1552&lt;EDATE(Assumptions!$C$6,-12)+1,"prior_12m","last_12m")</f>
        <v/>
      </c>
      <c r="AG1552" s="21">
        <f>DATE(YEAR(G1552),MONTH(G1552),1)</f>
        <v/>
      </c>
    </row>
    <row r="1553">
      <c r="A1553" t="inlineStr">
        <is>
          <t>SPO-00844-2</t>
        </is>
      </c>
      <c r="B1553" t="inlineStr">
        <is>
          <t>SPO-00844</t>
        </is>
      </c>
      <c r="C1553" t="inlineStr">
        <is>
          <t>SUP-01</t>
        </is>
      </c>
      <c r="D1553" t="inlineStr">
        <is>
          <t>ELEC</t>
        </is>
      </c>
      <c r="E1553" t="inlineStr">
        <is>
          <t>ELEC-05</t>
        </is>
      </c>
      <c r="F1553" s="17" t="n">
        <v>45801</v>
      </c>
      <c r="G1553" s="17" t="n">
        <v>45819</v>
      </c>
      <c r="H1553" s="18" t="n">
        <v>233</v>
      </c>
      <c r="I1553" s="19" t="n">
        <v>11.88</v>
      </c>
      <c r="J1553" s="19" t="n">
        <v>11.5</v>
      </c>
      <c r="K1553" s="20" t="n">
        <v>0</v>
      </c>
      <c r="L1553" s="20" t="n">
        <v>0</v>
      </c>
      <c r="M1553" s="18" t="n">
        <v>233</v>
      </c>
      <c r="N1553" s="18" t="n">
        <v>163</v>
      </c>
      <c r="O1553" s="18" t="n">
        <v>0</v>
      </c>
      <c r="P1553" s="17" t="n">
        <v>45815</v>
      </c>
      <c r="Q1553" s="17" t="n">
        <v>45835</v>
      </c>
      <c r="R1553" s="17" t="n">
        <v>45835</v>
      </c>
      <c r="S1553" s="19">
        <f>H1553*I1553</f>
        <v/>
      </c>
      <c r="T1553" s="19">
        <f>H1553*J1553</f>
        <v/>
      </c>
      <c r="U1553">
        <f>IF(AND(K1553=0,G1553&lt;=Assumptions!$C$6),1,0)</f>
        <v/>
      </c>
      <c r="V1553">
        <f>IF(U1553=1,IF(M1553&gt;0,IF(P1553&lt;=G1553+Assumptions!$C$7,1,0),0),0)</f>
        <v/>
      </c>
      <c r="W1553">
        <f>IF(AND(U1553=1,M1553&gt;=H1553*(1-Assumptions!$C$8)),1,0)</f>
        <v/>
      </c>
      <c r="X1553">
        <f>IF(AND(U1553=1,N1553&gt;=H1553*(1-Assumptions!$C$8)),1,0)</f>
        <v/>
      </c>
      <c r="Y1553">
        <f>IF(ISNUMBER(Q1553),1,0)</f>
        <v/>
      </c>
      <c r="Z1553">
        <f>IF(AND(K1553=0,L1553=0,Y1553=0),1,0)</f>
        <v/>
      </c>
      <c r="AA1553">
        <f>IF(AND(Z1553=1,G1553&lt;Assumptions!$C$6),1,0)</f>
        <v/>
      </c>
      <c r="AB1553">
        <f>IF(U1553=0,"",IF(Y1553=1,MAX(0,Q1553-G1553),IF(L1553=1,MAX(0,R1553-G1553),MAX(0,Assumptions!$C$6-G1553))))</f>
        <v/>
      </c>
      <c r="AC1553">
        <f>IF(Y1553=1,Q1553-F1553,"")</f>
        <v/>
      </c>
      <c r="AD1553">
        <f>IF(Y1553=1,AC1553^2,"")</f>
        <v/>
      </c>
      <c r="AE1553" s="19">
        <f>IF(Z1553=1,(H1553-M1553)*I1553,0)</f>
        <v/>
      </c>
      <c r="AF1553">
        <f>IF(G1553&lt;EDATE(Assumptions!$C$6,-12)+1,"prior_12m","last_12m")</f>
        <v/>
      </c>
      <c r="AG1553" s="21">
        <f>DATE(YEAR(G1553),MONTH(G1553),1)</f>
        <v/>
      </c>
    </row>
    <row r="1554">
      <c r="A1554" t="inlineStr">
        <is>
          <t>SPO-00844-3</t>
        </is>
      </c>
      <c r="B1554" t="inlineStr">
        <is>
          <t>SPO-00844</t>
        </is>
      </c>
      <c r="C1554" t="inlineStr">
        <is>
          <t>SUP-01</t>
        </is>
      </c>
      <c r="D1554" t="inlineStr">
        <is>
          <t>ELEC</t>
        </is>
      </c>
      <c r="E1554" t="inlineStr">
        <is>
          <t>ELEC-04</t>
        </is>
      </c>
      <c r="F1554" s="17" t="n">
        <v>45801</v>
      </c>
      <c r="G1554" s="17" t="n">
        <v>45819</v>
      </c>
      <c r="H1554" s="18" t="n">
        <v>15</v>
      </c>
      <c r="I1554" s="19" t="n">
        <v>74.48</v>
      </c>
      <c r="J1554" s="19" t="n">
        <v>72</v>
      </c>
      <c r="K1554" s="20" t="n">
        <v>0</v>
      </c>
      <c r="L1554" s="20" t="n">
        <v>0</v>
      </c>
      <c r="M1554" s="18" t="n">
        <v>15</v>
      </c>
      <c r="N1554" s="18" t="n">
        <v>15</v>
      </c>
      <c r="O1554" s="18" t="n">
        <v>0</v>
      </c>
      <c r="P1554" s="17" t="n">
        <v>45816</v>
      </c>
      <c r="Q1554" s="17" t="n">
        <v>45816</v>
      </c>
      <c r="R1554" s="17" t="n">
        <v>45816</v>
      </c>
      <c r="S1554" s="19">
        <f>H1554*I1554</f>
        <v/>
      </c>
      <c r="T1554" s="19">
        <f>H1554*J1554</f>
        <v/>
      </c>
      <c r="U1554">
        <f>IF(AND(K1554=0,G1554&lt;=Assumptions!$C$6),1,0)</f>
        <v/>
      </c>
      <c r="V1554">
        <f>IF(U1554=1,IF(M1554&gt;0,IF(P1554&lt;=G1554+Assumptions!$C$7,1,0),0),0)</f>
        <v/>
      </c>
      <c r="W1554">
        <f>IF(AND(U1554=1,M1554&gt;=H1554*(1-Assumptions!$C$8)),1,0)</f>
        <v/>
      </c>
      <c r="X1554">
        <f>IF(AND(U1554=1,N1554&gt;=H1554*(1-Assumptions!$C$8)),1,0)</f>
        <v/>
      </c>
      <c r="Y1554">
        <f>IF(ISNUMBER(Q1554),1,0)</f>
        <v/>
      </c>
      <c r="Z1554">
        <f>IF(AND(K1554=0,L1554=0,Y1554=0),1,0)</f>
        <v/>
      </c>
      <c r="AA1554">
        <f>IF(AND(Z1554=1,G1554&lt;Assumptions!$C$6),1,0)</f>
        <v/>
      </c>
      <c r="AB1554">
        <f>IF(U1554=0,"",IF(Y1554=1,MAX(0,Q1554-G1554),IF(L1554=1,MAX(0,R1554-G1554),MAX(0,Assumptions!$C$6-G1554))))</f>
        <v/>
      </c>
      <c r="AC1554">
        <f>IF(Y1554=1,Q1554-F1554,"")</f>
        <v/>
      </c>
      <c r="AD1554">
        <f>IF(Y1554=1,AC1554^2,"")</f>
        <v/>
      </c>
      <c r="AE1554" s="19">
        <f>IF(Z1554=1,(H1554-M1554)*I1554,0)</f>
        <v/>
      </c>
      <c r="AF1554">
        <f>IF(G1554&lt;EDATE(Assumptions!$C$6,-12)+1,"prior_12m","last_12m")</f>
        <v/>
      </c>
      <c r="AG1554" s="21">
        <f>DATE(YEAR(G1554),MONTH(G1554),1)</f>
        <v/>
      </c>
    </row>
    <row r="1555">
      <c r="A1555" t="inlineStr">
        <is>
          <t>SPO-00845-1</t>
        </is>
      </c>
      <c r="B1555" t="inlineStr">
        <is>
          <t>SPO-00845</t>
        </is>
      </c>
      <c r="C1555" t="inlineStr">
        <is>
          <t>SUP-01</t>
        </is>
      </c>
      <c r="D1555" t="inlineStr">
        <is>
          <t>ELEC</t>
        </is>
      </c>
      <c r="E1555" t="inlineStr">
        <is>
          <t>ELEC-07</t>
        </is>
      </c>
      <c r="F1555" s="17" t="n">
        <v>45801</v>
      </c>
      <c r="G1555" s="17" t="n">
        <v>45819</v>
      </c>
      <c r="H1555" s="18" t="n">
        <v>658</v>
      </c>
      <c r="I1555" s="19" t="n">
        <v>9.6</v>
      </c>
      <c r="J1555" s="19" t="n">
        <v>9.800000000000001</v>
      </c>
      <c r="K1555" s="20" t="n">
        <v>0</v>
      </c>
      <c r="L1555" s="20" t="n">
        <v>0</v>
      </c>
      <c r="M1555" s="18" t="n">
        <v>658</v>
      </c>
      <c r="N1555" s="18" t="n">
        <v>658</v>
      </c>
      <c r="O1555" s="18" t="n">
        <v>0</v>
      </c>
      <c r="P1555" s="17" t="n">
        <v>45818</v>
      </c>
      <c r="Q1555" s="17" t="n">
        <v>45818</v>
      </c>
      <c r="R1555" s="17" t="n">
        <v>45818</v>
      </c>
      <c r="S1555" s="19">
        <f>H1555*I1555</f>
        <v/>
      </c>
      <c r="T1555" s="19">
        <f>H1555*J1555</f>
        <v/>
      </c>
      <c r="U1555">
        <f>IF(AND(K1555=0,G1555&lt;=Assumptions!$C$6),1,0)</f>
        <v/>
      </c>
      <c r="V1555">
        <f>IF(U1555=1,IF(M1555&gt;0,IF(P1555&lt;=G1555+Assumptions!$C$7,1,0),0),0)</f>
        <v/>
      </c>
      <c r="W1555">
        <f>IF(AND(U1555=1,M1555&gt;=H1555*(1-Assumptions!$C$8)),1,0)</f>
        <v/>
      </c>
      <c r="X1555">
        <f>IF(AND(U1555=1,N1555&gt;=H1555*(1-Assumptions!$C$8)),1,0)</f>
        <v/>
      </c>
      <c r="Y1555">
        <f>IF(ISNUMBER(Q1555),1,0)</f>
        <v/>
      </c>
      <c r="Z1555">
        <f>IF(AND(K1555=0,L1555=0,Y1555=0),1,0)</f>
        <v/>
      </c>
      <c r="AA1555">
        <f>IF(AND(Z1555=1,G1555&lt;Assumptions!$C$6),1,0)</f>
        <v/>
      </c>
      <c r="AB1555">
        <f>IF(U1555=0,"",IF(Y1555=1,MAX(0,Q1555-G1555),IF(L1555=1,MAX(0,R1555-G1555),MAX(0,Assumptions!$C$6-G1555))))</f>
        <v/>
      </c>
      <c r="AC1555">
        <f>IF(Y1555=1,Q1555-F1555,"")</f>
        <v/>
      </c>
      <c r="AD1555">
        <f>IF(Y1555=1,AC1555^2,"")</f>
        <v/>
      </c>
      <c r="AE1555" s="19">
        <f>IF(Z1555=1,(H1555-M1555)*I1555,0)</f>
        <v/>
      </c>
      <c r="AF1555">
        <f>IF(G1555&lt;EDATE(Assumptions!$C$6,-12)+1,"prior_12m","last_12m")</f>
        <v/>
      </c>
      <c r="AG1555" s="21">
        <f>DATE(YEAR(G1555),MONTH(G1555),1)</f>
        <v/>
      </c>
    </row>
    <row r="1556">
      <c r="A1556" t="inlineStr">
        <is>
          <t>SPO-00845-2</t>
        </is>
      </c>
      <c r="B1556" t="inlineStr">
        <is>
          <t>SPO-00845</t>
        </is>
      </c>
      <c r="C1556" t="inlineStr">
        <is>
          <t>SUP-01</t>
        </is>
      </c>
      <c r="D1556" t="inlineStr">
        <is>
          <t>ELEC</t>
        </is>
      </c>
      <c r="E1556" t="inlineStr">
        <is>
          <t>ELEC-03</t>
        </is>
      </c>
      <c r="F1556" s="17" t="n">
        <v>45801</v>
      </c>
      <c r="G1556" s="17" t="n">
        <v>45819</v>
      </c>
      <c r="H1556" s="18" t="n">
        <v>22</v>
      </c>
      <c r="I1556" s="19" t="n">
        <v>95.66</v>
      </c>
      <c r="J1556" s="19" t="n">
        <v>96</v>
      </c>
      <c r="K1556" s="20" t="n">
        <v>0</v>
      </c>
      <c r="L1556" s="20" t="n">
        <v>0</v>
      </c>
      <c r="M1556" s="18" t="n">
        <v>22</v>
      </c>
      <c r="N1556" s="18" t="n">
        <v>22</v>
      </c>
      <c r="O1556" s="18" t="n">
        <v>0</v>
      </c>
      <c r="P1556" s="17" t="n">
        <v>45817</v>
      </c>
      <c r="Q1556" s="17" t="n">
        <v>45817</v>
      </c>
      <c r="R1556" s="17" t="n">
        <v>45817</v>
      </c>
      <c r="S1556" s="19">
        <f>H1556*I1556</f>
        <v/>
      </c>
      <c r="T1556" s="19">
        <f>H1556*J1556</f>
        <v/>
      </c>
      <c r="U1556">
        <f>IF(AND(K1556=0,G1556&lt;=Assumptions!$C$6),1,0)</f>
        <v/>
      </c>
      <c r="V1556">
        <f>IF(U1556=1,IF(M1556&gt;0,IF(P1556&lt;=G1556+Assumptions!$C$7,1,0),0),0)</f>
        <v/>
      </c>
      <c r="W1556">
        <f>IF(AND(U1556=1,M1556&gt;=H1556*(1-Assumptions!$C$8)),1,0)</f>
        <v/>
      </c>
      <c r="X1556">
        <f>IF(AND(U1556=1,N1556&gt;=H1556*(1-Assumptions!$C$8)),1,0)</f>
        <v/>
      </c>
      <c r="Y1556">
        <f>IF(ISNUMBER(Q1556),1,0)</f>
        <v/>
      </c>
      <c r="Z1556">
        <f>IF(AND(K1556=0,L1556=0,Y1556=0),1,0)</f>
        <v/>
      </c>
      <c r="AA1556">
        <f>IF(AND(Z1556=1,G1556&lt;Assumptions!$C$6),1,0)</f>
        <v/>
      </c>
      <c r="AB1556">
        <f>IF(U1556=0,"",IF(Y1556=1,MAX(0,Q1556-G1556),IF(L1556=1,MAX(0,R1556-G1556),MAX(0,Assumptions!$C$6-G1556))))</f>
        <v/>
      </c>
      <c r="AC1556">
        <f>IF(Y1556=1,Q1556-F1556,"")</f>
        <v/>
      </c>
      <c r="AD1556">
        <f>IF(Y1556=1,AC1556^2,"")</f>
        <v/>
      </c>
      <c r="AE1556" s="19">
        <f>IF(Z1556=1,(H1556-M1556)*I1556,0)</f>
        <v/>
      </c>
      <c r="AF1556">
        <f>IF(G1556&lt;EDATE(Assumptions!$C$6,-12)+1,"prior_12m","last_12m")</f>
        <v/>
      </c>
      <c r="AG1556" s="21">
        <f>DATE(YEAR(G1556),MONTH(G1556),1)</f>
        <v/>
      </c>
    </row>
    <row r="1557">
      <c r="A1557" t="inlineStr">
        <is>
          <t>SPO-00845-3</t>
        </is>
      </c>
      <c r="B1557" t="inlineStr">
        <is>
          <t>SPO-00845</t>
        </is>
      </c>
      <c r="C1557" t="inlineStr">
        <is>
          <t>SUP-01</t>
        </is>
      </c>
      <c r="D1557" t="inlineStr">
        <is>
          <t>ELEC</t>
        </is>
      </c>
      <c r="E1557" t="inlineStr">
        <is>
          <t>ELEC-08</t>
        </is>
      </c>
      <c r="F1557" s="17" t="n">
        <v>45801</v>
      </c>
      <c r="G1557" s="17" t="n">
        <v>45819</v>
      </c>
      <c r="H1557" s="18" t="n">
        <v>150</v>
      </c>
      <c r="I1557" s="19" t="n">
        <v>17.74</v>
      </c>
      <c r="J1557" s="19" t="n">
        <v>18</v>
      </c>
      <c r="K1557" s="20" t="n">
        <v>0</v>
      </c>
      <c r="L1557" s="20" t="n">
        <v>0</v>
      </c>
      <c r="M1557" s="18" t="n">
        <v>150</v>
      </c>
      <c r="N1557" s="18" t="n">
        <v>150</v>
      </c>
      <c r="O1557" s="18" t="n">
        <v>0</v>
      </c>
      <c r="P1557" s="17" t="n">
        <v>45818</v>
      </c>
      <c r="Q1557" s="17" t="n">
        <v>45818</v>
      </c>
      <c r="R1557" s="17" t="n">
        <v>45818</v>
      </c>
      <c r="S1557" s="19">
        <f>H1557*I1557</f>
        <v/>
      </c>
      <c r="T1557" s="19">
        <f>H1557*J1557</f>
        <v/>
      </c>
      <c r="U1557">
        <f>IF(AND(K1557=0,G1557&lt;=Assumptions!$C$6),1,0)</f>
        <v/>
      </c>
      <c r="V1557">
        <f>IF(U1557=1,IF(M1557&gt;0,IF(P1557&lt;=G1557+Assumptions!$C$7,1,0),0),0)</f>
        <v/>
      </c>
      <c r="W1557">
        <f>IF(AND(U1557=1,M1557&gt;=H1557*(1-Assumptions!$C$8)),1,0)</f>
        <v/>
      </c>
      <c r="X1557">
        <f>IF(AND(U1557=1,N1557&gt;=H1557*(1-Assumptions!$C$8)),1,0)</f>
        <v/>
      </c>
      <c r="Y1557">
        <f>IF(ISNUMBER(Q1557),1,0)</f>
        <v/>
      </c>
      <c r="Z1557">
        <f>IF(AND(K1557=0,L1557=0,Y1557=0),1,0)</f>
        <v/>
      </c>
      <c r="AA1557">
        <f>IF(AND(Z1557=1,G1557&lt;Assumptions!$C$6),1,0)</f>
        <v/>
      </c>
      <c r="AB1557">
        <f>IF(U1557=0,"",IF(Y1557=1,MAX(0,Q1557-G1557),IF(L1557=1,MAX(0,R1557-G1557),MAX(0,Assumptions!$C$6-G1557))))</f>
        <v/>
      </c>
      <c r="AC1557">
        <f>IF(Y1557=1,Q1557-F1557,"")</f>
        <v/>
      </c>
      <c r="AD1557">
        <f>IF(Y1557=1,AC1557^2,"")</f>
        <v/>
      </c>
      <c r="AE1557" s="19">
        <f>IF(Z1557=1,(H1557-M1557)*I1557,0)</f>
        <v/>
      </c>
      <c r="AF1557">
        <f>IF(G1557&lt;EDATE(Assumptions!$C$6,-12)+1,"prior_12m","last_12m")</f>
        <v/>
      </c>
      <c r="AG1557" s="21">
        <f>DATE(YEAR(G1557),MONTH(G1557),1)</f>
        <v/>
      </c>
    </row>
    <row r="1558">
      <c r="A1558" t="inlineStr">
        <is>
          <t>SPO-00846-1</t>
        </is>
      </c>
      <c r="B1558" t="inlineStr">
        <is>
          <t>SPO-00846</t>
        </is>
      </c>
      <c r="C1558" t="inlineStr">
        <is>
          <t>SUP-14</t>
        </is>
      </c>
      <c r="D1558" t="inlineStr">
        <is>
          <t>FLEET</t>
        </is>
      </c>
      <c r="E1558" t="inlineStr">
        <is>
          <t>FLEET-01</t>
        </is>
      </c>
      <c r="F1558" s="17" t="n">
        <v>45801</v>
      </c>
      <c r="G1558" s="17" t="n">
        <v>45815</v>
      </c>
      <c r="H1558" s="18" t="n">
        <v>31</v>
      </c>
      <c r="I1558" s="19" t="n">
        <v>62.04</v>
      </c>
      <c r="J1558" s="19" t="n">
        <v>64</v>
      </c>
      <c r="K1558" s="20" t="n">
        <v>0</v>
      </c>
      <c r="L1558" s="20" t="n">
        <v>0</v>
      </c>
      <c r="M1558" s="18" t="n">
        <v>31</v>
      </c>
      <c r="N1558" s="18" t="n">
        <v>31</v>
      </c>
      <c r="O1558" s="18" t="n">
        <v>0</v>
      </c>
      <c r="P1558" s="17" t="n">
        <v>45814</v>
      </c>
      <c r="Q1558" s="17" t="n">
        <v>45814</v>
      </c>
      <c r="R1558" s="17" t="n">
        <v>45814</v>
      </c>
      <c r="S1558" s="19">
        <f>H1558*I1558</f>
        <v/>
      </c>
      <c r="T1558" s="19">
        <f>H1558*J1558</f>
        <v/>
      </c>
      <c r="U1558">
        <f>IF(AND(K1558=0,G1558&lt;=Assumptions!$C$6),1,0)</f>
        <v/>
      </c>
      <c r="V1558">
        <f>IF(U1558=1,IF(M1558&gt;0,IF(P1558&lt;=G1558+Assumptions!$C$7,1,0),0),0)</f>
        <v/>
      </c>
      <c r="W1558">
        <f>IF(AND(U1558=1,M1558&gt;=H1558*(1-Assumptions!$C$8)),1,0)</f>
        <v/>
      </c>
      <c r="X1558">
        <f>IF(AND(U1558=1,N1558&gt;=H1558*(1-Assumptions!$C$8)),1,0)</f>
        <v/>
      </c>
      <c r="Y1558">
        <f>IF(ISNUMBER(Q1558),1,0)</f>
        <v/>
      </c>
      <c r="Z1558">
        <f>IF(AND(K1558=0,L1558=0,Y1558=0),1,0)</f>
        <v/>
      </c>
      <c r="AA1558">
        <f>IF(AND(Z1558=1,G1558&lt;Assumptions!$C$6),1,0)</f>
        <v/>
      </c>
      <c r="AB1558">
        <f>IF(U1558=0,"",IF(Y1558=1,MAX(0,Q1558-G1558),IF(L1558=1,MAX(0,R1558-G1558),MAX(0,Assumptions!$C$6-G1558))))</f>
        <v/>
      </c>
      <c r="AC1558">
        <f>IF(Y1558=1,Q1558-F1558,"")</f>
        <v/>
      </c>
      <c r="AD1558">
        <f>IF(Y1558=1,AC1558^2,"")</f>
        <v/>
      </c>
      <c r="AE1558" s="19">
        <f>IF(Z1558=1,(H1558-M1558)*I1558,0)</f>
        <v/>
      </c>
      <c r="AF1558">
        <f>IF(G1558&lt;EDATE(Assumptions!$C$6,-12)+1,"prior_12m","last_12m")</f>
        <v/>
      </c>
      <c r="AG1558" s="21">
        <f>DATE(YEAR(G1558),MONTH(G1558),1)</f>
        <v/>
      </c>
    </row>
    <row r="1559">
      <c r="A1559" t="inlineStr">
        <is>
          <t>SPO-00847-1</t>
        </is>
      </c>
      <c r="B1559" t="inlineStr">
        <is>
          <t>SPO-00847</t>
        </is>
      </c>
      <c r="C1559" t="inlineStr">
        <is>
          <t>SUP-10</t>
        </is>
      </c>
      <c r="D1559" t="inlineStr">
        <is>
          <t>PPE</t>
        </is>
      </c>
      <c r="E1559" t="inlineStr">
        <is>
          <t>PPE-04</t>
        </is>
      </c>
      <c r="F1559" s="17" t="n">
        <v>45802</v>
      </c>
      <c r="G1559" s="17" t="n">
        <v>45815</v>
      </c>
      <c r="H1559" s="18" t="n">
        <v>103</v>
      </c>
      <c r="I1559" s="19" t="n">
        <v>25.39</v>
      </c>
      <c r="J1559" s="19" t="n">
        <v>26</v>
      </c>
      <c r="K1559" s="20" t="n">
        <v>0</v>
      </c>
      <c r="L1559" s="20" t="n">
        <v>0</v>
      </c>
      <c r="M1559" s="18" t="n">
        <v>103</v>
      </c>
      <c r="N1559" s="18" t="n">
        <v>103</v>
      </c>
      <c r="O1559" s="18" t="n">
        <v>0</v>
      </c>
      <c r="P1559" s="17" t="n">
        <v>45810</v>
      </c>
      <c r="Q1559" s="17" t="n">
        <v>45810</v>
      </c>
      <c r="R1559" s="17" t="n">
        <v>45810</v>
      </c>
      <c r="S1559" s="19">
        <f>H1559*I1559</f>
        <v/>
      </c>
      <c r="T1559" s="19">
        <f>H1559*J1559</f>
        <v/>
      </c>
      <c r="U1559">
        <f>IF(AND(K1559=0,G1559&lt;=Assumptions!$C$6),1,0)</f>
        <v/>
      </c>
      <c r="V1559">
        <f>IF(U1559=1,IF(M1559&gt;0,IF(P1559&lt;=G1559+Assumptions!$C$7,1,0),0),0)</f>
        <v/>
      </c>
      <c r="W1559">
        <f>IF(AND(U1559=1,M1559&gt;=H1559*(1-Assumptions!$C$8)),1,0)</f>
        <v/>
      </c>
      <c r="X1559">
        <f>IF(AND(U1559=1,N1559&gt;=H1559*(1-Assumptions!$C$8)),1,0)</f>
        <v/>
      </c>
      <c r="Y1559">
        <f>IF(ISNUMBER(Q1559),1,0)</f>
        <v/>
      </c>
      <c r="Z1559">
        <f>IF(AND(K1559=0,L1559=0,Y1559=0),1,0)</f>
        <v/>
      </c>
      <c r="AA1559">
        <f>IF(AND(Z1559=1,G1559&lt;Assumptions!$C$6),1,0)</f>
        <v/>
      </c>
      <c r="AB1559">
        <f>IF(U1559=0,"",IF(Y1559=1,MAX(0,Q1559-G1559),IF(L1559=1,MAX(0,R1559-G1559),MAX(0,Assumptions!$C$6-G1559))))</f>
        <v/>
      </c>
      <c r="AC1559">
        <f>IF(Y1559=1,Q1559-F1559,"")</f>
        <v/>
      </c>
      <c r="AD1559">
        <f>IF(Y1559=1,AC1559^2,"")</f>
        <v/>
      </c>
      <c r="AE1559" s="19">
        <f>IF(Z1559=1,(H1559-M1559)*I1559,0)</f>
        <v/>
      </c>
      <c r="AF1559">
        <f>IF(G1559&lt;EDATE(Assumptions!$C$6,-12)+1,"prior_12m","last_12m")</f>
        <v/>
      </c>
      <c r="AG1559" s="21">
        <f>DATE(YEAR(G1559),MONTH(G1559),1)</f>
        <v/>
      </c>
    </row>
    <row r="1560">
      <c r="A1560" t="inlineStr">
        <is>
          <t>SPO-00848-1</t>
        </is>
      </c>
      <c r="B1560" t="inlineStr">
        <is>
          <t>SPO-00848</t>
        </is>
      </c>
      <c r="C1560" t="inlineStr">
        <is>
          <t>SUP-08</t>
        </is>
      </c>
      <c r="D1560" t="inlineStr">
        <is>
          <t>MRO</t>
        </is>
      </c>
      <c r="E1560" t="inlineStr">
        <is>
          <t>MRO-01</t>
        </is>
      </c>
      <c r="F1560" s="17" t="n">
        <v>45802</v>
      </c>
      <c r="G1560" s="17" t="n">
        <v>45813</v>
      </c>
      <c r="H1560" s="18" t="n">
        <v>65</v>
      </c>
      <c r="I1560" s="19" t="n">
        <v>50.06</v>
      </c>
      <c r="J1560" s="19" t="n">
        <v>52</v>
      </c>
      <c r="K1560" s="20" t="n">
        <v>0</v>
      </c>
      <c r="L1560" s="20" t="n">
        <v>0</v>
      </c>
      <c r="M1560" s="18" t="n">
        <v>65</v>
      </c>
      <c r="N1560" s="18" t="n">
        <v>65</v>
      </c>
      <c r="O1560" s="18" t="n">
        <v>0</v>
      </c>
      <c r="P1560" s="17" t="n">
        <v>45810</v>
      </c>
      <c r="Q1560" s="17" t="n">
        <v>45810</v>
      </c>
      <c r="R1560" s="17" t="n">
        <v>45810</v>
      </c>
      <c r="S1560" s="19">
        <f>H1560*I1560</f>
        <v/>
      </c>
      <c r="T1560" s="19">
        <f>H1560*J1560</f>
        <v/>
      </c>
      <c r="U1560">
        <f>IF(AND(K1560=0,G1560&lt;=Assumptions!$C$6),1,0)</f>
        <v/>
      </c>
      <c r="V1560">
        <f>IF(U1560=1,IF(M1560&gt;0,IF(P1560&lt;=G1560+Assumptions!$C$7,1,0),0),0)</f>
        <v/>
      </c>
      <c r="W1560">
        <f>IF(AND(U1560=1,M1560&gt;=H1560*(1-Assumptions!$C$8)),1,0)</f>
        <v/>
      </c>
      <c r="X1560">
        <f>IF(AND(U1560=1,N1560&gt;=H1560*(1-Assumptions!$C$8)),1,0)</f>
        <v/>
      </c>
      <c r="Y1560">
        <f>IF(ISNUMBER(Q1560),1,0)</f>
        <v/>
      </c>
      <c r="Z1560">
        <f>IF(AND(K1560=0,L1560=0,Y1560=0),1,0)</f>
        <v/>
      </c>
      <c r="AA1560">
        <f>IF(AND(Z1560=1,G1560&lt;Assumptions!$C$6),1,0)</f>
        <v/>
      </c>
      <c r="AB1560">
        <f>IF(U1560=0,"",IF(Y1560=1,MAX(0,Q1560-G1560),IF(L1560=1,MAX(0,R1560-G1560),MAX(0,Assumptions!$C$6-G1560))))</f>
        <v/>
      </c>
      <c r="AC1560">
        <f>IF(Y1560=1,Q1560-F1560,"")</f>
        <v/>
      </c>
      <c r="AD1560">
        <f>IF(Y1560=1,AC1560^2,"")</f>
        <v/>
      </c>
      <c r="AE1560" s="19">
        <f>IF(Z1560=1,(H1560-M1560)*I1560,0)</f>
        <v/>
      </c>
      <c r="AF1560">
        <f>IF(G1560&lt;EDATE(Assumptions!$C$6,-12)+1,"prior_12m","last_12m")</f>
        <v/>
      </c>
      <c r="AG1560" s="21">
        <f>DATE(YEAR(G1560),MONTH(G1560),1)</f>
        <v/>
      </c>
    </row>
    <row r="1561">
      <c r="A1561" t="inlineStr">
        <is>
          <t>SPO-00849-1</t>
        </is>
      </c>
      <c r="B1561" t="inlineStr">
        <is>
          <t>SPO-00849</t>
        </is>
      </c>
      <c r="C1561" t="inlineStr">
        <is>
          <t>SUP-10</t>
        </is>
      </c>
      <c r="D1561" t="inlineStr">
        <is>
          <t>PPE</t>
        </is>
      </c>
      <c r="E1561" t="inlineStr">
        <is>
          <t>PPE-03</t>
        </is>
      </c>
      <c r="F1561" s="17" t="n">
        <v>45803</v>
      </c>
      <c r="G1561" s="17" t="n">
        <v>45816</v>
      </c>
      <c r="H1561" s="18" t="n">
        <v>67</v>
      </c>
      <c r="I1561" s="19" t="n">
        <v>19.34</v>
      </c>
      <c r="J1561" s="19" t="n">
        <v>21</v>
      </c>
      <c r="K1561" s="20" t="n">
        <v>0</v>
      </c>
      <c r="L1561" s="20" t="n">
        <v>0</v>
      </c>
      <c r="M1561" s="18" t="n">
        <v>67</v>
      </c>
      <c r="N1561" s="18" t="n">
        <v>67</v>
      </c>
      <c r="O1561" s="18" t="n">
        <v>0</v>
      </c>
      <c r="P1561" s="17" t="n">
        <v>45813</v>
      </c>
      <c r="Q1561" s="17" t="n">
        <v>45813</v>
      </c>
      <c r="R1561" s="17" t="n">
        <v>45813</v>
      </c>
      <c r="S1561" s="19">
        <f>H1561*I1561</f>
        <v/>
      </c>
      <c r="T1561" s="19">
        <f>H1561*J1561</f>
        <v/>
      </c>
      <c r="U1561">
        <f>IF(AND(K1561=0,G1561&lt;=Assumptions!$C$6),1,0)</f>
        <v/>
      </c>
      <c r="V1561">
        <f>IF(U1561=1,IF(M1561&gt;0,IF(P1561&lt;=G1561+Assumptions!$C$7,1,0),0),0)</f>
        <v/>
      </c>
      <c r="W1561">
        <f>IF(AND(U1561=1,M1561&gt;=H1561*(1-Assumptions!$C$8)),1,0)</f>
        <v/>
      </c>
      <c r="X1561">
        <f>IF(AND(U1561=1,N1561&gt;=H1561*(1-Assumptions!$C$8)),1,0)</f>
        <v/>
      </c>
      <c r="Y1561">
        <f>IF(ISNUMBER(Q1561),1,0)</f>
        <v/>
      </c>
      <c r="Z1561">
        <f>IF(AND(K1561=0,L1561=0,Y1561=0),1,0)</f>
        <v/>
      </c>
      <c r="AA1561">
        <f>IF(AND(Z1561=1,G1561&lt;Assumptions!$C$6),1,0)</f>
        <v/>
      </c>
      <c r="AB1561">
        <f>IF(U1561=0,"",IF(Y1561=1,MAX(0,Q1561-G1561),IF(L1561=1,MAX(0,R1561-G1561),MAX(0,Assumptions!$C$6-G1561))))</f>
        <v/>
      </c>
      <c r="AC1561">
        <f>IF(Y1561=1,Q1561-F1561,"")</f>
        <v/>
      </c>
      <c r="AD1561">
        <f>IF(Y1561=1,AC1561^2,"")</f>
        <v/>
      </c>
      <c r="AE1561" s="19">
        <f>IF(Z1561=1,(H1561-M1561)*I1561,0)</f>
        <v/>
      </c>
      <c r="AF1561">
        <f>IF(G1561&lt;EDATE(Assumptions!$C$6,-12)+1,"prior_12m","last_12m")</f>
        <v/>
      </c>
      <c r="AG1561" s="21">
        <f>DATE(YEAR(G1561),MONTH(G1561),1)</f>
        <v/>
      </c>
    </row>
    <row r="1562">
      <c r="A1562" t="inlineStr">
        <is>
          <t>SPO-00849-2</t>
        </is>
      </c>
      <c r="B1562" t="inlineStr">
        <is>
          <t>SPO-00849</t>
        </is>
      </c>
      <c r="C1562" t="inlineStr">
        <is>
          <t>SUP-10</t>
        </is>
      </c>
      <c r="D1562" t="inlineStr">
        <is>
          <t>PPE</t>
        </is>
      </c>
      <c r="E1562" t="inlineStr">
        <is>
          <t>PPE-02</t>
        </is>
      </c>
      <c r="F1562" s="17" t="n">
        <v>45803</v>
      </c>
      <c r="G1562" s="17" t="n">
        <v>45816</v>
      </c>
      <c r="H1562" s="18" t="n">
        <v>91</v>
      </c>
      <c r="I1562" s="19" t="n">
        <v>12.45</v>
      </c>
      <c r="J1562" s="19" t="n">
        <v>12.5</v>
      </c>
      <c r="K1562" s="20" t="n">
        <v>0</v>
      </c>
      <c r="L1562" s="20" t="n">
        <v>0</v>
      </c>
      <c r="M1562" s="18" t="n">
        <v>91</v>
      </c>
      <c r="N1562" s="18" t="n">
        <v>91</v>
      </c>
      <c r="O1562" s="18" t="n">
        <v>0</v>
      </c>
      <c r="P1562" s="17" t="n">
        <v>45813</v>
      </c>
      <c r="Q1562" s="17" t="n">
        <v>45813</v>
      </c>
      <c r="R1562" s="17" t="n">
        <v>45813</v>
      </c>
      <c r="S1562" s="19">
        <f>H1562*I1562</f>
        <v/>
      </c>
      <c r="T1562" s="19">
        <f>H1562*J1562</f>
        <v/>
      </c>
      <c r="U1562">
        <f>IF(AND(K1562=0,G1562&lt;=Assumptions!$C$6),1,0)</f>
        <v/>
      </c>
      <c r="V1562">
        <f>IF(U1562=1,IF(M1562&gt;0,IF(P1562&lt;=G1562+Assumptions!$C$7,1,0),0),0)</f>
        <v/>
      </c>
      <c r="W1562">
        <f>IF(AND(U1562=1,M1562&gt;=H1562*(1-Assumptions!$C$8)),1,0)</f>
        <v/>
      </c>
      <c r="X1562">
        <f>IF(AND(U1562=1,N1562&gt;=H1562*(1-Assumptions!$C$8)),1,0)</f>
        <v/>
      </c>
      <c r="Y1562">
        <f>IF(ISNUMBER(Q1562),1,0)</f>
        <v/>
      </c>
      <c r="Z1562">
        <f>IF(AND(K1562=0,L1562=0,Y1562=0),1,0)</f>
        <v/>
      </c>
      <c r="AA1562">
        <f>IF(AND(Z1562=1,G1562&lt;Assumptions!$C$6),1,0)</f>
        <v/>
      </c>
      <c r="AB1562">
        <f>IF(U1562=0,"",IF(Y1562=1,MAX(0,Q1562-G1562),IF(L1562=1,MAX(0,R1562-G1562),MAX(0,Assumptions!$C$6-G1562))))</f>
        <v/>
      </c>
      <c r="AC1562">
        <f>IF(Y1562=1,Q1562-F1562,"")</f>
        <v/>
      </c>
      <c r="AD1562">
        <f>IF(Y1562=1,AC1562^2,"")</f>
        <v/>
      </c>
      <c r="AE1562" s="19">
        <f>IF(Z1562=1,(H1562-M1562)*I1562,0)</f>
        <v/>
      </c>
      <c r="AF1562">
        <f>IF(G1562&lt;EDATE(Assumptions!$C$6,-12)+1,"prior_12m","last_12m")</f>
        <v/>
      </c>
      <c r="AG1562" s="21">
        <f>DATE(YEAR(G1562),MONTH(G1562),1)</f>
        <v/>
      </c>
    </row>
    <row r="1563">
      <c r="A1563" t="inlineStr">
        <is>
          <t>SPO-00849-3</t>
        </is>
      </c>
      <c r="B1563" t="inlineStr">
        <is>
          <t>SPO-00849</t>
        </is>
      </c>
      <c r="C1563" t="inlineStr">
        <is>
          <t>SUP-10</t>
        </is>
      </c>
      <c r="D1563" t="inlineStr">
        <is>
          <t>PPE</t>
        </is>
      </c>
      <c r="E1563" t="inlineStr">
        <is>
          <t>PPE-01</t>
        </is>
      </c>
      <c r="F1563" s="17" t="n">
        <v>45803</v>
      </c>
      <c r="G1563" s="17" t="n">
        <v>45816</v>
      </c>
      <c r="H1563" s="18" t="n">
        <v>127</v>
      </c>
      <c r="I1563" s="19" t="n">
        <v>4.73</v>
      </c>
      <c r="J1563" s="19" t="n">
        <v>4.8</v>
      </c>
      <c r="K1563" s="20" t="n">
        <v>0</v>
      </c>
      <c r="L1563" s="20" t="n">
        <v>0</v>
      </c>
      <c r="M1563" s="18" t="n">
        <v>127</v>
      </c>
      <c r="N1563" s="18" t="n">
        <v>127</v>
      </c>
      <c r="O1563" s="18" t="n">
        <v>0</v>
      </c>
      <c r="P1563" s="17" t="n">
        <v>45812</v>
      </c>
      <c r="Q1563" s="17" t="n">
        <v>45812</v>
      </c>
      <c r="R1563" s="17" t="n">
        <v>45812</v>
      </c>
      <c r="S1563" s="19">
        <f>H1563*I1563</f>
        <v/>
      </c>
      <c r="T1563" s="19">
        <f>H1563*J1563</f>
        <v/>
      </c>
      <c r="U1563">
        <f>IF(AND(K1563=0,G1563&lt;=Assumptions!$C$6),1,0)</f>
        <v/>
      </c>
      <c r="V1563">
        <f>IF(U1563=1,IF(M1563&gt;0,IF(P1563&lt;=G1563+Assumptions!$C$7,1,0),0),0)</f>
        <v/>
      </c>
      <c r="W1563">
        <f>IF(AND(U1563=1,M1563&gt;=H1563*(1-Assumptions!$C$8)),1,0)</f>
        <v/>
      </c>
      <c r="X1563">
        <f>IF(AND(U1563=1,N1563&gt;=H1563*(1-Assumptions!$C$8)),1,0)</f>
        <v/>
      </c>
      <c r="Y1563">
        <f>IF(ISNUMBER(Q1563),1,0)</f>
        <v/>
      </c>
      <c r="Z1563">
        <f>IF(AND(K1563=0,L1563=0,Y1563=0),1,0)</f>
        <v/>
      </c>
      <c r="AA1563">
        <f>IF(AND(Z1563=1,G1563&lt;Assumptions!$C$6),1,0)</f>
        <v/>
      </c>
      <c r="AB1563">
        <f>IF(U1563=0,"",IF(Y1563=1,MAX(0,Q1563-G1563),IF(L1563=1,MAX(0,R1563-G1563),MAX(0,Assumptions!$C$6-G1563))))</f>
        <v/>
      </c>
      <c r="AC1563">
        <f>IF(Y1563=1,Q1563-F1563,"")</f>
        <v/>
      </c>
      <c r="AD1563">
        <f>IF(Y1563=1,AC1563^2,"")</f>
        <v/>
      </c>
      <c r="AE1563" s="19">
        <f>IF(Z1563=1,(H1563-M1563)*I1563,0)</f>
        <v/>
      </c>
      <c r="AF1563">
        <f>IF(G1563&lt;EDATE(Assumptions!$C$6,-12)+1,"prior_12m","last_12m")</f>
        <v/>
      </c>
      <c r="AG1563" s="21">
        <f>DATE(YEAR(G1563),MONTH(G1563),1)</f>
        <v/>
      </c>
    </row>
    <row r="1564">
      <c r="A1564" t="inlineStr">
        <is>
          <t>SPO-00849-4</t>
        </is>
      </c>
      <c r="B1564" t="inlineStr">
        <is>
          <t>SPO-00849</t>
        </is>
      </c>
      <c r="C1564" t="inlineStr">
        <is>
          <t>SUP-10</t>
        </is>
      </c>
      <c r="D1564" t="inlineStr">
        <is>
          <t>PPE</t>
        </is>
      </c>
      <c r="E1564" t="inlineStr">
        <is>
          <t>PPE-05</t>
        </is>
      </c>
      <c r="F1564" s="17" t="n">
        <v>45803</v>
      </c>
      <c r="G1564" s="17" t="n">
        <v>45816</v>
      </c>
      <c r="H1564" s="18" t="n">
        <v>165</v>
      </c>
      <c r="I1564" s="19" t="n">
        <v>10.59</v>
      </c>
      <c r="J1564" s="19" t="n">
        <v>11</v>
      </c>
      <c r="K1564" s="20" t="n">
        <v>0</v>
      </c>
      <c r="L1564" s="20" t="n">
        <v>0</v>
      </c>
      <c r="M1564" s="18" t="n">
        <v>165</v>
      </c>
      <c r="N1564" s="18" t="n">
        <v>165</v>
      </c>
      <c r="O1564" s="18" t="n">
        <v>0</v>
      </c>
      <c r="P1564" s="17" t="n">
        <v>45814</v>
      </c>
      <c r="Q1564" s="17" t="n">
        <v>45814</v>
      </c>
      <c r="R1564" s="17" t="n">
        <v>45814</v>
      </c>
      <c r="S1564" s="19">
        <f>H1564*I1564</f>
        <v/>
      </c>
      <c r="T1564" s="19">
        <f>H1564*J1564</f>
        <v/>
      </c>
      <c r="U1564">
        <f>IF(AND(K1564=0,G1564&lt;=Assumptions!$C$6),1,0)</f>
        <v/>
      </c>
      <c r="V1564">
        <f>IF(U1564=1,IF(M1564&gt;0,IF(P1564&lt;=G1564+Assumptions!$C$7,1,0),0),0)</f>
        <v/>
      </c>
      <c r="W1564">
        <f>IF(AND(U1564=1,M1564&gt;=H1564*(1-Assumptions!$C$8)),1,0)</f>
        <v/>
      </c>
      <c r="X1564">
        <f>IF(AND(U1564=1,N1564&gt;=H1564*(1-Assumptions!$C$8)),1,0)</f>
        <v/>
      </c>
      <c r="Y1564">
        <f>IF(ISNUMBER(Q1564),1,0)</f>
        <v/>
      </c>
      <c r="Z1564">
        <f>IF(AND(K1564=0,L1564=0,Y1564=0),1,0)</f>
        <v/>
      </c>
      <c r="AA1564">
        <f>IF(AND(Z1564=1,G1564&lt;Assumptions!$C$6),1,0)</f>
        <v/>
      </c>
      <c r="AB1564">
        <f>IF(U1564=0,"",IF(Y1564=1,MAX(0,Q1564-G1564),IF(L1564=1,MAX(0,R1564-G1564),MAX(0,Assumptions!$C$6-G1564))))</f>
        <v/>
      </c>
      <c r="AC1564">
        <f>IF(Y1564=1,Q1564-F1564,"")</f>
        <v/>
      </c>
      <c r="AD1564">
        <f>IF(Y1564=1,AC1564^2,"")</f>
        <v/>
      </c>
      <c r="AE1564" s="19">
        <f>IF(Z1564=1,(H1564-M1564)*I1564,0)</f>
        <v/>
      </c>
      <c r="AF1564">
        <f>IF(G1564&lt;EDATE(Assumptions!$C$6,-12)+1,"prior_12m","last_12m")</f>
        <v/>
      </c>
      <c r="AG1564" s="21">
        <f>DATE(YEAR(G1564),MONTH(G1564),1)</f>
        <v/>
      </c>
    </row>
    <row r="1565">
      <c r="A1565" t="inlineStr">
        <is>
          <t>SPO-00850-1</t>
        </is>
      </c>
      <c r="B1565" t="inlineStr">
        <is>
          <t>SPO-00850</t>
        </is>
      </c>
      <c r="C1565" t="inlineStr">
        <is>
          <t>SUP-11</t>
        </is>
      </c>
      <c r="D1565" t="inlineStr">
        <is>
          <t>PPE</t>
        </is>
      </c>
      <c r="E1565" t="inlineStr">
        <is>
          <t>PPE-04</t>
        </is>
      </c>
      <c r="F1565" s="17" t="n">
        <v>45803</v>
      </c>
      <c r="G1565" s="17" t="n">
        <v>45815</v>
      </c>
      <c r="H1565" s="18" t="n">
        <v>24</v>
      </c>
      <c r="I1565" s="19" t="n">
        <v>25.19</v>
      </c>
      <c r="J1565" s="19" t="n">
        <v>26</v>
      </c>
      <c r="K1565" s="20" t="n">
        <v>0</v>
      </c>
      <c r="L1565" s="20" t="n">
        <v>0</v>
      </c>
      <c r="M1565" s="18" t="n">
        <v>24</v>
      </c>
      <c r="N1565" s="18" t="n">
        <v>24</v>
      </c>
      <c r="O1565" s="18" t="n">
        <v>0</v>
      </c>
      <c r="P1565" s="17" t="n">
        <v>45814</v>
      </c>
      <c r="Q1565" s="17" t="n">
        <v>45814</v>
      </c>
      <c r="R1565" s="17" t="n">
        <v>45814</v>
      </c>
      <c r="S1565" s="19">
        <f>H1565*I1565</f>
        <v/>
      </c>
      <c r="T1565" s="19">
        <f>H1565*J1565</f>
        <v/>
      </c>
      <c r="U1565">
        <f>IF(AND(K1565=0,G1565&lt;=Assumptions!$C$6),1,0)</f>
        <v/>
      </c>
      <c r="V1565">
        <f>IF(U1565=1,IF(M1565&gt;0,IF(P1565&lt;=G1565+Assumptions!$C$7,1,0),0),0)</f>
        <v/>
      </c>
      <c r="W1565">
        <f>IF(AND(U1565=1,M1565&gt;=H1565*(1-Assumptions!$C$8)),1,0)</f>
        <v/>
      </c>
      <c r="X1565">
        <f>IF(AND(U1565=1,N1565&gt;=H1565*(1-Assumptions!$C$8)),1,0)</f>
        <v/>
      </c>
      <c r="Y1565">
        <f>IF(ISNUMBER(Q1565),1,0)</f>
        <v/>
      </c>
      <c r="Z1565">
        <f>IF(AND(K1565=0,L1565=0,Y1565=0),1,0)</f>
        <v/>
      </c>
      <c r="AA1565">
        <f>IF(AND(Z1565=1,G1565&lt;Assumptions!$C$6),1,0)</f>
        <v/>
      </c>
      <c r="AB1565">
        <f>IF(U1565=0,"",IF(Y1565=1,MAX(0,Q1565-G1565),IF(L1565=1,MAX(0,R1565-G1565),MAX(0,Assumptions!$C$6-G1565))))</f>
        <v/>
      </c>
      <c r="AC1565">
        <f>IF(Y1565=1,Q1565-F1565,"")</f>
        <v/>
      </c>
      <c r="AD1565">
        <f>IF(Y1565=1,AC1565^2,"")</f>
        <v/>
      </c>
      <c r="AE1565" s="19">
        <f>IF(Z1565=1,(H1565-M1565)*I1565,0)</f>
        <v/>
      </c>
      <c r="AF1565">
        <f>IF(G1565&lt;EDATE(Assumptions!$C$6,-12)+1,"prior_12m","last_12m")</f>
        <v/>
      </c>
      <c r="AG1565" s="21">
        <f>DATE(YEAR(G1565),MONTH(G1565),1)</f>
        <v/>
      </c>
    </row>
    <row r="1566">
      <c r="A1566" t="inlineStr">
        <is>
          <t>SPO-00851-1</t>
        </is>
      </c>
      <c r="B1566" t="inlineStr">
        <is>
          <t>SPO-00851</t>
        </is>
      </c>
      <c r="C1566" t="inlineStr">
        <is>
          <t>SUP-07</t>
        </is>
      </c>
      <c r="D1566" t="inlineStr">
        <is>
          <t>MRO</t>
        </is>
      </c>
      <c r="E1566" t="inlineStr">
        <is>
          <t>MRO-08</t>
        </is>
      </c>
      <c r="F1566" s="17" t="n">
        <v>45803</v>
      </c>
      <c r="G1566" s="17" t="n">
        <v>45813</v>
      </c>
      <c r="H1566" s="18" t="n">
        <v>152</v>
      </c>
      <c r="I1566" s="19" t="n">
        <v>7.13</v>
      </c>
      <c r="J1566" s="19" t="n">
        <v>7.2</v>
      </c>
      <c r="K1566" s="20" t="n">
        <v>0</v>
      </c>
      <c r="L1566" s="20" t="n">
        <v>0</v>
      </c>
      <c r="M1566" s="18" t="n">
        <v>152</v>
      </c>
      <c r="N1566" s="18" t="n">
        <v>152</v>
      </c>
      <c r="O1566" s="18" t="n">
        <v>0</v>
      </c>
      <c r="P1566" s="17" t="n">
        <v>45810</v>
      </c>
      <c r="Q1566" s="17" t="n">
        <v>45810</v>
      </c>
      <c r="R1566" s="17" t="n">
        <v>45810</v>
      </c>
      <c r="S1566" s="19">
        <f>H1566*I1566</f>
        <v/>
      </c>
      <c r="T1566" s="19">
        <f>H1566*J1566</f>
        <v/>
      </c>
      <c r="U1566">
        <f>IF(AND(K1566=0,G1566&lt;=Assumptions!$C$6),1,0)</f>
        <v/>
      </c>
      <c r="V1566">
        <f>IF(U1566=1,IF(M1566&gt;0,IF(P1566&lt;=G1566+Assumptions!$C$7,1,0),0),0)</f>
        <v/>
      </c>
      <c r="W1566">
        <f>IF(AND(U1566=1,M1566&gt;=H1566*(1-Assumptions!$C$8)),1,0)</f>
        <v/>
      </c>
      <c r="X1566">
        <f>IF(AND(U1566=1,N1566&gt;=H1566*(1-Assumptions!$C$8)),1,0)</f>
        <v/>
      </c>
      <c r="Y1566">
        <f>IF(ISNUMBER(Q1566),1,0)</f>
        <v/>
      </c>
      <c r="Z1566">
        <f>IF(AND(K1566=0,L1566=0,Y1566=0),1,0)</f>
        <v/>
      </c>
      <c r="AA1566">
        <f>IF(AND(Z1566=1,G1566&lt;Assumptions!$C$6),1,0)</f>
        <v/>
      </c>
      <c r="AB1566">
        <f>IF(U1566=0,"",IF(Y1566=1,MAX(0,Q1566-G1566),IF(L1566=1,MAX(0,R1566-G1566),MAX(0,Assumptions!$C$6-G1566))))</f>
        <v/>
      </c>
      <c r="AC1566">
        <f>IF(Y1566=1,Q1566-F1566,"")</f>
        <v/>
      </c>
      <c r="AD1566">
        <f>IF(Y1566=1,AC1566^2,"")</f>
        <v/>
      </c>
      <c r="AE1566" s="19">
        <f>IF(Z1566=1,(H1566-M1566)*I1566,0)</f>
        <v/>
      </c>
      <c r="AF1566">
        <f>IF(G1566&lt;EDATE(Assumptions!$C$6,-12)+1,"prior_12m","last_12m")</f>
        <v/>
      </c>
      <c r="AG1566" s="21">
        <f>DATE(YEAR(G1566),MONTH(G1566),1)</f>
        <v/>
      </c>
    </row>
    <row r="1567">
      <c r="A1567" t="inlineStr">
        <is>
          <t>SPO-00851-2</t>
        </is>
      </c>
      <c r="B1567" t="inlineStr">
        <is>
          <t>SPO-00851</t>
        </is>
      </c>
      <c r="C1567" t="inlineStr">
        <is>
          <t>SUP-07</t>
        </is>
      </c>
      <c r="D1567" t="inlineStr">
        <is>
          <t>MRO</t>
        </is>
      </c>
      <c r="E1567" t="inlineStr">
        <is>
          <t>MRO-07</t>
        </is>
      </c>
      <c r="F1567" s="17" t="n">
        <v>45803</v>
      </c>
      <c r="G1567" s="17" t="n">
        <v>45813</v>
      </c>
      <c r="H1567" s="18" t="n">
        <v>32</v>
      </c>
      <c r="I1567" s="19" t="n">
        <v>13.92</v>
      </c>
      <c r="J1567" s="19" t="n">
        <v>14</v>
      </c>
      <c r="K1567" s="20" t="n">
        <v>0</v>
      </c>
      <c r="L1567" s="20" t="n">
        <v>1</v>
      </c>
      <c r="M1567" s="18" t="n">
        <v>24</v>
      </c>
      <c r="N1567" s="18" t="n">
        <v>24</v>
      </c>
      <c r="O1567" s="18" t="n">
        <v>0</v>
      </c>
      <c r="P1567" s="17" t="n">
        <v>45811</v>
      </c>
      <c r="Q1567" s="17" t="n"/>
      <c r="R1567" s="17" t="n">
        <v>45811</v>
      </c>
      <c r="S1567" s="19">
        <f>H1567*I1567</f>
        <v/>
      </c>
      <c r="T1567" s="19">
        <f>H1567*J1567</f>
        <v/>
      </c>
      <c r="U1567">
        <f>IF(AND(K1567=0,G1567&lt;=Assumptions!$C$6),1,0)</f>
        <v/>
      </c>
      <c r="V1567">
        <f>IF(U1567=1,IF(M1567&gt;0,IF(P1567&lt;=G1567+Assumptions!$C$7,1,0),0),0)</f>
        <v/>
      </c>
      <c r="W1567">
        <f>IF(AND(U1567=1,M1567&gt;=H1567*(1-Assumptions!$C$8)),1,0)</f>
        <v/>
      </c>
      <c r="X1567">
        <f>IF(AND(U1567=1,N1567&gt;=H1567*(1-Assumptions!$C$8)),1,0)</f>
        <v/>
      </c>
      <c r="Y1567">
        <f>IF(ISNUMBER(Q1567),1,0)</f>
        <v/>
      </c>
      <c r="Z1567">
        <f>IF(AND(K1567=0,L1567=0,Y1567=0),1,0)</f>
        <v/>
      </c>
      <c r="AA1567">
        <f>IF(AND(Z1567=1,G1567&lt;Assumptions!$C$6),1,0)</f>
        <v/>
      </c>
      <c r="AB1567">
        <f>IF(U1567=0,"",IF(Y1567=1,MAX(0,Q1567-G1567),IF(L1567=1,MAX(0,R1567-G1567),MAX(0,Assumptions!$C$6-G1567))))</f>
        <v/>
      </c>
      <c r="AC1567">
        <f>IF(Y1567=1,Q1567-F1567,"")</f>
        <v/>
      </c>
      <c r="AD1567">
        <f>IF(Y1567=1,AC1567^2,"")</f>
        <v/>
      </c>
      <c r="AE1567" s="19">
        <f>IF(Z1567=1,(H1567-M1567)*I1567,0)</f>
        <v/>
      </c>
      <c r="AF1567">
        <f>IF(G1567&lt;EDATE(Assumptions!$C$6,-12)+1,"prior_12m","last_12m")</f>
        <v/>
      </c>
      <c r="AG1567" s="21">
        <f>DATE(YEAR(G1567),MONTH(G1567),1)</f>
        <v/>
      </c>
    </row>
    <row r="1568">
      <c r="A1568" t="inlineStr">
        <is>
          <t>SPO-00852-1</t>
        </is>
      </c>
      <c r="B1568" t="inlineStr">
        <is>
          <t>SPO-00852</t>
        </is>
      </c>
      <c r="C1568" t="inlineStr">
        <is>
          <t>SUP-09</t>
        </is>
      </c>
      <c r="D1568" t="inlineStr">
        <is>
          <t>CHEM</t>
        </is>
      </c>
      <c r="E1568" t="inlineStr">
        <is>
          <t>CHEM-02</t>
        </is>
      </c>
      <c r="F1568" s="17" t="n">
        <v>45803</v>
      </c>
      <c r="G1568" s="17" t="n">
        <v>45817</v>
      </c>
      <c r="H1568" s="18" t="n">
        <v>4</v>
      </c>
      <c r="I1568" s="19" t="n">
        <v>420.1</v>
      </c>
      <c r="J1568" s="19" t="n">
        <v>410</v>
      </c>
      <c r="K1568" s="20" t="n">
        <v>0</v>
      </c>
      <c r="L1568" s="20" t="n">
        <v>0</v>
      </c>
      <c r="M1568" s="18" t="n">
        <v>4</v>
      </c>
      <c r="N1568" s="18" t="n">
        <v>4</v>
      </c>
      <c r="O1568" s="18" t="n">
        <v>0</v>
      </c>
      <c r="P1568" s="17" t="n">
        <v>45817</v>
      </c>
      <c r="Q1568" s="17" t="n">
        <v>45817</v>
      </c>
      <c r="R1568" s="17" t="n">
        <v>45817</v>
      </c>
      <c r="S1568" s="19">
        <f>H1568*I1568</f>
        <v/>
      </c>
      <c r="T1568" s="19">
        <f>H1568*J1568</f>
        <v/>
      </c>
      <c r="U1568">
        <f>IF(AND(K1568=0,G1568&lt;=Assumptions!$C$6),1,0)</f>
        <v/>
      </c>
      <c r="V1568">
        <f>IF(U1568=1,IF(M1568&gt;0,IF(P1568&lt;=G1568+Assumptions!$C$7,1,0),0),0)</f>
        <v/>
      </c>
      <c r="W1568">
        <f>IF(AND(U1568=1,M1568&gt;=H1568*(1-Assumptions!$C$8)),1,0)</f>
        <v/>
      </c>
      <c r="X1568">
        <f>IF(AND(U1568=1,N1568&gt;=H1568*(1-Assumptions!$C$8)),1,0)</f>
        <v/>
      </c>
      <c r="Y1568">
        <f>IF(ISNUMBER(Q1568),1,0)</f>
        <v/>
      </c>
      <c r="Z1568">
        <f>IF(AND(K1568=0,L1568=0,Y1568=0),1,0)</f>
        <v/>
      </c>
      <c r="AA1568">
        <f>IF(AND(Z1568=1,G1568&lt;Assumptions!$C$6),1,0)</f>
        <v/>
      </c>
      <c r="AB1568">
        <f>IF(U1568=0,"",IF(Y1568=1,MAX(0,Q1568-G1568),IF(L1568=1,MAX(0,R1568-G1568),MAX(0,Assumptions!$C$6-G1568))))</f>
        <v/>
      </c>
      <c r="AC1568">
        <f>IF(Y1568=1,Q1568-F1568,"")</f>
        <v/>
      </c>
      <c r="AD1568">
        <f>IF(Y1568=1,AC1568^2,"")</f>
        <v/>
      </c>
      <c r="AE1568" s="19">
        <f>IF(Z1568=1,(H1568-M1568)*I1568,0)</f>
        <v/>
      </c>
      <c r="AF1568">
        <f>IF(G1568&lt;EDATE(Assumptions!$C$6,-12)+1,"prior_12m","last_12m")</f>
        <v/>
      </c>
      <c r="AG1568" s="21">
        <f>DATE(YEAR(G1568),MONTH(G1568),1)</f>
        <v/>
      </c>
    </row>
    <row r="1569">
      <c r="A1569" t="inlineStr">
        <is>
          <t>SPO-00852-2</t>
        </is>
      </c>
      <c r="B1569" t="inlineStr">
        <is>
          <t>SPO-00852</t>
        </is>
      </c>
      <c r="C1569" t="inlineStr">
        <is>
          <t>SUP-09</t>
        </is>
      </c>
      <c r="D1569" t="inlineStr">
        <is>
          <t>CHEM</t>
        </is>
      </c>
      <c r="E1569" t="inlineStr">
        <is>
          <t>CHEM-06</t>
        </is>
      </c>
      <c r="F1569" s="17" t="n">
        <v>45803</v>
      </c>
      <c r="G1569" s="17" t="n">
        <v>45817</v>
      </c>
      <c r="H1569" s="18" t="n">
        <v>5</v>
      </c>
      <c r="I1569" s="19" t="n">
        <v>385.07</v>
      </c>
      <c r="J1569" s="19" t="n">
        <v>380</v>
      </c>
      <c r="K1569" s="20" t="n">
        <v>0</v>
      </c>
      <c r="L1569" s="20" t="n">
        <v>0</v>
      </c>
      <c r="M1569" s="18" t="n">
        <v>5</v>
      </c>
      <c r="N1569" s="18" t="n">
        <v>5</v>
      </c>
      <c r="O1569" s="18" t="n">
        <v>0</v>
      </c>
      <c r="P1569" s="17" t="n">
        <v>45816</v>
      </c>
      <c r="Q1569" s="17" t="n">
        <v>45816</v>
      </c>
      <c r="R1569" s="17" t="n">
        <v>45816</v>
      </c>
      <c r="S1569" s="19">
        <f>H1569*I1569</f>
        <v/>
      </c>
      <c r="T1569" s="19">
        <f>H1569*J1569</f>
        <v/>
      </c>
      <c r="U1569">
        <f>IF(AND(K1569=0,G1569&lt;=Assumptions!$C$6),1,0)</f>
        <v/>
      </c>
      <c r="V1569">
        <f>IF(U1569=1,IF(M1569&gt;0,IF(P1569&lt;=G1569+Assumptions!$C$7,1,0),0),0)</f>
        <v/>
      </c>
      <c r="W1569">
        <f>IF(AND(U1569=1,M1569&gt;=H1569*(1-Assumptions!$C$8)),1,0)</f>
        <v/>
      </c>
      <c r="X1569">
        <f>IF(AND(U1569=1,N1569&gt;=H1569*(1-Assumptions!$C$8)),1,0)</f>
        <v/>
      </c>
      <c r="Y1569">
        <f>IF(ISNUMBER(Q1569),1,0)</f>
        <v/>
      </c>
      <c r="Z1569">
        <f>IF(AND(K1569=0,L1569=0,Y1569=0),1,0)</f>
        <v/>
      </c>
      <c r="AA1569">
        <f>IF(AND(Z1569=1,G1569&lt;Assumptions!$C$6),1,0)</f>
        <v/>
      </c>
      <c r="AB1569">
        <f>IF(U1569=0,"",IF(Y1569=1,MAX(0,Q1569-G1569),IF(L1569=1,MAX(0,R1569-G1569),MAX(0,Assumptions!$C$6-G1569))))</f>
        <v/>
      </c>
      <c r="AC1569">
        <f>IF(Y1569=1,Q1569-F1569,"")</f>
        <v/>
      </c>
      <c r="AD1569">
        <f>IF(Y1569=1,AC1569^2,"")</f>
        <v/>
      </c>
      <c r="AE1569" s="19">
        <f>IF(Z1569=1,(H1569-M1569)*I1569,0)</f>
        <v/>
      </c>
      <c r="AF1569">
        <f>IF(G1569&lt;EDATE(Assumptions!$C$6,-12)+1,"prior_12m","last_12m")</f>
        <v/>
      </c>
      <c r="AG1569" s="21">
        <f>DATE(YEAR(G1569),MONTH(G1569),1)</f>
        <v/>
      </c>
    </row>
    <row r="1570">
      <c r="A1570" t="inlineStr">
        <is>
          <t>SPO-00852-3</t>
        </is>
      </c>
      <c r="B1570" t="inlineStr">
        <is>
          <t>SPO-00852</t>
        </is>
      </c>
      <c r="C1570" t="inlineStr">
        <is>
          <t>SUP-09</t>
        </is>
      </c>
      <c r="D1570" t="inlineStr">
        <is>
          <t>CHEM</t>
        </is>
      </c>
      <c r="E1570" t="inlineStr">
        <is>
          <t>CHEM-01</t>
        </is>
      </c>
      <c r="F1570" s="17" t="n">
        <v>45803</v>
      </c>
      <c r="G1570" s="17" t="n">
        <v>45817</v>
      </c>
      <c r="H1570" s="18" t="n">
        <v>1</v>
      </c>
      <c r="I1570" s="19" t="n">
        <v>689.61</v>
      </c>
      <c r="J1570" s="19" t="n">
        <v>640</v>
      </c>
      <c r="K1570" s="20" t="n">
        <v>0</v>
      </c>
      <c r="L1570" s="20" t="n">
        <v>0</v>
      </c>
      <c r="M1570" s="18" t="n">
        <v>1</v>
      </c>
      <c r="N1570" s="18" t="n">
        <v>1</v>
      </c>
      <c r="O1570" s="18" t="n">
        <v>0</v>
      </c>
      <c r="P1570" s="17" t="n">
        <v>45812</v>
      </c>
      <c r="Q1570" s="17" t="n">
        <v>45812</v>
      </c>
      <c r="R1570" s="17" t="n">
        <v>45812</v>
      </c>
      <c r="S1570" s="19">
        <f>H1570*I1570</f>
        <v/>
      </c>
      <c r="T1570" s="19">
        <f>H1570*J1570</f>
        <v/>
      </c>
      <c r="U1570">
        <f>IF(AND(K1570=0,G1570&lt;=Assumptions!$C$6),1,0)</f>
        <v/>
      </c>
      <c r="V1570">
        <f>IF(U1570=1,IF(M1570&gt;0,IF(P1570&lt;=G1570+Assumptions!$C$7,1,0),0),0)</f>
        <v/>
      </c>
      <c r="W1570">
        <f>IF(AND(U1570=1,M1570&gt;=H1570*(1-Assumptions!$C$8)),1,0)</f>
        <v/>
      </c>
      <c r="X1570">
        <f>IF(AND(U1570=1,N1570&gt;=H1570*(1-Assumptions!$C$8)),1,0)</f>
        <v/>
      </c>
      <c r="Y1570">
        <f>IF(ISNUMBER(Q1570),1,0)</f>
        <v/>
      </c>
      <c r="Z1570">
        <f>IF(AND(K1570=0,L1570=0,Y1570=0),1,0)</f>
        <v/>
      </c>
      <c r="AA1570">
        <f>IF(AND(Z1570=1,G1570&lt;Assumptions!$C$6),1,0)</f>
        <v/>
      </c>
      <c r="AB1570">
        <f>IF(U1570=0,"",IF(Y1570=1,MAX(0,Q1570-G1570),IF(L1570=1,MAX(0,R1570-G1570),MAX(0,Assumptions!$C$6-G1570))))</f>
        <v/>
      </c>
      <c r="AC1570">
        <f>IF(Y1570=1,Q1570-F1570,"")</f>
        <v/>
      </c>
      <c r="AD1570">
        <f>IF(Y1570=1,AC1570^2,"")</f>
        <v/>
      </c>
      <c r="AE1570" s="19">
        <f>IF(Z1570=1,(H1570-M1570)*I1570,0)</f>
        <v/>
      </c>
      <c r="AF1570">
        <f>IF(G1570&lt;EDATE(Assumptions!$C$6,-12)+1,"prior_12m","last_12m")</f>
        <v/>
      </c>
      <c r="AG1570" s="21">
        <f>DATE(YEAR(G1570),MONTH(G1570),1)</f>
        <v/>
      </c>
    </row>
    <row r="1571">
      <c r="A1571" t="inlineStr">
        <is>
          <t>SPO-00853-1</t>
        </is>
      </c>
      <c r="B1571" t="inlineStr">
        <is>
          <t>SPO-00853</t>
        </is>
      </c>
      <c r="C1571" t="inlineStr">
        <is>
          <t>SUP-08</t>
        </is>
      </c>
      <c r="D1571" t="inlineStr">
        <is>
          <t>PPE</t>
        </is>
      </c>
      <c r="E1571" t="inlineStr">
        <is>
          <t>PPE-01</t>
        </is>
      </c>
      <c r="F1571" s="17" t="n">
        <v>45804</v>
      </c>
      <c r="G1571" s="17" t="n">
        <v>45815</v>
      </c>
      <c r="H1571" s="18" t="n">
        <v>331</v>
      </c>
      <c r="I1571" s="19" t="n">
        <v>4.86</v>
      </c>
      <c r="J1571" s="19" t="n">
        <v>4.8</v>
      </c>
      <c r="K1571" s="20" t="n">
        <v>0</v>
      </c>
      <c r="L1571" s="20" t="n">
        <v>0</v>
      </c>
      <c r="M1571" s="18" t="n">
        <v>331</v>
      </c>
      <c r="N1571" s="18" t="n">
        <v>331</v>
      </c>
      <c r="O1571" s="18" t="n">
        <v>0</v>
      </c>
      <c r="P1571" s="17" t="n">
        <v>45812</v>
      </c>
      <c r="Q1571" s="17" t="n">
        <v>45812</v>
      </c>
      <c r="R1571" s="17" t="n">
        <v>45812</v>
      </c>
      <c r="S1571" s="19">
        <f>H1571*I1571</f>
        <v/>
      </c>
      <c r="T1571" s="19">
        <f>H1571*J1571</f>
        <v/>
      </c>
      <c r="U1571">
        <f>IF(AND(K1571=0,G1571&lt;=Assumptions!$C$6),1,0)</f>
        <v/>
      </c>
      <c r="V1571">
        <f>IF(U1571=1,IF(M1571&gt;0,IF(P1571&lt;=G1571+Assumptions!$C$7,1,0),0),0)</f>
        <v/>
      </c>
      <c r="W1571">
        <f>IF(AND(U1571=1,M1571&gt;=H1571*(1-Assumptions!$C$8)),1,0)</f>
        <v/>
      </c>
      <c r="X1571">
        <f>IF(AND(U1571=1,N1571&gt;=H1571*(1-Assumptions!$C$8)),1,0)</f>
        <v/>
      </c>
      <c r="Y1571">
        <f>IF(ISNUMBER(Q1571),1,0)</f>
        <v/>
      </c>
      <c r="Z1571">
        <f>IF(AND(K1571=0,L1571=0,Y1571=0),1,0)</f>
        <v/>
      </c>
      <c r="AA1571">
        <f>IF(AND(Z1571=1,G1571&lt;Assumptions!$C$6),1,0)</f>
        <v/>
      </c>
      <c r="AB1571">
        <f>IF(U1571=0,"",IF(Y1571=1,MAX(0,Q1571-G1571),IF(L1571=1,MAX(0,R1571-G1571),MAX(0,Assumptions!$C$6-G1571))))</f>
        <v/>
      </c>
      <c r="AC1571">
        <f>IF(Y1571=1,Q1571-F1571,"")</f>
        <v/>
      </c>
      <c r="AD1571">
        <f>IF(Y1571=1,AC1571^2,"")</f>
        <v/>
      </c>
      <c r="AE1571" s="19">
        <f>IF(Z1571=1,(H1571-M1571)*I1571,0)</f>
        <v/>
      </c>
      <c r="AF1571">
        <f>IF(G1571&lt;EDATE(Assumptions!$C$6,-12)+1,"prior_12m","last_12m")</f>
        <v/>
      </c>
      <c r="AG1571" s="21">
        <f>DATE(YEAR(G1571),MONTH(G1571),1)</f>
        <v/>
      </c>
    </row>
    <row r="1572">
      <c r="A1572" t="inlineStr">
        <is>
          <t>SPO-00853-2</t>
        </is>
      </c>
      <c r="B1572" t="inlineStr">
        <is>
          <t>SPO-00853</t>
        </is>
      </c>
      <c r="C1572" t="inlineStr">
        <is>
          <t>SUP-08</t>
        </is>
      </c>
      <c r="D1572" t="inlineStr">
        <is>
          <t>PPE</t>
        </is>
      </c>
      <c r="E1572" t="inlineStr">
        <is>
          <t>PPE-05</t>
        </is>
      </c>
      <c r="F1572" s="17" t="n">
        <v>45804</v>
      </c>
      <c r="G1572" s="17" t="n">
        <v>45815</v>
      </c>
      <c r="H1572" s="18" t="n">
        <v>155</v>
      </c>
      <c r="I1572" s="19" t="n">
        <v>10.9</v>
      </c>
      <c r="J1572" s="19" t="n">
        <v>11</v>
      </c>
      <c r="K1572" s="20" t="n">
        <v>0</v>
      </c>
      <c r="L1572" s="20" t="n">
        <v>0</v>
      </c>
      <c r="M1572" s="18" t="n">
        <v>155</v>
      </c>
      <c r="N1572" s="18" t="n">
        <v>155</v>
      </c>
      <c r="O1572" s="18" t="n">
        <v>0</v>
      </c>
      <c r="P1572" s="17" t="n">
        <v>45810</v>
      </c>
      <c r="Q1572" s="17" t="n">
        <v>45810</v>
      </c>
      <c r="R1572" s="17" t="n">
        <v>45810</v>
      </c>
      <c r="S1572" s="19">
        <f>H1572*I1572</f>
        <v/>
      </c>
      <c r="T1572" s="19">
        <f>H1572*J1572</f>
        <v/>
      </c>
      <c r="U1572">
        <f>IF(AND(K1572=0,G1572&lt;=Assumptions!$C$6),1,0)</f>
        <v/>
      </c>
      <c r="V1572">
        <f>IF(U1572=1,IF(M1572&gt;0,IF(P1572&lt;=G1572+Assumptions!$C$7,1,0),0),0)</f>
        <v/>
      </c>
      <c r="W1572">
        <f>IF(AND(U1572=1,M1572&gt;=H1572*(1-Assumptions!$C$8)),1,0)</f>
        <v/>
      </c>
      <c r="X1572">
        <f>IF(AND(U1572=1,N1572&gt;=H1572*(1-Assumptions!$C$8)),1,0)</f>
        <v/>
      </c>
      <c r="Y1572">
        <f>IF(ISNUMBER(Q1572),1,0)</f>
        <v/>
      </c>
      <c r="Z1572">
        <f>IF(AND(K1572=0,L1572=0,Y1572=0),1,0)</f>
        <v/>
      </c>
      <c r="AA1572">
        <f>IF(AND(Z1572=1,G1572&lt;Assumptions!$C$6),1,0)</f>
        <v/>
      </c>
      <c r="AB1572">
        <f>IF(U1572=0,"",IF(Y1572=1,MAX(0,Q1572-G1572),IF(L1572=1,MAX(0,R1572-G1572),MAX(0,Assumptions!$C$6-G1572))))</f>
        <v/>
      </c>
      <c r="AC1572">
        <f>IF(Y1572=1,Q1572-F1572,"")</f>
        <v/>
      </c>
      <c r="AD1572">
        <f>IF(Y1572=1,AC1572^2,"")</f>
        <v/>
      </c>
      <c r="AE1572" s="19">
        <f>IF(Z1572=1,(H1572-M1572)*I1572,0)</f>
        <v/>
      </c>
      <c r="AF1572">
        <f>IF(G1572&lt;EDATE(Assumptions!$C$6,-12)+1,"prior_12m","last_12m")</f>
        <v/>
      </c>
      <c r="AG1572" s="21">
        <f>DATE(YEAR(G1572),MONTH(G1572),1)</f>
        <v/>
      </c>
    </row>
    <row r="1573">
      <c r="A1573" t="inlineStr">
        <is>
          <t>SPO-00853-3</t>
        </is>
      </c>
      <c r="B1573" t="inlineStr">
        <is>
          <t>SPO-00853</t>
        </is>
      </c>
      <c r="C1573" t="inlineStr">
        <is>
          <t>SUP-08</t>
        </is>
      </c>
      <c r="D1573" t="inlineStr">
        <is>
          <t>PPE</t>
        </is>
      </c>
      <c r="E1573" t="inlineStr">
        <is>
          <t>PPE-04</t>
        </is>
      </c>
      <c r="F1573" s="17" t="n">
        <v>45804</v>
      </c>
      <c r="G1573" s="17" t="n">
        <v>45815</v>
      </c>
      <c r="H1573" s="18" t="n">
        <v>54</v>
      </c>
      <c r="I1573" s="19" t="n">
        <v>25.66</v>
      </c>
      <c r="J1573" s="19" t="n">
        <v>26</v>
      </c>
      <c r="K1573" s="20" t="n">
        <v>0</v>
      </c>
      <c r="L1573" s="20" t="n">
        <v>0</v>
      </c>
      <c r="M1573" s="18" t="n">
        <v>54</v>
      </c>
      <c r="N1573" s="18" t="n">
        <v>54</v>
      </c>
      <c r="O1573" s="18" t="n">
        <v>0</v>
      </c>
      <c r="P1573" s="17" t="n">
        <v>45807</v>
      </c>
      <c r="Q1573" s="17" t="n">
        <v>45807</v>
      </c>
      <c r="R1573" s="17" t="n">
        <v>45807</v>
      </c>
      <c r="S1573" s="19">
        <f>H1573*I1573</f>
        <v/>
      </c>
      <c r="T1573" s="19">
        <f>H1573*J1573</f>
        <v/>
      </c>
      <c r="U1573">
        <f>IF(AND(K1573=0,G1573&lt;=Assumptions!$C$6),1,0)</f>
        <v/>
      </c>
      <c r="V1573">
        <f>IF(U1573=1,IF(M1573&gt;0,IF(P1573&lt;=G1573+Assumptions!$C$7,1,0),0),0)</f>
        <v/>
      </c>
      <c r="W1573">
        <f>IF(AND(U1573=1,M1573&gt;=H1573*(1-Assumptions!$C$8)),1,0)</f>
        <v/>
      </c>
      <c r="X1573">
        <f>IF(AND(U1573=1,N1573&gt;=H1573*(1-Assumptions!$C$8)),1,0)</f>
        <v/>
      </c>
      <c r="Y1573">
        <f>IF(ISNUMBER(Q1573),1,0)</f>
        <v/>
      </c>
      <c r="Z1573">
        <f>IF(AND(K1573=0,L1573=0,Y1573=0),1,0)</f>
        <v/>
      </c>
      <c r="AA1573">
        <f>IF(AND(Z1573=1,G1573&lt;Assumptions!$C$6),1,0)</f>
        <v/>
      </c>
      <c r="AB1573">
        <f>IF(U1573=0,"",IF(Y1573=1,MAX(0,Q1573-G1573),IF(L1573=1,MAX(0,R1573-G1573),MAX(0,Assumptions!$C$6-G1573))))</f>
        <v/>
      </c>
      <c r="AC1573">
        <f>IF(Y1573=1,Q1573-F1573,"")</f>
        <v/>
      </c>
      <c r="AD1573">
        <f>IF(Y1573=1,AC1573^2,"")</f>
        <v/>
      </c>
      <c r="AE1573" s="19">
        <f>IF(Z1573=1,(H1573-M1573)*I1573,0)</f>
        <v/>
      </c>
      <c r="AF1573">
        <f>IF(G1573&lt;EDATE(Assumptions!$C$6,-12)+1,"prior_12m","last_12m")</f>
        <v/>
      </c>
      <c r="AG1573" s="21">
        <f>DATE(YEAR(G1573),MONTH(G1573),1)</f>
        <v/>
      </c>
    </row>
    <row r="1574">
      <c r="A1574" t="inlineStr">
        <is>
          <t>SPO-00853-4</t>
        </is>
      </c>
      <c r="B1574" t="inlineStr">
        <is>
          <t>SPO-00853</t>
        </is>
      </c>
      <c r="C1574" t="inlineStr">
        <is>
          <t>SUP-08</t>
        </is>
      </c>
      <c r="D1574" t="inlineStr">
        <is>
          <t>PPE</t>
        </is>
      </c>
      <c r="E1574" t="inlineStr">
        <is>
          <t>PPE-02</t>
        </is>
      </c>
      <c r="F1574" s="17" t="n">
        <v>45804</v>
      </c>
      <c r="G1574" s="17" t="n">
        <v>45815</v>
      </c>
      <c r="H1574" s="18" t="n">
        <v>153</v>
      </c>
      <c r="I1574" s="19" t="n">
        <v>12.26</v>
      </c>
      <c r="J1574" s="19" t="n">
        <v>12.5</v>
      </c>
      <c r="K1574" s="20" t="n">
        <v>0</v>
      </c>
      <c r="L1574" s="20" t="n">
        <v>0</v>
      </c>
      <c r="M1574" s="18" t="n">
        <v>153</v>
      </c>
      <c r="N1574" s="18" t="n">
        <v>153</v>
      </c>
      <c r="O1574" s="18" t="n">
        <v>0</v>
      </c>
      <c r="P1574" s="17" t="n">
        <v>45814</v>
      </c>
      <c r="Q1574" s="17" t="n">
        <v>45814</v>
      </c>
      <c r="R1574" s="17" t="n">
        <v>45814</v>
      </c>
      <c r="S1574" s="19">
        <f>H1574*I1574</f>
        <v/>
      </c>
      <c r="T1574" s="19">
        <f>H1574*J1574</f>
        <v/>
      </c>
      <c r="U1574">
        <f>IF(AND(K1574=0,G1574&lt;=Assumptions!$C$6),1,0)</f>
        <v/>
      </c>
      <c r="V1574">
        <f>IF(U1574=1,IF(M1574&gt;0,IF(P1574&lt;=G1574+Assumptions!$C$7,1,0),0),0)</f>
        <v/>
      </c>
      <c r="W1574">
        <f>IF(AND(U1574=1,M1574&gt;=H1574*(1-Assumptions!$C$8)),1,0)</f>
        <v/>
      </c>
      <c r="X1574">
        <f>IF(AND(U1574=1,N1574&gt;=H1574*(1-Assumptions!$C$8)),1,0)</f>
        <v/>
      </c>
      <c r="Y1574">
        <f>IF(ISNUMBER(Q1574),1,0)</f>
        <v/>
      </c>
      <c r="Z1574">
        <f>IF(AND(K1574=0,L1574=0,Y1574=0),1,0)</f>
        <v/>
      </c>
      <c r="AA1574">
        <f>IF(AND(Z1574=1,G1574&lt;Assumptions!$C$6),1,0)</f>
        <v/>
      </c>
      <c r="AB1574">
        <f>IF(U1574=0,"",IF(Y1574=1,MAX(0,Q1574-G1574),IF(L1574=1,MAX(0,R1574-G1574),MAX(0,Assumptions!$C$6-G1574))))</f>
        <v/>
      </c>
      <c r="AC1574">
        <f>IF(Y1574=1,Q1574-F1574,"")</f>
        <v/>
      </c>
      <c r="AD1574">
        <f>IF(Y1574=1,AC1574^2,"")</f>
        <v/>
      </c>
      <c r="AE1574" s="19">
        <f>IF(Z1574=1,(H1574-M1574)*I1574,0)</f>
        <v/>
      </c>
      <c r="AF1574">
        <f>IF(G1574&lt;EDATE(Assumptions!$C$6,-12)+1,"prior_12m","last_12m")</f>
        <v/>
      </c>
      <c r="AG1574" s="21">
        <f>DATE(YEAR(G1574),MONTH(G1574),1)</f>
        <v/>
      </c>
    </row>
    <row r="1575">
      <c r="A1575" t="inlineStr">
        <is>
          <t>SPO-00854-1</t>
        </is>
      </c>
      <c r="B1575" t="inlineStr">
        <is>
          <t>SPO-00854</t>
        </is>
      </c>
      <c r="C1575" t="inlineStr">
        <is>
          <t>SUP-11</t>
        </is>
      </c>
      <c r="D1575" t="inlineStr">
        <is>
          <t>PPE</t>
        </is>
      </c>
      <c r="E1575" t="inlineStr">
        <is>
          <t>PPE-02</t>
        </is>
      </c>
      <c r="F1575" s="17" t="n">
        <v>45804</v>
      </c>
      <c r="G1575" s="17" t="n">
        <v>45816</v>
      </c>
      <c r="H1575" s="18" t="n">
        <v>173</v>
      </c>
      <c r="I1575" s="19" t="n">
        <v>12.93</v>
      </c>
      <c r="J1575" s="19" t="n">
        <v>12.5</v>
      </c>
      <c r="K1575" s="20" t="n">
        <v>0</v>
      </c>
      <c r="L1575" s="20" t="n">
        <v>0</v>
      </c>
      <c r="M1575" s="18" t="n">
        <v>173</v>
      </c>
      <c r="N1575" s="18" t="n">
        <v>173</v>
      </c>
      <c r="O1575" s="18" t="n">
        <v>0</v>
      </c>
      <c r="P1575" s="17" t="n">
        <v>45814</v>
      </c>
      <c r="Q1575" s="17" t="n">
        <v>45814</v>
      </c>
      <c r="R1575" s="17" t="n">
        <v>45814</v>
      </c>
      <c r="S1575" s="19">
        <f>H1575*I1575</f>
        <v/>
      </c>
      <c r="T1575" s="19">
        <f>H1575*J1575</f>
        <v/>
      </c>
      <c r="U1575">
        <f>IF(AND(K1575=0,G1575&lt;=Assumptions!$C$6),1,0)</f>
        <v/>
      </c>
      <c r="V1575">
        <f>IF(U1575=1,IF(M1575&gt;0,IF(P1575&lt;=G1575+Assumptions!$C$7,1,0),0),0)</f>
        <v/>
      </c>
      <c r="W1575">
        <f>IF(AND(U1575=1,M1575&gt;=H1575*(1-Assumptions!$C$8)),1,0)</f>
        <v/>
      </c>
      <c r="X1575">
        <f>IF(AND(U1575=1,N1575&gt;=H1575*(1-Assumptions!$C$8)),1,0)</f>
        <v/>
      </c>
      <c r="Y1575">
        <f>IF(ISNUMBER(Q1575),1,0)</f>
        <v/>
      </c>
      <c r="Z1575">
        <f>IF(AND(K1575=0,L1575=0,Y1575=0),1,0)</f>
        <v/>
      </c>
      <c r="AA1575">
        <f>IF(AND(Z1575=1,G1575&lt;Assumptions!$C$6),1,0)</f>
        <v/>
      </c>
      <c r="AB1575">
        <f>IF(U1575=0,"",IF(Y1575=1,MAX(0,Q1575-G1575),IF(L1575=1,MAX(0,R1575-G1575),MAX(0,Assumptions!$C$6-G1575))))</f>
        <v/>
      </c>
      <c r="AC1575">
        <f>IF(Y1575=1,Q1575-F1575,"")</f>
        <v/>
      </c>
      <c r="AD1575">
        <f>IF(Y1575=1,AC1575^2,"")</f>
        <v/>
      </c>
      <c r="AE1575" s="19">
        <f>IF(Z1575=1,(H1575-M1575)*I1575,0)</f>
        <v/>
      </c>
      <c r="AF1575">
        <f>IF(G1575&lt;EDATE(Assumptions!$C$6,-12)+1,"prior_12m","last_12m")</f>
        <v/>
      </c>
      <c r="AG1575" s="21">
        <f>DATE(YEAR(G1575),MONTH(G1575),1)</f>
        <v/>
      </c>
    </row>
    <row r="1576">
      <c r="A1576" t="inlineStr">
        <is>
          <t>SPO-00855-1</t>
        </is>
      </c>
      <c r="B1576" t="inlineStr">
        <is>
          <t>SPO-00855</t>
        </is>
      </c>
      <c r="C1576" t="inlineStr">
        <is>
          <t>SUP-11</t>
        </is>
      </c>
      <c r="D1576" t="inlineStr">
        <is>
          <t>PPE</t>
        </is>
      </c>
      <c r="E1576" t="inlineStr">
        <is>
          <t>PPE-06</t>
        </is>
      </c>
      <c r="F1576" s="17" t="n">
        <v>45804</v>
      </c>
      <c r="G1576" s="17" t="n">
        <v>45816</v>
      </c>
      <c r="H1576" s="18" t="n">
        <v>20</v>
      </c>
      <c r="I1576" s="19" t="n">
        <v>107.53</v>
      </c>
      <c r="J1576" s="19" t="n">
        <v>115</v>
      </c>
      <c r="K1576" s="20" t="n">
        <v>0</v>
      </c>
      <c r="L1576" s="20" t="n">
        <v>0</v>
      </c>
      <c r="M1576" s="18" t="n">
        <v>20</v>
      </c>
      <c r="N1576" s="18" t="n">
        <v>14</v>
      </c>
      <c r="O1576" s="18" t="n">
        <v>0</v>
      </c>
      <c r="P1576" s="17" t="n">
        <v>45814</v>
      </c>
      <c r="Q1576" s="17" t="n">
        <v>45823</v>
      </c>
      <c r="R1576" s="17" t="n">
        <v>45823</v>
      </c>
      <c r="S1576" s="19">
        <f>H1576*I1576</f>
        <v/>
      </c>
      <c r="T1576" s="19">
        <f>H1576*J1576</f>
        <v/>
      </c>
      <c r="U1576">
        <f>IF(AND(K1576=0,G1576&lt;=Assumptions!$C$6),1,0)</f>
        <v/>
      </c>
      <c r="V1576">
        <f>IF(U1576=1,IF(M1576&gt;0,IF(P1576&lt;=G1576+Assumptions!$C$7,1,0),0),0)</f>
        <v/>
      </c>
      <c r="W1576">
        <f>IF(AND(U1576=1,M1576&gt;=H1576*(1-Assumptions!$C$8)),1,0)</f>
        <v/>
      </c>
      <c r="X1576">
        <f>IF(AND(U1576=1,N1576&gt;=H1576*(1-Assumptions!$C$8)),1,0)</f>
        <v/>
      </c>
      <c r="Y1576">
        <f>IF(ISNUMBER(Q1576),1,0)</f>
        <v/>
      </c>
      <c r="Z1576">
        <f>IF(AND(K1576=0,L1576=0,Y1576=0),1,0)</f>
        <v/>
      </c>
      <c r="AA1576">
        <f>IF(AND(Z1576=1,G1576&lt;Assumptions!$C$6),1,0)</f>
        <v/>
      </c>
      <c r="AB1576">
        <f>IF(U1576=0,"",IF(Y1576=1,MAX(0,Q1576-G1576),IF(L1576=1,MAX(0,R1576-G1576),MAX(0,Assumptions!$C$6-G1576))))</f>
        <v/>
      </c>
      <c r="AC1576">
        <f>IF(Y1576=1,Q1576-F1576,"")</f>
        <v/>
      </c>
      <c r="AD1576">
        <f>IF(Y1576=1,AC1576^2,"")</f>
        <v/>
      </c>
      <c r="AE1576" s="19">
        <f>IF(Z1576=1,(H1576-M1576)*I1576,0)</f>
        <v/>
      </c>
      <c r="AF1576">
        <f>IF(G1576&lt;EDATE(Assumptions!$C$6,-12)+1,"prior_12m","last_12m")</f>
        <v/>
      </c>
      <c r="AG1576" s="21">
        <f>DATE(YEAR(G1576),MONTH(G1576),1)</f>
        <v/>
      </c>
    </row>
    <row r="1577">
      <c r="A1577" t="inlineStr">
        <is>
          <t>SPO-00856-1</t>
        </is>
      </c>
      <c r="B1577" t="inlineStr">
        <is>
          <t>SPO-00856</t>
        </is>
      </c>
      <c r="C1577" t="inlineStr">
        <is>
          <t>SUP-14</t>
        </is>
      </c>
      <c r="D1577" t="inlineStr">
        <is>
          <t>FLEET</t>
        </is>
      </c>
      <c r="E1577" t="inlineStr">
        <is>
          <t>FLEET-06</t>
        </is>
      </c>
      <c r="F1577" s="17" t="n">
        <v>45804</v>
      </c>
      <c r="G1577" s="17" t="n">
        <v>45818</v>
      </c>
      <c r="H1577" s="18" t="n">
        <v>56</v>
      </c>
      <c r="I1577" s="19" t="n">
        <v>34.07</v>
      </c>
      <c r="J1577" s="19" t="n">
        <v>33</v>
      </c>
      <c r="K1577" s="20" t="n">
        <v>0</v>
      </c>
      <c r="L1577" s="20" t="n">
        <v>0</v>
      </c>
      <c r="M1577" s="18" t="n">
        <v>56</v>
      </c>
      <c r="N1577" s="18" t="n">
        <v>56</v>
      </c>
      <c r="O1577" s="18" t="n">
        <v>0</v>
      </c>
      <c r="P1577" s="17" t="n">
        <v>45814</v>
      </c>
      <c r="Q1577" s="17" t="n">
        <v>45814</v>
      </c>
      <c r="R1577" s="17" t="n">
        <v>45814</v>
      </c>
      <c r="S1577" s="19">
        <f>H1577*I1577</f>
        <v/>
      </c>
      <c r="T1577" s="19">
        <f>H1577*J1577</f>
        <v/>
      </c>
      <c r="U1577">
        <f>IF(AND(K1577=0,G1577&lt;=Assumptions!$C$6),1,0)</f>
        <v/>
      </c>
      <c r="V1577">
        <f>IF(U1577=1,IF(M1577&gt;0,IF(P1577&lt;=G1577+Assumptions!$C$7,1,0),0),0)</f>
        <v/>
      </c>
      <c r="W1577">
        <f>IF(AND(U1577=1,M1577&gt;=H1577*(1-Assumptions!$C$8)),1,0)</f>
        <v/>
      </c>
      <c r="X1577">
        <f>IF(AND(U1577=1,N1577&gt;=H1577*(1-Assumptions!$C$8)),1,0)</f>
        <v/>
      </c>
      <c r="Y1577">
        <f>IF(ISNUMBER(Q1577),1,0)</f>
        <v/>
      </c>
      <c r="Z1577">
        <f>IF(AND(K1577=0,L1577=0,Y1577=0),1,0)</f>
        <v/>
      </c>
      <c r="AA1577">
        <f>IF(AND(Z1577=1,G1577&lt;Assumptions!$C$6),1,0)</f>
        <v/>
      </c>
      <c r="AB1577">
        <f>IF(U1577=0,"",IF(Y1577=1,MAX(0,Q1577-G1577),IF(L1577=1,MAX(0,R1577-G1577),MAX(0,Assumptions!$C$6-G1577))))</f>
        <v/>
      </c>
      <c r="AC1577">
        <f>IF(Y1577=1,Q1577-F1577,"")</f>
        <v/>
      </c>
      <c r="AD1577">
        <f>IF(Y1577=1,AC1577^2,"")</f>
        <v/>
      </c>
      <c r="AE1577" s="19">
        <f>IF(Z1577=1,(H1577-M1577)*I1577,0)</f>
        <v/>
      </c>
      <c r="AF1577">
        <f>IF(G1577&lt;EDATE(Assumptions!$C$6,-12)+1,"prior_12m","last_12m")</f>
        <v/>
      </c>
      <c r="AG1577" s="21">
        <f>DATE(YEAR(G1577),MONTH(G1577),1)</f>
        <v/>
      </c>
    </row>
    <row r="1578">
      <c r="A1578" t="inlineStr">
        <is>
          <t>SPO-00856-2</t>
        </is>
      </c>
      <c r="B1578" t="inlineStr">
        <is>
          <t>SPO-00856</t>
        </is>
      </c>
      <c r="C1578" t="inlineStr">
        <is>
          <t>SUP-14</t>
        </is>
      </c>
      <c r="D1578" t="inlineStr">
        <is>
          <t>FLEET</t>
        </is>
      </c>
      <c r="E1578" t="inlineStr">
        <is>
          <t>FLEET-02</t>
        </is>
      </c>
      <c r="F1578" s="17" t="n">
        <v>45804</v>
      </c>
      <c r="G1578" s="17" t="n">
        <v>45818</v>
      </c>
      <c r="H1578" s="18" t="n">
        <v>200</v>
      </c>
      <c r="I1578" s="19" t="n">
        <v>7.7</v>
      </c>
      <c r="J1578" s="19" t="n">
        <v>7.5</v>
      </c>
      <c r="K1578" s="20" t="n">
        <v>0</v>
      </c>
      <c r="L1578" s="20" t="n">
        <v>0</v>
      </c>
      <c r="M1578" s="18" t="n">
        <v>200</v>
      </c>
      <c r="N1578" s="18" t="n">
        <v>200</v>
      </c>
      <c r="O1578" s="18" t="n">
        <v>0</v>
      </c>
      <c r="P1578" s="17" t="n">
        <v>45816</v>
      </c>
      <c r="Q1578" s="17" t="n">
        <v>45816</v>
      </c>
      <c r="R1578" s="17" t="n">
        <v>45816</v>
      </c>
      <c r="S1578" s="19">
        <f>H1578*I1578</f>
        <v/>
      </c>
      <c r="T1578" s="19">
        <f>H1578*J1578</f>
        <v/>
      </c>
      <c r="U1578">
        <f>IF(AND(K1578=0,G1578&lt;=Assumptions!$C$6),1,0)</f>
        <v/>
      </c>
      <c r="V1578">
        <f>IF(U1578=1,IF(M1578&gt;0,IF(P1578&lt;=G1578+Assumptions!$C$7,1,0),0),0)</f>
        <v/>
      </c>
      <c r="W1578">
        <f>IF(AND(U1578=1,M1578&gt;=H1578*(1-Assumptions!$C$8)),1,0)</f>
        <v/>
      </c>
      <c r="X1578">
        <f>IF(AND(U1578=1,N1578&gt;=H1578*(1-Assumptions!$C$8)),1,0)</f>
        <v/>
      </c>
      <c r="Y1578">
        <f>IF(ISNUMBER(Q1578),1,0)</f>
        <v/>
      </c>
      <c r="Z1578">
        <f>IF(AND(K1578=0,L1578=0,Y1578=0),1,0)</f>
        <v/>
      </c>
      <c r="AA1578">
        <f>IF(AND(Z1578=1,G1578&lt;Assumptions!$C$6),1,0)</f>
        <v/>
      </c>
      <c r="AB1578">
        <f>IF(U1578=0,"",IF(Y1578=1,MAX(0,Q1578-G1578),IF(L1578=1,MAX(0,R1578-G1578),MAX(0,Assumptions!$C$6-G1578))))</f>
        <v/>
      </c>
      <c r="AC1578">
        <f>IF(Y1578=1,Q1578-F1578,"")</f>
        <v/>
      </c>
      <c r="AD1578">
        <f>IF(Y1578=1,AC1578^2,"")</f>
        <v/>
      </c>
      <c r="AE1578" s="19">
        <f>IF(Z1578=1,(H1578-M1578)*I1578,0)</f>
        <v/>
      </c>
      <c r="AF1578">
        <f>IF(G1578&lt;EDATE(Assumptions!$C$6,-12)+1,"prior_12m","last_12m")</f>
        <v/>
      </c>
      <c r="AG1578" s="21">
        <f>DATE(YEAR(G1578),MONTH(G1578),1)</f>
        <v/>
      </c>
    </row>
    <row r="1579">
      <c r="A1579" t="inlineStr">
        <is>
          <t>SPO-00856-3</t>
        </is>
      </c>
      <c r="B1579" t="inlineStr">
        <is>
          <t>SPO-00856</t>
        </is>
      </c>
      <c r="C1579" t="inlineStr">
        <is>
          <t>SUP-14</t>
        </is>
      </c>
      <c r="D1579" t="inlineStr">
        <is>
          <t>FLEET</t>
        </is>
      </c>
      <c r="E1579" t="inlineStr">
        <is>
          <t>FLEET-05</t>
        </is>
      </c>
      <c r="F1579" s="17" t="n">
        <v>45804</v>
      </c>
      <c r="G1579" s="17" t="n">
        <v>45818</v>
      </c>
      <c r="H1579" s="18" t="n">
        <v>6</v>
      </c>
      <c r="I1579" s="19" t="n">
        <v>164.06</v>
      </c>
      <c r="J1579" s="19" t="n">
        <v>168</v>
      </c>
      <c r="K1579" s="20" t="n">
        <v>0</v>
      </c>
      <c r="L1579" s="20" t="n">
        <v>0</v>
      </c>
      <c r="M1579" s="18" t="n">
        <v>6</v>
      </c>
      <c r="N1579" s="18" t="n">
        <v>6</v>
      </c>
      <c r="O1579" s="18" t="n">
        <v>0</v>
      </c>
      <c r="P1579" s="17" t="n">
        <v>45818</v>
      </c>
      <c r="Q1579" s="17" t="n">
        <v>45818</v>
      </c>
      <c r="R1579" s="17" t="n">
        <v>45818</v>
      </c>
      <c r="S1579" s="19">
        <f>H1579*I1579</f>
        <v/>
      </c>
      <c r="T1579" s="19">
        <f>H1579*J1579</f>
        <v/>
      </c>
      <c r="U1579">
        <f>IF(AND(K1579=0,G1579&lt;=Assumptions!$C$6),1,0)</f>
        <v/>
      </c>
      <c r="V1579">
        <f>IF(U1579=1,IF(M1579&gt;0,IF(P1579&lt;=G1579+Assumptions!$C$7,1,0),0),0)</f>
        <v/>
      </c>
      <c r="W1579">
        <f>IF(AND(U1579=1,M1579&gt;=H1579*(1-Assumptions!$C$8)),1,0)</f>
        <v/>
      </c>
      <c r="X1579">
        <f>IF(AND(U1579=1,N1579&gt;=H1579*(1-Assumptions!$C$8)),1,0)</f>
        <v/>
      </c>
      <c r="Y1579">
        <f>IF(ISNUMBER(Q1579),1,0)</f>
        <v/>
      </c>
      <c r="Z1579">
        <f>IF(AND(K1579=0,L1579=0,Y1579=0),1,0)</f>
        <v/>
      </c>
      <c r="AA1579">
        <f>IF(AND(Z1579=1,G1579&lt;Assumptions!$C$6),1,0)</f>
        <v/>
      </c>
      <c r="AB1579">
        <f>IF(U1579=0,"",IF(Y1579=1,MAX(0,Q1579-G1579),IF(L1579=1,MAX(0,R1579-G1579),MAX(0,Assumptions!$C$6-G1579))))</f>
        <v/>
      </c>
      <c r="AC1579">
        <f>IF(Y1579=1,Q1579-F1579,"")</f>
        <v/>
      </c>
      <c r="AD1579">
        <f>IF(Y1579=1,AC1579^2,"")</f>
        <v/>
      </c>
      <c r="AE1579" s="19">
        <f>IF(Z1579=1,(H1579-M1579)*I1579,0)</f>
        <v/>
      </c>
      <c r="AF1579">
        <f>IF(G1579&lt;EDATE(Assumptions!$C$6,-12)+1,"prior_12m","last_12m")</f>
        <v/>
      </c>
      <c r="AG1579" s="21">
        <f>DATE(YEAR(G1579),MONTH(G1579),1)</f>
        <v/>
      </c>
    </row>
    <row r="1580">
      <c r="A1580" t="inlineStr">
        <is>
          <t>SPO-00857-1</t>
        </is>
      </c>
      <c r="B1580" t="inlineStr">
        <is>
          <t>SPO-00857</t>
        </is>
      </c>
      <c r="C1580" t="inlineStr">
        <is>
          <t>SUP-04</t>
        </is>
      </c>
      <c r="D1580" t="inlineStr">
        <is>
          <t>FLEET</t>
        </is>
      </c>
      <c r="E1580" t="inlineStr">
        <is>
          <t>FLEET-07</t>
        </is>
      </c>
      <c r="F1580" s="17" t="n">
        <v>45805</v>
      </c>
      <c r="G1580" s="17" t="n">
        <v>45818</v>
      </c>
      <c r="H1580" s="18" t="n">
        <v>9</v>
      </c>
      <c r="I1580" s="19" t="n">
        <v>115.23</v>
      </c>
      <c r="J1580" s="19" t="n">
        <v>118</v>
      </c>
      <c r="K1580" s="20" t="n">
        <v>0</v>
      </c>
      <c r="L1580" s="20" t="n">
        <v>0</v>
      </c>
      <c r="M1580" s="18" t="n">
        <v>9</v>
      </c>
      <c r="N1580" s="18" t="n">
        <v>0</v>
      </c>
      <c r="O1580" s="18" t="n">
        <v>0</v>
      </c>
      <c r="P1580" s="17" t="n">
        <v>45822</v>
      </c>
      <c r="Q1580" s="17" t="n">
        <v>45822</v>
      </c>
      <c r="R1580" s="17" t="n">
        <v>45822</v>
      </c>
      <c r="S1580" s="19">
        <f>H1580*I1580</f>
        <v/>
      </c>
      <c r="T1580" s="19">
        <f>H1580*J1580</f>
        <v/>
      </c>
      <c r="U1580">
        <f>IF(AND(K1580=0,G1580&lt;=Assumptions!$C$6),1,0)</f>
        <v/>
      </c>
      <c r="V1580">
        <f>IF(U1580=1,IF(M1580&gt;0,IF(P1580&lt;=G1580+Assumptions!$C$7,1,0),0),0)</f>
        <v/>
      </c>
      <c r="W1580">
        <f>IF(AND(U1580=1,M1580&gt;=H1580*(1-Assumptions!$C$8)),1,0)</f>
        <v/>
      </c>
      <c r="X1580">
        <f>IF(AND(U1580=1,N1580&gt;=H1580*(1-Assumptions!$C$8)),1,0)</f>
        <v/>
      </c>
      <c r="Y1580">
        <f>IF(ISNUMBER(Q1580),1,0)</f>
        <v/>
      </c>
      <c r="Z1580">
        <f>IF(AND(K1580=0,L1580=0,Y1580=0),1,0)</f>
        <v/>
      </c>
      <c r="AA1580">
        <f>IF(AND(Z1580=1,G1580&lt;Assumptions!$C$6),1,0)</f>
        <v/>
      </c>
      <c r="AB1580">
        <f>IF(U1580=0,"",IF(Y1580=1,MAX(0,Q1580-G1580),IF(L1580=1,MAX(0,R1580-G1580),MAX(0,Assumptions!$C$6-G1580))))</f>
        <v/>
      </c>
      <c r="AC1580">
        <f>IF(Y1580=1,Q1580-F1580,"")</f>
        <v/>
      </c>
      <c r="AD1580">
        <f>IF(Y1580=1,AC1580^2,"")</f>
        <v/>
      </c>
      <c r="AE1580" s="19">
        <f>IF(Z1580=1,(H1580-M1580)*I1580,0)</f>
        <v/>
      </c>
      <c r="AF1580">
        <f>IF(G1580&lt;EDATE(Assumptions!$C$6,-12)+1,"prior_12m","last_12m")</f>
        <v/>
      </c>
      <c r="AG1580" s="21">
        <f>DATE(YEAR(G1580),MONTH(G1580),1)</f>
        <v/>
      </c>
    </row>
    <row r="1581">
      <c r="A1581" t="inlineStr">
        <is>
          <t>SPO-00857-2</t>
        </is>
      </c>
      <c r="B1581" t="inlineStr">
        <is>
          <t>SPO-00857</t>
        </is>
      </c>
      <c r="C1581" t="inlineStr">
        <is>
          <t>SUP-04</t>
        </is>
      </c>
      <c r="D1581" t="inlineStr">
        <is>
          <t>FLEET</t>
        </is>
      </c>
      <c r="E1581" t="inlineStr">
        <is>
          <t>FLEET-06</t>
        </is>
      </c>
      <c r="F1581" s="17" t="n">
        <v>45805</v>
      </c>
      <c r="G1581" s="17" t="n">
        <v>45818</v>
      </c>
      <c r="H1581" s="18" t="n">
        <v>94</v>
      </c>
      <c r="I1581" s="19" t="n">
        <v>32.64</v>
      </c>
      <c r="J1581" s="19" t="n">
        <v>33</v>
      </c>
      <c r="K1581" s="20" t="n">
        <v>0</v>
      </c>
      <c r="L1581" s="20" t="n">
        <v>0</v>
      </c>
      <c r="M1581" s="18" t="n">
        <v>94</v>
      </c>
      <c r="N1581" s="18" t="n">
        <v>94</v>
      </c>
      <c r="O1581" s="18" t="n">
        <v>0</v>
      </c>
      <c r="P1581" s="17" t="n">
        <v>45818</v>
      </c>
      <c r="Q1581" s="17" t="n">
        <v>45818</v>
      </c>
      <c r="R1581" s="17" t="n">
        <v>45818</v>
      </c>
      <c r="S1581" s="19">
        <f>H1581*I1581</f>
        <v/>
      </c>
      <c r="T1581" s="19">
        <f>H1581*J1581</f>
        <v/>
      </c>
      <c r="U1581">
        <f>IF(AND(K1581=0,G1581&lt;=Assumptions!$C$6),1,0)</f>
        <v/>
      </c>
      <c r="V1581">
        <f>IF(U1581=1,IF(M1581&gt;0,IF(P1581&lt;=G1581+Assumptions!$C$7,1,0),0),0)</f>
        <v/>
      </c>
      <c r="W1581">
        <f>IF(AND(U1581=1,M1581&gt;=H1581*(1-Assumptions!$C$8)),1,0)</f>
        <v/>
      </c>
      <c r="X1581">
        <f>IF(AND(U1581=1,N1581&gt;=H1581*(1-Assumptions!$C$8)),1,0)</f>
        <v/>
      </c>
      <c r="Y1581">
        <f>IF(ISNUMBER(Q1581),1,0)</f>
        <v/>
      </c>
      <c r="Z1581">
        <f>IF(AND(K1581=0,L1581=0,Y1581=0),1,0)</f>
        <v/>
      </c>
      <c r="AA1581">
        <f>IF(AND(Z1581=1,G1581&lt;Assumptions!$C$6),1,0)</f>
        <v/>
      </c>
      <c r="AB1581">
        <f>IF(U1581=0,"",IF(Y1581=1,MAX(0,Q1581-G1581),IF(L1581=1,MAX(0,R1581-G1581),MAX(0,Assumptions!$C$6-G1581))))</f>
        <v/>
      </c>
      <c r="AC1581">
        <f>IF(Y1581=1,Q1581-F1581,"")</f>
        <v/>
      </c>
      <c r="AD1581">
        <f>IF(Y1581=1,AC1581^2,"")</f>
        <v/>
      </c>
      <c r="AE1581" s="19">
        <f>IF(Z1581=1,(H1581-M1581)*I1581,0)</f>
        <v/>
      </c>
      <c r="AF1581">
        <f>IF(G1581&lt;EDATE(Assumptions!$C$6,-12)+1,"prior_12m","last_12m")</f>
        <v/>
      </c>
      <c r="AG1581" s="21">
        <f>DATE(YEAR(G1581),MONTH(G1581),1)</f>
        <v/>
      </c>
    </row>
    <row r="1582">
      <c r="A1582" t="inlineStr">
        <is>
          <t>SPO-00857-3</t>
        </is>
      </c>
      <c r="B1582" t="inlineStr">
        <is>
          <t>SPO-00857</t>
        </is>
      </c>
      <c r="C1582" t="inlineStr">
        <is>
          <t>SUP-04</t>
        </is>
      </c>
      <c r="D1582" t="inlineStr">
        <is>
          <t>FLEET</t>
        </is>
      </c>
      <c r="E1582" t="inlineStr">
        <is>
          <t>FLEET-04</t>
        </is>
      </c>
      <c r="F1582" s="17" t="n">
        <v>45805</v>
      </c>
      <c r="G1582" s="17" t="n">
        <v>45818</v>
      </c>
      <c r="H1582" s="18" t="n">
        <v>157</v>
      </c>
      <c r="I1582" s="19" t="n">
        <v>8.529999999999999</v>
      </c>
      <c r="J1582" s="19" t="n">
        <v>9</v>
      </c>
      <c r="K1582" s="20" t="n">
        <v>0</v>
      </c>
      <c r="L1582" s="20" t="n">
        <v>0</v>
      </c>
      <c r="M1582" s="18" t="n">
        <v>157</v>
      </c>
      <c r="N1582" s="18" t="n">
        <v>157</v>
      </c>
      <c r="O1582" s="18" t="n">
        <v>0</v>
      </c>
      <c r="P1582" s="17" t="n">
        <v>45816</v>
      </c>
      <c r="Q1582" s="17" t="n">
        <v>45816</v>
      </c>
      <c r="R1582" s="17" t="n">
        <v>45816</v>
      </c>
      <c r="S1582" s="19">
        <f>H1582*I1582</f>
        <v/>
      </c>
      <c r="T1582" s="19">
        <f>H1582*J1582</f>
        <v/>
      </c>
      <c r="U1582">
        <f>IF(AND(K1582=0,G1582&lt;=Assumptions!$C$6),1,0)</f>
        <v/>
      </c>
      <c r="V1582">
        <f>IF(U1582=1,IF(M1582&gt;0,IF(P1582&lt;=G1582+Assumptions!$C$7,1,0),0),0)</f>
        <v/>
      </c>
      <c r="W1582">
        <f>IF(AND(U1582=1,M1582&gt;=H1582*(1-Assumptions!$C$8)),1,0)</f>
        <v/>
      </c>
      <c r="X1582">
        <f>IF(AND(U1582=1,N1582&gt;=H1582*(1-Assumptions!$C$8)),1,0)</f>
        <v/>
      </c>
      <c r="Y1582">
        <f>IF(ISNUMBER(Q1582),1,0)</f>
        <v/>
      </c>
      <c r="Z1582">
        <f>IF(AND(K1582=0,L1582=0,Y1582=0),1,0)</f>
        <v/>
      </c>
      <c r="AA1582">
        <f>IF(AND(Z1582=1,G1582&lt;Assumptions!$C$6),1,0)</f>
        <v/>
      </c>
      <c r="AB1582">
        <f>IF(U1582=0,"",IF(Y1582=1,MAX(0,Q1582-G1582),IF(L1582=1,MAX(0,R1582-G1582),MAX(0,Assumptions!$C$6-G1582))))</f>
        <v/>
      </c>
      <c r="AC1582">
        <f>IF(Y1582=1,Q1582-F1582,"")</f>
        <v/>
      </c>
      <c r="AD1582">
        <f>IF(Y1582=1,AC1582^2,"")</f>
        <v/>
      </c>
      <c r="AE1582" s="19">
        <f>IF(Z1582=1,(H1582-M1582)*I1582,0)</f>
        <v/>
      </c>
      <c r="AF1582">
        <f>IF(G1582&lt;EDATE(Assumptions!$C$6,-12)+1,"prior_12m","last_12m")</f>
        <v/>
      </c>
      <c r="AG1582" s="21">
        <f>DATE(YEAR(G1582),MONTH(G1582),1)</f>
        <v/>
      </c>
    </row>
    <row r="1583">
      <c r="A1583" t="inlineStr">
        <is>
          <t>SPO-00858-1</t>
        </is>
      </c>
      <c r="B1583" t="inlineStr">
        <is>
          <t>SPO-00858</t>
        </is>
      </c>
      <c r="C1583" t="inlineStr">
        <is>
          <t>SUP-01</t>
        </is>
      </c>
      <c r="D1583" t="inlineStr">
        <is>
          <t>ELEC</t>
        </is>
      </c>
      <c r="E1583" t="inlineStr">
        <is>
          <t>ELEC-05</t>
        </is>
      </c>
      <c r="F1583" s="17" t="n">
        <v>45805</v>
      </c>
      <c r="G1583" s="17" t="n">
        <v>45823</v>
      </c>
      <c r="H1583" s="18" t="n">
        <v>329</v>
      </c>
      <c r="I1583" s="19" t="n">
        <v>11.86</v>
      </c>
      <c r="J1583" s="19" t="n">
        <v>11.5</v>
      </c>
      <c r="K1583" s="20" t="n">
        <v>0</v>
      </c>
      <c r="L1583" s="20" t="n">
        <v>0</v>
      </c>
      <c r="M1583" s="18" t="n">
        <v>329</v>
      </c>
      <c r="N1583" s="18" t="n">
        <v>329</v>
      </c>
      <c r="O1583" s="18" t="n">
        <v>0</v>
      </c>
      <c r="P1583" s="17" t="n">
        <v>45820</v>
      </c>
      <c r="Q1583" s="17" t="n">
        <v>45820</v>
      </c>
      <c r="R1583" s="17" t="n">
        <v>45820</v>
      </c>
      <c r="S1583" s="19">
        <f>H1583*I1583</f>
        <v/>
      </c>
      <c r="T1583" s="19">
        <f>H1583*J1583</f>
        <v/>
      </c>
      <c r="U1583">
        <f>IF(AND(K1583=0,G1583&lt;=Assumptions!$C$6),1,0)</f>
        <v/>
      </c>
      <c r="V1583">
        <f>IF(U1583=1,IF(M1583&gt;0,IF(P1583&lt;=G1583+Assumptions!$C$7,1,0),0),0)</f>
        <v/>
      </c>
      <c r="W1583">
        <f>IF(AND(U1583=1,M1583&gt;=H1583*(1-Assumptions!$C$8)),1,0)</f>
        <v/>
      </c>
      <c r="X1583">
        <f>IF(AND(U1583=1,N1583&gt;=H1583*(1-Assumptions!$C$8)),1,0)</f>
        <v/>
      </c>
      <c r="Y1583">
        <f>IF(ISNUMBER(Q1583),1,0)</f>
        <v/>
      </c>
      <c r="Z1583">
        <f>IF(AND(K1583=0,L1583=0,Y1583=0),1,0)</f>
        <v/>
      </c>
      <c r="AA1583">
        <f>IF(AND(Z1583=1,G1583&lt;Assumptions!$C$6),1,0)</f>
        <v/>
      </c>
      <c r="AB1583">
        <f>IF(U1583=0,"",IF(Y1583=1,MAX(0,Q1583-G1583),IF(L1583=1,MAX(0,R1583-G1583),MAX(0,Assumptions!$C$6-G1583))))</f>
        <v/>
      </c>
      <c r="AC1583">
        <f>IF(Y1583=1,Q1583-F1583,"")</f>
        <v/>
      </c>
      <c r="AD1583">
        <f>IF(Y1583=1,AC1583^2,"")</f>
        <v/>
      </c>
      <c r="AE1583" s="19">
        <f>IF(Z1583=1,(H1583-M1583)*I1583,0)</f>
        <v/>
      </c>
      <c r="AF1583">
        <f>IF(G1583&lt;EDATE(Assumptions!$C$6,-12)+1,"prior_12m","last_12m")</f>
        <v/>
      </c>
      <c r="AG1583" s="21">
        <f>DATE(YEAR(G1583),MONTH(G1583),1)</f>
        <v/>
      </c>
    </row>
    <row r="1584">
      <c r="A1584" t="inlineStr">
        <is>
          <t>SPO-00858-2</t>
        </is>
      </c>
      <c r="B1584" t="inlineStr">
        <is>
          <t>SPO-00858</t>
        </is>
      </c>
      <c r="C1584" t="inlineStr">
        <is>
          <t>SUP-01</t>
        </is>
      </c>
      <c r="D1584" t="inlineStr">
        <is>
          <t>ELEC</t>
        </is>
      </c>
      <c r="E1584" t="inlineStr">
        <is>
          <t>ELEC-04</t>
        </is>
      </c>
      <c r="F1584" s="17" t="n">
        <v>45805</v>
      </c>
      <c r="G1584" s="17" t="n">
        <v>45823</v>
      </c>
      <c r="H1584" s="18" t="n">
        <v>79</v>
      </c>
      <c r="I1584" s="19" t="n">
        <v>73.61</v>
      </c>
      <c r="J1584" s="19" t="n">
        <v>72</v>
      </c>
      <c r="K1584" s="20" t="n">
        <v>0</v>
      </c>
      <c r="L1584" s="20" t="n">
        <v>0</v>
      </c>
      <c r="M1584" s="18" t="n">
        <v>79</v>
      </c>
      <c r="N1584" s="18" t="n">
        <v>79</v>
      </c>
      <c r="O1584" s="18" t="n">
        <v>0</v>
      </c>
      <c r="P1584" s="17" t="n">
        <v>45817</v>
      </c>
      <c r="Q1584" s="17" t="n">
        <v>45817</v>
      </c>
      <c r="R1584" s="17" t="n">
        <v>45817</v>
      </c>
      <c r="S1584" s="19">
        <f>H1584*I1584</f>
        <v/>
      </c>
      <c r="T1584" s="19">
        <f>H1584*J1584</f>
        <v/>
      </c>
      <c r="U1584">
        <f>IF(AND(K1584=0,G1584&lt;=Assumptions!$C$6),1,0)</f>
        <v/>
      </c>
      <c r="V1584">
        <f>IF(U1584=1,IF(M1584&gt;0,IF(P1584&lt;=G1584+Assumptions!$C$7,1,0),0),0)</f>
        <v/>
      </c>
      <c r="W1584">
        <f>IF(AND(U1584=1,M1584&gt;=H1584*(1-Assumptions!$C$8)),1,0)</f>
        <v/>
      </c>
      <c r="X1584">
        <f>IF(AND(U1584=1,N1584&gt;=H1584*(1-Assumptions!$C$8)),1,0)</f>
        <v/>
      </c>
      <c r="Y1584">
        <f>IF(ISNUMBER(Q1584),1,0)</f>
        <v/>
      </c>
      <c r="Z1584">
        <f>IF(AND(K1584=0,L1584=0,Y1584=0),1,0)</f>
        <v/>
      </c>
      <c r="AA1584">
        <f>IF(AND(Z1584=1,G1584&lt;Assumptions!$C$6),1,0)</f>
        <v/>
      </c>
      <c r="AB1584">
        <f>IF(U1584=0,"",IF(Y1584=1,MAX(0,Q1584-G1584),IF(L1584=1,MAX(0,R1584-G1584),MAX(0,Assumptions!$C$6-G1584))))</f>
        <v/>
      </c>
      <c r="AC1584">
        <f>IF(Y1584=1,Q1584-F1584,"")</f>
        <v/>
      </c>
      <c r="AD1584">
        <f>IF(Y1584=1,AC1584^2,"")</f>
        <v/>
      </c>
      <c r="AE1584" s="19">
        <f>IF(Z1584=1,(H1584-M1584)*I1584,0)</f>
        <v/>
      </c>
      <c r="AF1584">
        <f>IF(G1584&lt;EDATE(Assumptions!$C$6,-12)+1,"prior_12m","last_12m")</f>
        <v/>
      </c>
      <c r="AG1584" s="21">
        <f>DATE(YEAR(G1584),MONTH(G1584),1)</f>
        <v/>
      </c>
    </row>
    <row r="1585">
      <c r="A1585" t="inlineStr">
        <is>
          <t>SPO-00858-3</t>
        </is>
      </c>
      <c r="B1585" t="inlineStr">
        <is>
          <t>SPO-00858</t>
        </is>
      </c>
      <c r="C1585" t="inlineStr">
        <is>
          <t>SUP-01</t>
        </is>
      </c>
      <c r="D1585" t="inlineStr">
        <is>
          <t>ELEC</t>
        </is>
      </c>
      <c r="E1585" t="inlineStr">
        <is>
          <t>ELEC-01</t>
        </is>
      </c>
      <c r="F1585" s="17" t="n">
        <v>45805</v>
      </c>
      <c r="G1585" s="17" t="n">
        <v>45823</v>
      </c>
      <c r="H1585" s="18" t="n">
        <v>61</v>
      </c>
      <c r="I1585" s="19" t="n">
        <v>39.45</v>
      </c>
      <c r="J1585" s="19" t="n">
        <v>38</v>
      </c>
      <c r="K1585" s="20" t="n">
        <v>0</v>
      </c>
      <c r="L1585" s="20" t="n">
        <v>0</v>
      </c>
      <c r="M1585" s="18" t="n">
        <v>61</v>
      </c>
      <c r="N1585" s="18" t="n">
        <v>61</v>
      </c>
      <c r="O1585" s="18" t="n">
        <v>0</v>
      </c>
      <c r="P1585" s="17" t="n">
        <v>45820</v>
      </c>
      <c r="Q1585" s="17" t="n">
        <v>45820</v>
      </c>
      <c r="R1585" s="17" t="n">
        <v>45820</v>
      </c>
      <c r="S1585" s="19">
        <f>H1585*I1585</f>
        <v/>
      </c>
      <c r="T1585" s="19">
        <f>H1585*J1585</f>
        <v/>
      </c>
      <c r="U1585">
        <f>IF(AND(K1585=0,G1585&lt;=Assumptions!$C$6),1,0)</f>
        <v/>
      </c>
      <c r="V1585">
        <f>IF(U1585=1,IF(M1585&gt;0,IF(P1585&lt;=G1585+Assumptions!$C$7,1,0),0),0)</f>
        <v/>
      </c>
      <c r="W1585">
        <f>IF(AND(U1585=1,M1585&gt;=H1585*(1-Assumptions!$C$8)),1,0)</f>
        <v/>
      </c>
      <c r="X1585">
        <f>IF(AND(U1585=1,N1585&gt;=H1585*(1-Assumptions!$C$8)),1,0)</f>
        <v/>
      </c>
      <c r="Y1585">
        <f>IF(ISNUMBER(Q1585),1,0)</f>
        <v/>
      </c>
      <c r="Z1585">
        <f>IF(AND(K1585=0,L1585=0,Y1585=0),1,0)</f>
        <v/>
      </c>
      <c r="AA1585">
        <f>IF(AND(Z1585=1,G1585&lt;Assumptions!$C$6),1,0)</f>
        <v/>
      </c>
      <c r="AB1585">
        <f>IF(U1585=0,"",IF(Y1585=1,MAX(0,Q1585-G1585),IF(L1585=1,MAX(0,R1585-G1585),MAX(0,Assumptions!$C$6-G1585))))</f>
        <v/>
      </c>
      <c r="AC1585">
        <f>IF(Y1585=1,Q1585-F1585,"")</f>
        <v/>
      </c>
      <c r="AD1585">
        <f>IF(Y1585=1,AC1585^2,"")</f>
        <v/>
      </c>
      <c r="AE1585" s="19">
        <f>IF(Z1585=1,(H1585-M1585)*I1585,0)</f>
        <v/>
      </c>
      <c r="AF1585">
        <f>IF(G1585&lt;EDATE(Assumptions!$C$6,-12)+1,"prior_12m","last_12m")</f>
        <v/>
      </c>
      <c r="AG1585" s="21">
        <f>DATE(YEAR(G1585),MONTH(G1585),1)</f>
        <v/>
      </c>
    </row>
    <row r="1586">
      <c r="A1586" t="inlineStr">
        <is>
          <t>SPO-00859-1</t>
        </is>
      </c>
      <c r="B1586" t="inlineStr">
        <is>
          <t>SPO-00859</t>
        </is>
      </c>
      <c r="C1586" t="inlineStr">
        <is>
          <t>SUP-06</t>
        </is>
      </c>
      <c r="D1586" t="inlineStr">
        <is>
          <t>MRO</t>
        </is>
      </c>
      <c r="E1586" t="inlineStr">
        <is>
          <t>MRO-04</t>
        </is>
      </c>
      <c r="F1586" s="17" t="n">
        <v>45805</v>
      </c>
      <c r="G1586" s="17" t="n">
        <v>45813</v>
      </c>
      <c r="H1586" s="18" t="n">
        <v>18</v>
      </c>
      <c r="I1586" s="19" t="n">
        <v>57.99</v>
      </c>
      <c r="J1586" s="19" t="n">
        <v>58</v>
      </c>
      <c r="K1586" s="20" t="n">
        <v>0</v>
      </c>
      <c r="L1586" s="20" t="n">
        <v>0</v>
      </c>
      <c r="M1586" s="18" t="n">
        <v>18</v>
      </c>
      <c r="N1586" s="18" t="n">
        <v>18</v>
      </c>
      <c r="O1586" s="18" t="n">
        <v>0</v>
      </c>
      <c r="P1586" s="17" t="n">
        <v>45811</v>
      </c>
      <c r="Q1586" s="17" t="n">
        <v>45811</v>
      </c>
      <c r="R1586" s="17" t="n">
        <v>45811</v>
      </c>
      <c r="S1586" s="19">
        <f>H1586*I1586</f>
        <v/>
      </c>
      <c r="T1586" s="19">
        <f>H1586*J1586</f>
        <v/>
      </c>
      <c r="U1586">
        <f>IF(AND(K1586=0,G1586&lt;=Assumptions!$C$6),1,0)</f>
        <v/>
      </c>
      <c r="V1586">
        <f>IF(U1586=1,IF(M1586&gt;0,IF(P1586&lt;=G1586+Assumptions!$C$7,1,0),0),0)</f>
        <v/>
      </c>
      <c r="W1586">
        <f>IF(AND(U1586=1,M1586&gt;=H1586*(1-Assumptions!$C$8)),1,0)</f>
        <v/>
      </c>
      <c r="X1586">
        <f>IF(AND(U1586=1,N1586&gt;=H1586*(1-Assumptions!$C$8)),1,0)</f>
        <v/>
      </c>
      <c r="Y1586">
        <f>IF(ISNUMBER(Q1586),1,0)</f>
        <v/>
      </c>
      <c r="Z1586">
        <f>IF(AND(K1586=0,L1586=0,Y1586=0),1,0)</f>
        <v/>
      </c>
      <c r="AA1586">
        <f>IF(AND(Z1586=1,G1586&lt;Assumptions!$C$6),1,0)</f>
        <v/>
      </c>
      <c r="AB1586">
        <f>IF(U1586=0,"",IF(Y1586=1,MAX(0,Q1586-G1586),IF(L1586=1,MAX(0,R1586-G1586),MAX(0,Assumptions!$C$6-G1586))))</f>
        <v/>
      </c>
      <c r="AC1586">
        <f>IF(Y1586=1,Q1586-F1586,"")</f>
        <v/>
      </c>
      <c r="AD1586">
        <f>IF(Y1586=1,AC1586^2,"")</f>
        <v/>
      </c>
      <c r="AE1586" s="19">
        <f>IF(Z1586=1,(H1586-M1586)*I1586,0)</f>
        <v/>
      </c>
      <c r="AF1586">
        <f>IF(G1586&lt;EDATE(Assumptions!$C$6,-12)+1,"prior_12m","last_12m")</f>
        <v/>
      </c>
      <c r="AG1586" s="21">
        <f>DATE(YEAR(G1586),MONTH(G1586),1)</f>
        <v/>
      </c>
    </row>
    <row r="1587">
      <c r="A1587" t="inlineStr">
        <is>
          <t>SPO-00859-2</t>
        </is>
      </c>
      <c r="B1587" t="inlineStr">
        <is>
          <t>SPO-00859</t>
        </is>
      </c>
      <c r="C1587" t="inlineStr">
        <is>
          <t>SUP-06</t>
        </is>
      </c>
      <c r="D1587" t="inlineStr">
        <is>
          <t>MRO</t>
        </is>
      </c>
      <c r="E1587" t="inlineStr">
        <is>
          <t>MRO-07</t>
        </is>
      </c>
      <c r="F1587" s="17" t="n">
        <v>45805</v>
      </c>
      <c r="G1587" s="17" t="n">
        <v>45813</v>
      </c>
      <c r="H1587" s="18" t="n">
        <v>136</v>
      </c>
      <c r="I1587" s="19" t="n">
        <v>13.81</v>
      </c>
      <c r="J1587" s="19" t="n">
        <v>14</v>
      </c>
      <c r="K1587" s="20" t="n">
        <v>0</v>
      </c>
      <c r="L1587" s="20" t="n">
        <v>0</v>
      </c>
      <c r="M1587" s="18" t="n">
        <v>136</v>
      </c>
      <c r="N1587" s="18" t="n">
        <v>136</v>
      </c>
      <c r="O1587" s="18" t="n">
        <v>0</v>
      </c>
      <c r="P1587" s="17" t="n">
        <v>45811</v>
      </c>
      <c r="Q1587" s="17" t="n">
        <v>45811</v>
      </c>
      <c r="R1587" s="17" t="n">
        <v>45811</v>
      </c>
      <c r="S1587" s="19">
        <f>H1587*I1587</f>
        <v/>
      </c>
      <c r="T1587" s="19">
        <f>H1587*J1587</f>
        <v/>
      </c>
      <c r="U1587">
        <f>IF(AND(K1587=0,G1587&lt;=Assumptions!$C$6),1,0)</f>
        <v/>
      </c>
      <c r="V1587">
        <f>IF(U1587=1,IF(M1587&gt;0,IF(P1587&lt;=G1587+Assumptions!$C$7,1,0),0),0)</f>
        <v/>
      </c>
      <c r="W1587">
        <f>IF(AND(U1587=1,M1587&gt;=H1587*(1-Assumptions!$C$8)),1,0)</f>
        <v/>
      </c>
      <c r="X1587">
        <f>IF(AND(U1587=1,N1587&gt;=H1587*(1-Assumptions!$C$8)),1,0)</f>
        <v/>
      </c>
      <c r="Y1587">
        <f>IF(ISNUMBER(Q1587),1,0)</f>
        <v/>
      </c>
      <c r="Z1587">
        <f>IF(AND(K1587=0,L1587=0,Y1587=0),1,0)</f>
        <v/>
      </c>
      <c r="AA1587">
        <f>IF(AND(Z1587=1,G1587&lt;Assumptions!$C$6),1,0)</f>
        <v/>
      </c>
      <c r="AB1587">
        <f>IF(U1587=0,"",IF(Y1587=1,MAX(0,Q1587-G1587),IF(L1587=1,MAX(0,R1587-G1587),MAX(0,Assumptions!$C$6-G1587))))</f>
        <v/>
      </c>
      <c r="AC1587">
        <f>IF(Y1587=1,Q1587-F1587,"")</f>
        <v/>
      </c>
      <c r="AD1587">
        <f>IF(Y1587=1,AC1587^2,"")</f>
        <v/>
      </c>
      <c r="AE1587" s="19">
        <f>IF(Z1587=1,(H1587-M1587)*I1587,0)</f>
        <v/>
      </c>
      <c r="AF1587">
        <f>IF(G1587&lt;EDATE(Assumptions!$C$6,-12)+1,"prior_12m","last_12m")</f>
        <v/>
      </c>
      <c r="AG1587" s="21">
        <f>DATE(YEAR(G1587),MONTH(G1587),1)</f>
        <v/>
      </c>
    </row>
    <row r="1588">
      <c r="A1588" t="inlineStr">
        <is>
          <t>SPO-00860-1</t>
        </is>
      </c>
      <c r="B1588" t="inlineStr">
        <is>
          <t>SPO-00860</t>
        </is>
      </c>
      <c r="C1588" t="inlineStr">
        <is>
          <t>SUP-08</t>
        </is>
      </c>
      <c r="D1588" t="inlineStr">
        <is>
          <t>MRO</t>
        </is>
      </c>
      <c r="E1588" t="inlineStr">
        <is>
          <t>MRO-06</t>
        </is>
      </c>
      <c r="F1588" s="17" t="n">
        <v>45806</v>
      </c>
      <c r="G1588" s="17" t="n">
        <v>45817</v>
      </c>
      <c r="H1588" s="18" t="n">
        <v>216</v>
      </c>
      <c r="I1588" s="19" t="n">
        <v>5.77</v>
      </c>
      <c r="J1588" s="19" t="n">
        <v>6.1</v>
      </c>
      <c r="K1588" s="20" t="n">
        <v>0</v>
      </c>
      <c r="L1588" s="20" t="n">
        <v>0</v>
      </c>
      <c r="M1588" s="18" t="n">
        <v>216</v>
      </c>
      <c r="N1588" s="18" t="n">
        <v>216</v>
      </c>
      <c r="O1588" s="18" t="n">
        <v>0</v>
      </c>
      <c r="P1588" s="17" t="n">
        <v>45817</v>
      </c>
      <c r="Q1588" s="17" t="n">
        <v>45817</v>
      </c>
      <c r="R1588" s="17" t="n">
        <v>45817</v>
      </c>
      <c r="S1588" s="19">
        <f>H1588*I1588</f>
        <v/>
      </c>
      <c r="T1588" s="19">
        <f>H1588*J1588</f>
        <v/>
      </c>
      <c r="U1588">
        <f>IF(AND(K1588=0,G1588&lt;=Assumptions!$C$6),1,0)</f>
        <v/>
      </c>
      <c r="V1588">
        <f>IF(U1588=1,IF(M1588&gt;0,IF(P1588&lt;=G1588+Assumptions!$C$7,1,0),0),0)</f>
        <v/>
      </c>
      <c r="W1588">
        <f>IF(AND(U1588=1,M1588&gt;=H1588*(1-Assumptions!$C$8)),1,0)</f>
        <v/>
      </c>
      <c r="X1588">
        <f>IF(AND(U1588=1,N1588&gt;=H1588*(1-Assumptions!$C$8)),1,0)</f>
        <v/>
      </c>
      <c r="Y1588">
        <f>IF(ISNUMBER(Q1588),1,0)</f>
        <v/>
      </c>
      <c r="Z1588">
        <f>IF(AND(K1588=0,L1588=0,Y1588=0),1,0)</f>
        <v/>
      </c>
      <c r="AA1588">
        <f>IF(AND(Z1588=1,G1588&lt;Assumptions!$C$6),1,0)</f>
        <v/>
      </c>
      <c r="AB1588">
        <f>IF(U1588=0,"",IF(Y1588=1,MAX(0,Q1588-G1588),IF(L1588=1,MAX(0,R1588-G1588),MAX(0,Assumptions!$C$6-G1588))))</f>
        <v/>
      </c>
      <c r="AC1588">
        <f>IF(Y1588=1,Q1588-F1588,"")</f>
        <v/>
      </c>
      <c r="AD1588">
        <f>IF(Y1588=1,AC1588^2,"")</f>
        <v/>
      </c>
      <c r="AE1588" s="19">
        <f>IF(Z1588=1,(H1588-M1588)*I1588,0)</f>
        <v/>
      </c>
      <c r="AF1588">
        <f>IF(G1588&lt;EDATE(Assumptions!$C$6,-12)+1,"prior_12m","last_12m")</f>
        <v/>
      </c>
      <c r="AG1588" s="21">
        <f>DATE(YEAR(G1588),MONTH(G1588),1)</f>
        <v/>
      </c>
    </row>
    <row r="1589">
      <c r="A1589" t="inlineStr">
        <is>
          <t>SPO-00860-2</t>
        </is>
      </c>
      <c r="B1589" t="inlineStr">
        <is>
          <t>SPO-00860</t>
        </is>
      </c>
      <c r="C1589" t="inlineStr">
        <is>
          <t>SUP-08</t>
        </is>
      </c>
      <c r="D1589" t="inlineStr">
        <is>
          <t>MRO</t>
        </is>
      </c>
      <c r="E1589" t="inlineStr">
        <is>
          <t>MRO-01</t>
        </is>
      </c>
      <c r="F1589" s="17" t="n">
        <v>45806</v>
      </c>
      <c r="G1589" s="17" t="n">
        <v>45817</v>
      </c>
      <c r="H1589" s="18" t="n">
        <v>32</v>
      </c>
      <c r="I1589" s="19" t="n">
        <v>52.13</v>
      </c>
      <c r="J1589" s="19" t="n">
        <v>52</v>
      </c>
      <c r="K1589" s="20" t="n">
        <v>0</v>
      </c>
      <c r="L1589" s="20" t="n">
        <v>0</v>
      </c>
      <c r="M1589" s="18" t="n">
        <v>32</v>
      </c>
      <c r="N1589" s="18" t="n">
        <v>32</v>
      </c>
      <c r="O1589" s="18" t="n">
        <v>0</v>
      </c>
      <c r="P1589" s="17" t="n">
        <v>45812</v>
      </c>
      <c r="Q1589" s="17" t="n">
        <v>45812</v>
      </c>
      <c r="R1589" s="17" t="n">
        <v>45812</v>
      </c>
      <c r="S1589" s="19">
        <f>H1589*I1589</f>
        <v/>
      </c>
      <c r="T1589" s="19">
        <f>H1589*J1589</f>
        <v/>
      </c>
      <c r="U1589">
        <f>IF(AND(K1589=0,G1589&lt;=Assumptions!$C$6),1,0)</f>
        <v/>
      </c>
      <c r="V1589">
        <f>IF(U1589=1,IF(M1589&gt;0,IF(P1589&lt;=G1589+Assumptions!$C$7,1,0),0),0)</f>
        <v/>
      </c>
      <c r="W1589">
        <f>IF(AND(U1589=1,M1589&gt;=H1589*(1-Assumptions!$C$8)),1,0)</f>
        <v/>
      </c>
      <c r="X1589">
        <f>IF(AND(U1589=1,N1589&gt;=H1589*(1-Assumptions!$C$8)),1,0)</f>
        <v/>
      </c>
      <c r="Y1589">
        <f>IF(ISNUMBER(Q1589),1,0)</f>
        <v/>
      </c>
      <c r="Z1589">
        <f>IF(AND(K1589=0,L1589=0,Y1589=0),1,0)</f>
        <v/>
      </c>
      <c r="AA1589">
        <f>IF(AND(Z1589=1,G1589&lt;Assumptions!$C$6),1,0)</f>
        <v/>
      </c>
      <c r="AB1589">
        <f>IF(U1589=0,"",IF(Y1589=1,MAX(0,Q1589-G1589),IF(L1589=1,MAX(0,R1589-G1589),MAX(0,Assumptions!$C$6-G1589))))</f>
        <v/>
      </c>
      <c r="AC1589">
        <f>IF(Y1589=1,Q1589-F1589,"")</f>
        <v/>
      </c>
      <c r="AD1589">
        <f>IF(Y1589=1,AC1589^2,"")</f>
        <v/>
      </c>
      <c r="AE1589" s="19">
        <f>IF(Z1589=1,(H1589-M1589)*I1589,0)</f>
        <v/>
      </c>
      <c r="AF1589">
        <f>IF(G1589&lt;EDATE(Assumptions!$C$6,-12)+1,"prior_12m","last_12m")</f>
        <v/>
      </c>
      <c r="AG1589" s="21">
        <f>DATE(YEAR(G1589),MONTH(G1589),1)</f>
        <v/>
      </c>
    </row>
    <row r="1590">
      <c r="A1590" t="inlineStr">
        <is>
          <t>SPO-00860-3</t>
        </is>
      </c>
      <c r="B1590" t="inlineStr">
        <is>
          <t>SPO-00860</t>
        </is>
      </c>
      <c r="C1590" t="inlineStr">
        <is>
          <t>SUP-08</t>
        </is>
      </c>
      <c r="D1590" t="inlineStr">
        <is>
          <t>MRO</t>
        </is>
      </c>
      <c r="E1590" t="inlineStr">
        <is>
          <t>MRO-05</t>
        </is>
      </c>
      <c r="F1590" s="17" t="n">
        <v>45806</v>
      </c>
      <c r="G1590" s="17" t="n">
        <v>45817</v>
      </c>
      <c r="H1590" s="18" t="n">
        <v>53</v>
      </c>
      <c r="I1590" s="19" t="n">
        <v>34.69</v>
      </c>
      <c r="J1590" s="19" t="n">
        <v>36</v>
      </c>
      <c r="K1590" s="20" t="n">
        <v>1</v>
      </c>
      <c r="L1590" s="20" t="n">
        <v>0</v>
      </c>
      <c r="M1590" s="18" t="n">
        <v>0</v>
      </c>
      <c r="N1590" s="18" t="n">
        <v>0</v>
      </c>
      <c r="O1590" s="18" t="n">
        <v>0</v>
      </c>
      <c r="P1590" s="17" t="n"/>
      <c r="Q1590" s="17" t="n"/>
      <c r="R1590" s="17" t="n"/>
      <c r="S1590" s="19">
        <f>H1590*I1590</f>
        <v/>
      </c>
      <c r="T1590" s="19">
        <f>H1590*J1590</f>
        <v/>
      </c>
      <c r="U1590">
        <f>IF(AND(K1590=0,G1590&lt;=Assumptions!$C$6),1,0)</f>
        <v/>
      </c>
      <c r="V1590">
        <f>IF(U1590=1,IF(M1590&gt;0,IF(P1590&lt;=G1590+Assumptions!$C$7,1,0),0),0)</f>
        <v/>
      </c>
      <c r="W1590">
        <f>IF(AND(U1590=1,M1590&gt;=H1590*(1-Assumptions!$C$8)),1,0)</f>
        <v/>
      </c>
      <c r="X1590">
        <f>IF(AND(U1590=1,N1590&gt;=H1590*(1-Assumptions!$C$8)),1,0)</f>
        <v/>
      </c>
      <c r="Y1590">
        <f>IF(ISNUMBER(Q1590),1,0)</f>
        <v/>
      </c>
      <c r="Z1590">
        <f>IF(AND(K1590=0,L1590=0,Y1590=0),1,0)</f>
        <v/>
      </c>
      <c r="AA1590">
        <f>IF(AND(Z1590=1,G1590&lt;Assumptions!$C$6),1,0)</f>
        <v/>
      </c>
      <c r="AB1590">
        <f>IF(U1590=0,"",IF(Y1590=1,MAX(0,Q1590-G1590),IF(L1590=1,MAX(0,R1590-G1590),MAX(0,Assumptions!$C$6-G1590))))</f>
        <v/>
      </c>
      <c r="AC1590">
        <f>IF(Y1590=1,Q1590-F1590,"")</f>
        <v/>
      </c>
      <c r="AD1590">
        <f>IF(Y1590=1,AC1590^2,"")</f>
        <v/>
      </c>
      <c r="AE1590" s="19">
        <f>IF(Z1590=1,(H1590-M1590)*I1590,0)</f>
        <v/>
      </c>
      <c r="AF1590">
        <f>IF(G1590&lt;EDATE(Assumptions!$C$6,-12)+1,"prior_12m","last_12m")</f>
        <v/>
      </c>
      <c r="AG1590" s="21">
        <f>DATE(YEAR(G1590),MONTH(G1590),1)</f>
        <v/>
      </c>
    </row>
    <row r="1591">
      <c r="A1591" t="inlineStr">
        <is>
          <t>SPO-00861-1</t>
        </is>
      </c>
      <c r="B1591" t="inlineStr">
        <is>
          <t>SPO-00861</t>
        </is>
      </c>
      <c r="C1591" t="inlineStr">
        <is>
          <t>SUP-05</t>
        </is>
      </c>
      <c r="D1591" t="inlineStr">
        <is>
          <t>FLEET</t>
        </is>
      </c>
      <c r="E1591" t="inlineStr">
        <is>
          <t>FLEET-02</t>
        </is>
      </c>
      <c r="F1591" s="17" t="n">
        <v>45806</v>
      </c>
      <c r="G1591" s="17" t="n">
        <v>45820</v>
      </c>
      <c r="H1591" s="18" t="n">
        <v>78</v>
      </c>
      <c r="I1591" s="19" t="n">
        <v>6.94</v>
      </c>
      <c r="J1591" s="19" t="n">
        <v>7.5</v>
      </c>
      <c r="K1591" s="20" t="n">
        <v>0</v>
      </c>
      <c r="L1591" s="20" t="n">
        <v>0</v>
      </c>
      <c r="M1591" s="18" t="n">
        <v>78</v>
      </c>
      <c r="N1591" s="18" t="n">
        <v>78</v>
      </c>
      <c r="O1591" s="18" t="n">
        <v>0</v>
      </c>
      <c r="P1591" s="17" t="n">
        <v>45816</v>
      </c>
      <c r="Q1591" s="17" t="n">
        <v>45816</v>
      </c>
      <c r="R1591" s="17" t="n">
        <v>45816</v>
      </c>
      <c r="S1591" s="19">
        <f>H1591*I1591</f>
        <v/>
      </c>
      <c r="T1591" s="19">
        <f>H1591*J1591</f>
        <v/>
      </c>
      <c r="U1591">
        <f>IF(AND(K1591=0,G1591&lt;=Assumptions!$C$6),1,0)</f>
        <v/>
      </c>
      <c r="V1591">
        <f>IF(U1591=1,IF(M1591&gt;0,IF(P1591&lt;=G1591+Assumptions!$C$7,1,0),0),0)</f>
        <v/>
      </c>
      <c r="W1591">
        <f>IF(AND(U1591=1,M1591&gt;=H1591*(1-Assumptions!$C$8)),1,0)</f>
        <v/>
      </c>
      <c r="X1591">
        <f>IF(AND(U1591=1,N1591&gt;=H1591*(1-Assumptions!$C$8)),1,0)</f>
        <v/>
      </c>
      <c r="Y1591">
        <f>IF(ISNUMBER(Q1591),1,0)</f>
        <v/>
      </c>
      <c r="Z1591">
        <f>IF(AND(K1591=0,L1591=0,Y1591=0),1,0)</f>
        <v/>
      </c>
      <c r="AA1591">
        <f>IF(AND(Z1591=1,G1591&lt;Assumptions!$C$6),1,0)</f>
        <v/>
      </c>
      <c r="AB1591">
        <f>IF(U1591=0,"",IF(Y1591=1,MAX(0,Q1591-G1591),IF(L1591=1,MAX(0,R1591-G1591),MAX(0,Assumptions!$C$6-G1591))))</f>
        <v/>
      </c>
      <c r="AC1591">
        <f>IF(Y1591=1,Q1591-F1591,"")</f>
        <v/>
      </c>
      <c r="AD1591">
        <f>IF(Y1591=1,AC1591^2,"")</f>
        <v/>
      </c>
      <c r="AE1591" s="19">
        <f>IF(Z1591=1,(H1591-M1591)*I1591,0)</f>
        <v/>
      </c>
      <c r="AF1591">
        <f>IF(G1591&lt;EDATE(Assumptions!$C$6,-12)+1,"prior_12m","last_12m")</f>
        <v/>
      </c>
      <c r="AG1591" s="21">
        <f>DATE(YEAR(G1591),MONTH(G1591),1)</f>
        <v/>
      </c>
    </row>
    <row r="1592">
      <c r="A1592" t="inlineStr">
        <is>
          <t>SPO-00862-1</t>
        </is>
      </c>
      <c r="B1592" t="inlineStr">
        <is>
          <t>SPO-00862</t>
        </is>
      </c>
      <c r="C1592" t="inlineStr">
        <is>
          <t>SUP-05</t>
        </is>
      </c>
      <c r="D1592" t="inlineStr">
        <is>
          <t>FLEET</t>
        </is>
      </c>
      <c r="E1592" t="inlineStr">
        <is>
          <t>FLEET-04</t>
        </is>
      </c>
      <c r="F1592" s="17" t="n">
        <v>45806</v>
      </c>
      <c r="G1592" s="17" t="n">
        <v>45820</v>
      </c>
      <c r="H1592" s="18" t="n">
        <v>142</v>
      </c>
      <c r="I1592" s="19" t="n">
        <v>9.51</v>
      </c>
      <c r="J1592" s="19" t="n">
        <v>9</v>
      </c>
      <c r="K1592" s="20" t="n">
        <v>0</v>
      </c>
      <c r="L1592" s="20" t="n">
        <v>0</v>
      </c>
      <c r="M1592" s="18" t="n">
        <v>142</v>
      </c>
      <c r="N1592" s="18" t="n">
        <v>142</v>
      </c>
      <c r="O1592" s="18" t="n">
        <v>0</v>
      </c>
      <c r="P1592" s="17" t="n">
        <v>45818</v>
      </c>
      <c r="Q1592" s="17" t="n">
        <v>45818</v>
      </c>
      <c r="R1592" s="17" t="n">
        <v>45818</v>
      </c>
      <c r="S1592" s="19">
        <f>H1592*I1592</f>
        <v/>
      </c>
      <c r="T1592" s="19">
        <f>H1592*J1592</f>
        <v/>
      </c>
      <c r="U1592">
        <f>IF(AND(K1592=0,G1592&lt;=Assumptions!$C$6),1,0)</f>
        <v/>
      </c>
      <c r="V1592">
        <f>IF(U1592=1,IF(M1592&gt;0,IF(P1592&lt;=G1592+Assumptions!$C$7,1,0),0),0)</f>
        <v/>
      </c>
      <c r="W1592">
        <f>IF(AND(U1592=1,M1592&gt;=H1592*(1-Assumptions!$C$8)),1,0)</f>
        <v/>
      </c>
      <c r="X1592">
        <f>IF(AND(U1592=1,N1592&gt;=H1592*(1-Assumptions!$C$8)),1,0)</f>
        <v/>
      </c>
      <c r="Y1592">
        <f>IF(ISNUMBER(Q1592),1,0)</f>
        <v/>
      </c>
      <c r="Z1592">
        <f>IF(AND(K1592=0,L1592=0,Y1592=0),1,0)</f>
        <v/>
      </c>
      <c r="AA1592">
        <f>IF(AND(Z1592=1,G1592&lt;Assumptions!$C$6),1,0)</f>
        <v/>
      </c>
      <c r="AB1592">
        <f>IF(U1592=0,"",IF(Y1592=1,MAX(0,Q1592-G1592),IF(L1592=1,MAX(0,R1592-G1592),MAX(0,Assumptions!$C$6-G1592))))</f>
        <v/>
      </c>
      <c r="AC1592">
        <f>IF(Y1592=1,Q1592-F1592,"")</f>
        <v/>
      </c>
      <c r="AD1592">
        <f>IF(Y1592=1,AC1592^2,"")</f>
        <v/>
      </c>
      <c r="AE1592" s="19">
        <f>IF(Z1592=1,(H1592-M1592)*I1592,0)</f>
        <v/>
      </c>
      <c r="AF1592">
        <f>IF(G1592&lt;EDATE(Assumptions!$C$6,-12)+1,"prior_12m","last_12m")</f>
        <v/>
      </c>
      <c r="AG1592" s="21">
        <f>DATE(YEAR(G1592),MONTH(G1592),1)</f>
        <v/>
      </c>
    </row>
    <row r="1593">
      <c r="A1593" t="inlineStr">
        <is>
          <t>SPO-00863-1</t>
        </is>
      </c>
      <c r="B1593" t="inlineStr">
        <is>
          <t>SPO-00863</t>
        </is>
      </c>
      <c r="C1593" t="inlineStr">
        <is>
          <t>SUP-01</t>
        </is>
      </c>
      <c r="D1593" t="inlineStr">
        <is>
          <t>ELEC</t>
        </is>
      </c>
      <c r="E1593" t="inlineStr">
        <is>
          <t>ELEC-04</t>
        </is>
      </c>
      <c r="F1593" s="17" t="n">
        <v>45806</v>
      </c>
      <c r="G1593" s="17" t="n">
        <v>45824</v>
      </c>
      <c r="H1593" s="18" t="n">
        <v>36</v>
      </c>
      <c r="I1593" s="19" t="n">
        <v>72.81999999999999</v>
      </c>
      <c r="J1593" s="19" t="n">
        <v>72</v>
      </c>
      <c r="K1593" s="20" t="n">
        <v>0</v>
      </c>
      <c r="L1593" s="20" t="n">
        <v>0</v>
      </c>
      <c r="M1593" s="18" t="n">
        <v>36</v>
      </c>
      <c r="N1593" s="18" t="n">
        <v>36</v>
      </c>
      <c r="O1593" s="18" t="n">
        <v>0</v>
      </c>
      <c r="P1593" s="17" t="n">
        <v>45821</v>
      </c>
      <c r="Q1593" s="17" t="n">
        <v>45821</v>
      </c>
      <c r="R1593" s="17" t="n">
        <v>45821</v>
      </c>
      <c r="S1593" s="19">
        <f>H1593*I1593</f>
        <v/>
      </c>
      <c r="T1593" s="19">
        <f>H1593*J1593</f>
        <v/>
      </c>
      <c r="U1593">
        <f>IF(AND(K1593=0,G1593&lt;=Assumptions!$C$6),1,0)</f>
        <v/>
      </c>
      <c r="V1593">
        <f>IF(U1593=1,IF(M1593&gt;0,IF(P1593&lt;=G1593+Assumptions!$C$7,1,0),0),0)</f>
        <v/>
      </c>
      <c r="W1593">
        <f>IF(AND(U1593=1,M1593&gt;=H1593*(1-Assumptions!$C$8)),1,0)</f>
        <v/>
      </c>
      <c r="X1593">
        <f>IF(AND(U1593=1,N1593&gt;=H1593*(1-Assumptions!$C$8)),1,0)</f>
        <v/>
      </c>
      <c r="Y1593">
        <f>IF(ISNUMBER(Q1593),1,0)</f>
        <v/>
      </c>
      <c r="Z1593">
        <f>IF(AND(K1593=0,L1593=0,Y1593=0),1,0)</f>
        <v/>
      </c>
      <c r="AA1593">
        <f>IF(AND(Z1593=1,G1593&lt;Assumptions!$C$6),1,0)</f>
        <v/>
      </c>
      <c r="AB1593">
        <f>IF(U1593=0,"",IF(Y1593=1,MAX(0,Q1593-G1593),IF(L1593=1,MAX(0,R1593-G1593),MAX(0,Assumptions!$C$6-G1593))))</f>
        <v/>
      </c>
      <c r="AC1593">
        <f>IF(Y1593=1,Q1593-F1593,"")</f>
        <v/>
      </c>
      <c r="AD1593">
        <f>IF(Y1593=1,AC1593^2,"")</f>
        <v/>
      </c>
      <c r="AE1593" s="19">
        <f>IF(Z1593=1,(H1593-M1593)*I1593,0)</f>
        <v/>
      </c>
      <c r="AF1593">
        <f>IF(G1593&lt;EDATE(Assumptions!$C$6,-12)+1,"prior_12m","last_12m")</f>
        <v/>
      </c>
      <c r="AG1593" s="21">
        <f>DATE(YEAR(G1593),MONTH(G1593),1)</f>
        <v/>
      </c>
    </row>
    <row r="1594">
      <c r="A1594" t="inlineStr">
        <is>
          <t>SPO-00864-1</t>
        </is>
      </c>
      <c r="B1594" t="inlineStr">
        <is>
          <t>SPO-00864</t>
        </is>
      </c>
      <c r="C1594" t="inlineStr">
        <is>
          <t>SUP-12</t>
        </is>
      </c>
      <c r="D1594" t="inlineStr">
        <is>
          <t>IT</t>
        </is>
      </c>
      <c r="E1594" t="inlineStr">
        <is>
          <t>IT-02</t>
        </is>
      </c>
      <c r="F1594" s="17" t="n">
        <v>45806</v>
      </c>
      <c r="G1594" s="17" t="n">
        <v>45816</v>
      </c>
      <c r="H1594" s="18" t="n">
        <v>5</v>
      </c>
      <c r="I1594" s="19" t="n">
        <v>178.49</v>
      </c>
      <c r="J1594" s="19" t="n">
        <v>162</v>
      </c>
      <c r="K1594" s="20" t="n">
        <v>0</v>
      </c>
      <c r="L1594" s="20" t="n">
        <v>0</v>
      </c>
      <c r="M1594" s="18" t="n">
        <v>5</v>
      </c>
      <c r="N1594" s="18" t="n">
        <v>5</v>
      </c>
      <c r="O1594" s="18" t="n">
        <v>0</v>
      </c>
      <c r="P1594" s="17" t="n">
        <v>45812</v>
      </c>
      <c r="Q1594" s="17" t="n">
        <v>45812</v>
      </c>
      <c r="R1594" s="17" t="n">
        <v>45812</v>
      </c>
      <c r="S1594" s="19">
        <f>H1594*I1594</f>
        <v/>
      </c>
      <c r="T1594" s="19">
        <f>H1594*J1594</f>
        <v/>
      </c>
      <c r="U1594">
        <f>IF(AND(K1594=0,G1594&lt;=Assumptions!$C$6),1,0)</f>
        <v/>
      </c>
      <c r="V1594">
        <f>IF(U1594=1,IF(M1594&gt;0,IF(P1594&lt;=G1594+Assumptions!$C$7,1,0),0),0)</f>
        <v/>
      </c>
      <c r="W1594">
        <f>IF(AND(U1594=1,M1594&gt;=H1594*(1-Assumptions!$C$8)),1,0)</f>
        <v/>
      </c>
      <c r="X1594">
        <f>IF(AND(U1594=1,N1594&gt;=H1594*(1-Assumptions!$C$8)),1,0)</f>
        <v/>
      </c>
      <c r="Y1594">
        <f>IF(ISNUMBER(Q1594),1,0)</f>
        <v/>
      </c>
      <c r="Z1594">
        <f>IF(AND(K1594=0,L1594=0,Y1594=0),1,0)</f>
        <v/>
      </c>
      <c r="AA1594">
        <f>IF(AND(Z1594=1,G1594&lt;Assumptions!$C$6),1,0)</f>
        <v/>
      </c>
      <c r="AB1594">
        <f>IF(U1594=0,"",IF(Y1594=1,MAX(0,Q1594-G1594),IF(L1594=1,MAX(0,R1594-G1594),MAX(0,Assumptions!$C$6-G1594))))</f>
        <v/>
      </c>
      <c r="AC1594">
        <f>IF(Y1594=1,Q1594-F1594,"")</f>
        <v/>
      </c>
      <c r="AD1594">
        <f>IF(Y1594=1,AC1594^2,"")</f>
        <v/>
      </c>
      <c r="AE1594" s="19">
        <f>IF(Z1594=1,(H1594-M1594)*I1594,0)</f>
        <v/>
      </c>
      <c r="AF1594">
        <f>IF(G1594&lt;EDATE(Assumptions!$C$6,-12)+1,"prior_12m","last_12m")</f>
        <v/>
      </c>
      <c r="AG1594" s="21">
        <f>DATE(YEAR(G1594),MONTH(G1594),1)</f>
        <v/>
      </c>
    </row>
    <row r="1595">
      <c r="A1595" t="inlineStr">
        <is>
          <t>SPO-00864-2</t>
        </is>
      </c>
      <c r="B1595" t="inlineStr">
        <is>
          <t>SPO-00864</t>
        </is>
      </c>
      <c r="C1595" t="inlineStr">
        <is>
          <t>SUP-12</t>
        </is>
      </c>
      <c r="D1595" t="inlineStr">
        <is>
          <t>IT</t>
        </is>
      </c>
      <c r="E1595" t="inlineStr">
        <is>
          <t>IT-04</t>
        </is>
      </c>
      <c r="F1595" s="17" t="n">
        <v>45806</v>
      </c>
      <c r="G1595" s="17" t="n">
        <v>45816</v>
      </c>
      <c r="H1595" s="18" t="n">
        <v>52</v>
      </c>
      <c r="I1595" s="19" t="n">
        <v>13.52</v>
      </c>
      <c r="J1595" s="19" t="n">
        <v>12</v>
      </c>
      <c r="K1595" s="20" t="n">
        <v>0</v>
      </c>
      <c r="L1595" s="20" t="n">
        <v>0</v>
      </c>
      <c r="M1595" s="18" t="n">
        <v>52</v>
      </c>
      <c r="N1595" s="18" t="n">
        <v>52</v>
      </c>
      <c r="O1595" s="18" t="n">
        <v>0</v>
      </c>
      <c r="P1595" s="17" t="n">
        <v>45810</v>
      </c>
      <c r="Q1595" s="17" t="n">
        <v>45810</v>
      </c>
      <c r="R1595" s="17" t="n">
        <v>45810</v>
      </c>
      <c r="S1595" s="19">
        <f>H1595*I1595</f>
        <v/>
      </c>
      <c r="T1595" s="19">
        <f>H1595*J1595</f>
        <v/>
      </c>
      <c r="U1595">
        <f>IF(AND(K1595=0,G1595&lt;=Assumptions!$C$6),1,0)</f>
        <v/>
      </c>
      <c r="V1595">
        <f>IF(U1595=1,IF(M1595&gt;0,IF(P1595&lt;=G1595+Assumptions!$C$7,1,0),0),0)</f>
        <v/>
      </c>
      <c r="W1595">
        <f>IF(AND(U1595=1,M1595&gt;=H1595*(1-Assumptions!$C$8)),1,0)</f>
        <v/>
      </c>
      <c r="X1595">
        <f>IF(AND(U1595=1,N1595&gt;=H1595*(1-Assumptions!$C$8)),1,0)</f>
        <v/>
      </c>
      <c r="Y1595">
        <f>IF(ISNUMBER(Q1595),1,0)</f>
        <v/>
      </c>
      <c r="Z1595">
        <f>IF(AND(K1595=0,L1595=0,Y1595=0),1,0)</f>
        <v/>
      </c>
      <c r="AA1595">
        <f>IF(AND(Z1595=1,G1595&lt;Assumptions!$C$6),1,0)</f>
        <v/>
      </c>
      <c r="AB1595">
        <f>IF(U1595=0,"",IF(Y1595=1,MAX(0,Q1595-G1595),IF(L1595=1,MAX(0,R1595-G1595),MAX(0,Assumptions!$C$6-G1595))))</f>
        <v/>
      </c>
      <c r="AC1595">
        <f>IF(Y1595=1,Q1595-F1595,"")</f>
        <v/>
      </c>
      <c r="AD1595">
        <f>IF(Y1595=1,AC1595^2,"")</f>
        <v/>
      </c>
      <c r="AE1595" s="19">
        <f>IF(Z1595=1,(H1595-M1595)*I1595,0)</f>
        <v/>
      </c>
      <c r="AF1595">
        <f>IF(G1595&lt;EDATE(Assumptions!$C$6,-12)+1,"prior_12m","last_12m")</f>
        <v/>
      </c>
      <c r="AG1595" s="21">
        <f>DATE(YEAR(G1595),MONTH(G1595),1)</f>
        <v/>
      </c>
    </row>
    <row r="1596">
      <c r="A1596" t="inlineStr">
        <is>
          <t>SPO-00865-1</t>
        </is>
      </c>
      <c r="B1596" t="inlineStr">
        <is>
          <t>SPO-00865</t>
        </is>
      </c>
      <c r="C1596" t="inlineStr">
        <is>
          <t>SUP-08</t>
        </is>
      </c>
      <c r="D1596" t="inlineStr">
        <is>
          <t>MRO</t>
        </is>
      </c>
      <c r="E1596" t="inlineStr">
        <is>
          <t>MRO-04</t>
        </is>
      </c>
      <c r="F1596" s="17" t="n">
        <v>45806</v>
      </c>
      <c r="G1596" s="17" t="n">
        <v>45817</v>
      </c>
      <c r="H1596" s="18" t="n">
        <v>24</v>
      </c>
      <c r="I1596" s="19" t="n">
        <v>57.98</v>
      </c>
      <c r="J1596" s="19" t="n">
        <v>58</v>
      </c>
      <c r="K1596" s="20" t="n">
        <v>0</v>
      </c>
      <c r="L1596" s="20" t="n">
        <v>0</v>
      </c>
      <c r="M1596" s="18" t="n">
        <v>24</v>
      </c>
      <c r="N1596" s="18" t="n">
        <v>24</v>
      </c>
      <c r="O1596" s="18" t="n">
        <v>0</v>
      </c>
      <c r="P1596" s="17" t="n">
        <v>45816</v>
      </c>
      <c r="Q1596" s="17" t="n">
        <v>45816</v>
      </c>
      <c r="R1596" s="17" t="n">
        <v>45816</v>
      </c>
      <c r="S1596" s="19">
        <f>H1596*I1596</f>
        <v/>
      </c>
      <c r="T1596" s="19">
        <f>H1596*J1596</f>
        <v/>
      </c>
      <c r="U1596">
        <f>IF(AND(K1596=0,G1596&lt;=Assumptions!$C$6),1,0)</f>
        <v/>
      </c>
      <c r="V1596">
        <f>IF(U1596=1,IF(M1596&gt;0,IF(P1596&lt;=G1596+Assumptions!$C$7,1,0),0),0)</f>
        <v/>
      </c>
      <c r="W1596">
        <f>IF(AND(U1596=1,M1596&gt;=H1596*(1-Assumptions!$C$8)),1,0)</f>
        <v/>
      </c>
      <c r="X1596">
        <f>IF(AND(U1596=1,N1596&gt;=H1596*(1-Assumptions!$C$8)),1,0)</f>
        <v/>
      </c>
      <c r="Y1596">
        <f>IF(ISNUMBER(Q1596),1,0)</f>
        <v/>
      </c>
      <c r="Z1596">
        <f>IF(AND(K1596=0,L1596=0,Y1596=0),1,0)</f>
        <v/>
      </c>
      <c r="AA1596">
        <f>IF(AND(Z1596=1,G1596&lt;Assumptions!$C$6),1,0)</f>
        <v/>
      </c>
      <c r="AB1596">
        <f>IF(U1596=0,"",IF(Y1596=1,MAX(0,Q1596-G1596),IF(L1596=1,MAX(0,R1596-G1596),MAX(0,Assumptions!$C$6-G1596))))</f>
        <v/>
      </c>
      <c r="AC1596">
        <f>IF(Y1596=1,Q1596-F1596,"")</f>
        <v/>
      </c>
      <c r="AD1596">
        <f>IF(Y1596=1,AC1596^2,"")</f>
        <v/>
      </c>
      <c r="AE1596" s="19">
        <f>IF(Z1596=1,(H1596-M1596)*I1596,0)</f>
        <v/>
      </c>
      <c r="AF1596">
        <f>IF(G1596&lt;EDATE(Assumptions!$C$6,-12)+1,"prior_12m","last_12m")</f>
        <v/>
      </c>
      <c r="AG1596" s="21">
        <f>DATE(YEAR(G1596),MONTH(G1596),1)</f>
        <v/>
      </c>
    </row>
    <row r="1597">
      <c r="A1597" t="inlineStr">
        <is>
          <t>SPO-00865-2</t>
        </is>
      </c>
      <c r="B1597" t="inlineStr">
        <is>
          <t>SPO-00865</t>
        </is>
      </c>
      <c r="C1597" t="inlineStr">
        <is>
          <t>SUP-08</t>
        </is>
      </c>
      <c r="D1597" t="inlineStr">
        <is>
          <t>MRO</t>
        </is>
      </c>
      <c r="E1597" t="inlineStr">
        <is>
          <t>MRO-05</t>
        </is>
      </c>
      <c r="F1597" s="17" t="n">
        <v>45806</v>
      </c>
      <c r="G1597" s="17" t="n">
        <v>45817</v>
      </c>
      <c r="H1597" s="18" t="n">
        <v>29</v>
      </c>
      <c r="I1597" s="19" t="n">
        <v>36.22</v>
      </c>
      <c r="J1597" s="19" t="n">
        <v>36</v>
      </c>
      <c r="K1597" s="20" t="n">
        <v>0</v>
      </c>
      <c r="L1597" s="20" t="n">
        <v>0</v>
      </c>
      <c r="M1597" s="18" t="n">
        <v>29</v>
      </c>
      <c r="N1597" s="18" t="n">
        <v>29</v>
      </c>
      <c r="O1597" s="18" t="n">
        <v>0</v>
      </c>
      <c r="P1597" s="17" t="n">
        <v>45814</v>
      </c>
      <c r="Q1597" s="17" t="n">
        <v>45814</v>
      </c>
      <c r="R1597" s="17" t="n">
        <v>45814</v>
      </c>
      <c r="S1597" s="19">
        <f>H1597*I1597</f>
        <v/>
      </c>
      <c r="T1597" s="19">
        <f>H1597*J1597</f>
        <v/>
      </c>
      <c r="U1597">
        <f>IF(AND(K1597=0,G1597&lt;=Assumptions!$C$6),1,0)</f>
        <v/>
      </c>
      <c r="V1597">
        <f>IF(U1597=1,IF(M1597&gt;0,IF(P1597&lt;=G1597+Assumptions!$C$7,1,0),0),0)</f>
        <v/>
      </c>
      <c r="W1597">
        <f>IF(AND(U1597=1,M1597&gt;=H1597*(1-Assumptions!$C$8)),1,0)</f>
        <v/>
      </c>
      <c r="X1597">
        <f>IF(AND(U1597=1,N1597&gt;=H1597*(1-Assumptions!$C$8)),1,0)</f>
        <v/>
      </c>
      <c r="Y1597">
        <f>IF(ISNUMBER(Q1597),1,0)</f>
        <v/>
      </c>
      <c r="Z1597">
        <f>IF(AND(K1597=0,L1597=0,Y1597=0),1,0)</f>
        <v/>
      </c>
      <c r="AA1597">
        <f>IF(AND(Z1597=1,G1597&lt;Assumptions!$C$6),1,0)</f>
        <v/>
      </c>
      <c r="AB1597">
        <f>IF(U1597=0,"",IF(Y1597=1,MAX(0,Q1597-G1597),IF(L1597=1,MAX(0,R1597-G1597),MAX(0,Assumptions!$C$6-G1597))))</f>
        <v/>
      </c>
      <c r="AC1597">
        <f>IF(Y1597=1,Q1597-F1597,"")</f>
        <v/>
      </c>
      <c r="AD1597">
        <f>IF(Y1597=1,AC1597^2,"")</f>
        <v/>
      </c>
      <c r="AE1597" s="19">
        <f>IF(Z1597=1,(H1597-M1597)*I1597,0)</f>
        <v/>
      </c>
      <c r="AF1597">
        <f>IF(G1597&lt;EDATE(Assumptions!$C$6,-12)+1,"prior_12m","last_12m")</f>
        <v/>
      </c>
      <c r="AG1597" s="21">
        <f>DATE(YEAR(G1597),MONTH(G1597),1)</f>
        <v/>
      </c>
    </row>
    <row r="1598">
      <c r="A1598" t="inlineStr">
        <is>
          <t>SPO-00865-3</t>
        </is>
      </c>
      <c r="B1598" t="inlineStr">
        <is>
          <t>SPO-00865</t>
        </is>
      </c>
      <c r="C1598" t="inlineStr">
        <is>
          <t>SUP-08</t>
        </is>
      </c>
      <c r="D1598" t="inlineStr">
        <is>
          <t>MRO</t>
        </is>
      </c>
      <c r="E1598" t="inlineStr">
        <is>
          <t>MRO-07</t>
        </is>
      </c>
      <c r="F1598" s="17" t="n">
        <v>45806</v>
      </c>
      <c r="G1598" s="17" t="n">
        <v>45817</v>
      </c>
      <c r="H1598" s="18" t="n">
        <v>171</v>
      </c>
      <c r="I1598" s="19" t="n">
        <v>13.93</v>
      </c>
      <c r="J1598" s="19" t="n">
        <v>14</v>
      </c>
      <c r="K1598" s="20" t="n">
        <v>0</v>
      </c>
      <c r="L1598" s="20" t="n">
        <v>0</v>
      </c>
      <c r="M1598" s="18" t="n">
        <v>171</v>
      </c>
      <c r="N1598" s="18" t="n">
        <v>171</v>
      </c>
      <c r="O1598" s="18" t="n">
        <v>0</v>
      </c>
      <c r="P1598" s="17" t="n">
        <v>45813</v>
      </c>
      <c r="Q1598" s="17" t="n">
        <v>45813</v>
      </c>
      <c r="R1598" s="17" t="n">
        <v>45813</v>
      </c>
      <c r="S1598" s="19">
        <f>H1598*I1598</f>
        <v/>
      </c>
      <c r="T1598" s="19">
        <f>H1598*J1598</f>
        <v/>
      </c>
      <c r="U1598">
        <f>IF(AND(K1598=0,G1598&lt;=Assumptions!$C$6),1,0)</f>
        <v/>
      </c>
      <c r="V1598">
        <f>IF(U1598=1,IF(M1598&gt;0,IF(P1598&lt;=G1598+Assumptions!$C$7,1,0),0),0)</f>
        <v/>
      </c>
      <c r="W1598">
        <f>IF(AND(U1598=1,M1598&gt;=H1598*(1-Assumptions!$C$8)),1,0)</f>
        <v/>
      </c>
      <c r="X1598">
        <f>IF(AND(U1598=1,N1598&gt;=H1598*(1-Assumptions!$C$8)),1,0)</f>
        <v/>
      </c>
      <c r="Y1598">
        <f>IF(ISNUMBER(Q1598),1,0)</f>
        <v/>
      </c>
      <c r="Z1598">
        <f>IF(AND(K1598=0,L1598=0,Y1598=0),1,0)</f>
        <v/>
      </c>
      <c r="AA1598">
        <f>IF(AND(Z1598=1,G1598&lt;Assumptions!$C$6),1,0)</f>
        <v/>
      </c>
      <c r="AB1598">
        <f>IF(U1598=0,"",IF(Y1598=1,MAX(0,Q1598-G1598),IF(L1598=1,MAX(0,R1598-G1598),MAX(0,Assumptions!$C$6-G1598))))</f>
        <v/>
      </c>
      <c r="AC1598">
        <f>IF(Y1598=1,Q1598-F1598,"")</f>
        <v/>
      </c>
      <c r="AD1598">
        <f>IF(Y1598=1,AC1598^2,"")</f>
        <v/>
      </c>
      <c r="AE1598" s="19">
        <f>IF(Z1598=1,(H1598-M1598)*I1598,0)</f>
        <v/>
      </c>
      <c r="AF1598">
        <f>IF(G1598&lt;EDATE(Assumptions!$C$6,-12)+1,"prior_12m","last_12m")</f>
        <v/>
      </c>
      <c r="AG1598" s="21">
        <f>DATE(YEAR(G1598),MONTH(G1598),1)</f>
        <v/>
      </c>
    </row>
    <row r="1599">
      <c r="A1599" t="inlineStr">
        <is>
          <t>SPO-00866-1</t>
        </is>
      </c>
      <c r="B1599" t="inlineStr">
        <is>
          <t>SPO-00866</t>
        </is>
      </c>
      <c r="C1599" t="inlineStr">
        <is>
          <t>SUP-12</t>
        </is>
      </c>
      <c r="D1599" t="inlineStr">
        <is>
          <t>IT</t>
        </is>
      </c>
      <c r="E1599" t="inlineStr">
        <is>
          <t>IT-03</t>
        </is>
      </c>
      <c r="F1599" s="17" t="n">
        <v>45806</v>
      </c>
      <c r="G1599" s="17" t="n">
        <v>45816</v>
      </c>
      <c r="H1599" s="18" t="n">
        <v>42</v>
      </c>
      <c r="I1599" s="19" t="n">
        <v>42.92</v>
      </c>
      <c r="J1599" s="19" t="n">
        <v>38</v>
      </c>
      <c r="K1599" s="20" t="n">
        <v>0</v>
      </c>
      <c r="L1599" s="20" t="n">
        <v>0</v>
      </c>
      <c r="M1599" s="18" t="n">
        <v>42</v>
      </c>
      <c r="N1599" s="18" t="n">
        <v>0</v>
      </c>
      <c r="O1599" s="18" t="n">
        <v>0</v>
      </c>
      <c r="P1599" s="17" t="n">
        <v>45818</v>
      </c>
      <c r="Q1599" s="17" t="n">
        <v>45818</v>
      </c>
      <c r="R1599" s="17" t="n">
        <v>45818</v>
      </c>
      <c r="S1599" s="19">
        <f>H1599*I1599</f>
        <v/>
      </c>
      <c r="T1599" s="19">
        <f>H1599*J1599</f>
        <v/>
      </c>
      <c r="U1599">
        <f>IF(AND(K1599=0,G1599&lt;=Assumptions!$C$6),1,0)</f>
        <v/>
      </c>
      <c r="V1599">
        <f>IF(U1599=1,IF(M1599&gt;0,IF(P1599&lt;=G1599+Assumptions!$C$7,1,0),0),0)</f>
        <v/>
      </c>
      <c r="W1599">
        <f>IF(AND(U1599=1,M1599&gt;=H1599*(1-Assumptions!$C$8)),1,0)</f>
        <v/>
      </c>
      <c r="X1599">
        <f>IF(AND(U1599=1,N1599&gt;=H1599*(1-Assumptions!$C$8)),1,0)</f>
        <v/>
      </c>
      <c r="Y1599">
        <f>IF(ISNUMBER(Q1599),1,0)</f>
        <v/>
      </c>
      <c r="Z1599">
        <f>IF(AND(K1599=0,L1599=0,Y1599=0),1,0)</f>
        <v/>
      </c>
      <c r="AA1599">
        <f>IF(AND(Z1599=1,G1599&lt;Assumptions!$C$6),1,0)</f>
        <v/>
      </c>
      <c r="AB1599">
        <f>IF(U1599=0,"",IF(Y1599=1,MAX(0,Q1599-G1599),IF(L1599=1,MAX(0,R1599-G1599),MAX(0,Assumptions!$C$6-G1599))))</f>
        <v/>
      </c>
      <c r="AC1599">
        <f>IF(Y1599=1,Q1599-F1599,"")</f>
        <v/>
      </c>
      <c r="AD1599">
        <f>IF(Y1599=1,AC1599^2,"")</f>
        <v/>
      </c>
      <c r="AE1599" s="19">
        <f>IF(Z1599=1,(H1599-M1599)*I1599,0)</f>
        <v/>
      </c>
      <c r="AF1599">
        <f>IF(G1599&lt;EDATE(Assumptions!$C$6,-12)+1,"prior_12m","last_12m")</f>
        <v/>
      </c>
      <c r="AG1599" s="21">
        <f>DATE(YEAR(G1599),MONTH(G1599),1)</f>
        <v/>
      </c>
    </row>
    <row r="1600">
      <c r="A1600" t="inlineStr">
        <is>
          <t>SPO-00867-1</t>
        </is>
      </c>
      <c r="B1600" t="inlineStr">
        <is>
          <t>SPO-00867</t>
        </is>
      </c>
      <c r="C1600" t="inlineStr">
        <is>
          <t>SUP-01</t>
        </is>
      </c>
      <c r="D1600" t="inlineStr">
        <is>
          <t>ELEC</t>
        </is>
      </c>
      <c r="E1600" t="inlineStr">
        <is>
          <t>ELEC-01</t>
        </is>
      </c>
      <c r="F1600" s="17" t="n">
        <v>45807</v>
      </c>
      <c r="G1600" s="17" t="n">
        <v>45825</v>
      </c>
      <c r="H1600" s="18" t="n">
        <v>30</v>
      </c>
      <c r="I1600" s="19" t="n">
        <v>38.61</v>
      </c>
      <c r="J1600" s="19" t="n">
        <v>38</v>
      </c>
      <c r="K1600" s="20" t="n">
        <v>0</v>
      </c>
      <c r="L1600" s="20" t="n">
        <v>0</v>
      </c>
      <c r="M1600" s="18" t="n">
        <v>30</v>
      </c>
      <c r="N1600" s="18" t="n">
        <v>30</v>
      </c>
      <c r="O1600" s="18" t="n">
        <v>0</v>
      </c>
      <c r="P1600" s="17" t="n">
        <v>45821</v>
      </c>
      <c r="Q1600" s="17" t="n">
        <v>45821</v>
      </c>
      <c r="R1600" s="17" t="n">
        <v>45821</v>
      </c>
      <c r="S1600" s="19">
        <f>H1600*I1600</f>
        <v/>
      </c>
      <c r="T1600" s="19">
        <f>H1600*J1600</f>
        <v/>
      </c>
      <c r="U1600">
        <f>IF(AND(K1600=0,G1600&lt;=Assumptions!$C$6),1,0)</f>
        <v/>
      </c>
      <c r="V1600">
        <f>IF(U1600=1,IF(M1600&gt;0,IF(P1600&lt;=G1600+Assumptions!$C$7,1,0),0),0)</f>
        <v/>
      </c>
      <c r="W1600">
        <f>IF(AND(U1600=1,M1600&gt;=H1600*(1-Assumptions!$C$8)),1,0)</f>
        <v/>
      </c>
      <c r="X1600">
        <f>IF(AND(U1600=1,N1600&gt;=H1600*(1-Assumptions!$C$8)),1,0)</f>
        <v/>
      </c>
      <c r="Y1600">
        <f>IF(ISNUMBER(Q1600),1,0)</f>
        <v/>
      </c>
      <c r="Z1600">
        <f>IF(AND(K1600=0,L1600=0,Y1600=0),1,0)</f>
        <v/>
      </c>
      <c r="AA1600">
        <f>IF(AND(Z1600=1,G1600&lt;Assumptions!$C$6),1,0)</f>
        <v/>
      </c>
      <c r="AB1600">
        <f>IF(U1600=0,"",IF(Y1600=1,MAX(0,Q1600-G1600),IF(L1600=1,MAX(0,R1600-G1600),MAX(0,Assumptions!$C$6-G1600))))</f>
        <v/>
      </c>
      <c r="AC1600">
        <f>IF(Y1600=1,Q1600-F1600,"")</f>
        <v/>
      </c>
      <c r="AD1600">
        <f>IF(Y1600=1,AC1600^2,"")</f>
        <v/>
      </c>
      <c r="AE1600" s="19">
        <f>IF(Z1600=1,(H1600-M1600)*I1600,0)</f>
        <v/>
      </c>
      <c r="AF1600">
        <f>IF(G1600&lt;EDATE(Assumptions!$C$6,-12)+1,"prior_12m","last_12m")</f>
        <v/>
      </c>
      <c r="AG1600" s="21">
        <f>DATE(YEAR(G1600),MONTH(G1600),1)</f>
        <v/>
      </c>
    </row>
    <row r="1601">
      <c r="A1601" t="inlineStr">
        <is>
          <t>SPO-00867-2</t>
        </is>
      </c>
      <c r="B1601" t="inlineStr">
        <is>
          <t>SPO-00867</t>
        </is>
      </c>
      <c r="C1601" t="inlineStr">
        <is>
          <t>SUP-01</t>
        </is>
      </c>
      <c r="D1601" t="inlineStr">
        <is>
          <t>ELEC</t>
        </is>
      </c>
      <c r="E1601" t="inlineStr">
        <is>
          <t>ELEC-08</t>
        </is>
      </c>
      <c r="F1601" s="17" t="n">
        <v>45807</v>
      </c>
      <c r="G1601" s="17" t="n">
        <v>45825</v>
      </c>
      <c r="H1601" s="18" t="n">
        <v>276</v>
      </c>
      <c r="I1601" s="19" t="n">
        <v>18.16</v>
      </c>
      <c r="J1601" s="19" t="n">
        <v>18</v>
      </c>
      <c r="K1601" s="20" t="n">
        <v>0</v>
      </c>
      <c r="L1601" s="20" t="n">
        <v>0</v>
      </c>
      <c r="M1601" s="18" t="n">
        <v>276</v>
      </c>
      <c r="N1601" s="18" t="n">
        <v>276</v>
      </c>
      <c r="O1601" s="18" t="n">
        <v>0</v>
      </c>
      <c r="P1601" s="17" t="n">
        <v>45822</v>
      </c>
      <c r="Q1601" s="17" t="n">
        <v>45822</v>
      </c>
      <c r="R1601" s="17" t="n">
        <v>45822</v>
      </c>
      <c r="S1601" s="19">
        <f>H1601*I1601</f>
        <v/>
      </c>
      <c r="T1601" s="19">
        <f>H1601*J1601</f>
        <v/>
      </c>
      <c r="U1601">
        <f>IF(AND(K1601=0,G1601&lt;=Assumptions!$C$6),1,0)</f>
        <v/>
      </c>
      <c r="V1601">
        <f>IF(U1601=1,IF(M1601&gt;0,IF(P1601&lt;=G1601+Assumptions!$C$7,1,0),0),0)</f>
        <v/>
      </c>
      <c r="W1601">
        <f>IF(AND(U1601=1,M1601&gt;=H1601*(1-Assumptions!$C$8)),1,0)</f>
        <v/>
      </c>
      <c r="X1601">
        <f>IF(AND(U1601=1,N1601&gt;=H1601*(1-Assumptions!$C$8)),1,0)</f>
        <v/>
      </c>
      <c r="Y1601">
        <f>IF(ISNUMBER(Q1601),1,0)</f>
        <v/>
      </c>
      <c r="Z1601">
        <f>IF(AND(K1601=0,L1601=0,Y1601=0),1,0)</f>
        <v/>
      </c>
      <c r="AA1601">
        <f>IF(AND(Z1601=1,G1601&lt;Assumptions!$C$6),1,0)</f>
        <v/>
      </c>
      <c r="AB1601">
        <f>IF(U1601=0,"",IF(Y1601=1,MAX(0,Q1601-G1601),IF(L1601=1,MAX(0,R1601-G1601),MAX(0,Assumptions!$C$6-G1601))))</f>
        <v/>
      </c>
      <c r="AC1601">
        <f>IF(Y1601=1,Q1601-F1601,"")</f>
        <v/>
      </c>
      <c r="AD1601">
        <f>IF(Y1601=1,AC1601^2,"")</f>
        <v/>
      </c>
      <c r="AE1601" s="19">
        <f>IF(Z1601=1,(H1601-M1601)*I1601,0)</f>
        <v/>
      </c>
      <c r="AF1601">
        <f>IF(G1601&lt;EDATE(Assumptions!$C$6,-12)+1,"prior_12m","last_12m")</f>
        <v/>
      </c>
      <c r="AG1601" s="21">
        <f>DATE(YEAR(G1601),MONTH(G1601),1)</f>
        <v/>
      </c>
    </row>
    <row r="1602">
      <c r="A1602" t="inlineStr">
        <is>
          <t>SPO-00868-1</t>
        </is>
      </c>
      <c r="B1602" t="inlineStr">
        <is>
          <t>SPO-00868</t>
        </is>
      </c>
      <c r="C1602" t="inlineStr">
        <is>
          <t>SUP-06</t>
        </is>
      </c>
      <c r="D1602" t="inlineStr">
        <is>
          <t>MRO</t>
        </is>
      </c>
      <c r="E1602" t="inlineStr">
        <is>
          <t>MRO-08</t>
        </is>
      </c>
      <c r="F1602" s="17" t="n">
        <v>45807</v>
      </c>
      <c r="G1602" s="17" t="n">
        <v>45815</v>
      </c>
      <c r="H1602" s="18" t="n">
        <v>208</v>
      </c>
      <c r="I1602" s="19" t="n">
        <v>6.92</v>
      </c>
      <c r="J1602" s="19" t="n">
        <v>7.2</v>
      </c>
      <c r="K1602" s="20" t="n">
        <v>0</v>
      </c>
      <c r="L1602" s="20" t="n">
        <v>0</v>
      </c>
      <c r="M1602" s="18" t="n">
        <v>208</v>
      </c>
      <c r="N1602" s="18" t="n">
        <v>208</v>
      </c>
      <c r="O1602" s="18" t="n">
        <v>0</v>
      </c>
      <c r="P1602" s="17" t="n">
        <v>45814</v>
      </c>
      <c r="Q1602" s="17" t="n">
        <v>45814</v>
      </c>
      <c r="R1602" s="17" t="n">
        <v>45814</v>
      </c>
      <c r="S1602" s="19">
        <f>H1602*I1602</f>
        <v/>
      </c>
      <c r="T1602" s="19">
        <f>H1602*J1602</f>
        <v/>
      </c>
      <c r="U1602">
        <f>IF(AND(K1602=0,G1602&lt;=Assumptions!$C$6),1,0)</f>
        <v/>
      </c>
      <c r="V1602">
        <f>IF(U1602=1,IF(M1602&gt;0,IF(P1602&lt;=G1602+Assumptions!$C$7,1,0),0),0)</f>
        <v/>
      </c>
      <c r="W1602">
        <f>IF(AND(U1602=1,M1602&gt;=H1602*(1-Assumptions!$C$8)),1,0)</f>
        <v/>
      </c>
      <c r="X1602">
        <f>IF(AND(U1602=1,N1602&gt;=H1602*(1-Assumptions!$C$8)),1,0)</f>
        <v/>
      </c>
      <c r="Y1602">
        <f>IF(ISNUMBER(Q1602),1,0)</f>
        <v/>
      </c>
      <c r="Z1602">
        <f>IF(AND(K1602=0,L1602=0,Y1602=0),1,0)</f>
        <v/>
      </c>
      <c r="AA1602">
        <f>IF(AND(Z1602=1,G1602&lt;Assumptions!$C$6),1,0)</f>
        <v/>
      </c>
      <c r="AB1602">
        <f>IF(U1602=0,"",IF(Y1602=1,MAX(0,Q1602-G1602),IF(L1602=1,MAX(0,R1602-G1602),MAX(0,Assumptions!$C$6-G1602))))</f>
        <v/>
      </c>
      <c r="AC1602">
        <f>IF(Y1602=1,Q1602-F1602,"")</f>
        <v/>
      </c>
      <c r="AD1602">
        <f>IF(Y1602=1,AC1602^2,"")</f>
        <v/>
      </c>
      <c r="AE1602" s="19">
        <f>IF(Z1602=1,(H1602-M1602)*I1602,0)</f>
        <v/>
      </c>
      <c r="AF1602">
        <f>IF(G1602&lt;EDATE(Assumptions!$C$6,-12)+1,"prior_12m","last_12m")</f>
        <v/>
      </c>
      <c r="AG1602" s="21">
        <f>DATE(YEAR(G1602),MONTH(G1602),1)</f>
        <v/>
      </c>
    </row>
    <row r="1603">
      <c r="A1603" t="inlineStr">
        <is>
          <t>SPO-00869-1</t>
        </is>
      </c>
      <c r="B1603" t="inlineStr">
        <is>
          <t>SPO-00869</t>
        </is>
      </c>
      <c r="C1603" t="inlineStr">
        <is>
          <t>SUP-01</t>
        </is>
      </c>
      <c r="D1603" t="inlineStr">
        <is>
          <t>ELEC</t>
        </is>
      </c>
      <c r="E1603" t="inlineStr">
        <is>
          <t>ELEC-03</t>
        </is>
      </c>
      <c r="F1603" s="17" t="n">
        <v>45808</v>
      </c>
      <c r="G1603" s="17" t="n">
        <v>45826</v>
      </c>
      <c r="H1603" s="18" t="n">
        <v>14</v>
      </c>
      <c r="I1603" s="19" t="n">
        <v>96.48</v>
      </c>
      <c r="J1603" s="19" t="n">
        <v>96</v>
      </c>
      <c r="K1603" s="20" t="n">
        <v>0</v>
      </c>
      <c r="L1603" s="20" t="n">
        <v>0</v>
      </c>
      <c r="M1603" s="18" t="n">
        <v>14</v>
      </c>
      <c r="N1603" s="18" t="n">
        <v>14</v>
      </c>
      <c r="O1603" s="18" t="n">
        <v>0</v>
      </c>
      <c r="P1603" s="17" t="n">
        <v>45820</v>
      </c>
      <c r="Q1603" s="17" t="n">
        <v>45820</v>
      </c>
      <c r="R1603" s="17" t="n">
        <v>45820</v>
      </c>
      <c r="S1603" s="19">
        <f>H1603*I1603</f>
        <v/>
      </c>
      <c r="T1603" s="19">
        <f>H1603*J1603</f>
        <v/>
      </c>
      <c r="U1603">
        <f>IF(AND(K1603=0,G1603&lt;=Assumptions!$C$6),1,0)</f>
        <v/>
      </c>
      <c r="V1603">
        <f>IF(U1603=1,IF(M1603&gt;0,IF(P1603&lt;=G1603+Assumptions!$C$7,1,0),0),0)</f>
        <v/>
      </c>
      <c r="W1603">
        <f>IF(AND(U1603=1,M1603&gt;=H1603*(1-Assumptions!$C$8)),1,0)</f>
        <v/>
      </c>
      <c r="X1603">
        <f>IF(AND(U1603=1,N1603&gt;=H1603*(1-Assumptions!$C$8)),1,0)</f>
        <v/>
      </c>
      <c r="Y1603">
        <f>IF(ISNUMBER(Q1603),1,0)</f>
        <v/>
      </c>
      <c r="Z1603">
        <f>IF(AND(K1603=0,L1603=0,Y1603=0),1,0)</f>
        <v/>
      </c>
      <c r="AA1603">
        <f>IF(AND(Z1603=1,G1603&lt;Assumptions!$C$6),1,0)</f>
        <v/>
      </c>
      <c r="AB1603">
        <f>IF(U1603=0,"",IF(Y1603=1,MAX(0,Q1603-G1603),IF(L1603=1,MAX(0,R1603-G1603),MAX(0,Assumptions!$C$6-G1603))))</f>
        <v/>
      </c>
      <c r="AC1603">
        <f>IF(Y1603=1,Q1603-F1603,"")</f>
        <v/>
      </c>
      <c r="AD1603">
        <f>IF(Y1603=1,AC1603^2,"")</f>
        <v/>
      </c>
      <c r="AE1603" s="19">
        <f>IF(Z1603=1,(H1603-M1603)*I1603,0)</f>
        <v/>
      </c>
      <c r="AF1603">
        <f>IF(G1603&lt;EDATE(Assumptions!$C$6,-12)+1,"prior_12m","last_12m")</f>
        <v/>
      </c>
      <c r="AG1603" s="21">
        <f>DATE(YEAR(G1603),MONTH(G1603),1)</f>
        <v/>
      </c>
    </row>
    <row r="1604">
      <c r="A1604" t="inlineStr">
        <is>
          <t>SPO-00869-2</t>
        </is>
      </c>
      <c r="B1604" t="inlineStr">
        <is>
          <t>SPO-00869</t>
        </is>
      </c>
      <c r="C1604" t="inlineStr">
        <is>
          <t>SUP-01</t>
        </is>
      </c>
      <c r="D1604" t="inlineStr">
        <is>
          <t>ELEC</t>
        </is>
      </c>
      <c r="E1604" t="inlineStr">
        <is>
          <t>ELEC-08</t>
        </is>
      </c>
      <c r="F1604" s="17" t="n">
        <v>45808</v>
      </c>
      <c r="G1604" s="17" t="n">
        <v>45826</v>
      </c>
      <c r="H1604" s="18" t="n">
        <v>72</v>
      </c>
      <c r="I1604" s="19" t="n">
        <v>17.67</v>
      </c>
      <c r="J1604" s="19" t="n">
        <v>18</v>
      </c>
      <c r="K1604" s="20" t="n">
        <v>0</v>
      </c>
      <c r="L1604" s="20" t="n">
        <v>0</v>
      </c>
      <c r="M1604" s="18" t="n">
        <v>72</v>
      </c>
      <c r="N1604" s="18" t="n">
        <v>72</v>
      </c>
      <c r="O1604" s="18" t="n">
        <v>0</v>
      </c>
      <c r="P1604" s="17" t="n">
        <v>45824</v>
      </c>
      <c r="Q1604" s="17" t="n">
        <v>45824</v>
      </c>
      <c r="R1604" s="17" t="n">
        <v>45824</v>
      </c>
      <c r="S1604" s="19">
        <f>H1604*I1604</f>
        <v/>
      </c>
      <c r="T1604" s="19">
        <f>H1604*J1604</f>
        <v/>
      </c>
      <c r="U1604">
        <f>IF(AND(K1604=0,G1604&lt;=Assumptions!$C$6),1,0)</f>
        <v/>
      </c>
      <c r="V1604">
        <f>IF(U1604=1,IF(M1604&gt;0,IF(P1604&lt;=G1604+Assumptions!$C$7,1,0),0),0)</f>
        <v/>
      </c>
      <c r="W1604">
        <f>IF(AND(U1604=1,M1604&gt;=H1604*(1-Assumptions!$C$8)),1,0)</f>
        <v/>
      </c>
      <c r="X1604">
        <f>IF(AND(U1604=1,N1604&gt;=H1604*(1-Assumptions!$C$8)),1,0)</f>
        <v/>
      </c>
      <c r="Y1604">
        <f>IF(ISNUMBER(Q1604),1,0)</f>
        <v/>
      </c>
      <c r="Z1604">
        <f>IF(AND(K1604=0,L1604=0,Y1604=0),1,0)</f>
        <v/>
      </c>
      <c r="AA1604">
        <f>IF(AND(Z1604=1,G1604&lt;Assumptions!$C$6),1,0)</f>
        <v/>
      </c>
      <c r="AB1604">
        <f>IF(U1604=0,"",IF(Y1604=1,MAX(0,Q1604-G1604),IF(L1604=1,MAX(0,R1604-G1604),MAX(0,Assumptions!$C$6-G1604))))</f>
        <v/>
      </c>
      <c r="AC1604">
        <f>IF(Y1604=1,Q1604-F1604,"")</f>
        <v/>
      </c>
      <c r="AD1604">
        <f>IF(Y1604=1,AC1604^2,"")</f>
        <v/>
      </c>
      <c r="AE1604" s="19">
        <f>IF(Z1604=1,(H1604-M1604)*I1604,0)</f>
        <v/>
      </c>
      <c r="AF1604">
        <f>IF(G1604&lt;EDATE(Assumptions!$C$6,-12)+1,"prior_12m","last_12m")</f>
        <v/>
      </c>
      <c r="AG1604" s="21">
        <f>DATE(YEAR(G1604),MONTH(G1604),1)</f>
        <v/>
      </c>
    </row>
    <row r="1605">
      <c r="A1605" t="inlineStr">
        <is>
          <t>SPO-00869-3</t>
        </is>
      </c>
      <c r="B1605" t="inlineStr">
        <is>
          <t>SPO-00869</t>
        </is>
      </c>
      <c r="C1605" t="inlineStr">
        <is>
          <t>SUP-01</t>
        </is>
      </c>
      <c r="D1605" t="inlineStr">
        <is>
          <t>ELEC</t>
        </is>
      </c>
      <c r="E1605" t="inlineStr">
        <is>
          <t>ELEC-05</t>
        </is>
      </c>
      <c r="F1605" s="17" t="n">
        <v>45808</v>
      </c>
      <c r="G1605" s="17" t="n">
        <v>45826</v>
      </c>
      <c r="H1605" s="18" t="n">
        <v>84</v>
      </c>
      <c r="I1605" s="19" t="n">
        <v>11.08</v>
      </c>
      <c r="J1605" s="19" t="n">
        <v>11.5</v>
      </c>
      <c r="K1605" s="20" t="n">
        <v>0</v>
      </c>
      <c r="L1605" s="20" t="n">
        <v>0</v>
      </c>
      <c r="M1605" s="18" t="n">
        <v>84</v>
      </c>
      <c r="N1605" s="18" t="n">
        <v>84</v>
      </c>
      <c r="O1605" s="18" t="n">
        <v>0</v>
      </c>
      <c r="P1605" s="17" t="n">
        <v>45823</v>
      </c>
      <c r="Q1605" s="17" t="n">
        <v>45823</v>
      </c>
      <c r="R1605" s="17" t="n">
        <v>45823</v>
      </c>
      <c r="S1605" s="19">
        <f>H1605*I1605</f>
        <v/>
      </c>
      <c r="T1605" s="19">
        <f>H1605*J1605</f>
        <v/>
      </c>
      <c r="U1605">
        <f>IF(AND(K1605=0,G1605&lt;=Assumptions!$C$6),1,0)</f>
        <v/>
      </c>
      <c r="V1605">
        <f>IF(U1605=1,IF(M1605&gt;0,IF(P1605&lt;=G1605+Assumptions!$C$7,1,0),0),0)</f>
        <v/>
      </c>
      <c r="W1605">
        <f>IF(AND(U1605=1,M1605&gt;=H1605*(1-Assumptions!$C$8)),1,0)</f>
        <v/>
      </c>
      <c r="X1605">
        <f>IF(AND(U1605=1,N1605&gt;=H1605*(1-Assumptions!$C$8)),1,0)</f>
        <v/>
      </c>
      <c r="Y1605">
        <f>IF(ISNUMBER(Q1605),1,0)</f>
        <v/>
      </c>
      <c r="Z1605">
        <f>IF(AND(K1605=0,L1605=0,Y1605=0),1,0)</f>
        <v/>
      </c>
      <c r="AA1605">
        <f>IF(AND(Z1605=1,G1605&lt;Assumptions!$C$6),1,0)</f>
        <v/>
      </c>
      <c r="AB1605">
        <f>IF(U1605=0,"",IF(Y1605=1,MAX(0,Q1605-G1605),IF(L1605=1,MAX(0,R1605-G1605),MAX(0,Assumptions!$C$6-G1605))))</f>
        <v/>
      </c>
      <c r="AC1605">
        <f>IF(Y1605=1,Q1605-F1605,"")</f>
        <v/>
      </c>
      <c r="AD1605">
        <f>IF(Y1605=1,AC1605^2,"")</f>
        <v/>
      </c>
      <c r="AE1605" s="19">
        <f>IF(Z1605=1,(H1605-M1605)*I1605,0)</f>
        <v/>
      </c>
      <c r="AF1605">
        <f>IF(G1605&lt;EDATE(Assumptions!$C$6,-12)+1,"prior_12m","last_12m")</f>
        <v/>
      </c>
      <c r="AG1605" s="21">
        <f>DATE(YEAR(G1605),MONTH(G1605),1)</f>
        <v/>
      </c>
    </row>
    <row r="1606">
      <c r="A1606" t="inlineStr">
        <is>
          <t>SPO-00870-1</t>
        </is>
      </c>
      <c r="B1606" t="inlineStr">
        <is>
          <t>SPO-00870</t>
        </is>
      </c>
      <c r="C1606" t="inlineStr">
        <is>
          <t>SUP-01</t>
        </is>
      </c>
      <c r="D1606" t="inlineStr">
        <is>
          <t>ELEC</t>
        </is>
      </c>
      <c r="E1606" t="inlineStr">
        <is>
          <t>ELEC-04</t>
        </is>
      </c>
      <c r="F1606" s="17" t="n">
        <v>45808</v>
      </c>
      <c r="G1606" s="17" t="n">
        <v>45826</v>
      </c>
      <c r="H1606" s="18" t="n">
        <v>32</v>
      </c>
      <c r="I1606" s="19" t="n">
        <v>74.48</v>
      </c>
      <c r="J1606" s="19" t="n">
        <v>72</v>
      </c>
      <c r="K1606" s="20" t="n">
        <v>0</v>
      </c>
      <c r="L1606" s="20" t="n">
        <v>0</v>
      </c>
      <c r="M1606" s="18" t="n">
        <v>32</v>
      </c>
      <c r="N1606" s="18" t="n">
        <v>32</v>
      </c>
      <c r="O1606" s="18" t="n">
        <v>0</v>
      </c>
      <c r="P1606" s="17" t="n">
        <v>45822</v>
      </c>
      <c r="Q1606" s="17" t="n">
        <v>45822</v>
      </c>
      <c r="R1606" s="17" t="n">
        <v>45822</v>
      </c>
      <c r="S1606" s="19">
        <f>H1606*I1606</f>
        <v/>
      </c>
      <c r="T1606" s="19">
        <f>H1606*J1606</f>
        <v/>
      </c>
      <c r="U1606">
        <f>IF(AND(K1606=0,G1606&lt;=Assumptions!$C$6),1,0)</f>
        <v/>
      </c>
      <c r="V1606">
        <f>IF(U1606=1,IF(M1606&gt;0,IF(P1606&lt;=G1606+Assumptions!$C$7,1,0),0),0)</f>
        <v/>
      </c>
      <c r="W1606">
        <f>IF(AND(U1606=1,M1606&gt;=H1606*(1-Assumptions!$C$8)),1,0)</f>
        <v/>
      </c>
      <c r="X1606">
        <f>IF(AND(U1606=1,N1606&gt;=H1606*(1-Assumptions!$C$8)),1,0)</f>
        <v/>
      </c>
      <c r="Y1606">
        <f>IF(ISNUMBER(Q1606),1,0)</f>
        <v/>
      </c>
      <c r="Z1606">
        <f>IF(AND(K1606=0,L1606=0,Y1606=0),1,0)</f>
        <v/>
      </c>
      <c r="AA1606">
        <f>IF(AND(Z1606=1,G1606&lt;Assumptions!$C$6),1,0)</f>
        <v/>
      </c>
      <c r="AB1606">
        <f>IF(U1606=0,"",IF(Y1606=1,MAX(0,Q1606-G1606),IF(L1606=1,MAX(0,R1606-G1606),MAX(0,Assumptions!$C$6-G1606))))</f>
        <v/>
      </c>
      <c r="AC1606">
        <f>IF(Y1606=1,Q1606-F1606,"")</f>
        <v/>
      </c>
      <c r="AD1606">
        <f>IF(Y1606=1,AC1606^2,"")</f>
        <v/>
      </c>
      <c r="AE1606" s="19">
        <f>IF(Z1606=1,(H1606-M1606)*I1606,0)</f>
        <v/>
      </c>
      <c r="AF1606">
        <f>IF(G1606&lt;EDATE(Assumptions!$C$6,-12)+1,"prior_12m","last_12m")</f>
        <v/>
      </c>
      <c r="AG1606" s="21">
        <f>DATE(YEAR(G1606),MONTH(G1606),1)</f>
        <v/>
      </c>
    </row>
    <row r="1607">
      <c r="A1607" t="inlineStr">
        <is>
          <t>SPO-00871-1</t>
        </is>
      </c>
      <c r="B1607" t="inlineStr">
        <is>
          <t>SPO-00871</t>
        </is>
      </c>
      <c r="C1607" t="inlineStr">
        <is>
          <t>SUP-10</t>
        </is>
      </c>
      <c r="D1607" t="inlineStr">
        <is>
          <t>PPE</t>
        </is>
      </c>
      <c r="E1607" t="inlineStr">
        <is>
          <t>PPE-08</t>
        </is>
      </c>
      <c r="F1607" s="17" t="n">
        <v>45808</v>
      </c>
      <c r="G1607" s="17" t="n">
        <v>45821</v>
      </c>
      <c r="H1607" s="18" t="n">
        <v>17</v>
      </c>
      <c r="I1607" s="19" t="n">
        <v>63.81</v>
      </c>
      <c r="J1607" s="19" t="n">
        <v>64</v>
      </c>
      <c r="K1607" s="20" t="n">
        <v>0</v>
      </c>
      <c r="L1607" s="20" t="n">
        <v>0</v>
      </c>
      <c r="M1607" s="18" t="n">
        <v>17</v>
      </c>
      <c r="N1607" s="18" t="n">
        <v>17</v>
      </c>
      <c r="O1607" s="18" t="n">
        <v>0</v>
      </c>
      <c r="P1607" s="17" t="n">
        <v>45819</v>
      </c>
      <c r="Q1607" s="17" t="n">
        <v>45819</v>
      </c>
      <c r="R1607" s="17" t="n">
        <v>45819</v>
      </c>
      <c r="S1607" s="19">
        <f>H1607*I1607</f>
        <v/>
      </c>
      <c r="T1607" s="19">
        <f>H1607*J1607</f>
        <v/>
      </c>
      <c r="U1607">
        <f>IF(AND(K1607=0,G1607&lt;=Assumptions!$C$6),1,0)</f>
        <v/>
      </c>
      <c r="V1607">
        <f>IF(U1607=1,IF(M1607&gt;0,IF(P1607&lt;=G1607+Assumptions!$C$7,1,0),0),0)</f>
        <v/>
      </c>
      <c r="W1607">
        <f>IF(AND(U1607=1,M1607&gt;=H1607*(1-Assumptions!$C$8)),1,0)</f>
        <v/>
      </c>
      <c r="X1607">
        <f>IF(AND(U1607=1,N1607&gt;=H1607*(1-Assumptions!$C$8)),1,0)</f>
        <v/>
      </c>
      <c r="Y1607">
        <f>IF(ISNUMBER(Q1607),1,0)</f>
        <v/>
      </c>
      <c r="Z1607">
        <f>IF(AND(K1607=0,L1607=0,Y1607=0),1,0)</f>
        <v/>
      </c>
      <c r="AA1607">
        <f>IF(AND(Z1607=1,G1607&lt;Assumptions!$C$6),1,0)</f>
        <v/>
      </c>
      <c r="AB1607">
        <f>IF(U1607=0,"",IF(Y1607=1,MAX(0,Q1607-G1607),IF(L1607=1,MAX(0,R1607-G1607),MAX(0,Assumptions!$C$6-G1607))))</f>
        <v/>
      </c>
      <c r="AC1607">
        <f>IF(Y1607=1,Q1607-F1607,"")</f>
        <v/>
      </c>
      <c r="AD1607">
        <f>IF(Y1607=1,AC1607^2,"")</f>
        <v/>
      </c>
      <c r="AE1607" s="19">
        <f>IF(Z1607=1,(H1607-M1607)*I1607,0)</f>
        <v/>
      </c>
      <c r="AF1607">
        <f>IF(G1607&lt;EDATE(Assumptions!$C$6,-12)+1,"prior_12m","last_12m")</f>
        <v/>
      </c>
      <c r="AG1607" s="21">
        <f>DATE(YEAR(G1607),MONTH(G1607),1)</f>
        <v/>
      </c>
    </row>
    <row r="1608">
      <c r="A1608" t="inlineStr">
        <is>
          <t>SPO-00871-2</t>
        </is>
      </c>
      <c r="B1608" t="inlineStr">
        <is>
          <t>SPO-00871</t>
        </is>
      </c>
      <c r="C1608" t="inlineStr">
        <is>
          <t>SUP-10</t>
        </is>
      </c>
      <c r="D1608" t="inlineStr">
        <is>
          <t>PPE</t>
        </is>
      </c>
      <c r="E1608" t="inlineStr">
        <is>
          <t>PPE-07</t>
        </is>
      </c>
      <c r="F1608" s="17" t="n">
        <v>45808</v>
      </c>
      <c r="G1608" s="17" t="n">
        <v>45821</v>
      </c>
      <c r="H1608" s="18" t="n">
        <v>27</v>
      </c>
      <c r="I1608" s="19" t="n">
        <v>29.46</v>
      </c>
      <c r="J1608" s="19" t="n">
        <v>31</v>
      </c>
      <c r="K1608" s="20" t="n">
        <v>0</v>
      </c>
      <c r="L1608" s="20" t="n">
        <v>0</v>
      </c>
      <c r="M1608" s="18" t="n">
        <v>27</v>
      </c>
      <c r="N1608" s="18" t="n">
        <v>27</v>
      </c>
      <c r="O1608" s="18" t="n">
        <v>3</v>
      </c>
      <c r="P1608" s="17" t="n">
        <v>45815</v>
      </c>
      <c r="Q1608" s="17" t="n">
        <v>45815</v>
      </c>
      <c r="R1608" s="17" t="n">
        <v>45815</v>
      </c>
      <c r="S1608" s="19">
        <f>H1608*I1608</f>
        <v/>
      </c>
      <c r="T1608" s="19">
        <f>H1608*J1608</f>
        <v/>
      </c>
      <c r="U1608">
        <f>IF(AND(K1608=0,G1608&lt;=Assumptions!$C$6),1,0)</f>
        <v/>
      </c>
      <c r="V1608">
        <f>IF(U1608=1,IF(M1608&gt;0,IF(P1608&lt;=G1608+Assumptions!$C$7,1,0),0),0)</f>
        <v/>
      </c>
      <c r="W1608">
        <f>IF(AND(U1608=1,M1608&gt;=H1608*(1-Assumptions!$C$8)),1,0)</f>
        <v/>
      </c>
      <c r="X1608">
        <f>IF(AND(U1608=1,N1608&gt;=H1608*(1-Assumptions!$C$8)),1,0)</f>
        <v/>
      </c>
      <c r="Y1608">
        <f>IF(ISNUMBER(Q1608),1,0)</f>
        <v/>
      </c>
      <c r="Z1608">
        <f>IF(AND(K1608=0,L1608=0,Y1608=0),1,0)</f>
        <v/>
      </c>
      <c r="AA1608">
        <f>IF(AND(Z1608=1,G1608&lt;Assumptions!$C$6),1,0)</f>
        <v/>
      </c>
      <c r="AB1608">
        <f>IF(U1608=0,"",IF(Y1608=1,MAX(0,Q1608-G1608),IF(L1608=1,MAX(0,R1608-G1608),MAX(0,Assumptions!$C$6-G1608))))</f>
        <v/>
      </c>
      <c r="AC1608">
        <f>IF(Y1608=1,Q1608-F1608,"")</f>
        <v/>
      </c>
      <c r="AD1608">
        <f>IF(Y1608=1,AC1608^2,"")</f>
        <v/>
      </c>
      <c r="AE1608" s="19">
        <f>IF(Z1608=1,(H1608-M1608)*I1608,0)</f>
        <v/>
      </c>
      <c r="AF1608">
        <f>IF(G1608&lt;EDATE(Assumptions!$C$6,-12)+1,"prior_12m","last_12m")</f>
        <v/>
      </c>
      <c r="AG1608" s="21">
        <f>DATE(YEAR(G1608),MONTH(G1608),1)</f>
        <v/>
      </c>
    </row>
    <row r="1609">
      <c r="A1609" t="inlineStr">
        <is>
          <t>SPO-00871-3</t>
        </is>
      </c>
      <c r="B1609" t="inlineStr">
        <is>
          <t>SPO-00871</t>
        </is>
      </c>
      <c r="C1609" t="inlineStr">
        <is>
          <t>SUP-10</t>
        </is>
      </c>
      <c r="D1609" t="inlineStr">
        <is>
          <t>PPE</t>
        </is>
      </c>
      <c r="E1609" t="inlineStr">
        <is>
          <t>PPE-04</t>
        </is>
      </c>
      <c r="F1609" s="17" t="n">
        <v>45808</v>
      </c>
      <c r="G1609" s="17" t="n">
        <v>45821</v>
      </c>
      <c r="H1609" s="18" t="n">
        <v>88</v>
      </c>
      <c r="I1609" s="19" t="n">
        <v>25.56</v>
      </c>
      <c r="J1609" s="19" t="n">
        <v>26</v>
      </c>
      <c r="K1609" s="20" t="n">
        <v>0</v>
      </c>
      <c r="L1609" s="20" t="n">
        <v>0</v>
      </c>
      <c r="M1609" s="18" t="n">
        <v>88</v>
      </c>
      <c r="N1609" s="18" t="n">
        <v>88</v>
      </c>
      <c r="O1609" s="18" t="n">
        <v>0</v>
      </c>
      <c r="P1609" s="17" t="n">
        <v>45815</v>
      </c>
      <c r="Q1609" s="17" t="n">
        <v>45815</v>
      </c>
      <c r="R1609" s="17" t="n">
        <v>45815</v>
      </c>
      <c r="S1609" s="19">
        <f>H1609*I1609</f>
        <v/>
      </c>
      <c r="T1609" s="19">
        <f>H1609*J1609</f>
        <v/>
      </c>
      <c r="U1609">
        <f>IF(AND(K1609=0,G1609&lt;=Assumptions!$C$6),1,0)</f>
        <v/>
      </c>
      <c r="V1609">
        <f>IF(U1609=1,IF(M1609&gt;0,IF(P1609&lt;=G1609+Assumptions!$C$7,1,0),0),0)</f>
        <v/>
      </c>
      <c r="W1609">
        <f>IF(AND(U1609=1,M1609&gt;=H1609*(1-Assumptions!$C$8)),1,0)</f>
        <v/>
      </c>
      <c r="X1609">
        <f>IF(AND(U1609=1,N1609&gt;=H1609*(1-Assumptions!$C$8)),1,0)</f>
        <v/>
      </c>
      <c r="Y1609">
        <f>IF(ISNUMBER(Q1609),1,0)</f>
        <v/>
      </c>
      <c r="Z1609">
        <f>IF(AND(K1609=0,L1609=0,Y1609=0),1,0)</f>
        <v/>
      </c>
      <c r="AA1609">
        <f>IF(AND(Z1609=1,G1609&lt;Assumptions!$C$6),1,0)</f>
        <v/>
      </c>
      <c r="AB1609">
        <f>IF(U1609=0,"",IF(Y1609=1,MAX(0,Q1609-G1609),IF(L1609=1,MAX(0,R1609-G1609),MAX(0,Assumptions!$C$6-G1609))))</f>
        <v/>
      </c>
      <c r="AC1609">
        <f>IF(Y1609=1,Q1609-F1609,"")</f>
        <v/>
      </c>
      <c r="AD1609">
        <f>IF(Y1609=1,AC1609^2,"")</f>
        <v/>
      </c>
      <c r="AE1609" s="19">
        <f>IF(Z1609=1,(H1609-M1609)*I1609,0)</f>
        <v/>
      </c>
      <c r="AF1609">
        <f>IF(G1609&lt;EDATE(Assumptions!$C$6,-12)+1,"prior_12m","last_12m")</f>
        <v/>
      </c>
      <c r="AG1609" s="21">
        <f>DATE(YEAR(G1609),MONTH(G1609),1)</f>
        <v/>
      </c>
    </row>
    <row r="1610">
      <c r="A1610" t="inlineStr">
        <is>
          <t>SPO-00872-1</t>
        </is>
      </c>
      <c r="B1610" t="inlineStr">
        <is>
          <t>SPO-00872</t>
        </is>
      </c>
      <c r="C1610" t="inlineStr">
        <is>
          <t>SUP-05</t>
        </is>
      </c>
      <c r="D1610" t="inlineStr">
        <is>
          <t>FLEET</t>
        </is>
      </c>
      <c r="E1610" t="inlineStr">
        <is>
          <t>FLEET-05</t>
        </is>
      </c>
      <c r="F1610" s="17" t="n">
        <v>45808</v>
      </c>
      <c r="G1610" s="17" t="n">
        <v>45822</v>
      </c>
      <c r="H1610" s="18" t="n">
        <v>26</v>
      </c>
      <c r="I1610" s="19" t="n">
        <v>165.63</v>
      </c>
      <c r="J1610" s="19" t="n">
        <v>168</v>
      </c>
      <c r="K1610" s="20" t="n">
        <v>0</v>
      </c>
      <c r="L1610" s="20" t="n">
        <v>0</v>
      </c>
      <c r="M1610" s="18" t="n">
        <v>26</v>
      </c>
      <c r="N1610" s="18" t="n">
        <v>26</v>
      </c>
      <c r="O1610" s="18" t="n">
        <v>0</v>
      </c>
      <c r="P1610" s="17" t="n">
        <v>45819</v>
      </c>
      <c r="Q1610" s="17" t="n">
        <v>45819</v>
      </c>
      <c r="R1610" s="17" t="n">
        <v>45819</v>
      </c>
      <c r="S1610" s="19">
        <f>H1610*I1610</f>
        <v/>
      </c>
      <c r="T1610" s="19">
        <f>H1610*J1610</f>
        <v/>
      </c>
      <c r="U1610">
        <f>IF(AND(K1610=0,G1610&lt;=Assumptions!$C$6),1,0)</f>
        <v/>
      </c>
      <c r="V1610">
        <f>IF(U1610=1,IF(M1610&gt;0,IF(P1610&lt;=G1610+Assumptions!$C$7,1,0),0),0)</f>
        <v/>
      </c>
      <c r="W1610">
        <f>IF(AND(U1610=1,M1610&gt;=H1610*(1-Assumptions!$C$8)),1,0)</f>
        <v/>
      </c>
      <c r="X1610">
        <f>IF(AND(U1610=1,N1610&gt;=H1610*(1-Assumptions!$C$8)),1,0)</f>
        <v/>
      </c>
      <c r="Y1610">
        <f>IF(ISNUMBER(Q1610),1,0)</f>
        <v/>
      </c>
      <c r="Z1610">
        <f>IF(AND(K1610=0,L1610=0,Y1610=0),1,0)</f>
        <v/>
      </c>
      <c r="AA1610">
        <f>IF(AND(Z1610=1,G1610&lt;Assumptions!$C$6),1,0)</f>
        <v/>
      </c>
      <c r="AB1610">
        <f>IF(U1610=0,"",IF(Y1610=1,MAX(0,Q1610-G1610),IF(L1610=1,MAX(0,R1610-G1610),MAX(0,Assumptions!$C$6-G1610))))</f>
        <v/>
      </c>
      <c r="AC1610">
        <f>IF(Y1610=1,Q1610-F1610,"")</f>
        <v/>
      </c>
      <c r="AD1610">
        <f>IF(Y1610=1,AC1610^2,"")</f>
        <v/>
      </c>
      <c r="AE1610" s="19">
        <f>IF(Z1610=1,(H1610-M1610)*I1610,0)</f>
        <v/>
      </c>
      <c r="AF1610">
        <f>IF(G1610&lt;EDATE(Assumptions!$C$6,-12)+1,"prior_12m","last_12m")</f>
        <v/>
      </c>
      <c r="AG1610" s="21">
        <f>DATE(YEAR(G1610),MONTH(G1610),1)</f>
        <v/>
      </c>
    </row>
    <row r="1611">
      <c r="A1611" t="inlineStr">
        <is>
          <t>SPO-00873-1</t>
        </is>
      </c>
      <c r="B1611" t="inlineStr">
        <is>
          <t>SPO-00873</t>
        </is>
      </c>
      <c r="C1611" t="inlineStr">
        <is>
          <t>SUP-08</t>
        </is>
      </c>
      <c r="D1611" t="inlineStr">
        <is>
          <t>PPE</t>
        </is>
      </c>
      <c r="E1611" t="inlineStr">
        <is>
          <t>PPE-04</t>
        </is>
      </c>
      <c r="F1611" s="17" t="n">
        <v>45808</v>
      </c>
      <c r="G1611" s="17" t="n">
        <v>45819</v>
      </c>
      <c r="H1611" s="18" t="n">
        <v>34</v>
      </c>
      <c r="I1611" s="19" t="n">
        <v>26.67</v>
      </c>
      <c r="J1611" s="19" t="n">
        <v>26</v>
      </c>
      <c r="K1611" s="20" t="n">
        <v>0</v>
      </c>
      <c r="L1611" s="20" t="n">
        <v>0</v>
      </c>
      <c r="M1611" s="18" t="n">
        <v>34</v>
      </c>
      <c r="N1611" s="18" t="n">
        <v>34</v>
      </c>
      <c r="O1611" s="18" t="n">
        <v>0</v>
      </c>
      <c r="P1611" s="17" t="n">
        <v>45815</v>
      </c>
      <c r="Q1611" s="17" t="n">
        <v>45815</v>
      </c>
      <c r="R1611" s="17" t="n">
        <v>45815</v>
      </c>
      <c r="S1611" s="19">
        <f>H1611*I1611</f>
        <v/>
      </c>
      <c r="T1611" s="19">
        <f>H1611*J1611</f>
        <v/>
      </c>
      <c r="U1611">
        <f>IF(AND(K1611=0,G1611&lt;=Assumptions!$C$6),1,0)</f>
        <v/>
      </c>
      <c r="V1611">
        <f>IF(U1611=1,IF(M1611&gt;0,IF(P1611&lt;=G1611+Assumptions!$C$7,1,0),0),0)</f>
        <v/>
      </c>
      <c r="W1611">
        <f>IF(AND(U1611=1,M1611&gt;=H1611*(1-Assumptions!$C$8)),1,0)</f>
        <v/>
      </c>
      <c r="X1611">
        <f>IF(AND(U1611=1,N1611&gt;=H1611*(1-Assumptions!$C$8)),1,0)</f>
        <v/>
      </c>
      <c r="Y1611">
        <f>IF(ISNUMBER(Q1611),1,0)</f>
        <v/>
      </c>
      <c r="Z1611">
        <f>IF(AND(K1611=0,L1611=0,Y1611=0),1,0)</f>
        <v/>
      </c>
      <c r="AA1611">
        <f>IF(AND(Z1611=1,G1611&lt;Assumptions!$C$6),1,0)</f>
        <v/>
      </c>
      <c r="AB1611">
        <f>IF(U1611=0,"",IF(Y1611=1,MAX(0,Q1611-G1611),IF(L1611=1,MAX(0,R1611-G1611),MAX(0,Assumptions!$C$6-G1611))))</f>
        <v/>
      </c>
      <c r="AC1611">
        <f>IF(Y1611=1,Q1611-F1611,"")</f>
        <v/>
      </c>
      <c r="AD1611">
        <f>IF(Y1611=1,AC1611^2,"")</f>
        <v/>
      </c>
      <c r="AE1611" s="19">
        <f>IF(Z1611=1,(H1611-M1611)*I1611,0)</f>
        <v/>
      </c>
      <c r="AF1611">
        <f>IF(G1611&lt;EDATE(Assumptions!$C$6,-12)+1,"prior_12m","last_12m")</f>
        <v/>
      </c>
      <c r="AG1611" s="21">
        <f>DATE(YEAR(G1611),MONTH(G1611),1)</f>
        <v/>
      </c>
    </row>
    <row r="1612">
      <c r="A1612" t="inlineStr">
        <is>
          <t>SPO-00873-2</t>
        </is>
      </c>
      <c r="B1612" t="inlineStr">
        <is>
          <t>SPO-00873</t>
        </is>
      </c>
      <c r="C1612" t="inlineStr">
        <is>
          <t>SUP-08</t>
        </is>
      </c>
      <c r="D1612" t="inlineStr">
        <is>
          <t>PPE</t>
        </is>
      </c>
      <c r="E1612" t="inlineStr">
        <is>
          <t>PPE-01</t>
        </is>
      </c>
      <c r="F1612" s="17" t="n">
        <v>45808</v>
      </c>
      <c r="G1612" s="17" t="n">
        <v>45819</v>
      </c>
      <c r="H1612" s="18" t="n">
        <v>383</v>
      </c>
      <c r="I1612" s="19" t="n">
        <v>4.72</v>
      </c>
      <c r="J1612" s="19" t="n">
        <v>4.8</v>
      </c>
      <c r="K1612" s="20" t="n">
        <v>0</v>
      </c>
      <c r="L1612" s="20" t="n">
        <v>0</v>
      </c>
      <c r="M1612" s="18" t="n">
        <v>383</v>
      </c>
      <c r="N1612" s="18" t="n">
        <v>383</v>
      </c>
      <c r="O1612" s="18" t="n">
        <v>0</v>
      </c>
      <c r="P1612" s="17" t="n">
        <v>45816</v>
      </c>
      <c r="Q1612" s="17" t="n">
        <v>45816</v>
      </c>
      <c r="R1612" s="17" t="n">
        <v>45816</v>
      </c>
      <c r="S1612" s="19">
        <f>H1612*I1612</f>
        <v/>
      </c>
      <c r="T1612" s="19">
        <f>H1612*J1612</f>
        <v/>
      </c>
      <c r="U1612">
        <f>IF(AND(K1612=0,G1612&lt;=Assumptions!$C$6),1,0)</f>
        <v/>
      </c>
      <c r="V1612">
        <f>IF(U1612=1,IF(M1612&gt;0,IF(P1612&lt;=G1612+Assumptions!$C$7,1,0),0),0)</f>
        <v/>
      </c>
      <c r="W1612">
        <f>IF(AND(U1612=1,M1612&gt;=H1612*(1-Assumptions!$C$8)),1,0)</f>
        <v/>
      </c>
      <c r="X1612">
        <f>IF(AND(U1612=1,N1612&gt;=H1612*(1-Assumptions!$C$8)),1,0)</f>
        <v/>
      </c>
      <c r="Y1612">
        <f>IF(ISNUMBER(Q1612),1,0)</f>
        <v/>
      </c>
      <c r="Z1612">
        <f>IF(AND(K1612=0,L1612=0,Y1612=0),1,0)</f>
        <v/>
      </c>
      <c r="AA1612">
        <f>IF(AND(Z1612=1,G1612&lt;Assumptions!$C$6),1,0)</f>
        <v/>
      </c>
      <c r="AB1612">
        <f>IF(U1612=0,"",IF(Y1612=1,MAX(0,Q1612-G1612),IF(L1612=1,MAX(0,R1612-G1612),MAX(0,Assumptions!$C$6-G1612))))</f>
        <v/>
      </c>
      <c r="AC1612">
        <f>IF(Y1612=1,Q1612-F1612,"")</f>
        <v/>
      </c>
      <c r="AD1612">
        <f>IF(Y1612=1,AC1612^2,"")</f>
        <v/>
      </c>
      <c r="AE1612" s="19">
        <f>IF(Z1612=1,(H1612-M1612)*I1612,0)</f>
        <v/>
      </c>
      <c r="AF1612">
        <f>IF(G1612&lt;EDATE(Assumptions!$C$6,-12)+1,"prior_12m","last_12m")</f>
        <v/>
      </c>
      <c r="AG1612" s="21">
        <f>DATE(YEAR(G1612),MONTH(G1612),1)</f>
        <v/>
      </c>
    </row>
    <row r="1613">
      <c r="A1613" t="inlineStr">
        <is>
          <t>SPO-00874-1</t>
        </is>
      </c>
      <c r="B1613" t="inlineStr">
        <is>
          <t>SPO-00874</t>
        </is>
      </c>
      <c r="C1613" t="inlineStr">
        <is>
          <t>SUP-04</t>
        </is>
      </c>
      <c r="D1613" t="inlineStr">
        <is>
          <t>FLEET</t>
        </is>
      </c>
      <c r="E1613" t="inlineStr">
        <is>
          <t>FLEET-01</t>
        </is>
      </c>
      <c r="F1613" s="17" t="n">
        <v>45809</v>
      </c>
      <c r="G1613" s="17" t="n">
        <v>45822</v>
      </c>
      <c r="H1613" s="18" t="n">
        <v>13</v>
      </c>
      <c r="I1613" s="19" t="n">
        <v>64.15000000000001</v>
      </c>
      <c r="J1613" s="19" t="n">
        <v>64</v>
      </c>
      <c r="K1613" s="20" t="n">
        <v>0</v>
      </c>
      <c r="L1613" s="20" t="n">
        <v>0</v>
      </c>
      <c r="M1613" s="18" t="n">
        <v>13</v>
      </c>
      <c r="N1613" s="18" t="n">
        <v>13</v>
      </c>
      <c r="O1613" s="18" t="n">
        <v>0</v>
      </c>
      <c r="P1613" s="17" t="n">
        <v>45816</v>
      </c>
      <c r="Q1613" s="17" t="n">
        <v>45816</v>
      </c>
      <c r="R1613" s="17" t="n">
        <v>45816</v>
      </c>
      <c r="S1613" s="19">
        <f>H1613*I1613</f>
        <v/>
      </c>
      <c r="T1613" s="19">
        <f>H1613*J1613</f>
        <v/>
      </c>
      <c r="U1613">
        <f>IF(AND(K1613=0,G1613&lt;=Assumptions!$C$6),1,0)</f>
        <v/>
      </c>
      <c r="V1613">
        <f>IF(U1613=1,IF(M1613&gt;0,IF(P1613&lt;=G1613+Assumptions!$C$7,1,0),0),0)</f>
        <v/>
      </c>
      <c r="W1613">
        <f>IF(AND(U1613=1,M1613&gt;=H1613*(1-Assumptions!$C$8)),1,0)</f>
        <v/>
      </c>
      <c r="X1613">
        <f>IF(AND(U1613=1,N1613&gt;=H1613*(1-Assumptions!$C$8)),1,0)</f>
        <v/>
      </c>
      <c r="Y1613">
        <f>IF(ISNUMBER(Q1613),1,0)</f>
        <v/>
      </c>
      <c r="Z1613">
        <f>IF(AND(K1613=0,L1613=0,Y1613=0),1,0)</f>
        <v/>
      </c>
      <c r="AA1613">
        <f>IF(AND(Z1613=1,G1613&lt;Assumptions!$C$6),1,0)</f>
        <v/>
      </c>
      <c r="AB1613">
        <f>IF(U1613=0,"",IF(Y1613=1,MAX(0,Q1613-G1613),IF(L1613=1,MAX(0,R1613-G1613),MAX(0,Assumptions!$C$6-G1613))))</f>
        <v/>
      </c>
      <c r="AC1613">
        <f>IF(Y1613=1,Q1613-F1613,"")</f>
        <v/>
      </c>
      <c r="AD1613">
        <f>IF(Y1613=1,AC1613^2,"")</f>
        <v/>
      </c>
      <c r="AE1613" s="19">
        <f>IF(Z1613=1,(H1613-M1613)*I1613,0)</f>
        <v/>
      </c>
      <c r="AF1613">
        <f>IF(G1613&lt;EDATE(Assumptions!$C$6,-12)+1,"prior_12m","last_12m")</f>
        <v/>
      </c>
      <c r="AG1613" s="21">
        <f>DATE(YEAR(G1613),MONTH(G1613),1)</f>
        <v/>
      </c>
    </row>
    <row r="1614">
      <c r="A1614" t="inlineStr">
        <is>
          <t>SPO-00874-2</t>
        </is>
      </c>
      <c r="B1614" t="inlineStr">
        <is>
          <t>SPO-00874</t>
        </is>
      </c>
      <c r="C1614" t="inlineStr">
        <is>
          <t>SUP-04</t>
        </is>
      </c>
      <c r="D1614" t="inlineStr">
        <is>
          <t>FLEET</t>
        </is>
      </c>
      <c r="E1614" t="inlineStr">
        <is>
          <t>FLEET-07</t>
        </is>
      </c>
      <c r="F1614" s="17" t="n">
        <v>45809</v>
      </c>
      <c r="G1614" s="17" t="n">
        <v>45822</v>
      </c>
      <c r="H1614" s="18" t="n">
        <v>30</v>
      </c>
      <c r="I1614" s="19" t="n">
        <v>120</v>
      </c>
      <c r="J1614" s="19" t="n">
        <v>118</v>
      </c>
      <c r="K1614" s="20" t="n">
        <v>0</v>
      </c>
      <c r="L1614" s="20" t="n">
        <v>0</v>
      </c>
      <c r="M1614" s="18" t="n">
        <v>30</v>
      </c>
      <c r="N1614" s="18" t="n">
        <v>30</v>
      </c>
      <c r="O1614" s="18" t="n">
        <v>0</v>
      </c>
      <c r="P1614" s="17" t="n">
        <v>45813</v>
      </c>
      <c r="Q1614" s="17" t="n">
        <v>45813</v>
      </c>
      <c r="R1614" s="17" t="n">
        <v>45813</v>
      </c>
      <c r="S1614" s="19">
        <f>H1614*I1614</f>
        <v/>
      </c>
      <c r="T1614" s="19">
        <f>H1614*J1614</f>
        <v/>
      </c>
      <c r="U1614">
        <f>IF(AND(K1614=0,G1614&lt;=Assumptions!$C$6),1,0)</f>
        <v/>
      </c>
      <c r="V1614">
        <f>IF(U1614=1,IF(M1614&gt;0,IF(P1614&lt;=G1614+Assumptions!$C$7,1,0),0),0)</f>
        <v/>
      </c>
      <c r="W1614">
        <f>IF(AND(U1614=1,M1614&gt;=H1614*(1-Assumptions!$C$8)),1,0)</f>
        <v/>
      </c>
      <c r="X1614">
        <f>IF(AND(U1614=1,N1614&gt;=H1614*(1-Assumptions!$C$8)),1,0)</f>
        <v/>
      </c>
      <c r="Y1614">
        <f>IF(ISNUMBER(Q1614),1,0)</f>
        <v/>
      </c>
      <c r="Z1614">
        <f>IF(AND(K1614=0,L1614=0,Y1614=0),1,0)</f>
        <v/>
      </c>
      <c r="AA1614">
        <f>IF(AND(Z1614=1,G1614&lt;Assumptions!$C$6),1,0)</f>
        <v/>
      </c>
      <c r="AB1614">
        <f>IF(U1614=0,"",IF(Y1614=1,MAX(0,Q1614-G1614),IF(L1614=1,MAX(0,R1614-G1614),MAX(0,Assumptions!$C$6-G1614))))</f>
        <v/>
      </c>
      <c r="AC1614">
        <f>IF(Y1614=1,Q1614-F1614,"")</f>
        <v/>
      </c>
      <c r="AD1614">
        <f>IF(Y1614=1,AC1614^2,"")</f>
        <v/>
      </c>
      <c r="AE1614" s="19">
        <f>IF(Z1614=1,(H1614-M1614)*I1614,0)</f>
        <v/>
      </c>
      <c r="AF1614">
        <f>IF(G1614&lt;EDATE(Assumptions!$C$6,-12)+1,"prior_12m","last_12m")</f>
        <v/>
      </c>
      <c r="AG1614" s="21">
        <f>DATE(YEAR(G1614),MONTH(G1614),1)</f>
        <v/>
      </c>
    </row>
    <row r="1615">
      <c r="A1615" t="inlineStr">
        <is>
          <t>SPO-00875-1</t>
        </is>
      </c>
      <c r="B1615" t="inlineStr">
        <is>
          <t>SPO-00875</t>
        </is>
      </c>
      <c r="C1615" t="inlineStr">
        <is>
          <t>SUP-02</t>
        </is>
      </c>
      <c r="D1615" t="inlineStr">
        <is>
          <t>ELEC</t>
        </is>
      </c>
      <c r="E1615" t="inlineStr">
        <is>
          <t>ELEC-07</t>
        </is>
      </c>
      <c r="F1615" s="17" t="n">
        <v>45809</v>
      </c>
      <c r="G1615" s="17" t="n">
        <v>45825</v>
      </c>
      <c r="H1615" s="18" t="n">
        <v>99</v>
      </c>
      <c r="I1615" s="19" t="n">
        <v>9.609999999999999</v>
      </c>
      <c r="J1615" s="19" t="n">
        <v>9.800000000000001</v>
      </c>
      <c r="K1615" s="20" t="n">
        <v>0</v>
      </c>
      <c r="L1615" s="20" t="n">
        <v>0</v>
      </c>
      <c r="M1615" s="18" t="n">
        <v>99</v>
      </c>
      <c r="N1615" s="18" t="n">
        <v>99</v>
      </c>
      <c r="O1615" s="18" t="n">
        <v>0</v>
      </c>
      <c r="P1615" s="17" t="n">
        <v>45822</v>
      </c>
      <c r="Q1615" s="17" t="n">
        <v>45822</v>
      </c>
      <c r="R1615" s="17" t="n">
        <v>45822</v>
      </c>
      <c r="S1615" s="19">
        <f>H1615*I1615</f>
        <v/>
      </c>
      <c r="T1615" s="19">
        <f>H1615*J1615</f>
        <v/>
      </c>
      <c r="U1615">
        <f>IF(AND(K1615=0,G1615&lt;=Assumptions!$C$6),1,0)</f>
        <v/>
      </c>
      <c r="V1615">
        <f>IF(U1615=1,IF(M1615&gt;0,IF(P1615&lt;=G1615+Assumptions!$C$7,1,0),0),0)</f>
        <v/>
      </c>
      <c r="W1615">
        <f>IF(AND(U1615=1,M1615&gt;=H1615*(1-Assumptions!$C$8)),1,0)</f>
        <v/>
      </c>
      <c r="X1615">
        <f>IF(AND(U1615=1,N1615&gt;=H1615*(1-Assumptions!$C$8)),1,0)</f>
        <v/>
      </c>
      <c r="Y1615">
        <f>IF(ISNUMBER(Q1615),1,0)</f>
        <v/>
      </c>
      <c r="Z1615">
        <f>IF(AND(K1615=0,L1615=0,Y1615=0),1,0)</f>
        <v/>
      </c>
      <c r="AA1615">
        <f>IF(AND(Z1615=1,G1615&lt;Assumptions!$C$6),1,0)</f>
        <v/>
      </c>
      <c r="AB1615">
        <f>IF(U1615=0,"",IF(Y1615=1,MAX(0,Q1615-G1615),IF(L1615=1,MAX(0,R1615-G1615),MAX(0,Assumptions!$C$6-G1615))))</f>
        <v/>
      </c>
      <c r="AC1615">
        <f>IF(Y1615=1,Q1615-F1615,"")</f>
        <v/>
      </c>
      <c r="AD1615">
        <f>IF(Y1615=1,AC1615^2,"")</f>
        <v/>
      </c>
      <c r="AE1615" s="19">
        <f>IF(Z1615=1,(H1615-M1615)*I1615,0)</f>
        <v/>
      </c>
      <c r="AF1615">
        <f>IF(G1615&lt;EDATE(Assumptions!$C$6,-12)+1,"prior_12m","last_12m")</f>
        <v/>
      </c>
      <c r="AG1615" s="21">
        <f>DATE(YEAR(G1615),MONTH(G1615),1)</f>
        <v/>
      </c>
    </row>
    <row r="1616">
      <c r="A1616" t="inlineStr">
        <is>
          <t>SPO-00875-2</t>
        </is>
      </c>
      <c r="B1616" t="inlineStr">
        <is>
          <t>SPO-00875</t>
        </is>
      </c>
      <c r="C1616" t="inlineStr">
        <is>
          <t>SUP-02</t>
        </is>
      </c>
      <c r="D1616" t="inlineStr">
        <is>
          <t>ELEC</t>
        </is>
      </c>
      <c r="E1616" t="inlineStr">
        <is>
          <t>ELEC-04</t>
        </is>
      </c>
      <c r="F1616" s="17" t="n">
        <v>45809</v>
      </c>
      <c r="G1616" s="17" t="n">
        <v>45825</v>
      </c>
      <c r="H1616" s="18" t="n">
        <v>10</v>
      </c>
      <c r="I1616" s="19" t="n">
        <v>71.78</v>
      </c>
      <c r="J1616" s="19" t="n">
        <v>72</v>
      </c>
      <c r="K1616" s="20" t="n">
        <v>0</v>
      </c>
      <c r="L1616" s="20" t="n">
        <v>0</v>
      </c>
      <c r="M1616" s="18" t="n">
        <v>10</v>
      </c>
      <c r="N1616" s="18" t="n">
        <v>6</v>
      </c>
      <c r="O1616" s="18" t="n">
        <v>0</v>
      </c>
      <c r="P1616" s="17" t="n">
        <v>45822</v>
      </c>
      <c r="Q1616" s="17" t="n">
        <v>45828</v>
      </c>
      <c r="R1616" s="17" t="n">
        <v>45828</v>
      </c>
      <c r="S1616" s="19">
        <f>H1616*I1616</f>
        <v/>
      </c>
      <c r="T1616" s="19">
        <f>H1616*J1616</f>
        <v/>
      </c>
      <c r="U1616">
        <f>IF(AND(K1616=0,G1616&lt;=Assumptions!$C$6),1,0)</f>
        <v/>
      </c>
      <c r="V1616">
        <f>IF(U1616=1,IF(M1616&gt;0,IF(P1616&lt;=G1616+Assumptions!$C$7,1,0),0),0)</f>
        <v/>
      </c>
      <c r="W1616">
        <f>IF(AND(U1616=1,M1616&gt;=H1616*(1-Assumptions!$C$8)),1,0)</f>
        <v/>
      </c>
      <c r="X1616">
        <f>IF(AND(U1616=1,N1616&gt;=H1616*(1-Assumptions!$C$8)),1,0)</f>
        <v/>
      </c>
      <c r="Y1616">
        <f>IF(ISNUMBER(Q1616),1,0)</f>
        <v/>
      </c>
      <c r="Z1616">
        <f>IF(AND(K1616=0,L1616=0,Y1616=0),1,0)</f>
        <v/>
      </c>
      <c r="AA1616">
        <f>IF(AND(Z1616=1,G1616&lt;Assumptions!$C$6),1,0)</f>
        <v/>
      </c>
      <c r="AB1616">
        <f>IF(U1616=0,"",IF(Y1616=1,MAX(0,Q1616-G1616),IF(L1616=1,MAX(0,R1616-G1616),MAX(0,Assumptions!$C$6-G1616))))</f>
        <v/>
      </c>
      <c r="AC1616">
        <f>IF(Y1616=1,Q1616-F1616,"")</f>
        <v/>
      </c>
      <c r="AD1616">
        <f>IF(Y1616=1,AC1616^2,"")</f>
        <v/>
      </c>
      <c r="AE1616" s="19">
        <f>IF(Z1616=1,(H1616-M1616)*I1616,0)</f>
        <v/>
      </c>
      <c r="AF1616">
        <f>IF(G1616&lt;EDATE(Assumptions!$C$6,-12)+1,"prior_12m","last_12m")</f>
        <v/>
      </c>
      <c r="AG1616" s="21">
        <f>DATE(YEAR(G1616),MONTH(G1616),1)</f>
        <v/>
      </c>
    </row>
    <row r="1617">
      <c r="A1617" t="inlineStr">
        <is>
          <t>SPO-00876-1</t>
        </is>
      </c>
      <c r="B1617" t="inlineStr">
        <is>
          <t>SPO-00876</t>
        </is>
      </c>
      <c r="C1617" t="inlineStr">
        <is>
          <t>SUP-08</t>
        </is>
      </c>
      <c r="D1617" t="inlineStr">
        <is>
          <t>MRO</t>
        </is>
      </c>
      <c r="E1617" t="inlineStr">
        <is>
          <t>MRO-08</t>
        </is>
      </c>
      <c r="F1617" s="17" t="n">
        <v>45809</v>
      </c>
      <c r="G1617" s="17" t="n">
        <v>45820</v>
      </c>
      <c r="H1617" s="18" t="n">
        <v>366</v>
      </c>
      <c r="I1617" s="19" t="n">
        <v>7.26</v>
      </c>
      <c r="J1617" s="19" t="n">
        <v>7.2</v>
      </c>
      <c r="K1617" s="20" t="n">
        <v>0</v>
      </c>
      <c r="L1617" s="20" t="n">
        <v>0</v>
      </c>
      <c r="M1617" s="18" t="n">
        <v>366</v>
      </c>
      <c r="N1617" s="18" t="n">
        <v>366</v>
      </c>
      <c r="O1617" s="18" t="n">
        <v>0</v>
      </c>
      <c r="P1617" s="17" t="n">
        <v>45812</v>
      </c>
      <c r="Q1617" s="17" t="n">
        <v>45812</v>
      </c>
      <c r="R1617" s="17" t="n">
        <v>45812</v>
      </c>
      <c r="S1617" s="19">
        <f>H1617*I1617</f>
        <v/>
      </c>
      <c r="T1617" s="19">
        <f>H1617*J1617</f>
        <v/>
      </c>
      <c r="U1617">
        <f>IF(AND(K1617=0,G1617&lt;=Assumptions!$C$6),1,0)</f>
        <v/>
      </c>
      <c r="V1617">
        <f>IF(U1617=1,IF(M1617&gt;0,IF(P1617&lt;=G1617+Assumptions!$C$7,1,0),0),0)</f>
        <v/>
      </c>
      <c r="W1617">
        <f>IF(AND(U1617=1,M1617&gt;=H1617*(1-Assumptions!$C$8)),1,0)</f>
        <v/>
      </c>
      <c r="X1617">
        <f>IF(AND(U1617=1,N1617&gt;=H1617*(1-Assumptions!$C$8)),1,0)</f>
        <v/>
      </c>
      <c r="Y1617">
        <f>IF(ISNUMBER(Q1617),1,0)</f>
        <v/>
      </c>
      <c r="Z1617">
        <f>IF(AND(K1617=0,L1617=0,Y1617=0),1,0)</f>
        <v/>
      </c>
      <c r="AA1617">
        <f>IF(AND(Z1617=1,G1617&lt;Assumptions!$C$6),1,0)</f>
        <v/>
      </c>
      <c r="AB1617">
        <f>IF(U1617=0,"",IF(Y1617=1,MAX(0,Q1617-G1617),IF(L1617=1,MAX(0,R1617-G1617),MAX(0,Assumptions!$C$6-G1617))))</f>
        <v/>
      </c>
      <c r="AC1617">
        <f>IF(Y1617=1,Q1617-F1617,"")</f>
        <v/>
      </c>
      <c r="AD1617">
        <f>IF(Y1617=1,AC1617^2,"")</f>
        <v/>
      </c>
      <c r="AE1617" s="19">
        <f>IF(Z1617=1,(H1617-M1617)*I1617,0)</f>
        <v/>
      </c>
      <c r="AF1617">
        <f>IF(G1617&lt;EDATE(Assumptions!$C$6,-12)+1,"prior_12m","last_12m")</f>
        <v/>
      </c>
      <c r="AG1617" s="21">
        <f>DATE(YEAR(G1617),MONTH(G1617),1)</f>
        <v/>
      </c>
    </row>
    <row r="1618">
      <c r="A1618" t="inlineStr">
        <is>
          <t>SPO-00876-2</t>
        </is>
      </c>
      <c r="B1618" t="inlineStr">
        <is>
          <t>SPO-00876</t>
        </is>
      </c>
      <c r="C1618" t="inlineStr">
        <is>
          <t>SUP-08</t>
        </is>
      </c>
      <c r="D1618" t="inlineStr">
        <is>
          <t>MRO</t>
        </is>
      </c>
      <c r="E1618" t="inlineStr">
        <is>
          <t>MRO-01</t>
        </is>
      </c>
      <c r="F1618" s="17" t="n">
        <v>45809</v>
      </c>
      <c r="G1618" s="17" t="n">
        <v>45820</v>
      </c>
      <c r="H1618" s="18" t="n">
        <v>28</v>
      </c>
      <c r="I1618" s="19" t="n">
        <v>53.35</v>
      </c>
      <c r="J1618" s="19" t="n">
        <v>52</v>
      </c>
      <c r="K1618" s="20" t="n">
        <v>0</v>
      </c>
      <c r="L1618" s="20" t="n">
        <v>0</v>
      </c>
      <c r="M1618" s="18" t="n">
        <v>28</v>
      </c>
      <c r="N1618" s="18" t="n">
        <v>28</v>
      </c>
      <c r="O1618" s="18" t="n">
        <v>0</v>
      </c>
      <c r="P1618" s="17" t="n">
        <v>45815</v>
      </c>
      <c r="Q1618" s="17" t="n">
        <v>45815</v>
      </c>
      <c r="R1618" s="17" t="n">
        <v>45815</v>
      </c>
      <c r="S1618" s="19">
        <f>H1618*I1618</f>
        <v/>
      </c>
      <c r="T1618" s="19">
        <f>H1618*J1618</f>
        <v/>
      </c>
      <c r="U1618">
        <f>IF(AND(K1618=0,G1618&lt;=Assumptions!$C$6),1,0)</f>
        <v/>
      </c>
      <c r="V1618">
        <f>IF(U1618=1,IF(M1618&gt;0,IF(P1618&lt;=G1618+Assumptions!$C$7,1,0),0),0)</f>
        <v/>
      </c>
      <c r="W1618">
        <f>IF(AND(U1618=1,M1618&gt;=H1618*(1-Assumptions!$C$8)),1,0)</f>
        <v/>
      </c>
      <c r="X1618">
        <f>IF(AND(U1618=1,N1618&gt;=H1618*(1-Assumptions!$C$8)),1,0)</f>
        <v/>
      </c>
      <c r="Y1618">
        <f>IF(ISNUMBER(Q1618),1,0)</f>
        <v/>
      </c>
      <c r="Z1618">
        <f>IF(AND(K1618=0,L1618=0,Y1618=0),1,0)</f>
        <v/>
      </c>
      <c r="AA1618">
        <f>IF(AND(Z1618=1,G1618&lt;Assumptions!$C$6),1,0)</f>
        <v/>
      </c>
      <c r="AB1618">
        <f>IF(U1618=0,"",IF(Y1618=1,MAX(0,Q1618-G1618),IF(L1618=1,MAX(0,R1618-G1618),MAX(0,Assumptions!$C$6-G1618))))</f>
        <v/>
      </c>
      <c r="AC1618">
        <f>IF(Y1618=1,Q1618-F1618,"")</f>
        <v/>
      </c>
      <c r="AD1618">
        <f>IF(Y1618=1,AC1618^2,"")</f>
        <v/>
      </c>
      <c r="AE1618" s="19">
        <f>IF(Z1618=1,(H1618-M1618)*I1618,0)</f>
        <v/>
      </c>
      <c r="AF1618">
        <f>IF(G1618&lt;EDATE(Assumptions!$C$6,-12)+1,"prior_12m","last_12m")</f>
        <v/>
      </c>
      <c r="AG1618" s="21">
        <f>DATE(YEAR(G1618),MONTH(G1618),1)</f>
        <v/>
      </c>
    </row>
    <row r="1619">
      <c r="A1619" t="inlineStr">
        <is>
          <t>SPO-00876-3</t>
        </is>
      </c>
      <c r="B1619" t="inlineStr">
        <is>
          <t>SPO-00876</t>
        </is>
      </c>
      <c r="C1619" t="inlineStr">
        <is>
          <t>SUP-08</t>
        </is>
      </c>
      <c r="D1619" t="inlineStr">
        <is>
          <t>MRO</t>
        </is>
      </c>
      <c r="E1619" t="inlineStr">
        <is>
          <t>MRO-05</t>
        </is>
      </c>
      <c r="F1619" s="17" t="n">
        <v>45809</v>
      </c>
      <c r="G1619" s="17" t="n">
        <v>45820</v>
      </c>
      <c r="H1619" s="18" t="n">
        <v>27</v>
      </c>
      <c r="I1619" s="19" t="n">
        <v>34.92</v>
      </c>
      <c r="J1619" s="19" t="n">
        <v>36</v>
      </c>
      <c r="K1619" s="20" t="n">
        <v>0</v>
      </c>
      <c r="L1619" s="20" t="n">
        <v>0</v>
      </c>
      <c r="M1619" s="18" t="n">
        <v>27</v>
      </c>
      <c r="N1619" s="18" t="n">
        <v>18</v>
      </c>
      <c r="O1619" s="18" t="n">
        <v>0</v>
      </c>
      <c r="P1619" s="17" t="n">
        <v>45818</v>
      </c>
      <c r="Q1619" s="17" t="n">
        <v>45833</v>
      </c>
      <c r="R1619" s="17" t="n">
        <v>45833</v>
      </c>
      <c r="S1619" s="19">
        <f>H1619*I1619</f>
        <v/>
      </c>
      <c r="T1619" s="19">
        <f>H1619*J1619</f>
        <v/>
      </c>
      <c r="U1619">
        <f>IF(AND(K1619=0,G1619&lt;=Assumptions!$C$6),1,0)</f>
        <v/>
      </c>
      <c r="V1619">
        <f>IF(U1619=1,IF(M1619&gt;0,IF(P1619&lt;=G1619+Assumptions!$C$7,1,0),0),0)</f>
        <v/>
      </c>
      <c r="W1619">
        <f>IF(AND(U1619=1,M1619&gt;=H1619*(1-Assumptions!$C$8)),1,0)</f>
        <v/>
      </c>
      <c r="X1619">
        <f>IF(AND(U1619=1,N1619&gt;=H1619*(1-Assumptions!$C$8)),1,0)</f>
        <v/>
      </c>
      <c r="Y1619">
        <f>IF(ISNUMBER(Q1619),1,0)</f>
        <v/>
      </c>
      <c r="Z1619">
        <f>IF(AND(K1619=0,L1619=0,Y1619=0),1,0)</f>
        <v/>
      </c>
      <c r="AA1619">
        <f>IF(AND(Z1619=1,G1619&lt;Assumptions!$C$6),1,0)</f>
        <v/>
      </c>
      <c r="AB1619">
        <f>IF(U1619=0,"",IF(Y1619=1,MAX(0,Q1619-G1619),IF(L1619=1,MAX(0,R1619-G1619),MAX(0,Assumptions!$C$6-G1619))))</f>
        <v/>
      </c>
      <c r="AC1619">
        <f>IF(Y1619=1,Q1619-F1619,"")</f>
        <v/>
      </c>
      <c r="AD1619">
        <f>IF(Y1619=1,AC1619^2,"")</f>
        <v/>
      </c>
      <c r="AE1619" s="19">
        <f>IF(Z1619=1,(H1619-M1619)*I1619,0)</f>
        <v/>
      </c>
      <c r="AF1619">
        <f>IF(G1619&lt;EDATE(Assumptions!$C$6,-12)+1,"prior_12m","last_12m")</f>
        <v/>
      </c>
      <c r="AG1619" s="21">
        <f>DATE(YEAR(G1619),MONTH(G1619),1)</f>
        <v/>
      </c>
    </row>
    <row r="1620">
      <c r="A1620" t="inlineStr">
        <is>
          <t>SPO-00877-1</t>
        </is>
      </c>
      <c r="B1620" t="inlineStr">
        <is>
          <t>SPO-00877</t>
        </is>
      </c>
      <c r="C1620" t="inlineStr">
        <is>
          <t>SUP-02</t>
        </is>
      </c>
      <c r="D1620" t="inlineStr">
        <is>
          <t>ELEC</t>
        </is>
      </c>
      <c r="E1620" t="inlineStr">
        <is>
          <t>ELEC-03</t>
        </is>
      </c>
      <c r="F1620" s="17" t="n">
        <v>45809</v>
      </c>
      <c r="G1620" s="17" t="n">
        <v>45825</v>
      </c>
      <c r="H1620" s="18" t="n">
        <v>13</v>
      </c>
      <c r="I1620" s="19" t="n">
        <v>94.58</v>
      </c>
      <c r="J1620" s="19" t="n">
        <v>96</v>
      </c>
      <c r="K1620" s="20" t="n">
        <v>0</v>
      </c>
      <c r="L1620" s="20" t="n">
        <v>0</v>
      </c>
      <c r="M1620" s="18" t="n">
        <v>13</v>
      </c>
      <c r="N1620" s="18" t="n">
        <v>13</v>
      </c>
      <c r="O1620" s="18" t="n">
        <v>0</v>
      </c>
      <c r="P1620" s="17" t="n">
        <v>45818</v>
      </c>
      <c r="Q1620" s="17" t="n">
        <v>45818</v>
      </c>
      <c r="R1620" s="17" t="n">
        <v>45818</v>
      </c>
      <c r="S1620" s="19">
        <f>H1620*I1620</f>
        <v/>
      </c>
      <c r="T1620" s="19">
        <f>H1620*J1620</f>
        <v/>
      </c>
      <c r="U1620">
        <f>IF(AND(K1620=0,G1620&lt;=Assumptions!$C$6),1,0)</f>
        <v/>
      </c>
      <c r="V1620">
        <f>IF(U1620=1,IF(M1620&gt;0,IF(P1620&lt;=G1620+Assumptions!$C$7,1,0),0),0)</f>
        <v/>
      </c>
      <c r="W1620">
        <f>IF(AND(U1620=1,M1620&gt;=H1620*(1-Assumptions!$C$8)),1,0)</f>
        <v/>
      </c>
      <c r="X1620">
        <f>IF(AND(U1620=1,N1620&gt;=H1620*(1-Assumptions!$C$8)),1,0)</f>
        <v/>
      </c>
      <c r="Y1620">
        <f>IF(ISNUMBER(Q1620),1,0)</f>
        <v/>
      </c>
      <c r="Z1620">
        <f>IF(AND(K1620=0,L1620=0,Y1620=0),1,0)</f>
        <v/>
      </c>
      <c r="AA1620">
        <f>IF(AND(Z1620=1,G1620&lt;Assumptions!$C$6),1,0)</f>
        <v/>
      </c>
      <c r="AB1620">
        <f>IF(U1620=0,"",IF(Y1620=1,MAX(0,Q1620-G1620),IF(L1620=1,MAX(0,R1620-G1620),MAX(0,Assumptions!$C$6-G1620))))</f>
        <v/>
      </c>
      <c r="AC1620">
        <f>IF(Y1620=1,Q1620-F1620,"")</f>
        <v/>
      </c>
      <c r="AD1620">
        <f>IF(Y1620=1,AC1620^2,"")</f>
        <v/>
      </c>
      <c r="AE1620" s="19">
        <f>IF(Z1620=1,(H1620-M1620)*I1620,0)</f>
        <v/>
      </c>
      <c r="AF1620">
        <f>IF(G1620&lt;EDATE(Assumptions!$C$6,-12)+1,"prior_12m","last_12m")</f>
        <v/>
      </c>
      <c r="AG1620" s="21">
        <f>DATE(YEAR(G1620),MONTH(G1620),1)</f>
        <v/>
      </c>
    </row>
    <row r="1621">
      <c r="A1621" t="inlineStr">
        <is>
          <t>SPO-00877-2</t>
        </is>
      </c>
      <c r="B1621" t="inlineStr">
        <is>
          <t>SPO-00877</t>
        </is>
      </c>
      <c r="C1621" t="inlineStr">
        <is>
          <t>SUP-02</t>
        </is>
      </c>
      <c r="D1621" t="inlineStr">
        <is>
          <t>ELEC</t>
        </is>
      </c>
      <c r="E1621" t="inlineStr">
        <is>
          <t>ELEC-06</t>
        </is>
      </c>
      <c r="F1621" s="17" t="n">
        <v>45809</v>
      </c>
      <c r="G1621" s="17" t="n">
        <v>45825</v>
      </c>
      <c r="H1621" s="18" t="n">
        <v>19</v>
      </c>
      <c r="I1621" s="19" t="n">
        <v>149.75</v>
      </c>
      <c r="J1621" s="19" t="n">
        <v>145</v>
      </c>
      <c r="K1621" s="20" t="n">
        <v>0</v>
      </c>
      <c r="L1621" s="20" t="n">
        <v>0</v>
      </c>
      <c r="M1621" s="18" t="n">
        <v>19</v>
      </c>
      <c r="N1621" s="18" t="n">
        <v>19</v>
      </c>
      <c r="O1621" s="18" t="n">
        <v>0</v>
      </c>
      <c r="P1621" s="17" t="n">
        <v>45822</v>
      </c>
      <c r="Q1621" s="17" t="n">
        <v>45822</v>
      </c>
      <c r="R1621" s="17" t="n">
        <v>45822</v>
      </c>
      <c r="S1621" s="19">
        <f>H1621*I1621</f>
        <v/>
      </c>
      <c r="T1621" s="19">
        <f>H1621*J1621</f>
        <v/>
      </c>
      <c r="U1621">
        <f>IF(AND(K1621=0,G1621&lt;=Assumptions!$C$6),1,0)</f>
        <v/>
      </c>
      <c r="V1621">
        <f>IF(U1621=1,IF(M1621&gt;0,IF(P1621&lt;=G1621+Assumptions!$C$7,1,0),0),0)</f>
        <v/>
      </c>
      <c r="W1621">
        <f>IF(AND(U1621=1,M1621&gt;=H1621*(1-Assumptions!$C$8)),1,0)</f>
        <v/>
      </c>
      <c r="X1621">
        <f>IF(AND(U1621=1,N1621&gt;=H1621*(1-Assumptions!$C$8)),1,0)</f>
        <v/>
      </c>
      <c r="Y1621">
        <f>IF(ISNUMBER(Q1621),1,0)</f>
        <v/>
      </c>
      <c r="Z1621">
        <f>IF(AND(K1621=0,L1621=0,Y1621=0),1,0)</f>
        <v/>
      </c>
      <c r="AA1621">
        <f>IF(AND(Z1621=1,G1621&lt;Assumptions!$C$6),1,0)</f>
        <v/>
      </c>
      <c r="AB1621">
        <f>IF(U1621=0,"",IF(Y1621=1,MAX(0,Q1621-G1621),IF(L1621=1,MAX(0,R1621-G1621),MAX(0,Assumptions!$C$6-G1621))))</f>
        <v/>
      </c>
      <c r="AC1621">
        <f>IF(Y1621=1,Q1621-F1621,"")</f>
        <v/>
      </c>
      <c r="AD1621">
        <f>IF(Y1621=1,AC1621^2,"")</f>
        <v/>
      </c>
      <c r="AE1621" s="19">
        <f>IF(Z1621=1,(H1621-M1621)*I1621,0)</f>
        <v/>
      </c>
      <c r="AF1621">
        <f>IF(G1621&lt;EDATE(Assumptions!$C$6,-12)+1,"prior_12m","last_12m")</f>
        <v/>
      </c>
      <c r="AG1621" s="21">
        <f>DATE(YEAR(G1621),MONTH(G1621),1)</f>
        <v/>
      </c>
    </row>
    <row r="1622">
      <c r="A1622" t="inlineStr">
        <is>
          <t>SPO-00877-3</t>
        </is>
      </c>
      <c r="B1622" t="inlineStr">
        <is>
          <t>SPO-00877</t>
        </is>
      </c>
      <c r="C1622" t="inlineStr">
        <is>
          <t>SUP-02</t>
        </is>
      </c>
      <c r="D1622" t="inlineStr">
        <is>
          <t>ELEC</t>
        </is>
      </c>
      <c r="E1622" t="inlineStr">
        <is>
          <t>ELEC-02</t>
        </is>
      </c>
      <c r="F1622" s="17" t="n">
        <v>45809</v>
      </c>
      <c r="G1622" s="17" t="n">
        <v>45825</v>
      </c>
      <c r="H1622" s="18" t="n">
        <v>760</v>
      </c>
      <c r="I1622" s="19" t="n">
        <v>4.04</v>
      </c>
      <c r="J1622" s="19" t="n">
        <v>4.2</v>
      </c>
      <c r="K1622" s="20" t="n">
        <v>0</v>
      </c>
      <c r="L1622" s="20" t="n">
        <v>0</v>
      </c>
      <c r="M1622" s="18" t="n">
        <v>760</v>
      </c>
      <c r="N1622" s="18" t="n">
        <v>760</v>
      </c>
      <c r="O1622" s="18" t="n">
        <v>0</v>
      </c>
      <c r="P1622" s="17" t="n">
        <v>45821</v>
      </c>
      <c r="Q1622" s="17" t="n">
        <v>45821</v>
      </c>
      <c r="R1622" s="17" t="n">
        <v>45821</v>
      </c>
      <c r="S1622" s="19">
        <f>H1622*I1622</f>
        <v/>
      </c>
      <c r="T1622" s="19">
        <f>H1622*J1622</f>
        <v/>
      </c>
      <c r="U1622">
        <f>IF(AND(K1622=0,G1622&lt;=Assumptions!$C$6),1,0)</f>
        <v/>
      </c>
      <c r="V1622">
        <f>IF(U1622=1,IF(M1622&gt;0,IF(P1622&lt;=G1622+Assumptions!$C$7,1,0),0),0)</f>
        <v/>
      </c>
      <c r="W1622">
        <f>IF(AND(U1622=1,M1622&gt;=H1622*(1-Assumptions!$C$8)),1,0)</f>
        <v/>
      </c>
      <c r="X1622">
        <f>IF(AND(U1622=1,N1622&gt;=H1622*(1-Assumptions!$C$8)),1,0)</f>
        <v/>
      </c>
      <c r="Y1622">
        <f>IF(ISNUMBER(Q1622),1,0)</f>
        <v/>
      </c>
      <c r="Z1622">
        <f>IF(AND(K1622=0,L1622=0,Y1622=0),1,0)</f>
        <v/>
      </c>
      <c r="AA1622">
        <f>IF(AND(Z1622=1,G1622&lt;Assumptions!$C$6),1,0)</f>
        <v/>
      </c>
      <c r="AB1622">
        <f>IF(U1622=0,"",IF(Y1622=1,MAX(0,Q1622-G1622),IF(L1622=1,MAX(0,R1622-G1622),MAX(0,Assumptions!$C$6-G1622))))</f>
        <v/>
      </c>
      <c r="AC1622">
        <f>IF(Y1622=1,Q1622-F1622,"")</f>
        <v/>
      </c>
      <c r="AD1622">
        <f>IF(Y1622=1,AC1622^2,"")</f>
        <v/>
      </c>
      <c r="AE1622" s="19">
        <f>IF(Z1622=1,(H1622-M1622)*I1622,0)</f>
        <v/>
      </c>
      <c r="AF1622">
        <f>IF(G1622&lt;EDATE(Assumptions!$C$6,-12)+1,"prior_12m","last_12m")</f>
        <v/>
      </c>
      <c r="AG1622" s="21">
        <f>DATE(YEAR(G1622),MONTH(G1622),1)</f>
        <v/>
      </c>
    </row>
    <row r="1623">
      <c r="A1623" t="inlineStr">
        <is>
          <t>SPO-00878-1</t>
        </is>
      </c>
      <c r="B1623" t="inlineStr">
        <is>
          <t>SPO-00878</t>
        </is>
      </c>
      <c r="C1623" t="inlineStr">
        <is>
          <t>SUP-07</t>
        </is>
      </c>
      <c r="D1623" t="inlineStr">
        <is>
          <t>MRO</t>
        </is>
      </c>
      <c r="E1623" t="inlineStr">
        <is>
          <t>MRO-05</t>
        </is>
      </c>
      <c r="F1623" s="17" t="n">
        <v>45810</v>
      </c>
      <c r="G1623" s="17" t="n">
        <v>45820</v>
      </c>
      <c r="H1623" s="18" t="n">
        <v>50</v>
      </c>
      <c r="I1623" s="19" t="n">
        <v>34.9</v>
      </c>
      <c r="J1623" s="19" t="n">
        <v>36</v>
      </c>
      <c r="K1623" s="20" t="n">
        <v>0</v>
      </c>
      <c r="L1623" s="20" t="n">
        <v>0</v>
      </c>
      <c r="M1623" s="18" t="n">
        <v>50</v>
      </c>
      <c r="N1623" s="18" t="n">
        <v>50</v>
      </c>
      <c r="O1623" s="18" t="n">
        <v>0</v>
      </c>
      <c r="P1623" s="17" t="n">
        <v>45818</v>
      </c>
      <c r="Q1623" s="17" t="n">
        <v>45818</v>
      </c>
      <c r="R1623" s="17" t="n">
        <v>45818</v>
      </c>
      <c r="S1623" s="19">
        <f>H1623*I1623</f>
        <v/>
      </c>
      <c r="T1623" s="19">
        <f>H1623*J1623</f>
        <v/>
      </c>
      <c r="U1623">
        <f>IF(AND(K1623=0,G1623&lt;=Assumptions!$C$6),1,0)</f>
        <v/>
      </c>
      <c r="V1623">
        <f>IF(U1623=1,IF(M1623&gt;0,IF(P1623&lt;=G1623+Assumptions!$C$7,1,0),0),0)</f>
        <v/>
      </c>
      <c r="W1623">
        <f>IF(AND(U1623=1,M1623&gt;=H1623*(1-Assumptions!$C$8)),1,0)</f>
        <v/>
      </c>
      <c r="X1623">
        <f>IF(AND(U1623=1,N1623&gt;=H1623*(1-Assumptions!$C$8)),1,0)</f>
        <v/>
      </c>
      <c r="Y1623">
        <f>IF(ISNUMBER(Q1623),1,0)</f>
        <v/>
      </c>
      <c r="Z1623">
        <f>IF(AND(K1623=0,L1623=0,Y1623=0),1,0)</f>
        <v/>
      </c>
      <c r="AA1623">
        <f>IF(AND(Z1623=1,G1623&lt;Assumptions!$C$6),1,0)</f>
        <v/>
      </c>
      <c r="AB1623">
        <f>IF(U1623=0,"",IF(Y1623=1,MAX(0,Q1623-G1623),IF(L1623=1,MAX(0,R1623-G1623),MAX(0,Assumptions!$C$6-G1623))))</f>
        <v/>
      </c>
      <c r="AC1623">
        <f>IF(Y1623=1,Q1623-F1623,"")</f>
        <v/>
      </c>
      <c r="AD1623">
        <f>IF(Y1623=1,AC1623^2,"")</f>
        <v/>
      </c>
      <c r="AE1623" s="19">
        <f>IF(Z1623=1,(H1623-M1623)*I1623,0)</f>
        <v/>
      </c>
      <c r="AF1623">
        <f>IF(G1623&lt;EDATE(Assumptions!$C$6,-12)+1,"prior_12m","last_12m")</f>
        <v/>
      </c>
      <c r="AG1623" s="21">
        <f>DATE(YEAR(G1623),MONTH(G1623),1)</f>
        <v/>
      </c>
    </row>
    <row r="1624">
      <c r="A1624" t="inlineStr">
        <is>
          <t>SPO-00878-2</t>
        </is>
      </c>
      <c r="B1624" t="inlineStr">
        <is>
          <t>SPO-00878</t>
        </is>
      </c>
      <c r="C1624" t="inlineStr">
        <is>
          <t>SUP-07</t>
        </is>
      </c>
      <c r="D1624" t="inlineStr">
        <is>
          <t>MRO</t>
        </is>
      </c>
      <c r="E1624" t="inlineStr">
        <is>
          <t>MRO-02</t>
        </is>
      </c>
      <c r="F1624" s="17" t="n">
        <v>45810</v>
      </c>
      <c r="G1624" s="17" t="n">
        <v>45820</v>
      </c>
      <c r="H1624" s="18" t="n">
        <v>20</v>
      </c>
      <c r="I1624" s="19" t="n">
        <v>39.69</v>
      </c>
      <c r="J1624" s="19" t="n">
        <v>41</v>
      </c>
      <c r="K1624" s="20" t="n">
        <v>0</v>
      </c>
      <c r="L1624" s="20" t="n">
        <v>0</v>
      </c>
      <c r="M1624" s="18" t="n">
        <v>20</v>
      </c>
      <c r="N1624" s="18" t="n">
        <v>0</v>
      </c>
      <c r="O1624" s="18" t="n">
        <v>0</v>
      </c>
      <c r="P1624" s="17" t="n">
        <v>45822</v>
      </c>
      <c r="Q1624" s="17" t="n">
        <v>45822</v>
      </c>
      <c r="R1624" s="17" t="n">
        <v>45822</v>
      </c>
      <c r="S1624" s="19">
        <f>H1624*I1624</f>
        <v/>
      </c>
      <c r="T1624" s="19">
        <f>H1624*J1624</f>
        <v/>
      </c>
      <c r="U1624">
        <f>IF(AND(K1624=0,G1624&lt;=Assumptions!$C$6),1,0)</f>
        <v/>
      </c>
      <c r="V1624">
        <f>IF(U1624=1,IF(M1624&gt;0,IF(P1624&lt;=G1624+Assumptions!$C$7,1,0),0),0)</f>
        <v/>
      </c>
      <c r="W1624">
        <f>IF(AND(U1624=1,M1624&gt;=H1624*(1-Assumptions!$C$8)),1,0)</f>
        <v/>
      </c>
      <c r="X1624">
        <f>IF(AND(U1624=1,N1624&gt;=H1624*(1-Assumptions!$C$8)),1,0)</f>
        <v/>
      </c>
      <c r="Y1624">
        <f>IF(ISNUMBER(Q1624),1,0)</f>
        <v/>
      </c>
      <c r="Z1624">
        <f>IF(AND(K1624=0,L1624=0,Y1624=0),1,0)</f>
        <v/>
      </c>
      <c r="AA1624">
        <f>IF(AND(Z1624=1,G1624&lt;Assumptions!$C$6),1,0)</f>
        <v/>
      </c>
      <c r="AB1624">
        <f>IF(U1624=0,"",IF(Y1624=1,MAX(0,Q1624-G1624),IF(L1624=1,MAX(0,R1624-G1624),MAX(0,Assumptions!$C$6-G1624))))</f>
        <v/>
      </c>
      <c r="AC1624">
        <f>IF(Y1624=1,Q1624-F1624,"")</f>
        <v/>
      </c>
      <c r="AD1624">
        <f>IF(Y1624=1,AC1624^2,"")</f>
        <v/>
      </c>
      <c r="AE1624" s="19">
        <f>IF(Z1624=1,(H1624-M1624)*I1624,0)</f>
        <v/>
      </c>
      <c r="AF1624">
        <f>IF(G1624&lt;EDATE(Assumptions!$C$6,-12)+1,"prior_12m","last_12m")</f>
        <v/>
      </c>
      <c r="AG1624" s="21">
        <f>DATE(YEAR(G1624),MONTH(G1624),1)</f>
        <v/>
      </c>
    </row>
    <row r="1625">
      <c r="A1625" t="inlineStr">
        <is>
          <t>SPO-00879-1</t>
        </is>
      </c>
      <c r="B1625" t="inlineStr">
        <is>
          <t>SPO-00879</t>
        </is>
      </c>
      <c r="C1625" t="inlineStr">
        <is>
          <t>SUP-02</t>
        </is>
      </c>
      <c r="D1625" t="inlineStr">
        <is>
          <t>ELEC</t>
        </is>
      </c>
      <c r="E1625" t="inlineStr">
        <is>
          <t>ELEC-06</t>
        </is>
      </c>
      <c r="F1625" s="17" t="n">
        <v>45810</v>
      </c>
      <c r="G1625" s="17" t="n">
        <v>45826</v>
      </c>
      <c r="H1625" s="18" t="n">
        <v>5</v>
      </c>
      <c r="I1625" s="19" t="n">
        <v>143.63</v>
      </c>
      <c r="J1625" s="19" t="n">
        <v>145</v>
      </c>
      <c r="K1625" s="20" t="n">
        <v>0</v>
      </c>
      <c r="L1625" s="20" t="n">
        <v>0</v>
      </c>
      <c r="M1625" s="18" t="n">
        <v>5</v>
      </c>
      <c r="N1625" s="18" t="n">
        <v>0</v>
      </c>
      <c r="O1625" s="18" t="n">
        <v>0</v>
      </c>
      <c r="P1625" s="17" t="n">
        <v>45827</v>
      </c>
      <c r="Q1625" s="17" t="n">
        <v>45827</v>
      </c>
      <c r="R1625" s="17" t="n">
        <v>45827</v>
      </c>
      <c r="S1625" s="19">
        <f>H1625*I1625</f>
        <v/>
      </c>
      <c r="T1625" s="19">
        <f>H1625*J1625</f>
        <v/>
      </c>
      <c r="U1625">
        <f>IF(AND(K1625=0,G1625&lt;=Assumptions!$C$6),1,0)</f>
        <v/>
      </c>
      <c r="V1625">
        <f>IF(U1625=1,IF(M1625&gt;0,IF(P1625&lt;=G1625+Assumptions!$C$7,1,0),0),0)</f>
        <v/>
      </c>
      <c r="W1625">
        <f>IF(AND(U1625=1,M1625&gt;=H1625*(1-Assumptions!$C$8)),1,0)</f>
        <v/>
      </c>
      <c r="X1625">
        <f>IF(AND(U1625=1,N1625&gt;=H1625*(1-Assumptions!$C$8)),1,0)</f>
        <v/>
      </c>
      <c r="Y1625">
        <f>IF(ISNUMBER(Q1625),1,0)</f>
        <v/>
      </c>
      <c r="Z1625">
        <f>IF(AND(K1625=0,L1625=0,Y1625=0),1,0)</f>
        <v/>
      </c>
      <c r="AA1625">
        <f>IF(AND(Z1625=1,G1625&lt;Assumptions!$C$6),1,0)</f>
        <v/>
      </c>
      <c r="AB1625">
        <f>IF(U1625=0,"",IF(Y1625=1,MAX(0,Q1625-G1625),IF(L1625=1,MAX(0,R1625-G1625),MAX(0,Assumptions!$C$6-G1625))))</f>
        <v/>
      </c>
      <c r="AC1625">
        <f>IF(Y1625=1,Q1625-F1625,"")</f>
        <v/>
      </c>
      <c r="AD1625">
        <f>IF(Y1625=1,AC1625^2,"")</f>
        <v/>
      </c>
      <c r="AE1625" s="19">
        <f>IF(Z1625=1,(H1625-M1625)*I1625,0)</f>
        <v/>
      </c>
      <c r="AF1625">
        <f>IF(G1625&lt;EDATE(Assumptions!$C$6,-12)+1,"prior_12m","last_12m")</f>
        <v/>
      </c>
      <c r="AG1625" s="21">
        <f>DATE(YEAR(G1625),MONTH(G1625),1)</f>
        <v/>
      </c>
    </row>
    <row r="1626">
      <c r="A1626" t="inlineStr">
        <is>
          <t>SPO-00880-1</t>
        </is>
      </c>
      <c r="B1626" t="inlineStr">
        <is>
          <t>SPO-00880</t>
        </is>
      </c>
      <c r="C1626" t="inlineStr">
        <is>
          <t>SUP-01</t>
        </is>
      </c>
      <c r="D1626" t="inlineStr">
        <is>
          <t>ELEC</t>
        </is>
      </c>
      <c r="E1626" t="inlineStr">
        <is>
          <t>ELEC-06</t>
        </is>
      </c>
      <c r="F1626" s="17" t="n">
        <v>45811</v>
      </c>
      <c r="G1626" s="17" t="n">
        <v>45829</v>
      </c>
      <c r="H1626" s="18" t="n">
        <v>26</v>
      </c>
      <c r="I1626" s="19" t="n">
        <v>147.51</v>
      </c>
      <c r="J1626" s="19" t="n">
        <v>145</v>
      </c>
      <c r="K1626" s="20" t="n">
        <v>0</v>
      </c>
      <c r="L1626" s="20" t="n">
        <v>0</v>
      </c>
      <c r="M1626" s="18" t="n">
        <v>26</v>
      </c>
      <c r="N1626" s="18" t="n">
        <v>26</v>
      </c>
      <c r="O1626" s="18" t="n">
        <v>0</v>
      </c>
      <c r="P1626" s="17" t="n">
        <v>45825</v>
      </c>
      <c r="Q1626" s="17" t="n">
        <v>45825</v>
      </c>
      <c r="R1626" s="17" t="n">
        <v>45825</v>
      </c>
      <c r="S1626" s="19">
        <f>H1626*I1626</f>
        <v/>
      </c>
      <c r="T1626" s="19">
        <f>H1626*J1626</f>
        <v/>
      </c>
      <c r="U1626">
        <f>IF(AND(K1626=0,G1626&lt;=Assumptions!$C$6),1,0)</f>
        <v/>
      </c>
      <c r="V1626">
        <f>IF(U1626=1,IF(M1626&gt;0,IF(P1626&lt;=G1626+Assumptions!$C$7,1,0),0),0)</f>
        <v/>
      </c>
      <c r="W1626">
        <f>IF(AND(U1626=1,M1626&gt;=H1626*(1-Assumptions!$C$8)),1,0)</f>
        <v/>
      </c>
      <c r="X1626">
        <f>IF(AND(U1626=1,N1626&gt;=H1626*(1-Assumptions!$C$8)),1,0)</f>
        <v/>
      </c>
      <c r="Y1626">
        <f>IF(ISNUMBER(Q1626),1,0)</f>
        <v/>
      </c>
      <c r="Z1626">
        <f>IF(AND(K1626=0,L1626=0,Y1626=0),1,0)</f>
        <v/>
      </c>
      <c r="AA1626">
        <f>IF(AND(Z1626=1,G1626&lt;Assumptions!$C$6),1,0)</f>
        <v/>
      </c>
      <c r="AB1626">
        <f>IF(U1626=0,"",IF(Y1626=1,MAX(0,Q1626-G1626),IF(L1626=1,MAX(0,R1626-G1626),MAX(0,Assumptions!$C$6-G1626))))</f>
        <v/>
      </c>
      <c r="AC1626">
        <f>IF(Y1626=1,Q1626-F1626,"")</f>
        <v/>
      </c>
      <c r="AD1626">
        <f>IF(Y1626=1,AC1626^2,"")</f>
        <v/>
      </c>
      <c r="AE1626" s="19">
        <f>IF(Z1626=1,(H1626-M1626)*I1626,0)</f>
        <v/>
      </c>
      <c r="AF1626">
        <f>IF(G1626&lt;EDATE(Assumptions!$C$6,-12)+1,"prior_12m","last_12m")</f>
        <v/>
      </c>
      <c r="AG1626" s="21">
        <f>DATE(YEAR(G1626),MONTH(G1626),1)</f>
        <v/>
      </c>
    </row>
    <row r="1627">
      <c r="A1627" t="inlineStr">
        <is>
          <t>SPO-00880-2</t>
        </is>
      </c>
      <c r="B1627" t="inlineStr">
        <is>
          <t>SPO-00880</t>
        </is>
      </c>
      <c r="C1627" t="inlineStr">
        <is>
          <t>SUP-01</t>
        </is>
      </c>
      <c r="D1627" t="inlineStr">
        <is>
          <t>ELEC</t>
        </is>
      </c>
      <c r="E1627" t="inlineStr">
        <is>
          <t>ELEC-08</t>
        </is>
      </c>
      <c r="F1627" s="17" t="n">
        <v>45811</v>
      </c>
      <c r="G1627" s="17" t="n">
        <v>45829</v>
      </c>
      <c r="H1627" s="18" t="n">
        <v>151</v>
      </c>
      <c r="I1627" s="19" t="n">
        <v>18.39</v>
      </c>
      <c r="J1627" s="19" t="n">
        <v>18</v>
      </c>
      <c r="K1627" s="20" t="n">
        <v>0</v>
      </c>
      <c r="L1627" s="20" t="n">
        <v>0</v>
      </c>
      <c r="M1627" s="18" t="n">
        <v>151</v>
      </c>
      <c r="N1627" s="18" t="n">
        <v>151</v>
      </c>
      <c r="O1627" s="18" t="n">
        <v>0</v>
      </c>
      <c r="P1627" s="17" t="n">
        <v>45825</v>
      </c>
      <c r="Q1627" s="17" t="n">
        <v>45825</v>
      </c>
      <c r="R1627" s="17" t="n">
        <v>45825</v>
      </c>
      <c r="S1627" s="19">
        <f>H1627*I1627</f>
        <v/>
      </c>
      <c r="T1627" s="19">
        <f>H1627*J1627</f>
        <v/>
      </c>
      <c r="U1627">
        <f>IF(AND(K1627=0,G1627&lt;=Assumptions!$C$6),1,0)</f>
        <v/>
      </c>
      <c r="V1627">
        <f>IF(U1627=1,IF(M1627&gt;0,IF(P1627&lt;=G1627+Assumptions!$C$7,1,0),0),0)</f>
        <v/>
      </c>
      <c r="W1627">
        <f>IF(AND(U1627=1,M1627&gt;=H1627*(1-Assumptions!$C$8)),1,0)</f>
        <v/>
      </c>
      <c r="X1627">
        <f>IF(AND(U1627=1,N1627&gt;=H1627*(1-Assumptions!$C$8)),1,0)</f>
        <v/>
      </c>
      <c r="Y1627">
        <f>IF(ISNUMBER(Q1627),1,0)</f>
        <v/>
      </c>
      <c r="Z1627">
        <f>IF(AND(K1627=0,L1627=0,Y1627=0),1,0)</f>
        <v/>
      </c>
      <c r="AA1627">
        <f>IF(AND(Z1627=1,G1627&lt;Assumptions!$C$6),1,0)</f>
        <v/>
      </c>
      <c r="AB1627">
        <f>IF(U1627=0,"",IF(Y1627=1,MAX(0,Q1627-G1627),IF(L1627=1,MAX(0,R1627-G1627),MAX(0,Assumptions!$C$6-G1627))))</f>
        <v/>
      </c>
      <c r="AC1627">
        <f>IF(Y1627=1,Q1627-F1627,"")</f>
        <v/>
      </c>
      <c r="AD1627">
        <f>IF(Y1627=1,AC1627^2,"")</f>
        <v/>
      </c>
      <c r="AE1627" s="19">
        <f>IF(Z1627=1,(H1627-M1627)*I1627,0)</f>
        <v/>
      </c>
      <c r="AF1627">
        <f>IF(G1627&lt;EDATE(Assumptions!$C$6,-12)+1,"prior_12m","last_12m")</f>
        <v/>
      </c>
      <c r="AG1627" s="21">
        <f>DATE(YEAR(G1627),MONTH(G1627),1)</f>
        <v/>
      </c>
    </row>
    <row r="1628">
      <c r="A1628" t="inlineStr">
        <is>
          <t>SPO-00881-1</t>
        </is>
      </c>
      <c r="B1628" t="inlineStr">
        <is>
          <t>SPO-00881</t>
        </is>
      </c>
      <c r="C1628" t="inlineStr">
        <is>
          <t>SUP-02</t>
        </is>
      </c>
      <c r="D1628" t="inlineStr">
        <is>
          <t>ELEC</t>
        </is>
      </c>
      <c r="E1628" t="inlineStr">
        <is>
          <t>ELEC-03</t>
        </is>
      </c>
      <c r="F1628" s="17" t="n">
        <v>45811</v>
      </c>
      <c r="G1628" s="17" t="n">
        <v>45827</v>
      </c>
      <c r="H1628" s="18" t="n">
        <v>29</v>
      </c>
      <c r="I1628" s="19" t="n">
        <v>94.92</v>
      </c>
      <c r="J1628" s="19" t="n">
        <v>96</v>
      </c>
      <c r="K1628" s="20" t="n">
        <v>0</v>
      </c>
      <c r="L1628" s="20" t="n">
        <v>0</v>
      </c>
      <c r="M1628" s="18" t="n">
        <v>29</v>
      </c>
      <c r="N1628" s="18" t="n">
        <v>29</v>
      </c>
      <c r="O1628" s="18" t="n">
        <v>0</v>
      </c>
      <c r="P1628" s="17" t="n">
        <v>45825</v>
      </c>
      <c r="Q1628" s="17" t="n">
        <v>45825</v>
      </c>
      <c r="R1628" s="17" t="n">
        <v>45825</v>
      </c>
      <c r="S1628" s="19">
        <f>H1628*I1628</f>
        <v/>
      </c>
      <c r="T1628" s="19">
        <f>H1628*J1628</f>
        <v/>
      </c>
      <c r="U1628">
        <f>IF(AND(K1628=0,G1628&lt;=Assumptions!$C$6),1,0)</f>
        <v/>
      </c>
      <c r="V1628">
        <f>IF(U1628=1,IF(M1628&gt;0,IF(P1628&lt;=G1628+Assumptions!$C$7,1,0),0),0)</f>
        <v/>
      </c>
      <c r="W1628">
        <f>IF(AND(U1628=1,M1628&gt;=H1628*(1-Assumptions!$C$8)),1,0)</f>
        <v/>
      </c>
      <c r="X1628">
        <f>IF(AND(U1628=1,N1628&gt;=H1628*(1-Assumptions!$C$8)),1,0)</f>
        <v/>
      </c>
      <c r="Y1628">
        <f>IF(ISNUMBER(Q1628),1,0)</f>
        <v/>
      </c>
      <c r="Z1628">
        <f>IF(AND(K1628=0,L1628=0,Y1628=0),1,0)</f>
        <v/>
      </c>
      <c r="AA1628">
        <f>IF(AND(Z1628=1,G1628&lt;Assumptions!$C$6),1,0)</f>
        <v/>
      </c>
      <c r="AB1628">
        <f>IF(U1628=0,"",IF(Y1628=1,MAX(0,Q1628-G1628),IF(L1628=1,MAX(0,R1628-G1628),MAX(0,Assumptions!$C$6-G1628))))</f>
        <v/>
      </c>
      <c r="AC1628">
        <f>IF(Y1628=1,Q1628-F1628,"")</f>
        <v/>
      </c>
      <c r="AD1628">
        <f>IF(Y1628=1,AC1628^2,"")</f>
        <v/>
      </c>
      <c r="AE1628" s="19">
        <f>IF(Z1628=1,(H1628-M1628)*I1628,0)</f>
        <v/>
      </c>
      <c r="AF1628">
        <f>IF(G1628&lt;EDATE(Assumptions!$C$6,-12)+1,"prior_12m","last_12m")</f>
        <v/>
      </c>
      <c r="AG1628" s="21">
        <f>DATE(YEAR(G1628),MONTH(G1628),1)</f>
        <v/>
      </c>
    </row>
    <row r="1629">
      <c r="A1629" t="inlineStr">
        <is>
          <t>SPO-00881-2</t>
        </is>
      </c>
      <c r="B1629" t="inlineStr">
        <is>
          <t>SPO-00881</t>
        </is>
      </c>
      <c r="C1629" t="inlineStr">
        <is>
          <t>SUP-02</t>
        </is>
      </c>
      <c r="D1629" t="inlineStr">
        <is>
          <t>ELEC</t>
        </is>
      </c>
      <c r="E1629" t="inlineStr">
        <is>
          <t>ELEC-01</t>
        </is>
      </c>
      <c r="F1629" s="17" t="n">
        <v>45811</v>
      </c>
      <c r="G1629" s="17" t="n">
        <v>45827</v>
      </c>
      <c r="H1629" s="18" t="n">
        <v>48</v>
      </c>
      <c r="I1629" s="19" t="n">
        <v>36.57</v>
      </c>
      <c r="J1629" s="19" t="n">
        <v>38</v>
      </c>
      <c r="K1629" s="20" t="n">
        <v>0</v>
      </c>
      <c r="L1629" s="20" t="n">
        <v>0</v>
      </c>
      <c r="M1629" s="18" t="n">
        <v>48</v>
      </c>
      <c r="N1629" s="18" t="n">
        <v>48</v>
      </c>
      <c r="O1629" s="18" t="n">
        <v>0</v>
      </c>
      <c r="P1629" s="17" t="n">
        <v>45822</v>
      </c>
      <c r="Q1629" s="17" t="n">
        <v>45822</v>
      </c>
      <c r="R1629" s="17" t="n">
        <v>45822</v>
      </c>
      <c r="S1629" s="19">
        <f>H1629*I1629</f>
        <v/>
      </c>
      <c r="T1629" s="19">
        <f>H1629*J1629</f>
        <v/>
      </c>
      <c r="U1629">
        <f>IF(AND(K1629=0,G1629&lt;=Assumptions!$C$6),1,0)</f>
        <v/>
      </c>
      <c r="V1629">
        <f>IF(U1629=1,IF(M1629&gt;0,IF(P1629&lt;=G1629+Assumptions!$C$7,1,0),0),0)</f>
        <v/>
      </c>
      <c r="W1629">
        <f>IF(AND(U1629=1,M1629&gt;=H1629*(1-Assumptions!$C$8)),1,0)</f>
        <v/>
      </c>
      <c r="X1629">
        <f>IF(AND(U1629=1,N1629&gt;=H1629*(1-Assumptions!$C$8)),1,0)</f>
        <v/>
      </c>
      <c r="Y1629">
        <f>IF(ISNUMBER(Q1629),1,0)</f>
        <v/>
      </c>
      <c r="Z1629">
        <f>IF(AND(K1629=0,L1629=0,Y1629=0),1,0)</f>
        <v/>
      </c>
      <c r="AA1629">
        <f>IF(AND(Z1629=1,G1629&lt;Assumptions!$C$6),1,0)</f>
        <v/>
      </c>
      <c r="AB1629">
        <f>IF(U1629=0,"",IF(Y1629=1,MAX(0,Q1629-G1629),IF(L1629=1,MAX(0,R1629-G1629),MAX(0,Assumptions!$C$6-G1629))))</f>
        <v/>
      </c>
      <c r="AC1629">
        <f>IF(Y1629=1,Q1629-F1629,"")</f>
        <v/>
      </c>
      <c r="AD1629">
        <f>IF(Y1629=1,AC1629^2,"")</f>
        <v/>
      </c>
      <c r="AE1629" s="19">
        <f>IF(Z1629=1,(H1629-M1629)*I1629,0)</f>
        <v/>
      </c>
      <c r="AF1629">
        <f>IF(G1629&lt;EDATE(Assumptions!$C$6,-12)+1,"prior_12m","last_12m")</f>
        <v/>
      </c>
      <c r="AG1629" s="21">
        <f>DATE(YEAR(G1629),MONTH(G1629),1)</f>
        <v/>
      </c>
    </row>
    <row r="1630">
      <c r="A1630" t="inlineStr">
        <is>
          <t>SPO-00882-1</t>
        </is>
      </c>
      <c r="B1630" t="inlineStr">
        <is>
          <t>SPO-00882</t>
        </is>
      </c>
      <c r="C1630" t="inlineStr">
        <is>
          <t>SUP-02</t>
        </is>
      </c>
      <c r="D1630" t="inlineStr">
        <is>
          <t>ELEC</t>
        </is>
      </c>
      <c r="E1630" t="inlineStr">
        <is>
          <t>ELEC-02</t>
        </is>
      </c>
      <c r="F1630" s="17" t="n">
        <v>45812</v>
      </c>
      <c r="G1630" s="17" t="n">
        <v>45828</v>
      </c>
      <c r="H1630" s="18" t="n">
        <v>326</v>
      </c>
      <c r="I1630" s="19" t="n">
        <v>4.25</v>
      </c>
      <c r="J1630" s="19" t="n">
        <v>4.2</v>
      </c>
      <c r="K1630" s="20" t="n">
        <v>0</v>
      </c>
      <c r="L1630" s="20" t="n">
        <v>0</v>
      </c>
      <c r="M1630" s="18" t="n">
        <v>326</v>
      </c>
      <c r="N1630" s="18" t="n">
        <v>326</v>
      </c>
      <c r="O1630" s="18" t="n">
        <v>0</v>
      </c>
      <c r="P1630" s="17" t="n">
        <v>45823</v>
      </c>
      <c r="Q1630" s="17" t="n">
        <v>45823</v>
      </c>
      <c r="R1630" s="17" t="n">
        <v>45823</v>
      </c>
      <c r="S1630" s="19">
        <f>H1630*I1630</f>
        <v/>
      </c>
      <c r="T1630" s="19">
        <f>H1630*J1630</f>
        <v/>
      </c>
      <c r="U1630">
        <f>IF(AND(K1630=0,G1630&lt;=Assumptions!$C$6),1,0)</f>
        <v/>
      </c>
      <c r="V1630">
        <f>IF(U1630=1,IF(M1630&gt;0,IF(P1630&lt;=G1630+Assumptions!$C$7,1,0),0),0)</f>
        <v/>
      </c>
      <c r="W1630">
        <f>IF(AND(U1630=1,M1630&gt;=H1630*(1-Assumptions!$C$8)),1,0)</f>
        <v/>
      </c>
      <c r="X1630">
        <f>IF(AND(U1630=1,N1630&gt;=H1630*(1-Assumptions!$C$8)),1,0)</f>
        <v/>
      </c>
      <c r="Y1630">
        <f>IF(ISNUMBER(Q1630),1,0)</f>
        <v/>
      </c>
      <c r="Z1630">
        <f>IF(AND(K1630=0,L1630=0,Y1630=0),1,0)</f>
        <v/>
      </c>
      <c r="AA1630">
        <f>IF(AND(Z1630=1,G1630&lt;Assumptions!$C$6),1,0)</f>
        <v/>
      </c>
      <c r="AB1630">
        <f>IF(U1630=0,"",IF(Y1630=1,MAX(0,Q1630-G1630),IF(L1630=1,MAX(0,R1630-G1630),MAX(0,Assumptions!$C$6-G1630))))</f>
        <v/>
      </c>
      <c r="AC1630">
        <f>IF(Y1630=1,Q1630-F1630,"")</f>
        <v/>
      </c>
      <c r="AD1630">
        <f>IF(Y1630=1,AC1630^2,"")</f>
        <v/>
      </c>
      <c r="AE1630" s="19">
        <f>IF(Z1630=1,(H1630-M1630)*I1630,0)</f>
        <v/>
      </c>
      <c r="AF1630">
        <f>IF(G1630&lt;EDATE(Assumptions!$C$6,-12)+1,"prior_12m","last_12m")</f>
        <v/>
      </c>
      <c r="AG1630" s="21">
        <f>DATE(YEAR(G1630),MONTH(G1630),1)</f>
        <v/>
      </c>
    </row>
    <row r="1631">
      <c r="A1631" t="inlineStr">
        <is>
          <t>SPO-00882-2</t>
        </is>
      </c>
      <c r="B1631" t="inlineStr">
        <is>
          <t>SPO-00882</t>
        </is>
      </c>
      <c r="C1631" t="inlineStr">
        <is>
          <t>SUP-02</t>
        </is>
      </c>
      <c r="D1631" t="inlineStr">
        <is>
          <t>ELEC</t>
        </is>
      </c>
      <c r="E1631" t="inlineStr">
        <is>
          <t>ELEC-01</t>
        </is>
      </c>
      <c r="F1631" s="17" t="n">
        <v>45812</v>
      </c>
      <c r="G1631" s="17" t="n">
        <v>45828</v>
      </c>
      <c r="H1631" s="18" t="n">
        <v>25</v>
      </c>
      <c r="I1631" s="19" t="n">
        <v>36.16</v>
      </c>
      <c r="J1631" s="19" t="n">
        <v>38</v>
      </c>
      <c r="K1631" s="20" t="n">
        <v>0</v>
      </c>
      <c r="L1631" s="20" t="n">
        <v>0</v>
      </c>
      <c r="M1631" s="18" t="n">
        <v>25</v>
      </c>
      <c r="N1631" s="18" t="n">
        <v>25</v>
      </c>
      <c r="O1631" s="18" t="n">
        <v>0</v>
      </c>
      <c r="P1631" s="17" t="n">
        <v>45826</v>
      </c>
      <c r="Q1631" s="17" t="n">
        <v>45826</v>
      </c>
      <c r="R1631" s="17" t="n">
        <v>45826</v>
      </c>
      <c r="S1631" s="19">
        <f>H1631*I1631</f>
        <v/>
      </c>
      <c r="T1631" s="19">
        <f>H1631*J1631</f>
        <v/>
      </c>
      <c r="U1631">
        <f>IF(AND(K1631=0,G1631&lt;=Assumptions!$C$6),1,0)</f>
        <v/>
      </c>
      <c r="V1631">
        <f>IF(U1631=1,IF(M1631&gt;0,IF(P1631&lt;=G1631+Assumptions!$C$7,1,0),0),0)</f>
        <v/>
      </c>
      <c r="W1631">
        <f>IF(AND(U1631=1,M1631&gt;=H1631*(1-Assumptions!$C$8)),1,0)</f>
        <v/>
      </c>
      <c r="X1631">
        <f>IF(AND(U1631=1,N1631&gt;=H1631*(1-Assumptions!$C$8)),1,0)</f>
        <v/>
      </c>
      <c r="Y1631">
        <f>IF(ISNUMBER(Q1631),1,0)</f>
        <v/>
      </c>
      <c r="Z1631">
        <f>IF(AND(K1631=0,L1631=0,Y1631=0),1,0)</f>
        <v/>
      </c>
      <c r="AA1631">
        <f>IF(AND(Z1631=1,G1631&lt;Assumptions!$C$6),1,0)</f>
        <v/>
      </c>
      <c r="AB1631">
        <f>IF(U1631=0,"",IF(Y1631=1,MAX(0,Q1631-G1631),IF(L1631=1,MAX(0,R1631-G1631),MAX(0,Assumptions!$C$6-G1631))))</f>
        <v/>
      </c>
      <c r="AC1631">
        <f>IF(Y1631=1,Q1631-F1631,"")</f>
        <v/>
      </c>
      <c r="AD1631">
        <f>IF(Y1631=1,AC1631^2,"")</f>
        <v/>
      </c>
      <c r="AE1631" s="19">
        <f>IF(Z1631=1,(H1631-M1631)*I1631,0)</f>
        <v/>
      </c>
      <c r="AF1631">
        <f>IF(G1631&lt;EDATE(Assumptions!$C$6,-12)+1,"prior_12m","last_12m")</f>
        <v/>
      </c>
      <c r="AG1631" s="21">
        <f>DATE(YEAR(G1631),MONTH(G1631),1)</f>
        <v/>
      </c>
    </row>
    <row r="1632">
      <c r="A1632" t="inlineStr">
        <is>
          <t>SPO-00882-3</t>
        </is>
      </c>
      <c r="B1632" t="inlineStr">
        <is>
          <t>SPO-00882</t>
        </is>
      </c>
      <c r="C1632" t="inlineStr">
        <is>
          <t>SUP-02</t>
        </is>
      </c>
      <c r="D1632" t="inlineStr">
        <is>
          <t>ELEC</t>
        </is>
      </c>
      <c r="E1632" t="inlineStr">
        <is>
          <t>ELEC-08</t>
        </is>
      </c>
      <c r="F1632" s="17" t="n">
        <v>45812</v>
      </c>
      <c r="G1632" s="17" t="n">
        <v>45828</v>
      </c>
      <c r="H1632" s="18" t="n">
        <v>155</v>
      </c>
      <c r="I1632" s="19" t="n">
        <v>17.62</v>
      </c>
      <c r="J1632" s="19" t="n">
        <v>18</v>
      </c>
      <c r="K1632" s="20" t="n">
        <v>0</v>
      </c>
      <c r="L1632" s="20" t="n">
        <v>0</v>
      </c>
      <c r="M1632" s="18" t="n">
        <v>155</v>
      </c>
      <c r="N1632" s="18" t="n">
        <v>85</v>
      </c>
      <c r="O1632" s="18" t="n">
        <v>0</v>
      </c>
      <c r="P1632" s="17" t="n">
        <v>45823</v>
      </c>
      <c r="Q1632" s="17" t="n">
        <v>45831</v>
      </c>
      <c r="R1632" s="17" t="n">
        <v>45831</v>
      </c>
      <c r="S1632" s="19">
        <f>H1632*I1632</f>
        <v/>
      </c>
      <c r="T1632" s="19">
        <f>H1632*J1632</f>
        <v/>
      </c>
      <c r="U1632">
        <f>IF(AND(K1632=0,G1632&lt;=Assumptions!$C$6),1,0)</f>
        <v/>
      </c>
      <c r="V1632">
        <f>IF(U1632=1,IF(M1632&gt;0,IF(P1632&lt;=G1632+Assumptions!$C$7,1,0),0),0)</f>
        <v/>
      </c>
      <c r="W1632">
        <f>IF(AND(U1632=1,M1632&gt;=H1632*(1-Assumptions!$C$8)),1,0)</f>
        <v/>
      </c>
      <c r="X1632">
        <f>IF(AND(U1632=1,N1632&gt;=H1632*(1-Assumptions!$C$8)),1,0)</f>
        <v/>
      </c>
      <c r="Y1632">
        <f>IF(ISNUMBER(Q1632),1,0)</f>
        <v/>
      </c>
      <c r="Z1632">
        <f>IF(AND(K1632=0,L1632=0,Y1632=0),1,0)</f>
        <v/>
      </c>
      <c r="AA1632">
        <f>IF(AND(Z1632=1,G1632&lt;Assumptions!$C$6),1,0)</f>
        <v/>
      </c>
      <c r="AB1632">
        <f>IF(U1632=0,"",IF(Y1632=1,MAX(0,Q1632-G1632),IF(L1632=1,MAX(0,R1632-G1632),MAX(0,Assumptions!$C$6-G1632))))</f>
        <v/>
      </c>
      <c r="AC1632">
        <f>IF(Y1632=1,Q1632-F1632,"")</f>
        <v/>
      </c>
      <c r="AD1632">
        <f>IF(Y1632=1,AC1632^2,"")</f>
        <v/>
      </c>
      <c r="AE1632" s="19">
        <f>IF(Z1632=1,(H1632-M1632)*I1632,0)</f>
        <v/>
      </c>
      <c r="AF1632">
        <f>IF(G1632&lt;EDATE(Assumptions!$C$6,-12)+1,"prior_12m","last_12m")</f>
        <v/>
      </c>
      <c r="AG1632" s="21">
        <f>DATE(YEAR(G1632),MONTH(G1632),1)</f>
        <v/>
      </c>
    </row>
    <row r="1633">
      <c r="A1633" t="inlineStr">
        <is>
          <t>SPO-00882-4</t>
        </is>
      </c>
      <c r="B1633" t="inlineStr">
        <is>
          <t>SPO-00882</t>
        </is>
      </c>
      <c r="C1633" t="inlineStr">
        <is>
          <t>SUP-02</t>
        </is>
      </c>
      <c r="D1633" t="inlineStr">
        <is>
          <t>ELEC</t>
        </is>
      </c>
      <c r="E1633" t="inlineStr">
        <is>
          <t>ELEC-06</t>
        </is>
      </c>
      <c r="F1633" s="17" t="n">
        <v>45812</v>
      </c>
      <c r="G1633" s="17" t="n">
        <v>45828</v>
      </c>
      <c r="H1633" s="18" t="n">
        <v>7</v>
      </c>
      <c r="I1633" s="19" t="n">
        <v>143.43</v>
      </c>
      <c r="J1633" s="19" t="n">
        <v>145</v>
      </c>
      <c r="K1633" s="20" t="n">
        <v>0</v>
      </c>
      <c r="L1633" s="20" t="n">
        <v>0</v>
      </c>
      <c r="M1633" s="18" t="n">
        <v>7</v>
      </c>
      <c r="N1633" s="18" t="n">
        <v>7</v>
      </c>
      <c r="O1633" s="18" t="n">
        <v>0</v>
      </c>
      <c r="P1633" s="17" t="n">
        <v>45826</v>
      </c>
      <c r="Q1633" s="17" t="n">
        <v>45826</v>
      </c>
      <c r="R1633" s="17" t="n">
        <v>45826</v>
      </c>
      <c r="S1633" s="19">
        <f>H1633*I1633</f>
        <v/>
      </c>
      <c r="T1633" s="19">
        <f>H1633*J1633</f>
        <v/>
      </c>
      <c r="U1633">
        <f>IF(AND(K1633=0,G1633&lt;=Assumptions!$C$6),1,0)</f>
        <v/>
      </c>
      <c r="V1633">
        <f>IF(U1633=1,IF(M1633&gt;0,IF(P1633&lt;=G1633+Assumptions!$C$7,1,0),0),0)</f>
        <v/>
      </c>
      <c r="W1633">
        <f>IF(AND(U1633=1,M1633&gt;=H1633*(1-Assumptions!$C$8)),1,0)</f>
        <v/>
      </c>
      <c r="X1633">
        <f>IF(AND(U1633=1,N1633&gt;=H1633*(1-Assumptions!$C$8)),1,0)</f>
        <v/>
      </c>
      <c r="Y1633">
        <f>IF(ISNUMBER(Q1633),1,0)</f>
        <v/>
      </c>
      <c r="Z1633">
        <f>IF(AND(K1633=0,L1633=0,Y1633=0),1,0)</f>
        <v/>
      </c>
      <c r="AA1633">
        <f>IF(AND(Z1633=1,G1633&lt;Assumptions!$C$6),1,0)</f>
        <v/>
      </c>
      <c r="AB1633">
        <f>IF(U1633=0,"",IF(Y1633=1,MAX(0,Q1633-G1633),IF(L1633=1,MAX(0,R1633-G1633),MAX(0,Assumptions!$C$6-G1633))))</f>
        <v/>
      </c>
      <c r="AC1633">
        <f>IF(Y1633=1,Q1633-F1633,"")</f>
        <v/>
      </c>
      <c r="AD1633">
        <f>IF(Y1633=1,AC1633^2,"")</f>
        <v/>
      </c>
      <c r="AE1633" s="19">
        <f>IF(Z1633=1,(H1633-M1633)*I1633,0)</f>
        <v/>
      </c>
      <c r="AF1633">
        <f>IF(G1633&lt;EDATE(Assumptions!$C$6,-12)+1,"prior_12m","last_12m")</f>
        <v/>
      </c>
      <c r="AG1633" s="21">
        <f>DATE(YEAR(G1633),MONTH(G1633),1)</f>
        <v/>
      </c>
    </row>
    <row r="1634">
      <c r="A1634" t="inlineStr">
        <is>
          <t>SPO-00883-1</t>
        </is>
      </c>
      <c r="B1634" t="inlineStr">
        <is>
          <t>SPO-00883</t>
        </is>
      </c>
      <c r="C1634" t="inlineStr">
        <is>
          <t>SUP-11</t>
        </is>
      </c>
      <c r="D1634" t="inlineStr">
        <is>
          <t>PPE</t>
        </is>
      </c>
      <c r="E1634" t="inlineStr">
        <is>
          <t>PPE-07</t>
        </is>
      </c>
      <c r="F1634" s="17" t="n">
        <v>45812</v>
      </c>
      <c r="G1634" s="17" t="n">
        <v>45824</v>
      </c>
      <c r="H1634" s="18" t="n">
        <v>33</v>
      </c>
      <c r="I1634" s="19" t="n">
        <v>30.8</v>
      </c>
      <c r="J1634" s="19" t="n">
        <v>31</v>
      </c>
      <c r="K1634" s="20" t="n">
        <v>0</v>
      </c>
      <c r="L1634" s="20" t="n">
        <v>0</v>
      </c>
      <c r="M1634" s="18" t="n">
        <v>33</v>
      </c>
      <c r="N1634" s="18" t="n">
        <v>33</v>
      </c>
      <c r="O1634" s="18" t="n">
        <v>0</v>
      </c>
      <c r="P1634" s="17" t="n">
        <v>45821</v>
      </c>
      <c r="Q1634" s="17" t="n">
        <v>45821</v>
      </c>
      <c r="R1634" s="17" t="n">
        <v>45821</v>
      </c>
      <c r="S1634" s="19">
        <f>H1634*I1634</f>
        <v/>
      </c>
      <c r="T1634" s="19">
        <f>H1634*J1634</f>
        <v/>
      </c>
      <c r="U1634">
        <f>IF(AND(K1634=0,G1634&lt;=Assumptions!$C$6),1,0)</f>
        <v/>
      </c>
      <c r="V1634">
        <f>IF(U1634=1,IF(M1634&gt;0,IF(P1634&lt;=G1634+Assumptions!$C$7,1,0),0),0)</f>
        <v/>
      </c>
      <c r="W1634">
        <f>IF(AND(U1634=1,M1634&gt;=H1634*(1-Assumptions!$C$8)),1,0)</f>
        <v/>
      </c>
      <c r="X1634">
        <f>IF(AND(U1634=1,N1634&gt;=H1634*(1-Assumptions!$C$8)),1,0)</f>
        <v/>
      </c>
      <c r="Y1634">
        <f>IF(ISNUMBER(Q1634),1,0)</f>
        <v/>
      </c>
      <c r="Z1634">
        <f>IF(AND(K1634=0,L1634=0,Y1634=0),1,0)</f>
        <v/>
      </c>
      <c r="AA1634">
        <f>IF(AND(Z1634=1,G1634&lt;Assumptions!$C$6),1,0)</f>
        <v/>
      </c>
      <c r="AB1634">
        <f>IF(U1634=0,"",IF(Y1634=1,MAX(0,Q1634-G1634),IF(L1634=1,MAX(0,R1634-G1634),MAX(0,Assumptions!$C$6-G1634))))</f>
        <v/>
      </c>
      <c r="AC1634">
        <f>IF(Y1634=1,Q1634-F1634,"")</f>
        <v/>
      </c>
      <c r="AD1634">
        <f>IF(Y1634=1,AC1634^2,"")</f>
        <v/>
      </c>
      <c r="AE1634" s="19">
        <f>IF(Z1634=1,(H1634-M1634)*I1634,0)</f>
        <v/>
      </c>
      <c r="AF1634">
        <f>IF(G1634&lt;EDATE(Assumptions!$C$6,-12)+1,"prior_12m","last_12m")</f>
        <v/>
      </c>
      <c r="AG1634" s="21">
        <f>DATE(YEAR(G1634),MONTH(G1634),1)</f>
        <v/>
      </c>
    </row>
    <row r="1635">
      <c r="A1635" t="inlineStr">
        <is>
          <t>SPO-00884-1</t>
        </is>
      </c>
      <c r="B1635" t="inlineStr">
        <is>
          <t>SPO-00884</t>
        </is>
      </c>
      <c r="C1635" t="inlineStr">
        <is>
          <t>SUP-06</t>
        </is>
      </c>
      <c r="D1635" t="inlineStr">
        <is>
          <t>MRO</t>
        </is>
      </c>
      <c r="E1635" t="inlineStr">
        <is>
          <t>MRO-05</t>
        </is>
      </c>
      <c r="F1635" s="17" t="n">
        <v>45812</v>
      </c>
      <c r="G1635" s="17" t="n">
        <v>45820</v>
      </c>
      <c r="H1635" s="18" t="n">
        <v>20</v>
      </c>
      <c r="I1635" s="19" t="n">
        <v>36.77</v>
      </c>
      <c r="J1635" s="19" t="n">
        <v>36</v>
      </c>
      <c r="K1635" s="20" t="n">
        <v>0</v>
      </c>
      <c r="L1635" s="20" t="n">
        <v>0</v>
      </c>
      <c r="M1635" s="18" t="n">
        <v>20</v>
      </c>
      <c r="N1635" s="18" t="n">
        <v>20</v>
      </c>
      <c r="O1635" s="18" t="n">
        <v>0</v>
      </c>
      <c r="P1635" s="17" t="n">
        <v>45820</v>
      </c>
      <c r="Q1635" s="17" t="n">
        <v>45820</v>
      </c>
      <c r="R1635" s="17" t="n">
        <v>45820</v>
      </c>
      <c r="S1635" s="19">
        <f>H1635*I1635</f>
        <v/>
      </c>
      <c r="T1635" s="19">
        <f>H1635*J1635</f>
        <v/>
      </c>
      <c r="U1635">
        <f>IF(AND(K1635=0,G1635&lt;=Assumptions!$C$6),1,0)</f>
        <v/>
      </c>
      <c r="V1635">
        <f>IF(U1635=1,IF(M1635&gt;0,IF(P1635&lt;=G1635+Assumptions!$C$7,1,0),0),0)</f>
        <v/>
      </c>
      <c r="W1635">
        <f>IF(AND(U1635=1,M1635&gt;=H1635*(1-Assumptions!$C$8)),1,0)</f>
        <v/>
      </c>
      <c r="X1635">
        <f>IF(AND(U1635=1,N1635&gt;=H1635*(1-Assumptions!$C$8)),1,0)</f>
        <v/>
      </c>
      <c r="Y1635">
        <f>IF(ISNUMBER(Q1635),1,0)</f>
        <v/>
      </c>
      <c r="Z1635">
        <f>IF(AND(K1635=0,L1635=0,Y1635=0),1,0)</f>
        <v/>
      </c>
      <c r="AA1635">
        <f>IF(AND(Z1635=1,G1635&lt;Assumptions!$C$6),1,0)</f>
        <v/>
      </c>
      <c r="AB1635">
        <f>IF(U1635=0,"",IF(Y1635=1,MAX(0,Q1635-G1635),IF(L1635=1,MAX(0,R1635-G1635),MAX(0,Assumptions!$C$6-G1635))))</f>
        <v/>
      </c>
      <c r="AC1635">
        <f>IF(Y1635=1,Q1635-F1635,"")</f>
        <v/>
      </c>
      <c r="AD1635">
        <f>IF(Y1635=1,AC1635^2,"")</f>
        <v/>
      </c>
      <c r="AE1635" s="19">
        <f>IF(Z1635=1,(H1635-M1635)*I1635,0)</f>
        <v/>
      </c>
      <c r="AF1635">
        <f>IF(G1635&lt;EDATE(Assumptions!$C$6,-12)+1,"prior_12m","last_12m")</f>
        <v/>
      </c>
      <c r="AG1635" s="21">
        <f>DATE(YEAR(G1635),MONTH(G1635),1)</f>
        <v/>
      </c>
    </row>
    <row r="1636">
      <c r="A1636" t="inlineStr">
        <is>
          <t>SPO-00884-2</t>
        </is>
      </c>
      <c r="B1636" t="inlineStr">
        <is>
          <t>SPO-00884</t>
        </is>
      </c>
      <c r="C1636" t="inlineStr">
        <is>
          <t>SUP-06</t>
        </is>
      </c>
      <c r="D1636" t="inlineStr">
        <is>
          <t>MRO</t>
        </is>
      </c>
      <c r="E1636" t="inlineStr">
        <is>
          <t>MRO-04</t>
        </is>
      </c>
      <c r="F1636" s="17" t="n">
        <v>45812</v>
      </c>
      <c r="G1636" s="17" t="n">
        <v>45820</v>
      </c>
      <c r="H1636" s="18" t="n">
        <v>34</v>
      </c>
      <c r="I1636" s="19" t="n">
        <v>56.78</v>
      </c>
      <c r="J1636" s="19" t="n">
        <v>58</v>
      </c>
      <c r="K1636" s="20" t="n">
        <v>0</v>
      </c>
      <c r="L1636" s="20" t="n">
        <v>0</v>
      </c>
      <c r="M1636" s="18" t="n">
        <v>34</v>
      </c>
      <c r="N1636" s="18" t="n">
        <v>34</v>
      </c>
      <c r="O1636" s="18" t="n">
        <v>0</v>
      </c>
      <c r="P1636" s="17" t="n">
        <v>45818</v>
      </c>
      <c r="Q1636" s="17" t="n">
        <v>45818</v>
      </c>
      <c r="R1636" s="17" t="n">
        <v>45818</v>
      </c>
      <c r="S1636" s="19">
        <f>H1636*I1636</f>
        <v/>
      </c>
      <c r="T1636" s="19">
        <f>H1636*J1636</f>
        <v/>
      </c>
      <c r="U1636">
        <f>IF(AND(K1636=0,G1636&lt;=Assumptions!$C$6),1,0)</f>
        <v/>
      </c>
      <c r="V1636">
        <f>IF(U1636=1,IF(M1636&gt;0,IF(P1636&lt;=G1636+Assumptions!$C$7,1,0),0),0)</f>
        <v/>
      </c>
      <c r="W1636">
        <f>IF(AND(U1636=1,M1636&gt;=H1636*(1-Assumptions!$C$8)),1,0)</f>
        <v/>
      </c>
      <c r="X1636">
        <f>IF(AND(U1636=1,N1636&gt;=H1636*(1-Assumptions!$C$8)),1,0)</f>
        <v/>
      </c>
      <c r="Y1636">
        <f>IF(ISNUMBER(Q1636),1,0)</f>
        <v/>
      </c>
      <c r="Z1636">
        <f>IF(AND(K1636=0,L1636=0,Y1636=0),1,0)</f>
        <v/>
      </c>
      <c r="AA1636">
        <f>IF(AND(Z1636=1,G1636&lt;Assumptions!$C$6),1,0)</f>
        <v/>
      </c>
      <c r="AB1636">
        <f>IF(U1636=0,"",IF(Y1636=1,MAX(0,Q1636-G1636),IF(L1636=1,MAX(0,R1636-G1636),MAX(0,Assumptions!$C$6-G1636))))</f>
        <v/>
      </c>
      <c r="AC1636">
        <f>IF(Y1636=1,Q1636-F1636,"")</f>
        <v/>
      </c>
      <c r="AD1636">
        <f>IF(Y1636=1,AC1636^2,"")</f>
        <v/>
      </c>
      <c r="AE1636" s="19">
        <f>IF(Z1636=1,(H1636-M1636)*I1636,0)</f>
        <v/>
      </c>
      <c r="AF1636">
        <f>IF(G1636&lt;EDATE(Assumptions!$C$6,-12)+1,"prior_12m","last_12m")</f>
        <v/>
      </c>
      <c r="AG1636" s="21">
        <f>DATE(YEAR(G1636),MONTH(G1636),1)</f>
        <v/>
      </c>
    </row>
    <row r="1637">
      <c r="A1637" t="inlineStr">
        <is>
          <t>SPO-00885-1</t>
        </is>
      </c>
      <c r="B1637" t="inlineStr">
        <is>
          <t>SPO-00885</t>
        </is>
      </c>
      <c r="C1637" t="inlineStr">
        <is>
          <t>SUP-06</t>
        </is>
      </c>
      <c r="D1637" t="inlineStr">
        <is>
          <t>MRO</t>
        </is>
      </c>
      <c r="E1637" t="inlineStr">
        <is>
          <t>MRO-08</t>
        </is>
      </c>
      <c r="F1637" s="17" t="n">
        <v>45813</v>
      </c>
      <c r="G1637" s="17" t="n">
        <v>45821</v>
      </c>
      <c r="H1637" s="18" t="n">
        <v>206</v>
      </c>
      <c r="I1637" s="19" t="n">
        <v>7.09</v>
      </c>
      <c r="J1637" s="19" t="n">
        <v>7.2</v>
      </c>
      <c r="K1637" s="20" t="n">
        <v>0</v>
      </c>
      <c r="L1637" s="20" t="n">
        <v>0</v>
      </c>
      <c r="M1637" s="18" t="n">
        <v>206</v>
      </c>
      <c r="N1637" s="18" t="n">
        <v>206</v>
      </c>
      <c r="O1637" s="18" t="n">
        <v>0</v>
      </c>
      <c r="P1637" s="17" t="n">
        <v>45818</v>
      </c>
      <c r="Q1637" s="17" t="n">
        <v>45818</v>
      </c>
      <c r="R1637" s="17" t="n">
        <v>45818</v>
      </c>
      <c r="S1637" s="19">
        <f>H1637*I1637</f>
        <v/>
      </c>
      <c r="T1637" s="19">
        <f>H1637*J1637</f>
        <v/>
      </c>
      <c r="U1637">
        <f>IF(AND(K1637=0,G1637&lt;=Assumptions!$C$6),1,0)</f>
        <v/>
      </c>
      <c r="V1637">
        <f>IF(U1637=1,IF(M1637&gt;0,IF(P1637&lt;=G1637+Assumptions!$C$7,1,0),0),0)</f>
        <v/>
      </c>
      <c r="W1637">
        <f>IF(AND(U1637=1,M1637&gt;=H1637*(1-Assumptions!$C$8)),1,0)</f>
        <v/>
      </c>
      <c r="X1637">
        <f>IF(AND(U1637=1,N1637&gt;=H1637*(1-Assumptions!$C$8)),1,0)</f>
        <v/>
      </c>
      <c r="Y1637">
        <f>IF(ISNUMBER(Q1637),1,0)</f>
        <v/>
      </c>
      <c r="Z1637">
        <f>IF(AND(K1637=0,L1637=0,Y1637=0),1,0)</f>
        <v/>
      </c>
      <c r="AA1637">
        <f>IF(AND(Z1637=1,G1637&lt;Assumptions!$C$6),1,0)</f>
        <v/>
      </c>
      <c r="AB1637">
        <f>IF(U1637=0,"",IF(Y1637=1,MAX(0,Q1637-G1637),IF(L1637=1,MAX(0,R1637-G1637),MAX(0,Assumptions!$C$6-G1637))))</f>
        <v/>
      </c>
      <c r="AC1637">
        <f>IF(Y1637=1,Q1637-F1637,"")</f>
        <v/>
      </c>
      <c r="AD1637">
        <f>IF(Y1637=1,AC1637^2,"")</f>
        <v/>
      </c>
      <c r="AE1637" s="19">
        <f>IF(Z1637=1,(H1637-M1637)*I1637,0)</f>
        <v/>
      </c>
      <c r="AF1637">
        <f>IF(G1637&lt;EDATE(Assumptions!$C$6,-12)+1,"prior_12m","last_12m")</f>
        <v/>
      </c>
      <c r="AG1637" s="21">
        <f>DATE(YEAR(G1637),MONTH(G1637),1)</f>
        <v/>
      </c>
    </row>
    <row r="1638">
      <c r="A1638" t="inlineStr">
        <is>
          <t>SPO-00885-2</t>
        </is>
      </c>
      <c r="B1638" t="inlineStr">
        <is>
          <t>SPO-00885</t>
        </is>
      </c>
      <c r="C1638" t="inlineStr">
        <is>
          <t>SUP-06</t>
        </is>
      </c>
      <c r="D1638" t="inlineStr">
        <is>
          <t>MRO</t>
        </is>
      </c>
      <c r="E1638" t="inlineStr">
        <is>
          <t>MRO-01</t>
        </is>
      </c>
      <c r="F1638" s="17" t="n">
        <v>45813</v>
      </c>
      <c r="G1638" s="17" t="n">
        <v>45821</v>
      </c>
      <c r="H1638" s="18" t="n">
        <v>30</v>
      </c>
      <c r="I1638" s="19" t="n">
        <v>52.69</v>
      </c>
      <c r="J1638" s="19" t="n">
        <v>52</v>
      </c>
      <c r="K1638" s="20" t="n">
        <v>0</v>
      </c>
      <c r="L1638" s="20" t="n">
        <v>0</v>
      </c>
      <c r="M1638" s="18" t="n">
        <v>30</v>
      </c>
      <c r="N1638" s="18" t="n">
        <v>30</v>
      </c>
      <c r="O1638" s="18" t="n">
        <v>0</v>
      </c>
      <c r="P1638" s="17" t="n">
        <v>45820</v>
      </c>
      <c r="Q1638" s="17" t="n">
        <v>45820</v>
      </c>
      <c r="R1638" s="17" t="n">
        <v>45820</v>
      </c>
      <c r="S1638" s="19">
        <f>H1638*I1638</f>
        <v/>
      </c>
      <c r="T1638" s="19">
        <f>H1638*J1638</f>
        <v/>
      </c>
      <c r="U1638">
        <f>IF(AND(K1638=0,G1638&lt;=Assumptions!$C$6),1,0)</f>
        <v/>
      </c>
      <c r="V1638">
        <f>IF(U1638=1,IF(M1638&gt;0,IF(P1638&lt;=G1638+Assumptions!$C$7,1,0),0),0)</f>
        <v/>
      </c>
      <c r="W1638">
        <f>IF(AND(U1638=1,M1638&gt;=H1638*(1-Assumptions!$C$8)),1,0)</f>
        <v/>
      </c>
      <c r="X1638">
        <f>IF(AND(U1638=1,N1638&gt;=H1638*(1-Assumptions!$C$8)),1,0)</f>
        <v/>
      </c>
      <c r="Y1638">
        <f>IF(ISNUMBER(Q1638),1,0)</f>
        <v/>
      </c>
      <c r="Z1638">
        <f>IF(AND(K1638=0,L1638=0,Y1638=0),1,0)</f>
        <v/>
      </c>
      <c r="AA1638">
        <f>IF(AND(Z1638=1,G1638&lt;Assumptions!$C$6),1,0)</f>
        <v/>
      </c>
      <c r="AB1638">
        <f>IF(U1638=0,"",IF(Y1638=1,MAX(0,Q1638-G1638),IF(L1638=1,MAX(0,R1638-G1638),MAX(0,Assumptions!$C$6-G1638))))</f>
        <v/>
      </c>
      <c r="AC1638">
        <f>IF(Y1638=1,Q1638-F1638,"")</f>
        <v/>
      </c>
      <c r="AD1638">
        <f>IF(Y1638=1,AC1638^2,"")</f>
        <v/>
      </c>
      <c r="AE1638" s="19">
        <f>IF(Z1638=1,(H1638-M1638)*I1638,0)</f>
        <v/>
      </c>
      <c r="AF1638">
        <f>IF(G1638&lt;EDATE(Assumptions!$C$6,-12)+1,"prior_12m","last_12m")</f>
        <v/>
      </c>
      <c r="AG1638" s="21">
        <f>DATE(YEAR(G1638),MONTH(G1638),1)</f>
        <v/>
      </c>
    </row>
    <row r="1639">
      <c r="A1639" t="inlineStr">
        <is>
          <t>SPO-00885-3</t>
        </is>
      </c>
      <c r="B1639" t="inlineStr">
        <is>
          <t>SPO-00885</t>
        </is>
      </c>
      <c r="C1639" t="inlineStr">
        <is>
          <t>SUP-06</t>
        </is>
      </c>
      <c r="D1639" t="inlineStr">
        <is>
          <t>MRO</t>
        </is>
      </c>
      <c r="E1639" t="inlineStr">
        <is>
          <t>MRO-06</t>
        </is>
      </c>
      <c r="F1639" s="17" t="n">
        <v>45813</v>
      </c>
      <c r="G1639" s="17" t="n">
        <v>45821</v>
      </c>
      <c r="H1639" s="18" t="n">
        <v>133</v>
      </c>
      <c r="I1639" s="19" t="n">
        <v>6.08</v>
      </c>
      <c r="J1639" s="19" t="n">
        <v>6.1</v>
      </c>
      <c r="K1639" s="20" t="n">
        <v>1</v>
      </c>
      <c r="L1639" s="20" t="n">
        <v>0</v>
      </c>
      <c r="M1639" s="18" t="n">
        <v>0</v>
      </c>
      <c r="N1639" s="18" t="n">
        <v>0</v>
      </c>
      <c r="O1639" s="18" t="n">
        <v>0</v>
      </c>
      <c r="P1639" s="17" t="n"/>
      <c r="Q1639" s="17" t="n"/>
      <c r="R1639" s="17" t="n"/>
      <c r="S1639" s="19">
        <f>H1639*I1639</f>
        <v/>
      </c>
      <c r="T1639" s="19">
        <f>H1639*J1639</f>
        <v/>
      </c>
      <c r="U1639">
        <f>IF(AND(K1639=0,G1639&lt;=Assumptions!$C$6),1,0)</f>
        <v/>
      </c>
      <c r="V1639">
        <f>IF(U1639=1,IF(M1639&gt;0,IF(P1639&lt;=G1639+Assumptions!$C$7,1,0),0),0)</f>
        <v/>
      </c>
      <c r="W1639">
        <f>IF(AND(U1639=1,M1639&gt;=H1639*(1-Assumptions!$C$8)),1,0)</f>
        <v/>
      </c>
      <c r="X1639">
        <f>IF(AND(U1639=1,N1639&gt;=H1639*(1-Assumptions!$C$8)),1,0)</f>
        <v/>
      </c>
      <c r="Y1639">
        <f>IF(ISNUMBER(Q1639),1,0)</f>
        <v/>
      </c>
      <c r="Z1639">
        <f>IF(AND(K1639=0,L1639=0,Y1639=0),1,0)</f>
        <v/>
      </c>
      <c r="AA1639">
        <f>IF(AND(Z1639=1,G1639&lt;Assumptions!$C$6),1,0)</f>
        <v/>
      </c>
      <c r="AB1639">
        <f>IF(U1639=0,"",IF(Y1639=1,MAX(0,Q1639-G1639),IF(L1639=1,MAX(0,R1639-G1639),MAX(0,Assumptions!$C$6-G1639))))</f>
        <v/>
      </c>
      <c r="AC1639">
        <f>IF(Y1639=1,Q1639-F1639,"")</f>
        <v/>
      </c>
      <c r="AD1639">
        <f>IF(Y1639=1,AC1639^2,"")</f>
        <v/>
      </c>
      <c r="AE1639" s="19">
        <f>IF(Z1639=1,(H1639-M1639)*I1639,0)</f>
        <v/>
      </c>
      <c r="AF1639">
        <f>IF(G1639&lt;EDATE(Assumptions!$C$6,-12)+1,"prior_12m","last_12m")</f>
        <v/>
      </c>
      <c r="AG1639" s="21">
        <f>DATE(YEAR(G1639),MONTH(G1639),1)</f>
        <v/>
      </c>
    </row>
    <row r="1640">
      <c r="A1640" t="inlineStr">
        <is>
          <t>SPO-00886-1</t>
        </is>
      </c>
      <c r="B1640" t="inlineStr">
        <is>
          <t>SPO-00886</t>
        </is>
      </c>
      <c r="C1640" t="inlineStr">
        <is>
          <t>SUP-08</t>
        </is>
      </c>
      <c r="D1640" t="inlineStr">
        <is>
          <t>MRO</t>
        </is>
      </c>
      <c r="E1640" t="inlineStr">
        <is>
          <t>MRO-08</t>
        </is>
      </c>
      <c r="F1640" s="17" t="n">
        <v>45813</v>
      </c>
      <c r="G1640" s="17" t="n">
        <v>45824</v>
      </c>
      <c r="H1640" s="18" t="n">
        <v>161</v>
      </c>
      <c r="I1640" s="19" t="n">
        <v>7.5</v>
      </c>
      <c r="J1640" s="19" t="n">
        <v>7.2</v>
      </c>
      <c r="K1640" s="20" t="n">
        <v>0</v>
      </c>
      <c r="L1640" s="20" t="n">
        <v>0</v>
      </c>
      <c r="M1640" s="18" t="n">
        <v>161</v>
      </c>
      <c r="N1640" s="18" t="n">
        <v>161</v>
      </c>
      <c r="O1640" s="18" t="n">
        <v>0</v>
      </c>
      <c r="P1640" s="17" t="n">
        <v>45821</v>
      </c>
      <c r="Q1640" s="17" t="n">
        <v>45821</v>
      </c>
      <c r="R1640" s="17" t="n">
        <v>45821</v>
      </c>
      <c r="S1640" s="19">
        <f>H1640*I1640</f>
        <v/>
      </c>
      <c r="T1640" s="19">
        <f>H1640*J1640</f>
        <v/>
      </c>
      <c r="U1640">
        <f>IF(AND(K1640=0,G1640&lt;=Assumptions!$C$6),1,0)</f>
        <v/>
      </c>
      <c r="V1640">
        <f>IF(U1640=1,IF(M1640&gt;0,IF(P1640&lt;=G1640+Assumptions!$C$7,1,0),0),0)</f>
        <v/>
      </c>
      <c r="W1640">
        <f>IF(AND(U1640=1,M1640&gt;=H1640*(1-Assumptions!$C$8)),1,0)</f>
        <v/>
      </c>
      <c r="X1640">
        <f>IF(AND(U1640=1,N1640&gt;=H1640*(1-Assumptions!$C$8)),1,0)</f>
        <v/>
      </c>
      <c r="Y1640">
        <f>IF(ISNUMBER(Q1640),1,0)</f>
        <v/>
      </c>
      <c r="Z1640">
        <f>IF(AND(K1640=0,L1640=0,Y1640=0),1,0)</f>
        <v/>
      </c>
      <c r="AA1640">
        <f>IF(AND(Z1640=1,G1640&lt;Assumptions!$C$6),1,0)</f>
        <v/>
      </c>
      <c r="AB1640">
        <f>IF(U1640=0,"",IF(Y1640=1,MAX(0,Q1640-G1640),IF(L1640=1,MAX(0,R1640-G1640),MAX(0,Assumptions!$C$6-G1640))))</f>
        <v/>
      </c>
      <c r="AC1640">
        <f>IF(Y1640=1,Q1640-F1640,"")</f>
        <v/>
      </c>
      <c r="AD1640">
        <f>IF(Y1640=1,AC1640^2,"")</f>
        <v/>
      </c>
      <c r="AE1640" s="19">
        <f>IF(Z1640=1,(H1640-M1640)*I1640,0)</f>
        <v/>
      </c>
      <c r="AF1640">
        <f>IF(G1640&lt;EDATE(Assumptions!$C$6,-12)+1,"prior_12m","last_12m")</f>
        <v/>
      </c>
      <c r="AG1640" s="21">
        <f>DATE(YEAR(G1640),MONTH(G1640),1)</f>
        <v/>
      </c>
    </row>
    <row r="1641">
      <c r="A1641" t="inlineStr">
        <is>
          <t>SPO-00886-2</t>
        </is>
      </c>
      <c r="B1641" t="inlineStr">
        <is>
          <t>SPO-00886</t>
        </is>
      </c>
      <c r="C1641" t="inlineStr">
        <is>
          <t>SUP-08</t>
        </is>
      </c>
      <c r="D1641" t="inlineStr">
        <is>
          <t>MRO</t>
        </is>
      </c>
      <c r="E1641" t="inlineStr">
        <is>
          <t>MRO-05</t>
        </is>
      </c>
      <c r="F1641" s="17" t="n">
        <v>45813</v>
      </c>
      <c r="G1641" s="17" t="n">
        <v>45824</v>
      </c>
      <c r="H1641" s="18" t="n">
        <v>51</v>
      </c>
      <c r="I1641" s="19" t="n">
        <v>36.24</v>
      </c>
      <c r="J1641" s="19" t="n">
        <v>36</v>
      </c>
      <c r="K1641" s="20" t="n">
        <v>0</v>
      </c>
      <c r="L1641" s="20" t="n">
        <v>0</v>
      </c>
      <c r="M1641" s="18" t="n">
        <v>51</v>
      </c>
      <c r="N1641" s="18" t="n">
        <v>51</v>
      </c>
      <c r="O1641" s="18" t="n">
        <v>0</v>
      </c>
      <c r="P1641" s="17" t="n">
        <v>45824</v>
      </c>
      <c r="Q1641" s="17" t="n">
        <v>45824</v>
      </c>
      <c r="R1641" s="17" t="n">
        <v>45824</v>
      </c>
      <c r="S1641" s="19">
        <f>H1641*I1641</f>
        <v/>
      </c>
      <c r="T1641" s="19">
        <f>H1641*J1641</f>
        <v/>
      </c>
      <c r="U1641">
        <f>IF(AND(K1641=0,G1641&lt;=Assumptions!$C$6),1,0)</f>
        <v/>
      </c>
      <c r="V1641">
        <f>IF(U1641=1,IF(M1641&gt;0,IF(P1641&lt;=G1641+Assumptions!$C$7,1,0),0),0)</f>
        <v/>
      </c>
      <c r="W1641">
        <f>IF(AND(U1641=1,M1641&gt;=H1641*(1-Assumptions!$C$8)),1,0)</f>
        <v/>
      </c>
      <c r="X1641">
        <f>IF(AND(U1641=1,N1641&gt;=H1641*(1-Assumptions!$C$8)),1,0)</f>
        <v/>
      </c>
      <c r="Y1641">
        <f>IF(ISNUMBER(Q1641),1,0)</f>
        <v/>
      </c>
      <c r="Z1641">
        <f>IF(AND(K1641=0,L1641=0,Y1641=0),1,0)</f>
        <v/>
      </c>
      <c r="AA1641">
        <f>IF(AND(Z1641=1,G1641&lt;Assumptions!$C$6),1,0)</f>
        <v/>
      </c>
      <c r="AB1641">
        <f>IF(U1641=0,"",IF(Y1641=1,MAX(0,Q1641-G1641),IF(L1641=1,MAX(0,R1641-G1641),MAX(0,Assumptions!$C$6-G1641))))</f>
        <v/>
      </c>
      <c r="AC1641">
        <f>IF(Y1641=1,Q1641-F1641,"")</f>
        <v/>
      </c>
      <c r="AD1641">
        <f>IF(Y1641=1,AC1641^2,"")</f>
        <v/>
      </c>
      <c r="AE1641" s="19">
        <f>IF(Z1641=1,(H1641-M1641)*I1641,0)</f>
        <v/>
      </c>
      <c r="AF1641">
        <f>IF(G1641&lt;EDATE(Assumptions!$C$6,-12)+1,"prior_12m","last_12m")</f>
        <v/>
      </c>
      <c r="AG1641" s="21">
        <f>DATE(YEAR(G1641),MONTH(G1641),1)</f>
        <v/>
      </c>
    </row>
    <row r="1642">
      <c r="A1642" t="inlineStr">
        <is>
          <t>SPO-00887-1</t>
        </is>
      </c>
      <c r="B1642" t="inlineStr">
        <is>
          <t>SPO-00887</t>
        </is>
      </c>
      <c r="C1642" t="inlineStr">
        <is>
          <t>SUP-09</t>
        </is>
      </c>
      <c r="D1642" t="inlineStr">
        <is>
          <t>CHEM</t>
        </is>
      </c>
      <c r="E1642" t="inlineStr">
        <is>
          <t>CHEM-04</t>
        </is>
      </c>
      <c r="F1642" s="17" t="n">
        <v>45814</v>
      </c>
      <c r="G1642" s="17" t="n">
        <v>45828</v>
      </c>
      <c r="H1642" s="18" t="n">
        <v>6</v>
      </c>
      <c r="I1642" s="19" t="n">
        <v>834.4400000000001</v>
      </c>
      <c r="J1642" s="19" t="n">
        <v>820</v>
      </c>
      <c r="K1642" s="20" t="n">
        <v>0</v>
      </c>
      <c r="L1642" s="20" t="n">
        <v>0</v>
      </c>
      <c r="M1642" s="18" t="n">
        <v>6</v>
      </c>
      <c r="N1642" s="18" t="n">
        <v>6</v>
      </c>
      <c r="O1642" s="18" t="n">
        <v>0</v>
      </c>
      <c r="P1642" s="17" t="n">
        <v>45824</v>
      </c>
      <c r="Q1642" s="17" t="n">
        <v>45824</v>
      </c>
      <c r="R1642" s="17" t="n">
        <v>45824</v>
      </c>
      <c r="S1642" s="19">
        <f>H1642*I1642</f>
        <v/>
      </c>
      <c r="T1642" s="19">
        <f>H1642*J1642</f>
        <v/>
      </c>
      <c r="U1642">
        <f>IF(AND(K1642=0,G1642&lt;=Assumptions!$C$6),1,0)</f>
        <v/>
      </c>
      <c r="V1642">
        <f>IF(U1642=1,IF(M1642&gt;0,IF(P1642&lt;=G1642+Assumptions!$C$7,1,0),0),0)</f>
        <v/>
      </c>
      <c r="W1642">
        <f>IF(AND(U1642=1,M1642&gt;=H1642*(1-Assumptions!$C$8)),1,0)</f>
        <v/>
      </c>
      <c r="X1642">
        <f>IF(AND(U1642=1,N1642&gt;=H1642*(1-Assumptions!$C$8)),1,0)</f>
        <v/>
      </c>
      <c r="Y1642">
        <f>IF(ISNUMBER(Q1642),1,0)</f>
        <v/>
      </c>
      <c r="Z1642">
        <f>IF(AND(K1642=0,L1642=0,Y1642=0),1,0)</f>
        <v/>
      </c>
      <c r="AA1642">
        <f>IF(AND(Z1642=1,G1642&lt;Assumptions!$C$6),1,0)</f>
        <v/>
      </c>
      <c r="AB1642">
        <f>IF(U1642=0,"",IF(Y1642=1,MAX(0,Q1642-G1642),IF(L1642=1,MAX(0,R1642-G1642),MAX(0,Assumptions!$C$6-G1642))))</f>
        <v/>
      </c>
      <c r="AC1642">
        <f>IF(Y1642=1,Q1642-F1642,"")</f>
        <v/>
      </c>
      <c r="AD1642">
        <f>IF(Y1642=1,AC1642^2,"")</f>
        <v/>
      </c>
      <c r="AE1642" s="19">
        <f>IF(Z1642=1,(H1642-M1642)*I1642,0)</f>
        <v/>
      </c>
      <c r="AF1642">
        <f>IF(G1642&lt;EDATE(Assumptions!$C$6,-12)+1,"prior_12m","last_12m")</f>
        <v/>
      </c>
      <c r="AG1642" s="21">
        <f>DATE(YEAR(G1642),MONTH(G1642),1)</f>
        <v/>
      </c>
    </row>
    <row r="1643">
      <c r="A1643" t="inlineStr">
        <is>
          <t>SPO-00888-1</t>
        </is>
      </c>
      <c r="B1643" t="inlineStr">
        <is>
          <t>SPO-00888</t>
        </is>
      </c>
      <c r="C1643" t="inlineStr">
        <is>
          <t>SUP-09</t>
        </is>
      </c>
      <c r="D1643" t="inlineStr">
        <is>
          <t>CHEM</t>
        </is>
      </c>
      <c r="E1643" t="inlineStr">
        <is>
          <t>CHEM-06</t>
        </is>
      </c>
      <c r="F1643" s="17" t="n">
        <v>45814</v>
      </c>
      <c r="G1643" s="17" t="n">
        <v>45828</v>
      </c>
      <c r="H1643" s="18" t="n">
        <v>5</v>
      </c>
      <c r="I1643" s="19" t="n">
        <v>388.41</v>
      </c>
      <c r="J1643" s="19" t="n">
        <v>380</v>
      </c>
      <c r="K1643" s="20" t="n">
        <v>0</v>
      </c>
      <c r="L1643" s="20" t="n">
        <v>0</v>
      </c>
      <c r="M1643" s="18" t="n">
        <v>5</v>
      </c>
      <c r="N1643" s="18" t="n">
        <v>5</v>
      </c>
      <c r="O1643" s="18" t="n">
        <v>0</v>
      </c>
      <c r="P1643" s="17" t="n">
        <v>45825</v>
      </c>
      <c r="Q1643" s="17" t="n">
        <v>45825</v>
      </c>
      <c r="R1643" s="17" t="n">
        <v>45825</v>
      </c>
      <c r="S1643" s="19">
        <f>H1643*I1643</f>
        <v/>
      </c>
      <c r="T1643" s="19">
        <f>H1643*J1643</f>
        <v/>
      </c>
      <c r="U1643">
        <f>IF(AND(K1643=0,G1643&lt;=Assumptions!$C$6),1,0)</f>
        <v/>
      </c>
      <c r="V1643">
        <f>IF(U1643=1,IF(M1643&gt;0,IF(P1643&lt;=G1643+Assumptions!$C$7,1,0),0),0)</f>
        <v/>
      </c>
      <c r="W1643">
        <f>IF(AND(U1643=1,M1643&gt;=H1643*(1-Assumptions!$C$8)),1,0)</f>
        <v/>
      </c>
      <c r="X1643">
        <f>IF(AND(U1643=1,N1643&gt;=H1643*(1-Assumptions!$C$8)),1,0)</f>
        <v/>
      </c>
      <c r="Y1643">
        <f>IF(ISNUMBER(Q1643),1,0)</f>
        <v/>
      </c>
      <c r="Z1643">
        <f>IF(AND(K1643=0,L1643=0,Y1643=0),1,0)</f>
        <v/>
      </c>
      <c r="AA1643">
        <f>IF(AND(Z1643=1,G1643&lt;Assumptions!$C$6),1,0)</f>
        <v/>
      </c>
      <c r="AB1643">
        <f>IF(U1643=0,"",IF(Y1643=1,MAX(0,Q1643-G1643),IF(L1643=1,MAX(0,R1643-G1643),MAX(0,Assumptions!$C$6-G1643))))</f>
        <v/>
      </c>
      <c r="AC1643">
        <f>IF(Y1643=1,Q1643-F1643,"")</f>
        <v/>
      </c>
      <c r="AD1643">
        <f>IF(Y1643=1,AC1643^2,"")</f>
        <v/>
      </c>
      <c r="AE1643" s="19">
        <f>IF(Z1643=1,(H1643-M1643)*I1643,0)</f>
        <v/>
      </c>
      <c r="AF1643">
        <f>IF(G1643&lt;EDATE(Assumptions!$C$6,-12)+1,"prior_12m","last_12m")</f>
        <v/>
      </c>
      <c r="AG1643" s="21">
        <f>DATE(YEAR(G1643),MONTH(G1643),1)</f>
        <v/>
      </c>
    </row>
    <row r="1644">
      <c r="A1644" t="inlineStr">
        <is>
          <t>SPO-00889-1</t>
        </is>
      </c>
      <c r="B1644" t="inlineStr">
        <is>
          <t>SPO-00889</t>
        </is>
      </c>
      <c r="C1644" t="inlineStr">
        <is>
          <t>SUP-02</t>
        </is>
      </c>
      <c r="D1644" t="inlineStr">
        <is>
          <t>ELEC</t>
        </is>
      </c>
      <c r="E1644" t="inlineStr">
        <is>
          <t>ELEC-03</t>
        </is>
      </c>
      <c r="F1644" s="17" t="n">
        <v>45815</v>
      </c>
      <c r="G1644" s="17" t="n">
        <v>45831</v>
      </c>
      <c r="H1644" s="18" t="n">
        <v>12</v>
      </c>
      <c r="I1644" s="19" t="n">
        <v>99.36</v>
      </c>
      <c r="J1644" s="19" t="n">
        <v>96</v>
      </c>
      <c r="K1644" s="20" t="n">
        <v>0</v>
      </c>
      <c r="L1644" s="20" t="n">
        <v>0</v>
      </c>
      <c r="M1644" s="18" t="n">
        <v>12</v>
      </c>
      <c r="N1644" s="18" t="n">
        <v>12</v>
      </c>
      <c r="O1644" s="18" t="n">
        <v>0</v>
      </c>
      <c r="P1644" s="17" t="n">
        <v>45830</v>
      </c>
      <c r="Q1644" s="17" t="n">
        <v>45830</v>
      </c>
      <c r="R1644" s="17" t="n">
        <v>45830</v>
      </c>
      <c r="S1644" s="19">
        <f>H1644*I1644</f>
        <v/>
      </c>
      <c r="T1644" s="19">
        <f>H1644*J1644</f>
        <v/>
      </c>
      <c r="U1644">
        <f>IF(AND(K1644=0,G1644&lt;=Assumptions!$C$6),1,0)</f>
        <v/>
      </c>
      <c r="V1644">
        <f>IF(U1644=1,IF(M1644&gt;0,IF(P1644&lt;=G1644+Assumptions!$C$7,1,0),0),0)</f>
        <v/>
      </c>
      <c r="W1644">
        <f>IF(AND(U1644=1,M1644&gt;=H1644*(1-Assumptions!$C$8)),1,0)</f>
        <v/>
      </c>
      <c r="X1644">
        <f>IF(AND(U1644=1,N1644&gt;=H1644*(1-Assumptions!$C$8)),1,0)</f>
        <v/>
      </c>
      <c r="Y1644">
        <f>IF(ISNUMBER(Q1644),1,0)</f>
        <v/>
      </c>
      <c r="Z1644">
        <f>IF(AND(K1644=0,L1644=0,Y1644=0),1,0)</f>
        <v/>
      </c>
      <c r="AA1644">
        <f>IF(AND(Z1644=1,G1644&lt;Assumptions!$C$6),1,0)</f>
        <v/>
      </c>
      <c r="AB1644">
        <f>IF(U1644=0,"",IF(Y1644=1,MAX(0,Q1644-G1644),IF(L1644=1,MAX(0,R1644-G1644),MAX(0,Assumptions!$C$6-G1644))))</f>
        <v/>
      </c>
      <c r="AC1644">
        <f>IF(Y1644=1,Q1644-F1644,"")</f>
        <v/>
      </c>
      <c r="AD1644">
        <f>IF(Y1644=1,AC1644^2,"")</f>
        <v/>
      </c>
      <c r="AE1644" s="19">
        <f>IF(Z1644=1,(H1644-M1644)*I1644,0)</f>
        <v/>
      </c>
      <c r="AF1644">
        <f>IF(G1644&lt;EDATE(Assumptions!$C$6,-12)+1,"prior_12m","last_12m")</f>
        <v/>
      </c>
      <c r="AG1644" s="21">
        <f>DATE(YEAR(G1644),MONTH(G1644),1)</f>
        <v/>
      </c>
    </row>
    <row r="1645">
      <c r="A1645" t="inlineStr">
        <is>
          <t>SPO-00889-2</t>
        </is>
      </c>
      <c r="B1645" t="inlineStr">
        <is>
          <t>SPO-00889</t>
        </is>
      </c>
      <c r="C1645" t="inlineStr">
        <is>
          <t>SUP-02</t>
        </is>
      </c>
      <c r="D1645" t="inlineStr">
        <is>
          <t>ELEC</t>
        </is>
      </c>
      <c r="E1645" t="inlineStr">
        <is>
          <t>ELEC-06</t>
        </is>
      </c>
      <c r="F1645" s="17" t="n">
        <v>45815</v>
      </c>
      <c r="G1645" s="17" t="n">
        <v>45831</v>
      </c>
      <c r="H1645" s="18" t="n">
        <v>14</v>
      </c>
      <c r="I1645" s="19" t="n">
        <v>144</v>
      </c>
      <c r="J1645" s="19" t="n">
        <v>145</v>
      </c>
      <c r="K1645" s="20" t="n">
        <v>0</v>
      </c>
      <c r="L1645" s="20" t="n">
        <v>0</v>
      </c>
      <c r="M1645" s="18" t="n">
        <v>14</v>
      </c>
      <c r="N1645" s="18" t="n">
        <v>14</v>
      </c>
      <c r="O1645" s="18" t="n">
        <v>0</v>
      </c>
      <c r="P1645" s="17" t="n">
        <v>45830</v>
      </c>
      <c r="Q1645" s="17" t="n">
        <v>45830</v>
      </c>
      <c r="R1645" s="17" t="n">
        <v>45830</v>
      </c>
      <c r="S1645" s="19">
        <f>H1645*I1645</f>
        <v/>
      </c>
      <c r="T1645" s="19">
        <f>H1645*J1645</f>
        <v/>
      </c>
      <c r="U1645">
        <f>IF(AND(K1645=0,G1645&lt;=Assumptions!$C$6),1,0)</f>
        <v/>
      </c>
      <c r="V1645">
        <f>IF(U1645=1,IF(M1645&gt;0,IF(P1645&lt;=G1645+Assumptions!$C$7,1,0),0),0)</f>
        <v/>
      </c>
      <c r="W1645">
        <f>IF(AND(U1645=1,M1645&gt;=H1645*(1-Assumptions!$C$8)),1,0)</f>
        <v/>
      </c>
      <c r="X1645">
        <f>IF(AND(U1645=1,N1645&gt;=H1645*(1-Assumptions!$C$8)),1,0)</f>
        <v/>
      </c>
      <c r="Y1645">
        <f>IF(ISNUMBER(Q1645),1,0)</f>
        <v/>
      </c>
      <c r="Z1645">
        <f>IF(AND(K1645=0,L1645=0,Y1645=0),1,0)</f>
        <v/>
      </c>
      <c r="AA1645">
        <f>IF(AND(Z1645=1,G1645&lt;Assumptions!$C$6),1,0)</f>
        <v/>
      </c>
      <c r="AB1645">
        <f>IF(U1645=0,"",IF(Y1645=1,MAX(0,Q1645-G1645),IF(L1645=1,MAX(0,R1645-G1645),MAX(0,Assumptions!$C$6-G1645))))</f>
        <v/>
      </c>
      <c r="AC1645">
        <f>IF(Y1645=1,Q1645-F1645,"")</f>
        <v/>
      </c>
      <c r="AD1645">
        <f>IF(Y1645=1,AC1645^2,"")</f>
        <v/>
      </c>
      <c r="AE1645" s="19">
        <f>IF(Z1645=1,(H1645-M1645)*I1645,0)</f>
        <v/>
      </c>
      <c r="AF1645">
        <f>IF(G1645&lt;EDATE(Assumptions!$C$6,-12)+1,"prior_12m","last_12m")</f>
        <v/>
      </c>
      <c r="AG1645" s="21">
        <f>DATE(YEAR(G1645),MONTH(G1645),1)</f>
        <v/>
      </c>
    </row>
    <row r="1646">
      <c r="A1646" t="inlineStr">
        <is>
          <t>SPO-00889-3</t>
        </is>
      </c>
      <c r="B1646" t="inlineStr">
        <is>
          <t>SPO-00889</t>
        </is>
      </c>
      <c r="C1646" t="inlineStr">
        <is>
          <t>SUP-02</t>
        </is>
      </c>
      <c r="D1646" t="inlineStr">
        <is>
          <t>ELEC</t>
        </is>
      </c>
      <c r="E1646" t="inlineStr">
        <is>
          <t>ELEC-01</t>
        </is>
      </c>
      <c r="F1646" s="17" t="n">
        <v>45815</v>
      </c>
      <c r="G1646" s="17" t="n">
        <v>45831</v>
      </c>
      <c r="H1646" s="18" t="n">
        <v>59</v>
      </c>
      <c r="I1646" s="19" t="n">
        <v>37.98</v>
      </c>
      <c r="J1646" s="19" t="n">
        <v>38</v>
      </c>
      <c r="K1646" s="20" t="n">
        <v>0</v>
      </c>
      <c r="L1646" s="20" t="n">
        <v>0</v>
      </c>
      <c r="M1646" s="18" t="n">
        <v>59</v>
      </c>
      <c r="N1646" s="18" t="n">
        <v>59</v>
      </c>
      <c r="O1646" s="18" t="n">
        <v>0</v>
      </c>
      <c r="P1646" s="17" t="n">
        <v>45828</v>
      </c>
      <c r="Q1646" s="17" t="n">
        <v>45828</v>
      </c>
      <c r="R1646" s="17" t="n">
        <v>45828</v>
      </c>
      <c r="S1646" s="19">
        <f>H1646*I1646</f>
        <v/>
      </c>
      <c r="T1646" s="19">
        <f>H1646*J1646</f>
        <v/>
      </c>
      <c r="U1646">
        <f>IF(AND(K1646=0,G1646&lt;=Assumptions!$C$6),1,0)</f>
        <v/>
      </c>
      <c r="V1646">
        <f>IF(U1646=1,IF(M1646&gt;0,IF(P1646&lt;=G1646+Assumptions!$C$7,1,0),0),0)</f>
        <v/>
      </c>
      <c r="W1646">
        <f>IF(AND(U1646=1,M1646&gt;=H1646*(1-Assumptions!$C$8)),1,0)</f>
        <v/>
      </c>
      <c r="X1646">
        <f>IF(AND(U1646=1,N1646&gt;=H1646*(1-Assumptions!$C$8)),1,0)</f>
        <v/>
      </c>
      <c r="Y1646">
        <f>IF(ISNUMBER(Q1646),1,0)</f>
        <v/>
      </c>
      <c r="Z1646">
        <f>IF(AND(K1646=0,L1646=0,Y1646=0),1,0)</f>
        <v/>
      </c>
      <c r="AA1646">
        <f>IF(AND(Z1646=1,G1646&lt;Assumptions!$C$6),1,0)</f>
        <v/>
      </c>
      <c r="AB1646">
        <f>IF(U1646=0,"",IF(Y1646=1,MAX(0,Q1646-G1646),IF(L1646=1,MAX(0,R1646-G1646),MAX(0,Assumptions!$C$6-G1646))))</f>
        <v/>
      </c>
      <c r="AC1646">
        <f>IF(Y1646=1,Q1646-F1646,"")</f>
        <v/>
      </c>
      <c r="AD1646">
        <f>IF(Y1646=1,AC1646^2,"")</f>
        <v/>
      </c>
      <c r="AE1646" s="19">
        <f>IF(Z1646=1,(H1646-M1646)*I1646,0)</f>
        <v/>
      </c>
      <c r="AF1646">
        <f>IF(G1646&lt;EDATE(Assumptions!$C$6,-12)+1,"prior_12m","last_12m")</f>
        <v/>
      </c>
      <c r="AG1646" s="21">
        <f>DATE(YEAR(G1646),MONTH(G1646),1)</f>
        <v/>
      </c>
    </row>
    <row r="1647">
      <c r="A1647" t="inlineStr">
        <is>
          <t>SPO-00890-1</t>
        </is>
      </c>
      <c r="B1647" t="inlineStr">
        <is>
          <t>SPO-00890</t>
        </is>
      </c>
      <c r="C1647" t="inlineStr">
        <is>
          <t>SUP-05</t>
        </is>
      </c>
      <c r="D1647" t="inlineStr">
        <is>
          <t>FLEET</t>
        </is>
      </c>
      <c r="E1647" t="inlineStr">
        <is>
          <t>FLEET-01</t>
        </is>
      </c>
      <c r="F1647" s="17" t="n">
        <v>45815</v>
      </c>
      <c r="G1647" s="17" t="n">
        <v>45829</v>
      </c>
      <c r="H1647" s="18" t="n">
        <v>57</v>
      </c>
      <c r="I1647" s="19" t="n">
        <v>71.40000000000001</v>
      </c>
      <c r="J1647" s="19" t="n">
        <v>64</v>
      </c>
      <c r="K1647" s="20" t="n">
        <v>0</v>
      </c>
      <c r="L1647" s="20" t="n">
        <v>0</v>
      </c>
      <c r="M1647" s="18" t="n">
        <v>57</v>
      </c>
      <c r="N1647" s="18" t="n">
        <v>57</v>
      </c>
      <c r="O1647" s="18" t="n">
        <v>0</v>
      </c>
      <c r="P1647" s="17" t="n">
        <v>45829</v>
      </c>
      <c r="Q1647" s="17" t="n">
        <v>45829</v>
      </c>
      <c r="R1647" s="17" t="n">
        <v>45829</v>
      </c>
      <c r="S1647" s="19">
        <f>H1647*I1647</f>
        <v/>
      </c>
      <c r="T1647" s="19">
        <f>H1647*J1647</f>
        <v/>
      </c>
      <c r="U1647">
        <f>IF(AND(K1647=0,G1647&lt;=Assumptions!$C$6),1,0)</f>
        <v/>
      </c>
      <c r="V1647">
        <f>IF(U1647=1,IF(M1647&gt;0,IF(P1647&lt;=G1647+Assumptions!$C$7,1,0),0),0)</f>
        <v/>
      </c>
      <c r="W1647">
        <f>IF(AND(U1647=1,M1647&gt;=H1647*(1-Assumptions!$C$8)),1,0)</f>
        <v/>
      </c>
      <c r="X1647">
        <f>IF(AND(U1647=1,N1647&gt;=H1647*(1-Assumptions!$C$8)),1,0)</f>
        <v/>
      </c>
      <c r="Y1647">
        <f>IF(ISNUMBER(Q1647),1,0)</f>
        <v/>
      </c>
      <c r="Z1647">
        <f>IF(AND(K1647=0,L1647=0,Y1647=0),1,0)</f>
        <v/>
      </c>
      <c r="AA1647">
        <f>IF(AND(Z1647=1,G1647&lt;Assumptions!$C$6),1,0)</f>
        <v/>
      </c>
      <c r="AB1647">
        <f>IF(U1647=0,"",IF(Y1647=1,MAX(0,Q1647-G1647),IF(L1647=1,MAX(0,R1647-G1647),MAX(0,Assumptions!$C$6-G1647))))</f>
        <v/>
      </c>
      <c r="AC1647">
        <f>IF(Y1647=1,Q1647-F1647,"")</f>
        <v/>
      </c>
      <c r="AD1647">
        <f>IF(Y1647=1,AC1647^2,"")</f>
        <v/>
      </c>
      <c r="AE1647" s="19">
        <f>IF(Z1647=1,(H1647-M1647)*I1647,0)</f>
        <v/>
      </c>
      <c r="AF1647">
        <f>IF(G1647&lt;EDATE(Assumptions!$C$6,-12)+1,"prior_12m","last_12m")</f>
        <v/>
      </c>
      <c r="AG1647" s="21">
        <f>DATE(YEAR(G1647),MONTH(G1647),1)</f>
        <v/>
      </c>
    </row>
    <row r="1648">
      <c r="A1648" t="inlineStr">
        <is>
          <t>SPO-00890-2</t>
        </is>
      </c>
      <c r="B1648" t="inlineStr">
        <is>
          <t>SPO-00890</t>
        </is>
      </c>
      <c r="C1648" t="inlineStr">
        <is>
          <t>SUP-05</t>
        </is>
      </c>
      <c r="D1648" t="inlineStr">
        <is>
          <t>FLEET</t>
        </is>
      </c>
      <c r="E1648" t="inlineStr">
        <is>
          <t>FLEET-02</t>
        </is>
      </c>
      <c r="F1648" s="17" t="n">
        <v>45815</v>
      </c>
      <c r="G1648" s="17" t="n">
        <v>45829</v>
      </c>
      <c r="H1648" s="18" t="n">
        <v>99</v>
      </c>
      <c r="I1648" s="19" t="n">
        <v>7.69</v>
      </c>
      <c r="J1648" s="19" t="n">
        <v>7.5</v>
      </c>
      <c r="K1648" s="20" t="n">
        <v>0</v>
      </c>
      <c r="L1648" s="20" t="n">
        <v>0</v>
      </c>
      <c r="M1648" s="18" t="n">
        <v>99</v>
      </c>
      <c r="N1648" s="18" t="n">
        <v>99</v>
      </c>
      <c r="O1648" s="18" t="n">
        <v>0</v>
      </c>
      <c r="P1648" s="17" t="n">
        <v>45828</v>
      </c>
      <c r="Q1648" s="17" t="n">
        <v>45828</v>
      </c>
      <c r="R1648" s="17" t="n">
        <v>45828</v>
      </c>
      <c r="S1648" s="19">
        <f>H1648*I1648</f>
        <v/>
      </c>
      <c r="T1648" s="19">
        <f>H1648*J1648</f>
        <v/>
      </c>
      <c r="U1648">
        <f>IF(AND(K1648=0,G1648&lt;=Assumptions!$C$6),1,0)</f>
        <v/>
      </c>
      <c r="V1648">
        <f>IF(U1648=1,IF(M1648&gt;0,IF(P1648&lt;=G1648+Assumptions!$C$7,1,0),0),0)</f>
        <v/>
      </c>
      <c r="W1648">
        <f>IF(AND(U1648=1,M1648&gt;=H1648*(1-Assumptions!$C$8)),1,0)</f>
        <v/>
      </c>
      <c r="X1648">
        <f>IF(AND(U1648=1,N1648&gt;=H1648*(1-Assumptions!$C$8)),1,0)</f>
        <v/>
      </c>
      <c r="Y1648">
        <f>IF(ISNUMBER(Q1648),1,0)</f>
        <v/>
      </c>
      <c r="Z1648">
        <f>IF(AND(K1648=0,L1648=0,Y1648=0),1,0)</f>
        <v/>
      </c>
      <c r="AA1648">
        <f>IF(AND(Z1648=1,G1648&lt;Assumptions!$C$6),1,0)</f>
        <v/>
      </c>
      <c r="AB1648">
        <f>IF(U1648=0,"",IF(Y1648=1,MAX(0,Q1648-G1648),IF(L1648=1,MAX(0,R1648-G1648),MAX(0,Assumptions!$C$6-G1648))))</f>
        <v/>
      </c>
      <c r="AC1648">
        <f>IF(Y1648=1,Q1648-F1648,"")</f>
        <v/>
      </c>
      <c r="AD1648">
        <f>IF(Y1648=1,AC1648^2,"")</f>
        <v/>
      </c>
      <c r="AE1648" s="19">
        <f>IF(Z1648=1,(H1648-M1648)*I1648,0)</f>
        <v/>
      </c>
      <c r="AF1648">
        <f>IF(G1648&lt;EDATE(Assumptions!$C$6,-12)+1,"prior_12m","last_12m")</f>
        <v/>
      </c>
      <c r="AG1648" s="21">
        <f>DATE(YEAR(G1648),MONTH(G1648),1)</f>
        <v/>
      </c>
    </row>
    <row r="1649">
      <c r="A1649" t="inlineStr">
        <is>
          <t>SPO-00891-1</t>
        </is>
      </c>
      <c r="B1649" t="inlineStr">
        <is>
          <t>SPO-00891</t>
        </is>
      </c>
      <c r="C1649" t="inlineStr">
        <is>
          <t>SUP-04</t>
        </is>
      </c>
      <c r="D1649" t="inlineStr">
        <is>
          <t>FLEET</t>
        </is>
      </c>
      <c r="E1649" t="inlineStr">
        <is>
          <t>FLEET-07</t>
        </is>
      </c>
      <c r="F1649" s="17" t="n">
        <v>45815</v>
      </c>
      <c r="G1649" s="17" t="n">
        <v>45828</v>
      </c>
      <c r="H1649" s="18" t="n">
        <v>20</v>
      </c>
      <c r="I1649" s="19" t="n">
        <v>110.5</v>
      </c>
      <c r="J1649" s="19" t="n">
        <v>118</v>
      </c>
      <c r="K1649" s="20" t="n">
        <v>0</v>
      </c>
      <c r="L1649" s="20" t="n">
        <v>0</v>
      </c>
      <c r="M1649" s="18" t="n">
        <v>20</v>
      </c>
      <c r="N1649" s="18" t="n">
        <v>0</v>
      </c>
      <c r="O1649" s="18" t="n">
        <v>0</v>
      </c>
      <c r="P1649" s="17" t="n">
        <v>45830</v>
      </c>
      <c r="Q1649" s="17" t="n">
        <v>45830</v>
      </c>
      <c r="R1649" s="17" t="n">
        <v>45830</v>
      </c>
      <c r="S1649" s="19">
        <f>H1649*I1649</f>
        <v/>
      </c>
      <c r="T1649" s="19">
        <f>H1649*J1649</f>
        <v/>
      </c>
      <c r="U1649">
        <f>IF(AND(K1649=0,G1649&lt;=Assumptions!$C$6),1,0)</f>
        <v/>
      </c>
      <c r="V1649">
        <f>IF(U1649=1,IF(M1649&gt;0,IF(P1649&lt;=G1649+Assumptions!$C$7,1,0),0),0)</f>
        <v/>
      </c>
      <c r="W1649">
        <f>IF(AND(U1649=1,M1649&gt;=H1649*(1-Assumptions!$C$8)),1,0)</f>
        <v/>
      </c>
      <c r="X1649">
        <f>IF(AND(U1649=1,N1649&gt;=H1649*(1-Assumptions!$C$8)),1,0)</f>
        <v/>
      </c>
      <c r="Y1649">
        <f>IF(ISNUMBER(Q1649),1,0)</f>
        <v/>
      </c>
      <c r="Z1649">
        <f>IF(AND(K1649=0,L1649=0,Y1649=0),1,0)</f>
        <v/>
      </c>
      <c r="AA1649">
        <f>IF(AND(Z1649=1,G1649&lt;Assumptions!$C$6),1,0)</f>
        <v/>
      </c>
      <c r="AB1649">
        <f>IF(U1649=0,"",IF(Y1649=1,MAX(0,Q1649-G1649),IF(L1649=1,MAX(0,R1649-G1649),MAX(0,Assumptions!$C$6-G1649))))</f>
        <v/>
      </c>
      <c r="AC1649">
        <f>IF(Y1649=1,Q1649-F1649,"")</f>
        <v/>
      </c>
      <c r="AD1649">
        <f>IF(Y1649=1,AC1649^2,"")</f>
        <v/>
      </c>
      <c r="AE1649" s="19">
        <f>IF(Z1649=1,(H1649-M1649)*I1649,0)</f>
        <v/>
      </c>
      <c r="AF1649">
        <f>IF(G1649&lt;EDATE(Assumptions!$C$6,-12)+1,"prior_12m","last_12m")</f>
        <v/>
      </c>
      <c r="AG1649" s="21">
        <f>DATE(YEAR(G1649),MONTH(G1649),1)</f>
        <v/>
      </c>
    </row>
    <row r="1650">
      <c r="A1650" t="inlineStr">
        <is>
          <t>SPO-00892-1</t>
        </is>
      </c>
      <c r="B1650" t="inlineStr">
        <is>
          <t>SPO-00892</t>
        </is>
      </c>
      <c r="C1650" t="inlineStr">
        <is>
          <t>SUP-08</t>
        </is>
      </c>
      <c r="D1650" t="inlineStr">
        <is>
          <t>MRO</t>
        </is>
      </c>
      <c r="E1650" t="inlineStr">
        <is>
          <t>MRO-07</t>
        </is>
      </c>
      <c r="F1650" s="17" t="n">
        <v>45815</v>
      </c>
      <c r="G1650" s="17" t="n">
        <v>45826</v>
      </c>
      <c r="H1650" s="18" t="n">
        <v>263</v>
      </c>
      <c r="I1650" s="19" t="n">
        <v>14.04</v>
      </c>
      <c r="J1650" s="19" t="n">
        <v>14</v>
      </c>
      <c r="K1650" s="20" t="n">
        <v>0</v>
      </c>
      <c r="L1650" s="20" t="n">
        <v>0</v>
      </c>
      <c r="M1650" s="18" t="n">
        <v>263</v>
      </c>
      <c r="N1650" s="18" t="n">
        <v>263</v>
      </c>
      <c r="O1650" s="18" t="n">
        <v>0</v>
      </c>
      <c r="P1650" s="17" t="n">
        <v>45824</v>
      </c>
      <c r="Q1650" s="17" t="n">
        <v>45824</v>
      </c>
      <c r="R1650" s="17" t="n">
        <v>45824</v>
      </c>
      <c r="S1650" s="19">
        <f>H1650*I1650</f>
        <v/>
      </c>
      <c r="T1650" s="19">
        <f>H1650*J1650</f>
        <v/>
      </c>
      <c r="U1650">
        <f>IF(AND(K1650=0,G1650&lt;=Assumptions!$C$6),1,0)</f>
        <v/>
      </c>
      <c r="V1650">
        <f>IF(U1650=1,IF(M1650&gt;0,IF(P1650&lt;=G1650+Assumptions!$C$7,1,0),0),0)</f>
        <v/>
      </c>
      <c r="W1650">
        <f>IF(AND(U1650=1,M1650&gt;=H1650*(1-Assumptions!$C$8)),1,0)</f>
        <v/>
      </c>
      <c r="X1650">
        <f>IF(AND(U1650=1,N1650&gt;=H1650*(1-Assumptions!$C$8)),1,0)</f>
        <v/>
      </c>
      <c r="Y1650">
        <f>IF(ISNUMBER(Q1650),1,0)</f>
        <v/>
      </c>
      <c r="Z1650">
        <f>IF(AND(K1650=0,L1650=0,Y1650=0),1,0)</f>
        <v/>
      </c>
      <c r="AA1650">
        <f>IF(AND(Z1650=1,G1650&lt;Assumptions!$C$6),1,0)</f>
        <v/>
      </c>
      <c r="AB1650">
        <f>IF(U1650=0,"",IF(Y1650=1,MAX(0,Q1650-G1650),IF(L1650=1,MAX(0,R1650-G1650),MAX(0,Assumptions!$C$6-G1650))))</f>
        <v/>
      </c>
      <c r="AC1650">
        <f>IF(Y1650=1,Q1650-F1650,"")</f>
        <v/>
      </c>
      <c r="AD1650">
        <f>IF(Y1650=1,AC1650^2,"")</f>
        <v/>
      </c>
      <c r="AE1650" s="19">
        <f>IF(Z1650=1,(H1650-M1650)*I1650,0)</f>
        <v/>
      </c>
      <c r="AF1650">
        <f>IF(G1650&lt;EDATE(Assumptions!$C$6,-12)+1,"prior_12m","last_12m")</f>
        <v/>
      </c>
      <c r="AG1650" s="21">
        <f>DATE(YEAR(G1650),MONTH(G1650),1)</f>
        <v/>
      </c>
    </row>
    <row r="1651">
      <c r="A1651" t="inlineStr">
        <is>
          <t>SPO-00892-2</t>
        </is>
      </c>
      <c r="B1651" t="inlineStr">
        <is>
          <t>SPO-00892</t>
        </is>
      </c>
      <c r="C1651" t="inlineStr">
        <is>
          <t>SUP-08</t>
        </is>
      </c>
      <c r="D1651" t="inlineStr">
        <is>
          <t>MRO</t>
        </is>
      </c>
      <c r="E1651" t="inlineStr">
        <is>
          <t>MRO-03</t>
        </is>
      </c>
      <c r="F1651" s="17" t="n">
        <v>45815</v>
      </c>
      <c r="G1651" s="17" t="n">
        <v>45826</v>
      </c>
      <c r="H1651" s="18" t="n">
        <v>235</v>
      </c>
      <c r="I1651" s="19" t="n">
        <v>8.77</v>
      </c>
      <c r="J1651" s="19" t="n">
        <v>8.9</v>
      </c>
      <c r="K1651" s="20" t="n">
        <v>0</v>
      </c>
      <c r="L1651" s="20" t="n">
        <v>0</v>
      </c>
      <c r="M1651" s="18" t="n">
        <v>235</v>
      </c>
      <c r="N1651" s="18" t="n">
        <v>235</v>
      </c>
      <c r="O1651" s="18" t="n">
        <v>0</v>
      </c>
      <c r="P1651" s="17" t="n">
        <v>45826</v>
      </c>
      <c r="Q1651" s="17" t="n">
        <v>45826</v>
      </c>
      <c r="R1651" s="17" t="n">
        <v>45826</v>
      </c>
      <c r="S1651" s="19">
        <f>H1651*I1651</f>
        <v/>
      </c>
      <c r="T1651" s="19">
        <f>H1651*J1651</f>
        <v/>
      </c>
      <c r="U1651">
        <f>IF(AND(K1651=0,G1651&lt;=Assumptions!$C$6),1,0)</f>
        <v/>
      </c>
      <c r="V1651">
        <f>IF(U1651=1,IF(M1651&gt;0,IF(P1651&lt;=G1651+Assumptions!$C$7,1,0),0),0)</f>
        <v/>
      </c>
      <c r="W1651">
        <f>IF(AND(U1651=1,M1651&gt;=H1651*(1-Assumptions!$C$8)),1,0)</f>
        <v/>
      </c>
      <c r="X1651">
        <f>IF(AND(U1651=1,N1651&gt;=H1651*(1-Assumptions!$C$8)),1,0)</f>
        <v/>
      </c>
      <c r="Y1651">
        <f>IF(ISNUMBER(Q1651),1,0)</f>
        <v/>
      </c>
      <c r="Z1651">
        <f>IF(AND(K1651=0,L1651=0,Y1651=0),1,0)</f>
        <v/>
      </c>
      <c r="AA1651">
        <f>IF(AND(Z1651=1,G1651&lt;Assumptions!$C$6),1,0)</f>
        <v/>
      </c>
      <c r="AB1651">
        <f>IF(U1651=0,"",IF(Y1651=1,MAX(0,Q1651-G1651),IF(L1651=1,MAX(0,R1651-G1651),MAX(0,Assumptions!$C$6-G1651))))</f>
        <v/>
      </c>
      <c r="AC1651">
        <f>IF(Y1651=1,Q1651-F1651,"")</f>
        <v/>
      </c>
      <c r="AD1651">
        <f>IF(Y1651=1,AC1651^2,"")</f>
        <v/>
      </c>
      <c r="AE1651" s="19">
        <f>IF(Z1651=1,(H1651-M1651)*I1651,0)</f>
        <v/>
      </c>
      <c r="AF1651">
        <f>IF(G1651&lt;EDATE(Assumptions!$C$6,-12)+1,"prior_12m","last_12m")</f>
        <v/>
      </c>
      <c r="AG1651" s="21">
        <f>DATE(YEAR(G1651),MONTH(G1651),1)</f>
        <v/>
      </c>
    </row>
    <row r="1652">
      <c r="A1652" t="inlineStr">
        <is>
          <t>SPO-00892-3</t>
        </is>
      </c>
      <c r="B1652" t="inlineStr">
        <is>
          <t>SPO-00892</t>
        </is>
      </c>
      <c r="C1652" t="inlineStr">
        <is>
          <t>SUP-08</t>
        </is>
      </c>
      <c r="D1652" t="inlineStr">
        <is>
          <t>MRO</t>
        </is>
      </c>
      <c r="E1652" t="inlineStr">
        <is>
          <t>MRO-05</t>
        </is>
      </c>
      <c r="F1652" s="17" t="n">
        <v>45815</v>
      </c>
      <c r="G1652" s="17" t="n">
        <v>45826</v>
      </c>
      <c r="H1652" s="18" t="n">
        <v>49</v>
      </c>
      <c r="I1652" s="19" t="n">
        <v>35.89</v>
      </c>
      <c r="J1652" s="19" t="n">
        <v>36</v>
      </c>
      <c r="K1652" s="20" t="n">
        <v>0</v>
      </c>
      <c r="L1652" s="20" t="n">
        <v>0</v>
      </c>
      <c r="M1652" s="18" t="n">
        <v>49</v>
      </c>
      <c r="N1652" s="18" t="n">
        <v>49</v>
      </c>
      <c r="O1652" s="18" t="n">
        <v>0</v>
      </c>
      <c r="P1652" s="17" t="n">
        <v>45821</v>
      </c>
      <c r="Q1652" s="17" t="n">
        <v>45821</v>
      </c>
      <c r="R1652" s="17" t="n">
        <v>45821</v>
      </c>
      <c r="S1652" s="19">
        <f>H1652*I1652</f>
        <v/>
      </c>
      <c r="T1652" s="19">
        <f>H1652*J1652</f>
        <v/>
      </c>
      <c r="U1652">
        <f>IF(AND(K1652=0,G1652&lt;=Assumptions!$C$6),1,0)</f>
        <v/>
      </c>
      <c r="V1652">
        <f>IF(U1652=1,IF(M1652&gt;0,IF(P1652&lt;=G1652+Assumptions!$C$7,1,0),0),0)</f>
        <v/>
      </c>
      <c r="W1652">
        <f>IF(AND(U1652=1,M1652&gt;=H1652*(1-Assumptions!$C$8)),1,0)</f>
        <v/>
      </c>
      <c r="X1652">
        <f>IF(AND(U1652=1,N1652&gt;=H1652*(1-Assumptions!$C$8)),1,0)</f>
        <v/>
      </c>
      <c r="Y1652">
        <f>IF(ISNUMBER(Q1652),1,0)</f>
        <v/>
      </c>
      <c r="Z1652">
        <f>IF(AND(K1652=0,L1652=0,Y1652=0),1,0)</f>
        <v/>
      </c>
      <c r="AA1652">
        <f>IF(AND(Z1652=1,G1652&lt;Assumptions!$C$6),1,0)</f>
        <v/>
      </c>
      <c r="AB1652">
        <f>IF(U1652=0,"",IF(Y1652=1,MAX(0,Q1652-G1652),IF(L1652=1,MAX(0,R1652-G1652),MAX(0,Assumptions!$C$6-G1652))))</f>
        <v/>
      </c>
      <c r="AC1652">
        <f>IF(Y1652=1,Q1652-F1652,"")</f>
        <v/>
      </c>
      <c r="AD1652">
        <f>IF(Y1652=1,AC1652^2,"")</f>
        <v/>
      </c>
      <c r="AE1652" s="19">
        <f>IF(Z1652=1,(H1652-M1652)*I1652,0)</f>
        <v/>
      </c>
      <c r="AF1652">
        <f>IF(G1652&lt;EDATE(Assumptions!$C$6,-12)+1,"prior_12m","last_12m")</f>
        <v/>
      </c>
      <c r="AG1652" s="21">
        <f>DATE(YEAR(G1652),MONTH(G1652),1)</f>
        <v/>
      </c>
    </row>
    <row r="1653">
      <c r="A1653" t="inlineStr">
        <is>
          <t>SPO-00893-1</t>
        </is>
      </c>
      <c r="B1653" t="inlineStr">
        <is>
          <t>SPO-00893</t>
        </is>
      </c>
      <c r="C1653" t="inlineStr">
        <is>
          <t>SUP-08</t>
        </is>
      </c>
      <c r="D1653" t="inlineStr">
        <is>
          <t>PPE</t>
        </is>
      </c>
      <c r="E1653" t="inlineStr">
        <is>
          <t>PPE-06</t>
        </is>
      </c>
      <c r="F1653" s="17" t="n">
        <v>45815</v>
      </c>
      <c r="G1653" s="17" t="n">
        <v>45826</v>
      </c>
      <c r="H1653" s="18" t="n">
        <v>12</v>
      </c>
      <c r="I1653" s="19" t="n">
        <v>117.1</v>
      </c>
      <c r="J1653" s="19" t="n">
        <v>115</v>
      </c>
      <c r="K1653" s="20" t="n">
        <v>0</v>
      </c>
      <c r="L1653" s="20" t="n">
        <v>0</v>
      </c>
      <c r="M1653" s="18" t="n">
        <v>12</v>
      </c>
      <c r="N1653" s="18" t="n">
        <v>12</v>
      </c>
      <c r="O1653" s="18" t="n">
        <v>0</v>
      </c>
      <c r="P1653" s="17" t="n">
        <v>45821</v>
      </c>
      <c r="Q1653" s="17" t="n">
        <v>45821</v>
      </c>
      <c r="R1653" s="17" t="n">
        <v>45821</v>
      </c>
      <c r="S1653" s="19">
        <f>H1653*I1653</f>
        <v/>
      </c>
      <c r="T1653" s="19">
        <f>H1653*J1653</f>
        <v/>
      </c>
      <c r="U1653">
        <f>IF(AND(K1653=0,G1653&lt;=Assumptions!$C$6),1,0)</f>
        <v/>
      </c>
      <c r="V1653">
        <f>IF(U1653=1,IF(M1653&gt;0,IF(P1653&lt;=G1653+Assumptions!$C$7,1,0),0),0)</f>
        <v/>
      </c>
      <c r="W1653">
        <f>IF(AND(U1653=1,M1653&gt;=H1653*(1-Assumptions!$C$8)),1,0)</f>
        <v/>
      </c>
      <c r="X1653">
        <f>IF(AND(U1653=1,N1653&gt;=H1653*(1-Assumptions!$C$8)),1,0)</f>
        <v/>
      </c>
      <c r="Y1653">
        <f>IF(ISNUMBER(Q1653),1,0)</f>
        <v/>
      </c>
      <c r="Z1653">
        <f>IF(AND(K1653=0,L1653=0,Y1653=0),1,0)</f>
        <v/>
      </c>
      <c r="AA1653">
        <f>IF(AND(Z1653=1,G1653&lt;Assumptions!$C$6),1,0)</f>
        <v/>
      </c>
      <c r="AB1653">
        <f>IF(U1653=0,"",IF(Y1653=1,MAX(0,Q1653-G1653),IF(L1653=1,MAX(0,R1653-G1653),MAX(0,Assumptions!$C$6-G1653))))</f>
        <v/>
      </c>
      <c r="AC1653">
        <f>IF(Y1653=1,Q1653-F1653,"")</f>
        <v/>
      </c>
      <c r="AD1653">
        <f>IF(Y1653=1,AC1653^2,"")</f>
        <v/>
      </c>
      <c r="AE1653" s="19">
        <f>IF(Z1653=1,(H1653-M1653)*I1653,0)</f>
        <v/>
      </c>
      <c r="AF1653">
        <f>IF(G1653&lt;EDATE(Assumptions!$C$6,-12)+1,"prior_12m","last_12m")</f>
        <v/>
      </c>
      <c r="AG1653" s="21">
        <f>DATE(YEAR(G1653),MONTH(G1653),1)</f>
        <v/>
      </c>
    </row>
    <row r="1654">
      <c r="A1654" t="inlineStr">
        <is>
          <t>SPO-00894-1</t>
        </is>
      </c>
      <c r="B1654" t="inlineStr">
        <is>
          <t>SPO-00894</t>
        </is>
      </c>
      <c r="C1654" t="inlineStr">
        <is>
          <t>SUP-01</t>
        </is>
      </c>
      <c r="D1654" t="inlineStr">
        <is>
          <t>ELEC</t>
        </is>
      </c>
      <c r="E1654" t="inlineStr">
        <is>
          <t>ELEC-04</t>
        </is>
      </c>
      <c r="F1654" s="17" t="n">
        <v>45815</v>
      </c>
      <c r="G1654" s="17" t="n">
        <v>45833</v>
      </c>
      <c r="H1654" s="18" t="n">
        <v>21</v>
      </c>
      <c r="I1654" s="19" t="n">
        <v>76.28</v>
      </c>
      <c r="J1654" s="19" t="n">
        <v>72</v>
      </c>
      <c r="K1654" s="20" t="n">
        <v>0</v>
      </c>
      <c r="L1654" s="20" t="n">
        <v>0</v>
      </c>
      <c r="M1654" s="18" t="n">
        <v>21</v>
      </c>
      <c r="N1654" s="18" t="n">
        <v>21</v>
      </c>
      <c r="O1654" s="18" t="n">
        <v>0</v>
      </c>
      <c r="P1654" s="17" t="n">
        <v>45829</v>
      </c>
      <c r="Q1654" s="17" t="n">
        <v>45829</v>
      </c>
      <c r="R1654" s="17" t="n">
        <v>45829</v>
      </c>
      <c r="S1654" s="19">
        <f>H1654*I1654</f>
        <v/>
      </c>
      <c r="T1654" s="19">
        <f>H1654*J1654</f>
        <v/>
      </c>
      <c r="U1654">
        <f>IF(AND(K1654=0,G1654&lt;=Assumptions!$C$6),1,0)</f>
        <v/>
      </c>
      <c r="V1654">
        <f>IF(U1654=1,IF(M1654&gt;0,IF(P1654&lt;=G1654+Assumptions!$C$7,1,0),0),0)</f>
        <v/>
      </c>
      <c r="W1654">
        <f>IF(AND(U1654=1,M1654&gt;=H1654*(1-Assumptions!$C$8)),1,0)</f>
        <v/>
      </c>
      <c r="X1654">
        <f>IF(AND(U1654=1,N1654&gt;=H1654*(1-Assumptions!$C$8)),1,0)</f>
        <v/>
      </c>
      <c r="Y1654">
        <f>IF(ISNUMBER(Q1654),1,0)</f>
        <v/>
      </c>
      <c r="Z1654">
        <f>IF(AND(K1654=0,L1654=0,Y1654=0),1,0)</f>
        <v/>
      </c>
      <c r="AA1654">
        <f>IF(AND(Z1654=1,G1654&lt;Assumptions!$C$6),1,0)</f>
        <v/>
      </c>
      <c r="AB1654">
        <f>IF(U1654=0,"",IF(Y1654=1,MAX(0,Q1654-G1654),IF(L1654=1,MAX(0,R1654-G1654),MAX(0,Assumptions!$C$6-G1654))))</f>
        <v/>
      </c>
      <c r="AC1654">
        <f>IF(Y1654=1,Q1654-F1654,"")</f>
        <v/>
      </c>
      <c r="AD1654">
        <f>IF(Y1654=1,AC1654^2,"")</f>
        <v/>
      </c>
      <c r="AE1654" s="19">
        <f>IF(Z1654=1,(H1654-M1654)*I1654,0)</f>
        <v/>
      </c>
      <c r="AF1654">
        <f>IF(G1654&lt;EDATE(Assumptions!$C$6,-12)+1,"prior_12m","last_12m")</f>
        <v/>
      </c>
      <c r="AG1654" s="21">
        <f>DATE(YEAR(G1654),MONTH(G1654),1)</f>
        <v/>
      </c>
    </row>
    <row r="1655">
      <c r="A1655" t="inlineStr">
        <is>
          <t>SPO-00894-2</t>
        </is>
      </c>
      <c r="B1655" t="inlineStr">
        <is>
          <t>SPO-00894</t>
        </is>
      </c>
      <c r="C1655" t="inlineStr">
        <is>
          <t>SUP-01</t>
        </is>
      </c>
      <c r="D1655" t="inlineStr">
        <is>
          <t>ELEC</t>
        </is>
      </c>
      <c r="E1655" t="inlineStr">
        <is>
          <t>ELEC-02</t>
        </is>
      </c>
      <c r="F1655" s="17" t="n">
        <v>45815</v>
      </c>
      <c r="G1655" s="17" t="n">
        <v>45833</v>
      </c>
      <c r="H1655" s="18" t="n">
        <v>352</v>
      </c>
      <c r="I1655" s="19" t="n">
        <v>4.19</v>
      </c>
      <c r="J1655" s="19" t="n">
        <v>4.2</v>
      </c>
      <c r="K1655" s="20" t="n">
        <v>0</v>
      </c>
      <c r="L1655" s="20" t="n">
        <v>0</v>
      </c>
      <c r="M1655" s="18" t="n">
        <v>352</v>
      </c>
      <c r="N1655" s="18" t="n">
        <v>352</v>
      </c>
      <c r="O1655" s="18" t="n">
        <v>0</v>
      </c>
      <c r="P1655" s="17" t="n">
        <v>45831</v>
      </c>
      <c r="Q1655" s="17" t="n">
        <v>45831</v>
      </c>
      <c r="R1655" s="17" t="n">
        <v>45831</v>
      </c>
      <c r="S1655" s="19">
        <f>H1655*I1655</f>
        <v/>
      </c>
      <c r="T1655" s="19">
        <f>H1655*J1655</f>
        <v/>
      </c>
      <c r="U1655">
        <f>IF(AND(K1655=0,G1655&lt;=Assumptions!$C$6),1,0)</f>
        <v/>
      </c>
      <c r="V1655">
        <f>IF(U1655=1,IF(M1655&gt;0,IF(P1655&lt;=G1655+Assumptions!$C$7,1,0),0),0)</f>
        <v/>
      </c>
      <c r="W1655">
        <f>IF(AND(U1655=1,M1655&gt;=H1655*(1-Assumptions!$C$8)),1,0)</f>
        <v/>
      </c>
      <c r="X1655">
        <f>IF(AND(U1655=1,N1655&gt;=H1655*(1-Assumptions!$C$8)),1,0)</f>
        <v/>
      </c>
      <c r="Y1655">
        <f>IF(ISNUMBER(Q1655),1,0)</f>
        <v/>
      </c>
      <c r="Z1655">
        <f>IF(AND(K1655=0,L1655=0,Y1655=0),1,0)</f>
        <v/>
      </c>
      <c r="AA1655">
        <f>IF(AND(Z1655=1,G1655&lt;Assumptions!$C$6),1,0)</f>
        <v/>
      </c>
      <c r="AB1655">
        <f>IF(U1655=0,"",IF(Y1655=1,MAX(0,Q1655-G1655),IF(L1655=1,MAX(0,R1655-G1655),MAX(0,Assumptions!$C$6-G1655))))</f>
        <v/>
      </c>
      <c r="AC1655">
        <f>IF(Y1655=1,Q1655-F1655,"")</f>
        <v/>
      </c>
      <c r="AD1655">
        <f>IF(Y1655=1,AC1655^2,"")</f>
        <v/>
      </c>
      <c r="AE1655" s="19">
        <f>IF(Z1655=1,(H1655-M1655)*I1655,0)</f>
        <v/>
      </c>
      <c r="AF1655">
        <f>IF(G1655&lt;EDATE(Assumptions!$C$6,-12)+1,"prior_12m","last_12m")</f>
        <v/>
      </c>
      <c r="AG1655" s="21">
        <f>DATE(YEAR(G1655),MONTH(G1655),1)</f>
        <v/>
      </c>
    </row>
    <row r="1656">
      <c r="A1656" t="inlineStr">
        <is>
          <t>SPO-00895-1</t>
        </is>
      </c>
      <c r="B1656" t="inlineStr">
        <is>
          <t>SPO-00895</t>
        </is>
      </c>
      <c r="C1656" t="inlineStr">
        <is>
          <t>SUP-01</t>
        </is>
      </c>
      <c r="D1656" t="inlineStr">
        <is>
          <t>ELEC</t>
        </is>
      </c>
      <c r="E1656" t="inlineStr">
        <is>
          <t>ELEC-04</t>
        </is>
      </c>
      <c r="F1656" s="17" t="n">
        <v>45815</v>
      </c>
      <c r="G1656" s="17" t="n">
        <v>45833</v>
      </c>
      <c r="H1656" s="18" t="n">
        <v>32</v>
      </c>
      <c r="I1656" s="19" t="n">
        <v>74.70999999999999</v>
      </c>
      <c r="J1656" s="19" t="n">
        <v>72</v>
      </c>
      <c r="K1656" s="20" t="n">
        <v>0</v>
      </c>
      <c r="L1656" s="20" t="n">
        <v>0</v>
      </c>
      <c r="M1656" s="18" t="n">
        <v>32</v>
      </c>
      <c r="N1656" s="18" t="n">
        <v>32</v>
      </c>
      <c r="O1656" s="18" t="n">
        <v>0</v>
      </c>
      <c r="P1656" s="17" t="n">
        <v>45828</v>
      </c>
      <c r="Q1656" s="17" t="n">
        <v>45828</v>
      </c>
      <c r="R1656" s="17" t="n">
        <v>45828</v>
      </c>
      <c r="S1656" s="19">
        <f>H1656*I1656</f>
        <v/>
      </c>
      <c r="T1656" s="19">
        <f>H1656*J1656</f>
        <v/>
      </c>
      <c r="U1656">
        <f>IF(AND(K1656=0,G1656&lt;=Assumptions!$C$6),1,0)</f>
        <v/>
      </c>
      <c r="V1656">
        <f>IF(U1656=1,IF(M1656&gt;0,IF(P1656&lt;=G1656+Assumptions!$C$7,1,0),0),0)</f>
        <v/>
      </c>
      <c r="W1656">
        <f>IF(AND(U1656=1,M1656&gt;=H1656*(1-Assumptions!$C$8)),1,0)</f>
        <v/>
      </c>
      <c r="X1656">
        <f>IF(AND(U1656=1,N1656&gt;=H1656*(1-Assumptions!$C$8)),1,0)</f>
        <v/>
      </c>
      <c r="Y1656">
        <f>IF(ISNUMBER(Q1656),1,0)</f>
        <v/>
      </c>
      <c r="Z1656">
        <f>IF(AND(K1656=0,L1656=0,Y1656=0),1,0)</f>
        <v/>
      </c>
      <c r="AA1656">
        <f>IF(AND(Z1656=1,G1656&lt;Assumptions!$C$6),1,0)</f>
        <v/>
      </c>
      <c r="AB1656">
        <f>IF(U1656=0,"",IF(Y1656=1,MAX(0,Q1656-G1656),IF(L1656=1,MAX(0,R1656-G1656),MAX(0,Assumptions!$C$6-G1656))))</f>
        <v/>
      </c>
      <c r="AC1656">
        <f>IF(Y1656=1,Q1656-F1656,"")</f>
        <v/>
      </c>
      <c r="AD1656">
        <f>IF(Y1656=1,AC1656^2,"")</f>
        <v/>
      </c>
      <c r="AE1656" s="19">
        <f>IF(Z1656=1,(H1656-M1656)*I1656,0)</f>
        <v/>
      </c>
      <c r="AF1656">
        <f>IF(G1656&lt;EDATE(Assumptions!$C$6,-12)+1,"prior_12m","last_12m")</f>
        <v/>
      </c>
      <c r="AG1656" s="21">
        <f>DATE(YEAR(G1656),MONTH(G1656),1)</f>
        <v/>
      </c>
    </row>
    <row r="1657">
      <c r="A1657" t="inlineStr">
        <is>
          <t>SPO-00895-2</t>
        </is>
      </c>
      <c r="B1657" t="inlineStr">
        <is>
          <t>SPO-00895</t>
        </is>
      </c>
      <c r="C1657" t="inlineStr">
        <is>
          <t>SUP-01</t>
        </is>
      </c>
      <c r="D1657" t="inlineStr">
        <is>
          <t>ELEC</t>
        </is>
      </c>
      <c r="E1657" t="inlineStr">
        <is>
          <t>ELEC-01</t>
        </is>
      </c>
      <c r="F1657" s="17" t="n">
        <v>45815</v>
      </c>
      <c r="G1657" s="17" t="n">
        <v>45833</v>
      </c>
      <c r="H1657" s="18" t="n">
        <v>46</v>
      </c>
      <c r="I1657" s="19" t="n">
        <v>38.69</v>
      </c>
      <c r="J1657" s="19" t="n">
        <v>38</v>
      </c>
      <c r="K1657" s="20" t="n">
        <v>0</v>
      </c>
      <c r="L1657" s="20" t="n">
        <v>0</v>
      </c>
      <c r="M1657" s="18" t="n">
        <v>46</v>
      </c>
      <c r="N1657" s="18" t="n">
        <v>46</v>
      </c>
      <c r="O1657" s="18" t="n">
        <v>0</v>
      </c>
      <c r="P1657" s="17" t="n">
        <v>45832</v>
      </c>
      <c r="Q1657" s="17" t="n">
        <v>45832</v>
      </c>
      <c r="R1657" s="17" t="n">
        <v>45832</v>
      </c>
      <c r="S1657" s="19">
        <f>H1657*I1657</f>
        <v/>
      </c>
      <c r="T1657" s="19">
        <f>H1657*J1657</f>
        <v/>
      </c>
      <c r="U1657">
        <f>IF(AND(K1657=0,G1657&lt;=Assumptions!$C$6),1,0)</f>
        <v/>
      </c>
      <c r="V1657">
        <f>IF(U1657=1,IF(M1657&gt;0,IF(P1657&lt;=G1657+Assumptions!$C$7,1,0),0),0)</f>
        <v/>
      </c>
      <c r="W1657">
        <f>IF(AND(U1657=1,M1657&gt;=H1657*(1-Assumptions!$C$8)),1,0)</f>
        <v/>
      </c>
      <c r="X1657">
        <f>IF(AND(U1657=1,N1657&gt;=H1657*(1-Assumptions!$C$8)),1,0)</f>
        <v/>
      </c>
      <c r="Y1657">
        <f>IF(ISNUMBER(Q1657),1,0)</f>
        <v/>
      </c>
      <c r="Z1657">
        <f>IF(AND(K1657=0,L1657=0,Y1657=0),1,0)</f>
        <v/>
      </c>
      <c r="AA1657">
        <f>IF(AND(Z1657=1,G1657&lt;Assumptions!$C$6),1,0)</f>
        <v/>
      </c>
      <c r="AB1657">
        <f>IF(U1657=0,"",IF(Y1657=1,MAX(0,Q1657-G1657),IF(L1657=1,MAX(0,R1657-G1657),MAX(0,Assumptions!$C$6-G1657))))</f>
        <v/>
      </c>
      <c r="AC1657">
        <f>IF(Y1657=1,Q1657-F1657,"")</f>
        <v/>
      </c>
      <c r="AD1657">
        <f>IF(Y1657=1,AC1657^2,"")</f>
        <v/>
      </c>
      <c r="AE1657" s="19">
        <f>IF(Z1657=1,(H1657-M1657)*I1657,0)</f>
        <v/>
      </c>
      <c r="AF1657">
        <f>IF(G1657&lt;EDATE(Assumptions!$C$6,-12)+1,"prior_12m","last_12m")</f>
        <v/>
      </c>
      <c r="AG1657" s="21">
        <f>DATE(YEAR(G1657),MONTH(G1657),1)</f>
        <v/>
      </c>
    </row>
    <row r="1658">
      <c r="A1658" t="inlineStr">
        <is>
          <t>SPO-00895-3</t>
        </is>
      </c>
      <c r="B1658" t="inlineStr">
        <is>
          <t>SPO-00895</t>
        </is>
      </c>
      <c r="C1658" t="inlineStr">
        <is>
          <t>SUP-01</t>
        </is>
      </c>
      <c r="D1658" t="inlineStr">
        <is>
          <t>ELEC</t>
        </is>
      </c>
      <c r="E1658" t="inlineStr">
        <is>
          <t>ELEC-08</t>
        </is>
      </c>
      <c r="F1658" s="17" t="n">
        <v>45815</v>
      </c>
      <c r="G1658" s="17" t="n">
        <v>45833</v>
      </c>
      <c r="H1658" s="18" t="n">
        <v>73</v>
      </c>
      <c r="I1658" s="19" t="n">
        <v>18.02</v>
      </c>
      <c r="J1658" s="19" t="n">
        <v>18</v>
      </c>
      <c r="K1658" s="20" t="n">
        <v>0</v>
      </c>
      <c r="L1658" s="20" t="n">
        <v>0</v>
      </c>
      <c r="M1658" s="18" t="n">
        <v>73</v>
      </c>
      <c r="N1658" s="18" t="n">
        <v>73</v>
      </c>
      <c r="O1658" s="18" t="n">
        <v>11</v>
      </c>
      <c r="P1658" s="17" t="n">
        <v>45830</v>
      </c>
      <c r="Q1658" s="17" t="n">
        <v>45830</v>
      </c>
      <c r="R1658" s="17" t="n">
        <v>45830</v>
      </c>
      <c r="S1658" s="19">
        <f>H1658*I1658</f>
        <v/>
      </c>
      <c r="T1658" s="19">
        <f>H1658*J1658</f>
        <v/>
      </c>
      <c r="U1658">
        <f>IF(AND(K1658=0,G1658&lt;=Assumptions!$C$6),1,0)</f>
        <v/>
      </c>
      <c r="V1658">
        <f>IF(U1658=1,IF(M1658&gt;0,IF(P1658&lt;=G1658+Assumptions!$C$7,1,0),0),0)</f>
        <v/>
      </c>
      <c r="W1658">
        <f>IF(AND(U1658=1,M1658&gt;=H1658*(1-Assumptions!$C$8)),1,0)</f>
        <v/>
      </c>
      <c r="X1658">
        <f>IF(AND(U1658=1,N1658&gt;=H1658*(1-Assumptions!$C$8)),1,0)</f>
        <v/>
      </c>
      <c r="Y1658">
        <f>IF(ISNUMBER(Q1658),1,0)</f>
        <v/>
      </c>
      <c r="Z1658">
        <f>IF(AND(K1658=0,L1658=0,Y1658=0),1,0)</f>
        <v/>
      </c>
      <c r="AA1658">
        <f>IF(AND(Z1658=1,G1658&lt;Assumptions!$C$6),1,0)</f>
        <v/>
      </c>
      <c r="AB1658">
        <f>IF(U1658=0,"",IF(Y1658=1,MAX(0,Q1658-G1658),IF(L1658=1,MAX(0,R1658-G1658),MAX(0,Assumptions!$C$6-G1658))))</f>
        <v/>
      </c>
      <c r="AC1658">
        <f>IF(Y1658=1,Q1658-F1658,"")</f>
        <v/>
      </c>
      <c r="AD1658">
        <f>IF(Y1658=1,AC1658^2,"")</f>
        <v/>
      </c>
      <c r="AE1658" s="19">
        <f>IF(Z1658=1,(H1658-M1658)*I1658,0)</f>
        <v/>
      </c>
      <c r="AF1658">
        <f>IF(G1658&lt;EDATE(Assumptions!$C$6,-12)+1,"prior_12m","last_12m")</f>
        <v/>
      </c>
      <c r="AG1658" s="21">
        <f>DATE(YEAR(G1658),MONTH(G1658),1)</f>
        <v/>
      </c>
    </row>
    <row r="1659">
      <c r="A1659" t="inlineStr">
        <is>
          <t>SPO-00896-1</t>
        </is>
      </c>
      <c r="B1659" t="inlineStr">
        <is>
          <t>SPO-00896</t>
        </is>
      </c>
      <c r="C1659" t="inlineStr">
        <is>
          <t>SUP-05</t>
        </is>
      </c>
      <c r="D1659" t="inlineStr">
        <is>
          <t>FLEET</t>
        </is>
      </c>
      <c r="E1659" t="inlineStr">
        <is>
          <t>FLEET-02</t>
        </is>
      </c>
      <c r="F1659" s="17" t="n">
        <v>45816</v>
      </c>
      <c r="G1659" s="17" t="n">
        <v>45830</v>
      </c>
      <c r="H1659" s="18" t="n">
        <v>180</v>
      </c>
      <c r="I1659" s="19" t="n">
        <v>7.45</v>
      </c>
      <c r="J1659" s="19" t="n">
        <v>7.5</v>
      </c>
      <c r="K1659" s="20" t="n">
        <v>0</v>
      </c>
      <c r="L1659" s="20" t="n">
        <v>0</v>
      </c>
      <c r="M1659" s="18" t="n">
        <v>180</v>
      </c>
      <c r="N1659" s="18" t="n">
        <v>180</v>
      </c>
      <c r="O1659" s="18" t="n">
        <v>0</v>
      </c>
      <c r="P1659" s="17" t="n">
        <v>45827</v>
      </c>
      <c r="Q1659" s="17" t="n">
        <v>45827</v>
      </c>
      <c r="R1659" s="17" t="n">
        <v>45827</v>
      </c>
      <c r="S1659" s="19">
        <f>H1659*I1659</f>
        <v/>
      </c>
      <c r="T1659" s="19">
        <f>H1659*J1659</f>
        <v/>
      </c>
      <c r="U1659">
        <f>IF(AND(K1659=0,G1659&lt;=Assumptions!$C$6),1,0)</f>
        <v/>
      </c>
      <c r="V1659">
        <f>IF(U1659=1,IF(M1659&gt;0,IF(P1659&lt;=G1659+Assumptions!$C$7,1,0),0),0)</f>
        <v/>
      </c>
      <c r="W1659">
        <f>IF(AND(U1659=1,M1659&gt;=H1659*(1-Assumptions!$C$8)),1,0)</f>
        <v/>
      </c>
      <c r="X1659">
        <f>IF(AND(U1659=1,N1659&gt;=H1659*(1-Assumptions!$C$8)),1,0)</f>
        <v/>
      </c>
      <c r="Y1659">
        <f>IF(ISNUMBER(Q1659),1,0)</f>
        <v/>
      </c>
      <c r="Z1659">
        <f>IF(AND(K1659=0,L1659=0,Y1659=0),1,0)</f>
        <v/>
      </c>
      <c r="AA1659">
        <f>IF(AND(Z1659=1,G1659&lt;Assumptions!$C$6),1,0)</f>
        <v/>
      </c>
      <c r="AB1659">
        <f>IF(U1659=0,"",IF(Y1659=1,MAX(0,Q1659-G1659),IF(L1659=1,MAX(0,R1659-G1659),MAX(0,Assumptions!$C$6-G1659))))</f>
        <v/>
      </c>
      <c r="AC1659">
        <f>IF(Y1659=1,Q1659-F1659,"")</f>
        <v/>
      </c>
      <c r="AD1659">
        <f>IF(Y1659=1,AC1659^2,"")</f>
        <v/>
      </c>
      <c r="AE1659" s="19">
        <f>IF(Z1659=1,(H1659-M1659)*I1659,0)</f>
        <v/>
      </c>
      <c r="AF1659">
        <f>IF(G1659&lt;EDATE(Assumptions!$C$6,-12)+1,"prior_12m","last_12m")</f>
        <v/>
      </c>
      <c r="AG1659" s="21">
        <f>DATE(YEAR(G1659),MONTH(G1659),1)</f>
        <v/>
      </c>
    </row>
    <row r="1660">
      <c r="A1660" t="inlineStr">
        <is>
          <t>SPO-00896-2</t>
        </is>
      </c>
      <c r="B1660" t="inlineStr">
        <is>
          <t>SPO-00896</t>
        </is>
      </c>
      <c r="C1660" t="inlineStr">
        <is>
          <t>SUP-05</t>
        </is>
      </c>
      <c r="D1660" t="inlineStr">
        <is>
          <t>FLEET</t>
        </is>
      </c>
      <c r="E1660" t="inlineStr">
        <is>
          <t>FLEET-01</t>
        </is>
      </c>
      <c r="F1660" s="17" t="n">
        <v>45816</v>
      </c>
      <c r="G1660" s="17" t="n">
        <v>45830</v>
      </c>
      <c r="H1660" s="18" t="n">
        <v>15</v>
      </c>
      <c r="I1660" s="19" t="n">
        <v>63.8</v>
      </c>
      <c r="J1660" s="19" t="n">
        <v>64</v>
      </c>
      <c r="K1660" s="20" t="n">
        <v>0</v>
      </c>
      <c r="L1660" s="20" t="n">
        <v>0</v>
      </c>
      <c r="M1660" s="18" t="n">
        <v>15</v>
      </c>
      <c r="N1660" s="18" t="n">
        <v>15</v>
      </c>
      <c r="O1660" s="18" t="n">
        <v>0</v>
      </c>
      <c r="P1660" s="17" t="n">
        <v>45827</v>
      </c>
      <c r="Q1660" s="17" t="n">
        <v>45827</v>
      </c>
      <c r="R1660" s="17" t="n">
        <v>45827</v>
      </c>
      <c r="S1660" s="19">
        <f>H1660*I1660</f>
        <v/>
      </c>
      <c r="T1660" s="19">
        <f>H1660*J1660</f>
        <v/>
      </c>
      <c r="U1660">
        <f>IF(AND(K1660=0,G1660&lt;=Assumptions!$C$6),1,0)</f>
        <v/>
      </c>
      <c r="V1660">
        <f>IF(U1660=1,IF(M1660&gt;0,IF(P1660&lt;=G1660+Assumptions!$C$7,1,0),0),0)</f>
        <v/>
      </c>
      <c r="W1660">
        <f>IF(AND(U1660=1,M1660&gt;=H1660*(1-Assumptions!$C$8)),1,0)</f>
        <v/>
      </c>
      <c r="X1660">
        <f>IF(AND(U1660=1,N1660&gt;=H1660*(1-Assumptions!$C$8)),1,0)</f>
        <v/>
      </c>
      <c r="Y1660">
        <f>IF(ISNUMBER(Q1660),1,0)</f>
        <v/>
      </c>
      <c r="Z1660">
        <f>IF(AND(K1660=0,L1660=0,Y1660=0),1,0)</f>
        <v/>
      </c>
      <c r="AA1660">
        <f>IF(AND(Z1660=1,G1660&lt;Assumptions!$C$6),1,0)</f>
        <v/>
      </c>
      <c r="AB1660">
        <f>IF(U1660=0,"",IF(Y1660=1,MAX(0,Q1660-G1660),IF(L1660=1,MAX(0,R1660-G1660),MAX(0,Assumptions!$C$6-G1660))))</f>
        <v/>
      </c>
      <c r="AC1660">
        <f>IF(Y1660=1,Q1660-F1660,"")</f>
        <v/>
      </c>
      <c r="AD1660">
        <f>IF(Y1660=1,AC1660^2,"")</f>
        <v/>
      </c>
      <c r="AE1660" s="19">
        <f>IF(Z1660=1,(H1660-M1660)*I1660,0)</f>
        <v/>
      </c>
      <c r="AF1660">
        <f>IF(G1660&lt;EDATE(Assumptions!$C$6,-12)+1,"prior_12m","last_12m")</f>
        <v/>
      </c>
      <c r="AG1660" s="21">
        <f>DATE(YEAR(G1660),MONTH(G1660),1)</f>
        <v/>
      </c>
    </row>
    <row r="1661">
      <c r="A1661" t="inlineStr">
        <is>
          <t>SPO-00897-1</t>
        </is>
      </c>
      <c r="B1661" t="inlineStr">
        <is>
          <t>SPO-00897</t>
        </is>
      </c>
      <c r="C1661" t="inlineStr">
        <is>
          <t>SUP-04</t>
        </is>
      </c>
      <c r="D1661" t="inlineStr">
        <is>
          <t>FLEET</t>
        </is>
      </c>
      <c r="E1661" t="inlineStr">
        <is>
          <t>FLEET-03</t>
        </is>
      </c>
      <c r="F1661" s="17" t="n">
        <v>45817</v>
      </c>
      <c r="G1661" s="17" t="n">
        <v>45830</v>
      </c>
      <c r="H1661" s="18" t="n">
        <v>102</v>
      </c>
      <c r="I1661" s="19" t="n">
        <v>21.18</v>
      </c>
      <c r="J1661" s="19" t="n">
        <v>21</v>
      </c>
      <c r="K1661" s="20" t="n">
        <v>0</v>
      </c>
      <c r="L1661" s="20" t="n">
        <v>0</v>
      </c>
      <c r="M1661" s="18" t="n">
        <v>102</v>
      </c>
      <c r="N1661" s="18" t="n">
        <v>0</v>
      </c>
      <c r="O1661" s="18" t="n">
        <v>0</v>
      </c>
      <c r="P1661" s="17" t="n">
        <v>45861</v>
      </c>
      <c r="Q1661" s="17" t="n">
        <v>45861</v>
      </c>
      <c r="R1661" s="17" t="n">
        <v>45861</v>
      </c>
      <c r="S1661" s="19">
        <f>H1661*I1661</f>
        <v/>
      </c>
      <c r="T1661" s="19">
        <f>H1661*J1661</f>
        <v/>
      </c>
      <c r="U1661">
        <f>IF(AND(K1661=0,G1661&lt;=Assumptions!$C$6),1,0)</f>
        <v/>
      </c>
      <c r="V1661">
        <f>IF(U1661=1,IF(M1661&gt;0,IF(P1661&lt;=G1661+Assumptions!$C$7,1,0),0),0)</f>
        <v/>
      </c>
      <c r="W1661">
        <f>IF(AND(U1661=1,M1661&gt;=H1661*(1-Assumptions!$C$8)),1,0)</f>
        <v/>
      </c>
      <c r="X1661">
        <f>IF(AND(U1661=1,N1661&gt;=H1661*(1-Assumptions!$C$8)),1,0)</f>
        <v/>
      </c>
      <c r="Y1661">
        <f>IF(ISNUMBER(Q1661),1,0)</f>
        <v/>
      </c>
      <c r="Z1661">
        <f>IF(AND(K1661=0,L1661=0,Y1661=0),1,0)</f>
        <v/>
      </c>
      <c r="AA1661">
        <f>IF(AND(Z1661=1,G1661&lt;Assumptions!$C$6),1,0)</f>
        <v/>
      </c>
      <c r="AB1661">
        <f>IF(U1661=0,"",IF(Y1661=1,MAX(0,Q1661-G1661),IF(L1661=1,MAX(0,R1661-G1661),MAX(0,Assumptions!$C$6-G1661))))</f>
        <v/>
      </c>
      <c r="AC1661">
        <f>IF(Y1661=1,Q1661-F1661,"")</f>
        <v/>
      </c>
      <c r="AD1661">
        <f>IF(Y1661=1,AC1661^2,"")</f>
        <v/>
      </c>
      <c r="AE1661" s="19">
        <f>IF(Z1661=1,(H1661-M1661)*I1661,0)</f>
        <v/>
      </c>
      <c r="AF1661">
        <f>IF(G1661&lt;EDATE(Assumptions!$C$6,-12)+1,"prior_12m","last_12m")</f>
        <v/>
      </c>
      <c r="AG1661" s="21">
        <f>DATE(YEAR(G1661),MONTH(G1661),1)</f>
        <v/>
      </c>
    </row>
    <row r="1662">
      <c r="A1662" t="inlineStr">
        <is>
          <t>SPO-00897-2</t>
        </is>
      </c>
      <c r="B1662" t="inlineStr">
        <is>
          <t>SPO-00897</t>
        </is>
      </c>
      <c r="C1662" t="inlineStr">
        <is>
          <t>SUP-04</t>
        </is>
      </c>
      <c r="D1662" t="inlineStr">
        <is>
          <t>FLEET</t>
        </is>
      </c>
      <c r="E1662" t="inlineStr">
        <is>
          <t>FLEET-06</t>
        </is>
      </c>
      <c r="F1662" s="17" t="n">
        <v>45817</v>
      </c>
      <c r="G1662" s="17" t="n">
        <v>45830</v>
      </c>
      <c r="H1662" s="18" t="n">
        <v>49</v>
      </c>
      <c r="I1662" s="19" t="n">
        <v>31.97</v>
      </c>
      <c r="J1662" s="19" t="n">
        <v>33</v>
      </c>
      <c r="K1662" s="20" t="n">
        <v>0</v>
      </c>
      <c r="L1662" s="20" t="n">
        <v>0</v>
      </c>
      <c r="M1662" s="18" t="n">
        <v>49</v>
      </c>
      <c r="N1662" s="18" t="n">
        <v>49</v>
      </c>
      <c r="O1662" s="18" t="n">
        <v>0</v>
      </c>
      <c r="P1662" s="17" t="n">
        <v>45828</v>
      </c>
      <c r="Q1662" s="17" t="n">
        <v>45828</v>
      </c>
      <c r="R1662" s="17" t="n">
        <v>45828</v>
      </c>
      <c r="S1662" s="19">
        <f>H1662*I1662</f>
        <v/>
      </c>
      <c r="T1662" s="19">
        <f>H1662*J1662</f>
        <v/>
      </c>
      <c r="U1662">
        <f>IF(AND(K1662=0,G1662&lt;=Assumptions!$C$6),1,0)</f>
        <v/>
      </c>
      <c r="V1662">
        <f>IF(U1662=1,IF(M1662&gt;0,IF(P1662&lt;=G1662+Assumptions!$C$7,1,0),0),0)</f>
        <v/>
      </c>
      <c r="W1662">
        <f>IF(AND(U1662=1,M1662&gt;=H1662*(1-Assumptions!$C$8)),1,0)</f>
        <v/>
      </c>
      <c r="X1662">
        <f>IF(AND(U1662=1,N1662&gt;=H1662*(1-Assumptions!$C$8)),1,0)</f>
        <v/>
      </c>
      <c r="Y1662">
        <f>IF(ISNUMBER(Q1662),1,0)</f>
        <v/>
      </c>
      <c r="Z1662">
        <f>IF(AND(K1662=0,L1662=0,Y1662=0),1,0)</f>
        <v/>
      </c>
      <c r="AA1662">
        <f>IF(AND(Z1662=1,G1662&lt;Assumptions!$C$6),1,0)</f>
        <v/>
      </c>
      <c r="AB1662">
        <f>IF(U1662=0,"",IF(Y1662=1,MAX(0,Q1662-G1662),IF(L1662=1,MAX(0,R1662-G1662),MAX(0,Assumptions!$C$6-G1662))))</f>
        <v/>
      </c>
      <c r="AC1662">
        <f>IF(Y1662=1,Q1662-F1662,"")</f>
        <v/>
      </c>
      <c r="AD1662">
        <f>IF(Y1662=1,AC1662^2,"")</f>
        <v/>
      </c>
      <c r="AE1662" s="19">
        <f>IF(Z1662=1,(H1662-M1662)*I1662,0)</f>
        <v/>
      </c>
      <c r="AF1662">
        <f>IF(G1662&lt;EDATE(Assumptions!$C$6,-12)+1,"prior_12m","last_12m")</f>
        <v/>
      </c>
      <c r="AG1662" s="21">
        <f>DATE(YEAR(G1662),MONTH(G1662),1)</f>
        <v/>
      </c>
    </row>
    <row r="1663">
      <c r="A1663" t="inlineStr">
        <is>
          <t>SPO-00898-1</t>
        </is>
      </c>
      <c r="B1663" t="inlineStr">
        <is>
          <t>SPO-00898</t>
        </is>
      </c>
      <c r="C1663" t="inlineStr">
        <is>
          <t>SUP-08</t>
        </is>
      </c>
      <c r="D1663" t="inlineStr">
        <is>
          <t>PPE</t>
        </is>
      </c>
      <c r="E1663" t="inlineStr">
        <is>
          <t>PPE-01</t>
        </is>
      </c>
      <c r="F1663" s="17" t="n">
        <v>45817</v>
      </c>
      <c r="G1663" s="17" t="n">
        <v>45828</v>
      </c>
      <c r="H1663" s="18" t="n">
        <v>169</v>
      </c>
      <c r="I1663" s="19" t="n">
        <v>4.99</v>
      </c>
      <c r="J1663" s="19" t="n">
        <v>4.8</v>
      </c>
      <c r="K1663" s="20" t="n">
        <v>0</v>
      </c>
      <c r="L1663" s="20" t="n">
        <v>0</v>
      </c>
      <c r="M1663" s="18" t="n">
        <v>169</v>
      </c>
      <c r="N1663" s="18" t="n">
        <v>169</v>
      </c>
      <c r="O1663" s="18" t="n">
        <v>0</v>
      </c>
      <c r="P1663" s="17" t="n">
        <v>45822</v>
      </c>
      <c r="Q1663" s="17" t="n">
        <v>45822</v>
      </c>
      <c r="R1663" s="17" t="n">
        <v>45822</v>
      </c>
      <c r="S1663" s="19">
        <f>H1663*I1663</f>
        <v/>
      </c>
      <c r="T1663" s="19">
        <f>H1663*J1663</f>
        <v/>
      </c>
      <c r="U1663">
        <f>IF(AND(K1663=0,G1663&lt;=Assumptions!$C$6),1,0)</f>
        <v/>
      </c>
      <c r="V1663">
        <f>IF(U1663=1,IF(M1663&gt;0,IF(P1663&lt;=G1663+Assumptions!$C$7,1,0),0),0)</f>
        <v/>
      </c>
      <c r="W1663">
        <f>IF(AND(U1663=1,M1663&gt;=H1663*(1-Assumptions!$C$8)),1,0)</f>
        <v/>
      </c>
      <c r="X1663">
        <f>IF(AND(U1663=1,N1663&gt;=H1663*(1-Assumptions!$C$8)),1,0)</f>
        <v/>
      </c>
      <c r="Y1663">
        <f>IF(ISNUMBER(Q1663),1,0)</f>
        <v/>
      </c>
      <c r="Z1663">
        <f>IF(AND(K1663=0,L1663=0,Y1663=0),1,0)</f>
        <v/>
      </c>
      <c r="AA1663">
        <f>IF(AND(Z1663=1,G1663&lt;Assumptions!$C$6),1,0)</f>
        <v/>
      </c>
      <c r="AB1663">
        <f>IF(U1663=0,"",IF(Y1663=1,MAX(0,Q1663-G1663),IF(L1663=1,MAX(0,R1663-G1663),MAX(0,Assumptions!$C$6-G1663))))</f>
        <v/>
      </c>
      <c r="AC1663">
        <f>IF(Y1663=1,Q1663-F1663,"")</f>
        <v/>
      </c>
      <c r="AD1663">
        <f>IF(Y1663=1,AC1663^2,"")</f>
        <v/>
      </c>
      <c r="AE1663" s="19">
        <f>IF(Z1663=1,(H1663-M1663)*I1663,0)</f>
        <v/>
      </c>
      <c r="AF1663">
        <f>IF(G1663&lt;EDATE(Assumptions!$C$6,-12)+1,"prior_12m","last_12m")</f>
        <v/>
      </c>
      <c r="AG1663" s="21">
        <f>DATE(YEAR(G1663),MONTH(G1663),1)</f>
        <v/>
      </c>
    </row>
    <row r="1664">
      <c r="A1664" t="inlineStr">
        <is>
          <t>SPO-00899-1</t>
        </is>
      </c>
      <c r="B1664" t="inlineStr">
        <is>
          <t>SPO-00899</t>
        </is>
      </c>
      <c r="C1664" t="inlineStr">
        <is>
          <t>SUP-11</t>
        </is>
      </c>
      <c r="D1664" t="inlineStr">
        <is>
          <t>PPE</t>
        </is>
      </c>
      <c r="E1664" t="inlineStr">
        <is>
          <t>PPE-07</t>
        </is>
      </c>
      <c r="F1664" s="17" t="n">
        <v>45818</v>
      </c>
      <c r="G1664" s="17" t="n">
        <v>45830</v>
      </c>
      <c r="H1664" s="18" t="n">
        <v>27</v>
      </c>
      <c r="I1664" s="19" t="n">
        <v>31.78</v>
      </c>
      <c r="J1664" s="19" t="n">
        <v>31</v>
      </c>
      <c r="K1664" s="20" t="n">
        <v>0</v>
      </c>
      <c r="L1664" s="20" t="n">
        <v>0</v>
      </c>
      <c r="M1664" s="18" t="n">
        <v>27</v>
      </c>
      <c r="N1664" s="18" t="n">
        <v>27</v>
      </c>
      <c r="O1664" s="18" t="n">
        <v>0</v>
      </c>
      <c r="P1664" s="17" t="n">
        <v>45828</v>
      </c>
      <c r="Q1664" s="17" t="n">
        <v>45828</v>
      </c>
      <c r="R1664" s="17" t="n">
        <v>45828</v>
      </c>
      <c r="S1664" s="19">
        <f>H1664*I1664</f>
        <v/>
      </c>
      <c r="T1664" s="19">
        <f>H1664*J1664</f>
        <v/>
      </c>
      <c r="U1664">
        <f>IF(AND(K1664=0,G1664&lt;=Assumptions!$C$6),1,0)</f>
        <v/>
      </c>
      <c r="V1664">
        <f>IF(U1664=1,IF(M1664&gt;0,IF(P1664&lt;=G1664+Assumptions!$C$7,1,0),0),0)</f>
        <v/>
      </c>
      <c r="W1664">
        <f>IF(AND(U1664=1,M1664&gt;=H1664*(1-Assumptions!$C$8)),1,0)</f>
        <v/>
      </c>
      <c r="X1664">
        <f>IF(AND(U1664=1,N1664&gt;=H1664*(1-Assumptions!$C$8)),1,0)</f>
        <v/>
      </c>
      <c r="Y1664">
        <f>IF(ISNUMBER(Q1664),1,0)</f>
        <v/>
      </c>
      <c r="Z1664">
        <f>IF(AND(K1664=0,L1664=0,Y1664=0),1,0)</f>
        <v/>
      </c>
      <c r="AA1664">
        <f>IF(AND(Z1664=1,G1664&lt;Assumptions!$C$6),1,0)</f>
        <v/>
      </c>
      <c r="AB1664">
        <f>IF(U1664=0,"",IF(Y1664=1,MAX(0,Q1664-G1664),IF(L1664=1,MAX(0,R1664-G1664),MAX(0,Assumptions!$C$6-G1664))))</f>
        <v/>
      </c>
      <c r="AC1664">
        <f>IF(Y1664=1,Q1664-F1664,"")</f>
        <v/>
      </c>
      <c r="AD1664">
        <f>IF(Y1664=1,AC1664^2,"")</f>
        <v/>
      </c>
      <c r="AE1664" s="19">
        <f>IF(Z1664=1,(H1664-M1664)*I1664,0)</f>
        <v/>
      </c>
      <c r="AF1664">
        <f>IF(G1664&lt;EDATE(Assumptions!$C$6,-12)+1,"prior_12m","last_12m")</f>
        <v/>
      </c>
      <c r="AG1664" s="21">
        <f>DATE(YEAR(G1664),MONTH(G1664),1)</f>
        <v/>
      </c>
    </row>
    <row r="1665">
      <c r="A1665" t="inlineStr">
        <is>
          <t>SPO-00900-1</t>
        </is>
      </c>
      <c r="B1665" t="inlineStr">
        <is>
          <t>SPO-00900</t>
        </is>
      </c>
      <c r="C1665" t="inlineStr">
        <is>
          <t>SUP-05</t>
        </is>
      </c>
      <c r="D1665" t="inlineStr">
        <is>
          <t>FLEET</t>
        </is>
      </c>
      <c r="E1665" t="inlineStr">
        <is>
          <t>FLEET-01</t>
        </is>
      </c>
      <c r="F1665" s="17" t="n">
        <v>45818</v>
      </c>
      <c r="G1665" s="17" t="n">
        <v>45832</v>
      </c>
      <c r="H1665" s="18" t="n">
        <v>35</v>
      </c>
      <c r="I1665" s="19" t="n">
        <v>67.62</v>
      </c>
      <c r="J1665" s="19" t="n">
        <v>64</v>
      </c>
      <c r="K1665" s="20" t="n">
        <v>0</v>
      </c>
      <c r="L1665" s="20" t="n">
        <v>0</v>
      </c>
      <c r="M1665" s="18" t="n">
        <v>35</v>
      </c>
      <c r="N1665" s="18" t="n">
        <v>35</v>
      </c>
      <c r="O1665" s="18" t="n">
        <v>0</v>
      </c>
      <c r="P1665" s="17" t="n">
        <v>45832</v>
      </c>
      <c r="Q1665" s="17" t="n">
        <v>45832</v>
      </c>
      <c r="R1665" s="17" t="n">
        <v>45832</v>
      </c>
      <c r="S1665" s="19">
        <f>H1665*I1665</f>
        <v/>
      </c>
      <c r="T1665" s="19">
        <f>H1665*J1665</f>
        <v/>
      </c>
      <c r="U1665">
        <f>IF(AND(K1665=0,G1665&lt;=Assumptions!$C$6),1,0)</f>
        <v/>
      </c>
      <c r="V1665">
        <f>IF(U1665=1,IF(M1665&gt;0,IF(P1665&lt;=G1665+Assumptions!$C$7,1,0),0),0)</f>
        <v/>
      </c>
      <c r="W1665">
        <f>IF(AND(U1665=1,M1665&gt;=H1665*(1-Assumptions!$C$8)),1,0)</f>
        <v/>
      </c>
      <c r="X1665">
        <f>IF(AND(U1665=1,N1665&gt;=H1665*(1-Assumptions!$C$8)),1,0)</f>
        <v/>
      </c>
      <c r="Y1665">
        <f>IF(ISNUMBER(Q1665),1,0)</f>
        <v/>
      </c>
      <c r="Z1665">
        <f>IF(AND(K1665=0,L1665=0,Y1665=0),1,0)</f>
        <v/>
      </c>
      <c r="AA1665">
        <f>IF(AND(Z1665=1,G1665&lt;Assumptions!$C$6),1,0)</f>
        <v/>
      </c>
      <c r="AB1665">
        <f>IF(U1665=0,"",IF(Y1665=1,MAX(0,Q1665-G1665),IF(L1665=1,MAX(0,R1665-G1665),MAX(0,Assumptions!$C$6-G1665))))</f>
        <v/>
      </c>
      <c r="AC1665">
        <f>IF(Y1665=1,Q1665-F1665,"")</f>
        <v/>
      </c>
      <c r="AD1665">
        <f>IF(Y1665=1,AC1665^2,"")</f>
        <v/>
      </c>
      <c r="AE1665" s="19">
        <f>IF(Z1665=1,(H1665-M1665)*I1665,0)</f>
        <v/>
      </c>
      <c r="AF1665">
        <f>IF(G1665&lt;EDATE(Assumptions!$C$6,-12)+1,"prior_12m","last_12m")</f>
        <v/>
      </c>
      <c r="AG1665" s="21">
        <f>DATE(YEAR(G1665),MONTH(G1665),1)</f>
        <v/>
      </c>
    </row>
    <row r="1666">
      <c r="A1666" t="inlineStr">
        <is>
          <t>SPO-00901-1</t>
        </is>
      </c>
      <c r="B1666" t="inlineStr">
        <is>
          <t>SPO-00901</t>
        </is>
      </c>
      <c r="C1666" t="inlineStr">
        <is>
          <t>SUP-12</t>
        </is>
      </c>
      <c r="D1666" t="inlineStr">
        <is>
          <t>IT</t>
        </is>
      </c>
      <c r="E1666" t="inlineStr">
        <is>
          <t>IT-08</t>
        </is>
      </c>
      <c r="F1666" s="17" t="n">
        <v>45819</v>
      </c>
      <c r="G1666" s="17" t="n">
        <v>45829</v>
      </c>
      <c r="H1666" s="18" t="n">
        <v>9</v>
      </c>
      <c r="I1666" s="19" t="n">
        <v>282.57</v>
      </c>
      <c r="J1666" s="19" t="n">
        <v>245</v>
      </c>
      <c r="K1666" s="20" t="n">
        <v>0</v>
      </c>
      <c r="L1666" s="20" t="n">
        <v>0</v>
      </c>
      <c r="M1666" s="18" t="n">
        <v>9</v>
      </c>
      <c r="N1666" s="18" t="n">
        <v>9</v>
      </c>
      <c r="O1666" s="18" t="n">
        <v>0</v>
      </c>
      <c r="P1666" s="17" t="n">
        <v>45821</v>
      </c>
      <c r="Q1666" s="17" t="n">
        <v>45821</v>
      </c>
      <c r="R1666" s="17" t="n">
        <v>45821</v>
      </c>
      <c r="S1666" s="19">
        <f>H1666*I1666</f>
        <v/>
      </c>
      <c r="T1666" s="19">
        <f>H1666*J1666</f>
        <v/>
      </c>
      <c r="U1666">
        <f>IF(AND(K1666=0,G1666&lt;=Assumptions!$C$6),1,0)</f>
        <v/>
      </c>
      <c r="V1666">
        <f>IF(U1666=1,IF(M1666&gt;0,IF(P1666&lt;=G1666+Assumptions!$C$7,1,0),0),0)</f>
        <v/>
      </c>
      <c r="W1666">
        <f>IF(AND(U1666=1,M1666&gt;=H1666*(1-Assumptions!$C$8)),1,0)</f>
        <v/>
      </c>
      <c r="X1666">
        <f>IF(AND(U1666=1,N1666&gt;=H1666*(1-Assumptions!$C$8)),1,0)</f>
        <v/>
      </c>
      <c r="Y1666">
        <f>IF(ISNUMBER(Q1666),1,0)</f>
        <v/>
      </c>
      <c r="Z1666">
        <f>IF(AND(K1666=0,L1666=0,Y1666=0),1,0)</f>
        <v/>
      </c>
      <c r="AA1666">
        <f>IF(AND(Z1666=1,G1666&lt;Assumptions!$C$6),1,0)</f>
        <v/>
      </c>
      <c r="AB1666">
        <f>IF(U1666=0,"",IF(Y1666=1,MAX(0,Q1666-G1666),IF(L1666=1,MAX(0,R1666-G1666),MAX(0,Assumptions!$C$6-G1666))))</f>
        <v/>
      </c>
      <c r="AC1666">
        <f>IF(Y1666=1,Q1666-F1666,"")</f>
        <v/>
      </c>
      <c r="AD1666">
        <f>IF(Y1666=1,AC1666^2,"")</f>
        <v/>
      </c>
      <c r="AE1666" s="19">
        <f>IF(Z1666=1,(H1666-M1666)*I1666,0)</f>
        <v/>
      </c>
      <c r="AF1666">
        <f>IF(G1666&lt;EDATE(Assumptions!$C$6,-12)+1,"prior_12m","last_12m")</f>
        <v/>
      </c>
      <c r="AG1666" s="21">
        <f>DATE(YEAR(G1666),MONTH(G1666),1)</f>
        <v/>
      </c>
    </row>
    <row r="1667">
      <c r="A1667" t="inlineStr">
        <is>
          <t>SPO-00901-2</t>
        </is>
      </c>
      <c r="B1667" t="inlineStr">
        <is>
          <t>SPO-00901</t>
        </is>
      </c>
      <c r="C1667" t="inlineStr">
        <is>
          <t>SUP-12</t>
        </is>
      </c>
      <c r="D1667" t="inlineStr">
        <is>
          <t>IT</t>
        </is>
      </c>
      <c r="E1667" t="inlineStr">
        <is>
          <t>IT-02</t>
        </is>
      </c>
      <c r="F1667" s="17" t="n">
        <v>45819</v>
      </c>
      <c r="G1667" s="17" t="n">
        <v>45829</v>
      </c>
      <c r="H1667" s="18" t="n">
        <v>5</v>
      </c>
      <c r="I1667" s="19" t="n">
        <v>185.32</v>
      </c>
      <c r="J1667" s="19" t="n">
        <v>162</v>
      </c>
      <c r="K1667" s="20" t="n">
        <v>0</v>
      </c>
      <c r="L1667" s="20" t="n">
        <v>0</v>
      </c>
      <c r="M1667" s="18" t="n">
        <v>5</v>
      </c>
      <c r="N1667" s="18" t="n">
        <v>5</v>
      </c>
      <c r="O1667" s="18" t="n">
        <v>0</v>
      </c>
      <c r="P1667" s="17" t="n">
        <v>45829</v>
      </c>
      <c r="Q1667" s="17" t="n">
        <v>45829</v>
      </c>
      <c r="R1667" s="17" t="n">
        <v>45829</v>
      </c>
      <c r="S1667" s="19">
        <f>H1667*I1667</f>
        <v/>
      </c>
      <c r="T1667" s="19">
        <f>H1667*J1667</f>
        <v/>
      </c>
      <c r="U1667">
        <f>IF(AND(K1667=0,G1667&lt;=Assumptions!$C$6),1,0)</f>
        <v/>
      </c>
      <c r="V1667">
        <f>IF(U1667=1,IF(M1667&gt;0,IF(P1667&lt;=G1667+Assumptions!$C$7,1,0),0),0)</f>
        <v/>
      </c>
      <c r="W1667">
        <f>IF(AND(U1667=1,M1667&gt;=H1667*(1-Assumptions!$C$8)),1,0)</f>
        <v/>
      </c>
      <c r="X1667">
        <f>IF(AND(U1667=1,N1667&gt;=H1667*(1-Assumptions!$C$8)),1,0)</f>
        <v/>
      </c>
      <c r="Y1667">
        <f>IF(ISNUMBER(Q1667),1,0)</f>
        <v/>
      </c>
      <c r="Z1667">
        <f>IF(AND(K1667=0,L1667=0,Y1667=0),1,0)</f>
        <v/>
      </c>
      <c r="AA1667">
        <f>IF(AND(Z1667=1,G1667&lt;Assumptions!$C$6),1,0)</f>
        <v/>
      </c>
      <c r="AB1667">
        <f>IF(U1667=0,"",IF(Y1667=1,MAX(0,Q1667-G1667),IF(L1667=1,MAX(0,R1667-G1667),MAX(0,Assumptions!$C$6-G1667))))</f>
        <v/>
      </c>
      <c r="AC1667">
        <f>IF(Y1667=1,Q1667-F1667,"")</f>
        <v/>
      </c>
      <c r="AD1667">
        <f>IF(Y1667=1,AC1667^2,"")</f>
        <v/>
      </c>
      <c r="AE1667" s="19">
        <f>IF(Z1667=1,(H1667-M1667)*I1667,0)</f>
        <v/>
      </c>
      <c r="AF1667">
        <f>IF(G1667&lt;EDATE(Assumptions!$C$6,-12)+1,"prior_12m","last_12m")</f>
        <v/>
      </c>
      <c r="AG1667" s="21">
        <f>DATE(YEAR(G1667),MONTH(G1667),1)</f>
        <v/>
      </c>
    </row>
    <row r="1668">
      <c r="A1668" t="inlineStr">
        <is>
          <t>SPO-00902-1</t>
        </is>
      </c>
      <c r="B1668" t="inlineStr">
        <is>
          <t>SPO-00902</t>
        </is>
      </c>
      <c r="C1668" t="inlineStr">
        <is>
          <t>SUP-06</t>
        </is>
      </c>
      <c r="D1668" t="inlineStr">
        <is>
          <t>MRO</t>
        </is>
      </c>
      <c r="E1668" t="inlineStr">
        <is>
          <t>MRO-05</t>
        </is>
      </c>
      <c r="F1668" s="17" t="n">
        <v>45819</v>
      </c>
      <c r="G1668" s="17" t="n">
        <v>45827</v>
      </c>
      <c r="H1668" s="18" t="n">
        <v>23</v>
      </c>
      <c r="I1668" s="19" t="n">
        <v>35.41</v>
      </c>
      <c r="J1668" s="19" t="n">
        <v>36</v>
      </c>
      <c r="K1668" s="20" t="n">
        <v>0</v>
      </c>
      <c r="L1668" s="20" t="n">
        <v>0</v>
      </c>
      <c r="M1668" s="18" t="n">
        <v>23</v>
      </c>
      <c r="N1668" s="18" t="n">
        <v>23</v>
      </c>
      <c r="O1668" s="18" t="n">
        <v>0</v>
      </c>
      <c r="P1668" s="17" t="n">
        <v>45823</v>
      </c>
      <c r="Q1668" s="17" t="n">
        <v>45823</v>
      </c>
      <c r="R1668" s="17" t="n">
        <v>45823</v>
      </c>
      <c r="S1668" s="19">
        <f>H1668*I1668</f>
        <v/>
      </c>
      <c r="T1668" s="19">
        <f>H1668*J1668</f>
        <v/>
      </c>
      <c r="U1668">
        <f>IF(AND(K1668=0,G1668&lt;=Assumptions!$C$6),1,0)</f>
        <v/>
      </c>
      <c r="V1668">
        <f>IF(U1668=1,IF(M1668&gt;0,IF(P1668&lt;=G1668+Assumptions!$C$7,1,0),0),0)</f>
        <v/>
      </c>
      <c r="W1668">
        <f>IF(AND(U1668=1,M1668&gt;=H1668*(1-Assumptions!$C$8)),1,0)</f>
        <v/>
      </c>
      <c r="X1668">
        <f>IF(AND(U1668=1,N1668&gt;=H1668*(1-Assumptions!$C$8)),1,0)</f>
        <v/>
      </c>
      <c r="Y1668">
        <f>IF(ISNUMBER(Q1668),1,0)</f>
        <v/>
      </c>
      <c r="Z1668">
        <f>IF(AND(K1668=0,L1668=0,Y1668=0),1,0)</f>
        <v/>
      </c>
      <c r="AA1668">
        <f>IF(AND(Z1668=1,G1668&lt;Assumptions!$C$6),1,0)</f>
        <v/>
      </c>
      <c r="AB1668">
        <f>IF(U1668=0,"",IF(Y1668=1,MAX(0,Q1668-G1668),IF(L1668=1,MAX(0,R1668-G1668),MAX(0,Assumptions!$C$6-G1668))))</f>
        <v/>
      </c>
      <c r="AC1668">
        <f>IF(Y1668=1,Q1668-F1668,"")</f>
        <v/>
      </c>
      <c r="AD1668">
        <f>IF(Y1668=1,AC1668^2,"")</f>
        <v/>
      </c>
      <c r="AE1668" s="19">
        <f>IF(Z1668=1,(H1668-M1668)*I1668,0)</f>
        <v/>
      </c>
      <c r="AF1668">
        <f>IF(G1668&lt;EDATE(Assumptions!$C$6,-12)+1,"prior_12m","last_12m")</f>
        <v/>
      </c>
      <c r="AG1668" s="21">
        <f>DATE(YEAR(G1668),MONTH(G1668),1)</f>
        <v/>
      </c>
    </row>
    <row r="1669">
      <c r="A1669" t="inlineStr">
        <is>
          <t>SPO-00903-1</t>
        </is>
      </c>
      <c r="B1669" t="inlineStr">
        <is>
          <t>SPO-00903</t>
        </is>
      </c>
      <c r="C1669" t="inlineStr">
        <is>
          <t>SUP-01</t>
        </is>
      </c>
      <c r="D1669" t="inlineStr">
        <is>
          <t>ELEC</t>
        </is>
      </c>
      <c r="E1669" t="inlineStr">
        <is>
          <t>ELEC-01</t>
        </is>
      </c>
      <c r="F1669" s="17" t="n">
        <v>45819</v>
      </c>
      <c r="G1669" s="17" t="n">
        <v>45837</v>
      </c>
      <c r="H1669" s="18" t="n">
        <v>49</v>
      </c>
      <c r="I1669" s="19" t="n">
        <v>40.05</v>
      </c>
      <c r="J1669" s="19" t="n">
        <v>38</v>
      </c>
      <c r="K1669" s="20" t="n">
        <v>0</v>
      </c>
      <c r="L1669" s="20" t="n">
        <v>0</v>
      </c>
      <c r="M1669" s="18" t="n">
        <v>49</v>
      </c>
      <c r="N1669" s="18" t="n">
        <v>49</v>
      </c>
      <c r="O1669" s="18" t="n">
        <v>0</v>
      </c>
      <c r="P1669" s="17" t="n">
        <v>45834</v>
      </c>
      <c r="Q1669" s="17" t="n">
        <v>45834</v>
      </c>
      <c r="R1669" s="17" t="n">
        <v>45834</v>
      </c>
      <c r="S1669" s="19">
        <f>H1669*I1669</f>
        <v/>
      </c>
      <c r="T1669" s="19">
        <f>H1669*J1669</f>
        <v/>
      </c>
      <c r="U1669">
        <f>IF(AND(K1669=0,G1669&lt;=Assumptions!$C$6),1,0)</f>
        <v/>
      </c>
      <c r="V1669">
        <f>IF(U1669=1,IF(M1669&gt;0,IF(P1669&lt;=G1669+Assumptions!$C$7,1,0),0),0)</f>
        <v/>
      </c>
      <c r="W1669">
        <f>IF(AND(U1669=1,M1669&gt;=H1669*(1-Assumptions!$C$8)),1,0)</f>
        <v/>
      </c>
      <c r="X1669">
        <f>IF(AND(U1669=1,N1669&gt;=H1669*(1-Assumptions!$C$8)),1,0)</f>
        <v/>
      </c>
      <c r="Y1669">
        <f>IF(ISNUMBER(Q1669),1,0)</f>
        <v/>
      </c>
      <c r="Z1669">
        <f>IF(AND(K1669=0,L1669=0,Y1669=0),1,0)</f>
        <v/>
      </c>
      <c r="AA1669">
        <f>IF(AND(Z1669=1,G1669&lt;Assumptions!$C$6),1,0)</f>
        <v/>
      </c>
      <c r="AB1669">
        <f>IF(U1669=0,"",IF(Y1669=1,MAX(0,Q1669-G1669),IF(L1669=1,MAX(0,R1669-G1669),MAX(0,Assumptions!$C$6-G1669))))</f>
        <v/>
      </c>
      <c r="AC1669">
        <f>IF(Y1669=1,Q1669-F1669,"")</f>
        <v/>
      </c>
      <c r="AD1669">
        <f>IF(Y1669=1,AC1669^2,"")</f>
        <v/>
      </c>
      <c r="AE1669" s="19">
        <f>IF(Z1669=1,(H1669-M1669)*I1669,0)</f>
        <v/>
      </c>
      <c r="AF1669">
        <f>IF(G1669&lt;EDATE(Assumptions!$C$6,-12)+1,"prior_12m","last_12m")</f>
        <v/>
      </c>
      <c r="AG1669" s="21">
        <f>DATE(YEAR(G1669),MONTH(G1669),1)</f>
        <v/>
      </c>
    </row>
    <row r="1670">
      <c r="A1670" t="inlineStr">
        <is>
          <t>SPO-00904-1</t>
        </is>
      </c>
      <c r="B1670" t="inlineStr">
        <is>
          <t>SPO-00904</t>
        </is>
      </c>
      <c r="C1670" t="inlineStr">
        <is>
          <t>SUP-05</t>
        </is>
      </c>
      <c r="D1670" t="inlineStr">
        <is>
          <t>FLEET</t>
        </is>
      </c>
      <c r="E1670" t="inlineStr">
        <is>
          <t>FLEET-08</t>
        </is>
      </c>
      <c r="F1670" s="17" t="n">
        <v>45819</v>
      </c>
      <c r="G1670" s="17" t="n">
        <v>45833</v>
      </c>
      <c r="H1670" s="18" t="n">
        <v>374</v>
      </c>
      <c r="I1670" s="19" t="n">
        <v>6.64</v>
      </c>
      <c r="J1670" s="19" t="n">
        <v>6.4</v>
      </c>
      <c r="K1670" s="20" t="n">
        <v>0</v>
      </c>
      <c r="L1670" s="20" t="n">
        <v>0</v>
      </c>
      <c r="M1670" s="18" t="n">
        <v>374</v>
      </c>
      <c r="N1670" s="18" t="n">
        <v>374</v>
      </c>
      <c r="O1670" s="18" t="n">
        <v>0</v>
      </c>
      <c r="P1670" s="17" t="n">
        <v>45833</v>
      </c>
      <c r="Q1670" s="17" t="n">
        <v>45833</v>
      </c>
      <c r="R1670" s="17" t="n">
        <v>45833</v>
      </c>
      <c r="S1670" s="19">
        <f>H1670*I1670</f>
        <v/>
      </c>
      <c r="T1670" s="19">
        <f>H1670*J1670</f>
        <v/>
      </c>
      <c r="U1670">
        <f>IF(AND(K1670=0,G1670&lt;=Assumptions!$C$6),1,0)</f>
        <v/>
      </c>
      <c r="V1670">
        <f>IF(U1670=1,IF(M1670&gt;0,IF(P1670&lt;=G1670+Assumptions!$C$7,1,0),0),0)</f>
        <v/>
      </c>
      <c r="W1670">
        <f>IF(AND(U1670=1,M1670&gt;=H1670*(1-Assumptions!$C$8)),1,0)</f>
        <v/>
      </c>
      <c r="X1670">
        <f>IF(AND(U1670=1,N1670&gt;=H1670*(1-Assumptions!$C$8)),1,0)</f>
        <v/>
      </c>
      <c r="Y1670">
        <f>IF(ISNUMBER(Q1670),1,0)</f>
        <v/>
      </c>
      <c r="Z1670">
        <f>IF(AND(K1670=0,L1670=0,Y1670=0),1,0)</f>
        <v/>
      </c>
      <c r="AA1670">
        <f>IF(AND(Z1670=1,G1670&lt;Assumptions!$C$6),1,0)</f>
        <v/>
      </c>
      <c r="AB1670">
        <f>IF(U1670=0,"",IF(Y1670=1,MAX(0,Q1670-G1670),IF(L1670=1,MAX(0,R1670-G1670),MAX(0,Assumptions!$C$6-G1670))))</f>
        <v/>
      </c>
      <c r="AC1670">
        <f>IF(Y1670=1,Q1670-F1670,"")</f>
        <v/>
      </c>
      <c r="AD1670">
        <f>IF(Y1670=1,AC1670^2,"")</f>
        <v/>
      </c>
      <c r="AE1670" s="19">
        <f>IF(Z1670=1,(H1670-M1670)*I1670,0)</f>
        <v/>
      </c>
      <c r="AF1670">
        <f>IF(G1670&lt;EDATE(Assumptions!$C$6,-12)+1,"prior_12m","last_12m")</f>
        <v/>
      </c>
      <c r="AG1670" s="21">
        <f>DATE(YEAR(G1670),MONTH(G1670),1)</f>
        <v/>
      </c>
    </row>
    <row r="1671">
      <c r="A1671" t="inlineStr">
        <is>
          <t>SPO-00905-1</t>
        </is>
      </c>
      <c r="B1671" t="inlineStr">
        <is>
          <t>SPO-00905</t>
        </is>
      </c>
      <c r="C1671" t="inlineStr">
        <is>
          <t>SUP-06</t>
        </is>
      </c>
      <c r="D1671" t="inlineStr">
        <is>
          <t>MRO</t>
        </is>
      </c>
      <c r="E1671" t="inlineStr">
        <is>
          <t>MRO-08</t>
        </is>
      </c>
      <c r="F1671" s="17" t="n">
        <v>45819</v>
      </c>
      <c r="G1671" s="17" t="n">
        <v>45827</v>
      </c>
      <c r="H1671" s="18" t="n">
        <v>417</v>
      </c>
      <c r="I1671" s="19" t="n">
        <v>7.08</v>
      </c>
      <c r="J1671" s="19" t="n">
        <v>7.2</v>
      </c>
      <c r="K1671" s="20" t="n">
        <v>0</v>
      </c>
      <c r="L1671" s="20" t="n">
        <v>0</v>
      </c>
      <c r="M1671" s="18" t="n">
        <v>417</v>
      </c>
      <c r="N1671" s="18" t="n">
        <v>417</v>
      </c>
      <c r="O1671" s="18" t="n">
        <v>0</v>
      </c>
      <c r="P1671" s="17" t="n">
        <v>45826</v>
      </c>
      <c r="Q1671" s="17" t="n">
        <v>45826</v>
      </c>
      <c r="R1671" s="17" t="n">
        <v>45826</v>
      </c>
      <c r="S1671" s="19">
        <f>H1671*I1671</f>
        <v/>
      </c>
      <c r="T1671" s="19">
        <f>H1671*J1671</f>
        <v/>
      </c>
      <c r="U1671">
        <f>IF(AND(K1671=0,G1671&lt;=Assumptions!$C$6),1,0)</f>
        <v/>
      </c>
      <c r="V1671">
        <f>IF(U1671=1,IF(M1671&gt;0,IF(P1671&lt;=G1671+Assumptions!$C$7,1,0),0),0)</f>
        <v/>
      </c>
      <c r="W1671">
        <f>IF(AND(U1671=1,M1671&gt;=H1671*(1-Assumptions!$C$8)),1,0)</f>
        <v/>
      </c>
      <c r="X1671">
        <f>IF(AND(U1671=1,N1671&gt;=H1671*(1-Assumptions!$C$8)),1,0)</f>
        <v/>
      </c>
      <c r="Y1671">
        <f>IF(ISNUMBER(Q1671),1,0)</f>
        <v/>
      </c>
      <c r="Z1671">
        <f>IF(AND(K1671=0,L1671=0,Y1671=0),1,0)</f>
        <v/>
      </c>
      <c r="AA1671">
        <f>IF(AND(Z1671=1,G1671&lt;Assumptions!$C$6),1,0)</f>
        <v/>
      </c>
      <c r="AB1671">
        <f>IF(U1671=0,"",IF(Y1671=1,MAX(0,Q1671-G1671),IF(L1671=1,MAX(0,R1671-G1671),MAX(0,Assumptions!$C$6-G1671))))</f>
        <v/>
      </c>
      <c r="AC1671">
        <f>IF(Y1671=1,Q1671-F1671,"")</f>
        <v/>
      </c>
      <c r="AD1671">
        <f>IF(Y1671=1,AC1671^2,"")</f>
        <v/>
      </c>
      <c r="AE1671" s="19">
        <f>IF(Z1671=1,(H1671-M1671)*I1671,0)</f>
        <v/>
      </c>
      <c r="AF1671">
        <f>IF(G1671&lt;EDATE(Assumptions!$C$6,-12)+1,"prior_12m","last_12m")</f>
        <v/>
      </c>
      <c r="AG1671" s="21">
        <f>DATE(YEAR(G1671),MONTH(G1671),1)</f>
        <v/>
      </c>
    </row>
    <row r="1672">
      <c r="A1672" t="inlineStr">
        <is>
          <t>SPO-00906-1</t>
        </is>
      </c>
      <c r="B1672" t="inlineStr">
        <is>
          <t>SPO-00906</t>
        </is>
      </c>
      <c r="C1672" t="inlineStr">
        <is>
          <t>SUP-05</t>
        </is>
      </c>
      <c r="D1672" t="inlineStr">
        <is>
          <t>FLEET</t>
        </is>
      </c>
      <c r="E1672" t="inlineStr">
        <is>
          <t>FLEET-02</t>
        </is>
      </c>
      <c r="F1672" s="17" t="n">
        <v>45819</v>
      </c>
      <c r="G1672" s="17" t="n">
        <v>45833</v>
      </c>
      <c r="H1672" s="18" t="n">
        <v>202</v>
      </c>
      <c r="I1672" s="19" t="n">
        <v>7.93</v>
      </c>
      <c r="J1672" s="19" t="n">
        <v>7.5</v>
      </c>
      <c r="K1672" s="20" t="n">
        <v>0</v>
      </c>
      <c r="L1672" s="20" t="n">
        <v>0</v>
      </c>
      <c r="M1672" s="18" t="n">
        <v>202</v>
      </c>
      <c r="N1672" s="18" t="n">
        <v>202</v>
      </c>
      <c r="O1672" s="18" t="n">
        <v>0</v>
      </c>
      <c r="P1672" s="17" t="n">
        <v>45832</v>
      </c>
      <c r="Q1672" s="17" t="n">
        <v>45832</v>
      </c>
      <c r="R1672" s="17" t="n">
        <v>45832</v>
      </c>
      <c r="S1672" s="19">
        <f>H1672*I1672</f>
        <v/>
      </c>
      <c r="T1672" s="19">
        <f>H1672*J1672</f>
        <v/>
      </c>
      <c r="U1672">
        <f>IF(AND(K1672=0,G1672&lt;=Assumptions!$C$6),1,0)</f>
        <v/>
      </c>
      <c r="V1672">
        <f>IF(U1672=1,IF(M1672&gt;0,IF(P1672&lt;=G1672+Assumptions!$C$7,1,0),0),0)</f>
        <v/>
      </c>
      <c r="W1672">
        <f>IF(AND(U1672=1,M1672&gt;=H1672*(1-Assumptions!$C$8)),1,0)</f>
        <v/>
      </c>
      <c r="X1672">
        <f>IF(AND(U1672=1,N1672&gt;=H1672*(1-Assumptions!$C$8)),1,0)</f>
        <v/>
      </c>
      <c r="Y1672">
        <f>IF(ISNUMBER(Q1672),1,0)</f>
        <v/>
      </c>
      <c r="Z1672">
        <f>IF(AND(K1672=0,L1672=0,Y1672=0),1,0)</f>
        <v/>
      </c>
      <c r="AA1672">
        <f>IF(AND(Z1672=1,G1672&lt;Assumptions!$C$6),1,0)</f>
        <v/>
      </c>
      <c r="AB1672">
        <f>IF(U1672=0,"",IF(Y1672=1,MAX(0,Q1672-G1672),IF(L1672=1,MAX(0,R1672-G1672),MAX(0,Assumptions!$C$6-G1672))))</f>
        <v/>
      </c>
      <c r="AC1672">
        <f>IF(Y1672=1,Q1672-F1672,"")</f>
        <v/>
      </c>
      <c r="AD1672">
        <f>IF(Y1672=1,AC1672^2,"")</f>
        <v/>
      </c>
      <c r="AE1672" s="19">
        <f>IF(Z1672=1,(H1672-M1672)*I1672,0)</f>
        <v/>
      </c>
      <c r="AF1672">
        <f>IF(G1672&lt;EDATE(Assumptions!$C$6,-12)+1,"prior_12m","last_12m")</f>
        <v/>
      </c>
      <c r="AG1672" s="21">
        <f>DATE(YEAR(G1672),MONTH(G1672),1)</f>
        <v/>
      </c>
    </row>
    <row r="1673">
      <c r="A1673" t="inlineStr">
        <is>
          <t>SPO-00906-2</t>
        </is>
      </c>
      <c r="B1673" t="inlineStr">
        <is>
          <t>SPO-00906</t>
        </is>
      </c>
      <c r="C1673" t="inlineStr">
        <is>
          <t>SUP-05</t>
        </is>
      </c>
      <c r="D1673" t="inlineStr">
        <is>
          <t>FLEET</t>
        </is>
      </c>
      <c r="E1673" t="inlineStr">
        <is>
          <t>FLEET-08</t>
        </is>
      </c>
      <c r="F1673" s="17" t="n">
        <v>45819</v>
      </c>
      <c r="G1673" s="17" t="n">
        <v>45833</v>
      </c>
      <c r="H1673" s="18" t="n">
        <v>130</v>
      </c>
      <c r="I1673" s="19" t="n">
        <v>6.7</v>
      </c>
      <c r="J1673" s="19" t="n">
        <v>6.4</v>
      </c>
      <c r="K1673" s="20" t="n">
        <v>0</v>
      </c>
      <c r="L1673" s="20" t="n">
        <v>0</v>
      </c>
      <c r="M1673" s="18" t="n">
        <v>130</v>
      </c>
      <c r="N1673" s="18" t="n">
        <v>130</v>
      </c>
      <c r="O1673" s="18" t="n">
        <v>0</v>
      </c>
      <c r="P1673" s="17" t="n">
        <v>45832</v>
      </c>
      <c r="Q1673" s="17" t="n">
        <v>45832</v>
      </c>
      <c r="R1673" s="17" t="n">
        <v>45832</v>
      </c>
      <c r="S1673" s="19">
        <f>H1673*I1673</f>
        <v/>
      </c>
      <c r="T1673" s="19">
        <f>H1673*J1673</f>
        <v/>
      </c>
      <c r="U1673">
        <f>IF(AND(K1673=0,G1673&lt;=Assumptions!$C$6),1,0)</f>
        <v/>
      </c>
      <c r="V1673">
        <f>IF(U1673=1,IF(M1673&gt;0,IF(P1673&lt;=G1673+Assumptions!$C$7,1,0),0),0)</f>
        <v/>
      </c>
      <c r="W1673">
        <f>IF(AND(U1673=1,M1673&gt;=H1673*(1-Assumptions!$C$8)),1,0)</f>
        <v/>
      </c>
      <c r="X1673">
        <f>IF(AND(U1673=1,N1673&gt;=H1673*(1-Assumptions!$C$8)),1,0)</f>
        <v/>
      </c>
      <c r="Y1673">
        <f>IF(ISNUMBER(Q1673),1,0)</f>
        <v/>
      </c>
      <c r="Z1673">
        <f>IF(AND(K1673=0,L1673=0,Y1673=0),1,0)</f>
        <v/>
      </c>
      <c r="AA1673">
        <f>IF(AND(Z1673=1,G1673&lt;Assumptions!$C$6),1,0)</f>
        <v/>
      </c>
      <c r="AB1673">
        <f>IF(U1673=0,"",IF(Y1673=1,MAX(0,Q1673-G1673),IF(L1673=1,MAX(0,R1673-G1673),MAX(0,Assumptions!$C$6-G1673))))</f>
        <v/>
      </c>
      <c r="AC1673">
        <f>IF(Y1673=1,Q1673-F1673,"")</f>
        <v/>
      </c>
      <c r="AD1673">
        <f>IF(Y1673=1,AC1673^2,"")</f>
        <v/>
      </c>
      <c r="AE1673" s="19">
        <f>IF(Z1673=1,(H1673-M1673)*I1673,0)</f>
        <v/>
      </c>
      <c r="AF1673">
        <f>IF(G1673&lt;EDATE(Assumptions!$C$6,-12)+1,"prior_12m","last_12m")</f>
        <v/>
      </c>
      <c r="AG1673" s="21">
        <f>DATE(YEAR(G1673),MONTH(G1673),1)</f>
        <v/>
      </c>
    </row>
    <row r="1674">
      <c r="A1674" t="inlineStr">
        <is>
          <t>SPO-00907-1</t>
        </is>
      </c>
      <c r="B1674" t="inlineStr">
        <is>
          <t>SPO-00907</t>
        </is>
      </c>
      <c r="C1674" t="inlineStr">
        <is>
          <t>SUP-01</t>
        </is>
      </c>
      <c r="D1674" t="inlineStr">
        <is>
          <t>ELEC</t>
        </is>
      </c>
      <c r="E1674" t="inlineStr">
        <is>
          <t>ELEC-08</t>
        </is>
      </c>
      <c r="F1674" s="17" t="n">
        <v>45820</v>
      </c>
      <c r="G1674" s="17" t="n">
        <v>45838</v>
      </c>
      <c r="H1674" s="18" t="n">
        <v>125</v>
      </c>
      <c r="I1674" s="19" t="n">
        <v>19.33</v>
      </c>
      <c r="J1674" s="19" t="n">
        <v>18</v>
      </c>
      <c r="K1674" s="20" t="n">
        <v>0</v>
      </c>
      <c r="L1674" s="20" t="n">
        <v>0</v>
      </c>
      <c r="M1674" s="18" t="n">
        <v>125</v>
      </c>
      <c r="N1674" s="18" t="n">
        <v>125</v>
      </c>
      <c r="O1674" s="18" t="n">
        <v>0</v>
      </c>
      <c r="P1674" s="17" t="n">
        <v>45836</v>
      </c>
      <c r="Q1674" s="17" t="n">
        <v>45836</v>
      </c>
      <c r="R1674" s="17" t="n">
        <v>45836</v>
      </c>
      <c r="S1674" s="19">
        <f>H1674*I1674</f>
        <v/>
      </c>
      <c r="T1674" s="19">
        <f>H1674*J1674</f>
        <v/>
      </c>
      <c r="U1674">
        <f>IF(AND(K1674=0,G1674&lt;=Assumptions!$C$6),1,0)</f>
        <v/>
      </c>
      <c r="V1674">
        <f>IF(U1674=1,IF(M1674&gt;0,IF(P1674&lt;=G1674+Assumptions!$C$7,1,0),0),0)</f>
        <v/>
      </c>
      <c r="W1674">
        <f>IF(AND(U1674=1,M1674&gt;=H1674*(1-Assumptions!$C$8)),1,0)</f>
        <v/>
      </c>
      <c r="X1674">
        <f>IF(AND(U1674=1,N1674&gt;=H1674*(1-Assumptions!$C$8)),1,0)</f>
        <v/>
      </c>
      <c r="Y1674">
        <f>IF(ISNUMBER(Q1674),1,0)</f>
        <v/>
      </c>
      <c r="Z1674">
        <f>IF(AND(K1674=0,L1674=0,Y1674=0),1,0)</f>
        <v/>
      </c>
      <c r="AA1674">
        <f>IF(AND(Z1674=1,G1674&lt;Assumptions!$C$6),1,0)</f>
        <v/>
      </c>
      <c r="AB1674">
        <f>IF(U1674=0,"",IF(Y1674=1,MAX(0,Q1674-G1674),IF(L1674=1,MAX(0,R1674-G1674),MAX(0,Assumptions!$C$6-G1674))))</f>
        <v/>
      </c>
      <c r="AC1674">
        <f>IF(Y1674=1,Q1674-F1674,"")</f>
        <v/>
      </c>
      <c r="AD1674">
        <f>IF(Y1674=1,AC1674^2,"")</f>
        <v/>
      </c>
      <c r="AE1674" s="19">
        <f>IF(Z1674=1,(H1674-M1674)*I1674,0)</f>
        <v/>
      </c>
      <c r="AF1674">
        <f>IF(G1674&lt;EDATE(Assumptions!$C$6,-12)+1,"prior_12m","last_12m")</f>
        <v/>
      </c>
      <c r="AG1674" s="21">
        <f>DATE(YEAR(G1674),MONTH(G1674),1)</f>
        <v/>
      </c>
    </row>
    <row r="1675">
      <c r="A1675" t="inlineStr">
        <is>
          <t>SPO-00908-1</t>
        </is>
      </c>
      <c r="B1675" t="inlineStr">
        <is>
          <t>SPO-00908</t>
        </is>
      </c>
      <c r="C1675" t="inlineStr">
        <is>
          <t>SUP-08</t>
        </is>
      </c>
      <c r="D1675" t="inlineStr">
        <is>
          <t>PPE</t>
        </is>
      </c>
      <c r="E1675" t="inlineStr">
        <is>
          <t>PPE-08</t>
        </is>
      </c>
      <c r="F1675" s="17" t="n">
        <v>45820</v>
      </c>
      <c r="G1675" s="17" t="n">
        <v>45831</v>
      </c>
      <c r="H1675" s="18" t="n">
        <v>11</v>
      </c>
      <c r="I1675" s="19" t="n">
        <v>66</v>
      </c>
      <c r="J1675" s="19" t="n">
        <v>64</v>
      </c>
      <c r="K1675" s="20" t="n">
        <v>0</v>
      </c>
      <c r="L1675" s="20" t="n">
        <v>0</v>
      </c>
      <c r="M1675" s="18" t="n">
        <v>11</v>
      </c>
      <c r="N1675" s="18" t="n">
        <v>11</v>
      </c>
      <c r="O1675" s="18" t="n">
        <v>0</v>
      </c>
      <c r="P1675" s="17" t="n">
        <v>45824</v>
      </c>
      <c r="Q1675" s="17" t="n">
        <v>45824</v>
      </c>
      <c r="R1675" s="17" t="n">
        <v>45824</v>
      </c>
      <c r="S1675" s="19">
        <f>H1675*I1675</f>
        <v/>
      </c>
      <c r="T1675" s="19">
        <f>H1675*J1675</f>
        <v/>
      </c>
      <c r="U1675">
        <f>IF(AND(K1675=0,G1675&lt;=Assumptions!$C$6),1,0)</f>
        <v/>
      </c>
      <c r="V1675">
        <f>IF(U1675=1,IF(M1675&gt;0,IF(P1675&lt;=G1675+Assumptions!$C$7,1,0),0),0)</f>
        <v/>
      </c>
      <c r="W1675">
        <f>IF(AND(U1675=1,M1675&gt;=H1675*(1-Assumptions!$C$8)),1,0)</f>
        <v/>
      </c>
      <c r="X1675">
        <f>IF(AND(U1675=1,N1675&gt;=H1675*(1-Assumptions!$C$8)),1,0)</f>
        <v/>
      </c>
      <c r="Y1675">
        <f>IF(ISNUMBER(Q1675),1,0)</f>
        <v/>
      </c>
      <c r="Z1675">
        <f>IF(AND(K1675=0,L1675=0,Y1675=0),1,0)</f>
        <v/>
      </c>
      <c r="AA1675">
        <f>IF(AND(Z1675=1,G1675&lt;Assumptions!$C$6),1,0)</f>
        <v/>
      </c>
      <c r="AB1675">
        <f>IF(U1675=0,"",IF(Y1675=1,MAX(0,Q1675-G1675),IF(L1675=1,MAX(0,R1675-G1675),MAX(0,Assumptions!$C$6-G1675))))</f>
        <v/>
      </c>
      <c r="AC1675">
        <f>IF(Y1675=1,Q1675-F1675,"")</f>
        <v/>
      </c>
      <c r="AD1675">
        <f>IF(Y1675=1,AC1675^2,"")</f>
        <v/>
      </c>
      <c r="AE1675" s="19">
        <f>IF(Z1675=1,(H1675-M1675)*I1675,0)</f>
        <v/>
      </c>
      <c r="AF1675">
        <f>IF(G1675&lt;EDATE(Assumptions!$C$6,-12)+1,"prior_12m","last_12m")</f>
        <v/>
      </c>
      <c r="AG1675" s="21">
        <f>DATE(YEAR(G1675),MONTH(G1675),1)</f>
        <v/>
      </c>
    </row>
    <row r="1676">
      <c r="A1676" t="inlineStr">
        <is>
          <t>SPO-00909-1</t>
        </is>
      </c>
      <c r="B1676" t="inlineStr">
        <is>
          <t>SPO-00909</t>
        </is>
      </c>
      <c r="C1676" t="inlineStr">
        <is>
          <t>SUP-06</t>
        </is>
      </c>
      <c r="D1676" t="inlineStr">
        <is>
          <t>MRO</t>
        </is>
      </c>
      <c r="E1676" t="inlineStr">
        <is>
          <t>MRO-04</t>
        </is>
      </c>
      <c r="F1676" s="17" t="n">
        <v>45820</v>
      </c>
      <c r="G1676" s="17" t="n">
        <v>45828</v>
      </c>
      <c r="H1676" s="18" t="n">
        <v>6</v>
      </c>
      <c r="I1676" s="19" t="n">
        <v>57.44</v>
      </c>
      <c r="J1676" s="19" t="n">
        <v>58</v>
      </c>
      <c r="K1676" s="20" t="n">
        <v>0</v>
      </c>
      <c r="L1676" s="20" t="n">
        <v>0</v>
      </c>
      <c r="M1676" s="18" t="n">
        <v>6</v>
      </c>
      <c r="N1676" s="18" t="n">
        <v>6</v>
      </c>
      <c r="O1676" s="18" t="n">
        <v>0</v>
      </c>
      <c r="P1676" s="17" t="n">
        <v>45826</v>
      </c>
      <c r="Q1676" s="17" t="n">
        <v>45826</v>
      </c>
      <c r="R1676" s="17" t="n">
        <v>45826</v>
      </c>
      <c r="S1676" s="19">
        <f>H1676*I1676</f>
        <v/>
      </c>
      <c r="T1676" s="19">
        <f>H1676*J1676</f>
        <v/>
      </c>
      <c r="U1676">
        <f>IF(AND(K1676=0,G1676&lt;=Assumptions!$C$6),1,0)</f>
        <v/>
      </c>
      <c r="V1676">
        <f>IF(U1676=1,IF(M1676&gt;0,IF(P1676&lt;=G1676+Assumptions!$C$7,1,0),0),0)</f>
        <v/>
      </c>
      <c r="W1676">
        <f>IF(AND(U1676=1,M1676&gt;=H1676*(1-Assumptions!$C$8)),1,0)</f>
        <v/>
      </c>
      <c r="X1676">
        <f>IF(AND(U1676=1,N1676&gt;=H1676*(1-Assumptions!$C$8)),1,0)</f>
        <v/>
      </c>
      <c r="Y1676">
        <f>IF(ISNUMBER(Q1676),1,0)</f>
        <v/>
      </c>
      <c r="Z1676">
        <f>IF(AND(K1676=0,L1676=0,Y1676=0),1,0)</f>
        <v/>
      </c>
      <c r="AA1676">
        <f>IF(AND(Z1676=1,G1676&lt;Assumptions!$C$6),1,0)</f>
        <v/>
      </c>
      <c r="AB1676">
        <f>IF(U1676=0,"",IF(Y1676=1,MAX(0,Q1676-G1676),IF(L1676=1,MAX(0,R1676-G1676),MAX(0,Assumptions!$C$6-G1676))))</f>
        <v/>
      </c>
      <c r="AC1676">
        <f>IF(Y1676=1,Q1676-F1676,"")</f>
        <v/>
      </c>
      <c r="AD1676">
        <f>IF(Y1676=1,AC1676^2,"")</f>
        <v/>
      </c>
      <c r="AE1676" s="19">
        <f>IF(Z1676=1,(H1676-M1676)*I1676,0)</f>
        <v/>
      </c>
      <c r="AF1676">
        <f>IF(G1676&lt;EDATE(Assumptions!$C$6,-12)+1,"prior_12m","last_12m")</f>
        <v/>
      </c>
      <c r="AG1676" s="21">
        <f>DATE(YEAR(G1676),MONTH(G1676),1)</f>
        <v/>
      </c>
    </row>
    <row r="1677">
      <c r="A1677" t="inlineStr">
        <is>
          <t>SPO-00910-1</t>
        </is>
      </c>
      <c r="B1677" t="inlineStr">
        <is>
          <t>SPO-00910</t>
        </is>
      </c>
      <c r="C1677" t="inlineStr">
        <is>
          <t>SUP-01</t>
        </is>
      </c>
      <c r="D1677" t="inlineStr">
        <is>
          <t>ELEC</t>
        </is>
      </c>
      <c r="E1677" t="inlineStr">
        <is>
          <t>ELEC-01</t>
        </is>
      </c>
      <c r="F1677" s="17" t="n">
        <v>45820</v>
      </c>
      <c r="G1677" s="17" t="n">
        <v>45838</v>
      </c>
      <c r="H1677" s="18" t="n">
        <v>67</v>
      </c>
      <c r="I1677" s="19" t="n">
        <v>38</v>
      </c>
      <c r="J1677" s="19" t="n">
        <v>38</v>
      </c>
      <c r="K1677" s="20" t="n">
        <v>0</v>
      </c>
      <c r="L1677" s="20" t="n">
        <v>0</v>
      </c>
      <c r="M1677" s="18" t="n">
        <v>67</v>
      </c>
      <c r="N1677" s="18" t="n">
        <v>67</v>
      </c>
      <c r="O1677" s="18" t="n">
        <v>0</v>
      </c>
      <c r="P1677" s="17" t="n">
        <v>45834</v>
      </c>
      <c r="Q1677" s="17" t="n">
        <v>45834</v>
      </c>
      <c r="R1677" s="17" t="n">
        <v>45834</v>
      </c>
      <c r="S1677" s="19">
        <f>H1677*I1677</f>
        <v/>
      </c>
      <c r="T1677" s="19">
        <f>H1677*J1677</f>
        <v/>
      </c>
      <c r="U1677">
        <f>IF(AND(K1677=0,G1677&lt;=Assumptions!$C$6),1,0)</f>
        <v/>
      </c>
      <c r="V1677">
        <f>IF(U1677=1,IF(M1677&gt;0,IF(P1677&lt;=G1677+Assumptions!$C$7,1,0),0),0)</f>
        <v/>
      </c>
      <c r="W1677">
        <f>IF(AND(U1677=1,M1677&gt;=H1677*(1-Assumptions!$C$8)),1,0)</f>
        <v/>
      </c>
      <c r="X1677">
        <f>IF(AND(U1677=1,N1677&gt;=H1677*(1-Assumptions!$C$8)),1,0)</f>
        <v/>
      </c>
      <c r="Y1677">
        <f>IF(ISNUMBER(Q1677),1,0)</f>
        <v/>
      </c>
      <c r="Z1677">
        <f>IF(AND(K1677=0,L1677=0,Y1677=0),1,0)</f>
        <v/>
      </c>
      <c r="AA1677">
        <f>IF(AND(Z1677=1,G1677&lt;Assumptions!$C$6),1,0)</f>
        <v/>
      </c>
      <c r="AB1677">
        <f>IF(U1677=0,"",IF(Y1677=1,MAX(0,Q1677-G1677),IF(L1677=1,MAX(0,R1677-G1677),MAX(0,Assumptions!$C$6-G1677))))</f>
        <v/>
      </c>
      <c r="AC1677">
        <f>IF(Y1677=1,Q1677-F1677,"")</f>
        <v/>
      </c>
      <c r="AD1677">
        <f>IF(Y1677=1,AC1677^2,"")</f>
        <v/>
      </c>
      <c r="AE1677" s="19">
        <f>IF(Z1677=1,(H1677-M1677)*I1677,0)</f>
        <v/>
      </c>
      <c r="AF1677">
        <f>IF(G1677&lt;EDATE(Assumptions!$C$6,-12)+1,"prior_12m","last_12m")</f>
        <v/>
      </c>
      <c r="AG1677" s="21">
        <f>DATE(YEAR(G1677),MONTH(G1677),1)</f>
        <v/>
      </c>
    </row>
    <row r="1678">
      <c r="A1678" t="inlineStr">
        <is>
          <t>SPO-00910-2</t>
        </is>
      </c>
      <c r="B1678" t="inlineStr">
        <is>
          <t>SPO-00910</t>
        </is>
      </c>
      <c r="C1678" t="inlineStr">
        <is>
          <t>SUP-01</t>
        </is>
      </c>
      <c r="D1678" t="inlineStr">
        <is>
          <t>ELEC</t>
        </is>
      </c>
      <c r="E1678" t="inlineStr">
        <is>
          <t>ELEC-06</t>
        </is>
      </c>
      <c r="F1678" s="17" t="n">
        <v>45820</v>
      </c>
      <c r="G1678" s="17" t="n">
        <v>45838</v>
      </c>
      <c r="H1678" s="18" t="n">
        <v>14</v>
      </c>
      <c r="I1678" s="19" t="n">
        <v>149.45</v>
      </c>
      <c r="J1678" s="19" t="n">
        <v>145</v>
      </c>
      <c r="K1678" s="20" t="n">
        <v>0</v>
      </c>
      <c r="L1678" s="20" t="n">
        <v>0</v>
      </c>
      <c r="M1678" s="18" t="n">
        <v>14</v>
      </c>
      <c r="N1678" s="18" t="n">
        <v>14</v>
      </c>
      <c r="O1678" s="18" t="n">
        <v>3</v>
      </c>
      <c r="P1678" s="17" t="n">
        <v>45834</v>
      </c>
      <c r="Q1678" s="17" t="n">
        <v>45834</v>
      </c>
      <c r="R1678" s="17" t="n">
        <v>45834</v>
      </c>
      <c r="S1678" s="19">
        <f>H1678*I1678</f>
        <v/>
      </c>
      <c r="T1678" s="19">
        <f>H1678*J1678</f>
        <v/>
      </c>
      <c r="U1678">
        <f>IF(AND(K1678=0,G1678&lt;=Assumptions!$C$6),1,0)</f>
        <v/>
      </c>
      <c r="V1678">
        <f>IF(U1678=1,IF(M1678&gt;0,IF(P1678&lt;=G1678+Assumptions!$C$7,1,0),0),0)</f>
        <v/>
      </c>
      <c r="W1678">
        <f>IF(AND(U1678=1,M1678&gt;=H1678*(1-Assumptions!$C$8)),1,0)</f>
        <v/>
      </c>
      <c r="X1678">
        <f>IF(AND(U1678=1,N1678&gt;=H1678*(1-Assumptions!$C$8)),1,0)</f>
        <v/>
      </c>
      <c r="Y1678">
        <f>IF(ISNUMBER(Q1678),1,0)</f>
        <v/>
      </c>
      <c r="Z1678">
        <f>IF(AND(K1678=0,L1678=0,Y1678=0),1,0)</f>
        <v/>
      </c>
      <c r="AA1678">
        <f>IF(AND(Z1678=1,G1678&lt;Assumptions!$C$6),1,0)</f>
        <v/>
      </c>
      <c r="AB1678">
        <f>IF(U1678=0,"",IF(Y1678=1,MAX(0,Q1678-G1678),IF(L1678=1,MAX(0,R1678-G1678),MAX(0,Assumptions!$C$6-G1678))))</f>
        <v/>
      </c>
      <c r="AC1678">
        <f>IF(Y1678=1,Q1678-F1678,"")</f>
        <v/>
      </c>
      <c r="AD1678">
        <f>IF(Y1678=1,AC1678^2,"")</f>
        <v/>
      </c>
      <c r="AE1678" s="19">
        <f>IF(Z1678=1,(H1678-M1678)*I1678,0)</f>
        <v/>
      </c>
      <c r="AF1678">
        <f>IF(G1678&lt;EDATE(Assumptions!$C$6,-12)+1,"prior_12m","last_12m")</f>
        <v/>
      </c>
      <c r="AG1678" s="21">
        <f>DATE(YEAR(G1678),MONTH(G1678),1)</f>
        <v/>
      </c>
    </row>
    <row r="1679">
      <c r="A1679" t="inlineStr">
        <is>
          <t>SPO-00911-1</t>
        </is>
      </c>
      <c r="B1679" t="inlineStr">
        <is>
          <t>SPO-00911</t>
        </is>
      </c>
      <c r="C1679" t="inlineStr">
        <is>
          <t>SUP-06</t>
        </is>
      </c>
      <c r="D1679" t="inlineStr">
        <is>
          <t>MRO</t>
        </is>
      </c>
      <c r="E1679" t="inlineStr">
        <is>
          <t>MRO-01</t>
        </is>
      </c>
      <c r="F1679" s="17" t="n">
        <v>45820</v>
      </c>
      <c r="G1679" s="17" t="n">
        <v>45828</v>
      </c>
      <c r="H1679" s="18" t="n">
        <v>28</v>
      </c>
      <c r="I1679" s="19" t="n">
        <v>51.95</v>
      </c>
      <c r="J1679" s="19" t="n">
        <v>52</v>
      </c>
      <c r="K1679" s="20" t="n">
        <v>0</v>
      </c>
      <c r="L1679" s="20" t="n">
        <v>0</v>
      </c>
      <c r="M1679" s="18" t="n">
        <v>28</v>
      </c>
      <c r="N1679" s="18" t="n">
        <v>28</v>
      </c>
      <c r="O1679" s="18" t="n">
        <v>0</v>
      </c>
      <c r="P1679" s="17" t="n">
        <v>45825</v>
      </c>
      <c r="Q1679" s="17" t="n">
        <v>45825</v>
      </c>
      <c r="R1679" s="17" t="n">
        <v>45825</v>
      </c>
      <c r="S1679" s="19">
        <f>H1679*I1679</f>
        <v/>
      </c>
      <c r="T1679" s="19">
        <f>H1679*J1679</f>
        <v/>
      </c>
      <c r="U1679">
        <f>IF(AND(K1679=0,G1679&lt;=Assumptions!$C$6),1,0)</f>
        <v/>
      </c>
      <c r="V1679">
        <f>IF(U1679=1,IF(M1679&gt;0,IF(P1679&lt;=G1679+Assumptions!$C$7,1,0),0),0)</f>
        <v/>
      </c>
      <c r="W1679">
        <f>IF(AND(U1679=1,M1679&gt;=H1679*(1-Assumptions!$C$8)),1,0)</f>
        <v/>
      </c>
      <c r="X1679">
        <f>IF(AND(U1679=1,N1679&gt;=H1679*(1-Assumptions!$C$8)),1,0)</f>
        <v/>
      </c>
      <c r="Y1679">
        <f>IF(ISNUMBER(Q1679),1,0)</f>
        <v/>
      </c>
      <c r="Z1679">
        <f>IF(AND(K1679=0,L1679=0,Y1679=0),1,0)</f>
        <v/>
      </c>
      <c r="AA1679">
        <f>IF(AND(Z1679=1,G1679&lt;Assumptions!$C$6),1,0)</f>
        <v/>
      </c>
      <c r="AB1679">
        <f>IF(U1679=0,"",IF(Y1679=1,MAX(0,Q1679-G1679),IF(L1679=1,MAX(0,R1679-G1679),MAX(0,Assumptions!$C$6-G1679))))</f>
        <v/>
      </c>
      <c r="AC1679">
        <f>IF(Y1679=1,Q1679-F1679,"")</f>
        <v/>
      </c>
      <c r="AD1679">
        <f>IF(Y1679=1,AC1679^2,"")</f>
        <v/>
      </c>
      <c r="AE1679" s="19">
        <f>IF(Z1679=1,(H1679-M1679)*I1679,0)</f>
        <v/>
      </c>
      <c r="AF1679">
        <f>IF(G1679&lt;EDATE(Assumptions!$C$6,-12)+1,"prior_12m","last_12m")</f>
        <v/>
      </c>
      <c r="AG1679" s="21">
        <f>DATE(YEAR(G1679),MONTH(G1679),1)</f>
        <v/>
      </c>
    </row>
    <row r="1680">
      <c r="A1680" t="inlineStr">
        <is>
          <t>SPO-00912-1</t>
        </is>
      </c>
      <c r="B1680" t="inlineStr">
        <is>
          <t>SPO-00912</t>
        </is>
      </c>
      <c r="C1680" t="inlineStr">
        <is>
          <t>SUP-01</t>
        </is>
      </c>
      <c r="D1680" t="inlineStr">
        <is>
          <t>ELEC</t>
        </is>
      </c>
      <c r="E1680" t="inlineStr">
        <is>
          <t>ELEC-07</t>
        </is>
      </c>
      <c r="F1680" s="17" t="n">
        <v>45821</v>
      </c>
      <c r="G1680" s="17" t="n">
        <v>45839</v>
      </c>
      <c r="H1680" s="18" t="n">
        <v>103</v>
      </c>
      <c r="I1680" s="19" t="n">
        <v>9.83</v>
      </c>
      <c r="J1680" s="19" t="n">
        <v>9.800000000000001</v>
      </c>
      <c r="K1680" s="20" t="n">
        <v>0</v>
      </c>
      <c r="L1680" s="20" t="n">
        <v>0</v>
      </c>
      <c r="M1680" s="18" t="n">
        <v>103</v>
      </c>
      <c r="N1680" s="18" t="n">
        <v>103</v>
      </c>
      <c r="O1680" s="18" t="n">
        <v>0</v>
      </c>
      <c r="P1680" s="17" t="n">
        <v>45832</v>
      </c>
      <c r="Q1680" s="17" t="n">
        <v>45837</v>
      </c>
      <c r="R1680" s="17" t="n">
        <v>45837</v>
      </c>
      <c r="S1680" s="19">
        <f>H1680*I1680</f>
        <v/>
      </c>
      <c r="T1680" s="19">
        <f>H1680*J1680</f>
        <v/>
      </c>
      <c r="U1680">
        <f>IF(AND(K1680=0,G1680&lt;=Assumptions!$C$6),1,0)</f>
        <v/>
      </c>
      <c r="V1680">
        <f>IF(U1680=1,IF(M1680&gt;0,IF(P1680&lt;=G1680+Assumptions!$C$7,1,0),0),0)</f>
        <v/>
      </c>
      <c r="W1680">
        <f>IF(AND(U1680=1,M1680&gt;=H1680*(1-Assumptions!$C$8)),1,0)</f>
        <v/>
      </c>
      <c r="X1680">
        <f>IF(AND(U1680=1,N1680&gt;=H1680*(1-Assumptions!$C$8)),1,0)</f>
        <v/>
      </c>
      <c r="Y1680">
        <f>IF(ISNUMBER(Q1680),1,0)</f>
        <v/>
      </c>
      <c r="Z1680">
        <f>IF(AND(K1680=0,L1680=0,Y1680=0),1,0)</f>
        <v/>
      </c>
      <c r="AA1680">
        <f>IF(AND(Z1680=1,G1680&lt;Assumptions!$C$6),1,0)</f>
        <v/>
      </c>
      <c r="AB1680">
        <f>IF(U1680=0,"",IF(Y1680=1,MAX(0,Q1680-G1680),IF(L1680=1,MAX(0,R1680-G1680),MAX(0,Assumptions!$C$6-G1680))))</f>
        <v/>
      </c>
      <c r="AC1680">
        <f>IF(Y1680=1,Q1680-F1680,"")</f>
        <v/>
      </c>
      <c r="AD1680">
        <f>IF(Y1680=1,AC1680^2,"")</f>
        <v/>
      </c>
      <c r="AE1680" s="19">
        <f>IF(Z1680=1,(H1680-M1680)*I1680,0)</f>
        <v/>
      </c>
      <c r="AF1680">
        <f>IF(G1680&lt;EDATE(Assumptions!$C$6,-12)+1,"prior_12m","last_12m")</f>
        <v/>
      </c>
      <c r="AG1680" s="21">
        <f>DATE(YEAR(G1680),MONTH(G1680),1)</f>
        <v/>
      </c>
    </row>
    <row r="1681">
      <c r="A1681" t="inlineStr">
        <is>
          <t>SPO-00913-1</t>
        </is>
      </c>
      <c r="B1681" t="inlineStr">
        <is>
          <t>SPO-00913</t>
        </is>
      </c>
      <c r="C1681" t="inlineStr">
        <is>
          <t>SUP-06</t>
        </is>
      </c>
      <c r="D1681" t="inlineStr">
        <is>
          <t>MRO</t>
        </is>
      </c>
      <c r="E1681" t="inlineStr">
        <is>
          <t>MRO-08</t>
        </is>
      </c>
      <c r="F1681" s="17" t="n">
        <v>45821</v>
      </c>
      <c r="G1681" s="17" t="n">
        <v>45829</v>
      </c>
      <c r="H1681" s="18" t="n">
        <v>332</v>
      </c>
      <c r="I1681" s="19" t="n">
        <v>7.47</v>
      </c>
      <c r="J1681" s="19" t="n">
        <v>7.2</v>
      </c>
      <c r="K1681" s="20" t="n">
        <v>0</v>
      </c>
      <c r="L1681" s="20" t="n">
        <v>0</v>
      </c>
      <c r="M1681" s="18" t="n">
        <v>332</v>
      </c>
      <c r="N1681" s="18" t="n">
        <v>332</v>
      </c>
      <c r="O1681" s="18" t="n">
        <v>0</v>
      </c>
      <c r="P1681" s="17" t="n">
        <v>45828</v>
      </c>
      <c r="Q1681" s="17" t="n">
        <v>45828</v>
      </c>
      <c r="R1681" s="17" t="n">
        <v>45828</v>
      </c>
      <c r="S1681" s="19">
        <f>H1681*I1681</f>
        <v/>
      </c>
      <c r="T1681" s="19">
        <f>H1681*J1681</f>
        <v/>
      </c>
      <c r="U1681">
        <f>IF(AND(K1681=0,G1681&lt;=Assumptions!$C$6),1,0)</f>
        <v/>
      </c>
      <c r="V1681">
        <f>IF(U1681=1,IF(M1681&gt;0,IF(P1681&lt;=G1681+Assumptions!$C$7,1,0),0),0)</f>
        <v/>
      </c>
      <c r="W1681">
        <f>IF(AND(U1681=1,M1681&gt;=H1681*(1-Assumptions!$C$8)),1,0)</f>
        <v/>
      </c>
      <c r="X1681">
        <f>IF(AND(U1681=1,N1681&gt;=H1681*(1-Assumptions!$C$8)),1,0)</f>
        <v/>
      </c>
      <c r="Y1681">
        <f>IF(ISNUMBER(Q1681),1,0)</f>
        <v/>
      </c>
      <c r="Z1681">
        <f>IF(AND(K1681=0,L1681=0,Y1681=0),1,0)</f>
        <v/>
      </c>
      <c r="AA1681">
        <f>IF(AND(Z1681=1,G1681&lt;Assumptions!$C$6),1,0)</f>
        <v/>
      </c>
      <c r="AB1681">
        <f>IF(U1681=0,"",IF(Y1681=1,MAX(0,Q1681-G1681),IF(L1681=1,MAX(0,R1681-G1681),MAX(0,Assumptions!$C$6-G1681))))</f>
        <v/>
      </c>
      <c r="AC1681">
        <f>IF(Y1681=1,Q1681-F1681,"")</f>
        <v/>
      </c>
      <c r="AD1681">
        <f>IF(Y1681=1,AC1681^2,"")</f>
        <v/>
      </c>
      <c r="AE1681" s="19">
        <f>IF(Z1681=1,(H1681-M1681)*I1681,0)</f>
        <v/>
      </c>
      <c r="AF1681">
        <f>IF(G1681&lt;EDATE(Assumptions!$C$6,-12)+1,"prior_12m","last_12m")</f>
        <v/>
      </c>
      <c r="AG1681" s="21">
        <f>DATE(YEAR(G1681),MONTH(G1681),1)</f>
        <v/>
      </c>
    </row>
    <row r="1682">
      <c r="A1682" t="inlineStr">
        <is>
          <t>SPO-00914-1</t>
        </is>
      </c>
      <c r="B1682" t="inlineStr">
        <is>
          <t>SPO-00914</t>
        </is>
      </c>
      <c r="C1682" t="inlineStr">
        <is>
          <t>SUP-08</t>
        </is>
      </c>
      <c r="D1682" t="inlineStr">
        <is>
          <t>MRO</t>
        </is>
      </c>
      <c r="E1682" t="inlineStr">
        <is>
          <t>MRO-07</t>
        </is>
      </c>
      <c r="F1682" s="17" t="n">
        <v>45821</v>
      </c>
      <c r="G1682" s="17" t="n">
        <v>45832</v>
      </c>
      <c r="H1682" s="18" t="n">
        <v>134</v>
      </c>
      <c r="I1682" s="19" t="n">
        <v>13.16</v>
      </c>
      <c r="J1682" s="19" t="n">
        <v>14</v>
      </c>
      <c r="K1682" s="20" t="n">
        <v>0</v>
      </c>
      <c r="L1682" s="20" t="n">
        <v>0</v>
      </c>
      <c r="M1682" s="18" t="n">
        <v>134</v>
      </c>
      <c r="N1682" s="18" t="n">
        <v>98</v>
      </c>
      <c r="O1682" s="18" t="n">
        <v>0</v>
      </c>
      <c r="P1682" s="17" t="n">
        <v>45830</v>
      </c>
      <c r="Q1682" s="17" t="n">
        <v>45850</v>
      </c>
      <c r="R1682" s="17" t="n">
        <v>45850</v>
      </c>
      <c r="S1682" s="19">
        <f>H1682*I1682</f>
        <v/>
      </c>
      <c r="T1682" s="19">
        <f>H1682*J1682</f>
        <v/>
      </c>
      <c r="U1682">
        <f>IF(AND(K1682=0,G1682&lt;=Assumptions!$C$6),1,0)</f>
        <v/>
      </c>
      <c r="V1682">
        <f>IF(U1682=1,IF(M1682&gt;0,IF(P1682&lt;=G1682+Assumptions!$C$7,1,0),0),0)</f>
        <v/>
      </c>
      <c r="W1682">
        <f>IF(AND(U1682=1,M1682&gt;=H1682*(1-Assumptions!$C$8)),1,0)</f>
        <v/>
      </c>
      <c r="X1682">
        <f>IF(AND(U1682=1,N1682&gt;=H1682*(1-Assumptions!$C$8)),1,0)</f>
        <v/>
      </c>
      <c r="Y1682">
        <f>IF(ISNUMBER(Q1682),1,0)</f>
        <v/>
      </c>
      <c r="Z1682">
        <f>IF(AND(K1682=0,L1682=0,Y1682=0),1,0)</f>
        <v/>
      </c>
      <c r="AA1682">
        <f>IF(AND(Z1682=1,G1682&lt;Assumptions!$C$6),1,0)</f>
        <v/>
      </c>
      <c r="AB1682">
        <f>IF(U1682=0,"",IF(Y1682=1,MAX(0,Q1682-G1682),IF(L1682=1,MAX(0,R1682-G1682),MAX(0,Assumptions!$C$6-G1682))))</f>
        <v/>
      </c>
      <c r="AC1682">
        <f>IF(Y1682=1,Q1682-F1682,"")</f>
        <v/>
      </c>
      <c r="AD1682">
        <f>IF(Y1682=1,AC1682^2,"")</f>
        <v/>
      </c>
      <c r="AE1682" s="19">
        <f>IF(Z1682=1,(H1682-M1682)*I1682,0)</f>
        <v/>
      </c>
      <c r="AF1682">
        <f>IF(G1682&lt;EDATE(Assumptions!$C$6,-12)+1,"prior_12m","last_12m")</f>
        <v/>
      </c>
      <c r="AG1682" s="21">
        <f>DATE(YEAR(G1682),MONTH(G1682),1)</f>
        <v/>
      </c>
    </row>
    <row r="1683">
      <c r="A1683" t="inlineStr">
        <is>
          <t>SPO-00914-2</t>
        </is>
      </c>
      <c r="B1683" t="inlineStr">
        <is>
          <t>SPO-00914</t>
        </is>
      </c>
      <c r="C1683" t="inlineStr">
        <is>
          <t>SUP-08</t>
        </is>
      </c>
      <c r="D1683" t="inlineStr">
        <is>
          <t>MRO</t>
        </is>
      </c>
      <c r="E1683" t="inlineStr">
        <is>
          <t>MRO-05</t>
        </is>
      </c>
      <c r="F1683" s="17" t="n">
        <v>45821</v>
      </c>
      <c r="G1683" s="17" t="n">
        <v>45832</v>
      </c>
      <c r="H1683" s="18" t="n">
        <v>53</v>
      </c>
      <c r="I1683" s="19" t="n">
        <v>35.25</v>
      </c>
      <c r="J1683" s="19" t="n">
        <v>36</v>
      </c>
      <c r="K1683" s="20" t="n">
        <v>0</v>
      </c>
      <c r="L1683" s="20" t="n">
        <v>0</v>
      </c>
      <c r="M1683" s="18" t="n">
        <v>53</v>
      </c>
      <c r="N1683" s="18" t="n">
        <v>53</v>
      </c>
      <c r="O1683" s="18" t="n">
        <v>0</v>
      </c>
      <c r="P1683" s="17" t="n">
        <v>45827</v>
      </c>
      <c r="Q1683" s="17" t="n">
        <v>45827</v>
      </c>
      <c r="R1683" s="17" t="n">
        <v>45827</v>
      </c>
      <c r="S1683" s="19">
        <f>H1683*I1683</f>
        <v/>
      </c>
      <c r="T1683" s="19">
        <f>H1683*J1683</f>
        <v/>
      </c>
      <c r="U1683">
        <f>IF(AND(K1683=0,G1683&lt;=Assumptions!$C$6),1,0)</f>
        <v/>
      </c>
      <c r="V1683">
        <f>IF(U1683=1,IF(M1683&gt;0,IF(P1683&lt;=G1683+Assumptions!$C$7,1,0),0),0)</f>
        <v/>
      </c>
      <c r="W1683">
        <f>IF(AND(U1683=1,M1683&gt;=H1683*(1-Assumptions!$C$8)),1,0)</f>
        <v/>
      </c>
      <c r="X1683">
        <f>IF(AND(U1683=1,N1683&gt;=H1683*(1-Assumptions!$C$8)),1,0)</f>
        <v/>
      </c>
      <c r="Y1683">
        <f>IF(ISNUMBER(Q1683),1,0)</f>
        <v/>
      </c>
      <c r="Z1683">
        <f>IF(AND(K1683=0,L1683=0,Y1683=0),1,0)</f>
        <v/>
      </c>
      <c r="AA1683">
        <f>IF(AND(Z1683=1,G1683&lt;Assumptions!$C$6),1,0)</f>
        <v/>
      </c>
      <c r="AB1683">
        <f>IF(U1683=0,"",IF(Y1683=1,MAX(0,Q1683-G1683),IF(L1683=1,MAX(0,R1683-G1683),MAX(0,Assumptions!$C$6-G1683))))</f>
        <v/>
      </c>
      <c r="AC1683">
        <f>IF(Y1683=1,Q1683-F1683,"")</f>
        <v/>
      </c>
      <c r="AD1683">
        <f>IF(Y1683=1,AC1683^2,"")</f>
        <v/>
      </c>
      <c r="AE1683" s="19">
        <f>IF(Z1683=1,(H1683-M1683)*I1683,0)</f>
        <v/>
      </c>
      <c r="AF1683">
        <f>IF(G1683&lt;EDATE(Assumptions!$C$6,-12)+1,"prior_12m","last_12m")</f>
        <v/>
      </c>
      <c r="AG1683" s="21">
        <f>DATE(YEAR(G1683),MONTH(G1683),1)</f>
        <v/>
      </c>
    </row>
    <row r="1684">
      <c r="A1684" t="inlineStr">
        <is>
          <t>SPO-00915-1</t>
        </is>
      </c>
      <c r="B1684" t="inlineStr">
        <is>
          <t>SPO-00915</t>
        </is>
      </c>
      <c r="C1684" t="inlineStr">
        <is>
          <t>SUP-02</t>
        </is>
      </c>
      <c r="D1684" t="inlineStr">
        <is>
          <t>ELEC</t>
        </is>
      </c>
      <c r="E1684" t="inlineStr">
        <is>
          <t>ELEC-03</t>
        </is>
      </c>
      <c r="F1684" s="17" t="n">
        <v>45821</v>
      </c>
      <c r="G1684" s="17" t="n">
        <v>45837</v>
      </c>
      <c r="H1684" s="18" t="n">
        <v>9</v>
      </c>
      <c r="I1684" s="19" t="n">
        <v>94.26000000000001</v>
      </c>
      <c r="J1684" s="19" t="n">
        <v>96</v>
      </c>
      <c r="K1684" s="20" t="n">
        <v>0</v>
      </c>
      <c r="L1684" s="20" t="n">
        <v>0</v>
      </c>
      <c r="M1684" s="18" t="n">
        <v>9</v>
      </c>
      <c r="N1684" s="18" t="n">
        <v>9</v>
      </c>
      <c r="O1684" s="18" t="n">
        <v>0</v>
      </c>
      <c r="P1684" s="17" t="n">
        <v>45835</v>
      </c>
      <c r="Q1684" s="17" t="n">
        <v>45835</v>
      </c>
      <c r="R1684" s="17" t="n">
        <v>45835</v>
      </c>
      <c r="S1684" s="19">
        <f>H1684*I1684</f>
        <v/>
      </c>
      <c r="T1684" s="19">
        <f>H1684*J1684</f>
        <v/>
      </c>
      <c r="U1684">
        <f>IF(AND(K1684=0,G1684&lt;=Assumptions!$C$6),1,0)</f>
        <v/>
      </c>
      <c r="V1684">
        <f>IF(U1684=1,IF(M1684&gt;0,IF(P1684&lt;=G1684+Assumptions!$C$7,1,0),0),0)</f>
        <v/>
      </c>
      <c r="W1684">
        <f>IF(AND(U1684=1,M1684&gt;=H1684*(1-Assumptions!$C$8)),1,0)</f>
        <v/>
      </c>
      <c r="X1684">
        <f>IF(AND(U1684=1,N1684&gt;=H1684*(1-Assumptions!$C$8)),1,0)</f>
        <v/>
      </c>
      <c r="Y1684">
        <f>IF(ISNUMBER(Q1684),1,0)</f>
        <v/>
      </c>
      <c r="Z1684">
        <f>IF(AND(K1684=0,L1684=0,Y1684=0),1,0)</f>
        <v/>
      </c>
      <c r="AA1684">
        <f>IF(AND(Z1684=1,G1684&lt;Assumptions!$C$6),1,0)</f>
        <v/>
      </c>
      <c r="AB1684">
        <f>IF(U1684=0,"",IF(Y1684=1,MAX(0,Q1684-G1684),IF(L1684=1,MAX(0,R1684-G1684),MAX(0,Assumptions!$C$6-G1684))))</f>
        <v/>
      </c>
      <c r="AC1684">
        <f>IF(Y1684=1,Q1684-F1684,"")</f>
        <v/>
      </c>
      <c r="AD1684">
        <f>IF(Y1684=1,AC1684^2,"")</f>
        <v/>
      </c>
      <c r="AE1684" s="19">
        <f>IF(Z1684=1,(H1684-M1684)*I1684,0)</f>
        <v/>
      </c>
      <c r="AF1684">
        <f>IF(G1684&lt;EDATE(Assumptions!$C$6,-12)+1,"prior_12m","last_12m")</f>
        <v/>
      </c>
      <c r="AG1684" s="21">
        <f>DATE(YEAR(G1684),MONTH(G1684),1)</f>
        <v/>
      </c>
    </row>
    <row r="1685">
      <c r="A1685" t="inlineStr">
        <is>
          <t>SPO-00916-1</t>
        </is>
      </c>
      <c r="B1685" t="inlineStr">
        <is>
          <t>SPO-00916</t>
        </is>
      </c>
      <c r="C1685" t="inlineStr">
        <is>
          <t>SUP-01</t>
        </is>
      </c>
      <c r="D1685" t="inlineStr">
        <is>
          <t>ELEC</t>
        </is>
      </c>
      <c r="E1685" t="inlineStr">
        <is>
          <t>ELEC-03</t>
        </is>
      </c>
      <c r="F1685" s="17" t="n">
        <v>45822</v>
      </c>
      <c r="G1685" s="17" t="n">
        <v>45840</v>
      </c>
      <c r="H1685" s="18" t="n">
        <v>26</v>
      </c>
      <c r="I1685" s="19" t="n">
        <v>97.61</v>
      </c>
      <c r="J1685" s="19" t="n">
        <v>96</v>
      </c>
      <c r="K1685" s="20" t="n">
        <v>0</v>
      </c>
      <c r="L1685" s="20" t="n">
        <v>0</v>
      </c>
      <c r="M1685" s="18" t="n">
        <v>26</v>
      </c>
      <c r="N1685" s="18" t="n">
        <v>26</v>
      </c>
      <c r="O1685" s="18" t="n">
        <v>0</v>
      </c>
      <c r="P1685" s="17" t="n">
        <v>45835</v>
      </c>
      <c r="Q1685" s="17" t="n">
        <v>45835</v>
      </c>
      <c r="R1685" s="17" t="n">
        <v>45835</v>
      </c>
      <c r="S1685" s="19">
        <f>H1685*I1685</f>
        <v/>
      </c>
      <c r="T1685" s="19">
        <f>H1685*J1685</f>
        <v/>
      </c>
      <c r="U1685">
        <f>IF(AND(K1685=0,G1685&lt;=Assumptions!$C$6),1,0)</f>
        <v/>
      </c>
      <c r="V1685">
        <f>IF(U1685=1,IF(M1685&gt;0,IF(P1685&lt;=G1685+Assumptions!$C$7,1,0),0),0)</f>
        <v/>
      </c>
      <c r="W1685">
        <f>IF(AND(U1685=1,M1685&gt;=H1685*(1-Assumptions!$C$8)),1,0)</f>
        <v/>
      </c>
      <c r="X1685">
        <f>IF(AND(U1685=1,N1685&gt;=H1685*(1-Assumptions!$C$8)),1,0)</f>
        <v/>
      </c>
      <c r="Y1685">
        <f>IF(ISNUMBER(Q1685),1,0)</f>
        <v/>
      </c>
      <c r="Z1685">
        <f>IF(AND(K1685=0,L1685=0,Y1685=0),1,0)</f>
        <v/>
      </c>
      <c r="AA1685">
        <f>IF(AND(Z1685=1,G1685&lt;Assumptions!$C$6),1,0)</f>
        <v/>
      </c>
      <c r="AB1685">
        <f>IF(U1685=0,"",IF(Y1685=1,MAX(0,Q1685-G1685),IF(L1685=1,MAX(0,R1685-G1685),MAX(0,Assumptions!$C$6-G1685))))</f>
        <v/>
      </c>
      <c r="AC1685">
        <f>IF(Y1685=1,Q1685-F1685,"")</f>
        <v/>
      </c>
      <c r="AD1685">
        <f>IF(Y1685=1,AC1685^2,"")</f>
        <v/>
      </c>
      <c r="AE1685" s="19">
        <f>IF(Z1685=1,(H1685-M1685)*I1685,0)</f>
        <v/>
      </c>
      <c r="AF1685">
        <f>IF(G1685&lt;EDATE(Assumptions!$C$6,-12)+1,"prior_12m","last_12m")</f>
        <v/>
      </c>
      <c r="AG1685" s="21">
        <f>DATE(YEAR(G1685),MONTH(G1685),1)</f>
        <v/>
      </c>
    </row>
    <row r="1686">
      <c r="A1686" t="inlineStr">
        <is>
          <t>SPO-00916-2</t>
        </is>
      </c>
      <c r="B1686" t="inlineStr">
        <is>
          <t>SPO-00916</t>
        </is>
      </c>
      <c r="C1686" t="inlineStr">
        <is>
          <t>SUP-01</t>
        </is>
      </c>
      <c r="D1686" t="inlineStr">
        <is>
          <t>ELEC</t>
        </is>
      </c>
      <c r="E1686" t="inlineStr">
        <is>
          <t>ELEC-01</t>
        </is>
      </c>
      <c r="F1686" s="17" t="n">
        <v>45822</v>
      </c>
      <c r="G1686" s="17" t="n">
        <v>45840</v>
      </c>
      <c r="H1686" s="18" t="n">
        <v>30</v>
      </c>
      <c r="I1686" s="19" t="n">
        <v>38.33</v>
      </c>
      <c r="J1686" s="19" t="n">
        <v>38</v>
      </c>
      <c r="K1686" s="20" t="n">
        <v>0</v>
      </c>
      <c r="L1686" s="20" t="n">
        <v>0</v>
      </c>
      <c r="M1686" s="18" t="n">
        <v>30</v>
      </c>
      <c r="N1686" s="18" t="n">
        <v>30</v>
      </c>
      <c r="O1686" s="18" t="n">
        <v>0</v>
      </c>
      <c r="P1686" s="17" t="n">
        <v>45836</v>
      </c>
      <c r="Q1686" s="17" t="n">
        <v>45836</v>
      </c>
      <c r="R1686" s="17" t="n">
        <v>45836</v>
      </c>
      <c r="S1686" s="19">
        <f>H1686*I1686</f>
        <v/>
      </c>
      <c r="T1686" s="19">
        <f>H1686*J1686</f>
        <v/>
      </c>
      <c r="U1686">
        <f>IF(AND(K1686=0,G1686&lt;=Assumptions!$C$6),1,0)</f>
        <v/>
      </c>
      <c r="V1686">
        <f>IF(U1686=1,IF(M1686&gt;0,IF(P1686&lt;=G1686+Assumptions!$C$7,1,0),0),0)</f>
        <v/>
      </c>
      <c r="W1686">
        <f>IF(AND(U1686=1,M1686&gt;=H1686*(1-Assumptions!$C$8)),1,0)</f>
        <v/>
      </c>
      <c r="X1686">
        <f>IF(AND(U1686=1,N1686&gt;=H1686*(1-Assumptions!$C$8)),1,0)</f>
        <v/>
      </c>
      <c r="Y1686">
        <f>IF(ISNUMBER(Q1686),1,0)</f>
        <v/>
      </c>
      <c r="Z1686">
        <f>IF(AND(K1686=0,L1686=0,Y1686=0),1,0)</f>
        <v/>
      </c>
      <c r="AA1686">
        <f>IF(AND(Z1686=1,G1686&lt;Assumptions!$C$6),1,0)</f>
        <v/>
      </c>
      <c r="AB1686">
        <f>IF(U1686=0,"",IF(Y1686=1,MAX(0,Q1686-G1686),IF(L1686=1,MAX(0,R1686-G1686),MAX(0,Assumptions!$C$6-G1686))))</f>
        <v/>
      </c>
      <c r="AC1686">
        <f>IF(Y1686=1,Q1686-F1686,"")</f>
        <v/>
      </c>
      <c r="AD1686">
        <f>IF(Y1686=1,AC1686^2,"")</f>
        <v/>
      </c>
      <c r="AE1686" s="19">
        <f>IF(Z1686=1,(H1686-M1686)*I1686,0)</f>
        <v/>
      </c>
      <c r="AF1686">
        <f>IF(G1686&lt;EDATE(Assumptions!$C$6,-12)+1,"prior_12m","last_12m")</f>
        <v/>
      </c>
      <c r="AG1686" s="21">
        <f>DATE(YEAR(G1686),MONTH(G1686),1)</f>
        <v/>
      </c>
    </row>
    <row r="1687">
      <c r="A1687" t="inlineStr">
        <is>
          <t>SPO-00917-1</t>
        </is>
      </c>
      <c r="B1687" t="inlineStr">
        <is>
          <t>SPO-00917</t>
        </is>
      </c>
      <c r="C1687" t="inlineStr">
        <is>
          <t>SUP-11</t>
        </is>
      </c>
      <c r="D1687" t="inlineStr">
        <is>
          <t>PPE</t>
        </is>
      </c>
      <c r="E1687" t="inlineStr">
        <is>
          <t>PPE-01</t>
        </is>
      </c>
      <c r="F1687" s="17" t="n">
        <v>45822</v>
      </c>
      <c r="G1687" s="17" t="n">
        <v>45834</v>
      </c>
      <c r="H1687" s="18" t="n">
        <v>448</v>
      </c>
      <c r="I1687" s="19" t="n">
        <v>4.69</v>
      </c>
      <c r="J1687" s="19" t="n">
        <v>4.8</v>
      </c>
      <c r="K1687" s="20" t="n">
        <v>0</v>
      </c>
      <c r="L1687" s="20" t="n">
        <v>0</v>
      </c>
      <c r="M1687" s="18" t="n">
        <v>448</v>
      </c>
      <c r="N1687" s="18" t="n">
        <v>448</v>
      </c>
      <c r="O1687" s="18" t="n">
        <v>0</v>
      </c>
      <c r="P1687" s="17" t="n">
        <v>45833</v>
      </c>
      <c r="Q1687" s="17" t="n">
        <v>45833</v>
      </c>
      <c r="R1687" s="17" t="n">
        <v>45833</v>
      </c>
      <c r="S1687" s="19">
        <f>H1687*I1687</f>
        <v/>
      </c>
      <c r="T1687" s="19">
        <f>H1687*J1687</f>
        <v/>
      </c>
      <c r="U1687">
        <f>IF(AND(K1687=0,G1687&lt;=Assumptions!$C$6),1,0)</f>
        <v/>
      </c>
      <c r="V1687">
        <f>IF(U1687=1,IF(M1687&gt;0,IF(P1687&lt;=G1687+Assumptions!$C$7,1,0),0),0)</f>
        <v/>
      </c>
      <c r="W1687">
        <f>IF(AND(U1687=1,M1687&gt;=H1687*(1-Assumptions!$C$8)),1,0)</f>
        <v/>
      </c>
      <c r="X1687">
        <f>IF(AND(U1687=1,N1687&gt;=H1687*(1-Assumptions!$C$8)),1,0)</f>
        <v/>
      </c>
      <c r="Y1687">
        <f>IF(ISNUMBER(Q1687),1,0)</f>
        <v/>
      </c>
      <c r="Z1687">
        <f>IF(AND(K1687=0,L1687=0,Y1687=0),1,0)</f>
        <v/>
      </c>
      <c r="AA1687">
        <f>IF(AND(Z1687=1,G1687&lt;Assumptions!$C$6),1,0)</f>
        <v/>
      </c>
      <c r="AB1687">
        <f>IF(U1687=0,"",IF(Y1687=1,MAX(0,Q1687-G1687),IF(L1687=1,MAX(0,R1687-G1687),MAX(0,Assumptions!$C$6-G1687))))</f>
        <v/>
      </c>
      <c r="AC1687">
        <f>IF(Y1687=1,Q1687-F1687,"")</f>
        <v/>
      </c>
      <c r="AD1687">
        <f>IF(Y1687=1,AC1687^2,"")</f>
        <v/>
      </c>
      <c r="AE1687" s="19">
        <f>IF(Z1687=1,(H1687-M1687)*I1687,0)</f>
        <v/>
      </c>
      <c r="AF1687">
        <f>IF(G1687&lt;EDATE(Assumptions!$C$6,-12)+1,"prior_12m","last_12m")</f>
        <v/>
      </c>
      <c r="AG1687" s="21">
        <f>DATE(YEAR(G1687),MONTH(G1687),1)</f>
        <v/>
      </c>
    </row>
    <row r="1688">
      <c r="A1688" t="inlineStr">
        <is>
          <t>SPO-00917-2</t>
        </is>
      </c>
      <c r="B1688" t="inlineStr">
        <is>
          <t>SPO-00917</t>
        </is>
      </c>
      <c r="C1688" t="inlineStr">
        <is>
          <t>SUP-11</t>
        </is>
      </c>
      <c r="D1688" t="inlineStr">
        <is>
          <t>PPE</t>
        </is>
      </c>
      <c r="E1688" t="inlineStr">
        <is>
          <t>PPE-03</t>
        </is>
      </c>
      <c r="F1688" s="17" t="n">
        <v>45822</v>
      </c>
      <c r="G1688" s="17" t="n">
        <v>45834</v>
      </c>
      <c r="H1688" s="18" t="n">
        <v>28</v>
      </c>
      <c r="I1688" s="19" t="n">
        <v>21.79</v>
      </c>
      <c r="J1688" s="19" t="n">
        <v>21</v>
      </c>
      <c r="K1688" s="20" t="n">
        <v>0</v>
      </c>
      <c r="L1688" s="20" t="n">
        <v>0</v>
      </c>
      <c r="M1688" s="18" t="n">
        <v>28</v>
      </c>
      <c r="N1688" s="18" t="n">
        <v>28</v>
      </c>
      <c r="O1688" s="18" t="n">
        <v>0</v>
      </c>
      <c r="P1688" s="17" t="n">
        <v>45832</v>
      </c>
      <c r="Q1688" s="17" t="n">
        <v>45832</v>
      </c>
      <c r="R1688" s="17" t="n">
        <v>45832</v>
      </c>
      <c r="S1688" s="19">
        <f>H1688*I1688</f>
        <v/>
      </c>
      <c r="T1688" s="19">
        <f>H1688*J1688</f>
        <v/>
      </c>
      <c r="U1688">
        <f>IF(AND(K1688=0,G1688&lt;=Assumptions!$C$6),1,0)</f>
        <v/>
      </c>
      <c r="V1688">
        <f>IF(U1688=1,IF(M1688&gt;0,IF(P1688&lt;=G1688+Assumptions!$C$7,1,0),0),0)</f>
        <v/>
      </c>
      <c r="W1688">
        <f>IF(AND(U1688=1,M1688&gt;=H1688*(1-Assumptions!$C$8)),1,0)</f>
        <v/>
      </c>
      <c r="X1688">
        <f>IF(AND(U1688=1,N1688&gt;=H1688*(1-Assumptions!$C$8)),1,0)</f>
        <v/>
      </c>
      <c r="Y1688">
        <f>IF(ISNUMBER(Q1688),1,0)</f>
        <v/>
      </c>
      <c r="Z1688">
        <f>IF(AND(K1688=0,L1688=0,Y1688=0),1,0)</f>
        <v/>
      </c>
      <c r="AA1688">
        <f>IF(AND(Z1688=1,G1688&lt;Assumptions!$C$6),1,0)</f>
        <v/>
      </c>
      <c r="AB1688">
        <f>IF(U1688=0,"",IF(Y1688=1,MAX(0,Q1688-G1688),IF(L1688=1,MAX(0,R1688-G1688),MAX(0,Assumptions!$C$6-G1688))))</f>
        <v/>
      </c>
      <c r="AC1688">
        <f>IF(Y1688=1,Q1688-F1688,"")</f>
        <v/>
      </c>
      <c r="AD1688">
        <f>IF(Y1688=1,AC1688^2,"")</f>
        <v/>
      </c>
      <c r="AE1688" s="19">
        <f>IF(Z1688=1,(H1688-M1688)*I1688,0)</f>
        <v/>
      </c>
      <c r="AF1688">
        <f>IF(G1688&lt;EDATE(Assumptions!$C$6,-12)+1,"prior_12m","last_12m")</f>
        <v/>
      </c>
      <c r="AG1688" s="21">
        <f>DATE(YEAR(G1688),MONTH(G1688),1)</f>
        <v/>
      </c>
    </row>
    <row r="1689">
      <c r="A1689" t="inlineStr">
        <is>
          <t>SPO-00918-1</t>
        </is>
      </c>
      <c r="B1689" t="inlineStr">
        <is>
          <t>SPO-00918</t>
        </is>
      </c>
      <c r="C1689" t="inlineStr">
        <is>
          <t>SUP-09</t>
        </is>
      </c>
      <c r="D1689" t="inlineStr">
        <is>
          <t>CHEM</t>
        </is>
      </c>
      <c r="E1689" t="inlineStr">
        <is>
          <t>CHEM-05</t>
        </is>
      </c>
      <c r="F1689" s="17" t="n">
        <v>45822</v>
      </c>
      <c r="G1689" s="17" t="n">
        <v>45836</v>
      </c>
      <c r="H1689" s="18" t="n">
        <v>2</v>
      </c>
      <c r="I1689" s="19" t="n">
        <v>970.7</v>
      </c>
      <c r="J1689" s="19" t="n">
        <v>930</v>
      </c>
      <c r="K1689" s="20" t="n">
        <v>0</v>
      </c>
      <c r="L1689" s="20" t="n">
        <v>0</v>
      </c>
      <c r="M1689" s="18" t="n">
        <v>2</v>
      </c>
      <c r="N1689" s="18" t="n">
        <v>2</v>
      </c>
      <c r="O1689" s="18" t="n">
        <v>0</v>
      </c>
      <c r="P1689" s="17" t="n">
        <v>45834</v>
      </c>
      <c r="Q1689" s="17" t="n">
        <v>45834</v>
      </c>
      <c r="R1689" s="17" t="n">
        <v>45834</v>
      </c>
      <c r="S1689" s="19">
        <f>H1689*I1689</f>
        <v/>
      </c>
      <c r="T1689" s="19">
        <f>H1689*J1689</f>
        <v/>
      </c>
      <c r="U1689">
        <f>IF(AND(K1689=0,G1689&lt;=Assumptions!$C$6),1,0)</f>
        <v/>
      </c>
      <c r="V1689">
        <f>IF(U1689=1,IF(M1689&gt;0,IF(P1689&lt;=G1689+Assumptions!$C$7,1,0),0),0)</f>
        <v/>
      </c>
      <c r="W1689">
        <f>IF(AND(U1689=1,M1689&gt;=H1689*(1-Assumptions!$C$8)),1,0)</f>
        <v/>
      </c>
      <c r="X1689">
        <f>IF(AND(U1689=1,N1689&gt;=H1689*(1-Assumptions!$C$8)),1,0)</f>
        <v/>
      </c>
      <c r="Y1689">
        <f>IF(ISNUMBER(Q1689),1,0)</f>
        <v/>
      </c>
      <c r="Z1689">
        <f>IF(AND(K1689=0,L1689=0,Y1689=0),1,0)</f>
        <v/>
      </c>
      <c r="AA1689">
        <f>IF(AND(Z1689=1,G1689&lt;Assumptions!$C$6),1,0)</f>
        <v/>
      </c>
      <c r="AB1689">
        <f>IF(U1689=0,"",IF(Y1689=1,MAX(0,Q1689-G1689),IF(L1689=1,MAX(0,R1689-G1689),MAX(0,Assumptions!$C$6-G1689))))</f>
        <v/>
      </c>
      <c r="AC1689">
        <f>IF(Y1689=1,Q1689-F1689,"")</f>
        <v/>
      </c>
      <c r="AD1689">
        <f>IF(Y1689=1,AC1689^2,"")</f>
        <v/>
      </c>
      <c r="AE1689" s="19">
        <f>IF(Z1689=1,(H1689-M1689)*I1689,0)</f>
        <v/>
      </c>
      <c r="AF1689">
        <f>IF(G1689&lt;EDATE(Assumptions!$C$6,-12)+1,"prior_12m","last_12m")</f>
        <v/>
      </c>
      <c r="AG1689" s="21">
        <f>DATE(YEAR(G1689),MONTH(G1689),1)</f>
        <v/>
      </c>
    </row>
    <row r="1690">
      <c r="A1690" t="inlineStr">
        <is>
          <t>SPO-00918-2</t>
        </is>
      </c>
      <c r="B1690" t="inlineStr">
        <is>
          <t>SPO-00918</t>
        </is>
      </c>
      <c r="C1690" t="inlineStr">
        <is>
          <t>SUP-09</t>
        </is>
      </c>
      <c r="D1690" t="inlineStr">
        <is>
          <t>CHEM</t>
        </is>
      </c>
      <c r="E1690" t="inlineStr">
        <is>
          <t>CHEM-06</t>
        </is>
      </c>
      <c r="F1690" s="17" t="n">
        <v>45822</v>
      </c>
      <c r="G1690" s="17" t="n">
        <v>45836</v>
      </c>
      <c r="H1690" s="18" t="n">
        <v>2</v>
      </c>
      <c r="I1690" s="19" t="n">
        <v>391.27</v>
      </c>
      <c r="J1690" s="19" t="n">
        <v>380</v>
      </c>
      <c r="K1690" s="20" t="n">
        <v>0</v>
      </c>
      <c r="L1690" s="20" t="n">
        <v>0</v>
      </c>
      <c r="M1690" s="18" t="n">
        <v>2</v>
      </c>
      <c r="N1690" s="18" t="n">
        <v>2</v>
      </c>
      <c r="O1690" s="18" t="n">
        <v>0</v>
      </c>
      <c r="P1690" s="17" t="n">
        <v>45832</v>
      </c>
      <c r="Q1690" s="17" t="n">
        <v>45832</v>
      </c>
      <c r="R1690" s="17" t="n">
        <v>45832</v>
      </c>
      <c r="S1690" s="19">
        <f>H1690*I1690</f>
        <v/>
      </c>
      <c r="T1690" s="19">
        <f>H1690*J1690</f>
        <v/>
      </c>
      <c r="U1690">
        <f>IF(AND(K1690=0,G1690&lt;=Assumptions!$C$6),1,0)</f>
        <v/>
      </c>
      <c r="V1690">
        <f>IF(U1690=1,IF(M1690&gt;0,IF(P1690&lt;=G1690+Assumptions!$C$7,1,0),0),0)</f>
        <v/>
      </c>
      <c r="W1690">
        <f>IF(AND(U1690=1,M1690&gt;=H1690*(1-Assumptions!$C$8)),1,0)</f>
        <v/>
      </c>
      <c r="X1690">
        <f>IF(AND(U1690=1,N1690&gt;=H1690*(1-Assumptions!$C$8)),1,0)</f>
        <v/>
      </c>
      <c r="Y1690">
        <f>IF(ISNUMBER(Q1690),1,0)</f>
        <v/>
      </c>
      <c r="Z1690">
        <f>IF(AND(K1690=0,L1690=0,Y1690=0),1,0)</f>
        <v/>
      </c>
      <c r="AA1690">
        <f>IF(AND(Z1690=1,G1690&lt;Assumptions!$C$6),1,0)</f>
        <v/>
      </c>
      <c r="AB1690">
        <f>IF(U1690=0,"",IF(Y1690=1,MAX(0,Q1690-G1690),IF(L1690=1,MAX(0,R1690-G1690),MAX(0,Assumptions!$C$6-G1690))))</f>
        <v/>
      </c>
      <c r="AC1690">
        <f>IF(Y1690=1,Q1690-F1690,"")</f>
        <v/>
      </c>
      <c r="AD1690">
        <f>IF(Y1690=1,AC1690^2,"")</f>
        <v/>
      </c>
      <c r="AE1690" s="19">
        <f>IF(Z1690=1,(H1690-M1690)*I1690,0)</f>
        <v/>
      </c>
      <c r="AF1690">
        <f>IF(G1690&lt;EDATE(Assumptions!$C$6,-12)+1,"prior_12m","last_12m")</f>
        <v/>
      </c>
      <c r="AG1690" s="21">
        <f>DATE(YEAR(G1690),MONTH(G1690),1)</f>
        <v/>
      </c>
    </row>
    <row r="1691">
      <c r="A1691" t="inlineStr">
        <is>
          <t>SPO-00919-1</t>
        </is>
      </c>
      <c r="B1691" t="inlineStr">
        <is>
          <t>SPO-00919</t>
        </is>
      </c>
      <c r="C1691" t="inlineStr">
        <is>
          <t>SUP-01</t>
        </is>
      </c>
      <c r="D1691" t="inlineStr">
        <is>
          <t>ELEC</t>
        </is>
      </c>
      <c r="E1691" t="inlineStr">
        <is>
          <t>ELEC-08</t>
        </is>
      </c>
      <c r="F1691" s="17" t="n">
        <v>45822</v>
      </c>
      <c r="G1691" s="17" t="n">
        <v>45840</v>
      </c>
      <c r="H1691" s="18" t="n">
        <v>121</v>
      </c>
      <c r="I1691" s="19" t="n">
        <v>18.41</v>
      </c>
      <c r="J1691" s="19" t="n">
        <v>18</v>
      </c>
      <c r="K1691" s="20" t="n">
        <v>0</v>
      </c>
      <c r="L1691" s="20" t="n">
        <v>0</v>
      </c>
      <c r="M1691" s="18" t="n">
        <v>121</v>
      </c>
      <c r="N1691" s="18" t="n">
        <v>121</v>
      </c>
      <c r="O1691" s="18" t="n">
        <v>0</v>
      </c>
      <c r="P1691" s="17" t="n">
        <v>45839</v>
      </c>
      <c r="Q1691" s="17" t="n">
        <v>45839</v>
      </c>
      <c r="R1691" s="17" t="n">
        <v>45839</v>
      </c>
      <c r="S1691" s="19">
        <f>H1691*I1691</f>
        <v/>
      </c>
      <c r="T1691" s="19">
        <f>H1691*J1691</f>
        <v/>
      </c>
      <c r="U1691">
        <f>IF(AND(K1691=0,G1691&lt;=Assumptions!$C$6),1,0)</f>
        <v/>
      </c>
      <c r="V1691">
        <f>IF(U1691=1,IF(M1691&gt;0,IF(P1691&lt;=G1691+Assumptions!$C$7,1,0),0),0)</f>
        <v/>
      </c>
      <c r="W1691">
        <f>IF(AND(U1691=1,M1691&gt;=H1691*(1-Assumptions!$C$8)),1,0)</f>
        <v/>
      </c>
      <c r="X1691">
        <f>IF(AND(U1691=1,N1691&gt;=H1691*(1-Assumptions!$C$8)),1,0)</f>
        <v/>
      </c>
      <c r="Y1691">
        <f>IF(ISNUMBER(Q1691),1,0)</f>
        <v/>
      </c>
      <c r="Z1691">
        <f>IF(AND(K1691=0,L1691=0,Y1691=0),1,0)</f>
        <v/>
      </c>
      <c r="AA1691">
        <f>IF(AND(Z1691=1,G1691&lt;Assumptions!$C$6),1,0)</f>
        <v/>
      </c>
      <c r="AB1691">
        <f>IF(U1691=0,"",IF(Y1691=1,MAX(0,Q1691-G1691),IF(L1691=1,MAX(0,R1691-G1691),MAX(0,Assumptions!$C$6-G1691))))</f>
        <v/>
      </c>
      <c r="AC1691">
        <f>IF(Y1691=1,Q1691-F1691,"")</f>
        <v/>
      </c>
      <c r="AD1691">
        <f>IF(Y1691=1,AC1691^2,"")</f>
        <v/>
      </c>
      <c r="AE1691" s="19">
        <f>IF(Z1691=1,(H1691-M1691)*I1691,0)</f>
        <v/>
      </c>
      <c r="AF1691">
        <f>IF(G1691&lt;EDATE(Assumptions!$C$6,-12)+1,"prior_12m","last_12m")</f>
        <v/>
      </c>
      <c r="AG1691" s="21">
        <f>DATE(YEAR(G1691),MONTH(G1691),1)</f>
        <v/>
      </c>
    </row>
    <row r="1692">
      <c r="A1692" t="inlineStr">
        <is>
          <t>SPO-00920-1</t>
        </is>
      </c>
      <c r="B1692" t="inlineStr">
        <is>
          <t>SPO-00920</t>
        </is>
      </c>
      <c r="C1692" t="inlineStr">
        <is>
          <t>SUP-08</t>
        </is>
      </c>
      <c r="D1692" t="inlineStr">
        <is>
          <t>PPE</t>
        </is>
      </c>
      <c r="E1692" t="inlineStr">
        <is>
          <t>PPE-07</t>
        </is>
      </c>
      <c r="F1692" s="17" t="n">
        <v>45823</v>
      </c>
      <c r="G1692" s="17" t="n">
        <v>45834</v>
      </c>
      <c r="H1692" s="18" t="n">
        <v>50</v>
      </c>
      <c r="I1692" s="19" t="n">
        <v>30.54</v>
      </c>
      <c r="J1692" s="19" t="n">
        <v>31</v>
      </c>
      <c r="K1692" s="20" t="n">
        <v>0</v>
      </c>
      <c r="L1692" s="20" t="n">
        <v>0</v>
      </c>
      <c r="M1692" s="18" t="n">
        <v>50</v>
      </c>
      <c r="N1692" s="18" t="n">
        <v>50</v>
      </c>
      <c r="O1692" s="18" t="n">
        <v>0</v>
      </c>
      <c r="P1692" s="17" t="n">
        <v>45830</v>
      </c>
      <c r="Q1692" s="17" t="n">
        <v>45830</v>
      </c>
      <c r="R1692" s="17" t="n">
        <v>45830</v>
      </c>
      <c r="S1692" s="19">
        <f>H1692*I1692</f>
        <v/>
      </c>
      <c r="T1692" s="19">
        <f>H1692*J1692</f>
        <v/>
      </c>
      <c r="U1692">
        <f>IF(AND(K1692=0,G1692&lt;=Assumptions!$C$6),1,0)</f>
        <v/>
      </c>
      <c r="V1692">
        <f>IF(U1692=1,IF(M1692&gt;0,IF(P1692&lt;=G1692+Assumptions!$C$7,1,0),0),0)</f>
        <v/>
      </c>
      <c r="W1692">
        <f>IF(AND(U1692=1,M1692&gt;=H1692*(1-Assumptions!$C$8)),1,0)</f>
        <v/>
      </c>
      <c r="X1692">
        <f>IF(AND(U1692=1,N1692&gt;=H1692*(1-Assumptions!$C$8)),1,0)</f>
        <v/>
      </c>
      <c r="Y1692">
        <f>IF(ISNUMBER(Q1692),1,0)</f>
        <v/>
      </c>
      <c r="Z1692">
        <f>IF(AND(K1692=0,L1692=0,Y1692=0),1,0)</f>
        <v/>
      </c>
      <c r="AA1692">
        <f>IF(AND(Z1692=1,G1692&lt;Assumptions!$C$6),1,0)</f>
        <v/>
      </c>
      <c r="AB1692">
        <f>IF(U1692=0,"",IF(Y1692=1,MAX(0,Q1692-G1692),IF(L1692=1,MAX(0,R1692-G1692),MAX(0,Assumptions!$C$6-G1692))))</f>
        <v/>
      </c>
      <c r="AC1692">
        <f>IF(Y1692=1,Q1692-F1692,"")</f>
        <v/>
      </c>
      <c r="AD1692">
        <f>IF(Y1692=1,AC1692^2,"")</f>
        <v/>
      </c>
      <c r="AE1692" s="19">
        <f>IF(Z1692=1,(H1692-M1692)*I1692,0)</f>
        <v/>
      </c>
      <c r="AF1692">
        <f>IF(G1692&lt;EDATE(Assumptions!$C$6,-12)+1,"prior_12m","last_12m")</f>
        <v/>
      </c>
      <c r="AG1692" s="21">
        <f>DATE(YEAR(G1692),MONTH(G1692),1)</f>
        <v/>
      </c>
    </row>
    <row r="1693">
      <c r="A1693" t="inlineStr">
        <is>
          <t>SPO-00920-2</t>
        </is>
      </c>
      <c r="B1693" t="inlineStr">
        <is>
          <t>SPO-00920</t>
        </is>
      </c>
      <c r="C1693" t="inlineStr">
        <is>
          <t>SUP-08</t>
        </is>
      </c>
      <c r="D1693" t="inlineStr">
        <is>
          <t>PPE</t>
        </is>
      </c>
      <c r="E1693" t="inlineStr">
        <is>
          <t>PPE-04</t>
        </is>
      </c>
      <c r="F1693" s="17" t="n">
        <v>45823</v>
      </c>
      <c r="G1693" s="17" t="n">
        <v>45834</v>
      </c>
      <c r="H1693" s="18" t="n">
        <v>60</v>
      </c>
      <c r="I1693" s="19" t="n">
        <v>26.49</v>
      </c>
      <c r="J1693" s="19" t="n">
        <v>26</v>
      </c>
      <c r="K1693" s="20" t="n">
        <v>0</v>
      </c>
      <c r="L1693" s="20" t="n">
        <v>0</v>
      </c>
      <c r="M1693" s="18" t="n">
        <v>60</v>
      </c>
      <c r="N1693" s="18" t="n">
        <v>60</v>
      </c>
      <c r="O1693" s="18" t="n">
        <v>0</v>
      </c>
      <c r="P1693" s="17" t="n">
        <v>45832</v>
      </c>
      <c r="Q1693" s="17" t="n">
        <v>45832</v>
      </c>
      <c r="R1693" s="17" t="n">
        <v>45832</v>
      </c>
      <c r="S1693" s="19">
        <f>H1693*I1693</f>
        <v/>
      </c>
      <c r="T1693" s="19">
        <f>H1693*J1693</f>
        <v/>
      </c>
      <c r="U1693">
        <f>IF(AND(K1693=0,G1693&lt;=Assumptions!$C$6),1,0)</f>
        <v/>
      </c>
      <c r="V1693">
        <f>IF(U1693=1,IF(M1693&gt;0,IF(P1693&lt;=G1693+Assumptions!$C$7,1,0),0),0)</f>
        <v/>
      </c>
      <c r="W1693">
        <f>IF(AND(U1693=1,M1693&gt;=H1693*(1-Assumptions!$C$8)),1,0)</f>
        <v/>
      </c>
      <c r="X1693">
        <f>IF(AND(U1693=1,N1693&gt;=H1693*(1-Assumptions!$C$8)),1,0)</f>
        <v/>
      </c>
      <c r="Y1693">
        <f>IF(ISNUMBER(Q1693),1,0)</f>
        <v/>
      </c>
      <c r="Z1693">
        <f>IF(AND(K1693=0,L1693=0,Y1693=0),1,0)</f>
        <v/>
      </c>
      <c r="AA1693">
        <f>IF(AND(Z1693=1,G1693&lt;Assumptions!$C$6),1,0)</f>
        <v/>
      </c>
      <c r="AB1693">
        <f>IF(U1693=0,"",IF(Y1693=1,MAX(0,Q1693-G1693),IF(L1693=1,MAX(0,R1693-G1693),MAX(0,Assumptions!$C$6-G1693))))</f>
        <v/>
      </c>
      <c r="AC1693">
        <f>IF(Y1693=1,Q1693-F1693,"")</f>
        <v/>
      </c>
      <c r="AD1693">
        <f>IF(Y1693=1,AC1693^2,"")</f>
        <v/>
      </c>
      <c r="AE1693" s="19">
        <f>IF(Z1693=1,(H1693-M1693)*I1693,0)</f>
        <v/>
      </c>
      <c r="AF1693">
        <f>IF(G1693&lt;EDATE(Assumptions!$C$6,-12)+1,"prior_12m","last_12m")</f>
        <v/>
      </c>
      <c r="AG1693" s="21">
        <f>DATE(YEAR(G1693),MONTH(G1693),1)</f>
        <v/>
      </c>
    </row>
    <row r="1694">
      <c r="A1694" t="inlineStr">
        <is>
          <t>SPO-00920-3</t>
        </is>
      </c>
      <c r="B1694" t="inlineStr">
        <is>
          <t>SPO-00920</t>
        </is>
      </c>
      <c r="C1694" t="inlineStr">
        <is>
          <t>SUP-08</t>
        </is>
      </c>
      <c r="D1694" t="inlineStr">
        <is>
          <t>PPE</t>
        </is>
      </c>
      <c r="E1694" t="inlineStr">
        <is>
          <t>PPE-08</t>
        </is>
      </c>
      <c r="F1694" s="17" t="n">
        <v>45823</v>
      </c>
      <c r="G1694" s="17" t="n">
        <v>45834</v>
      </c>
      <c r="H1694" s="18" t="n">
        <v>24</v>
      </c>
      <c r="I1694" s="19" t="n">
        <v>66.77</v>
      </c>
      <c r="J1694" s="19" t="n">
        <v>64</v>
      </c>
      <c r="K1694" s="20" t="n">
        <v>0</v>
      </c>
      <c r="L1694" s="20" t="n">
        <v>0</v>
      </c>
      <c r="M1694" s="18" t="n">
        <v>24</v>
      </c>
      <c r="N1694" s="18" t="n">
        <v>24</v>
      </c>
      <c r="O1694" s="18" t="n">
        <v>0</v>
      </c>
      <c r="P1694" s="17" t="n">
        <v>45834</v>
      </c>
      <c r="Q1694" s="17" t="n">
        <v>45834</v>
      </c>
      <c r="R1694" s="17" t="n">
        <v>45834</v>
      </c>
      <c r="S1694" s="19">
        <f>H1694*I1694</f>
        <v/>
      </c>
      <c r="T1694" s="19">
        <f>H1694*J1694</f>
        <v/>
      </c>
      <c r="U1694">
        <f>IF(AND(K1694=0,G1694&lt;=Assumptions!$C$6),1,0)</f>
        <v/>
      </c>
      <c r="V1694">
        <f>IF(U1694=1,IF(M1694&gt;0,IF(P1694&lt;=G1694+Assumptions!$C$7,1,0),0),0)</f>
        <v/>
      </c>
      <c r="W1694">
        <f>IF(AND(U1694=1,M1694&gt;=H1694*(1-Assumptions!$C$8)),1,0)</f>
        <v/>
      </c>
      <c r="X1694">
        <f>IF(AND(U1694=1,N1694&gt;=H1694*(1-Assumptions!$C$8)),1,0)</f>
        <v/>
      </c>
      <c r="Y1694">
        <f>IF(ISNUMBER(Q1694),1,0)</f>
        <v/>
      </c>
      <c r="Z1694">
        <f>IF(AND(K1694=0,L1694=0,Y1694=0),1,0)</f>
        <v/>
      </c>
      <c r="AA1694">
        <f>IF(AND(Z1694=1,G1694&lt;Assumptions!$C$6),1,0)</f>
        <v/>
      </c>
      <c r="AB1694">
        <f>IF(U1694=0,"",IF(Y1694=1,MAX(0,Q1694-G1694),IF(L1694=1,MAX(0,R1694-G1694),MAX(0,Assumptions!$C$6-G1694))))</f>
        <v/>
      </c>
      <c r="AC1694">
        <f>IF(Y1694=1,Q1694-F1694,"")</f>
        <v/>
      </c>
      <c r="AD1694">
        <f>IF(Y1694=1,AC1694^2,"")</f>
        <v/>
      </c>
      <c r="AE1694" s="19">
        <f>IF(Z1694=1,(H1694-M1694)*I1694,0)</f>
        <v/>
      </c>
      <c r="AF1694">
        <f>IF(G1694&lt;EDATE(Assumptions!$C$6,-12)+1,"prior_12m","last_12m")</f>
        <v/>
      </c>
      <c r="AG1694" s="21">
        <f>DATE(YEAR(G1694),MONTH(G1694),1)</f>
        <v/>
      </c>
    </row>
    <row r="1695">
      <c r="A1695" t="inlineStr">
        <is>
          <t>SPO-00921-1</t>
        </is>
      </c>
      <c r="B1695" t="inlineStr">
        <is>
          <t>SPO-00921</t>
        </is>
      </c>
      <c r="C1695" t="inlineStr">
        <is>
          <t>SUP-06</t>
        </is>
      </c>
      <c r="D1695" t="inlineStr">
        <is>
          <t>MRO</t>
        </is>
      </c>
      <c r="E1695" t="inlineStr">
        <is>
          <t>MRO-07</t>
        </is>
      </c>
      <c r="F1695" s="17" t="n">
        <v>45823</v>
      </c>
      <c r="G1695" s="17" t="n">
        <v>45831</v>
      </c>
      <c r="H1695" s="18" t="n">
        <v>156</v>
      </c>
      <c r="I1695" s="19" t="n">
        <v>14.02</v>
      </c>
      <c r="J1695" s="19" t="n">
        <v>14</v>
      </c>
      <c r="K1695" s="20" t="n">
        <v>0</v>
      </c>
      <c r="L1695" s="20" t="n">
        <v>0</v>
      </c>
      <c r="M1695" s="18" t="n">
        <v>156</v>
      </c>
      <c r="N1695" s="18" t="n">
        <v>156</v>
      </c>
      <c r="O1695" s="18" t="n">
        <v>0</v>
      </c>
      <c r="P1695" s="17" t="n">
        <v>45827</v>
      </c>
      <c r="Q1695" s="17" t="n">
        <v>45827</v>
      </c>
      <c r="R1695" s="17" t="n">
        <v>45827</v>
      </c>
      <c r="S1695" s="19">
        <f>H1695*I1695</f>
        <v/>
      </c>
      <c r="T1695" s="19">
        <f>H1695*J1695</f>
        <v/>
      </c>
      <c r="U1695">
        <f>IF(AND(K1695=0,G1695&lt;=Assumptions!$C$6),1,0)</f>
        <v/>
      </c>
      <c r="V1695">
        <f>IF(U1695=1,IF(M1695&gt;0,IF(P1695&lt;=G1695+Assumptions!$C$7,1,0),0),0)</f>
        <v/>
      </c>
      <c r="W1695">
        <f>IF(AND(U1695=1,M1695&gt;=H1695*(1-Assumptions!$C$8)),1,0)</f>
        <v/>
      </c>
      <c r="X1695">
        <f>IF(AND(U1695=1,N1695&gt;=H1695*(1-Assumptions!$C$8)),1,0)</f>
        <v/>
      </c>
      <c r="Y1695">
        <f>IF(ISNUMBER(Q1695),1,0)</f>
        <v/>
      </c>
      <c r="Z1695">
        <f>IF(AND(K1695=0,L1695=0,Y1695=0),1,0)</f>
        <v/>
      </c>
      <c r="AA1695">
        <f>IF(AND(Z1695=1,G1695&lt;Assumptions!$C$6),1,0)</f>
        <v/>
      </c>
      <c r="AB1695">
        <f>IF(U1695=0,"",IF(Y1695=1,MAX(0,Q1695-G1695),IF(L1695=1,MAX(0,R1695-G1695),MAX(0,Assumptions!$C$6-G1695))))</f>
        <v/>
      </c>
      <c r="AC1695">
        <f>IF(Y1695=1,Q1695-F1695,"")</f>
        <v/>
      </c>
      <c r="AD1695">
        <f>IF(Y1695=1,AC1695^2,"")</f>
        <v/>
      </c>
      <c r="AE1695" s="19">
        <f>IF(Z1695=1,(H1695-M1695)*I1695,0)</f>
        <v/>
      </c>
      <c r="AF1695">
        <f>IF(G1695&lt;EDATE(Assumptions!$C$6,-12)+1,"prior_12m","last_12m")</f>
        <v/>
      </c>
      <c r="AG1695" s="21">
        <f>DATE(YEAR(G1695),MONTH(G1695),1)</f>
        <v/>
      </c>
    </row>
    <row r="1696">
      <c r="A1696" t="inlineStr">
        <is>
          <t>SPO-00921-2</t>
        </is>
      </c>
      <c r="B1696" t="inlineStr">
        <is>
          <t>SPO-00921</t>
        </is>
      </c>
      <c r="C1696" t="inlineStr">
        <is>
          <t>SUP-06</t>
        </is>
      </c>
      <c r="D1696" t="inlineStr">
        <is>
          <t>MRO</t>
        </is>
      </c>
      <c r="E1696" t="inlineStr">
        <is>
          <t>MRO-06</t>
        </is>
      </c>
      <c r="F1696" s="17" t="n">
        <v>45823</v>
      </c>
      <c r="G1696" s="17" t="n">
        <v>45831</v>
      </c>
      <c r="H1696" s="18" t="n">
        <v>310</v>
      </c>
      <c r="I1696" s="19" t="n">
        <v>5.87</v>
      </c>
      <c r="J1696" s="19" t="n">
        <v>6.1</v>
      </c>
      <c r="K1696" s="20" t="n">
        <v>0</v>
      </c>
      <c r="L1696" s="20" t="n">
        <v>0</v>
      </c>
      <c r="M1696" s="18" t="n">
        <v>310</v>
      </c>
      <c r="N1696" s="18" t="n">
        <v>310</v>
      </c>
      <c r="O1696" s="18" t="n">
        <v>0</v>
      </c>
      <c r="P1696" s="17" t="n">
        <v>45831</v>
      </c>
      <c r="Q1696" s="17" t="n">
        <v>45831</v>
      </c>
      <c r="R1696" s="17" t="n">
        <v>45831</v>
      </c>
      <c r="S1696" s="19">
        <f>H1696*I1696</f>
        <v/>
      </c>
      <c r="T1696" s="19">
        <f>H1696*J1696</f>
        <v/>
      </c>
      <c r="U1696">
        <f>IF(AND(K1696=0,G1696&lt;=Assumptions!$C$6),1,0)</f>
        <v/>
      </c>
      <c r="V1696">
        <f>IF(U1696=1,IF(M1696&gt;0,IF(P1696&lt;=G1696+Assumptions!$C$7,1,0),0),0)</f>
        <v/>
      </c>
      <c r="W1696">
        <f>IF(AND(U1696=1,M1696&gt;=H1696*(1-Assumptions!$C$8)),1,0)</f>
        <v/>
      </c>
      <c r="X1696">
        <f>IF(AND(U1696=1,N1696&gt;=H1696*(1-Assumptions!$C$8)),1,0)</f>
        <v/>
      </c>
      <c r="Y1696">
        <f>IF(ISNUMBER(Q1696),1,0)</f>
        <v/>
      </c>
      <c r="Z1696">
        <f>IF(AND(K1696=0,L1696=0,Y1696=0),1,0)</f>
        <v/>
      </c>
      <c r="AA1696">
        <f>IF(AND(Z1696=1,G1696&lt;Assumptions!$C$6),1,0)</f>
        <v/>
      </c>
      <c r="AB1696">
        <f>IF(U1696=0,"",IF(Y1696=1,MAX(0,Q1696-G1696),IF(L1696=1,MAX(0,R1696-G1696),MAX(0,Assumptions!$C$6-G1696))))</f>
        <v/>
      </c>
      <c r="AC1696">
        <f>IF(Y1696=1,Q1696-F1696,"")</f>
        <v/>
      </c>
      <c r="AD1696">
        <f>IF(Y1696=1,AC1696^2,"")</f>
        <v/>
      </c>
      <c r="AE1696" s="19">
        <f>IF(Z1696=1,(H1696-M1696)*I1696,0)</f>
        <v/>
      </c>
      <c r="AF1696">
        <f>IF(G1696&lt;EDATE(Assumptions!$C$6,-12)+1,"prior_12m","last_12m")</f>
        <v/>
      </c>
      <c r="AG1696" s="21">
        <f>DATE(YEAR(G1696),MONTH(G1696),1)</f>
        <v/>
      </c>
    </row>
    <row r="1697">
      <c r="A1697" t="inlineStr">
        <is>
          <t>SPO-00921-3</t>
        </is>
      </c>
      <c r="B1697" t="inlineStr">
        <is>
          <t>SPO-00921</t>
        </is>
      </c>
      <c r="C1697" t="inlineStr">
        <is>
          <t>SUP-06</t>
        </is>
      </c>
      <c r="D1697" t="inlineStr">
        <is>
          <t>MRO</t>
        </is>
      </c>
      <c r="E1697" t="inlineStr">
        <is>
          <t>MRO-03</t>
        </is>
      </c>
      <c r="F1697" s="17" t="n">
        <v>45823</v>
      </c>
      <c r="G1697" s="17" t="n">
        <v>45831</v>
      </c>
      <c r="H1697" s="18" t="n">
        <v>120</v>
      </c>
      <c r="I1697" s="19" t="n">
        <v>8.57</v>
      </c>
      <c r="J1697" s="19" t="n">
        <v>8.9</v>
      </c>
      <c r="K1697" s="20" t="n">
        <v>0</v>
      </c>
      <c r="L1697" s="20" t="n">
        <v>0</v>
      </c>
      <c r="M1697" s="18" t="n">
        <v>120</v>
      </c>
      <c r="N1697" s="18" t="n">
        <v>120</v>
      </c>
      <c r="O1697" s="18" t="n">
        <v>0</v>
      </c>
      <c r="P1697" s="17" t="n">
        <v>45829</v>
      </c>
      <c r="Q1697" s="17" t="n">
        <v>45829</v>
      </c>
      <c r="R1697" s="17" t="n">
        <v>45829</v>
      </c>
      <c r="S1697" s="19">
        <f>H1697*I1697</f>
        <v/>
      </c>
      <c r="T1697" s="19">
        <f>H1697*J1697</f>
        <v/>
      </c>
      <c r="U1697">
        <f>IF(AND(K1697=0,G1697&lt;=Assumptions!$C$6),1,0)</f>
        <v/>
      </c>
      <c r="V1697">
        <f>IF(U1697=1,IF(M1697&gt;0,IF(P1697&lt;=G1697+Assumptions!$C$7,1,0),0),0)</f>
        <v/>
      </c>
      <c r="W1697">
        <f>IF(AND(U1697=1,M1697&gt;=H1697*(1-Assumptions!$C$8)),1,0)</f>
        <v/>
      </c>
      <c r="X1697">
        <f>IF(AND(U1697=1,N1697&gt;=H1697*(1-Assumptions!$C$8)),1,0)</f>
        <v/>
      </c>
      <c r="Y1697">
        <f>IF(ISNUMBER(Q1697),1,0)</f>
        <v/>
      </c>
      <c r="Z1697">
        <f>IF(AND(K1697=0,L1697=0,Y1697=0),1,0)</f>
        <v/>
      </c>
      <c r="AA1697">
        <f>IF(AND(Z1697=1,G1697&lt;Assumptions!$C$6),1,0)</f>
        <v/>
      </c>
      <c r="AB1697">
        <f>IF(U1697=0,"",IF(Y1697=1,MAX(0,Q1697-G1697),IF(L1697=1,MAX(0,R1697-G1697),MAX(0,Assumptions!$C$6-G1697))))</f>
        <v/>
      </c>
      <c r="AC1697">
        <f>IF(Y1697=1,Q1697-F1697,"")</f>
        <v/>
      </c>
      <c r="AD1697">
        <f>IF(Y1697=1,AC1697^2,"")</f>
        <v/>
      </c>
      <c r="AE1697" s="19">
        <f>IF(Z1697=1,(H1697-M1697)*I1697,0)</f>
        <v/>
      </c>
      <c r="AF1697">
        <f>IF(G1697&lt;EDATE(Assumptions!$C$6,-12)+1,"prior_12m","last_12m")</f>
        <v/>
      </c>
      <c r="AG1697" s="21">
        <f>DATE(YEAR(G1697),MONTH(G1697),1)</f>
        <v/>
      </c>
    </row>
    <row r="1698">
      <c r="A1698" t="inlineStr">
        <is>
          <t>SPO-00922-1</t>
        </is>
      </c>
      <c r="B1698" t="inlineStr">
        <is>
          <t>SPO-00922</t>
        </is>
      </c>
      <c r="C1698" t="inlineStr">
        <is>
          <t>SUP-04</t>
        </is>
      </c>
      <c r="D1698" t="inlineStr">
        <is>
          <t>FLEET</t>
        </is>
      </c>
      <c r="E1698" t="inlineStr">
        <is>
          <t>FLEET-03</t>
        </is>
      </c>
      <c r="F1698" s="17" t="n">
        <v>45823</v>
      </c>
      <c r="G1698" s="17" t="n">
        <v>45836</v>
      </c>
      <c r="H1698" s="18" t="n">
        <v>99</v>
      </c>
      <c r="I1698" s="19" t="n">
        <v>20.21</v>
      </c>
      <c r="J1698" s="19" t="n">
        <v>21</v>
      </c>
      <c r="K1698" s="20" t="n">
        <v>0</v>
      </c>
      <c r="L1698" s="20" t="n">
        <v>0</v>
      </c>
      <c r="M1698" s="18" t="n">
        <v>99</v>
      </c>
      <c r="N1698" s="18" t="n">
        <v>99</v>
      </c>
      <c r="O1698" s="18" t="n">
        <v>0</v>
      </c>
      <c r="P1698" s="17" t="n">
        <v>45828</v>
      </c>
      <c r="Q1698" s="17" t="n">
        <v>45828</v>
      </c>
      <c r="R1698" s="17" t="n">
        <v>45828</v>
      </c>
      <c r="S1698" s="19">
        <f>H1698*I1698</f>
        <v/>
      </c>
      <c r="T1698" s="19">
        <f>H1698*J1698</f>
        <v/>
      </c>
      <c r="U1698">
        <f>IF(AND(K1698=0,G1698&lt;=Assumptions!$C$6),1,0)</f>
        <v/>
      </c>
      <c r="V1698">
        <f>IF(U1698=1,IF(M1698&gt;0,IF(P1698&lt;=G1698+Assumptions!$C$7,1,0),0),0)</f>
        <v/>
      </c>
      <c r="W1698">
        <f>IF(AND(U1698=1,M1698&gt;=H1698*(1-Assumptions!$C$8)),1,0)</f>
        <v/>
      </c>
      <c r="X1698">
        <f>IF(AND(U1698=1,N1698&gt;=H1698*(1-Assumptions!$C$8)),1,0)</f>
        <v/>
      </c>
      <c r="Y1698">
        <f>IF(ISNUMBER(Q1698),1,0)</f>
        <v/>
      </c>
      <c r="Z1698">
        <f>IF(AND(K1698=0,L1698=0,Y1698=0),1,0)</f>
        <v/>
      </c>
      <c r="AA1698">
        <f>IF(AND(Z1698=1,G1698&lt;Assumptions!$C$6),1,0)</f>
        <v/>
      </c>
      <c r="AB1698">
        <f>IF(U1698=0,"",IF(Y1698=1,MAX(0,Q1698-G1698),IF(L1698=1,MAX(0,R1698-G1698),MAX(0,Assumptions!$C$6-G1698))))</f>
        <v/>
      </c>
      <c r="AC1698">
        <f>IF(Y1698=1,Q1698-F1698,"")</f>
        <v/>
      </c>
      <c r="AD1698">
        <f>IF(Y1698=1,AC1698^2,"")</f>
        <v/>
      </c>
      <c r="AE1698" s="19">
        <f>IF(Z1698=1,(H1698-M1698)*I1698,0)</f>
        <v/>
      </c>
      <c r="AF1698">
        <f>IF(G1698&lt;EDATE(Assumptions!$C$6,-12)+1,"prior_12m","last_12m")</f>
        <v/>
      </c>
      <c r="AG1698" s="21">
        <f>DATE(YEAR(G1698),MONTH(G1698),1)</f>
        <v/>
      </c>
    </row>
    <row r="1699">
      <c r="A1699" t="inlineStr">
        <is>
          <t>SPO-00922-2</t>
        </is>
      </c>
      <c r="B1699" t="inlineStr">
        <is>
          <t>SPO-00922</t>
        </is>
      </c>
      <c r="C1699" t="inlineStr">
        <is>
          <t>SUP-04</t>
        </is>
      </c>
      <c r="D1699" t="inlineStr">
        <is>
          <t>FLEET</t>
        </is>
      </c>
      <c r="E1699" t="inlineStr">
        <is>
          <t>FLEET-02</t>
        </is>
      </c>
      <c r="F1699" s="17" t="n">
        <v>45823</v>
      </c>
      <c r="G1699" s="17" t="n">
        <v>45836</v>
      </c>
      <c r="H1699" s="18" t="n">
        <v>103</v>
      </c>
      <c r="I1699" s="19" t="n">
        <v>7.26</v>
      </c>
      <c r="J1699" s="19" t="n">
        <v>7.5</v>
      </c>
      <c r="K1699" s="20" t="n">
        <v>0</v>
      </c>
      <c r="L1699" s="20" t="n">
        <v>0</v>
      </c>
      <c r="M1699" s="18" t="n">
        <v>103</v>
      </c>
      <c r="N1699" s="18" t="n">
        <v>0</v>
      </c>
      <c r="O1699" s="18" t="n">
        <v>0</v>
      </c>
      <c r="P1699" s="17" t="n">
        <v>45841</v>
      </c>
      <c r="Q1699" s="17" t="n">
        <v>45841</v>
      </c>
      <c r="R1699" s="17" t="n">
        <v>45841</v>
      </c>
      <c r="S1699" s="19">
        <f>H1699*I1699</f>
        <v/>
      </c>
      <c r="T1699" s="19">
        <f>H1699*J1699</f>
        <v/>
      </c>
      <c r="U1699">
        <f>IF(AND(K1699=0,G1699&lt;=Assumptions!$C$6),1,0)</f>
        <v/>
      </c>
      <c r="V1699">
        <f>IF(U1699=1,IF(M1699&gt;0,IF(P1699&lt;=G1699+Assumptions!$C$7,1,0),0),0)</f>
        <v/>
      </c>
      <c r="W1699">
        <f>IF(AND(U1699=1,M1699&gt;=H1699*(1-Assumptions!$C$8)),1,0)</f>
        <v/>
      </c>
      <c r="X1699">
        <f>IF(AND(U1699=1,N1699&gt;=H1699*(1-Assumptions!$C$8)),1,0)</f>
        <v/>
      </c>
      <c r="Y1699">
        <f>IF(ISNUMBER(Q1699),1,0)</f>
        <v/>
      </c>
      <c r="Z1699">
        <f>IF(AND(K1699=0,L1699=0,Y1699=0),1,0)</f>
        <v/>
      </c>
      <c r="AA1699">
        <f>IF(AND(Z1699=1,G1699&lt;Assumptions!$C$6),1,0)</f>
        <v/>
      </c>
      <c r="AB1699">
        <f>IF(U1699=0,"",IF(Y1699=1,MAX(0,Q1699-G1699),IF(L1699=1,MAX(0,R1699-G1699),MAX(0,Assumptions!$C$6-G1699))))</f>
        <v/>
      </c>
      <c r="AC1699">
        <f>IF(Y1699=1,Q1699-F1699,"")</f>
        <v/>
      </c>
      <c r="AD1699">
        <f>IF(Y1699=1,AC1699^2,"")</f>
        <v/>
      </c>
      <c r="AE1699" s="19">
        <f>IF(Z1699=1,(H1699-M1699)*I1699,0)</f>
        <v/>
      </c>
      <c r="AF1699">
        <f>IF(G1699&lt;EDATE(Assumptions!$C$6,-12)+1,"prior_12m","last_12m")</f>
        <v/>
      </c>
      <c r="AG1699" s="21">
        <f>DATE(YEAR(G1699),MONTH(G1699),1)</f>
        <v/>
      </c>
    </row>
    <row r="1700">
      <c r="A1700" t="inlineStr">
        <is>
          <t>SPO-00923-1</t>
        </is>
      </c>
      <c r="B1700" t="inlineStr">
        <is>
          <t>SPO-00923</t>
        </is>
      </c>
      <c r="C1700" t="inlineStr">
        <is>
          <t>SUP-06</t>
        </is>
      </c>
      <c r="D1700" t="inlineStr">
        <is>
          <t>MRO</t>
        </is>
      </c>
      <c r="E1700" t="inlineStr">
        <is>
          <t>MRO-01</t>
        </is>
      </c>
      <c r="F1700" s="17" t="n">
        <v>45823</v>
      </c>
      <c r="G1700" s="17" t="n">
        <v>45831</v>
      </c>
      <c r="H1700" s="18" t="n">
        <v>47</v>
      </c>
      <c r="I1700" s="19" t="n">
        <v>51.17</v>
      </c>
      <c r="J1700" s="19" t="n">
        <v>52</v>
      </c>
      <c r="K1700" s="20" t="n">
        <v>0</v>
      </c>
      <c r="L1700" s="20" t="n">
        <v>0</v>
      </c>
      <c r="M1700" s="18" t="n">
        <v>47</v>
      </c>
      <c r="N1700" s="18" t="n">
        <v>47</v>
      </c>
      <c r="O1700" s="18" t="n">
        <v>0</v>
      </c>
      <c r="P1700" s="17" t="n">
        <v>45828</v>
      </c>
      <c r="Q1700" s="17" t="n">
        <v>45828</v>
      </c>
      <c r="R1700" s="17" t="n">
        <v>45828</v>
      </c>
      <c r="S1700" s="19">
        <f>H1700*I1700</f>
        <v/>
      </c>
      <c r="T1700" s="19">
        <f>H1700*J1700</f>
        <v/>
      </c>
      <c r="U1700">
        <f>IF(AND(K1700=0,G1700&lt;=Assumptions!$C$6),1,0)</f>
        <v/>
      </c>
      <c r="V1700">
        <f>IF(U1700=1,IF(M1700&gt;0,IF(P1700&lt;=G1700+Assumptions!$C$7,1,0),0),0)</f>
        <v/>
      </c>
      <c r="W1700">
        <f>IF(AND(U1700=1,M1700&gt;=H1700*(1-Assumptions!$C$8)),1,0)</f>
        <v/>
      </c>
      <c r="X1700">
        <f>IF(AND(U1700=1,N1700&gt;=H1700*(1-Assumptions!$C$8)),1,0)</f>
        <v/>
      </c>
      <c r="Y1700">
        <f>IF(ISNUMBER(Q1700),1,0)</f>
        <v/>
      </c>
      <c r="Z1700">
        <f>IF(AND(K1700=0,L1700=0,Y1700=0),1,0)</f>
        <v/>
      </c>
      <c r="AA1700">
        <f>IF(AND(Z1700=1,G1700&lt;Assumptions!$C$6),1,0)</f>
        <v/>
      </c>
      <c r="AB1700">
        <f>IF(U1700=0,"",IF(Y1700=1,MAX(0,Q1700-G1700),IF(L1700=1,MAX(0,R1700-G1700),MAX(0,Assumptions!$C$6-G1700))))</f>
        <v/>
      </c>
      <c r="AC1700">
        <f>IF(Y1700=1,Q1700-F1700,"")</f>
        <v/>
      </c>
      <c r="AD1700">
        <f>IF(Y1700=1,AC1700^2,"")</f>
        <v/>
      </c>
      <c r="AE1700" s="19">
        <f>IF(Z1700=1,(H1700-M1700)*I1700,0)</f>
        <v/>
      </c>
      <c r="AF1700">
        <f>IF(G1700&lt;EDATE(Assumptions!$C$6,-12)+1,"prior_12m","last_12m")</f>
        <v/>
      </c>
      <c r="AG1700" s="21">
        <f>DATE(YEAR(G1700),MONTH(G1700),1)</f>
        <v/>
      </c>
    </row>
    <row r="1701">
      <c r="A1701" t="inlineStr">
        <is>
          <t>SPO-00923-2</t>
        </is>
      </c>
      <c r="B1701" t="inlineStr">
        <is>
          <t>SPO-00923</t>
        </is>
      </c>
      <c r="C1701" t="inlineStr">
        <is>
          <t>SUP-06</t>
        </is>
      </c>
      <c r="D1701" t="inlineStr">
        <is>
          <t>MRO</t>
        </is>
      </c>
      <c r="E1701" t="inlineStr">
        <is>
          <t>MRO-08</t>
        </is>
      </c>
      <c r="F1701" s="17" t="n">
        <v>45823</v>
      </c>
      <c r="G1701" s="17" t="n">
        <v>45831</v>
      </c>
      <c r="H1701" s="18" t="n">
        <v>316</v>
      </c>
      <c r="I1701" s="19" t="n">
        <v>7.08</v>
      </c>
      <c r="J1701" s="19" t="n">
        <v>7.2</v>
      </c>
      <c r="K1701" s="20" t="n">
        <v>0</v>
      </c>
      <c r="L1701" s="20" t="n">
        <v>0</v>
      </c>
      <c r="M1701" s="18" t="n">
        <v>316</v>
      </c>
      <c r="N1701" s="18" t="n">
        <v>316</v>
      </c>
      <c r="O1701" s="18" t="n">
        <v>0</v>
      </c>
      <c r="P1701" s="17" t="n">
        <v>45830</v>
      </c>
      <c r="Q1701" s="17" t="n">
        <v>45830</v>
      </c>
      <c r="R1701" s="17" t="n">
        <v>45830</v>
      </c>
      <c r="S1701" s="19">
        <f>H1701*I1701</f>
        <v/>
      </c>
      <c r="T1701" s="19">
        <f>H1701*J1701</f>
        <v/>
      </c>
      <c r="U1701">
        <f>IF(AND(K1701=0,G1701&lt;=Assumptions!$C$6),1,0)</f>
        <v/>
      </c>
      <c r="V1701">
        <f>IF(U1701=1,IF(M1701&gt;0,IF(P1701&lt;=G1701+Assumptions!$C$7,1,0),0),0)</f>
        <v/>
      </c>
      <c r="W1701">
        <f>IF(AND(U1701=1,M1701&gt;=H1701*(1-Assumptions!$C$8)),1,0)</f>
        <v/>
      </c>
      <c r="X1701">
        <f>IF(AND(U1701=1,N1701&gt;=H1701*(1-Assumptions!$C$8)),1,0)</f>
        <v/>
      </c>
      <c r="Y1701">
        <f>IF(ISNUMBER(Q1701),1,0)</f>
        <v/>
      </c>
      <c r="Z1701">
        <f>IF(AND(K1701=0,L1701=0,Y1701=0),1,0)</f>
        <v/>
      </c>
      <c r="AA1701">
        <f>IF(AND(Z1701=1,G1701&lt;Assumptions!$C$6),1,0)</f>
        <v/>
      </c>
      <c r="AB1701">
        <f>IF(U1701=0,"",IF(Y1701=1,MAX(0,Q1701-G1701),IF(L1701=1,MAX(0,R1701-G1701),MAX(0,Assumptions!$C$6-G1701))))</f>
        <v/>
      </c>
      <c r="AC1701">
        <f>IF(Y1701=1,Q1701-F1701,"")</f>
        <v/>
      </c>
      <c r="AD1701">
        <f>IF(Y1701=1,AC1701^2,"")</f>
        <v/>
      </c>
      <c r="AE1701" s="19">
        <f>IF(Z1701=1,(H1701-M1701)*I1701,0)</f>
        <v/>
      </c>
      <c r="AF1701">
        <f>IF(G1701&lt;EDATE(Assumptions!$C$6,-12)+1,"prior_12m","last_12m")</f>
        <v/>
      </c>
      <c r="AG1701" s="21">
        <f>DATE(YEAR(G1701),MONTH(G1701),1)</f>
        <v/>
      </c>
    </row>
    <row r="1702">
      <c r="A1702" t="inlineStr">
        <is>
          <t>SPO-00924-1</t>
        </is>
      </c>
      <c r="B1702" t="inlineStr">
        <is>
          <t>SPO-00924</t>
        </is>
      </c>
      <c r="C1702" t="inlineStr">
        <is>
          <t>SUP-05</t>
        </is>
      </c>
      <c r="D1702" t="inlineStr">
        <is>
          <t>FLEET</t>
        </is>
      </c>
      <c r="E1702" t="inlineStr">
        <is>
          <t>FLEET-01</t>
        </is>
      </c>
      <c r="F1702" s="17" t="n">
        <v>45823</v>
      </c>
      <c r="G1702" s="17" t="n">
        <v>45837</v>
      </c>
      <c r="H1702" s="18" t="n">
        <v>12</v>
      </c>
      <c r="I1702" s="19" t="n">
        <v>60.88</v>
      </c>
      <c r="J1702" s="19" t="n">
        <v>64</v>
      </c>
      <c r="K1702" s="20" t="n">
        <v>0</v>
      </c>
      <c r="L1702" s="20" t="n">
        <v>0</v>
      </c>
      <c r="M1702" s="18" t="n">
        <v>12</v>
      </c>
      <c r="N1702" s="18" t="n">
        <v>12</v>
      </c>
      <c r="O1702" s="18" t="n">
        <v>0</v>
      </c>
      <c r="P1702" s="17" t="n">
        <v>45835</v>
      </c>
      <c r="Q1702" s="17" t="n">
        <v>45835</v>
      </c>
      <c r="R1702" s="17" t="n">
        <v>45835</v>
      </c>
      <c r="S1702" s="19">
        <f>H1702*I1702</f>
        <v/>
      </c>
      <c r="T1702" s="19">
        <f>H1702*J1702</f>
        <v/>
      </c>
      <c r="U1702">
        <f>IF(AND(K1702=0,G1702&lt;=Assumptions!$C$6),1,0)</f>
        <v/>
      </c>
      <c r="V1702">
        <f>IF(U1702=1,IF(M1702&gt;0,IF(P1702&lt;=G1702+Assumptions!$C$7,1,0),0),0)</f>
        <v/>
      </c>
      <c r="W1702">
        <f>IF(AND(U1702=1,M1702&gt;=H1702*(1-Assumptions!$C$8)),1,0)</f>
        <v/>
      </c>
      <c r="X1702">
        <f>IF(AND(U1702=1,N1702&gt;=H1702*(1-Assumptions!$C$8)),1,0)</f>
        <v/>
      </c>
      <c r="Y1702">
        <f>IF(ISNUMBER(Q1702),1,0)</f>
        <v/>
      </c>
      <c r="Z1702">
        <f>IF(AND(K1702=0,L1702=0,Y1702=0),1,0)</f>
        <v/>
      </c>
      <c r="AA1702">
        <f>IF(AND(Z1702=1,G1702&lt;Assumptions!$C$6),1,0)</f>
        <v/>
      </c>
      <c r="AB1702">
        <f>IF(U1702=0,"",IF(Y1702=1,MAX(0,Q1702-G1702),IF(L1702=1,MAX(0,R1702-G1702),MAX(0,Assumptions!$C$6-G1702))))</f>
        <v/>
      </c>
      <c r="AC1702">
        <f>IF(Y1702=1,Q1702-F1702,"")</f>
        <v/>
      </c>
      <c r="AD1702">
        <f>IF(Y1702=1,AC1702^2,"")</f>
        <v/>
      </c>
      <c r="AE1702" s="19">
        <f>IF(Z1702=1,(H1702-M1702)*I1702,0)</f>
        <v/>
      </c>
      <c r="AF1702">
        <f>IF(G1702&lt;EDATE(Assumptions!$C$6,-12)+1,"prior_12m","last_12m")</f>
        <v/>
      </c>
      <c r="AG1702" s="21">
        <f>DATE(YEAR(G1702),MONTH(G1702),1)</f>
        <v/>
      </c>
    </row>
    <row r="1703">
      <c r="A1703" t="inlineStr">
        <is>
          <t>SPO-00925-1</t>
        </is>
      </c>
      <c r="B1703" t="inlineStr">
        <is>
          <t>SPO-00925</t>
        </is>
      </c>
      <c r="C1703" t="inlineStr">
        <is>
          <t>SUP-10</t>
        </is>
      </c>
      <c r="D1703" t="inlineStr">
        <is>
          <t>PPE</t>
        </is>
      </c>
      <c r="E1703" t="inlineStr">
        <is>
          <t>PPE-07</t>
        </is>
      </c>
      <c r="F1703" s="17" t="n">
        <v>45823</v>
      </c>
      <c r="G1703" s="17" t="n">
        <v>45836</v>
      </c>
      <c r="H1703" s="18" t="n">
        <v>25</v>
      </c>
      <c r="I1703" s="19" t="n">
        <v>29.93</v>
      </c>
      <c r="J1703" s="19" t="n">
        <v>31</v>
      </c>
      <c r="K1703" s="20" t="n">
        <v>1</v>
      </c>
      <c r="L1703" s="20" t="n">
        <v>0</v>
      </c>
      <c r="M1703" s="18" t="n">
        <v>0</v>
      </c>
      <c r="N1703" s="18" t="n">
        <v>0</v>
      </c>
      <c r="O1703" s="18" t="n">
        <v>0</v>
      </c>
      <c r="P1703" s="17" t="n"/>
      <c r="Q1703" s="17" t="n"/>
      <c r="R1703" s="17" t="n"/>
      <c r="S1703" s="19">
        <f>H1703*I1703</f>
        <v/>
      </c>
      <c r="T1703" s="19">
        <f>H1703*J1703</f>
        <v/>
      </c>
      <c r="U1703">
        <f>IF(AND(K1703=0,G1703&lt;=Assumptions!$C$6),1,0)</f>
        <v/>
      </c>
      <c r="V1703">
        <f>IF(U1703=1,IF(M1703&gt;0,IF(P1703&lt;=G1703+Assumptions!$C$7,1,0),0),0)</f>
        <v/>
      </c>
      <c r="W1703">
        <f>IF(AND(U1703=1,M1703&gt;=H1703*(1-Assumptions!$C$8)),1,0)</f>
        <v/>
      </c>
      <c r="X1703">
        <f>IF(AND(U1703=1,N1703&gt;=H1703*(1-Assumptions!$C$8)),1,0)</f>
        <v/>
      </c>
      <c r="Y1703">
        <f>IF(ISNUMBER(Q1703),1,0)</f>
        <v/>
      </c>
      <c r="Z1703">
        <f>IF(AND(K1703=0,L1703=0,Y1703=0),1,0)</f>
        <v/>
      </c>
      <c r="AA1703">
        <f>IF(AND(Z1703=1,G1703&lt;Assumptions!$C$6),1,0)</f>
        <v/>
      </c>
      <c r="AB1703">
        <f>IF(U1703=0,"",IF(Y1703=1,MAX(0,Q1703-G1703),IF(L1703=1,MAX(0,R1703-G1703),MAX(0,Assumptions!$C$6-G1703))))</f>
        <v/>
      </c>
      <c r="AC1703">
        <f>IF(Y1703=1,Q1703-F1703,"")</f>
        <v/>
      </c>
      <c r="AD1703">
        <f>IF(Y1703=1,AC1703^2,"")</f>
        <v/>
      </c>
      <c r="AE1703" s="19">
        <f>IF(Z1703=1,(H1703-M1703)*I1703,0)</f>
        <v/>
      </c>
      <c r="AF1703">
        <f>IF(G1703&lt;EDATE(Assumptions!$C$6,-12)+1,"prior_12m","last_12m")</f>
        <v/>
      </c>
      <c r="AG1703" s="21">
        <f>DATE(YEAR(G1703),MONTH(G1703),1)</f>
        <v/>
      </c>
    </row>
    <row r="1704">
      <c r="A1704" t="inlineStr">
        <is>
          <t>SPO-00925-2</t>
        </is>
      </c>
      <c r="B1704" t="inlineStr">
        <is>
          <t>SPO-00925</t>
        </is>
      </c>
      <c r="C1704" t="inlineStr">
        <is>
          <t>SUP-10</t>
        </is>
      </c>
      <c r="D1704" t="inlineStr">
        <is>
          <t>PPE</t>
        </is>
      </c>
      <c r="E1704" t="inlineStr">
        <is>
          <t>PPE-02</t>
        </is>
      </c>
      <c r="F1704" s="17" t="n">
        <v>45823</v>
      </c>
      <c r="G1704" s="17" t="n">
        <v>45836</v>
      </c>
      <c r="H1704" s="18" t="n">
        <v>176</v>
      </c>
      <c r="I1704" s="19" t="n">
        <v>11.55</v>
      </c>
      <c r="J1704" s="19" t="n">
        <v>12.5</v>
      </c>
      <c r="K1704" s="20" t="n">
        <v>0</v>
      </c>
      <c r="L1704" s="20" t="n">
        <v>0</v>
      </c>
      <c r="M1704" s="18" t="n">
        <v>176</v>
      </c>
      <c r="N1704" s="18" t="n">
        <v>176</v>
      </c>
      <c r="O1704" s="18" t="n">
        <v>0</v>
      </c>
      <c r="P1704" s="17" t="n">
        <v>45832</v>
      </c>
      <c r="Q1704" s="17" t="n">
        <v>45832</v>
      </c>
      <c r="R1704" s="17" t="n">
        <v>45832</v>
      </c>
      <c r="S1704" s="19">
        <f>H1704*I1704</f>
        <v/>
      </c>
      <c r="T1704" s="19">
        <f>H1704*J1704</f>
        <v/>
      </c>
      <c r="U1704">
        <f>IF(AND(K1704=0,G1704&lt;=Assumptions!$C$6),1,0)</f>
        <v/>
      </c>
      <c r="V1704">
        <f>IF(U1704=1,IF(M1704&gt;0,IF(P1704&lt;=G1704+Assumptions!$C$7,1,0),0),0)</f>
        <v/>
      </c>
      <c r="W1704">
        <f>IF(AND(U1704=1,M1704&gt;=H1704*(1-Assumptions!$C$8)),1,0)</f>
        <v/>
      </c>
      <c r="X1704">
        <f>IF(AND(U1704=1,N1704&gt;=H1704*(1-Assumptions!$C$8)),1,0)</f>
        <v/>
      </c>
      <c r="Y1704">
        <f>IF(ISNUMBER(Q1704),1,0)</f>
        <v/>
      </c>
      <c r="Z1704">
        <f>IF(AND(K1704=0,L1704=0,Y1704=0),1,0)</f>
        <v/>
      </c>
      <c r="AA1704">
        <f>IF(AND(Z1704=1,G1704&lt;Assumptions!$C$6),1,0)</f>
        <v/>
      </c>
      <c r="AB1704">
        <f>IF(U1704=0,"",IF(Y1704=1,MAX(0,Q1704-G1704),IF(L1704=1,MAX(0,R1704-G1704),MAX(0,Assumptions!$C$6-G1704))))</f>
        <v/>
      </c>
      <c r="AC1704">
        <f>IF(Y1704=1,Q1704-F1704,"")</f>
        <v/>
      </c>
      <c r="AD1704">
        <f>IF(Y1704=1,AC1704^2,"")</f>
        <v/>
      </c>
      <c r="AE1704" s="19">
        <f>IF(Z1704=1,(H1704-M1704)*I1704,0)</f>
        <v/>
      </c>
      <c r="AF1704">
        <f>IF(G1704&lt;EDATE(Assumptions!$C$6,-12)+1,"prior_12m","last_12m")</f>
        <v/>
      </c>
      <c r="AG1704" s="21">
        <f>DATE(YEAR(G1704),MONTH(G1704),1)</f>
        <v/>
      </c>
    </row>
    <row r="1705">
      <c r="A1705" t="inlineStr">
        <is>
          <t>SPO-00926-1</t>
        </is>
      </c>
      <c r="B1705" t="inlineStr">
        <is>
          <t>SPO-00926</t>
        </is>
      </c>
      <c r="C1705" t="inlineStr">
        <is>
          <t>SUP-02</t>
        </is>
      </c>
      <c r="D1705" t="inlineStr">
        <is>
          <t>ELEC</t>
        </is>
      </c>
      <c r="E1705" t="inlineStr">
        <is>
          <t>ELEC-04</t>
        </is>
      </c>
      <c r="F1705" s="17" t="n">
        <v>45823</v>
      </c>
      <c r="G1705" s="17" t="n">
        <v>45839</v>
      </c>
      <c r="H1705" s="18" t="n">
        <v>39</v>
      </c>
      <c r="I1705" s="19" t="n">
        <v>74.97</v>
      </c>
      <c r="J1705" s="19" t="n">
        <v>72</v>
      </c>
      <c r="K1705" s="20" t="n">
        <v>0</v>
      </c>
      <c r="L1705" s="20" t="n">
        <v>0</v>
      </c>
      <c r="M1705" s="18" t="n">
        <v>39</v>
      </c>
      <c r="N1705" s="18" t="n">
        <v>39</v>
      </c>
      <c r="O1705" s="18" t="n">
        <v>0</v>
      </c>
      <c r="P1705" s="17" t="n">
        <v>45834</v>
      </c>
      <c r="Q1705" s="17" t="n">
        <v>45834</v>
      </c>
      <c r="R1705" s="17" t="n">
        <v>45834</v>
      </c>
      <c r="S1705" s="19">
        <f>H1705*I1705</f>
        <v/>
      </c>
      <c r="T1705" s="19">
        <f>H1705*J1705</f>
        <v/>
      </c>
      <c r="U1705">
        <f>IF(AND(K1705=0,G1705&lt;=Assumptions!$C$6),1,0)</f>
        <v/>
      </c>
      <c r="V1705">
        <f>IF(U1705=1,IF(M1705&gt;0,IF(P1705&lt;=G1705+Assumptions!$C$7,1,0),0),0)</f>
        <v/>
      </c>
      <c r="W1705">
        <f>IF(AND(U1705=1,M1705&gt;=H1705*(1-Assumptions!$C$8)),1,0)</f>
        <v/>
      </c>
      <c r="X1705">
        <f>IF(AND(U1705=1,N1705&gt;=H1705*(1-Assumptions!$C$8)),1,0)</f>
        <v/>
      </c>
      <c r="Y1705">
        <f>IF(ISNUMBER(Q1705),1,0)</f>
        <v/>
      </c>
      <c r="Z1705">
        <f>IF(AND(K1705=0,L1705=0,Y1705=0),1,0)</f>
        <v/>
      </c>
      <c r="AA1705">
        <f>IF(AND(Z1705=1,G1705&lt;Assumptions!$C$6),1,0)</f>
        <v/>
      </c>
      <c r="AB1705">
        <f>IF(U1705=0,"",IF(Y1705=1,MAX(0,Q1705-G1705),IF(L1705=1,MAX(0,R1705-G1705),MAX(0,Assumptions!$C$6-G1705))))</f>
        <v/>
      </c>
      <c r="AC1705">
        <f>IF(Y1705=1,Q1705-F1705,"")</f>
        <v/>
      </c>
      <c r="AD1705">
        <f>IF(Y1705=1,AC1705^2,"")</f>
        <v/>
      </c>
      <c r="AE1705" s="19">
        <f>IF(Z1705=1,(H1705-M1705)*I1705,0)</f>
        <v/>
      </c>
      <c r="AF1705">
        <f>IF(G1705&lt;EDATE(Assumptions!$C$6,-12)+1,"prior_12m","last_12m")</f>
        <v/>
      </c>
      <c r="AG1705" s="21">
        <f>DATE(YEAR(G1705),MONTH(G1705),1)</f>
        <v/>
      </c>
    </row>
    <row r="1706">
      <c r="A1706" t="inlineStr">
        <is>
          <t>SPO-00927-1</t>
        </is>
      </c>
      <c r="B1706" t="inlineStr">
        <is>
          <t>SPO-00927</t>
        </is>
      </c>
      <c r="C1706" t="inlineStr">
        <is>
          <t>SUP-12</t>
        </is>
      </c>
      <c r="D1706" t="inlineStr">
        <is>
          <t>IT</t>
        </is>
      </c>
      <c r="E1706" t="inlineStr">
        <is>
          <t>IT-02</t>
        </is>
      </c>
      <c r="F1706" s="17" t="n">
        <v>45824</v>
      </c>
      <c r="G1706" s="17" t="n">
        <v>45834</v>
      </c>
      <c r="H1706" s="18" t="n">
        <v>10</v>
      </c>
      <c r="I1706" s="19" t="n">
        <v>188.48</v>
      </c>
      <c r="J1706" s="19" t="n">
        <v>162</v>
      </c>
      <c r="K1706" s="20" t="n">
        <v>0</v>
      </c>
      <c r="L1706" s="20" t="n">
        <v>0</v>
      </c>
      <c r="M1706" s="18" t="n">
        <v>10</v>
      </c>
      <c r="N1706" s="18" t="n">
        <v>10</v>
      </c>
      <c r="O1706" s="18" t="n">
        <v>0</v>
      </c>
      <c r="P1706" s="17" t="n">
        <v>45830</v>
      </c>
      <c r="Q1706" s="17" t="n">
        <v>45830</v>
      </c>
      <c r="R1706" s="17" t="n">
        <v>45830</v>
      </c>
      <c r="S1706" s="19">
        <f>H1706*I1706</f>
        <v/>
      </c>
      <c r="T1706" s="19">
        <f>H1706*J1706</f>
        <v/>
      </c>
      <c r="U1706">
        <f>IF(AND(K1706=0,G1706&lt;=Assumptions!$C$6),1,0)</f>
        <v/>
      </c>
      <c r="V1706">
        <f>IF(U1706=1,IF(M1706&gt;0,IF(P1706&lt;=G1706+Assumptions!$C$7,1,0),0),0)</f>
        <v/>
      </c>
      <c r="W1706">
        <f>IF(AND(U1706=1,M1706&gt;=H1706*(1-Assumptions!$C$8)),1,0)</f>
        <v/>
      </c>
      <c r="X1706">
        <f>IF(AND(U1706=1,N1706&gt;=H1706*(1-Assumptions!$C$8)),1,0)</f>
        <v/>
      </c>
      <c r="Y1706">
        <f>IF(ISNUMBER(Q1706),1,0)</f>
        <v/>
      </c>
      <c r="Z1706">
        <f>IF(AND(K1706=0,L1706=0,Y1706=0),1,0)</f>
        <v/>
      </c>
      <c r="AA1706">
        <f>IF(AND(Z1706=1,G1706&lt;Assumptions!$C$6),1,0)</f>
        <v/>
      </c>
      <c r="AB1706">
        <f>IF(U1706=0,"",IF(Y1706=1,MAX(0,Q1706-G1706),IF(L1706=1,MAX(0,R1706-G1706),MAX(0,Assumptions!$C$6-G1706))))</f>
        <v/>
      </c>
      <c r="AC1706">
        <f>IF(Y1706=1,Q1706-F1706,"")</f>
        <v/>
      </c>
      <c r="AD1706">
        <f>IF(Y1706=1,AC1706^2,"")</f>
        <v/>
      </c>
      <c r="AE1706" s="19">
        <f>IF(Z1706=1,(H1706-M1706)*I1706,0)</f>
        <v/>
      </c>
      <c r="AF1706">
        <f>IF(G1706&lt;EDATE(Assumptions!$C$6,-12)+1,"prior_12m","last_12m")</f>
        <v/>
      </c>
      <c r="AG1706" s="21">
        <f>DATE(YEAR(G1706),MONTH(G1706),1)</f>
        <v/>
      </c>
    </row>
    <row r="1707">
      <c r="A1707" t="inlineStr">
        <is>
          <t>SPO-00927-2</t>
        </is>
      </c>
      <c r="B1707" t="inlineStr">
        <is>
          <t>SPO-00927</t>
        </is>
      </c>
      <c r="C1707" t="inlineStr">
        <is>
          <t>SUP-12</t>
        </is>
      </c>
      <c r="D1707" t="inlineStr">
        <is>
          <t>IT</t>
        </is>
      </c>
      <c r="E1707" t="inlineStr">
        <is>
          <t>IT-04</t>
        </is>
      </c>
      <c r="F1707" s="17" t="n">
        <v>45824</v>
      </c>
      <c r="G1707" s="17" t="n">
        <v>45834</v>
      </c>
      <c r="H1707" s="18" t="n">
        <v>80</v>
      </c>
      <c r="I1707" s="19" t="n">
        <v>13.47</v>
      </c>
      <c r="J1707" s="19" t="n">
        <v>12</v>
      </c>
      <c r="K1707" s="20" t="n">
        <v>0</v>
      </c>
      <c r="L1707" s="20" t="n">
        <v>0</v>
      </c>
      <c r="M1707" s="18" t="n">
        <v>80</v>
      </c>
      <c r="N1707" s="18" t="n">
        <v>80</v>
      </c>
      <c r="O1707" s="18" t="n">
        <v>0</v>
      </c>
      <c r="P1707" s="17" t="n">
        <v>45834</v>
      </c>
      <c r="Q1707" s="17" t="n">
        <v>45834</v>
      </c>
      <c r="R1707" s="17" t="n">
        <v>45834</v>
      </c>
      <c r="S1707" s="19">
        <f>H1707*I1707</f>
        <v/>
      </c>
      <c r="T1707" s="19">
        <f>H1707*J1707</f>
        <v/>
      </c>
      <c r="U1707">
        <f>IF(AND(K1707=0,G1707&lt;=Assumptions!$C$6),1,0)</f>
        <v/>
      </c>
      <c r="V1707">
        <f>IF(U1707=1,IF(M1707&gt;0,IF(P1707&lt;=G1707+Assumptions!$C$7,1,0),0),0)</f>
        <v/>
      </c>
      <c r="W1707">
        <f>IF(AND(U1707=1,M1707&gt;=H1707*(1-Assumptions!$C$8)),1,0)</f>
        <v/>
      </c>
      <c r="X1707">
        <f>IF(AND(U1707=1,N1707&gt;=H1707*(1-Assumptions!$C$8)),1,0)</f>
        <v/>
      </c>
      <c r="Y1707">
        <f>IF(ISNUMBER(Q1707),1,0)</f>
        <v/>
      </c>
      <c r="Z1707">
        <f>IF(AND(K1707=0,L1707=0,Y1707=0),1,0)</f>
        <v/>
      </c>
      <c r="AA1707">
        <f>IF(AND(Z1707=1,G1707&lt;Assumptions!$C$6),1,0)</f>
        <v/>
      </c>
      <c r="AB1707">
        <f>IF(U1707=0,"",IF(Y1707=1,MAX(0,Q1707-G1707),IF(L1707=1,MAX(0,R1707-G1707),MAX(0,Assumptions!$C$6-G1707))))</f>
        <v/>
      </c>
      <c r="AC1707">
        <f>IF(Y1707=1,Q1707-F1707,"")</f>
        <v/>
      </c>
      <c r="AD1707">
        <f>IF(Y1707=1,AC1707^2,"")</f>
        <v/>
      </c>
      <c r="AE1707" s="19">
        <f>IF(Z1707=1,(H1707-M1707)*I1707,0)</f>
        <v/>
      </c>
      <c r="AF1707">
        <f>IF(G1707&lt;EDATE(Assumptions!$C$6,-12)+1,"prior_12m","last_12m")</f>
        <v/>
      </c>
      <c r="AG1707" s="21">
        <f>DATE(YEAR(G1707),MONTH(G1707),1)</f>
        <v/>
      </c>
    </row>
    <row r="1708">
      <c r="A1708" t="inlineStr">
        <is>
          <t>SPO-00928-1</t>
        </is>
      </c>
      <c r="B1708" t="inlineStr">
        <is>
          <t>SPO-00928</t>
        </is>
      </c>
      <c r="C1708" t="inlineStr">
        <is>
          <t>SUP-06</t>
        </is>
      </c>
      <c r="D1708" t="inlineStr">
        <is>
          <t>MRO</t>
        </is>
      </c>
      <c r="E1708" t="inlineStr">
        <is>
          <t>MRO-07</t>
        </is>
      </c>
      <c r="F1708" s="17" t="n">
        <v>45824</v>
      </c>
      <c r="G1708" s="17" t="n">
        <v>45832</v>
      </c>
      <c r="H1708" s="18" t="n">
        <v>269</v>
      </c>
      <c r="I1708" s="19" t="n">
        <v>13.2</v>
      </c>
      <c r="J1708" s="19" t="n">
        <v>14</v>
      </c>
      <c r="K1708" s="20" t="n">
        <v>0</v>
      </c>
      <c r="L1708" s="20" t="n">
        <v>0</v>
      </c>
      <c r="M1708" s="18" t="n">
        <v>269</v>
      </c>
      <c r="N1708" s="18" t="n">
        <v>269</v>
      </c>
      <c r="O1708" s="18" t="n">
        <v>0</v>
      </c>
      <c r="P1708" s="17" t="n">
        <v>45829</v>
      </c>
      <c r="Q1708" s="17" t="n">
        <v>45829</v>
      </c>
      <c r="R1708" s="17" t="n">
        <v>45829</v>
      </c>
      <c r="S1708" s="19">
        <f>H1708*I1708</f>
        <v/>
      </c>
      <c r="T1708" s="19">
        <f>H1708*J1708</f>
        <v/>
      </c>
      <c r="U1708">
        <f>IF(AND(K1708=0,G1708&lt;=Assumptions!$C$6),1,0)</f>
        <v/>
      </c>
      <c r="V1708">
        <f>IF(U1708=1,IF(M1708&gt;0,IF(P1708&lt;=G1708+Assumptions!$C$7,1,0),0),0)</f>
        <v/>
      </c>
      <c r="W1708">
        <f>IF(AND(U1708=1,M1708&gt;=H1708*(1-Assumptions!$C$8)),1,0)</f>
        <v/>
      </c>
      <c r="X1708">
        <f>IF(AND(U1708=1,N1708&gt;=H1708*(1-Assumptions!$C$8)),1,0)</f>
        <v/>
      </c>
      <c r="Y1708">
        <f>IF(ISNUMBER(Q1708),1,0)</f>
        <v/>
      </c>
      <c r="Z1708">
        <f>IF(AND(K1708=0,L1708=0,Y1708=0),1,0)</f>
        <v/>
      </c>
      <c r="AA1708">
        <f>IF(AND(Z1708=1,G1708&lt;Assumptions!$C$6),1,0)</f>
        <v/>
      </c>
      <c r="AB1708">
        <f>IF(U1708=0,"",IF(Y1708=1,MAX(0,Q1708-G1708),IF(L1708=1,MAX(0,R1708-G1708),MAX(0,Assumptions!$C$6-G1708))))</f>
        <v/>
      </c>
      <c r="AC1708">
        <f>IF(Y1708=1,Q1708-F1708,"")</f>
        <v/>
      </c>
      <c r="AD1708">
        <f>IF(Y1708=1,AC1708^2,"")</f>
        <v/>
      </c>
      <c r="AE1708" s="19">
        <f>IF(Z1708=1,(H1708-M1708)*I1708,0)</f>
        <v/>
      </c>
      <c r="AF1708">
        <f>IF(G1708&lt;EDATE(Assumptions!$C$6,-12)+1,"prior_12m","last_12m")</f>
        <v/>
      </c>
      <c r="AG1708" s="21">
        <f>DATE(YEAR(G1708),MONTH(G1708),1)</f>
        <v/>
      </c>
    </row>
    <row r="1709">
      <c r="A1709" t="inlineStr">
        <is>
          <t>SPO-00928-2</t>
        </is>
      </c>
      <c r="B1709" t="inlineStr">
        <is>
          <t>SPO-00928</t>
        </is>
      </c>
      <c r="C1709" t="inlineStr">
        <is>
          <t>SUP-06</t>
        </is>
      </c>
      <c r="D1709" t="inlineStr">
        <is>
          <t>MRO</t>
        </is>
      </c>
      <c r="E1709" t="inlineStr">
        <is>
          <t>MRO-01</t>
        </is>
      </c>
      <c r="F1709" s="17" t="n">
        <v>45824</v>
      </c>
      <c r="G1709" s="17" t="n">
        <v>45832</v>
      </c>
      <c r="H1709" s="18" t="n">
        <v>43</v>
      </c>
      <c r="I1709" s="19" t="n">
        <v>51.32</v>
      </c>
      <c r="J1709" s="19" t="n">
        <v>52</v>
      </c>
      <c r="K1709" s="20" t="n">
        <v>0</v>
      </c>
      <c r="L1709" s="20" t="n">
        <v>0</v>
      </c>
      <c r="M1709" s="18" t="n">
        <v>43</v>
      </c>
      <c r="N1709" s="18" t="n">
        <v>31</v>
      </c>
      <c r="O1709" s="18" t="n">
        <v>0</v>
      </c>
      <c r="P1709" s="17" t="n">
        <v>45830</v>
      </c>
      <c r="Q1709" s="17" t="n">
        <v>45837</v>
      </c>
      <c r="R1709" s="17" t="n">
        <v>45837</v>
      </c>
      <c r="S1709" s="19">
        <f>H1709*I1709</f>
        <v/>
      </c>
      <c r="T1709" s="19">
        <f>H1709*J1709</f>
        <v/>
      </c>
      <c r="U1709">
        <f>IF(AND(K1709=0,G1709&lt;=Assumptions!$C$6),1,0)</f>
        <v/>
      </c>
      <c r="V1709">
        <f>IF(U1709=1,IF(M1709&gt;0,IF(P1709&lt;=G1709+Assumptions!$C$7,1,0),0),0)</f>
        <v/>
      </c>
      <c r="W1709">
        <f>IF(AND(U1709=1,M1709&gt;=H1709*(1-Assumptions!$C$8)),1,0)</f>
        <v/>
      </c>
      <c r="X1709">
        <f>IF(AND(U1709=1,N1709&gt;=H1709*(1-Assumptions!$C$8)),1,0)</f>
        <v/>
      </c>
      <c r="Y1709">
        <f>IF(ISNUMBER(Q1709),1,0)</f>
        <v/>
      </c>
      <c r="Z1709">
        <f>IF(AND(K1709=0,L1709=0,Y1709=0),1,0)</f>
        <v/>
      </c>
      <c r="AA1709">
        <f>IF(AND(Z1709=1,G1709&lt;Assumptions!$C$6),1,0)</f>
        <v/>
      </c>
      <c r="AB1709">
        <f>IF(U1709=0,"",IF(Y1709=1,MAX(0,Q1709-G1709),IF(L1709=1,MAX(0,R1709-G1709),MAX(0,Assumptions!$C$6-G1709))))</f>
        <v/>
      </c>
      <c r="AC1709">
        <f>IF(Y1709=1,Q1709-F1709,"")</f>
        <v/>
      </c>
      <c r="AD1709">
        <f>IF(Y1709=1,AC1709^2,"")</f>
        <v/>
      </c>
      <c r="AE1709" s="19">
        <f>IF(Z1709=1,(H1709-M1709)*I1709,0)</f>
        <v/>
      </c>
      <c r="AF1709">
        <f>IF(G1709&lt;EDATE(Assumptions!$C$6,-12)+1,"prior_12m","last_12m")</f>
        <v/>
      </c>
      <c r="AG1709" s="21">
        <f>DATE(YEAR(G1709),MONTH(G1709),1)</f>
        <v/>
      </c>
    </row>
    <row r="1710">
      <c r="A1710" t="inlineStr">
        <is>
          <t>SPO-00929-1</t>
        </is>
      </c>
      <c r="B1710" t="inlineStr">
        <is>
          <t>SPO-00929</t>
        </is>
      </c>
      <c r="C1710" t="inlineStr">
        <is>
          <t>SUP-09</t>
        </is>
      </c>
      <c r="D1710" t="inlineStr">
        <is>
          <t>CHEM</t>
        </is>
      </c>
      <c r="E1710" t="inlineStr">
        <is>
          <t>CHEM-03</t>
        </is>
      </c>
      <c r="F1710" s="17" t="n">
        <v>45824</v>
      </c>
      <c r="G1710" s="17" t="n">
        <v>45838</v>
      </c>
      <c r="H1710" s="18" t="n">
        <v>12</v>
      </c>
      <c r="I1710" s="19" t="n">
        <v>259.08</v>
      </c>
      <c r="J1710" s="19" t="n">
        <v>265</v>
      </c>
      <c r="K1710" s="20" t="n">
        <v>0</v>
      </c>
      <c r="L1710" s="20" t="n">
        <v>0</v>
      </c>
      <c r="M1710" s="18" t="n">
        <v>12</v>
      </c>
      <c r="N1710" s="18" t="n">
        <v>12</v>
      </c>
      <c r="O1710" s="18" t="n">
        <v>0</v>
      </c>
      <c r="P1710" s="17" t="n">
        <v>45838</v>
      </c>
      <c r="Q1710" s="17" t="n">
        <v>45838</v>
      </c>
      <c r="R1710" s="17" t="n">
        <v>45838</v>
      </c>
      <c r="S1710" s="19">
        <f>H1710*I1710</f>
        <v/>
      </c>
      <c r="T1710" s="19">
        <f>H1710*J1710</f>
        <v/>
      </c>
      <c r="U1710">
        <f>IF(AND(K1710=0,G1710&lt;=Assumptions!$C$6),1,0)</f>
        <v/>
      </c>
      <c r="V1710">
        <f>IF(U1710=1,IF(M1710&gt;0,IF(P1710&lt;=G1710+Assumptions!$C$7,1,0),0),0)</f>
        <v/>
      </c>
      <c r="W1710">
        <f>IF(AND(U1710=1,M1710&gt;=H1710*(1-Assumptions!$C$8)),1,0)</f>
        <v/>
      </c>
      <c r="X1710">
        <f>IF(AND(U1710=1,N1710&gt;=H1710*(1-Assumptions!$C$8)),1,0)</f>
        <v/>
      </c>
      <c r="Y1710">
        <f>IF(ISNUMBER(Q1710),1,0)</f>
        <v/>
      </c>
      <c r="Z1710">
        <f>IF(AND(K1710=0,L1710=0,Y1710=0),1,0)</f>
        <v/>
      </c>
      <c r="AA1710">
        <f>IF(AND(Z1710=1,G1710&lt;Assumptions!$C$6),1,0)</f>
        <v/>
      </c>
      <c r="AB1710">
        <f>IF(U1710=0,"",IF(Y1710=1,MAX(0,Q1710-G1710),IF(L1710=1,MAX(0,R1710-G1710),MAX(0,Assumptions!$C$6-G1710))))</f>
        <v/>
      </c>
      <c r="AC1710">
        <f>IF(Y1710=1,Q1710-F1710,"")</f>
        <v/>
      </c>
      <c r="AD1710">
        <f>IF(Y1710=1,AC1710^2,"")</f>
        <v/>
      </c>
      <c r="AE1710" s="19">
        <f>IF(Z1710=1,(H1710-M1710)*I1710,0)</f>
        <v/>
      </c>
      <c r="AF1710">
        <f>IF(G1710&lt;EDATE(Assumptions!$C$6,-12)+1,"prior_12m","last_12m")</f>
        <v/>
      </c>
      <c r="AG1710" s="21">
        <f>DATE(YEAR(G1710),MONTH(G1710),1)</f>
        <v/>
      </c>
    </row>
    <row r="1711">
      <c r="A1711" t="inlineStr">
        <is>
          <t>SPO-00930-1</t>
        </is>
      </c>
      <c r="B1711" t="inlineStr">
        <is>
          <t>SPO-00930</t>
        </is>
      </c>
      <c r="C1711" t="inlineStr">
        <is>
          <t>SUP-01</t>
        </is>
      </c>
      <c r="D1711" t="inlineStr">
        <is>
          <t>ELEC</t>
        </is>
      </c>
      <c r="E1711" t="inlineStr">
        <is>
          <t>ELEC-03</t>
        </is>
      </c>
      <c r="F1711" s="17" t="n">
        <v>45825</v>
      </c>
      <c r="G1711" s="17" t="n">
        <v>45843</v>
      </c>
      <c r="H1711" s="18" t="n">
        <v>24</v>
      </c>
      <c r="I1711" s="19" t="n">
        <v>99.95999999999999</v>
      </c>
      <c r="J1711" s="19" t="n">
        <v>96</v>
      </c>
      <c r="K1711" s="20" t="n">
        <v>0</v>
      </c>
      <c r="L1711" s="20" t="n">
        <v>0</v>
      </c>
      <c r="M1711" s="18" t="n">
        <v>24</v>
      </c>
      <c r="N1711" s="18" t="n">
        <v>0</v>
      </c>
      <c r="O1711" s="18" t="n">
        <v>0</v>
      </c>
      <c r="P1711" s="17" t="n">
        <v>45845</v>
      </c>
      <c r="Q1711" s="17" t="n">
        <v>45845</v>
      </c>
      <c r="R1711" s="17" t="n">
        <v>45845</v>
      </c>
      <c r="S1711" s="19">
        <f>H1711*I1711</f>
        <v/>
      </c>
      <c r="T1711" s="19">
        <f>H1711*J1711</f>
        <v/>
      </c>
      <c r="U1711">
        <f>IF(AND(K1711=0,G1711&lt;=Assumptions!$C$6),1,0)</f>
        <v/>
      </c>
      <c r="V1711">
        <f>IF(U1711=1,IF(M1711&gt;0,IF(P1711&lt;=G1711+Assumptions!$C$7,1,0),0),0)</f>
        <v/>
      </c>
      <c r="W1711">
        <f>IF(AND(U1711=1,M1711&gt;=H1711*(1-Assumptions!$C$8)),1,0)</f>
        <v/>
      </c>
      <c r="X1711">
        <f>IF(AND(U1711=1,N1711&gt;=H1711*(1-Assumptions!$C$8)),1,0)</f>
        <v/>
      </c>
      <c r="Y1711">
        <f>IF(ISNUMBER(Q1711),1,0)</f>
        <v/>
      </c>
      <c r="Z1711">
        <f>IF(AND(K1711=0,L1711=0,Y1711=0),1,0)</f>
        <v/>
      </c>
      <c r="AA1711">
        <f>IF(AND(Z1711=1,G1711&lt;Assumptions!$C$6),1,0)</f>
        <v/>
      </c>
      <c r="AB1711">
        <f>IF(U1711=0,"",IF(Y1711=1,MAX(0,Q1711-G1711),IF(L1711=1,MAX(0,R1711-G1711),MAX(0,Assumptions!$C$6-G1711))))</f>
        <v/>
      </c>
      <c r="AC1711">
        <f>IF(Y1711=1,Q1711-F1711,"")</f>
        <v/>
      </c>
      <c r="AD1711">
        <f>IF(Y1711=1,AC1711^2,"")</f>
        <v/>
      </c>
      <c r="AE1711" s="19">
        <f>IF(Z1711=1,(H1711-M1711)*I1711,0)</f>
        <v/>
      </c>
      <c r="AF1711">
        <f>IF(G1711&lt;EDATE(Assumptions!$C$6,-12)+1,"prior_12m","last_12m")</f>
        <v/>
      </c>
      <c r="AG1711" s="21">
        <f>DATE(YEAR(G1711),MONTH(G1711),1)</f>
        <v/>
      </c>
    </row>
    <row r="1712">
      <c r="A1712" t="inlineStr">
        <is>
          <t>SPO-00930-2</t>
        </is>
      </c>
      <c r="B1712" t="inlineStr">
        <is>
          <t>SPO-00930</t>
        </is>
      </c>
      <c r="C1712" t="inlineStr">
        <is>
          <t>SUP-01</t>
        </is>
      </c>
      <c r="D1712" t="inlineStr">
        <is>
          <t>ELEC</t>
        </is>
      </c>
      <c r="E1712" t="inlineStr">
        <is>
          <t>ELEC-08</t>
        </is>
      </c>
      <c r="F1712" s="17" t="n">
        <v>45825</v>
      </c>
      <c r="G1712" s="17" t="n">
        <v>45843</v>
      </c>
      <c r="H1712" s="18" t="n">
        <v>84</v>
      </c>
      <c r="I1712" s="19" t="n">
        <v>18.21</v>
      </c>
      <c r="J1712" s="19" t="n">
        <v>18</v>
      </c>
      <c r="K1712" s="20" t="n">
        <v>0</v>
      </c>
      <c r="L1712" s="20" t="n">
        <v>0</v>
      </c>
      <c r="M1712" s="18" t="n">
        <v>84</v>
      </c>
      <c r="N1712" s="18" t="n">
        <v>84</v>
      </c>
      <c r="O1712" s="18" t="n">
        <v>0</v>
      </c>
      <c r="P1712" s="17" t="n">
        <v>45840</v>
      </c>
      <c r="Q1712" s="17" t="n">
        <v>45840</v>
      </c>
      <c r="R1712" s="17" t="n">
        <v>45840</v>
      </c>
      <c r="S1712" s="19">
        <f>H1712*I1712</f>
        <v/>
      </c>
      <c r="T1712" s="19">
        <f>H1712*J1712</f>
        <v/>
      </c>
      <c r="U1712">
        <f>IF(AND(K1712=0,G1712&lt;=Assumptions!$C$6),1,0)</f>
        <v/>
      </c>
      <c r="V1712">
        <f>IF(U1712=1,IF(M1712&gt;0,IF(P1712&lt;=G1712+Assumptions!$C$7,1,0),0),0)</f>
        <v/>
      </c>
      <c r="W1712">
        <f>IF(AND(U1712=1,M1712&gt;=H1712*(1-Assumptions!$C$8)),1,0)</f>
        <v/>
      </c>
      <c r="X1712">
        <f>IF(AND(U1712=1,N1712&gt;=H1712*(1-Assumptions!$C$8)),1,0)</f>
        <v/>
      </c>
      <c r="Y1712">
        <f>IF(ISNUMBER(Q1712),1,0)</f>
        <v/>
      </c>
      <c r="Z1712">
        <f>IF(AND(K1712=0,L1712=0,Y1712=0),1,0)</f>
        <v/>
      </c>
      <c r="AA1712">
        <f>IF(AND(Z1712=1,G1712&lt;Assumptions!$C$6),1,0)</f>
        <v/>
      </c>
      <c r="AB1712">
        <f>IF(U1712=0,"",IF(Y1712=1,MAX(0,Q1712-G1712),IF(L1712=1,MAX(0,R1712-G1712),MAX(0,Assumptions!$C$6-G1712))))</f>
        <v/>
      </c>
      <c r="AC1712">
        <f>IF(Y1712=1,Q1712-F1712,"")</f>
        <v/>
      </c>
      <c r="AD1712">
        <f>IF(Y1712=1,AC1712^2,"")</f>
        <v/>
      </c>
      <c r="AE1712" s="19">
        <f>IF(Z1712=1,(H1712-M1712)*I1712,0)</f>
        <v/>
      </c>
      <c r="AF1712">
        <f>IF(G1712&lt;EDATE(Assumptions!$C$6,-12)+1,"prior_12m","last_12m")</f>
        <v/>
      </c>
      <c r="AG1712" s="21">
        <f>DATE(YEAR(G1712),MONTH(G1712),1)</f>
        <v/>
      </c>
    </row>
    <row r="1713">
      <c r="A1713" t="inlineStr">
        <is>
          <t>SPO-00931-1</t>
        </is>
      </c>
      <c r="B1713" t="inlineStr">
        <is>
          <t>SPO-00931</t>
        </is>
      </c>
      <c r="C1713" t="inlineStr">
        <is>
          <t>SUP-01</t>
        </is>
      </c>
      <c r="D1713" t="inlineStr">
        <is>
          <t>ELEC</t>
        </is>
      </c>
      <c r="E1713" t="inlineStr">
        <is>
          <t>ELEC-03</t>
        </is>
      </c>
      <c r="F1713" s="17" t="n">
        <v>45825</v>
      </c>
      <c r="G1713" s="17" t="n">
        <v>45843</v>
      </c>
      <c r="H1713" s="18" t="n">
        <v>27</v>
      </c>
      <c r="I1713" s="19" t="n">
        <v>98.02</v>
      </c>
      <c r="J1713" s="19" t="n">
        <v>96</v>
      </c>
      <c r="K1713" s="20" t="n">
        <v>1</v>
      </c>
      <c r="L1713" s="20" t="n">
        <v>0</v>
      </c>
      <c r="M1713" s="18" t="n">
        <v>0</v>
      </c>
      <c r="N1713" s="18" t="n">
        <v>0</v>
      </c>
      <c r="O1713" s="18" t="n">
        <v>0</v>
      </c>
      <c r="P1713" s="17" t="n"/>
      <c r="Q1713" s="17" t="n"/>
      <c r="R1713" s="17" t="n"/>
      <c r="S1713" s="19">
        <f>H1713*I1713</f>
        <v/>
      </c>
      <c r="T1713" s="19">
        <f>H1713*J1713</f>
        <v/>
      </c>
      <c r="U1713">
        <f>IF(AND(K1713=0,G1713&lt;=Assumptions!$C$6),1,0)</f>
        <v/>
      </c>
      <c r="V1713">
        <f>IF(U1713=1,IF(M1713&gt;0,IF(P1713&lt;=G1713+Assumptions!$C$7,1,0),0),0)</f>
        <v/>
      </c>
      <c r="W1713">
        <f>IF(AND(U1713=1,M1713&gt;=H1713*(1-Assumptions!$C$8)),1,0)</f>
        <v/>
      </c>
      <c r="X1713">
        <f>IF(AND(U1713=1,N1713&gt;=H1713*(1-Assumptions!$C$8)),1,0)</f>
        <v/>
      </c>
      <c r="Y1713">
        <f>IF(ISNUMBER(Q1713),1,0)</f>
        <v/>
      </c>
      <c r="Z1713">
        <f>IF(AND(K1713=0,L1713=0,Y1713=0),1,0)</f>
        <v/>
      </c>
      <c r="AA1713">
        <f>IF(AND(Z1713=1,G1713&lt;Assumptions!$C$6),1,0)</f>
        <v/>
      </c>
      <c r="AB1713">
        <f>IF(U1713=0,"",IF(Y1713=1,MAX(0,Q1713-G1713),IF(L1713=1,MAX(0,R1713-G1713),MAX(0,Assumptions!$C$6-G1713))))</f>
        <v/>
      </c>
      <c r="AC1713">
        <f>IF(Y1713=1,Q1713-F1713,"")</f>
        <v/>
      </c>
      <c r="AD1713">
        <f>IF(Y1713=1,AC1713^2,"")</f>
        <v/>
      </c>
      <c r="AE1713" s="19">
        <f>IF(Z1713=1,(H1713-M1713)*I1713,0)</f>
        <v/>
      </c>
      <c r="AF1713">
        <f>IF(G1713&lt;EDATE(Assumptions!$C$6,-12)+1,"prior_12m","last_12m")</f>
        <v/>
      </c>
      <c r="AG1713" s="21">
        <f>DATE(YEAR(G1713),MONTH(G1713),1)</f>
        <v/>
      </c>
    </row>
    <row r="1714">
      <c r="A1714" t="inlineStr">
        <is>
          <t>SPO-00931-2</t>
        </is>
      </c>
      <c r="B1714" t="inlineStr">
        <is>
          <t>SPO-00931</t>
        </is>
      </c>
      <c r="C1714" t="inlineStr">
        <is>
          <t>SUP-01</t>
        </is>
      </c>
      <c r="D1714" t="inlineStr">
        <is>
          <t>ELEC</t>
        </is>
      </c>
      <c r="E1714" t="inlineStr">
        <is>
          <t>ELEC-06</t>
        </is>
      </c>
      <c r="F1714" s="17" t="n">
        <v>45825</v>
      </c>
      <c r="G1714" s="17" t="n">
        <v>45843</v>
      </c>
      <c r="H1714" s="18" t="n">
        <v>20</v>
      </c>
      <c r="I1714" s="19" t="n">
        <v>151.59</v>
      </c>
      <c r="J1714" s="19" t="n">
        <v>145</v>
      </c>
      <c r="K1714" s="20" t="n">
        <v>0</v>
      </c>
      <c r="L1714" s="20" t="n">
        <v>0</v>
      </c>
      <c r="M1714" s="18" t="n">
        <v>20</v>
      </c>
      <c r="N1714" s="18" t="n">
        <v>20</v>
      </c>
      <c r="O1714" s="18" t="n">
        <v>0</v>
      </c>
      <c r="P1714" s="17" t="n">
        <v>45840</v>
      </c>
      <c r="Q1714" s="17" t="n">
        <v>45840</v>
      </c>
      <c r="R1714" s="17" t="n">
        <v>45840</v>
      </c>
      <c r="S1714" s="19">
        <f>H1714*I1714</f>
        <v/>
      </c>
      <c r="T1714" s="19">
        <f>H1714*J1714</f>
        <v/>
      </c>
      <c r="U1714">
        <f>IF(AND(K1714=0,G1714&lt;=Assumptions!$C$6),1,0)</f>
        <v/>
      </c>
      <c r="V1714">
        <f>IF(U1714=1,IF(M1714&gt;0,IF(P1714&lt;=G1714+Assumptions!$C$7,1,0),0),0)</f>
        <v/>
      </c>
      <c r="W1714">
        <f>IF(AND(U1714=1,M1714&gt;=H1714*(1-Assumptions!$C$8)),1,0)</f>
        <v/>
      </c>
      <c r="X1714">
        <f>IF(AND(U1714=1,N1714&gt;=H1714*(1-Assumptions!$C$8)),1,0)</f>
        <v/>
      </c>
      <c r="Y1714">
        <f>IF(ISNUMBER(Q1714),1,0)</f>
        <v/>
      </c>
      <c r="Z1714">
        <f>IF(AND(K1714=0,L1714=0,Y1714=0),1,0)</f>
        <v/>
      </c>
      <c r="AA1714">
        <f>IF(AND(Z1714=1,G1714&lt;Assumptions!$C$6),1,0)</f>
        <v/>
      </c>
      <c r="AB1714">
        <f>IF(U1714=0,"",IF(Y1714=1,MAX(0,Q1714-G1714),IF(L1714=1,MAX(0,R1714-G1714),MAX(0,Assumptions!$C$6-G1714))))</f>
        <v/>
      </c>
      <c r="AC1714">
        <f>IF(Y1714=1,Q1714-F1714,"")</f>
        <v/>
      </c>
      <c r="AD1714">
        <f>IF(Y1714=1,AC1714^2,"")</f>
        <v/>
      </c>
      <c r="AE1714" s="19">
        <f>IF(Z1714=1,(H1714-M1714)*I1714,0)</f>
        <v/>
      </c>
      <c r="AF1714">
        <f>IF(G1714&lt;EDATE(Assumptions!$C$6,-12)+1,"prior_12m","last_12m")</f>
        <v/>
      </c>
      <c r="AG1714" s="21">
        <f>DATE(YEAR(G1714),MONTH(G1714),1)</f>
        <v/>
      </c>
    </row>
    <row r="1715">
      <c r="A1715" t="inlineStr">
        <is>
          <t>SPO-00931-3</t>
        </is>
      </c>
      <c r="B1715" t="inlineStr">
        <is>
          <t>SPO-00931</t>
        </is>
      </c>
      <c r="C1715" t="inlineStr">
        <is>
          <t>SUP-01</t>
        </is>
      </c>
      <c r="D1715" t="inlineStr">
        <is>
          <t>ELEC</t>
        </is>
      </c>
      <c r="E1715" t="inlineStr">
        <is>
          <t>ELEC-07</t>
        </is>
      </c>
      <c r="F1715" s="17" t="n">
        <v>45825</v>
      </c>
      <c r="G1715" s="17" t="n">
        <v>45843</v>
      </c>
      <c r="H1715" s="18" t="n">
        <v>330</v>
      </c>
      <c r="I1715" s="19" t="n">
        <v>9.779999999999999</v>
      </c>
      <c r="J1715" s="19" t="n">
        <v>9.800000000000001</v>
      </c>
      <c r="K1715" s="20" t="n">
        <v>0</v>
      </c>
      <c r="L1715" s="20" t="n">
        <v>0</v>
      </c>
      <c r="M1715" s="18" t="n">
        <v>330</v>
      </c>
      <c r="N1715" s="18" t="n">
        <v>330</v>
      </c>
      <c r="O1715" s="18" t="n">
        <v>0</v>
      </c>
      <c r="P1715" s="17" t="n">
        <v>45838</v>
      </c>
      <c r="Q1715" s="17" t="n">
        <v>45838</v>
      </c>
      <c r="R1715" s="17" t="n">
        <v>45838</v>
      </c>
      <c r="S1715" s="19">
        <f>H1715*I1715</f>
        <v/>
      </c>
      <c r="T1715" s="19">
        <f>H1715*J1715</f>
        <v/>
      </c>
      <c r="U1715">
        <f>IF(AND(K1715=0,G1715&lt;=Assumptions!$C$6),1,0)</f>
        <v/>
      </c>
      <c r="V1715">
        <f>IF(U1715=1,IF(M1715&gt;0,IF(P1715&lt;=G1715+Assumptions!$C$7,1,0),0),0)</f>
        <v/>
      </c>
      <c r="W1715">
        <f>IF(AND(U1715=1,M1715&gt;=H1715*(1-Assumptions!$C$8)),1,0)</f>
        <v/>
      </c>
      <c r="X1715">
        <f>IF(AND(U1715=1,N1715&gt;=H1715*(1-Assumptions!$C$8)),1,0)</f>
        <v/>
      </c>
      <c r="Y1715">
        <f>IF(ISNUMBER(Q1715),1,0)</f>
        <v/>
      </c>
      <c r="Z1715">
        <f>IF(AND(K1715=0,L1715=0,Y1715=0),1,0)</f>
        <v/>
      </c>
      <c r="AA1715">
        <f>IF(AND(Z1715=1,G1715&lt;Assumptions!$C$6),1,0)</f>
        <v/>
      </c>
      <c r="AB1715">
        <f>IF(U1715=0,"",IF(Y1715=1,MAX(0,Q1715-G1715),IF(L1715=1,MAX(0,R1715-G1715),MAX(0,Assumptions!$C$6-G1715))))</f>
        <v/>
      </c>
      <c r="AC1715">
        <f>IF(Y1715=1,Q1715-F1715,"")</f>
        <v/>
      </c>
      <c r="AD1715">
        <f>IF(Y1715=1,AC1715^2,"")</f>
        <v/>
      </c>
      <c r="AE1715" s="19">
        <f>IF(Z1715=1,(H1715-M1715)*I1715,0)</f>
        <v/>
      </c>
      <c r="AF1715">
        <f>IF(G1715&lt;EDATE(Assumptions!$C$6,-12)+1,"prior_12m","last_12m")</f>
        <v/>
      </c>
      <c r="AG1715" s="21">
        <f>DATE(YEAR(G1715),MONTH(G1715),1)</f>
        <v/>
      </c>
    </row>
    <row r="1716">
      <c r="A1716" t="inlineStr">
        <is>
          <t>SPO-00932-1</t>
        </is>
      </c>
      <c r="B1716" t="inlineStr">
        <is>
          <t>SPO-00932</t>
        </is>
      </c>
      <c r="C1716" t="inlineStr">
        <is>
          <t>SUP-08</t>
        </is>
      </c>
      <c r="D1716" t="inlineStr">
        <is>
          <t>PPE</t>
        </is>
      </c>
      <c r="E1716" t="inlineStr">
        <is>
          <t>PPE-06</t>
        </is>
      </c>
      <c r="F1716" s="17" t="n">
        <v>45825</v>
      </c>
      <c r="G1716" s="17" t="n">
        <v>45836</v>
      </c>
      <c r="H1716" s="18" t="n">
        <v>17</v>
      </c>
      <c r="I1716" s="19" t="n">
        <v>108.73</v>
      </c>
      <c r="J1716" s="19" t="n">
        <v>115</v>
      </c>
      <c r="K1716" s="20" t="n">
        <v>0</v>
      </c>
      <c r="L1716" s="20" t="n">
        <v>0</v>
      </c>
      <c r="M1716" s="18" t="n">
        <v>17</v>
      </c>
      <c r="N1716" s="18" t="n">
        <v>17</v>
      </c>
      <c r="O1716" s="18" t="n">
        <v>0</v>
      </c>
      <c r="P1716" s="17" t="n">
        <v>45831</v>
      </c>
      <c r="Q1716" s="17" t="n">
        <v>45831</v>
      </c>
      <c r="R1716" s="17" t="n">
        <v>45831</v>
      </c>
      <c r="S1716" s="19">
        <f>H1716*I1716</f>
        <v/>
      </c>
      <c r="T1716" s="19">
        <f>H1716*J1716</f>
        <v/>
      </c>
      <c r="U1716">
        <f>IF(AND(K1716=0,G1716&lt;=Assumptions!$C$6),1,0)</f>
        <v/>
      </c>
      <c r="V1716">
        <f>IF(U1716=1,IF(M1716&gt;0,IF(P1716&lt;=G1716+Assumptions!$C$7,1,0),0),0)</f>
        <v/>
      </c>
      <c r="W1716">
        <f>IF(AND(U1716=1,M1716&gt;=H1716*(1-Assumptions!$C$8)),1,0)</f>
        <v/>
      </c>
      <c r="X1716">
        <f>IF(AND(U1716=1,N1716&gt;=H1716*(1-Assumptions!$C$8)),1,0)</f>
        <v/>
      </c>
      <c r="Y1716">
        <f>IF(ISNUMBER(Q1716),1,0)</f>
        <v/>
      </c>
      <c r="Z1716">
        <f>IF(AND(K1716=0,L1716=0,Y1716=0),1,0)</f>
        <v/>
      </c>
      <c r="AA1716">
        <f>IF(AND(Z1716=1,G1716&lt;Assumptions!$C$6),1,0)</f>
        <v/>
      </c>
      <c r="AB1716">
        <f>IF(U1716=0,"",IF(Y1716=1,MAX(0,Q1716-G1716),IF(L1716=1,MAX(0,R1716-G1716),MAX(0,Assumptions!$C$6-G1716))))</f>
        <v/>
      </c>
      <c r="AC1716">
        <f>IF(Y1716=1,Q1716-F1716,"")</f>
        <v/>
      </c>
      <c r="AD1716">
        <f>IF(Y1716=1,AC1716^2,"")</f>
        <v/>
      </c>
      <c r="AE1716" s="19">
        <f>IF(Z1716=1,(H1716-M1716)*I1716,0)</f>
        <v/>
      </c>
      <c r="AF1716">
        <f>IF(G1716&lt;EDATE(Assumptions!$C$6,-12)+1,"prior_12m","last_12m")</f>
        <v/>
      </c>
      <c r="AG1716" s="21">
        <f>DATE(YEAR(G1716),MONTH(G1716),1)</f>
        <v/>
      </c>
    </row>
    <row r="1717">
      <c r="A1717" t="inlineStr">
        <is>
          <t>SPO-00933-1</t>
        </is>
      </c>
      <c r="B1717" t="inlineStr">
        <is>
          <t>SPO-00933</t>
        </is>
      </c>
      <c r="C1717" t="inlineStr">
        <is>
          <t>SUP-12</t>
        </is>
      </c>
      <c r="D1717" t="inlineStr">
        <is>
          <t>IT</t>
        </is>
      </c>
      <c r="E1717" t="inlineStr">
        <is>
          <t>IT-08</t>
        </is>
      </c>
      <c r="F1717" s="17" t="n">
        <v>45825</v>
      </c>
      <c r="G1717" s="17" t="n">
        <v>45835</v>
      </c>
      <c r="H1717" s="18" t="n">
        <v>6</v>
      </c>
      <c r="I1717" s="19" t="n">
        <v>293.32</v>
      </c>
      <c r="J1717" s="19" t="n">
        <v>245</v>
      </c>
      <c r="K1717" s="20" t="n">
        <v>0</v>
      </c>
      <c r="L1717" s="20" t="n">
        <v>0</v>
      </c>
      <c r="M1717" s="18" t="n">
        <v>6</v>
      </c>
      <c r="N1717" s="18" t="n">
        <v>0</v>
      </c>
      <c r="O1717" s="18" t="n">
        <v>0</v>
      </c>
      <c r="P1717" s="17" t="n">
        <v>45836</v>
      </c>
      <c r="Q1717" s="17" t="n">
        <v>45836</v>
      </c>
      <c r="R1717" s="17" t="n">
        <v>45836</v>
      </c>
      <c r="S1717" s="19">
        <f>H1717*I1717</f>
        <v/>
      </c>
      <c r="T1717" s="19">
        <f>H1717*J1717</f>
        <v/>
      </c>
      <c r="U1717">
        <f>IF(AND(K1717=0,G1717&lt;=Assumptions!$C$6),1,0)</f>
        <v/>
      </c>
      <c r="V1717">
        <f>IF(U1717=1,IF(M1717&gt;0,IF(P1717&lt;=G1717+Assumptions!$C$7,1,0),0),0)</f>
        <v/>
      </c>
      <c r="W1717">
        <f>IF(AND(U1717=1,M1717&gt;=H1717*(1-Assumptions!$C$8)),1,0)</f>
        <v/>
      </c>
      <c r="X1717">
        <f>IF(AND(U1717=1,N1717&gt;=H1717*(1-Assumptions!$C$8)),1,0)</f>
        <v/>
      </c>
      <c r="Y1717">
        <f>IF(ISNUMBER(Q1717),1,0)</f>
        <v/>
      </c>
      <c r="Z1717">
        <f>IF(AND(K1717=0,L1717=0,Y1717=0),1,0)</f>
        <v/>
      </c>
      <c r="AA1717">
        <f>IF(AND(Z1717=1,G1717&lt;Assumptions!$C$6),1,0)</f>
        <v/>
      </c>
      <c r="AB1717">
        <f>IF(U1717=0,"",IF(Y1717=1,MAX(0,Q1717-G1717),IF(L1717=1,MAX(0,R1717-G1717),MAX(0,Assumptions!$C$6-G1717))))</f>
        <v/>
      </c>
      <c r="AC1717">
        <f>IF(Y1717=1,Q1717-F1717,"")</f>
        <v/>
      </c>
      <c r="AD1717">
        <f>IF(Y1717=1,AC1717^2,"")</f>
        <v/>
      </c>
      <c r="AE1717" s="19">
        <f>IF(Z1717=1,(H1717-M1717)*I1717,0)</f>
        <v/>
      </c>
      <c r="AF1717">
        <f>IF(G1717&lt;EDATE(Assumptions!$C$6,-12)+1,"prior_12m","last_12m")</f>
        <v/>
      </c>
      <c r="AG1717" s="21">
        <f>DATE(YEAR(G1717),MONTH(G1717),1)</f>
        <v/>
      </c>
    </row>
    <row r="1718">
      <c r="A1718" t="inlineStr">
        <is>
          <t>SPO-00933-2</t>
        </is>
      </c>
      <c r="B1718" t="inlineStr">
        <is>
          <t>SPO-00933</t>
        </is>
      </c>
      <c r="C1718" t="inlineStr">
        <is>
          <t>SUP-12</t>
        </is>
      </c>
      <c r="D1718" t="inlineStr">
        <is>
          <t>IT</t>
        </is>
      </c>
      <c r="E1718" t="inlineStr">
        <is>
          <t>IT-01</t>
        </is>
      </c>
      <c r="F1718" s="17" t="n">
        <v>45825</v>
      </c>
      <c r="G1718" s="17" t="n">
        <v>45835</v>
      </c>
      <c r="H1718" s="18" t="n">
        <v>6</v>
      </c>
      <c r="I1718" s="19" t="n">
        <v>228.38</v>
      </c>
      <c r="J1718" s="19" t="n">
        <v>189</v>
      </c>
      <c r="K1718" s="20" t="n">
        <v>0</v>
      </c>
      <c r="L1718" s="20" t="n">
        <v>0</v>
      </c>
      <c r="M1718" s="18" t="n">
        <v>6</v>
      </c>
      <c r="N1718" s="18" t="n">
        <v>6</v>
      </c>
      <c r="O1718" s="18" t="n">
        <v>0</v>
      </c>
      <c r="P1718" s="17" t="n">
        <v>45830</v>
      </c>
      <c r="Q1718" s="17" t="n">
        <v>45830</v>
      </c>
      <c r="R1718" s="17" t="n">
        <v>45830</v>
      </c>
      <c r="S1718" s="19">
        <f>H1718*I1718</f>
        <v/>
      </c>
      <c r="T1718" s="19">
        <f>H1718*J1718</f>
        <v/>
      </c>
      <c r="U1718">
        <f>IF(AND(K1718=0,G1718&lt;=Assumptions!$C$6),1,0)</f>
        <v/>
      </c>
      <c r="V1718">
        <f>IF(U1718=1,IF(M1718&gt;0,IF(P1718&lt;=G1718+Assumptions!$C$7,1,0),0),0)</f>
        <v/>
      </c>
      <c r="W1718">
        <f>IF(AND(U1718=1,M1718&gt;=H1718*(1-Assumptions!$C$8)),1,0)</f>
        <v/>
      </c>
      <c r="X1718">
        <f>IF(AND(U1718=1,N1718&gt;=H1718*(1-Assumptions!$C$8)),1,0)</f>
        <v/>
      </c>
      <c r="Y1718">
        <f>IF(ISNUMBER(Q1718),1,0)</f>
        <v/>
      </c>
      <c r="Z1718">
        <f>IF(AND(K1718=0,L1718=0,Y1718=0),1,0)</f>
        <v/>
      </c>
      <c r="AA1718">
        <f>IF(AND(Z1718=1,G1718&lt;Assumptions!$C$6),1,0)</f>
        <v/>
      </c>
      <c r="AB1718">
        <f>IF(U1718=0,"",IF(Y1718=1,MAX(0,Q1718-G1718),IF(L1718=1,MAX(0,R1718-G1718),MAX(0,Assumptions!$C$6-G1718))))</f>
        <v/>
      </c>
      <c r="AC1718">
        <f>IF(Y1718=1,Q1718-F1718,"")</f>
        <v/>
      </c>
      <c r="AD1718">
        <f>IF(Y1718=1,AC1718^2,"")</f>
        <v/>
      </c>
      <c r="AE1718" s="19">
        <f>IF(Z1718=1,(H1718-M1718)*I1718,0)</f>
        <v/>
      </c>
      <c r="AF1718">
        <f>IF(G1718&lt;EDATE(Assumptions!$C$6,-12)+1,"prior_12m","last_12m")</f>
        <v/>
      </c>
      <c r="AG1718" s="21">
        <f>DATE(YEAR(G1718),MONTH(G1718),1)</f>
        <v/>
      </c>
    </row>
    <row r="1719">
      <c r="A1719" t="inlineStr">
        <is>
          <t>SPO-00934-1</t>
        </is>
      </c>
      <c r="B1719" t="inlineStr">
        <is>
          <t>SPO-00934</t>
        </is>
      </c>
      <c r="C1719" t="inlineStr">
        <is>
          <t>SUP-01</t>
        </is>
      </c>
      <c r="D1719" t="inlineStr">
        <is>
          <t>ELEC</t>
        </is>
      </c>
      <c r="E1719" t="inlineStr">
        <is>
          <t>ELEC-05</t>
        </is>
      </c>
      <c r="F1719" s="17" t="n">
        <v>45826</v>
      </c>
      <c r="G1719" s="17" t="n">
        <v>45844</v>
      </c>
      <c r="H1719" s="18" t="n">
        <v>305</v>
      </c>
      <c r="I1719" s="19" t="n">
        <v>11.18</v>
      </c>
      <c r="J1719" s="19" t="n">
        <v>11.5</v>
      </c>
      <c r="K1719" s="20" t="n">
        <v>0</v>
      </c>
      <c r="L1719" s="20" t="n">
        <v>0</v>
      </c>
      <c r="M1719" s="18" t="n">
        <v>305</v>
      </c>
      <c r="N1719" s="18" t="n">
        <v>305</v>
      </c>
      <c r="O1719" s="18" t="n">
        <v>0</v>
      </c>
      <c r="P1719" s="17" t="n">
        <v>45840</v>
      </c>
      <c r="Q1719" s="17" t="n">
        <v>45840</v>
      </c>
      <c r="R1719" s="17" t="n">
        <v>45840</v>
      </c>
      <c r="S1719" s="19">
        <f>H1719*I1719</f>
        <v/>
      </c>
      <c r="T1719" s="19">
        <f>H1719*J1719</f>
        <v/>
      </c>
      <c r="U1719">
        <f>IF(AND(K1719=0,G1719&lt;=Assumptions!$C$6),1,0)</f>
        <v/>
      </c>
      <c r="V1719">
        <f>IF(U1719=1,IF(M1719&gt;0,IF(P1719&lt;=G1719+Assumptions!$C$7,1,0),0),0)</f>
        <v/>
      </c>
      <c r="W1719">
        <f>IF(AND(U1719=1,M1719&gt;=H1719*(1-Assumptions!$C$8)),1,0)</f>
        <v/>
      </c>
      <c r="X1719">
        <f>IF(AND(U1719=1,N1719&gt;=H1719*(1-Assumptions!$C$8)),1,0)</f>
        <v/>
      </c>
      <c r="Y1719">
        <f>IF(ISNUMBER(Q1719),1,0)</f>
        <v/>
      </c>
      <c r="Z1719">
        <f>IF(AND(K1719=0,L1719=0,Y1719=0),1,0)</f>
        <v/>
      </c>
      <c r="AA1719">
        <f>IF(AND(Z1719=1,G1719&lt;Assumptions!$C$6),1,0)</f>
        <v/>
      </c>
      <c r="AB1719">
        <f>IF(U1719=0,"",IF(Y1719=1,MAX(0,Q1719-G1719),IF(L1719=1,MAX(0,R1719-G1719),MAX(0,Assumptions!$C$6-G1719))))</f>
        <v/>
      </c>
      <c r="AC1719">
        <f>IF(Y1719=1,Q1719-F1719,"")</f>
        <v/>
      </c>
      <c r="AD1719">
        <f>IF(Y1719=1,AC1719^2,"")</f>
        <v/>
      </c>
      <c r="AE1719" s="19">
        <f>IF(Z1719=1,(H1719-M1719)*I1719,0)</f>
        <v/>
      </c>
      <c r="AF1719">
        <f>IF(G1719&lt;EDATE(Assumptions!$C$6,-12)+1,"prior_12m","last_12m")</f>
        <v/>
      </c>
      <c r="AG1719" s="21">
        <f>DATE(YEAR(G1719),MONTH(G1719),1)</f>
        <v/>
      </c>
    </row>
    <row r="1720">
      <c r="A1720" t="inlineStr">
        <is>
          <t>SPO-00934-2</t>
        </is>
      </c>
      <c r="B1720" t="inlineStr">
        <is>
          <t>SPO-00934</t>
        </is>
      </c>
      <c r="C1720" t="inlineStr">
        <is>
          <t>SUP-01</t>
        </is>
      </c>
      <c r="D1720" t="inlineStr">
        <is>
          <t>ELEC</t>
        </is>
      </c>
      <c r="E1720" t="inlineStr">
        <is>
          <t>ELEC-03</t>
        </is>
      </c>
      <c r="F1720" s="17" t="n">
        <v>45826</v>
      </c>
      <c r="G1720" s="17" t="n">
        <v>45844</v>
      </c>
      <c r="H1720" s="18" t="n">
        <v>25</v>
      </c>
      <c r="I1720" s="19" t="n">
        <v>96.25</v>
      </c>
      <c r="J1720" s="19" t="n">
        <v>96</v>
      </c>
      <c r="K1720" s="20" t="n">
        <v>0</v>
      </c>
      <c r="L1720" s="20" t="n">
        <v>0</v>
      </c>
      <c r="M1720" s="18" t="n">
        <v>25</v>
      </c>
      <c r="N1720" s="18" t="n">
        <v>25</v>
      </c>
      <c r="O1720" s="18" t="n">
        <v>0</v>
      </c>
      <c r="P1720" s="17" t="n">
        <v>45838</v>
      </c>
      <c r="Q1720" s="17" t="n">
        <v>45838</v>
      </c>
      <c r="R1720" s="17" t="n">
        <v>45838</v>
      </c>
      <c r="S1720" s="19">
        <f>H1720*I1720</f>
        <v/>
      </c>
      <c r="T1720" s="19">
        <f>H1720*J1720</f>
        <v/>
      </c>
      <c r="U1720">
        <f>IF(AND(K1720=0,G1720&lt;=Assumptions!$C$6),1,0)</f>
        <v/>
      </c>
      <c r="V1720">
        <f>IF(U1720=1,IF(M1720&gt;0,IF(P1720&lt;=G1720+Assumptions!$C$7,1,0),0),0)</f>
        <v/>
      </c>
      <c r="W1720">
        <f>IF(AND(U1720=1,M1720&gt;=H1720*(1-Assumptions!$C$8)),1,0)</f>
        <v/>
      </c>
      <c r="X1720">
        <f>IF(AND(U1720=1,N1720&gt;=H1720*(1-Assumptions!$C$8)),1,0)</f>
        <v/>
      </c>
      <c r="Y1720">
        <f>IF(ISNUMBER(Q1720),1,0)</f>
        <v/>
      </c>
      <c r="Z1720">
        <f>IF(AND(K1720=0,L1720=0,Y1720=0),1,0)</f>
        <v/>
      </c>
      <c r="AA1720">
        <f>IF(AND(Z1720=1,G1720&lt;Assumptions!$C$6),1,0)</f>
        <v/>
      </c>
      <c r="AB1720">
        <f>IF(U1720=0,"",IF(Y1720=1,MAX(0,Q1720-G1720),IF(L1720=1,MAX(0,R1720-G1720),MAX(0,Assumptions!$C$6-G1720))))</f>
        <v/>
      </c>
      <c r="AC1720">
        <f>IF(Y1720=1,Q1720-F1720,"")</f>
        <v/>
      </c>
      <c r="AD1720">
        <f>IF(Y1720=1,AC1720^2,"")</f>
        <v/>
      </c>
      <c r="AE1720" s="19">
        <f>IF(Z1720=1,(H1720-M1720)*I1720,0)</f>
        <v/>
      </c>
      <c r="AF1720">
        <f>IF(G1720&lt;EDATE(Assumptions!$C$6,-12)+1,"prior_12m","last_12m")</f>
        <v/>
      </c>
      <c r="AG1720" s="21">
        <f>DATE(YEAR(G1720),MONTH(G1720),1)</f>
        <v/>
      </c>
    </row>
    <row r="1721">
      <c r="A1721" t="inlineStr">
        <is>
          <t>SPO-00934-3</t>
        </is>
      </c>
      <c r="B1721" t="inlineStr">
        <is>
          <t>SPO-00934</t>
        </is>
      </c>
      <c r="C1721" t="inlineStr">
        <is>
          <t>SUP-01</t>
        </is>
      </c>
      <c r="D1721" t="inlineStr">
        <is>
          <t>ELEC</t>
        </is>
      </c>
      <c r="E1721" t="inlineStr">
        <is>
          <t>ELEC-06</t>
        </is>
      </c>
      <c r="F1721" s="17" t="n">
        <v>45826</v>
      </c>
      <c r="G1721" s="17" t="n">
        <v>45844</v>
      </c>
      <c r="H1721" s="18" t="n">
        <v>22</v>
      </c>
      <c r="I1721" s="19" t="n">
        <v>152.6</v>
      </c>
      <c r="J1721" s="19" t="n">
        <v>145</v>
      </c>
      <c r="K1721" s="20" t="n">
        <v>0</v>
      </c>
      <c r="L1721" s="20" t="n">
        <v>0</v>
      </c>
      <c r="M1721" s="18" t="n">
        <v>22</v>
      </c>
      <c r="N1721" s="18" t="n">
        <v>22</v>
      </c>
      <c r="O1721" s="18" t="n">
        <v>0</v>
      </c>
      <c r="P1721" s="17" t="n">
        <v>45842</v>
      </c>
      <c r="Q1721" s="17" t="n">
        <v>45842</v>
      </c>
      <c r="R1721" s="17" t="n">
        <v>45842</v>
      </c>
      <c r="S1721" s="19">
        <f>H1721*I1721</f>
        <v/>
      </c>
      <c r="T1721" s="19">
        <f>H1721*J1721</f>
        <v/>
      </c>
      <c r="U1721">
        <f>IF(AND(K1721=0,G1721&lt;=Assumptions!$C$6),1,0)</f>
        <v/>
      </c>
      <c r="V1721">
        <f>IF(U1721=1,IF(M1721&gt;0,IF(P1721&lt;=G1721+Assumptions!$C$7,1,0),0),0)</f>
        <v/>
      </c>
      <c r="W1721">
        <f>IF(AND(U1721=1,M1721&gt;=H1721*(1-Assumptions!$C$8)),1,0)</f>
        <v/>
      </c>
      <c r="X1721">
        <f>IF(AND(U1721=1,N1721&gt;=H1721*(1-Assumptions!$C$8)),1,0)</f>
        <v/>
      </c>
      <c r="Y1721">
        <f>IF(ISNUMBER(Q1721),1,0)</f>
        <v/>
      </c>
      <c r="Z1721">
        <f>IF(AND(K1721=0,L1721=0,Y1721=0),1,0)</f>
        <v/>
      </c>
      <c r="AA1721">
        <f>IF(AND(Z1721=1,G1721&lt;Assumptions!$C$6),1,0)</f>
        <v/>
      </c>
      <c r="AB1721">
        <f>IF(U1721=0,"",IF(Y1721=1,MAX(0,Q1721-G1721),IF(L1721=1,MAX(0,R1721-G1721),MAX(0,Assumptions!$C$6-G1721))))</f>
        <v/>
      </c>
      <c r="AC1721">
        <f>IF(Y1721=1,Q1721-F1721,"")</f>
        <v/>
      </c>
      <c r="AD1721">
        <f>IF(Y1721=1,AC1721^2,"")</f>
        <v/>
      </c>
      <c r="AE1721" s="19">
        <f>IF(Z1721=1,(H1721-M1721)*I1721,0)</f>
        <v/>
      </c>
      <c r="AF1721">
        <f>IF(G1721&lt;EDATE(Assumptions!$C$6,-12)+1,"prior_12m","last_12m")</f>
        <v/>
      </c>
      <c r="AG1721" s="21">
        <f>DATE(YEAR(G1721),MONTH(G1721),1)</f>
        <v/>
      </c>
    </row>
    <row r="1722">
      <c r="A1722" t="inlineStr">
        <is>
          <t>SPO-00935-1</t>
        </is>
      </c>
      <c r="B1722" t="inlineStr">
        <is>
          <t>SPO-00935</t>
        </is>
      </c>
      <c r="C1722" t="inlineStr">
        <is>
          <t>SUP-04</t>
        </is>
      </c>
      <c r="D1722" t="inlineStr">
        <is>
          <t>FLEET</t>
        </is>
      </c>
      <c r="E1722" t="inlineStr">
        <is>
          <t>FLEET-03</t>
        </is>
      </c>
      <c r="F1722" s="17" t="n">
        <v>45826</v>
      </c>
      <c r="G1722" s="17" t="n">
        <v>45839</v>
      </c>
      <c r="H1722" s="18" t="n">
        <v>62</v>
      </c>
      <c r="I1722" s="19" t="n">
        <v>21.98</v>
      </c>
      <c r="J1722" s="19" t="n">
        <v>21</v>
      </c>
      <c r="K1722" s="20" t="n">
        <v>0</v>
      </c>
      <c r="L1722" s="20" t="n">
        <v>0</v>
      </c>
      <c r="M1722" s="18" t="n">
        <v>62</v>
      </c>
      <c r="N1722" s="18" t="n">
        <v>62</v>
      </c>
      <c r="O1722" s="18" t="n">
        <v>0</v>
      </c>
      <c r="P1722" s="17" t="n">
        <v>45831</v>
      </c>
      <c r="Q1722" s="17" t="n">
        <v>45831</v>
      </c>
      <c r="R1722" s="17" t="n">
        <v>45831</v>
      </c>
      <c r="S1722" s="19">
        <f>H1722*I1722</f>
        <v/>
      </c>
      <c r="T1722" s="19">
        <f>H1722*J1722</f>
        <v/>
      </c>
      <c r="U1722">
        <f>IF(AND(K1722=0,G1722&lt;=Assumptions!$C$6),1,0)</f>
        <v/>
      </c>
      <c r="V1722">
        <f>IF(U1722=1,IF(M1722&gt;0,IF(P1722&lt;=G1722+Assumptions!$C$7,1,0),0),0)</f>
        <v/>
      </c>
      <c r="W1722">
        <f>IF(AND(U1722=1,M1722&gt;=H1722*(1-Assumptions!$C$8)),1,0)</f>
        <v/>
      </c>
      <c r="X1722">
        <f>IF(AND(U1722=1,N1722&gt;=H1722*(1-Assumptions!$C$8)),1,0)</f>
        <v/>
      </c>
      <c r="Y1722">
        <f>IF(ISNUMBER(Q1722),1,0)</f>
        <v/>
      </c>
      <c r="Z1722">
        <f>IF(AND(K1722=0,L1722=0,Y1722=0),1,0)</f>
        <v/>
      </c>
      <c r="AA1722">
        <f>IF(AND(Z1722=1,G1722&lt;Assumptions!$C$6),1,0)</f>
        <v/>
      </c>
      <c r="AB1722">
        <f>IF(U1722=0,"",IF(Y1722=1,MAX(0,Q1722-G1722),IF(L1722=1,MAX(0,R1722-G1722),MAX(0,Assumptions!$C$6-G1722))))</f>
        <v/>
      </c>
      <c r="AC1722">
        <f>IF(Y1722=1,Q1722-F1722,"")</f>
        <v/>
      </c>
      <c r="AD1722">
        <f>IF(Y1722=1,AC1722^2,"")</f>
        <v/>
      </c>
      <c r="AE1722" s="19">
        <f>IF(Z1722=1,(H1722-M1722)*I1722,0)</f>
        <v/>
      </c>
      <c r="AF1722">
        <f>IF(G1722&lt;EDATE(Assumptions!$C$6,-12)+1,"prior_12m","last_12m")</f>
        <v/>
      </c>
      <c r="AG1722" s="21">
        <f>DATE(YEAR(G1722),MONTH(G1722),1)</f>
        <v/>
      </c>
    </row>
    <row r="1723">
      <c r="A1723" t="inlineStr">
        <is>
          <t>SPO-00936-1</t>
        </is>
      </c>
      <c r="B1723" t="inlineStr">
        <is>
          <t>SPO-00936</t>
        </is>
      </c>
      <c r="C1723" t="inlineStr">
        <is>
          <t>SUP-11</t>
        </is>
      </c>
      <c r="D1723" t="inlineStr">
        <is>
          <t>PPE</t>
        </is>
      </c>
      <c r="E1723" t="inlineStr">
        <is>
          <t>PPE-05</t>
        </is>
      </c>
      <c r="F1723" s="17" t="n">
        <v>45826</v>
      </c>
      <c r="G1723" s="17" t="n">
        <v>45838</v>
      </c>
      <c r="H1723" s="18" t="n">
        <v>107</v>
      </c>
      <c r="I1723" s="19" t="n">
        <v>11.56</v>
      </c>
      <c r="J1723" s="19" t="n">
        <v>11</v>
      </c>
      <c r="K1723" s="20" t="n">
        <v>0</v>
      </c>
      <c r="L1723" s="20" t="n">
        <v>0</v>
      </c>
      <c r="M1723" s="18" t="n">
        <v>107</v>
      </c>
      <c r="N1723" s="18" t="n">
        <v>107</v>
      </c>
      <c r="O1723" s="18" t="n">
        <v>0</v>
      </c>
      <c r="P1723" s="17" t="n">
        <v>45838</v>
      </c>
      <c r="Q1723" s="17" t="n">
        <v>45838</v>
      </c>
      <c r="R1723" s="17" t="n">
        <v>45838</v>
      </c>
      <c r="S1723" s="19">
        <f>H1723*I1723</f>
        <v/>
      </c>
      <c r="T1723" s="19">
        <f>H1723*J1723</f>
        <v/>
      </c>
      <c r="U1723">
        <f>IF(AND(K1723=0,G1723&lt;=Assumptions!$C$6),1,0)</f>
        <v/>
      </c>
      <c r="V1723">
        <f>IF(U1723=1,IF(M1723&gt;0,IF(P1723&lt;=G1723+Assumptions!$C$7,1,0),0),0)</f>
        <v/>
      </c>
      <c r="W1723">
        <f>IF(AND(U1723=1,M1723&gt;=H1723*(1-Assumptions!$C$8)),1,0)</f>
        <v/>
      </c>
      <c r="X1723">
        <f>IF(AND(U1723=1,N1723&gt;=H1723*(1-Assumptions!$C$8)),1,0)</f>
        <v/>
      </c>
      <c r="Y1723">
        <f>IF(ISNUMBER(Q1723),1,0)</f>
        <v/>
      </c>
      <c r="Z1723">
        <f>IF(AND(K1723=0,L1723=0,Y1723=0),1,0)</f>
        <v/>
      </c>
      <c r="AA1723">
        <f>IF(AND(Z1723=1,G1723&lt;Assumptions!$C$6),1,0)</f>
        <v/>
      </c>
      <c r="AB1723">
        <f>IF(U1723=0,"",IF(Y1723=1,MAX(0,Q1723-G1723),IF(L1723=1,MAX(0,R1723-G1723),MAX(0,Assumptions!$C$6-G1723))))</f>
        <v/>
      </c>
      <c r="AC1723">
        <f>IF(Y1723=1,Q1723-F1723,"")</f>
        <v/>
      </c>
      <c r="AD1723">
        <f>IF(Y1723=1,AC1723^2,"")</f>
        <v/>
      </c>
      <c r="AE1723" s="19">
        <f>IF(Z1723=1,(H1723-M1723)*I1723,0)</f>
        <v/>
      </c>
      <c r="AF1723">
        <f>IF(G1723&lt;EDATE(Assumptions!$C$6,-12)+1,"prior_12m","last_12m")</f>
        <v/>
      </c>
      <c r="AG1723" s="21">
        <f>DATE(YEAR(G1723),MONTH(G1723),1)</f>
        <v/>
      </c>
    </row>
    <row r="1724">
      <c r="A1724" t="inlineStr">
        <is>
          <t>SPO-00937-1</t>
        </is>
      </c>
      <c r="B1724" t="inlineStr">
        <is>
          <t>SPO-00937</t>
        </is>
      </c>
      <c r="C1724" t="inlineStr">
        <is>
          <t>SUP-05</t>
        </is>
      </c>
      <c r="D1724" t="inlineStr">
        <is>
          <t>FLEET</t>
        </is>
      </c>
      <c r="E1724" t="inlineStr">
        <is>
          <t>FLEET-04</t>
        </is>
      </c>
      <c r="F1724" s="17" t="n">
        <v>45827</v>
      </c>
      <c r="G1724" s="17" t="n">
        <v>45841</v>
      </c>
      <c r="H1724" s="18" t="n">
        <v>178</v>
      </c>
      <c r="I1724" s="19" t="n">
        <v>8.949999999999999</v>
      </c>
      <c r="J1724" s="19" t="n">
        <v>9</v>
      </c>
      <c r="K1724" s="20" t="n">
        <v>1</v>
      </c>
      <c r="L1724" s="20" t="n">
        <v>0</v>
      </c>
      <c r="M1724" s="18" t="n">
        <v>0</v>
      </c>
      <c r="N1724" s="18" t="n">
        <v>0</v>
      </c>
      <c r="O1724" s="18" t="n">
        <v>0</v>
      </c>
      <c r="P1724" s="17" t="n"/>
      <c r="Q1724" s="17" t="n"/>
      <c r="R1724" s="17" t="n"/>
      <c r="S1724" s="19">
        <f>H1724*I1724</f>
        <v/>
      </c>
      <c r="T1724" s="19">
        <f>H1724*J1724</f>
        <v/>
      </c>
      <c r="U1724">
        <f>IF(AND(K1724=0,G1724&lt;=Assumptions!$C$6),1,0)</f>
        <v/>
      </c>
      <c r="V1724">
        <f>IF(U1724=1,IF(M1724&gt;0,IF(P1724&lt;=G1724+Assumptions!$C$7,1,0),0),0)</f>
        <v/>
      </c>
      <c r="W1724">
        <f>IF(AND(U1724=1,M1724&gt;=H1724*(1-Assumptions!$C$8)),1,0)</f>
        <v/>
      </c>
      <c r="X1724">
        <f>IF(AND(U1724=1,N1724&gt;=H1724*(1-Assumptions!$C$8)),1,0)</f>
        <v/>
      </c>
      <c r="Y1724">
        <f>IF(ISNUMBER(Q1724),1,0)</f>
        <v/>
      </c>
      <c r="Z1724">
        <f>IF(AND(K1724=0,L1724=0,Y1724=0),1,0)</f>
        <v/>
      </c>
      <c r="AA1724">
        <f>IF(AND(Z1724=1,G1724&lt;Assumptions!$C$6),1,0)</f>
        <v/>
      </c>
      <c r="AB1724">
        <f>IF(U1724=0,"",IF(Y1724=1,MAX(0,Q1724-G1724),IF(L1724=1,MAX(0,R1724-G1724),MAX(0,Assumptions!$C$6-G1724))))</f>
        <v/>
      </c>
      <c r="AC1724">
        <f>IF(Y1724=1,Q1724-F1724,"")</f>
        <v/>
      </c>
      <c r="AD1724">
        <f>IF(Y1724=1,AC1724^2,"")</f>
        <v/>
      </c>
      <c r="AE1724" s="19">
        <f>IF(Z1724=1,(H1724-M1724)*I1724,0)</f>
        <v/>
      </c>
      <c r="AF1724">
        <f>IF(G1724&lt;EDATE(Assumptions!$C$6,-12)+1,"prior_12m","last_12m")</f>
        <v/>
      </c>
      <c r="AG1724" s="21">
        <f>DATE(YEAR(G1724),MONTH(G1724),1)</f>
        <v/>
      </c>
    </row>
    <row r="1725">
      <c r="A1725" t="inlineStr">
        <is>
          <t>SPO-00937-2</t>
        </is>
      </c>
      <c r="B1725" t="inlineStr">
        <is>
          <t>SPO-00937</t>
        </is>
      </c>
      <c r="C1725" t="inlineStr">
        <is>
          <t>SUP-05</t>
        </is>
      </c>
      <c r="D1725" t="inlineStr">
        <is>
          <t>FLEET</t>
        </is>
      </c>
      <c r="E1725" t="inlineStr">
        <is>
          <t>FLEET-08</t>
        </is>
      </c>
      <c r="F1725" s="17" t="n">
        <v>45827</v>
      </c>
      <c r="G1725" s="17" t="n">
        <v>45841</v>
      </c>
      <c r="H1725" s="18" t="n">
        <v>183</v>
      </c>
      <c r="I1725" s="19" t="n">
        <v>6.75</v>
      </c>
      <c r="J1725" s="19" t="n">
        <v>6.4</v>
      </c>
      <c r="K1725" s="20" t="n">
        <v>0</v>
      </c>
      <c r="L1725" s="20" t="n">
        <v>0</v>
      </c>
      <c r="M1725" s="18" t="n">
        <v>183</v>
      </c>
      <c r="N1725" s="18" t="n">
        <v>183</v>
      </c>
      <c r="O1725" s="18" t="n">
        <v>0</v>
      </c>
      <c r="P1725" s="17" t="n">
        <v>45839</v>
      </c>
      <c r="Q1725" s="17" t="n">
        <v>45839</v>
      </c>
      <c r="R1725" s="17" t="n">
        <v>45839</v>
      </c>
      <c r="S1725" s="19">
        <f>H1725*I1725</f>
        <v/>
      </c>
      <c r="T1725" s="19">
        <f>H1725*J1725</f>
        <v/>
      </c>
      <c r="U1725">
        <f>IF(AND(K1725=0,G1725&lt;=Assumptions!$C$6),1,0)</f>
        <v/>
      </c>
      <c r="V1725">
        <f>IF(U1725=1,IF(M1725&gt;0,IF(P1725&lt;=G1725+Assumptions!$C$7,1,0),0),0)</f>
        <v/>
      </c>
      <c r="W1725">
        <f>IF(AND(U1725=1,M1725&gt;=H1725*(1-Assumptions!$C$8)),1,0)</f>
        <v/>
      </c>
      <c r="X1725">
        <f>IF(AND(U1725=1,N1725&gt;=H1725*(1-Assumptions!$C$8)),1,0)</f>
        <v/>
      </c>
      <c r="Y1725">
        <f>IF(ISNUMBER(Q1725),1,0)</f>
        <v/>
      </c>
      <c r="Z1725">
        <f>IF(AND(K1725=0,L1725=0,Y1725=0),1,0)</f>
        <v/>
      </c>
      <c r="AA1725">
        <f>IF(AND(Z1725=1,G1725&lt;Assumptions!$C$6),1,0)</f>
        <v/>
      </c>
      <c r="AB1725">
        <f>IF(U1725=0,"",IF(Y1725=1,MAX(0,Q1725-G1725),IF(L1725=1,MAX(0,R1725-G1725),MAX(0,Assumptions!$C$6-G1725))))</f>
        <v/>
      </c>
      <c r="AC1725">
        <f>IF(Y1725=1,Q1725-F1725,"")</f>
        <v/>
      </c>
      <c r="AD1725">
        <f>IF(Y1725=1,AC1725^2,"")</f>
        <v/>
      </c>
      <c r="AE1725" s="19">
        <f>IF(Z1725=1,(H1725-M1725)*I1725,0)</f>
        <v/>
      </c>
      <c r="AF1725">
        <f>IF(G1725&lt;EDATE(Assumptions!$C$6,-12)+1,"prior_12m","last_12m")</f>
        <v/>
      </c>
      <c r="AG1725" s="21">
        <f>DATE(YEAR(G1725),MONTH(G1725),1)</f>
        <v/>
      </c>
    </row>
    <row r="1726">
      <c r="A1726" t="inlineStr">
        <is>
          <t>SPO-00937-3</t>
        </is>
      </c>
      <c r="B1726" t="inlineStr">
        <is>
          <t>SPO-00937</t>
        </is>
      </c>
      <c r="C1726" t="inlineStr">
        <is>
          <t>SUP-05</t>
        </is>
      </c>
      <c r="D1726" t="inlineStr">
        <is>
          <t>FLEET</t>
        </is>
      </c>
      <c r="E1726" t="inlineStr">
        <is>
          <t>FLEET-05</t>
        </is>
      </c>
      <c r="F1726" s="17" t="n">
        <v>45827</v>
      </c>
      <c r="G1726" s="17" t="n">
        <v>45841</v>
      </c>
      <c r="H1726" s="18" t="n">
        <v>19</v>
      </c>
      <c r="I1726" s="19" t="n">
        <v>172.62</v>
      </c>
      <c r="J1726" s="19" t="n">
        <v>168</v>
      </c>
      <c r="K1726" s="20" t="n">
        <v>0</v>
      </c>
      <c r="L1726" s="20" t="n">
        <v>0</v>
      </c>
      <c r="M1726" s="18" t="n">
        <v>19</v>
      </c>
      <c r="N1726" s="18" t="n">
        <v>19</v>
      </c>
      <c r="O1726" s="18" t="n">
        <v>0</v>
      </c>
      <c r="P1726" s="17" t="n">
        <v>45839</v>
      </c>
      <c r="Q1726" s="17" t="n">
        <v>45839</v>
      </c>
      <c r="R1726" s="17" t="n">
        <v>45839</v>
      </c>
      <c r="S1726" s="19">
        <f>H1726*I1726</f>
        <v/>
      </c>
      <c r="T1726" s="19">
        <f>H1726*J1726</f>
        <v/>
      </c>
      <c r="U1726">
        <f>IF(AND(K1726=0,G1726&lt;=Assumptions!$C$6),1,0)</f>
        <v/>
      </c>
      <c r="V1726">
        <f>IF(U1726=1,IF(M1726&gt;0,IF(P1726&lt;=G1726+Assumptions!$C$7,1,0),0),0)</f>
        <v/>
      </c>
      <c r="W1726">
        <f>IF(AND(U1726=1,M1726&gt;=H1726*(1-Assumptions!$C$8)),1,0)</f>
        <v/>
      </c>
      <c r="X1726">
        <f>IF(AND(U1726=1,N1726&gt;=H1726*(1-Assumptions!$C$8)),1,0)</f>
        <v/>
      </c>
      <c r="Y1726">
        <f>IF(ISNUMBER(Q1726),1,0)</f>
        <v/>
      </c>
      <c r="Z1726">
        <f>IF(AND(K1726=0,L1726=0,Y1726=0),1,0)</f>
        <v/>
      </c>
      <c r="AA1726">
        <f>IF(AND(Z1726=1,G1726&lt;Assumptions!$C$6),1,0)</f>
        <v/>
      </c>
      <c r="AB1726">
        <f>IF(U1726=0,"",IF(Y1726=1,MAX(0,Q1726-G1726),IF(L1726=1,MAX(0,R1726-G1726),MAX(0,Assumptions!$C$6-G1726))))</f>
        <v/>
      </c>
      <c r="AC1726">
        <f>IF(Y1726=1,Q1726-F1726,"")</f>
        <v/>
      </c>
      <c r="AD1726">
        <f>IF(Y1726=1,AC1726^2,"")</f>
        <v/>
      </c>
      <c r="AE1726" s="19">
        <f>IF(Z1726=1,(H1726-M1726)*I1726,0)</f>
        <v/>
      </c>
      <c r="AF1726">
        <f>IF(G1726&lt;EDATE(Assumptions!$C$6,-12)+1,"prior_12m","last_12m")</f>
        <v/>
      </c>
      <c r="AG1726" s="21">
        <f>DATE(YEAR(G1726),MONTH(G1726),1)</f>
        <v/>
      </c>
    </row>
    <row r="1727">
      <c r="A1727" t="inlineStr">
        <is>
          <t>SPO-00937-4</t>
        </is>
      </c>
      <c r="B1727" t="inlineStr">
        <is>
          <t>SPO-00937</t>
        </is>
      </c>
      <c r="C1727" t="inlineStr">
        <is>
          <t>SUP-05</t>
        </is>
      </c>
      <c r="D1727" t="inlineStr">
        <is>
          <t>FLEET</t>
        </is>
      </c>
      <c r="E1727" t="inlineStr">
        <is>
          <t>FLEET-01</t>
        </is>
      </c>
      <c r="F1727" s="17" t="n">
        <v>45827</v>
      </c>
      <c r="G1727" s="17" t="n">
        <v>45841</v>
      </c>
      <c r="H1727" s="18" t="n">
        <v>23</v>
      </c>
      <c r="I1727" s="19" t="n">
        <v>65.2</v>
      </c>
      <c r="J1727" s="19" t="n">
        <v>64</v>
      </c>
      <c r="K1727" s="20" t="n">
        <v>0</v>
      </c>
      <c r="L1727" s="20" t="n">
        <v>0</v>
      </c>
      <c r="M1727" s="18" t="n">
        <v>23</v>
      </c>
      <c r="N1727" s="18" t="n">
        <v>23</v>
      </c>
      <c r="O1727" s="18" t="n">
        <v>0</v>
      </c>
      <c r="P1727" s="17" t="n">
        <v>45840</v>
      </c>
      <c r="Q1727" s="17" t="n">
        <v>45840</v>
      </c>
      <c r="R1727" s="17" t="n">
        <v>45840</v>
      </c>
      <c r="S1727" s="19">
        <f>H1727*I1727</f>
        <v/>
      </c>
      <c r="T1727" s="19">
        <f>H1727*J1727</f>
        <v/>
      </c>
      <c r="U1727">
        <f>IF(AND(K1727=0,G1727&lt;=Assumptions!$C$6),1,0)</f>
        <v/>
      </c>
      <c r="V1727">
        <f>IF(U1727=1,IF(M1727&gt;0,IF(P1727&lt;=G1727+Assumptions!$C$7,1,0),0),0)</f>
        <v/>
      </c>
      <c r="W1727">
        <f>IF(AND(U1727=1,M1727&gt;=H1727*(1-Assumptions!$C$8)),1,0)</f>
        <v/>
      </c>
      <c r="X1727">
        <f>IF(AND(U1727=1,N1727&gt;=H1727*(1-Assumptions!$C$8)),1,0)</f>
        <v/>
      </c>
      <c r="Y1727">
        <f>IF(ISNUMBER(Q1727),1,0)</f>
        <v/>
      </c>
      <c r="Z1727">
        <f>IF(AND(K1727=0,L1727=0,Y1727=0),1,0)</f>
        <v/>
      </c>
      <c r="AA1727">
        <f>IF(AND(Z1727=1,G1727&lt;Assumptions!$C$6),1,0)</f>
        <v/>
      </c>
      <c r="AB1727">
        <f>IF(U1727=0,"",IF(Y1727=1,MAX(0,Q1727-G1727),IF(L1727=1,MAX(0,R1727-G1727),MAX(0,Assumptions!$C$6-G1727))))</f>
        <v/>
      </c>
      <c r="AC1727">
        <f>IF(Y1727=1,Q1727-F1727,"")</f>
        <v/>
      </c>
      <c r="AD1727">
        <f>IF(Y1727=1,AC1727^2,"")</f>
        <v/>
      </c>
      <c r="AE1727" s="19">
        <f>IF(Z1727=1,(H1727-M1727)*I1727,0)</f>
        <v/>
      </c>
      <c r="AF1727">
        <f>IF(G1727&lt;EDATE(Assumptions!$C$6,-12)+1,"prior_12m","last_12m")</f>
        <v/>
      </c>
      <c r="AG1727" s="21">
        <f>DATE(YEAR(G1727),MONTH(G1727),1)</f>
        <v/>
      </c>
    </row>
    <row r="1728">
      <c r="A1728" t="inlineStr">
        <is>
          <t>SPO-00938-1</t>
        </is>
      </c>
      <c r="B1728" t="inlineStr">
        <is>
          <t>SPO-00938</t>
        </is>
      </c>
      <c r="C1728" t="inlineStr">
        <is>
          <t>SUP-01</t>
        </is>
      </c>
      <c r="D1728" t="inlineStr">
        <is>
          <t>ELEC</t>
        </is>
      </c>
      <c r="E1728" t="inlineStr">
        <is>
          <t>ELEC-07</t>
        </is>
      </c>
      <c r="F1728" s="17" t="n">
        <v>45827</v>
      </c>
      <c r="G1728" s="17" t="n">
        <v>45845</v>
      </c>
      <c r="H1728" s="18" t="n">
        <v>68</v>
      </c>
      <c r="I1728" s="19" t="n">
        <v>10.24</v>
      </c>
      <c r="J1728" s="19" t="n">
        <v>9.800000000000001</v>
      </c>
      <c r="K1728" s="20" t="n">
        <v>0</v>
      </c>
      <c r="L1728" s="20" t="n">
        <v>0</v>
      </c>
      <c r="M1728" s="18" t="n">
        <v>68</v>
      </c>
      <c r="N1728" s="18" t="n">
        <v>68</v>
      </c>
      <c r="O1728" s="18" t="n">
        <v>0</v>
      </c>
      <c r="P1728" s="17" t="n">
        <v>45839</v>
      </c>
      <c r="Q1728" s="17" t="n">
        <v>45839</v>
      </c>
      <c r="R1728" s="17" t="n">
        <v>45839</v>
      </c>
      <c r="S1728" s="19">
        <f>H1728*I1728</f>
        <v/>
      </c>
      <c r="T1728" s="19">
        <f>H1728*J1728</f>
        <v/>
      </c>
      <c r="U1728">
        <f>IF(AND(K1728=0,G1728&lt;=Assumptions!$C$6),1,0)</f>
        <v/>
      </c>
      <c r="V1728">
        <f>IF(U1728=1,IF(M1728&gt;0,IF(P1728&lt;=G1728+Assumptions!$C$7,1,0),0),0)</f>
        <v/>
      </c>
      <c r="W1728">
        <f>IF(AND(U1728=1,M1728&gt;=H1728*(1-Assumptions!$C$8)),1,0)</f>
        <v/>
      </c>
      <c r="X1728">
        <f>IF(AND(U1728=1,N1728&gt;=H1728*(1-Assumptions!$C$8)),1,0)</f>
        <v/>
      </c>
      <c r="Y1728">
        <f>IF(ISNUMBER(Q1728),1,0)</f>
        <v/>
      </c>
      <c r="Z1728">
        <f>IF(AND(K1728=0,L1728=0,Y1728=0),1,0)</f>
        <v/>
      </c>
      <c r="AA1728">
        <f>IF(AND(Z1728=1,G1728&lt;Assumptions!$C$6),1,0)</f>
        <v/>
      </c>
      <c r="AB1728">
        <f>IF(U1728=0,"",IF(Y1728=1,MAX(0,Q1728-G1728),IF(L1728=1,MAX(0,R1728-G1728),MAX(0,Assumptions!$C$6-G1728))))</f>
        <v/>
      </c>
      <c r="AC1728">
        <f>IF(Y1728=1,Q1728-F1728,"")</f>
        <v/>
      </c>
      <c r="AD1728">
        <f>IF(Y1728=1,AC1728^2,"")</f>
        <v/>
      </c>
      <c r="AE1728" s="19">
        <f>IF(Z1728=1,(H1728-M1728)*I1728,0)</f>
        <v/>
      </c>
      <c r="AF1728">
        <f>IF(G1728&lt;EDATE(Assumptions!$C$6,-12)+1,"prior_12m","last_12m")</f>
        <v/>
      </c>
      <c r="AG1728" s="21">
        <f>DATE(YEAR(G1728),MONTH(G1728),1)</f>
        <v/>
      </c>
    </row>
    <row r="1729">
      <c r="A1729" t="inlineStr">
        <is>
          <t>SPO-00939-1</t>
        </is>
      </c>
      <c r="B1729" t="inlineStr">
        <is>
          <t>SPO-00939</t>
        </is>
      </c>
      <c r="C1729" t="inlineStr">
        <is>
          <t>SUP-12</t>
        </is>
      </c>
      <c r="D1729" t="inlineStr">
        <is>
          <t>IT</t>
        </is>
      </c>
      <c r="E1729" t="inlineStr">
        <is>
          <t>IT-03</t>
        </is>
      </c>
      <c r="F1729" s="17" t="n">
        <v>45828</v>
      </c>
      <c r="G1729" s="17" t="n">
        <v>45838</v>
      </c>
      <c r="H1729" s="18" t="n">
        <v>49</v>
      </c>
      <c r="I1729" s="19" t="n">
        <v>42.45</v>
      </c>
      <c r="J1729" s="19" t="n">
        <v>38</v>
      </c>
      <c r="K1729" s="20" t="n">
        <v>0</v>
      </c>
      <c r="L1729" s="20" t="n">
        <v>0</v>
      </c>
      <c r="M1729" s="18" t="n">
        <v>49</v>
      </c>
      <c r="N1729" s="18" t="n">
        <v>0</v>
      </c>
      <c r="O1729" s="18" t="n">
        <v>0</v>
      </c>
      <c r="P1729" s="17" t="n">
        <v>45839</v>
      </c>
      <c r="Q1729" s="17" t="n">
        <v>45839</v>
      </c>
      <c r="R1729" s="17" t="n">
        <v>45839</v>
      </c>
      <c r="S1729" s="19">
        <f>H1729*I1729</f>
        <v/>
      </c>
      <c r="T1729" s="19">
        <f>H1729*J1729</f>
        <v/>
      </c>
      <c r="U1729">
        <f>IF(AND(K1729=0,G1729&lt;=Assumptions!$C$6),1,0)</f>
        <v/>
      </c>
      <c r="V1729">
        <f>IF(U1729=1,IF(M1729&gt;0,IF(P1729&lt;=G1729+Assumptions!$C$7,1,0),0),0)</f>
        <v/>
      </c>
      <c r="W1729">
        <f>IF(AND(U1729=1,M1729&gt;=H1729*(1-Assumptions!$C$8)),1,0)</f>
        <v/>
      </c>
      <c r="X1729">
        <f>IF(AND(U1729=1,N1729&gt;=H1729*(1-Assumptions!$C$8)),1,0)</f>
        <v/>
      </c>
      <c r="Y1729">
        <f>IF(ISNUMBER(Q1729),1,0)</f>
        <v/>
      </c>
      <c r="Z1729">
        <f>IF(AND(K1729=0,L1729=0,Y1729=0),1,0)</f>
        <v/>
      </c>
      <c r="AA1729">
        <f>IF(AND(Z1729=1,G1729&lt;Assumptions!$C$6),1,0)</f>
        <v/>
      </c>
      <c r="AB1729">
        <f>IF(U1729=0,"",IF(Y1729=1,MAX(0,Q1729-G1729),IF(L1729=1,MAX(0,R1729-G1729),MAX(0,Assumptions!$C$6-G1729))))</f>
        <v/>
      </c>
      <c r="AC1729">
        <f>IF(Y1729=1,Q1729-F1729,"")</f>
        <v/>
      </c>
      <c r="AD1729">
        <f>IF(Y1729=1,AC1729^2,"")</f>
        <v/>
      </c>
      <c r="AE1729" s="19">
        <f>IF(Z1729=1,(H1729-M1729)*I1729,0)</f>
        <v/>
      </c>
      <c r="AF1729">
        <f>IF(G1729&lt;EDATE(Assumptions!$C$6,-12)+1,"prior_12m","last_12m")</f>
        <v/>
      </c>
      <c r="AG1729" s="21">
        <f>DATE(YEAR(G1729),MONTH(G1729),1)</f>
        <v/>
      </c>
    </row>
    <row r="1730">
      <c r="A1730" t="inlineStr">
        <is>
          <t>SPO-00939-2</t>
        </is>
      </c>
      <c r="B1730" t="inlineStr">
        <is>
          <t>SPO-00939</t>
        </is>
      </c>
      <c r="C1730" t="inlineStr">
        <is>
          <t>SUP-12</t>
        </is>
      </c>
      <c r="D1730" t="inlineStr">
        <is>
          <t>IT</t>
        </is>
      </c>
      <c r="E1730" t="inlineStr">
        <is>
          <t>IT-07</t>
        </is>
      </c>
      <c r="F1730" s="17" t="n">
        <v>45828</v>
      </c>
      <c r="G1730" s="17" t="n">
        <v>45838</v>
      </c>
      <c r="H1730" s="18" t="n">
        <v>7</v>
      </c>
      <c r="I1730" s="19" t="n">
        <v>84.44</v>
      </c>
      <c r="J1730" s="19" t="n">
        <v>74</v>
      </c>
      <c r="K1730" s="20" t="n">
        <v>0</v>
      </c>
      <c r="L1730" s="20" t="n">
        <v>0</v>
      </c>
      <c r="M1730" s="18" t="n">
        <v>7</v>
      </c>
      <c r="N1730" s="18" t="n">
        <v>7</v>
      </c>
      <c r="O1730" s="18" t="n">
        <v>0</v>
      </c>
      <c r="P1730" s="17" t="n">
        <v>45833</v>
      </c>
      <c r="Q1730" s="17" t="n">
        <v>45833</v>
      </c>
      <c r="R1730" s="17" t="n">
        <v>45833</v>
      </c>
      <c r="S1730" s="19">
        <f>H1730*I1730</f>
        <v/>
      </c>
      <c r="T1730" s="19">
        <f>H1730*J1730</f>
        <v/>
      </c>
      <c r="U1730">
        <f>IF(AND(K1730=0,G1730&lt;=Assumptions!$C$6),1,0)</f>
        <v/>
      </c>
      <c r="V1730">
        <f>IF(U1730=1,IF(M1730&gt;0,IF(P1730&lt;=G1730+Assumptions!$C$7,1,0),0),0)</f>
        <v/>
      </c>
      <c r="W1730">
        <f>IF(AND(U1730=1,M1730&gt;=H1730*(1-Assumptions!$C$8)),1,0)</f>
        <v/>
      </c>
      <c r="X1730">
        <f>IF(AND(U1730=1,N1730&gt;=H1730*(1-Assumptions!$C$8)),1,0)</f>
        <v/>
      </c>
      <c r="Y1730">
        <f>IF(ISNUMBER(Q1730),1,0)</f>
        <v/>
      </c>
      <c r="Z1730">
        <f>IF(AND(K1730=0,L1730=0,Y1730=0),1,0)</f>
        <v/>
      </c>
      <c r="AA1730">
        <f>IF(AND(Z1730=1,G1730&lt;Assumptions!$C$6),1,0)</f>
        <v/>
      </c>
      <c r="AB1730">
        <f>IF(U1730=0,"",IF(Y1730=1,MAX(0,Q1730-G1730),IF(L1730=1,MAX(0,R1730-G1730),MAX(0,Assumptions!$C$6-G1730))))</f>
        <v/>
      </c>
      <c r="AC1730">
        <f>IF(Y1730=1,Q1730-F1730,"")</f>
        <v/>
      </c>
      <c r="AD1730">
        <f>IF(Y1730=1,AC1730^2,"")</f>
        <v/>
      </c>
      <c r="AE1730" s="19">
        <f>IF(Z1730=1,(H1730-M1730)*I1730,0)</f>
        <v/>
      </c>
      <c r="AF1730">
        <f>IF(G1730&lt;EDATE(Assumptions!$C$6,-12)+1,"prior_12m","last_12m")</f>
        <v/>
      </c>
      <c r="AG1730" s="21">
        <f>DATE(YEAR(G1730),MONTH(G1730),1)</f>
        <v/>
      </c>
    </row>
    <row r="1731">
      <c r="A1731" t="inlineStr">
        <is>
          <t>SPO-00939-3</t>
        </is>
      </c>
      <c r="B1731" t="inlineStr">
        <is>
          <t>SPO-00939</t>
        </is>
      </c>
      <c r="C1731" t="inlineStr">
        <is>
          <t>SUP-12</t>
        </is>
      </c>
      <c r="D1731" t="inlineStr">
        <is>
          <t>IT</t>
        </is>
      </c>
      <c r="E1731" t="inlineStr">
        <is>
          <t>IT-05</t>
        </is>
      </c>
      <c r="F1731" s="17" t="n">
        <v>45828</v>
      </c>
      <c r="G1731" s="17" t="n">
        <v>45838</v>
      </c>
      <c r="H1731" s="18" t="n">
        <v>2</v>
      </c>
      <c r="I1731" s="19" t="n">
        <v>714.61</v>
      </c>
      <c r="J1731" s="19" t="n">
        <v>640</v>
      </c>
      <c r="K1731" s="20" t="n">
        <v>0</v>
      </c>
      <c r="L1731" s="20" t="n">
        <v>0</v>
      </c>
      <c r="M1731" s="18" t="n">
        <v>2</v>
      </c>
      <c r="N1731" s="18" t="n">
        <v>2</v>
      </c>
      <c r="O1731" s="18" t="n">
        <v>0</v>
      </c>
      <c r="P1731" s="17" t="n">
        <v>45834</v>
      </c>
      <c r="Q1731" s="17" t="n">
        <v>45834</v>
      </c>
      <c r="R1731" s="17" t="n">
        <v>45834</v>
      </c>
      <c r="S1731" s="19">
        <f>H1731*I1731</f>
        <v/>
      </c>
      <c r="T1731" s="19">
        <f>H1731*J1731</f>
        <v/>
      </c>
      <c r="U1731">
        <f>IF(AND(K1731=0,G1731&lt;=Assumptions!$C$6),1,0)</f>
        <v/>
      </c>
      <c r="V1731">
        <f>IF(U1731=1,IF(M1731&gt;0,IF(P1731&lt;=G1731+Assumptions!$C$7,1,0),0),0)</f>
        <v/>
      </c>
      <c r="W1731">
        <f>IF(AND(U1731=1,M1731&gt;=H1731*(1-Assumptions!$C$8)),1,0)</f>
        <v/>
      </c>
      <c r="X1731">
        <f>IF(AND(U1731=1,N1731&gt;=H1731*(1-Assumptions!$C$8)),1,0)</f>
        <v/>
      </c>
      <c r="Y1731">
        <f>IF(ISNUMBER(Q1731),1,0)</f>
        <v/>
      </c>
      <c r="Z1731">
        <f>IF(AND(K1731=0,L1731=0,Y1731=0),1,0)</f>
        <v/>
      </c>
      <c r="AA1731">
        <f>IF(AND(Z1731=1,G1731&lt;Assumptions!$C$6),1,0)</f>
        <v/>
      </c>
      <c r="AB1731">
        <f>IF(U1731=0,"",IF(Y1731=1,MAX(0,Q1731-G1731),IF(L1731=1,MAX(0,R1731-G1731),MAX(0,Assumptions!$C$6-G1731))))</f>
        <v/>
      </c>
      <c r="AC1731">
        <f>IF(Y1731=1,Q1731-F1731,"")</f>
        <v/>
      </c>
      <c r="AD1731">
        <f>IF(Y1731=1,AC1731^2,"")</f>
        <v/>
      </c>
      <c r="AE1731" s="19">
        <f>IF(Z1731=1,(H1731-M1731)*I1731,0)</f>
        <v/>
      </c>
      <c r="AF1731">
        <f>IF(G1731&lt;EDATE(Assumptions!$C$6,-12)+1,"prior_12m","last_12m")</f>
        <v/>
      </c>
      <c r="AG1731" s="21">
        <f>DATE(YEAR(G1731),MONTH(G1731),1)</f>
        <v/>
      </c>
    </row>
    <row r="1732">
      <c r="A1732" t="inlineStr">
        <is>
          <t>SPO-00940-1</t>
        </is>
      </c>
      <c r="B1732" t="inlineStr">
        <is>
          <t>SPO-00940</t>
        </is>
      </c>
      <c r="C1732" t="inlineStr">
        <is>
          <t>SUP-02</t>
        </is>
      </c>
      <c r="D1732" t="inlineStr">
        <is>
          <t>ELEC</t>
        </is>
      </c>
      <c r="E1732" t="inlineStr">
        <is>
          <t>ELEC-02</t>
        </is>
      </c>
      <c r="F1732" s="17" t="n">
        <v>45828</v>
      </c>
      <c r="G1732" s="17" t="n">
        <v>45844</v>
      </c>
      <c r="H1732" s="18" t="n">
        <v>121</v>
      </c>
      <c r="I1732" s="19" t="n">
        <v>4.22</v>
      </c>
      <c r="J1732" s="19" t="n">
        <v>4.2</v>
      </c>
      <c r="K1732" s="20" t="n">
        <v>0</v>
      </c>
      <c r="L1732" s="20" t="n">
        <v>0</v>
      </c>
      <c r="M1732" s="18" t="n">
        <v>121</v>
      </c>
      <c r="N1732" s="18" t="n">
        <v>121</v>
      </c>
      <c r="O1732" s="18" t="n">
        <v>0</v>
      </c>
      <c r="P1732" s="17" t="n">
        <v>45844</v>
      </c>
      <c r="Q1732" s="17" t="n">
        <v>45844</v>
      </c>
      <c r="R1732" s="17" t="n">
        <v>45844</v>
      </c>
      <c r="S1732" s="19">
        <f>H1732*I1732</f>
        <v/>
      </c>
      <c r="T1732" s="19">
        <f>H1732*J1732</f>
        <v/>
      </c>
      <c r="U1732">
        <f>IF(AND(K1732=0,G1732&lt;=Assumptions!$C$6),1,0)</f>
        <v/>
      </c>
      <c r="V1732">
        <f>IF(U1732=1,IF(M1732&gt;0,IF(P1732&lt;=G1732+Assumptions!$C$7,1,0),0),0)</f>
        <v/>
      </c>
      <c r="W1732">
        <f>IF(AND(U1732=1,M1732&gt;=H1732*(1-Assumptions!$C$8)),1,0)</f>
        <v/>
      </c>
      <c r="X1732">
        <f>IF(AND(U1732=1,N1732&gt;=H1732*(1-Assumptions!$C$8)),1,0)</f>
        <v/>
      </c>
      <c r="Y1732">
        <f>IF(ISNUMBER(Q1732),1,0)</f>
        <v/>
      </c>
      <c r="Z1732">
        <f>IF(AND(K1732=0,L1732=0,Y1732=0),1,0)</f>
        <v/>
      </c>
      <c r="AA1732">
        <f>IF(AND(Z1732=1,G1732&lt;Assumptions!$C$6),1,0)</f>
        <v/>
      </c>
      <c r="AB1732">
        <f>IF(U1732=0,"",IF(Y1732=1,MAX(0,Q1732-G1732),IF(L1732=1,MAX(0,R1732-G1732),MAX(0,Assumptions!$C$6-G1732))))</f>
        <v/>
      </c>
      <c r="AC1732">
        <f>IF(Y1732=1,Q1732-F1732,"")</f>
        <v/>
      </c>
      <c r="AD1732">
        <f>IF(Y1732=1,AC1732^2,"")</f>
        <v/>
      </c>
      <c r="AE1732" s="19">
        <f>IF(Z1732=1,(H1732-M1732)*I1732,0)</f>
        <v/>
      </c>
      <c r="AF1732">
        <f>IF(G1732&lt;EDATE(Assumptions!$C$6,-12)+1,"prior_12m","last_12m")</f>
        <v/>
      </c>
      <c r="AG1732" s="21">
        <f>DATE(YEAR(G1732),MONTH(G1732),1)</f>
        <v/>
      </c>
    </row>
    <row r="1733">
      <c r="A1733" t="inlineStr">
        <is>
          <t>SPO-00941-1</t>
        </is>
      </c>
      <c r="B1733" t="inlineStr">
        <is>
          <t>SPO-00941</t>
        </is>
      </c>
      <c r="C1733" t="inlineStr">
        <is>
          <t>SUP-09</t>
        </is>
      </c>
      <c r="D1733" t="inlineStr">
        <is>
          <t>CHEM</t>
        </is>
      </c>
      <c r="E1733" t="inlineStr">
        <is>
          <t>CHEM-03</t>
        </is>
      </c>
      <c r="F1733" s="17" t="n">
        <v>45830</v>
      </c>
      <c r="G1733" s="17" t="n">
        <v>45844</v>
      </c>
      <c r="H1733" s="18" t="n">
        <v>6</v>
      </c>
      <c r="I1733" s="19" t="n">
        <v>267.27</v>
      </c>
      <c r="J1733" s="19" t="n">
        <v>265</v>
      </c>
      <c r="K1733" s="20" t="n">
        <v>0</v>
      </c>
      <c r="L1733" s="20" t="n">
        <v>0</v>
      </c>
      <c r="M1733" s="18" t="n">
        <v>6</v>
      </c>
      <c r="N1733" s="18" t="n">
        <v>6</v>
      </c>
      <c r="O1733" s="18" t="n">
        <v>0</v>
      </c>
      <c r="P1733" s="17" t="n">
        <v>45844</v>
      </c>
      <c r="Q1733" s="17" t="n">
        <v>45844</v>
      </c>
      <c r="R1733" s="17" t="n">
        <v>45844</v>
      </c>
      <c r="S1733" s="19">
        <f>H1733*I1733</f>
        <v/>
      </c>
      <c r="T1733" s="19">
        <f>H1733*J1733</f>
        <v/>
      </c>
      <c r="U1733">
        <f>IF(AND(K1733=0,G1733&lt;=Assumptions!$C$6),1,0)</f>
        <v/>
      </c>
      <c r="V1733">
        <f>IF(U1733=1,IF(M1733&gt;0,IF(P1733&lt;=G1733+Assumptions!$C$7,1,0),0),0)</f>
        <v/>
      </c>
      <c r="W1733">
        <f>IF(AND(U1733=1,M1733&gt;=H1733*(1-Assumptions!$C$8)),1,0)</f>
        <v/>
      </c>
      <c r="X1733">
        <f>IF(AND(U1733=1,N1733&gt;=H1733*(1-Assumptions!$C$8)),1,0)</f>
        <v/>
      </c>
      <c r="Y1733">
        <f>IF(ISNUMBER(Q1733),1,0)</f>
        <v/>
      </c>
      <c r="Z1733">
        <f>IF(AND(K1733=0,L1733=0,Y1733=0),1,0)</f>
        <v/>
      </c>
      <c r="AA1733">
        <f>IF(AND(Z1733=1,G1733&lt;Assumptions!$C$6),1,0)</f>
        <v/>
      </c>
      <c r="AB1733">
        <f>IF(U1733=0,"",IF(Y1733=1,MAX(0,Q1733-G1733),IF(L1733=1,MAX(0,R1733-G1733),MAX(0,Assumptions!$C$6-G1733))))</f>
        <v/>
      </c>
      <c r="AC1733">
        <f>IF(Y1733=1,Q1733-F1733,"")</f>
        <v/>
      </c>
      <c r="AD1733">
        <f>IF(Y1733=1,AC1733^2,"")</f>
        <v/>
      </c>
      <c r="AE1733" s="19">
        <f>IF(Z1733=1,(H1733-M1733)*I1733,0)</f>
        <v/>
      </c>
      <c r="AF1733">
        <f>IF(G1733&lt;EDATE(Assumptions!$C$6,-12)+1,"prior_12m","last_12m")</f>
        <v/>
      </c>
      <c r="AG1733" s="21">
        <f>DATE(YEAR(G1733),MONTH(G1733),1)</f>
        <v/>
      </c>
    </row>
    <row r="1734">
      <c r="A1734" t="inlineStr">
        <is>
          <t>SPO-00941-2</t>
        </is>
      </c>
      <c r="B1734" t="inlineStr">
        <is>
          <t>SPO-00941</t>
        </is>
      </c>
      <c r="C1734" t="inlineStr">
        <is>
          <t>SUP-09</t>
        </is>
      </c>
      <c r="D1734" t="inlineStr">
        <is>
          <t>CHEM</t>
        </is>
      </c>
      <c r="E1734" t="inlineStr">
        <is>
          <t>CHEM-04</t>
        </is>
      </c>
      <c r="F1734" s="17" t="n">
        <v>45830</v>
      </c>
      <c r="G1734" s="17" t="n">
        <v>45844</v>
      </c>
      <c r="H1734" s="18" t="n">
        <v>2</v>
      </c>
      <c r="I1734" s="19" t="n">
        <v>878.62</v>
      </c>
      <c r="J1734" s="19" t="n">
        <v>820</v>
      </c>
      <c r="K1734" s="20" t="n">
        <v>0</v>
      </c>
      <c r="L1734" s="20" t="n">
        <v>0</v>
      </c>
      <c r="M1734" s="18" t="n">
        <v>2</v>
      </c>
      <c r="N1734" s="18" t="n">
        <v>2</v>
      </c>
      <c r="O1734" s="18" t="n">
        <v>0</v>
      </c>
      <c r="P1734" s="17" t="n">
        <v>45841</v>
      </c>
      <c r="Q1734" s="17" t="n">
        <v>45841</v>
      </c>
      <c r="R1734" s="17" t="n">
        <v>45841</v>
      </c>
      <c r="S1734" s="19">
        <f>H1734*I1734</f>
        <v/>
      </c>
      <c r="T1734" s="19">
        <f>H1734*J1734</f>
        <v/>
      </c>
      <c r="U1734">
        <f>IF(AND(K1734=0,G1734&lt;=Assumptions!$C$6),1,0)</f>
        <v/>
      </c>
      <c r="V1734">
        <f>IF(U1734=1,IF(M1734&gt;0,IF(P1734&lt;=G1734+Assumptions!$C$7,1,0),0),0)</f>
        <v/>
      </c>
      <c r="W1734">
        <f>IF(AND(U1734=1,M1734&gt;=H1734*(1-Assumptions!$C$8)),1,0)</f>
        <v/>
      </c>
      <c r="X1734">
        <f>IF(AND(U1734=1,N1734&gt;=H1734*(1-Assumptions!$C$8)),1,0)</f>
        <v/>
      </c>
      <c r="Y1734">
        <f>IF(ISNUMBER(Q1734),1,0)</f>
        <v/>
      </c>
      <c r="Z1734">
        <f>IF(AND(K1734=0,L1734=0,Y1734=0),1,0)</f>
        <v/>
      </c>
      <c r="AA1734">
        <f>IF(AND(Z1734=1,G1734&lt;Assumptions!$C$6),1,0)</f>
        <v/>
      </c>
      <c r="AB1734">
        <f>IF(U1734=0,"",IF(Y1734=1,MAX(0,Q1734-G1734),IF(L1734=1,MAX(0,R1734-G1734),MAX(0,Assumptions!$C$6-G1734))))</f>
        <v/>
      </c>
      <c r="AC1734">
        <f>IF(Y1734=1,Q1734-F1734,"")</f>
        <v/>
      </c>
      <c r="AD1734">
        <f>IF(Y1734=1,AC1734^2,"")</f>
        <v/>
      </c>
      <c r="AE1734" s="19">
        <f>IF(Z1734=1,(H1734-M1734)*I1734,0)</f>
        <v/>
      </c>
      <c r="AF1734">
        <f>IF(G1734&lt;EDATE(Assumptions!$C$6,-12)+1,"prior_12m","last_12m")</f>
        <v/>
      </c>
      <c r="AG1734" s="21">
        <f>DATE(YEAR(G1734),MONTH(G1734),1)</f>
        <v/>
      </c>
    </row>
    <row r="1735">
      <c r="A1735" t="inlineStr">
        <is>
          <t>SPO-00942-1</t>
        </is>
      </c>
      <c r="B1735" t="inlineStr">
        <is>
          <t>SPO-00942</t>
        </is>
      </c>
      <c r="C1735" t="inlineStr">
        <is>
          <t>SUP-10</t>
        </is>
      </c>
      <c r="D1735" t="inlineStr">
        <is>
          <t>PPE</t>
        </is>
      </c>
      <c r="E1735" t="inlineStr">
        <is>
          <t>PPE-04</t>
        </is>
      </c>
      <c r="F1735" s="17" t="n">
        <v>45830</v>
      </c>
      <c r="G1735" s="17" t="n">
        <v>45843</v>
      </c>
      <c r="H1735" s="18" t="n">
        <v>46</v>
      </c>
      <c r="I1735" s="19" t="n">
        <v>23.78</v>
      </c>
      <c r="J1735" s="19" t="n">
        <v>26</v>
      </c>
      <c r="K1735" s="20" t="n">
        <v>0</v>
      </c>
      <c r="L1735" s="20" t="n">
        <v>0</v>
      </c>
      <c r="M1735" s="18" t="n">
        <v>46</v>
      </c>
      <c r="N1735" s="18" t="n">
        <v>46</v>
      </c>
      <c r="O1735" s="18" t="n">
        <v>0</v>
      </c>
      <c r="P1735" s="17" t="n">
        <v>45840</v>
      </c>
      <c r="Q1735" s="17" t="n">
        <v>45840</v>
      </c>
      <c r="R1735" s="17" t="n">
        <v>45840</v>
      </c>
      <c r="S1735" s="19">
        <f>H1735*I1735</f>
        <v/>
      </c>
      <c r="T1735" s="19">
        <f>H1735*J1735</f>
        <v/>
      </c>
      <c r="U1735">
        <f>IF(AND(K1735=0,G1735&lt;=Assumptions!$C$6),1,0)</f>
        <v/>
      </c>
      <c r="V1735">
        <f>IF(U1735=1,IF(M1735&gt;0,IF(P1735&lt;=G1735+Assumptions!$C$7,1,0),0),0)</f>
        <v/>
      </c>
      <c r="W1735">
        <f>IF(AND(U1735=1,M1735&gt;=H1735*(1-Assumptions!$C$8)),1,0)</f>
        <v/>
      </c>
      <c r="X1735">
        <f>IF(AND(U1735=1,N1735&gt;=H1735*(1-Assumptions!$C$8)),1,0)</f>
        <v/>
      </c>
      <c r="Y1735">
        <f>IF(ISNUMBER(Q1735),1,0)</f>
        <v/>
      </c>
      <c r="Z1735">
        <f>IF(AND(K1735=0,L1735=0,Y1735=0),1,0)</f>
        <v/>
      </c>
      <c r="AA1735">
        <f>IF(AND(Z1735=1,G1735&lt;Assumptions!$C$6),1,0)</f>
        <v/>
      </c>
      <c r="AB1735">
        <f>IF(U1735=0,"",IF(Y1735=1,MAX(0,Q1735-G1735),IF(L1735=1,MAX(0,R1735-G1735),MAX(0,Assumptions!$C$6-G1735))))</f>
        <v/>
      </c>
      <c r="AC1735">
        <f>IF(Y1735=1,Q1735-F1735,"")</f>
        <v/>
      </c>
      <c r="AD1735">
        <f>IF(Y1735=1,AC1735^2,"")</f>
        <v/>
      </c>
      <c r="AE1735" s="19">
        <f>IF(Z1735=1,(H1735-M1735)*I1735,0)</f>
        <v/>
      </c>
      <c r="AF1735">
        <f>IF(G1735&lt;EDATE(Assumptions!$C$6,-12)+1,"prior_12m","last_12m")</f>
        <v/>
      </c>
      <c r="AG1735" s="21">
        <f>DATE(YEAR(G1735),MONTH(G1735),1)</f>
        <v/>
      </c>
    </row>
    <row r="1736">
      <c r="A1736" t="inlineStr">
        <is>
          <t>SPO-00942-2</t>
        </is>
      </c>
      <c r="B1736" t="inlineStr">
        <is>
          <t>SPO-00942</t>
        </is>
      </c>
      <c r="C1736" t="inlineStr">
        <is>
          <t>SUP-10</t>
        </is>
      </c>
      <c r="D1736" t="inlineStr">
        <is>
          <t>PPE</t>
        </is>
      </c>
      <c r="E1736" t="inlineStr">
        <is>
          <t>PPE-02</t>
        </is>
      </c>
      <c r="F1736" s="17" t="n">
        <v>45830</v>
      </c>
      <c r="G1736" s="17" t="n">
        <v>45843</v>
      </c>
      <c r="H1736" s="18" t="n">
        <v>187</v>
      </c>
      <c r="I1736" s="19" t="n">
        <v>12.29</v>
      </c>
      <c r="J1736" s="19" t="n">
        <v>12.5</v>
      </c>
      <c r="K1736" s="20" t="n">
        <v>0</v>
      </c>
      <c r="L1736" s="20" t="n">
        <v>0</v>
      </c>
      <c r="M1736" s="18" t="n">
        <v>187</v>
      </c>
      <c r="N1736" s="18" t="n">
        <v>187</v>
      </c>
      <c r="O1736" s="18" t="n">
        <v>0</v>
      </c>
      <c r="P1736" s="17" t="n">
        <v>45841</v>
      </c>
      <c r="Q1736" s="17" t="n">
        <v>45841</v>
      </c>
      <c r="R1736" s="17" t="n">
        <v>45841</v>
      </c>
      <c r="S1736" s="19">
        <f>H1736*I1736</f>
        <v/>
      </c>
      <c r="T1736" s="19">
        <f>H1736*J1736</f>
        <v/>
      </c>
      <c r="U1736">
        <f>IF(AND(K1736=0,G1736&lt;=Assumptions!$C$6),1,0)</f>
        <v/>
      </c>
      <c r="V1736">
        <f>IF(U1736=1,IF(M1736&gt;0,IF(P1736&lt;=G1736+Assumptions!$C$7,1,0),0),0)</f>
        <v/>
      </c>
      <c r="W1736">
        <f>IF(AND(U1736=1,M1736&gt;=H1736*(1-Assumptions!$C$8)),1,0)</f>
        <v/>
      </c>
      <c r="X1736">
        <f>IF(AND(U1736=1,N1736&gt;=H1736*(1-Assumptions!$C$8)),1,0)</f>
        <v/>
      </c>
      <c r="Y1736">
        <f>IF(ISNUMBER(Q1736),1,0)</f>
        <v/>
      </c>
      <c r="Z1736">
        <f>IF(AND(K1736=0,L1736=0,Y1736=0),1,0)</f>
        <v/>
      </c>
      <c r="AA1736">
        <f>IF(AND(Z1736=1,G1736&lt;Assumptions!$C$6),1,0)</f>
        <v/>
      </c>
      <c r="AB1736">
        <f>IF(U1736=0,"",IF(Y1736=1,MAX(0,Q1736-G1736),IF(L1736=1,MAX(0,R1736-G1736),MAX(0,Assumptions!$C$6-G1736))))</f>
        <v/>
      </c>
      <c r="AC1736">
        <f>IF(Y1736=1,Q1736-F1736,"")</f>
        <v/>
      </c>
      <c r="AD1736">
        <f>IF(Y1736=1,AC1736^2,"")</f>
        <v/>
      </c>
      <c r="AE1736" s="19">
        <f>IF(Z1736=1,(H1736-M1736)*I1736,0)</f>
        <v/>
      </c>
      <c r="AF1736">
        <f>IF(G1736&lt;EDATE(Assumptions!$C$6,-12)+1,"prior_12m","last_12m")</f>
        <v/>
      </c>
      <c r="AG1736" s="21">
        <f>DATE(YEAR(G1736),MONTH(G1736),1)</f>
        <v/>
      </c>
    </row>
    <row r="1737">
      <c r="A1737" t="inlineStr">
        <is>
          <t>SPO-00942-3</t>
        </is>
      </c>
      <c r="B1737" t="inlineStr">
        <is>
          <t>SPO-00942</t>
        </is>
      </c>
      <c r="C1737" t="inlineStr">
        <is>
          <t>SUP-10</t>
        </is>
      </c>
      <c r="D1737" t="inlineStr">
        <is>
          <t>PPE</t>
        </is>
      </c>
      <c r="E1737" t="inlineStr">
        <is>
          <t>PPE-07</t>
        </is>
      </c>
      <c r="F1737" s="17" t="n">
        <v>45830</v>
      </c>
      <c r="G1737" s="17" t="n">
        <v>45843</v>
      </c>
      <c r="H1737" s="18" t="n">
        <v>72</v>
      </c>
      <c r="I1737" s="19" t="n">
        <v>30.09</v>
      </c>
      <c r="J1737" s="19" t="n">
        <v>31</v>
      </c>
      <c r="K1737" s="20" t="n">
        <v>0</v>
      </c>
      <c r="L1737" s="20" t="n">
        <v>0</v>
      </c>
      <c r="M1737" s="18" t="n">
        <v>72</v>
      </c>
      <c r="N1737" s="18" t="n">
        <v>72</v>
      </c>
      <c r="O1737" s="18" t="n">
        <v>0</v>
      </c>
      <c r="P1737" s="17" t="n">
        <v>45841</v>
      </c>
      <c r="Q1737" s="17" t="n">
        <v>45841</v>
      </c>
      <c r="R1737" s="17" t="n">
        <v>45841</v>
      </c>
      <c r="S1737" s="19">
        <f>H1737*I1737</f>
        <v/>
      </c>
      <c r="T1737" s="19">
        <f>H1737*J1737</f>
        <v/>
      </c>
      <c r="U1737">
        <f>IF(AND(K1737=0,G1737&lt;=Assumptions!$C$6),1,0)</f>
        <v/>
      </c>
      <c r="V1737">
        <f>IF(U1737=1,IF(M1737&gt;0,IF(P1737&lt;=G1737+Assumptions!$C$7,1,0),0),0)</f>
        <v/>
      </c>
      <c r="W1737">
        <f>IF(AND(U1737=1,M1737&gt;=H1737*(1-Assumptions!$C$8)),1,0)</f>
        <v/>
      </c>
      <c r="X1737">
        <f>IF(AND(U1737=1,N1737&gt;=H1737*(1-Assumptions!$C$8)),1,0)</f>
        <v/>
      </c>
      <c r="Y1737">
        <f>IF(ISNUMBER(Q1737),1,0)</f>
        <v/>
      </c>
      <c r="Z1737">
        <f>IF(AND(K1737=0,L1737=0,Y1737=0),1,0)</f>
        <v/>
      </c>
      <c r="AA1737">
        <f>IF(AND(Z1737=1,G1737&lt;Assumptions!$C$6),1,0)</f>
        <v/>
      </c>
      <c r="AB1737">
        <f>IF(U1737=0,"",IF(Y1737=1,MAX(0,Q1737-G1737),IF(L1737=1,MAX(0,R1737-G1737),MAX(0,Assumptions!$C$6-G1737))))</f>
        <v/>
      </c>
      <c r="AC1737">
        <f>IF(Y1737=1,Q1737-F1737,"")</f>
        <v/>
      </c>
      <c r="AD1737">
        <f>IF(Y1737=1,AC1737^2,"")</f>
        <v/>
      </c>
      <c r="AE1737" s="19">
        <f>IF(Z1737=1,(H1737-M1737)*I1737,0)</f>
        <v/>
      </c>
      <c r="AF1737">
        <f>IF(G1737&lt;EDATE(Assumptions!$C$6,-12)+1,"prior_12m","last_12m")</f>
        <v/>
      </c>
      <c r="AG1737" s="21">
        <f>DATE(YEAR(G1737),MONTH(G1737),1)</f>
        <v/>
      </c>
    </row>
    <row r="1738">
      <c r="A1738" t="inlineStr">
        <is>
          <t>SPO-00943-1</t>
        </is>
      </c>
      <c r="B1738" t="inlineStr">
        <is>
          <t>SPO-00943</t>
        </is>
      </c>
      <c r="C1738" t="inlineStr">
        <is>
          <t>SUP-09</t>
        </is>
      </c>
      <c r="D1738" t="inlineStr">
        <is>
          <t>CHEM</t>
        </is>
      </c>
      <c r="E1738" t="inlineStr">
        <is>
          <t>CHEM-04</t>
        </is>
      </c>
      <c r="F1738" s="17" t="n">
        <v>45830</v>
      </c>
      <c r="G1738" s="17" t="n">
        <v>45844</v>
      </c>
      <c r="H1738" s="18" t="n">
        <v>2</v>
      </c>
      <c r="I1738" s="19" t="n">
        <v>798.05</v>
      </c>
      <c r="J1738" s="19" t="n">
        <v>820</v>
      </c>
      <c r="K1738" s="20" t="n">
        <v>0</v>
      </c>
      <c r="L1738" s="20" t="n">
        <v>0</v>
      </c>
      <c r="M1738" s="18" t="n">
        <v>2</v>
      </c>
      <c r="N1738" s="18" t="n">
        <v>2</v>
      </c>
      <c r="O1738" s="18" t="n">
        <v>0</v>
      </c>
      <c r="P1738" s="17" t="n">
        <v>45841</v>
      </c>
      <c r="Q1738" s="17" t="n">
        <v>45841</v>
      </c>
      <c r="R1738" s="17" t="n">
        <v>45841</v>
      </c>
      <c r="S1738" s="19">
        <f>H1738*I1738</f>
        <v/>
      </c>
      <c r="T1738" s="19">
        <f>H1738*J1738</f>
        <v/>
      </c>
      <c r="U1738">
        <f>IF(AND(K1738=0,G1738&lt;=Assumptions!$C$6),1,0)</f>
        <v/>
      </c>
      <c r="V1738">
        <f>IF(U1738=1,IF(M1738&gt;0,IF(P1738&lt;=G1738+Assumptions!$C$7,1,0),0),0)</f>
        <v/>
      </c>
      <c r="W1738">
        <f>IF(AND(U1738=1,M1738&gt;=H1738*(1-Assumptions!$C$8)),1,0)</f>
        <v/>
      </c>
      <c r="X1738">
        <f>IF(AND(U1738=1,N1738&gt;=H1738*(1-Assumptions!$C$8)),1,0)</f>
        <v/>
      </c>
      <c r="Y1738">
        <f>IF(ISNUMBER(Q1738),1,0)</f>
        <v/>
      </c>
      <c r="Z1738">
        <f>IF(AND(K1738=0,L1738=0,Y1738=0),1,0)</f>
        <v/>
      </c>
      <c r="AA1738">
        <f>IF(AND(Z1738=1,G1738&lt;Assumptions!$C$6),1,0)</f>
        <v/>
      </c>
      <c r="AB1738">
        <f>IF(U1738=0,"",IF(Y1738=1,MAX(0,Q1738-G1738),IF(L1738=1,MAX(0,R1738-G1738),MAX(0,Assumptions!$C$6-G1738))))</f>
        <v/>
      </c>
      <c r="AC1738">
        <f>IF(Y1738=1,Q1738-F1738,"")</f>
        <v/>
      </c>
      <c r="AD1738">
        <f>IF(Y1738=1,AC1738^2,"")</f>
        <v/>
      </c>
      <c r="AE1738" s="19">
        <f>IF(Z1738=1,(H1738-M1738)*I1738,0)</f>
        <v/>
      </c>
      <c r="AF1738">
        <f>IF(G1738&lt;EDATE(Assumptions!$C$6,-12)+1,"prior_12m","last_12m")</f>
        <v/>
      </c>
      <c r="AG1738" s="21">
        <f>DATE(YEAR(G1738),MONTH(G1738),1)</f>
        <v/>
      </c>
    </row>
    <row r="1739">
      <c r="A1739" t="inlineStr">
        <is>
          <t>SPO-00943-2</t>
        </is>
      </c>
      <c r="B1739" t="inlineStr">
        <is>
          <t>SPO-00943</t>
        </is>
      </c>
      <c r="C1739" t="inlineStr">
        <is>
          <t>SUP-09</t>
        </is>
      </c>
      <c r="D1739" t="inlineStr">
        <is>
          <t>CHEM</t>
        </is>
      </c>
      <c r="E1739" t="inlineStr">
        <is>
          <t>CHEM-01</t>
        </is>
      </c>
      <c r="F1739" s="17" t="n">
        <v>45830</v>
      </c>
      <c r="G1739" s="17" t="n">
        <v>45844</v>
      </c>
      <c r="H1739" s="18" t="n">
        <v>2</v>
      </c>
      <c r="I1739" s="19" t="n">
        <v>659.98</v>
      </c>
      <c r="J1739" s="19" t="n">
        <v>640</v>
      </c>
      <c r="K1739" s="20" t="n">
        <v>0</v>
      </c>
      <c r="L1739" s="20" t="n">
        <v>0</v>
      </c>
      <c r="M1739" s="18" t="n">
        <v>2</v>
      </c>
      <c r="N1739" s="18" t="n">
        <v>2</v>
      </c>
      <c r="O1739" s="18" t="n">
        <v>0</v>
      </c>
      <c r="P1739" s="17" t="n">
        <v>45840</v>
      </c>
      <c r="Q1739" s="17" t="n">
        <v>45840</v>
      </c>
      <c r="R1739" s="17" t="n">
        <v>45840</v>
      </c>
      <c r="S1739" s="19">
        <f>H1739*I1739</f>
        <v/>
      </c>
      <c r="T1739" s="19">
        <f>H1739*J1739</f>
        <v/>
      </c>
      <c r="U1739">
        <f>IF(AND(K1739=0,G1739&lt;=Assumptions!$C$6),1,0)</f>
        <v/>
      </c>
      <c r="V1739">
        <f>IF(U1739=1,IF(M1739&gt;0,IF(P1739&lt;=G1739+Assumptions!$C$7,1,0),0),0)</f>
        <v/>
      </c>
      <c r="W1739">
        <f>IF(AND(U1739=1,M1739&gt;=H1739*(1-Assumptions!$C$8)),1,0)</f>
        <v/>
      </c>
      <c r="X1739">
        <f>IF(AND(U1739=1,N1739&gt;=H1739*(1-Assumptions!$C$8)),1,0)</f>
        <v/>
      </c>
      <c r="Y1739">
        <f>IF(ISNUMBER(Q1739),1,0)</f>
        <v/>
      </c>
      <c r="Z1739">
        <f>IF(AND(K1739=0,L1739=0,Y1739=0),1,0)</f>
        <v/>
      </c>
      <c r="AA1739">
        <f>IF(AND(Z1739=1,G1739&lt;Assumptions!$C$6),1,0)</f>
        <v/>
      </c>
      <c r="AB1739">
        <f>IF(U1739=0,"",IF(Y1739=1,MAX(0,Q1739-G1739),IF(L1739=1,MAX(0,R1739-G1739),MAX(0,Assumptions!$C$6-G1739))))</f>
        <v/>
      </c>
      <c r="AC1739">
        <f>IF(Y1739=1,Q1739-F1739,"")</f>
        <v/>
      </c>
      <c r="AD1739">
        <f>IF(Y1739=1,AC1739^2,"")</f>
        <v/>
      </c>
      <c r="AE1739" s="19">
        <f>IF(Z1739=1,(H1739-M1739)*I1739,0)</f>
        <v/>
      </c>
      <c r="AF1739">
        <f>IF(G1739&lt;EDATE(Assumptions!$C$6,-12)+1,"prior_12m","last_12m")</f>
        <v/>
      </c>
      <c r="AG1739" s="21">
        <f>DATE(YEAR(G1739),MONTH(G1739),1)</f>
        <v/>
      </c>
    </row>
    <row r="1740">
      <c r="A1740" t="inlineStr">
        <is>
          <t>SPO-00944-1</t>
        </is>
      </c>
      <c r="B1740" t="inlineStr">
        <is>
          <t>SPO-00944</t>
        </is>
      </c>
      <c r="C1740" t="inlineStr">
        <is>
          <t>SUP-01</t>
        </is>
      </c>
      <c r="D1740" t="inlineStr">
        <is>
          <t>ELEC</t>
        </is>
      </c>
      <c r="E1740" t="inlineStr">
        <is>
          <t>ELEC-08</t>
        </is>
      </c>
      <c r="F1740" s="17" t="n">
        <v>45830</v>
      </c>
      <c r="G1740" s="17" t="n">
        <v>45848</v>
      </c>
      <c r="H1740" s="18" t="n">
        <v>285</v>
      </c>
      <c r="I1740" s="19" t="n">
        <v>17.43</v>
      </c>
      <c r="J1740" s="19" t="n">
        <v>18</v>
      </c>
      <c r="K1740" s="20" t="n">
        <v>0</v>
      </c>
      <c r="L1740" s="20" t="n">
        <v>0</v>
      </c>
      <c r="M1740" s="18" t="n">
        <v>285</v>
      </c>
      <c r="N1740" s="18" t="n">
        <v>285</v>
      </c>
      <c r="O1740" s="18" t="n">
        <v>65</v>
      </c>
      <c r="P1740" s="17" t="n">
        <v>45843</v>
      </c>
      <c r="Q1740" s="17" t="n">
        <v>45843</v>
      </c>
      <c r="R1740" s="17" t="n">
        <v>45843</v>
      </c>
      <c r="S1740" s="19">
        <f>H1740*I1740</f>
        <v/>
      </c>
      <c r="T1740" s="19">
        <f>H1740*J1740</f>
        <v/>
      </c>
      <c r="U1740">
        <f>IF(AND(K1740=0,G1740&lt;=Assumptions!$C$6),1,0)</f>
        <v/>
      </c>
      <c r="V1740">
        <f>IF(U1740=1,IF(M1740&gt;0,IF(P1740&lt;=G1740+Assumptions!$C$7,1,0),0),0)</f>
        <v/>
      </c>
      <c r="W1740">
        <f>IF(AND(U1740=1,M1740&gt;=H1740*(1-Assumptions!$C$8)),1,0)</f>
        <v/>
      </c>
      <c r="X1740">
        <f>IF(AND(U1740=1,N1740&gt;=H1740*(1-Assumptions!$C$8)),1,0)</f>
        <v/>
      </c>
      <c r="Y1740">
        <f>IF(ISNUMBER(Q1740),1,0)</f>
        <v/>
      </c>
      <c r="Z1740">
        <f>IF(AND(K1740=0,L1740=0,Y1740=0),1,0)</f>
        <v/>
      </c>
      <c r="AA1740">
        <f>IF(AND(Z1740=1,G1740&lt;Assumptions!$C$6),1,0)</f>
        <v/>
      </c>
      <c r="AB1740">
        <f>IF(U1740=0,"",IF(Y1740=1,MAX(0,Q1740-G1740),IF(L1740=1,MAX(0,R1740-G1740),MAX(0,Assumptions!$C$6-G1740))))</f>
        <v/>
      </c>
      <c r="AC1740">
        <f>IF(Y1740=1,Q1740-F1740,"")</f>
        <v/>
      </c>
      <c r="AD1740">
        <f>IF(Y1740=1,AC1740^2,"")</f>
        <v/>
      </c>
      <c r="AE1740" s="19">
        <f>IF(Z1740=1,(H1740-M1740)*I1740,0)</f>
        <v/>
      </c>
      <c r="AF1740">
        <f>IF(G1740&lt;EDATE(Assumptions!$C$6,-12)+1,"prior_12m","last_12m")</f>
        <v/>
      </c>
      <c r="AG1740" s="21">
        <f>DATE(YEAR(G1740),MONTH(G1740),1)</f>
        <v/>
      </c>
    </row>
    <row r="1741">
      <c r="A1741" t="inlineStr">
        <is>
          <t>SPO-00944-2</t>
        </is>
      </c>
      <c r="B1741" t="inlineStr">
        <is>
          <t>SPO-00944</t>
        </is>
      </c>
      <c r="C1741" t="inlineStr">
        <is>
          <t>SUP-01</t>
        </is>
      </c>
      <c r="D1741" t="inlineStr">
        <is>
          <t>ELEC</t>
        </is>
      </c>
      <c r="E1741" t="inlineStr">
        <is>
          <t>ELEC-05</t>
        </is>
      </c>
      <c r="F1741" s="17" t="n">
        <v>45830</v>
      </c>
      <c r="G1741" s="17" t="n">
        <v>45848</v>
      </c>
      <c r="H1741" s="18" t="n">
        <v>760</v>
      </c>
      <c r="I1741" s="19" t="n">
        <v>12.07</v>
      </c>
      <c r="J1741" s="19" t="n">
        <v>11.5</v>
      </c>
      <c r="K1741" s="20" t="n">
        <v>0</v>
      </c>
      <c r="L1741" s="20" t="n">
        <v>0</v>
      </c>
      <c r="M1741" s="18" t="n">
        <v>760</v>
      </c>
      <c r="N1741" s="18" t="n">
        <v>760</v>
      </c>
      <c r="O1741" s="18" t="n">
        <v>0</v>
      </c>
      <c r="P1741" s="17" t="n">
        <v>45845</v>
      </c>
      <c r="Q1741" s="17" t="n">
        <v>45845</v>
      </c>
      <c r="R1741" s="17" t="n">
        <v>45845</v>
      </c>
      <c r="S1741" s="19">
        <f>H1741*I1741</f>
        <v/>
      </c>
      <c r="T1741" s="19">
        <f>H1741*J1741</f>
        <v/>
      </c>
      <c r="U1741">
        <f>IF(AND(K1741=0,G1741&lt;=Assumptions!$C$6),1,0)</f>
        <v/>
      </c>
      <c r="V1741">
        <f>IF(U1741=1,IF(M1741&gt;0,IF(P1741&lt;=G1741+Assumptions!$C$7,1,0),0),0)</f>
        <v/>
      </c>
      <c r="W1741">
        <f>IF(AND(U1741=1,M1741&gt;=H1741*(1-Assumptions!$C$8)),1,0)</f>
        <v/>
      </c>
      <c r="X1741">
        <f>IF(AND(U1741=1,N1741&gt;=H1741*(1-Assumptions!$C$8)),1,0)</f>
        <v/>
      </c>
      <c r="Y1741">
        <f>IF(ISNUMBER(Q1741),1,0)</f>
        <v/>
      </c>
      <c r="Z1741">
        <f>IF(AND(K1741=0,L1741=0,Y1741=0),1,0)</f>
        <v/>
      </c>
      <c r="AA1741">
        <f>IF(AND(Z1741=1,G1741&lt;Assumptions!$C$6),1,0)</f>
        <v/>
      </c>
      <c r="AB1741">
        <f>IF(U1741=0,"",IF(Y1741=1,MAX(0,Q1741-G1741),IF(L1741=1,MAX(0,R1741-G1741),MAX(0,Assumptions!$C$6-G1741))))</f>
        <v/>
      </c>
      <c r="AC1741">
        <f>IF(Y1741=1,Q1741-F1741,"")</f>
        <v/>
      </c>
      <c r="AD1741">
        <f>IF(Y1741=1,AC1741^2,"")</f>
        <v/>
      </c>
      <c r="AE1741" s="19">
        <f>IF(Z1741=1,(H1741-M1741)*I1741,0)</f>
        <v/>
      </c>
      <c r="AF1741">
        <f>IF(G1741&lt;EDATE(Assumptions!$C$6,-12)+1,"prior_12m","last_12m")</f>
        <v/>
      </c>
      <c r="AG1741" s="21">
        <f>DATE(YEAR(G1741),MONTH(G1741),1)</f>
        <v/>
      </c>
    </row>
    <row r="1742">
      <c r="A1742" t="inlineStr">
        <is>
          <t>SPO-00945-1</t>
        </is>
      </c>
      <c r="B1742" t="inlineStr">
        <is>
          <t>SPO-00945</t>
        </is>
      </c>
      <c r="C1742" t="inlineStr">
        <is>
          <t>SUP-12</t>
        </is>
      </c>
      <c r="D1742" t="inlineStr">
        <is>
          <t>IT</t>
        </is>
      </c>
      <c r="E1742" t="inlineStr">
        <is>
          <t>IT-08</t>
        </is>
      </c>
      <c r="F1742" s="17" t="n">
        <v>45830</v>
      </c>
      <c r="G1742" s="17" t="n">
        <v>45840</v>
      </c>
      <c r="H1742" s="18" t="n">
        <v>2</v>
      </c>
      <c r="I1742" s="19" t="n">
        <v>280.78</v>
      </c>
      <c r="J1742" s="19" t="n">
        <v>245</v>
      </c>
      <c r="K1742" s="20" t="n">
        <v>0</v>
      </c>
      <c r="L1742" s="20" t="n">
        <v>0</v>
      </c>
      <c r="M1742" s="18" t="n">
        <v>2</v>
      </c>
      <c r="N1742" s="18" t="n">
        <v>2</v>
      </c>
      <c r="O1742" s="18" t="n">
        <v>0</v>
      </c>
      <c r="P1742" s="17" t="n">
        <v>45834</v>
      </c>
      <c r="Q1742" s="17" t="n">
        <v>45834</v>
      </c>
      <c r="R1742" s="17" t="n">
        <v>45834</v>
      </c>
      <c r="S1742" s="19">
        <f>H1742*I1742</f>
        <v/>
      </c>
      <c r="T1742" s="19">
        <f>H1742*J1742</f>
        <v/>
      </c>
      <c r="U1742">
        <f>IF(AND(K1742=0,G1742&lt;=Assumptions!$C$6),1,0)</f>
        <v/>
      </c>
      <c r="V1742">
        <f>IF(U1742=1,IF(M1742&gt;0,IF(P1742&lt;=G1742+Assumptions!$C$7,1,0),0),0)</f>
        <v/>
      </c>
      <c r="W1742">
        <f>IF(AND(U1742=1,M1742&gt;=H1742*(1-Assumptions!$C$8)),1,0)</f>
        <v/>
      </c>
      <c r="X1742">
        <f>IF(AND(U1742=1,N1742&gt;=H1742*(1-Assumptions!$C$8)),1,0)</f>
        <v/>
      </c>
      <c r="Y1742">
        <f>IF(ISNUMBER(Q1742),1,0)</f>
        <v/>
      </c>
      <c r="Z1742">
        <f>IF(AND(K1742=0,L1742=0,Y1742=0),1,0)</f>
        <v/>
      </c>
      <c r="AA1742">
        <f>IF(AND(Z1742=1,G1742&lt;Assumptions!$C$6),1,0)</f>
        <v/>
      </c>
      <c r="AB1742">
        <f>IF(U1742=0,"",IF(Y1742=1,MAX(0,Q1742-G1742),IF(L1742=1,MAX(0,R1742-G1742),MAX(0,Assumptions!$C$6-G1742))))</f>
        <v/>
      </c>
      <c r="AC1742">
        <f>IF(Y1742=1,Q1742-F1742,"")</f>
        <v/>
      </c>
      <c r="AD1742">
        <f>IF(Y1742=1,AC1742^2,"")</f>
        <v/>
      </c>
      <c r="AE1742" s="19">
        <f>IF(Z1742=1,(H1742-M1742)*I1742,0)</f>
        <v/>
      </c>
      <c r="AF1742">
        <f>IF(G1742&lt;EDATE(Assumptions!$C$6,-12)+1,"prior_12m","last_12m")</f>
        <v/>
      </c>
      <c r="AG1742" s="21">
        <f>DATE(YEAR(G1742),MONTH(G1742),1)</f>
        <v/>
      </c>
    </row>
    <row r="1743">
      <c r="A1743" t="inlineStr">
        <is>
          <t>SPO-00946-1</t>
        </is>
      </c>
      <c r="B1743" t="inlineStr">
        <is>
          <t>SPO-00946</t>
        </is>
      </c>
      <c r="C1743" t="inlineStr">
        <is>
          <t>SUP-10</t>
        </is>
      </c>
      <c r="D1743" t="inlineStr">
        <is>
          <t>PPE</t>
        </is>
      </c>
      <c r="E1743" t="inlineStr">
        <is>
          <t>PPE-01</t>
        </is>
      </c>
      <c r="F1743" s="17" t="n">
        <v>45830</v>
      </c>
      <c r="G1743" s="17" t="n">
        <v>45843</v>
      </c>
      <c r="H1743" s="18" t="n">
        <v>464</v>
      </c>
      <c r="I1743" s="19" t="n">
        <v>4.75</v>
      </c>
      <c r="J1743" s="19" t="n">
        <v>4.8</v>
      </c>
      <c r="K1743" s="20" t="n">
        <v>0</v>
      </c>
      <c r="L1743" s="20" t="n">
        <v>0</v>
      </c>
      <c r="M1743" s="18" t="n">
        <v>464</v>
      </c>
      <c r="N1743" s="18" t="n">
        <v>464</v>
      </c>
      <c r="O1743" s="18" t="n">
        <v>0</v>
      </c>
      <c r="P1743" s="17" t="n">
        <v>45836</v>
      </c>
      <c r="Q1743" s="17" t="n">
        <v>45836</v>
      </c>
      <c r="R1743" s="17" t="n">
        <v>45836</v>
      </c>
      <c r="S1743" s="19">
        <f>H1743*I1743</f>
        <v/>
      </c>
      <c r="T1743" s="19">
        <f>H1743*J1743</f>
        <v/>
      </c>
      <c r="U1743">
        <f>IF(AND(K1743=0,G1743&lt;=Assumptions!$C$6),1,0)</f>
        <v/>
      </c>
      <c r="V1743">
        <f>IF(U1743=1,IF(M1743&gt;0,IF(P1743&lt;=G1743+Assumptions!$C$7,1,0),0),0)</f>
        <v/>
      </c>
      <c r="W1743">
        <f>IF(AND(U1743=1,M1743&gt;=H1743*(1-Assumptions!$C$8)),1,0)</f>
        <v/>
      </c>
      <c r="X1743">
        <f>IF(AND(U1743=1,N1743&gt;=H1743*(1-Assumptions!$C$8)),1,0)</f>
        <v/>
      </c>
      <c r="Y1743">
        <f>IF(ISNUMBER(Q1743),1,0)</f>
        <v/>
      </c>
      <c r="Z1743">
        <f>IF(AND(K1743=0,L1743=0,Y1743=0),1,0)</f>
        <v/>
      </c>
      <c r="AA1743">
        <f>IF(AND(Z1743=1,G1743&lt;Assumptions!$C$6),1,0)</f>
        <v/>
      </c>
      <c r="AB1743">
        <f>IF(U1743=0,"",IF(Y1743=1,MAX(0,Q1743-G1743),IF(L1743=1,MAX(0,R1743-G1743),MAX(0,Assumptions!$C$6-G1743))))</f>
        <v/>
      </c>
      <c r="AC1743">
        <f>IF(Y1743=1,Q1743-F1743,"")</f>
        <v/>
      </c>
      <c r="AD1743">
        <f>IF(Y1743=1,AC1743^2,"")</f>
        <v/>
      </c>
      <c r="AE1743" s="19">
        <f>IF(Z1743=1,(H1743-M1743)*I1743,0)</f>
        <v/>
      </c>
      <c r="AF1743">
        <f>IF(G1743&lt;EDATE(Assumptions!$C$6,-12)+1,"prior_12m","last_12m")</f>
        <v/>
      </c>
      <c r="AG1743" s="21">
        <f>DATE(YEAR(G1743),MONTH(G1743),1)</f>
        <v/>
      </c>
    </row>
    <row r="1744">
      <c r="A1744" t="inlineStr">
        <is>
          <t>SPO-00947-1</t>
        </is>
      </c>
      <c r="B1744" t="inlineStr">
        <is>
          <t>SPO-00947</t>
        </is>
      </c>
      <c r="C1744" t="inlineStr">
        <is>
          <t>SUP-01</t>
        </is>
      </c>
      <c r="D1744" t="inlineStr">
        <is>
          <t>ELEC</t>
        </is>
      </c>
      <c r="E1744" t="inlineStr">
        <is>
          <t>ELEC-06</t>
        </is>
      </c>
      <c r="F1744" s="17" t="n">
        <v>45830</v>
      </c>
      <c r="G1744" s="17" t="n">
        <v>45848</v>
      </c>
      <c r="H1744" s="18" t="n">
        <v>12</v>
      </c>
      <c r="I1744" s="19" t="n">
        <v>144.04</v>
      </c>
      <c r="J1744" s="19" t="n">
        <v>145</v>
      </c>
      <c r="K1744" s="20" t="n">
        <v>0</v>
      </c>
      <c r="L1744" s="20" t="n">
        <v>0</v>
      </c>
      <c r="M1744" s="18" t="n">
        <v>12</v>
      </c>
      <c r="N1744" s="18" t="n">
        <v>12</v>
      </c>
      <c r="O1744" s="18" t="n">
        <v>0</v>
      </c>
      <c r="P1744" s="17" t="n">
        <v>45848</v>
      </c>
      <c r="Q1744" s="17" t="n">
        <v>45848</v>
      </c>
      <c r="R1744" s="17" t="n">
        <v>45848</v>
      </c>
      <c r="S1744" s="19">
        <f>H1744*I1744</f>
        <v/>
      </c>
      <c r="T1744" s="19">
        <f>H1744*J1744</f>
        <v/>
      </c>
      <c r="U1744">
        <f>IF(AND(K1744=0,G1744&lt;=Assumptions!$C$6),1,0)</f>
        <v/>
      </c>
      <c r="V1744">
        <f>IF(U1744=1,IF(M1744&gt;0,IF(P1744&lt;=G1744+Assumptions!$C$7,1,0),0),0)</f>
        <v/>
      </c>
      <c r="W1744">
        <f>IF(AND(U1744=1,M1744&gt;=H1744*(1-Assumptions!$C$8)),1,0)</f>
        <v/>
      </c>
      <c r="X1744">
        <f>IF(AND(U1744=1,N1744&gt;=H1744*(1-Assumptions!$C$8)),1,0)</f>
        <v/>
      </c>
      <c r="Y1744">
        <f>IF(ISNUMBER(Q1744),1,0)</f>
        <v/>
      </c>
      <c r="Z1744">
        <f>IF(AND(K1744=0,L1744=0,Y1744=0),1,0)</f>
        <v/>
      </c>
      <c r="AA1744">
        <f>IF(AND(Z1744=1,G1744&lt;Assumptions!$C$6),1,0)</f>
        <v/>
      </c>
      <c r="AB1744">
        <f>IF(U1744=0,"",IF(Y1744=1,MAX(0,Q1744-G1744),IF(L1744=1,MAX(0,R1744-G1744),MAX(0,Assumptions!$C$6-G1744))))</f>
        <v/>
      </c>
      <c r="AC1744">
        <f>IF(Y1744=1,Q1744-F1744,"")</f>
        <v/>
      </c>
      <c r="AD1744">
        <f>IF(Y1744=1,AC1744^2,"")</f>
        <v/>
      </c>
      <c r="AE1744" s="19">
        <f>IF(Z1744=1,(H1744-M1744)*I1744,0)</f>
        <v/>
      </c>
      <c r="AF1744">
        <f>IF(G1744&lt;EDATE(Assumptions!$C$6,-12)+1,"prior_12m","last_12m")</f>
        <v/>
      </c>
      <c r="AG1744" s="21">
        <f>DATE(YEAR(G1744),MONTH(G1744),1)</f>
        <v/>
      </c>
    </row>
    <row r="1745">
      <c r="A1745" t="inlineStr">
        <is>
          <t>SPO-00947-2</t>
        </is>
      </c>
      <c r="B1745" t="inlineStr">
        <is>
          <t>SPO-00947</t>
        </is>
      </c>
      <c r="C1745" t="inlineStr">
        <is>
          <t>SUP-01</t>
        </is>
      </c>
      <c r="D1745" t="inlineStr">
        <is>
          <t>ELEC</t>
        </is>
      </c>
      <c r="E1745" t="inlineStr">
        <is>
          <t>ELEC-02</t>
        </is>
      </c>
      <c r="F1745" s="17" t="n">
        <v>45830</v>
      </c>
      <c r="G1745" s="17" t="n">
        <v>45848</v>
      </c>
      <c r="H1745" s="18" t="n">
        <v>671</v>
      </c>
      <c r="I1745" s="19" t="n">
        <v>4.23</v>
      </c>
      <c r="J1745" s="19" t="n">
        <v>4.2</v>
      </c>
      <c r="K1745" s="20" t="n">
        <v>0</v>
      </c>
      <c r="L1745" s="20" t="n">
        <v>0</v>
      </c>
      <c r="M1745" s="18" t="n">
        <v>671</v>
      </c>
      <c r="N1745" s="18" t="n">
        <v>671</v>
      </c>
      <c r="O1745" s="18" t="n">
        <v>0</v>
      </c>
      <c r="P1745" s="17" t="n">
        <v>45843</v>
      </c>
      <c r="Q1745" s="17" t="n">
        <v>45843</v>
      </c>
      <c r="R1745" s="17" t="n">
        <v>45843</v>
      </c>
      <c r="S1745" s="19">
        <f>H1745*I1745</f>
        <v/>
      </c>
      <c r="T1745" s="19">
        <f>H1745*J1745</f>
        <v/>
      </c>
      <c r="U1745">
        <f>IF(AND(K1745=0,G1745&lt;=Assumptions!$C$6),1,0)</f>
        <v/>
      </c>
      <c r="V1745">
        <f>IF(U1745=1,IF(M1745&gt;0,IF(P1745&lt;=G1745+Assumptions!$C$7,1,0),0),0)</f>
        <v/>
      </c>
      <c r="W1745">
        <f>IF(AND(U1745=1,M1745&gt;=H1745*(1-Assumptions!$C$8)),1,0)</f>
        <v/>
      </c>
      <c r="X1745">
        <f>IF(AND(U1745=1,N1745&gt;=H1745*(1-Assumptions!$C$8)),1,0)</f>
        <v/>
      </c>
      <c r="Y1745">
        <f>IF(ISNUMBER(Q1745),1,0)</f>
        <v/>
      </c>
      <c r="Z1745">
        <f>IF(AND(K1745=0,L1745=0,Y1745=0),1,0)</f>
        <v/>
      </c>
      <c r="AA1745">
        <f>IF(AND(Z1745=1,G1745&lt;Assumptions!$C$6),1,0)</f>
        <v/>
      </c>
      <c r="AB1745">
        <f>IF(U1745=0,"",IF(Y1745=1,MAX(0,Q1745-G1745),IF(L1745=1,MAX(0,R1745-G1745),MAX(0,Assumptions!$C$6-G1745))))</f>
        <v/>
      </c>
      <c r="AC1745">
        <f>IF(Y1745=1,Q1745-F1745,"")</f>
        <v/>
      </c>
      <c r="AD1745">
        <f>IF(Y1745=1,AC1745^2,"")</f>
        <v/>
      </c>
      <c r="AE1745" s="19">
        <f>IF(Z1745=1,(H1745-M1745)*I1745,0)</f>
        <v/>
      </c>
      <c r="AF1745">
        <f>IF(G1745&lt;EDATE(Assumptions!$C$6,-12)+1,"prior_12m","last_12m")</f>
        <v/>
      </c>
      <c r="AG1745" s="21">
        <f>DATE(YEAR(G1745),MONTH(G1745),1)</f>
        <v/>
      </c>
    </row>
    <row r="1746">
      <c r="A1746" t="inlineStr">
        <is>
          <t>SPO-00948-1</t>
        </is>
      </c>
      <c r="B1746" t="inlineStr">
        <is>
          <t>SPO-00948</t>
        </is>
      </c>
      <c r="C1746" t="inlineStr">
        <is>
          <t>SUP-10</t>
        </is>
      </c>
      <c r="D1746" t="inlineStr">
        <is>
          <t>PPE</t>
        </is>
      </c>
      <c r="E1746" t="inlineStr">
        <is>
          <t>PPE-01</t>
        </is>
      </c>
      <c r="F1746" s="17" t="n">
        <v>45831</v>
      </c>
      <c r="G1746" s="17" t="n">
        <v>45844</v>
      </c>
      <c r="H1746" s="18" t="n">
        <v>388</v>
      </c>
      <c r="I1746" s="19" t="n">
        <v>4.73</v>
      </c>
      <c r="J1746" s="19" t="n">
        <v>4.8</v>
      </c>
      <c r="K1746" s="20" t="n">
        <v>0</v>
      </c>
      <c r="L1746" s="20" t="n">
        <v>0</v>
      </c>
      <c r="M1746" s="18" t="n">
        <v>388</v>
      </c>
      <c r="N1746" s="18" t="n">
        <v>388</v>
      </c>
      <c r="O1746" s="18" t="n">
        <v>0</v>
      </c>
      <c r="P1746" s="17" t="n">
        <v>45841</v>
      </c>
      <c r="Q1746" s="17" t="n">
        <v>45841</v>
      </c>
      <c r="R1746" s="17" t="n">
        <v>45841</v>
      </c>
      <c r="S1746" s="19">
        <f>H1746*I1746</f>
        <v/>
      </c>
      <c r="T1746" s="19">
        <f>H1746*J1746</f>
        <v/>
      </c>
      <c r="U1746">
        <f>IF(AND(K1746=0,G1746&lt;=Assumptions!$C$6),1,0)</f>
        <v/>
      </c>
      <c r="V1746">
        <f>IF(U1746=1,IF(M1746&gt;0,IF(P1746&lt;=G1746+Assumptions!$C$7,1,0),0),0)</f>
        <v/>
      </c>
      <c r="W1746">
        <f>IF(AND(U1746=1,M1746&gt;=H1746*(1-Assumptions!$C$8)),1,0)</f>
        <v/>
      </c>
      <c r="X1746">
        <f>IF(AND(U1746=1,N1746&gt;=H1746*(1-Assumptions!$C$8)),1,0)</f>
        <v/>
      </c>
      <c r="Y1746">
        <f>IF(ISNUMBER(Q1746),1,0)</f>
        <v/>
      </c>
      <c r="Z1746">
        <f>IF(AND(K1746=0,L1746=0,Y1746=0),1,0)</f>
        <v/>
      </c>
      <c r="AA1746">
        <f>IF(AND(Z1746=1,G1746&lt;Assumptions!$C$6),1,0)</f>
        <v/>
      </c>
      <c r="AB1746">
        <f>IF(U1746=0,"",IF(Y1746=1,MAX(0,Q1746-G1746),IF(L1746=1,MAX(0,R1746-G1746),MAX(0,Assumptions!$C$6-G1746))))</f>
        <v/>
      </c>
      <c r="AC1746">
        <f>IF(Y1746=1,Q1746-F1746,"")</f>
        <v/>
      </c>
      <c r="AD1746">
        <f>IF(Y1746=1,AC1746^2,"")</f>
        <v/>
      </c>
      <c r="AE1746" s="19">
        <f>IF(Z1746=1,(H1746-M1746)*I1746,0)</f>
        <v/>
      </c>
      <c r="AF1746">
        <f>IF(G1746&lt;EDATE(Assumptions!$C$6,-12)+1,"prior_12m","last_12m")</f>
        <v/>
      </c>
      <c r="AG1746" s="21">
        <f>DATE(YEAR(G1746),MONTH(G1746),1)</f>
        <v/>
      </c>
    </row>
    <row r="1747">
      <c r="A1747" t="inlineStr">
        <is>
          <t>SPO-00949-1</t>
        </is>
      </c>
      <c r="B1747" t="inlineStr">
        <is>
          <t>SPO-00949</t>
        </is>
      </c>
      <c r="C1747" t="inlineStr">
        <is>
          <t>SUP-06</t>
        </is>
      </c>
      <c r="D1747" t="inlineStr">
        <is>
          <t>MRO</t>
        </is>
      </c>
      <c r="E1747" t="inlineStr">
        <is>
          <t>MRO-03</t>
        </is>
      </c>
      <c r="F1747" s="17" t="n">
        <v>45831</v>
      </c>
      <c r="G1747" s="17" t="n">
        <v>45839</v>
      </c>
      <c r="H1747" s="18" t="n">
        <v>269</v>
      </c>
      <c r="I1747" s="19" t="n">
        <v>8.84</v>
      </c>
      <c r="J1747" s="19" t="n">
        <v>8.9</v>
      </c>
      <c r="K1747" s="20" t="n">
        <v>0</v>
      </c>
      <c r="L1747" s="20" t="n">
        <v>0</v>
      </c>
      <c r="M1747" s="18" t="n">
        <v>269</v>
      </c>
      <c r="N1747" s="18" t="n">
        <v>269</v>
      </c>
      <c r="O1747" s="18" t="n">
        <v>0</v>
      </c>
      <c r="P1747" s="17" t="n">
        <v>45837</v>
      </c>
      <c r="Q1747" s="17" t="n">
        <v>45837</v>
      </c>
      <c r="R1747" s="17" t="n">
        <v>45837</v>
      </c>
      <c r="S1747" s="19">
        <f>H1747*I1747</f>
        <v/>
      </c>
      <c r="T1747" s="19">
        <f>H1747*J1747</f>
        <v/>
      </c>
      <c r="U1747">
        <f>IF(AND(K1747=0,G1747&lt;=Assumptions!$C$6),1,0)</f>
        <v/>
      </c>
      <c r="V1747">
        <f>IF(U1747=1,IF(M1747&gt;0,IF(P1747&lt;=G1747+Assumptions!$C$7,1,0),0),0)</f>
        <v/>
      </c>
      <c r="W1747">
        <f>IF(AND(U1747=1,M1747&gt;=H1747*(1-Assumptions!$C$8)),1,0)</f>
        <v/>
      </c>
      <c r="X1747">
        <f>IF(AND(U1747=1,N1747&gt;=H1747*(1-Assumptions!$C$8)),1,0)</f>
        <v/>
      </c>
      <c r="Y1747">
        <f>IF(ISNUMBER(Q1747),1,0)</f>
        <v/>
      </c>
      <c r="Z1747">
        <f>IF(AND(K1747=0,L1747=0,Y1747=0),1,0)</f>
        <v/>
      </c>
      <c r="AA1747">
        <f>IF(AND(Z1747=1,G1747&lt;Assumptions!$C$6),1,0)</f>
        <v/>
      </c>
      <c r="AB1747">
        <f>IF(U1747=0,"",IF(Y1747=1,MAX(0,Q1747-G1747),IF(L1747=1,MAX(0,R1747-G1747),MAX(0,Assumptions!$C$6-G1747))))</f>
        <v/>
      </c>
      <c r="AC1747">
        <f>IF(Y1747=1,Q1747-F1747,"")</f>
        <v/>
      </c>
      <c r="AD1747">
        <f>IF(Y1747=1,AC1747^2,"")</f>
        <v/>
      </c>
      <c r="AE1747" s="19">
        <f>IF(Z1747=1,(H1747-M1747)*I1747,0)</f>
        <v/>
      </c>
      <c r="AF1747">
        <f>IF(G1747&lt;EDATE(Assumptions!$C$6,-12)+1,"prior_12m","last_12m")</f>
        <v/>
      </c>
      <c r="AG1747" s="21">
        <f>DATE(YEAR(G1747),MONTH(G1747),1)</f>
        <v/>
      </c>
    </row>
    <row r="1748">
      <c r="A1748" t="inlineStr">
        <is>
          <t>SPO-00949-2</t>
        </is>
      </c>
      <c r="B1748" t="inlineStr">
        <is>
          <t>SPO-00949</t>
        </is>
      </c>
      <c r="C1748" t="inlineStr">
        <is>
          <t>SUP-06</t>
        </is>
      </c>
      <c r="D1748" t="inlineStr">
        <is>
          <t>MRO</t>
        </is>
      </c>
      <c r="E1748" t="inlineStr">
        <is>
          <t>MRO-08</t>
        </is>
      </c>
      <c r="F1748" s="17" t="n">
        <v>45831</v>
      </c>
      <c r="G1748" s="17" t="n">
        <v>45839</v>
      </c>
      <c r="H1748" s="18" t="n">
        <v>102</v>
      </c>
      <c r="I1748" s="19" t="n">
        <v>7.19</v>
      </c>
      <c r="J1748" s="19" t="n">
        <v>7.2</v>
      </c>
      <c r="K1748" s="20" t="n">
        <v>0</v>
      </c>
      <c r="L1748" s="20" t="n">
        <v>0</v>
      </c>
      <c r="M1748" s="18" t="n">
        <v>102</v>
      </c>
      <c r="N1748" s="18" t="n">
        <v>102</v>
      </c>
      <c r="O1748" s="18" t="n">
        <v>0</v>
      </c>
      <c r="P1748" s="17" t="n">
        <v>45837</v>
      </c>
      <c r="Q1748" s="17" t="n">
        <v>45837</v>
      </c>
      <c r="R1748" s="17" t="n">
        <v>45837</v>
      </c>
      <c r="S1748" s="19">
        <f>H1748*I1748</f>
        <v/>
      </c>
      <c r="T1748" s="19">
        <f>H1748*J1748</f>
        <v/>
      </c>
      <c r="U1748">
        <f>IF(AND(K1748=0,G1748&lt;=Assumptions!$C$6),1,0)</f>
        <v/>
      </c>
      <c r="V1748">
        <f>IF(U1748=1,IF(M1748&gt;0,IF(P1748&lt;=G1748+Assumptions!$C$7,1,0),0),0)</f>
        <v/>
      </c>
      <c r="W1748">
        <f>IF(AND(U1748=1,M1748&gt;=H1748*(1-Assumptions!$C$8)),1,0)</f>
        <v/>
      </c>
      <c r="X1748">
        <f>IF(AND(U1748=1,N1748&gt;=H1748*(1-Assumptions!$C$8)),1,0)</f>
        <v/>
      </c>
      <c r="Y1748">
        <f>IF(ISNUMBER(Q1748),1,0)</f>
        <v/>
      </c>
      <c r="Z1748">
        <f>IF(AND(K1748=0,L1748=0,Y1748=0),1,0)</f>
        <v/>
      </c>
      <c r="AA1748">
        <f>IF(AND(Z1748=1,G1748&lt;Assumptions!$C$6),1,0)</f>
        <v/>
      </c>
      <c r="AB1748">
        <f>IF(U1748=0,"",IF(Y1748=1,MAX(0,Q1748-G1748),IF(L1748=1,MAX(0,R1748-G1748),MAX(0,Assumptions!$C$6-G1748))))</f>
        <v/>
      </c>
      <c r="AC1748">
        <f>IF(Y1748=1,Q1748-F1748,"")</f>
        <v/>
      </c>
      <c r="AD1748">
        <f>IF(Y1748=1,AC1748^2,"")</f>
        <v/>
      </c>
      <c r="AE1748" s="19">
        <f>IF(Z1748=1,(H1748-M1748)*I1748,0)</f>
        <v/>
      </c>
      <c r="AF1748">
        <f>IF(G1748&lt;EDATE(Assumptions!$C$6,-12)+1,"prior_12m","last_12m")</f>
        <v/>
      </c>
      <c r="AG1748" s="21">
        <f>DATE(YEAR(G1748),MONTH(G1748),1)</f>
        <v/>
      </c>
    </row>
    <row r="1749">
      <c r="A1749" t="inlineStr">
        <is>
          <t>SPO-00950-1</t>
        </is>
      </c>
      <c r="B1749" t="inlineStr">
        <is>
          <t>SPO-00950</t>
        </is>
      </c>
      <c r="C1749" t="inlineStr">
        <is>
          <t>SUP-11</t>
        </is>
      </c>
      <c r="D1749" t="inlineStr">
        <is>
          <t>PPE</t>
        </is>
      </c>
      <c r="E1749" t="inlineStr">
        <is>
          <t>PPE-07</t>
        </is>
      </c>
      <c r="F1749" s="17" t="n">
        <v>45831</v>
      </c>
      <c r="G1749" s="17" t="n">
        <v>45843</v>
      </c>
      <c r="H1749" s="18" t="n">
        <v>22</v>
      </c>
      <c r="I1749" s="19" t="n">
        <v>30.83</v>
      </c>
      <c r="J1749" s="19" t="n">
        <v>31</v>
      </c>
      <c r="K1749" s="20" t="n">
        <v>0</v>
      </c>
      <c r="L1749" s="20" t="n">
        <v>0</v>
      </c>
      <c r="M1749" s="18" t="n">
        <v>22</v>
      </c>
      <c r="N1749" s="18" t="n">
        <v>22</v>
      </c>
      <c r="O1749" s="18" t="n">
        <v>0</v>
      </c>
      <c r="P1749" s="17" t="n">
        <v>45842</v>
      </c>
      <c r="Q1749" s="17" t="n">
        <v>45842</v>
      </c>
      <c r="R1749" s="17" t="n">
        <v>45842</v>
      </c>
      <c r="S1749" s="19">
        <f>H1749*I1749</f>
        <v/>
      </c>
      <c r="T1749" s="19">
        <f>H1749*J1749</f>
        <v/>
      </c>
      <c r="U1749">
        <f>IF(AND(K1749=0,G1749&lt;=Assumptions!$C$6),1,0)</f>
        <v/>
      </c>
      <c r="V1749">
        <f>IF(U1749=1,IF(M1749&gt;0,IF(P1749&lt;=G1749+Assumptions!$C$7,1,0),0),0)</f>
        <v/>
      </c>
      <c r="W1749">
        <f>IF(AND(U1749=1,M1749&gt;=H1749*(1-Assumptions!$C$8)),1,0)</f>
        <v/>
      </c>
      <c r="X1749">
        <f>IF(AND(U1749=1,N1749&gt;=H1749*(1-Assumptions!$C$8)),1,0)</f>
        <v/>
      </c>
      <c r="Y1749">
        <f>IF(ISNUMBER(Q1749),1,0)</f>
        <v/>
      </c>
      <c r="Z1749">
        <f>IF(AND(K1749=0,L1749=0,Y1749=0),1,0)</f>
        <v/>
      </c>
      <c r="AA1749">
        <f>IF(AND(Z1749=1,G1749&lt;Assumptions!$C$6),1,0)</f>
        <v/>
      </c>
      <c r="AB1749">
        <f>IF(U1749=0,"",IF(Y1749=1,MAX(0,Q1749-G1749),IF(L1749=1,MAX(0,R1749-G1749),MAX(0,Assumptions!$C$6-G1749))))</f>
        <v/>
      </c>
      <c r="AC1749">
        <f>IF(Y1749=1,Q1749-F1749,"")</f>
        <v/>
      </c>
      <c r="AD1749">
        <f>IF(Y1749=1,AC1749^2,"")</f>
        <v/>
      </c>
      <c r="AE1749" s="19">
        <f>IF(Z1749=1,(H1749-M1749)*I1749,0)</f>
        <v/>
      </c>
      <c r="AF1749">
        <f>IF(G1749&lt;EDATE(Assumptions!$C$6,-12)+1,"prior_12m","last_12m")</f>
        <v/>
      </c>
      <c r="AG1749" s="21">
        <f>DATE(YEAR(G1749),MONTH(G1749),1)</f>
        <v/>
      </c>
    </row>
    <row r="1750">
      <c r="A1750" t="inlineStr">
        <is>
          <t>SPO-00951-1</t>
        </is>
      </c>
      <c r="B1750" t="inlineStr">
        <is>
          <t>SPO-00951</t>
        </is>
      </c>
      <c r="C1750" t="inlineStr">
        <is>
          <t>SUP-07</t>
        </is>
      </c>
      <c r="D1750" t="inlineStr">
        <is>
          <t>MRO</t>
        </is>
      </c>
      <c r="E1750" t="inlineStr">
        <is>
          <t>MRO-08</t>
        </is>
      </c>
      <c r="F1750" s="17" t="n">
        <v>45831</v>
      </c>
      <c r="G1750" s="17" t="n">
        <v>45841</v>
      </c>
      <c r="H1750" s="18" t="n">
        <v>372</v>
      </c>
      <c r="I1750" s="19" t="n">
        <v>7.08</v>
      </c>
      <c r="J1750" s="19" t="n">
        <v>7.2</v>
      </c>
      <c r="K1750" s="20" t="n">
        <v>0</v>
      </c>
      <c r="L1750" s="20" t="n">
        <v>0</v>
      </c>
      <c r="M1750" s="18" t="n">
        <v>372</v>
      </c>
      <c r="N1750" s="18" t="n">
        <v>372</v>
      </c>
      <c r="O1750" s="18" t="n">
        <v>0</v>
      </c>
      <c r="P1750" s="17" t="n">
        <v>45836</v>
      </c>
      <c r="Q1750" s="17" t="n">
        <v>45836</v>
      </c>
      <c r="R1750" s="17" t="n">
        <v>45836</v>
      </c>
      <c r="S1750" s="19">
        <f>H1750*I1750</f>
        <v/>
      </c>
      <c r="T1750" s="19">
        <f>H1750*J1750</f>
        <v/>
      </c>
      <c r="U1750">
        <f>IF(AND(K1750=0,G1750&lt;=Assumptions!$C$6),1,0)</f>
        <v/>
      </c>
      <c r="V1750">
        <f>IF(U1750=1,IF(M1750&gt;0,IF(P1750&lt;=G1750+Assumptions!$C$7,1,0),0),0)</f>
        <v/>
      </c>
      <c r="W1750">
        <f>IF(AND(U1750=1,M1750&gt;=H1750*(1-Assumptions!$C$8)),1,0)</f>
        <v/>
      </c>
      <c r="X1750">
        <f>IF(AND(U1750=1,N1750&gt;=H1750*(1-Assumptions!$C$8)),1,0)</f>
        <v/>
      </c>
      <c r="Y1750">
        <f>IF(ISNUMBER(Q1750),1,0)</f>
        <v/>
      </c>
      <c r="Z1750">
        <f>IF(AND(K1750=0,L1750=0,Y1750=0),1,0)</f>
        <v/>
      </c>
      <c r="AA1750">
        <f>IF(AND(Z1750=1,G1750&lt;Assumptions!$C$6),1,0)</f>
        <v/>
      </c>
      <c r="AB1750">
        <f>IF(U1750=0,"",IF(Y1750=1,MAX(0,Q1750-G1750),IF(L1750=1,MAX(0,R1750-G1750),MAX(0,Assumptions!$C$6-G1750))))</f>
        <v/>
      </c>
      <c r="AC1750">
        <f>IF(Y1750=1,Q1750-F1750,"")</f>
        <v/>
      </c>
      <c r="AD1750">
        <f>IF(Y1750=1,AC1750^2,"")</f>
        <v/>
      </c>
      <c r="AE1750" s="19">
        <f>IF(Z1750=1,(H1750-M1750)*I1750,0)</f>
        <v/>
      </c>
      <c r="AF1750">
        <f>IF(G1750&lt;EDATE(Assumptions!$C$6,-12)+1,"prior_12m","last_12m")</f>
        <v/>
      </c>
      <c r="AG1750" s="21">
        <f>DATE(YEAR(G1750),MONTH(G1750),1)</f>
        <v/>
      </c>
    </row>
    <row r="1751">
      <c r="A1751" t="inlineStr">
        <is>
          <t>SPO-00951-2</t>
        </is>
      </c>
      <c r="B1751" t="inlineStr">
        <is>
          <t>SPO-00951</t>
        </is>
      </c>
      <c r="C1751" t="inlineStr">
        <is>
          <t>SUP-07</t>
        </is>
      </c>
      <c r="D1751" t="inlineStr">
        <is>
          <t>MRO</t>
        </is>
      </c>
      <c r="E1751" t="inlineStr">
        <is>
          <t>MRO-02</t>
        </is>
      </c>
      <c r="F1751" s="17" t="n">
        <v>45831</v>
      </c>
      <c r="G1751" s="17" t="n">
        <v>45841</v>
      </c>
      <c r="H1751" s="18" t="n">
        <v>24</v>
      </c>
      <c r="I1751" s="19" t="n">
        <v>40.02</v>
      </c>
      <c r="J1751" s="19" t="n">
        <v>41</v>
      </c>
      <c r="K1751" s="20" t="n">
        <v>0</v>
      </c>
      <c r="L1751" s="20" t="n">
        <v>0</v>
      </c>
      <c r="M1751" s="18" t="n">
        <v>24</v>
      </c>
      <c r="N1751" s="18" t="n">
        <v>24</v>
      </c>
      <c r="O1751" s="18" t="n">
        <v>0</v>
      </c>
      <c r="P1751" s="17" t="n">
        <v>45835</v>
      </c>
      <c r="Q1751" s="17" t="n">
        <v>45835</v>
      </c>
      <c r="R1751" s="17" t="n">
        <v>45835</v>
      </c>
      <c r="S1751" s="19">
        <f>H1751*I1751</f>
        <v/>
      </c>
      <c r="T1751" s="19">
        <f>H1751*J1751</f>
        <v/>
      </c>
      <c r="U1751">
        <f>IF(AND(K1751=0,G1751&lt;=Assumptions!$C$6),1,0)</f>
        <v/>
      </c>
      <c r="V1751">
        <f>IF(U1751=1,IF(M1751&gt;0,IF(P1751&lt;=G1751+Assumptions!$C$7,1,0),0),0)</f>
        <v/>
      </c>
      <c r="W1751">
        <f>IF(AND(U1751=1,M1751&gt;=H1751*(1-Assumptions!$C$8)),1,0)</f>
        <v/>
      </c>
      <c r="X1751">
        <f>IF(AND(U1751=1,N1751&gt;=H1751*(1-Assumptions!$C$8)),1,0)</f>
        <v/>
      </c>
      <c r="Y1751">
        <f>IF(ISNUMBER(Q1751),1,0)</f>
        <v/>
      </c>
      <c r="Z1751">
        <f>IF(AND(K1751=0,L1751=0,Y1751=0),1,0)</f>
        <v/>
      </c>
      <c r="AA1751">
        <f>IF(AND(Z1751=1,G1751&lt;Assumptions!$C$6),1,0)</f>
        <v/>
      </c>
      <c r="AB1751">
        <f>IF(U1751=0,"",IF(Y1751=1,MAX(0,Q1751-G1751),IF(L1751=1,MAX(0,R1751-G1751),MAX(0,Assumptions!$C$6-G1751))))</f>
        <v/>
      </c>
      <c r="AC1751">
        <f>IF(Y1751=1,Q1751-F1751,"")</f>
        <v/>
      </c>
      <c r="AD1751">
        <f>IF(Y1751=1,AC1751^2,"")</f>
        <v/>
      </c>
      <c r="AE1751" s="19">
        <f>IF(Z1751=1,(H1751-M1751)*I1751,0)</f>
        <v/>
      </c>
      <c r="AF1751">
        <f>IF(G1751&lt;EDATE(Assumptions!$C$6,-12)+1,"prior_12m","last_12m")</f>
        <v/>
      </c>
      <c r="AG1751" s="21">
        <f>DATE(YEAR(G1751),MONTH(G1751),1)</f>
        <v/>
      </c>
    </row>
    <row r="1752">
      <c r="A1752" t="inlineStr">
        <is>
          <t>SPO-00951-3</t>
        </is>
      </c>
      <c r="B1752" t="inlineStr">
        <is>
          <t>SPO-00951</t>
        </is>
      </c>
      <c r="C1752" t="inlineStr">
        <is>
          <t>SUP-07</t>
        </is>
      </c>
      <c r="D1752" t="inlineStr">
        <is>
          <t>MRO</t>
        </is>
      </c>
      <c r="E1752" t="inlineStr">
        <is>
          <t>MRO-06</t>
        </is>
      </c>
      <c r="F1752" s="17" t="n">
        <v>45831</v>
      </c>
      <c r="G1752" s="17" t="n">
        <v>45841</v>
      </c>
      <c r="H1752" s="18" t="n">
        <v>193</v>
      </c>
      <c r="I1752" s="19" t="n">
        <v>6.21</v>
      </c>
      <c r="J1752" s="19" t="n">
        <v>6.1</v>
      </c>
      <c r="K1752" s="20" t="n">
        <v>0</v>
      </c>
      <c r="L1752" s="20" t="n">
        <v>0</v>
      </c>
      <c r="M1752" s="18" t="n">
        <v>193</v>
      </c>
      <c r="N1752" s="18" t="n">
        <v>193</v>
      </c>
      <c r="O1752" s="18" t="n">
        <v>0</v>
      </c>
      <c r="P1752" s="17" t="n">
        <v>45834</v>
      </c>
      <c r="Q1752" s="17" t="n">
        <v>45834</v>
      </c>
      <c r="R1752" s="17" t="n">
        <v>45834</v>
      </c>
      <c r="S1752" s="19">
        <f>H1752*I1752</f>
        <v/>
      </c>
      <c r="T1752" s="19">
        <f>H1752*J1752</f>
        <v/>
      </c>
      <c r="U1752">
        <f>IF(AND(K1752=0,G1752&lt;=Assumptions!$C$6),1,0)</f>
        <v/>
      </c>
      <c r="V1752">
        <f>IF(U1752=1,IF(M1752&gt;0,IF(P1752&lt;=G1752+Assumptions!$C$7,1,0),0),0)</f>
        <v/>
      </c>
      <c r="W1752">
        <f>IF(AND(U1752=1,M1752&gt;=H1752*(1-Assumptions!$C$8)),1,0)</f>
        <v/>
      </c>
      <c r="X1752">
        <f>IF(AND(U1752=1,N1752&gt;=H1752*(1-Assumptions!$C$8)),1,0)</f>
        <v/>
      </c>
      <c r="Y1752">
        <f>IF(ISNUMBER(Q1752),1,0)</f>
        <v/>
      </c>
      <c r="Z1752">
        <f>IF(AND(K1752=0,L1752=0,Y1752=0),1,0)</f>
        <v/>
      </c>
      <c r="AA1752">
        <f>IF(AND(Z1752=1,G1752&lt;Assumptions!$C$6),1,0)</f>
        <v/>
      </c>
      <c r="AB1752">
        <f>IF(U1752=0,"",IF(Y1752=1,MAX(0,Q1752-G1752),IF(L1752=1,MAX(0,R1752-G1752),MAX(0,Assumptions!$C$6-G1752))))</f>
        <v/>
      </c>
      <c r="AC1752">
        <f>IF(Y1752=1,Q1752-F1752,"")</f>
        <v/>
      </c>
      <c r="AD1752">
        <f>IF(Y1752=1,AC1752^2,"")</f>
        <v/>
      </c>
      <c r="AE1752" s="19">
        <f>IF(Z1752=1,(H1752-M1752)*I1752,0)</f>
        <v/>
      </c>
      <c r="AF1752">
        <f>IF(G1752&lt;EDATE(Assumptions!$C$6,-12)+1,"prior_12m","last_12m")</f>
        <v/>
      </c>
      <c r="AG1752" s="21">
        <f>DATE(YEAR(G1752),MONTH(G1752),1)</f>
        <v/>
      </c>
    </row>
    <row r="1753">
      <c r="A1753" t="inlineStr">
        <is>
          <t>SPO-00952-1</t>
        </is>
      </c>
      <c r="B1753" t="inlineStr">
        <is>
          <t>SPO-00952</t>
        </is>
      </c>
      <c r="C1753" t="inlineStr">
        <is>
          <t>SUP-02</t>
        </is>
      </c>
      <c r="D1753" t="inlineStr">
        <is>
          <t>ELEC</t>
        </is>
      </c>
      <c r="E1753" t="inlineStr">
        <is>
          <t>ELEC-06</t>
        </is>
      </c>
      <c r="F1753" s="17" t="n">
        <v>45831</v>
      </c>
      <c r="G1753" s="17" t="n">
        <v>45847</v>
      </c>
      <c r="H1753" s="18" t="n">
        <v>9</v>
      </c>
      <c r="I1753" s="19" t="n">
        <v>144.88</v>
      </c>
      <c r="J1753" s="19" t="n">
        <v>145</v>
      </c>
      <c r="K1753" s="20" t="n">
        <v>0</v>
      </c>
      <c r="L1753" s="20" t="n">
        <v>0</v>
      </c>
      <c r="M1753" s="18" t="n">
        <v>9</v>
      </c>
      <c r="N1753" s="18" t="n">
        <v>9</v>
      </c>
      <c r="O1753" s="18" t="n">
        <v>0</v>
      </c>
      <c r="P1753" s="17" t="n">
        <v>45843</v>
      </c>
      <c r="Q1753" s="17" t="n">
        <v>45843</v>
      </c>
      <c r="R1753" s="17" t="n">
        <v>45843</v>
      </c>
      <c r="S1753" s="19">
        <f>H1753*I1753</f>
        <v/>
      </c>
      <c r="T1753" s="19">
        <f>H1753*J1753</f>
        <v/>
      </c>
      <c r="U1753">
        <f>IF(AND(K1753=0,G1753&lt;=Assumptions!$C$6),1,0)</f>
        <v/>
      </c>
      <c r="V1753">
        <f>IF(U1753=1,IF(M1753&gt;0,IF(P1753&lt;=G1753+Assumptions!$C$7,1,0),0),0)</f>
        <v/>
      </c>
      <c r="W1753">
        <f>IF(AND(U1753=1,M1753&gt;=H1753*(1-Assumptions!$C$8)),1,0)</f>
        <v/>
      </c>
      <c r="X1753">
        <f>IF(AND(U1753=1,N1753&gt;=H1753*(1-Assumptions!$C$8)),1,0)</f>
        <v/>
      </c>
      <c r="Y1753">
        <f>IF(ISNUMBER(Q1753),1,0)</f>
        <v/>
      </c>
      <c r="Z1753">
        <f>IF(AND(K1753=0,L1753=0,Y1753=0),1,0)</f>
        <v/>
      </c>
      <c r="AA1753">
        <f>IF(AND(Z1753=1,G1753&lt;Assumptions!$C$6),1,0)</f>
        <v/>
      </c>
      <c r="AB1753">
        <f>IF(U1753=0,"",IF(Y1753=1,MAX(0,Q1753-G1753),IF(L1753=1,MAX(0,R1753-G1753),MAX(0,Assumptions!$C$6-G1753))))</f>
        <v/>
      </c>
      <c r="AC1753">
        <f>IF(Y1753=1,Q1753-F1753,"")</f>
        <v/>
      </c>
      <c r="AD1753">
        <f>IF(Y1753=1,AC1753^2,"")</f>
        <v/>
      </c>
      <c r="AE1753" s="19">
        <f>IF(Z1753=1,(H1753-M1753)*I1753,0)</f>
        <v/>
      </c>
      <c r="AF1753">
        <f>IF(G1753&lt;EDATE(Assumptions!$C$6,-12)+1,"prior_12m","last_12m")</f>
        <v/>
      </c>
      <c r="AG1753" s="21">
        <f>DATE(YEAR(G1753),MONTH(G1753),1)</f>
        <v/>
      </c>
    </row>
    <row r="1754">
      <c r="A1754" t="inlineStr">
        <is>
          <t>SPO-00953-1</t>
        </is>
      </c>
      <c r="B1754" t="inlineStr">
        <is>
          <t>SPO-00953</t>
        </is>
      </c>
      <c r="C1754" t="inlineStr">
        <is>
          <t>SUP-04</t>
        </is>
      </c>
      <c r="D1754" t="inlineStr">
        <is>
          <t>FLEET</t>
        </is>
      </c>
      <c r="E1754" t="inlineStr">
        <is>
          <t>FLEET-05</t>
        </is>
      </c>
      <c r="F1754" s="17" t="n">
        <v>45832</v>
      </c>
      <c r="G1754" s="17" t="n">
        <v>45845</v>
      </c>
      <c r="H1754" s="18" t="n">
        <v>8</v>
      </c>
      <c r="I1754" s="19" t="n">
        <v>163.38</v>
      </c>
      <c r="J1754" s="19" t="n">
        <v>168</v>
      </c>
      <c r="K1754" s="20" t="n">
        <v>0</v>
      </c>
      <c r="L1754" s="20" t="n">
        <v>0</v>
      </c>
      <c r="M1754" s="18" t="n">
        <v>8</v>
      </c>
      <c r="N1754" s="18" t="n">
        <v>8</v>
      </c>
      <c r="O1754" s="18" t="n">
        <v>0</v>
      </c>
      <c r="P1754" s="17" t="n">
        <v>45841</v>
      </c>
      <c r="Q1754" s="17" t="n">
        <v>45841</v>
      </c>
      <c r="R1754" s="17" t="n">
        <v>45841</v>
      </c>
      <c r="S1754" s="19">
        <f>H1754*I1754</f>
        <v/>
      </c>
      <c r="T1754" s="19">
        <f>H1754*J1754</f>
        <v/>
      </c>
      <c r="U1754">
        <f>IF(AND(K1754=0,G1754&lt;=Assumptions!$C$6),1,0)</f>
        <v/>
      </c>
      <c r="V1754">
        <f>IF(U1754=1,IF(M1754&gt;0,IF(P1754&lt;=G1754+Assumptions!$C$7,1,0),0),0)</f>
        <v/>
      </c>
      <c r="W1754">
        <f>IF(AND(U1754=1,M1754&gt;=H1754*(1-Assumptions!$C$8)),1,0)</f>
        <v/>
      </c>
      <c r="X1754">
        <f>IF(AND(U1754=1,N1754&gt;=H1754*(1-Assumptions!$C$8)),1,0)</f>
        <v/>
      </c>
      <c r="Y1754">
        <f>IF(ISNUMBER(Q1754),1,0)</f>
        <v/>
      </c>
      <c r="Z1754">
        <f>IF(AND(K1754=0,L1754=0,Y1754=0),1,0)</f>
        <v/>
      </c>
      <c r="AA1754">
        <f>IF(AND(Z1754=1,G1754&lt;Assumptions!$C$6),1,0)</f>
        <v/>
      </c>
      <c r="AB1754">
        <f>IF(U1754=0,"",IF(Y1754=1,MAX(0,Q1754-G1754),IF(L1754=1,MAX(0,R1754-G1754),MAX(0,Assumptions!$C$6-G1754))))</f>
        <v/>
      </c>
      <c r="AC1754">
        <f>IF(Y1754=1,Q1754-F1754,"")</f>
        <v/>
      </c>
      <c r="AD1754">
        <f>IF(Y1754=1,AC1754^2,"")</f>
        <v/>
      </c>
      <c r="AE1754" s="19">
        <f>IF(Z1754=1,(H1754-M1754)*I1754,0)</f>
        <v/>
      </c>
      <c r="AF1754">
        <f>IF(G1754&lt;EDATE(Assumptions!$C$6,-12)+1,"prior_12m","last_12m")</f>
        <v/>
      </c>
      <c r="AG1754" s="21">
        <f>DATE(YEAR(G1754),MONTH(G1754),1)</f>
        <v/>
      </c>
    </row>
    <row r="1755">
      <c r="A1755" t="inlineStr">
        <is>
          <t>SPO-00954-1</t>
        </is>
      </c>
      <c r="B1755" t="inlineStr">
        <is>
          <t>SPO-00954</t>
        </is>
      </c>
      <c r="C1755" t="inlineStr">
        <is>
          <t>SUP-04</t>
        </is>
      </c>
      <c r="D1755" t="inlineStr">
        <is>
          <t>FLEET</t>
        </is>
      </c>
      <c r="E1755" t="inlineStr">
        <is>
          <t>FLEET-02</t>
        </is>
      </c>
      <c r="F1755" s="17" t="n">
        <v>45832</v>
      </c>
      <c r="G1755" s="17" t="n">
        <v>45845</v>
      </c>
      <c r="H1755" s="18" t="n">
        <v>285</v>
      </c>
      <c r="I1755" s="19" t="n">
        <v>7.37</v>
      </c>
      <c r="J1755" s="19" t="n">
        <v>7.5</v>
      </c>
      <c r="K1755" s="20" t="n">
        <v>0</v>
      </c>
      <c r="L1755" s="20" t="n">
        <v>0</v>
      </c>
      <c r="M1755" s="18" t="n">
        <v>285</v>
      </c>
      <c r="N1755" s="18" t="n">
        <v>0</v>
      </c>
      <c r="O1755" s="18" t="n">
        <v>0</v>
      </c>
      <c r="P1755" s="17" t="n">
        <v>45849</v>
      </c>
      <c r="Q1755" s="17" t="n">
        <v>45849</v>
      </c>
      <c r="R1755" s="17" t="n">
        <v>45849</v>
      </c>
      <c r="S1755" s="19">
        <f>H1755*I1755</f>
        <v/>
      </c>
      <c r="T1755" s="19">
        <f>H1755*J1755</f>
        <v/>
      </c>
      <c r="U1755">
        <f>IF(AND(K1755=0,G1755&lt;=Assumptions!$C$6),1,0)</f>
        <v/>
      </c>
      <c r="V1755">
        <f>IF(U1755=1,IF(M1755&gt;0,IF(P1755&lt;=G1755+Assumptions!$C$7,1,0),0),0)</f>
        <v/>
      </c>
      <c r="W1755">
        <f>IF(AND(U1755=1,M1755&gt;=H1755*(1-Assumptions!$C$8)),1,0)</f>
        <v/>
      </c>
      <c r="X1755">
        <f>IF(AND(U1755=1,N1755&gt;=H1755*(1-Assumptions!$C$8)),1,0)</f>
        <v/>
      </c>
      <c r="Y1755">
        <f>IF(ISNUMBER(Q1755),1,0)</f>
        <v/>
      </c>
      <c r="Z1755">
        <f>IF(AND(K1755=0,L1755=0,Y1755=0),1,0)</f>
        <v/>
      </c>
      <c r="AA1755">
        <f>IF(AND(Z1755=1,G1755&lt;Assumptions!$C$6),1,0)</f>
        <v/>
      </c>
      <c r="AB1755">
        <f>IF(U1755=0,"",IF(Y1755=1,MAX(0,Q1755-G1755),IF(L1755=1,MAX(0,R1755-G1755),MAX(0,Assumptions!$C$6-G1755))))</f>
        <v/>
      </c>
      <c r="AC1755">
        <f>IF(Y1755=1,Q1755-F1755,"")</f>
        <v/>
      </c>
      <c r="AD1755">
        <f>IF(Y1755=1,AC1755^2,"")</f>
        <v/>
      </c>
      <c r="AE1755" s="19">
        <f>IF(Z1755=1,(H1755-M1755)*I1755,0)</f>
        <v/>
      </c>
      <c r="AF1755">
        <f>IF(G1755&lt;EDATE(Assumptions!$C$6,-12)+1,"prior_12m","last_12m")</f>
        <v/>
      </c>
      <c r="AG1755" s="21">
        <f>DATE(YEAR(G1755),MONTH(G1755),1)</f>
        <v/>
      </c>
    </row>
    <row r="1756">
      <c r="A1756" t="inlineStr">
        <is>
          <t>SPO-00955-1</t>
        </is>
      </c>
      <c r="B1756" t="inlineStr">
        <is>
          <t>SPO-00955</t>
        </is>
      </c>
      <c r="C1756" t="inlineStr">
        <is>
          <t>SUP-01</t>
        </is>
      </c>
      <c r="D1756" t="inlineStr">
        <is>
          <t>ELEC</t>
        </is>
      </c>
      <c r="E1756" t="inlineStr">
        <is>
          <t>ELEC-02</t>
        </is>
      </c>
      <c r="F1756" s="17" t="n">
        <v>45832</v>
      </c>
      <c r="G1756" s="17" t="n">
        <v>45850</v>
      </c>
      <c r="H1756" s="18" t="n">
        <v>1188</v>
      </c>
      <c r="I1756" s="19" t="n">
        <v>4.32</v>
      </c>
      <c r="J1756" s="19" t="n">
        <v>4.2</v>
      </c>
      <c r="K1756" s="20" t="n">
        <v>0</v>
      </c>
      <c r="L1756" s="20" t="n">
        <v>0</v>
      </c>
      <c r="M1756" s="18" t="n">
        <v>1188</v>
      </c>
      <c r="N1756" s="18" t="n">
        <v>1188</v>
      </c>
      <c r="O1756" s="18" t="n">
        <v>0</v>
      </c>
      <c r="P1756" s="17" t="n">
        <v>45845</v>
      </c>
      <c r="Q1756" s="17" t="n">
        <v>45845</v>
      </c>
      <c r="R1756" s="17" t="n">
        <v>45845</v>
      </c>
      <c r="S1756" s="19">
        <f>H1756*I1756</f>
        <v/>
      </c>
      <c r="T1756" s="19">
        <f>H1756*J1756</f>
        <v/>
      </c>
      <c r="U1756">
        <f>IF(AND(K1756=0,G1756&lt;=Assumptions!$C$6),1,0)</f>
        <v/>
      </c>
      <c r="V1756">
        <f>IF(U1756=1,IF(M1756&gt;0,IF(P1756&lt;=G1756+Assumptions!$C$7,1,0),0),0)</f>
        <v/>
      </c>
      <c r="W1756">
        <f>IF(AND(U1756=1,M1756&gt;=H1756*(1-Assumptions!$C$8)),1,0)</f>
        <v/>
      </c>
      <c r="X1756">
        <f>IF(AND(U1756=1,N1756&gt;=H1756*(1-Assumptions!$C$8)),1,0)</f>
        <v/>
      </c>
      <c r="Y1756">
        <f>IF(ISNUMBER(Q1756),1,0)</f>
        <v/>
      </c>
      <c r="Z1756">
        <f>IF(AND(K1756=0,L1756=0,Y1756=0),1,0)</f>
        <v/>
      </c>
      <c r="AA1756">
        <f>IF(AND(Z1756=1,G1756&lt;Assumptions!$C$6),1,0)</f>
        <v/>
      </c>
      <c r="AB1756">
        <f>IF(U1756=0,"",IF(Y1756=1,MAX(0,Q1756-G1756),IF(L1756=1,MAX(0,R1756-G1756),MAX(0,Assumptions!$C$6-G1756))))</f>
        <v/>
      </c>
      <c r="AC1756">
        <f>IF(Y1756=1,Q1756-F1756,"")</f>
        <v/>
      </c>
      <c r="AD1756">
        <f>IF(Y1756=1,AC1756^2,"")</f>
        <v/>
      </c>
      <c r="AE1756" s="19">
        <f>IF(Z1756=1,(H1756-M1756)*I1756,0)</f>
        <v/>
      </c>
      <c r="AF1756">
        <f>IF(G1756&lt;EDATE(Assumptions!$C$6,-12)+1,"prior_12m","last_12m")</f>
        <v/>
      </c>
      <c r="AG1756" s="21">
        <f>DATE(YEAR(G1756),MONTH(G1756),1)</f>
        <v/>
      </c>
    </row>
    <row r="1757">
      <c r="A1757" t="inlineStr">
        <is>
          <t>SPO-00955-2</t>
        </is>
      </c>
      <c r="B1757" t="inlineStr">
        <is>
          <t>SPO-00955</t>
        </is>
      </c>
      <c r="C1757" t="inlineStr">
        <is>
          <t>SUP-01</t>
        </is>
      </c>
      <c r="D1757" t="inlineStr">
        <is>
          <t>ELEC</t>
        </is>
      </c>
      <c r="E1757" t="inlineStr">
        <is>
          <t>ELEC-06</t>
        </is>
      </c>
      <c r="F1757" s="17" t="n">
        <v>45832</v>
      </c>
      <c r="G1757" s="17" t="n">
        <v>45850</v>
      </c>
      <c r="H1757" s="18" t="n">
        <v>19</v>
      </c>
      <c r="I1757" s="19" t="n">
        <v>140.16</v>
      </c>
      <c r="J1757" s="19" t="n">
        <v>145</v>
      </c>
      <c r="K1757" s="20" t="n">
        <v>0</v>
      </c>
      <c r="L1757" s="20" t="n">
        <v>0</v>
      </c>
      <c r="M1757" s="18" t="n">
        <v>19</v>
      </c>
      <c r="N1757" s="18" t="n">
        <v>19</v>
      </c>
      <c r="O1757" s="18" t="n">
        <v>0</v>
      </c>
      <c r="P1757" s="17" t="n">
        <v>45846</v>
      </c>
      <c r="Q1757" s="17" t="n">
        <v>45846</v>
      </c>
      <c r="R1757" s="17" t="n">
        <v>45846</v>
      </c>
      <c r="S1757" s="19">
        <f>H1757*I1757</f>
        <v/>
      </c>
      <c r="T1757" s="19">
        <f>H1757*J1757</f>
        <v/>
      </c>
      <c r="U1757">
        <f>IF(AND(K1757=0,G1757&lt;=Assumptions!$C$6),1,0)</f>
        <v/>
      </c>
      <c r="V1757">
        <f>IF(U1757=1,IF(M1757&gt;0,IF(P1757&lt;=G1757+Assumptions!$C$7,1,0),0),0)</f>
        <v/>
      </c>
      <c r="W1757">
        <f>IF(AND(U1757=1,M1757&gt;=H1757*(1-Assumptions!$C$8)),1,0)</f>
        <v/>
      </c>
      <c r="X1757">
        <f>IF(AND(U1757=1,N1757&gt;=H1757*(1-Assumptions!$C$8)),1,0)</f>
        <v/>
      </c>
      <c r="Y1757">
        <f>IF(ISNUMBER(Q1757),1,0)</f>
        <v/>
      </c>
      <c r="Z1757">
        <f>IF(AND(K1757=0,L1757=0,Y1757=0),1,0)</f>
        <v/>
      </c>
      <c r="AA1757">
        <f>IF(AND(Z1757=1,G1757&lt;Assumptions!$C$6),1,0)</f>
        <v/>
      </c>
      <c r="AB1757">
        <f>IF(U1757=0,"",IF(Y1757=1,MAX(0,Q1757-G1757),IF(L1757=1,MAX(0,R1757-G1757),MAX(0,Assumptions!$C$6-G1757))))</f>
        <v/>
      </c>
      <c r="AC1757">
        <f>IF(Y1757=1,Q1757-F1757,"")</f>
        <v/>
      </c>
      <c r="AD1757">
        <f>IF(Y1757=1,AC1757^2,"")</f>
        <v/>
      </c>
      <c r="AE1757" s="19">
        <f>IF(Z1757=1,(H1757-M1757)*I1757,0)</f>
        <v/>
      </c>
      <c r="AF1757">
        <f>IF(G1757&lt;EDATE(Assumptions!$C$6,-12)+1,"prior_12m","last_12m")</f>
        <v/>
      </c>
      <c r="AG1757" s="21">
        <f>DATE(YEAR(G1757),MONTH(G1757),1)</f>
        <v/>
      </c>
    </row>
    <row r="1758">
      <c r="A1758" t="inlineStr">
        <is>
          <t>SPO-00955-3</t>
        </is>
      </c>
      <c r="B1758" t="inlineStr">
        <is>
          <t>SPO-00955</t>
        </is>
      </c>
      <c r="C1758" t="inlineStr">
        <is>
          <t>SUP-01</t>
        </is>
      </c>
      <c r="D1758" t="inlineStr">
        <is>
          <t>ELEC</t>
        </is>
      </c>
      <c r="E1758" t="inlineStr">
        <is>
          <t>ELEC-08</t>
        </is>
      </c>
      <c r="F1758" s="17" t="n">
        <v>45832</v>
      </c>
      <c r="G1758" s="17" t="n">
        <v>45850</v>
      </c>
      <c r="H1758" s="18" t="n">
        <v>93</v>
      </c>
      <c r="I1758" s="19" t="n">
        <v>18.64</v>
      </c>
      <c r="J1758" s="19" t="n">
        <v>18</v>
      </c>
      <c r="K1758" s="20" t="n">
        <v>0</v>
      </c>
      <c r="L1758" s="20" t="n">
        <v>0</v>
      </c>
      <c r="M1758" s="18" t="n">
        <v>93</v>
      </c>
      <c r="N1758" s="18" t="n">
        <v>93</v>
      </c>
      <c r="O1758" s="18" t="n">
        <v>0</v>
      </c>
      <c r="P1758" s="17" t="n">
        <v>45850</v>
      </c>
      <c r="Q1758" s="17" t="n">
        <v>45850</v>
      </c>
      <c r="R1758" s="17" t="n">
        <v>45850</v>
      </c>
      <c r="S1758" s="19">
        <f>H1758*I1758</f>
        <v/>
      </c>
      <c r="T1758" s="19">
        <f>H1758*J1758</f>
        <v/>
      </c>
      <c r="U1758">
        <f>IF(AND(K1758=0,G1758&lt;=Assumptions!$C$6),1,0)</f>
        <v/>
      </c>
      <c r="V1758">
        <f>IF(U1758=1,IF(M1758&gt;0,IF(P1758&lt;=G1758+Assumptions!$C$7,1,0),0),0)</f>
        <v/>
      </c>
      <c r="W1758">
        <f>IF(AND(U1758=1,M1758&gt;=H1758*(1-Assumptions!$C$8)),1,0)</f>
        <v/>
      </c>
      <c r="X1758">
        <f>IF(AND(U1758=1,N1758&gt;=H1758*(1-Assumptions!$C$8)),1,0)</f>
        <v/>
      </c>
      <c r="Y1758">
        <f>IF(ISNUMBER(Q1758),1,0)</f>
        <v/>
      </c>
      <c r="Z1758">
        <f>IF(AND(K1758=0,L1758=0,Y1758=0),1,0)</f>
        <v/>
      </c>
      <c r="AA1758">
        <f>IF(AND(Z1758=1,G1758&lt;Assumptions!$C$6),1,0)</f>
        <v/>
      </c>
      <c r="AB1758">
        <f>IF(U1758=0,"",IF(Y1758=1,MAX(0,Q1758-G1758),IF(L1758=1,MAX(0,R1758-G1758),MAX(0,Assumptions!$C$6-G1758))))</f>
        <v/>
      </c>
      <c r="AC1758">
        <f>IF(Y1758=1,Q1758-F1758,"")</f>
        <v/>
      </c>
      <c r="AD1758">
        <f>IF(Y1758=1,AC1758^2,"")</f>
        <v/>
      </c>
      <c r="AE1758" s="19">
        <f>IF(Z1758=1,(H1758-M1758)*I1758,0)</f>
        <v/>
      </c>
      <c r="AF1758">
        <f>IF(G1758&lt;EDATE(Assumptions!$C$6,-12)+1,"prior_12m","last_12m")</f>
        <v/>
      </c>
      <c r="AG1758" s="21">
        <f>DATE(YEAR(G1758),MONTH(G1758),1)</f>
        <v/>
      </c>
    </row>
    <row r="1759">
      <c r="A1759" t="inlineStr">
        <is>
          <t>SPO-00955-4</t>
        </is>
      </c>
      <c r="B1759" t="inlineStr">
        <is>
          <t>SPO-00955</t>
        </is>
      </c>
      <c r="C1759" t="inlineStr">
        <is>
          <t>SUP-01</t>
        </is>
      </c>
      <c r="D1759" t="inlineStr">
        <is>
          <t>ELEC</t>
        </is>
      </c>
      <c r="E1759" t="inlineStr">
        <is>
          <t>ELEC-04</t>
        </is>
      </c>
      <c r="F1759" s="17" t="n">
        <v>45832</v>
      </c>
      <c r="G1759" s="17" t="n">
        <v>45850</v>
      </c>
      <c r="H1759" s="18" t="n">
        <v>27</v>
      </c>
      <c r="I1759" s="19" t="n">
        <v>73</v>
      </c>
      <c r="J1759" s="19" t="n">
        <v>72</v>
      </c>
      <c r="K1759" s="20" t="n">
        <v>0</v>
      </c>
      <c r="L1759" s="20" t="n">
        <v>0</v>
      </c>
      <c r="M1759" s="18" t="n">
        <v>27</v>
      </c>
      <c r="N1759" s="18" t="n">
        <v>27</v>
      </c>
      <c r="O1759" s="18" t="n">
        <v>0</v>
      </c>
      <c r="P1759" s="17" t="n">
        <v>45849</v>
      </c>
      <c r="Q1759" s="17" t="n">
        <v>45849</v>
      </c>
      <c r="R1759" s="17" t="n">
        <v>45849</v>
      </c>
      <c r="S1759" s="19">
        <f>H1759*I1759</f>
        <v/>
      </c>
      <c r="T1759" s="19">
        <f>H1759*J1759</f>
        <v/>
      </c>
      <c r="U1759">
        <f>IF(AND(K1759=0,G1759&lt;=Assumptions!$C$6),1,0)</f>
        <v/>
      </c>
      <c r="V1759">
        <f>IF(U1759=1,IF(M1759&gt;0,IF(P1759&lt;=G1759+Assumptions!$C$7,1,0),0),0)</f>
        <v/>
      </c>
      <c r="W1759">
        <f>IF(AND(U1759=1,M1759&gt;=H1759*(1-Assumptions!$C$8)),1,0)</f>
        <v/>
      </c>
      <c r="X1759">
        <f>IF(AND(U1759=1,N1759&gt;=H1759*(1-Assumptions!$C$8)),1,0)</f>
        <v/>
      </c>
      <c r="Y1759">
        <f>IF(ISNUMBER(Q1759),1,0)</f>
        <v/>
      </c>
      <c r="Z1759">
        <f>IF(AND(K1759=0,L1759=0,Y1759=0),1,0)</f>
        <v/>
      </c>
      <c r="AA1759">
        <f>IF(AND(Z1759=1,G1759&lt;Assumptions!$C$6),1,0)</f>
        <v/>
      </c>
      <c r="AB1759">
        <f>IF(U1759=0,"",IF(Y1759=1,MAX(0,Q1759-G1759),IF(L1759=1,MAX(0,R1759-G1759),MAX(0,Assumptions!$C$6-G1759))))</f>
        <v/>
      </c>
      <c r="AC1759">
        <f>IF(Y1759=1,Q1759-F1759,"")</f>
        <v/>
      </c>
      <c r="AD1759">
        <f>IF(Y1759=1,AC1759^2,"")</f>
        <v/>
      </c>
      <c r="AE1759" s="19">
        <f>IF(Z1759=1,(H1759-M1759)*I1759,0)</f>
        <v/>
      </c>
      <c r="AF1759">
        <f>IF(G1759&lt;EDATE(Assumptions!$C$6,-12)+1,"prior_12m","last_12m")</f>
        <v/>
      </c>
      <c r="AG1759" s="21">
        <f>DATE(YEAR(G1759),MONTH(G1759),1)</f>
        <v/>
      </c>
    </row>
    <row r="1760">
      <c r="A1760" t="inlineStr">
        <is>
          <t>SPO-00956-1</t>
        </is>
      </c>
      <c r="B1760" t="inlineStr">
        <is>
          <t>SPO-00956</t>
        </is>
      </c>
      <c r="C1760" t="inlineStr">
        <is>
          <t>SUP-09</t>
        </is>
      </c>
      <c r="D1760" t="inlineStr">
        <is>
          <t>CHEM</t>
        </is>
      </c>
      <c r="E1760" t="inlineStr">
        <is>
          <t>CHEM-06</t>
        </is>
      </c>
      <c r="F1760" s="17" t="n">
        <v>45832</v>
      </c>
      <c r="G1760" s="17" t="n">
        <v>45846</v>
      </c>
      <c r="H1760" s="18" t="n">
        <v>2</v>
      </c>
      <c r="I1760" s="19" t="n">
        <v>380.24</v>
      </c>
      <c r="J1760" s="19" t="n">
        <v>380</v>
      </c>
      <c r="K1760" s="20" t="n">
        <v>0</v>
      </c>
      <c r="L1760" s="20" t="n">
        <v>0</v>
      </c>
      <c r="M1760" s="18" t="n">
        <v>2</v>
      </c>
      <c r="N1760" s="18" t="n">
        <v>2</v>
      </c>
      <c r="O1760" s="18" t="n">
        <v>0</v>
      </c>
      <c r="P1760" s="17" t="n">
        <v>45844</v>
      </c>
      <c r="Q1760" s="17" t="n">
        <v>45844</v>
      </c>
      <c r="R1760" s="17" t="n">
        <v>45844</v>
      </c>
      <c r="S1760" s="19">
        <f>H1760*I1760</f>
        <v/>
      </c>
      <c r="T1760" s="19">
        <f>H1760*J1760</f>
        <v/>
      </c>
      <c r="U1760">
        <f>IF(AND(K1760=0,G1760&lt;=Assumptions!$C$6),1,0)</f>
        <v/>
      </c>
      <c r="V1760">
        <f>IF(U1760=1,IF(M1760&gt;0,IF(P1760&lt;=G1760+Assumptions!$C$7,1,0),0),0)</f>
        <v/>
      </c>
      <c r="W1760">
        <f>IF(AND(U1760=1,M1760&gt;=H1760*(1-Assumptions!$C$8)),1,0)</f>
        <v/>
      </c>
      <c r="X1760">
        <f>IF(AND(U1760=1,N1760&gt;=H1760*(1-Assumptions!$C$8)),1,0)</f>
        <v/>
      </c>
      <c r="Y1760">
        <f>IF(ISNUMBER(Q1760),1,0)</f>
        <v/>
      </c>
      <c r="Z1760">
        <f>IF(AND(K1760=0,L1760=0,Y1760=0),1,0)</f>
        <v/>
      </c>
      <c r="AA1760">
        <f>IF(AND(Z1760=1,G1760&lt;Assumptions!$C$6),1,0)</f>
        <v/>
      </c>
      <c r="AB1760">
        <f>IF(U1760=0,"",IF(Y1760=1,MAX(0,Q1760-G1760),IF(L1760=1,MAX(0,R1760-G1760),MAX(0,Assumptions!$C$6-G1760))))</f>
        <v/>
      </c>
      <c r="AC1760">
        <f>IF(Y1760=1,Q1760-F1760,"")</f>
        <v/>
      </c>
      <c r="AD1760">
        <f>IF(Y1760=1,AC1760^2,"")</f>
        <v/>
      </c>
      <c r="AE1760" s="19">
        <f>IF(Z1760=1,(H1760-M1760)*I1760,0)</f>
        <v/>
      </c>
      <c r="AF1760">
        <f>IF(G1760&lt;EDATE(Assumptions!$C$6,-12)+1,"prior_12m","last_12m")</f>
        <v/>
      </c>
      <c r="AG1760" s="21">
        <f>DATE(YEAR(G1760),MONTH(G1760),1)</f>
        <v/>
      </c>
    </row>
    <row r="1761">
      <c r="A1761" t="inlineStr">
        <is>
          <t>SPO-00957-1</t>
        </is>
      </c>
      <c r="B1761" t="inlineStr">
        <is>
          <t>SPO-00957</t>
        </is>
      </c>
      <c r="C1761" t="inlineStr">
        <is>
          <t>SUP-09</t>
        </is>
      </c>
      <c r="D1761" t="inlineStr">
        <is>
          <t>CHEM</t>
        </is>
      </c>
      <c r="E1761" t="inlineStr">
        <is>
          <t>CHEM-04</t>
        </is>
      </c>
      <c r="F1761" s="17" t="n">
        <v>45832</v>
      </c>
      <c r="G1761" s="17" t="n">
        <v>45846</v>
      </c>
      <c r="H1761" s="18" t="n">
        <v>2</v>
      </c>
      <c r="I1761" s="19" t="n">
        <v>834.13</v>
      </c>
      <c r="J1761" s="19" t="n">
        <v>820</v>
      </c>
      <c r="K1761" s="20" t="n">
        <v>0</v>
      </c>
      <c r="L1761" s="20" t="n">
        <v>0</v>
      </c>
      <c r="M1761" s="18" t="n">
        <v>2</v>
      </c>
      <c r="N1761" s="18" t="n">
        <v>2</v>
      </c>
      <c r="O1761" s="18" t="n">
        <v>0</v>
      </c>
      <c r="P1761" s="17" t="n">
        <v>45844</v>
      </c>
      <c r="Q1761" s="17" t="n">
        <v>45844</v>
      </c>
      <c r="R1761" s="17" t="n">
        <v>45844</v>
      </c>
      <c r="S1761" s="19">
        <f>H1761*I1761</f>
        <v/>
      </c>
      <c r="T1761" s="19">
        <f>H1761*J1761</f>
        <v/>
      </c>
      <c r="U1761">
        <f>IF(AND(K1761=0,G1761&lt;=Assumptions!$C$6),1,0)</f>
        <v/>
      </c>
      <c r="V1761">
        <f>IF(U1761=1,IF(M1761&gt;0,IF(P1761&lt;=G1761+Assumptions!$C$7,1,0),0),0)</f>
        <v/>
      </c>
      <c r="W1761">
        <f>IF(AND(U1761=1,M1761&gt;=H1761*(1-Assumptions!$C$8)),1,0)</f>
        <v/>
      </c>
      <c r="X1761">
        <f>IF(AND(U1761=1,N1761&gt;=H1761*(1-Assumptions!$C$8)),1,0)</f>
        <v/>
      </c>
      <c r="Y1761">
        <f>IF(ISNUMBER(Q1761),1,0)</f>
        <v/>
      </c>
      <c r="Z1761">
        <f>IF(AND(K1761=0,L1761=0,Y1761=0),1,0)</f>
        <v/>
      </c>
      <c r="AA1761">
        <f>IF(AND(Z1761=1,G1761&lt;Assumptions!$C$6),1,0)</f>
        <v/>
      </c>
      <c r="AB1761">
        <f>IF(U1761=0,"",IF(Y1761=1,MAX(0,Q1761-G1761),IF(L1761=1,MAX(0,R1761-G1761),MAX(0,Assumptions!$C$6-G1761))))</f>
        <v/>
      </c>
      <c r="AC1761">
        <f>IF(Y1761=1,Q1761-F1761,"")</f>
        <v/>
      </c>
      <c r="AD1761">
        <f>IF(Y1761=1,AC1761^2,"")</f>
        <v/>
      </c>
      <c r="AE1761" s="19">
        <f>IF(Z1761=1,(H1761-M1761)*I1761,0)</f>
        <v/>
      </c>
      <c r="AF1761">
        <f>IF(G1761&lt;EDATE(Assumptions!$C$6,-12)+1,"prior_12m","last_12m")</f>
        <v/>
      </c>
      <c r="AG1761" s="21">
        <f>DATE(YEAR(G1761),MONTH(G1761),1)</f>
        <v/>
      </c>
    </row>
    <row r="1762">
      <c r="A1762" t="inlineStr">
        <is>
          <t>SPO-00958-1</t>
        </is>
      </c>
      <c r="B1762" t="inlineStr">
        <is>
          <t>SPO-00958</t>
        </is>
      </c>
      <c r="C1762" t="inlineStr">
        <is>
          <t>SUP-01</t>
        </is>
      </c>
      <c r="D1762" t="inlineStr">
        <is>
          <t>ELEC</t>
        </is>
      </c>
      <c r="E1762" t="inlineStr">
        <is>
          <t>ELEC-06</t>
        </is>
      </c>
      <c r="F1762" s="17" t="n">
        <v>45833</v>
      </c>
      <c r="G1762" s="17" t="n">
        <v>45851</v>
      </c>
      <c r="H1762" s="18" t="n">
        <v>39</v>
      </c>
      <c r="I1762" s="19" t="n">
        <v>147.66</v>
      </c>
      <c r="J1762" s="19" t="n">
        <v>145</v>
      </c>
      <c r="K1762" s="20" t="n">
        <v>0</v>
      </c>
      <c r="L1762" s="20" t="n">
        <v>0</v>
      </c>
      <c r="M1762" s="18" t="n">
        <v>39</v>
      </c>
      <c r="N1762" s="18" t="n">
        <v>39</v>
      </c>
      <c r="O1762" s="18" t="n">
        <v>0</v>
      </c>
      <c r="P1762" s="17" t="n">
        <v>45849</v>
      </c>
      <c r="Q1762" s="17" t="n">
        <v>45849</v>
      </c>
      <c r="R1762" s="17" t="n">
        <v>45849</v>
      </c>
      <c r="S1762" s="19">
        <f>H1762*I1762</f>
        <v/>
      </c>
      <c r="T1762" s="19">
        <f>H1762*J1762</f>
        <v/>
      </c>
      <c r="U1762">
        <f>IF(AND(K1762=0,G1762&lt;=Assumptions!$C$6),1,0)</f>
        <v/>
      </c>
      <c r="V1762">
        <f>IF(U1762=1,IF(M1762&gt;0,IF(P1762&lt;=G1762+Assumptions!$C$7,1,0),0),0)</f>
        <v/>
      </c>
      <c r="W1762">
        <f>IF(AND(U1762=1,M1762&gt;=H1762*(1-Assumptions!$C$8)),1,0)</f>
        <v/>
      </c>
      <c r="X1762">
        <f>IF(AND(U1762=1,N1762&gt;=H1762*(1-Assumptions!$C$8)),1,0)</f>
        <v/>
      </c>
      <c r="Y1762">
        <f>IF(ISNUMBER(Q1762),1,0)</f>
        <v/>
      </c>
      <c r="Z1762">
        <f>IF(AND(K1762=0,L1762=0,Y1762=0),1,0)</f>
        <v/>
      </c>
      <c r="AA1762">
        <f>IF(AND(Z1762=1,G1762&lt;Assumptions!$C$6),1,0)</f>
        <v/>
      </c>
      <c r="AB1762">
        <f>IF(U1762=0,"",IF(Y1762=1,MAX(0,Q1762-G1762),IF(L1762=1,MAX(0,R1762-G1762),MAX(0,Assumptions!$C$6-G1762))))</f>
        <v/>
      </c>
      <c r="AC1762">
        <f>IF(Y1762=1,Q1762-F1762,"")</f>
        <v/>
      </c>
      <c r="AD1762">
        <f>IF(Y1762=1,AC1762^2,"")</f>
        <v/>
      </c>
      <c r="AE1762" s="19">
        <f>IF(Z1762=1,(H1762-M1762)*I1762,0)</f>
        <v/>
      </c>
      <c r="AF1762">
        <f>IF(G1762&lt;EDATE(Assumptions!$C$6,-12)+1,"prior_12m","last_12m")</f>
        <v/>
      </c>
      <c r="AG1762" s="21">
        <f>DATE(YEAR(G1762),MONTH(G1762),1)</f>
        <v/>
      </c>
    </row>
    <row r="1763">
      <c r="A1763" t="inlineStr">
        <is>
          <t>SPO-00959-1</t>
        </is>
      </c>
      <c r="B1763" t="inlineStr">
        <is>
          <t>SPO-00959</t>
        </is>
      </c>
      <c r="C1763" t="inlineStr">
        <is>
          <t>SUP-06</t>
        </is>
      </c>
      <c r="D1763" t="inlineStr">
        <is>
          <t>MRO</t>
        </is>
      </c>
      <c r="E1763" t="inlineStr">
        <is>
          <t>MRO-04</t>
        </is>
      </c>
      <c r="F1763" s="17" t="n">
        <v>45833</v>
      </c>
      <c r="G1763" s="17" t="n">
        <v>45841</v>
      </c>
      <c r="H1763" s="18" t="n">
        <v>22</v>
      </c>
      <c r="I1763" s="19" t="n">
        <v>55.04</v>
      </c>
      <c r="J1763" s="19" t="n">
        <v>58</v>
      </c>
      <c r="K1763" s="20" t="n">
        <v>0</v>
      </c>
      <c r="L1763" s="20" t="n">
        <v>0</v>
      </c>
      <c r="M1763" s="18" t="n">
        <v>22</v>
      </c>
      <c r="N1763" s="18" t="n">
        <v>22</v>
      </c>
      <c r="O1763" s="18" t="n">
        <v>0</v>
      </c>
      <c r="P1763" s="17" t="n">
        <v>45838</v>
      </c>
      <c r="Q1763" s="17" t="n">
        <v>45838</v>
      </c>
      <c r="R1763" s="17" t="n">
        <v>45838</v>
      </c>
      <c r="S1763" s="19">
        <f>H1763*I1763</f>
        <v/>
      </c>
      <c r="T1763" s="19">
        <f>H1763*J1763</f>
        <v/>
      </c>
      <c r="U1763">
        <f>IF(AND(K1763=0,G1763&lt;=Assumptions!$C$6),1,0)</f>
        <v/>
      </c>
      <c r="V1763">
        <f>IF(U1763=1,IF(M1763&gt;0,IF(P1763&lt;=G1763+Assumptions!$C$7,1,0),0),0)</f>
        <v/>
      </c>
      <c r="W1763">
        <f>IF(AND(U1763=1,M1763&gt;=H1763*(1-Assumptions!$C$8)),1,0)</f>
        <v/>
      </c>
      <c r="X1763">
        <f>IF(AND(U1763=1,N1763&gt;=H1763*(1-Assumptions!$C$8)),1,0)</f>
        <v/>
      </c>
      <c r="Y1763">
        <f>IF(ISNUMBER(Q1763),1,0)</f>
        <v/>
      </c>
      <c r="Z1763">
        <f>IF(AND(K1763=0,L1763=0,Y1763=0),1,0)</f>
        <v/>
      </c>
      <c r="AA1763">
        <f>IF(AND(Z1763=1,G1763&lt;Assumptions!$C$6),1,0)</f>
        <v/>
      </c>
      <c r="AB1763">
        <f>IF(U1763=0,"",IF(Y1763=1,MAX(0,Q1763-G1763),IF(L1763=1,MAX(0,R1763-G1763),MAX(0,Assumptions!$C$6-G1763))))</f>
        <v/>
      </c>
      <c r="AC1763">
        <f>IF(Y1763=1,Q1763-F1763,"")</f>
        <v/>
      </c>
      <c r="AD1763">
        <f>IF(Y1763=1,AC1763^2,"")</f>
        <v/>
      </c>
      <c r="AE1763" s="19">
        <f>IF(Z1763=1,(H1763-M1763)*I1763,0)</f>
        <v/>
      </c>
      <c r="AF1763">
        <f>IF(G1763&lt;EDATE(Assumptions!$C$6,-12)+1,"prior_12m","last_12m")</f>
        <v/>
      </c>
      <c r="AG1763" s="21">
        <f>DATE(YEAR(G1763),MONTH(G1763),1)</f>
        <v/>
      </c>
    </row>
    <row r="1764">
      <c r="A1764" t="inlineStr">
        <is>
          <t>SPO-00960-1</t>
        </is>
      </c>
      <c r="B1764" t="inlineStr">
        <is>
          <t>SPO-00960</t>
        </is>
      </c>
      <c r="C1764" t="inlineStr">
        <is>
          <t>SUP-11</t>
        </is>
      </c>
      <c r="D1764" t="inlineStr">
        <is>
          <t>PPE</t>
        </is>
      </c>
      <c r="E1764" t="inlineStr">
        <is>
          <t>PPE-02</t>
        </is>
      </c>
      <c r="F1764" s="17" t="n">
        <v>45833</v>
      </c>
      <c r="G1764" s="17" t="n">
        <v>45845</v>
      </c>
      <c r="H1764" s="18" t="n">
        <v>124</v>
      </c>
      <c r="I1764" s="19" t="n">
        <v>12.14</v>
      </c>
      <c r="J1764" s="19" t="n">
        <v>12.5</v>
      </c>
      <c r="K1764" s="20" t="n">
        <v>0</v>
      </c>
      <c r="L1764" s="20" t="n">
        <v>0</v>
      </c>
      <c r="M1764" s="18" t="n">
        <v>124</v>
      </c>
      <c r="N1764" s="18" t="n">
        <v>124</v>
      </c>
      <c r="O1764" s="18" t="n">
        <v>0</v>
      </c>
      <c r="P1764" s="17" t="n">
        <v>45842</v>
      </c>
      <c r="Q1764" s="17" t="n">
        <v>45842</v>
      </c>
      <c r="R1764" s="17" t="n">
        <v>45842</v>
      </c>
      <c r="S1764" s="19">
        <f>H1764*I1764</f>
        <v/>
      </c>
      <c r="T1764" s="19">
        <f>H1764*J1764</f>
        <v/>
      </c>
      <c r="U1764">
        <f>IF(AND(K1764=0,G1764&lt;=Assumptions!$C$6),1,0)</f>
        <v/>
      </c>
      <c r="V1764">
        <f>IF(U1764=1,IF(M1764&gt;0,IF(P1764&lt;=G1764+Assumptions!$C$7,1,0),0),0)</f>
        <v/>
      </c>
      <c r="W1764">
        <f>IF(AND(U1764=1,M1764&gt;=H1764*(1-Assumptions!$C$8)),1,0)</f>
        <v/>
      </c>
      <c r="X1764">
        <f>IF(AND(U1764=1,N1764&gt;=H1764*(1-Assumptions!$C$8)),1,0)</f>
        <v/>
      </c>
      <c r="Y1764">
        <f>IF(ISNUMBER(Q1764),1,0)</f>
        <v/>
      </c>
      <c r="Z1764">
        <f>IF(AND(K1764=0,L1764=0,Y1764=0),1,0)</f>
        <v/>
      </c>
      <c r="AA1764">
        <f>IF(AND(Z1764=1,G1764&lt;Assumptions!$C$6),1,0)</f>
        <v/>
      </c>
      <c r="AB1764">
        <f>IF(U1764=0,"",IF(Y1764=1,MAX(0,Q1764-G1764),IF(L1764=1,MAX(0,R1764-G1764),MAX(0,Assumptions!$C$6-G1764))))</f>
        <v/>
      </c>
      <c r="AC1764">
        <f>IF(Y1764=1,Q1764-F1764,"")</f>
        <v/>
      </c>
      <c r="AD1764">
        <f>IF(Y1764=1,AC1764^2,"")</f>
        <v/>
      </c>
      <c r="AE1764" s="19">
        <f>IF(Z1764=1,(H1764-M1764)*I1764,0)</f>
        <v/>
      </c>
      <c r="AF1764">
        <f>IF(G1764&lt;EDATE(Assumptions!$C$6,-12)+1,"prior_12m","last_12m")</f>
        <v/>
      </c>
      <c r="AG1764" s="21">
        <f>DATE(YEAR(G1764),MONTH(G1764),1)</f>
        <v/>
      </c>
    </row>
    <row r="1765">
      <c r="A1765" t="inlineStr">
        <is>
          <t>SPO-00961-1</t>
        </is>
      </c>
      <c r="B1765" t="inlineStr">
        <is>
          <t>SPO-00961</t>
        </is>
      </c>
      <c r="C1765" t="inlineStr">
        <is>
          <t>SUP-11</t>
        </is>
      </c>
      <c r="D1765" t="inlineStr">
        <is>
          <t>PPE</t>
        </is>
      </c>
      <c r="E1765" t="inlineStr">
        <is>
          <t>PPE-02</t>
        </is>
      </c>
      <c r="F1765" s="17" t="n">
        <v>45833</v>
      </c>
      <c r="G1765" s="17" t="n">
        <v>45845</v>
      </c>
      <c r="H1765" s="18" t="n">
        <v>366</v>
      </c>
      <c r="I1765" s="19" t="n">
        <v>13.25</v>
      </c>
      <c r="J1765" s="19" t="n">
        <v>12.5</v>
      </c>
      <c r="K1765" s="20" t="n">
        <v>1</v>
      </c>
      <c r="L1765" s="20" t="n">
        <v>0</v>
      </c>
      <c r="M1765" s="18" t="n">
        <v>0</v>
      </c>
      <c r="N1765" s="18" t="n">
        <v>0</v>
      </c>
      <c r="O1765" s="18" t="n">
        <v>0</v>
      </c>
      <c r="P1765" s="17" t="n"/>
      <c r="Q1765" s="17" t="n"/>
      <c r="R1765" s="17" t="n"/>
      <c r="S1765" s="19">
        <f>H1765*I1765</f>
        <v/>
      </c>
      <c r="T1765" s="19">
        <f>H1765*J1765</f>
        <v/>
      </c>
      <c r="U1765">
        <f>IF(AND(K1765=0,G1765&lt;=Assumptions!$C$6),1,0)</f>
        <v/>
      </c>
      <c r="V1765">
        <f>IF(U1765=1,IF(M1765&gt;0,IF(P1765&lt;=G1765+Assumptions!$C$7,1,0),0),0)</f>
        <v/>
      </c>
      <c r="W1765">
        <f>IF(AND(U1765=1,M1765&gt;=H1765*(1-Assumptions!$C$8)),1,0)</f>
        <v/>
      </c>
      <c r="X1765">
        <f>IF(AND(U1765=1,N1765&gt;=H1765*(1-Assumptions!$C$8)),1,0)</f>
        <v/>
      </c>
      <c r="Y1765">
        <f>IF(ISNUMBER(Q1765),1,0)</f>
        <v/>
      </c>
      <c r="Z1765">
        <f>IF(AND(K1765=0,L1765=0,Y1765=0),1,0)</f>
        <v/>
      </c>
      <c r="AA1765">
        <f>IF(AND(Z1765=1,G1765&lt;Assumptions!$C$6),1,0)</f>
        <v/>
      </c>
      <c r="AB1765">
        <f>IF(U1765=0,"",IF(Y1765=1,MAX(0,Q1765-G1765),IF(L1765=1,MAX(0,R1765-G1765),MAX(0,Assumptions!$C$6-G1765))))</f>
        <v/>
      </c>
      <c r="AC1765">
        <f>IF(Y1765=1,Q1765-F1765,"")</f>
        <v/>
      </c>
      <c r="AD1765">
        <f>IF(Y1765=1,AC1765^2,"")</f>
        <v/>
      </c>
      <c r="AE1765" s="19">
        <f>IF(Z1765=1,(H1765-M1765)*I1765,0)</f>
        <v/>
      </c>
      <c r="AF1765">
        <f>IF(G1765&lt;EDATE(Assumptions!$C$6,-12)+1,"prior_12m","last_12m")</f>
        <v/>
      </c>
      <c r="AG1765" s="21">
        <f>DATE(YEAR(G1765),MONTH(G1765),1)</f>
        <v/>
      </c>
    </row>
    <row r="1766">
      <c r="A1766" t="inlineStr">
        <is>
          <t>SPO-00961-2</t>
        </is>
      </c>
      <c r="B1766" t="inlineStr">
        <is>
          <t>SPO-00961</t>
        </is>
      </c>
      <c r="C1766" t="inlineStr">
        <is>
          <t>SUP-11</t>
        </is>
      </c>
      <c r="D1766" t="inlineStr">
        <is>
          <t>PPE</t>
        </is>
      </c>
      <c r="E1766" t="inlineStr">
        <is>
          <t>PPE-08</t>
        </is>
      </c>
      <c r="F1766" s="17" t="n">
        <v>45833</v>
      </c>
      <c r="G1766" s="17" t="n">
        <v>45845</v>
      </c>
      <c r="H1766" s="18" t="n">
        <v>15</v>
      </c>
      <c r="I1766" s="19" t="n">
        <v>65.77</v>
      </c>
      <c r="J1766" s="19" t="n">
        <v>64</v>
      </c>
      <c r="K1766" s="20" t="n">
        <v>0</v>
      </c>
      <c r="L1766" s="20" t="n">
        <v>0</v>
      </c>
      <c r="M1766" s="18" t="n">
        <v>15</v>
      </c>
      <c r="N1766" s="18" t="n">
        <v>15</v>
      </c>
      <c r="O1766" s="18" t="n">
        <v>0</v>
      </c>
      <c r="P1766" s="17" t="n">
        <v>45845</v>
      </c>
      <c r="Q1766" s="17" t="n">
        <v>45845</v>
      </c>
      <c r="R1766" s="17" t="n">
        <v>45845</v>
      </c>
      <c r="S1766" s="19">
        <f>H1766*I1766</f>
        <v/>
      </c>
      <c r="T1766" s="19">
        <f>H1766*J1766</f>
        <v/>
      </c>
      <c r="U1766">
        <f>IF(AND(K1766=0,G1766&lt;=Assumptions!$C$6),1,0)</f>
        <v/>
      </c>
      <c r="V1766">
        <f>IF(U1766=1,IF(M1766&gt;0,IF(P1766&lt;=G1766+Assumptions!$C$7,1,0),0),0)</f>
        <v/>
      </c>
      <c r="W1766">
        <f>IF(AND(U1766=1,M1766&gt;=H1766*(1-Assumptions!$C$8)),1,0)</f>
        <v/>
      </c>
      <c r="X1766">
        <f>IF(AND(U1766=1,N1766&gt;=H1766*(1-Assumptions!$C$8)),1,0)</f>
        <v/>
      </c>
      <c r="Y1766">
        <f>IF(ISNUMBER(Q1766),1,0)</f>
        <v/>
      </c>
      <c r="Z1766">
        <f>IF(AND(K1766=0,L1766=0,Y1766=0),1,0)</f>
        <v/>
      </c>
      <c r="AA1766">
        <f>IF(AND(Z1766=1,G1766&lt;Assumptions!$C$6),1,0)</f>
        <v/>
      </c>
      <c r="AB1766">
        <f>IF(U1766=0,"",IF(Y1766=1,MAX(0,Q1766-G1766),IF(L1766=1,MAX(0,R1766-G1766),MAX(0,Assumptions!$C$6-G1766))))</f>
        <v/>
      </c>
      <c r="AC1766">
        <f>IF(Y1766=1,Q1766-F1766,"")</f>
        <v/>
      </c>
      <c r="AD1766">
        <f>IF(Y1766=1,AC1766^2,"")</f>
        <v/>
      </c>
      <c r="AE1766" s="19">
        <f>IF(Z1766=1,(H1766-M1766)*I1766,0)</f>
        <v/>
      </c>
      <c r="AF1766">
        <f>IF(G1766&lt;EDATE(Assumptions!$C$6,-12)+1,"prior_12m","last_12m")</f>
        <v/>
      </c>
      <c r="AG1766" s="21">
        <f>DATE(YEAR(G1766),MONTH(G1766),1)</f>
        <v/>
      </c>
    </row>
    <row r="1767">
      <c r="A1767" t="inlineStr">
        <is>
          <t>SPO-00961-3</t>
        </is>
      </c>
      <c r="B1767" t="inlineStr">
        <is>
          <t>SPO-00961</t>
        </is>
      </c>
      <c r="C1767" t="inlineStr">
        <is>
          <t>SUP-11</t>
        </is>
      </c>
      <c r="D1767" t="inlineStr">
        <is>
          <t>PPE</t>
        </is>
      </c>
      <c r="E1767" t="inlineStr">
        <is>
          <t>PPE-06</t>
        </is>
      </c>
      <c r="F1767" s="17" t="n">
        <v>45833</v>
      </c>
      <c r="G1767" s="17" t="n">
        <v>45845</v>
      </c>
      <c r="H1767" s="18" t="n">
        <v>20</v>
      </c>
      <c r="I1767" s="19" t="n">
        <v>116.77</v>
      </c>
      <c r="J1767" s="19" t="n">
        <v>115</v>
      </c>
      <c r="K1767" s="20" t="n">
        <v>0</v>
      </c>
      <c r="L1767" s="20" t="n">
        <v>0</v>
      </c>
      <c r="M1767" s="18" t="n">
        <v>20</v>
      </c>
      <c r="N1767" s="18" t="n">
        <v>20</v>
      </c>
      <c r="O1767" s="18" t="n">
        <v>0</v>
      </c>
      <c r="P1767" s="17" t="n">
        <v>45843</v>
      </c>
      <c r="Q1767" s="17" t="n">
        <v>45843</v>
      </c>
      <c r="R1767" s="17" t="n">
        <v>45843</v>
      </c>
      <c r="S1767" s="19">
        <f>H1767*I1767</f>
        <v/>
      </c>
      <c r="T1767" s="19">
        <f>H1767*J1767</f>
        <v/>
      </c>
      <c r="U1767">
        <f>IF(AND(K1767=0,G1767&lt;=Assumptions!$C$6),1,0)</f>
        <v/>
      </c>
      <c r="V1767">
        <f>IF(U1767=1,IF(M1767&gt;0,IF(P1767&lt;=G1767+Assumptions!$C$7,1,0),0),0)</f>
        <v/>
      </c>
      <c r="W1767">
        <f>IF(AND(U1767=1,M1767&gt;=H1767*(1-Assumptions!$C$8)),1,0)</f>
        <v/>
      </c>
      <c r="X1767">
        <f>IF(AND(U1767=1,N1767&gt;=H1767*(1-Assumptions!$C$8)),1,0)</f>
        <v/>
      </c>
      <c r="Y1767">
        <f>IF(ISNUMBER(Q1767),1,0)</f>
        <v/>
      </c>
      <c r="Z1767">
        <f>IF(AND(K1767=0,L1767=0,Y1767=0),1,0)</f>
        <v/>
      </c>
      <c r="AA1767">
        <f>IF(AND(Z1767=1,G1767&lt;Assumptions!$C$6),1,0)</f>
        <v/>
      </c>
      <c r="AB1767">
        <f>IF(U1767=0,"",IF(Y1767=1,MAX(0,Q1767-G1767),IF(L1767=1,MAX(0,R1767-G1767),MAX(0,Assumptions!$C$6-G1767))))</f>
        <v/>
      </c>
      <c r="AC1767">
        <f>IF(Y1767=1,Q1767-F1767,"")</f>
        <v/>
      </c>
      <c r="AD1767">
        <f>IF(Y1767=1,AC1767^2,"")</f>
        <v/>
      </c>
      <c r="AE1767" s="19">
        <f>IF(Z1767=1,(H1767-M1767)*I1767,0)</f>
        <v/>
      </c>
      <c r="AF1767">
        <f>IF(G1767&lt;EDATE(Assumptions!$C$6,-12)+1,"prior_12m","last_12m")</f>
        <v/>
      </c>
      <c r="AG1767" s="21">
        <f>DATE(YEAR(G1767),MONTH(G1767),1)</f>
        <v/>
      </c>
    </row>
    <row r="1768">
      <c r="A1768" t="inlineStr">
        <is>
          <t>SPO-00961-4</t>
        </is>
      </c>
      <c r="B1768" t="inlineStr">
        <is>
          <t>SPO-00961</t>
        </is>
      </c>
      <c r="C1768" t="inlineStr">
        <is>
          <t>SUP-11</t>
        </is>
      </c>
      <c r="D1768" t="inlineStr">
        <is>
          <t>PPE</t>
        </is>
      </c>
      <c r="E1768" t="inlineStr">
        <is>
          <t>PPE-04</t>
        </is>
      </c>
      <c r="F1768" s="17" t="n">
        <v>45833</v>
      </c>
      <c r="G1768" s="17" t="n">
        <v>45845</v>
      </c>
      <c r="H1768" s="18" t="n">
        <v>79</v>
      </c>
      <c r="I1768" s="19" t="n">
        <v>26.4</v>
      </c>
      <c r="J1768" s="19" t="n">
        <v>26</v>
      </c>
      <c r="K1768" s="20" t="n">
        <v>0</v>
      </c>
      <c r="L1768" s="20" t="n">
        <v>0</v>
      </c>
      <c r="M1768" s="18" t="n">
        <v>79</v>
      </c>
      <c r="N1768" s="18" t="n">
        <v>79</v>
      </c>
      <c r="O1768" s="18" t="n">
        <v>0</v>
      </c>
      <c r="P1768" s="17" t="n">
        <v>45843</v>
      </c>
      <c r="Q1768" s="17" t="n">
        <v>45843</v>
      </c>
      <c r="R1768" s="17" t="n">
        <v>45843</v>
      </c>
      <c r="S1768" s="19">
        <f>H1768*I1768</f>
        <v/>
      </c>
      <c r="T1768" s="19">
        <f>H1768*J1768</f>
        <v/>
      </c>
      <c r="U1768">
        <f>IF(AND(K1768=0,G1768&lt;=Assumptions!$C$6),1,0)</f>
        <v/>
      </c>
      <c r="V1768">
        <f>IF(U1768=1,IF(M1768&gt;0,IF(P1768&lt;=G1768+Assumptions!$C$7,1,0),0),0)</f>
        <v/>
      </c>
      <c r="W1768">
        <f>IF(AND(U1768=1,M1768&gt;=H1768*(1-Assumptions!$C$8)),1,0)</f>
        <v/>
      </c>
      <c r="X1768">
        <f>IF(AND(U1768=1,N1768&gt;=H1768*(1-Assumptions!$C$8)),1,0)</f>
        <v/>
      </c>
      <c r="Y1768">
        <f>IF(ISNUMBER(Q1768),1,0)</f>
        <v/>
      </c>
      <c r="Z1768">
        <f>IF(AND(K1768=0,L1768=0,Y1768=0),1,0)</f>
        <v/>
      </c>
      <c r="AA1768">
        <f>IF(AND(Z1768=1,G1768&lt;Assumptions!$C$6),1,0)</f>
        <v/>
      </c>
      <c r="AB1768">
        <f>IF(U1768=0,"",IF(Y1768=1,MAX(0,Q1768-G1768),IF(L1768=1,MAX(0,R1768-G1768),MAX(0,Assumptions!$C$6-G1768))))</f>
        <v/>
      </c>
      <c r="AC1768">
        <f>IF(Y1768=1,Q1768-F1768,"")</f>
        <v/>
      </c>
      <c r="AD1768">
        <f>IF(Y1768=1,AC1768^2,"")</f>
        <v/>
      </c>
      <c r="AE1768" s="19">
        <f>IF(Z1768=1,(H1768-M1768)*I1768,0)</f>
        <v/>
      </c>
      <c r="AF1768">
        <f>IF(G1768&lt;EDATE(Assumptions!$C$6,-12)+1,"prior_12m","last_12m")</f>
        <v/>
      </c>
      <c r="AG1768" s="21">
        <f>DATE(YEAR(G1768),MONTH(G1768),1)</f>
        <v/>
      </c>
    </row>
    <row r="1769">
      <c r="A1769" t="inlineStr">
        <is>
          <t>SPO-00962-1</t>
        </is>
      </c>
      <c r="B1769" t="inlineStr">
        <is>
          <t>SPO-00962</t>
        </is>
      </c>
      <c r="C1769" t="inlineStr">
        <is>
          <t>SUP-09</t>
        </is>
      </c>
      <c r="D1769" t="inlineStr">
        <is>
          <t>CHEM</t>
        </is>
      </c>
      <c r="E1769" t="inlineStr">
        <is>
          <t>CHEM-02</t>
        </is>
      </c>
      <c r="F1769" s="17" t="n">
        <v>45834</v>
      </c>
      <c r="G1769" s="17" t="n">
        <v>45848</v>
      </c>
      <c r="H1769" s="18" t="n">
        <v>5</v>
      </c>
      <c r="I1769" s="19" t="n">
        <v>419.23</v>
      </c>
      <c r="J1769" s="19" t="n">
        <v>410</v>
      </c>
      <c r="K1769" s="20" t="n">
        <v>0</v>
      </c>
      <c r="L1769" s="20" t="n">
        <v>0</v>
      </c>
      <c r="M1769" s="18" t="n">
        <v>5</v>
      </c>
      <c r="N1769" s="18" t="n">
        <v>5</v>
      </c>
      <c r="O1769" s="18" t="n">
        <v>0</v>
      </c>
      <c r="P1769" s="17" t="n">
        <v>45848</v>
      </c>
      <c r="Q1769" s="17" t="n">
        <v>45848</v>
      </c>
      <c r="R1769" s="17" t="n">
        <v>45848</v>
      </c>
      <c r="S1769" s="19">
        <f>H1769*I1769</f>
        <v/>
      </c>
      <c r="T1769" s="19">
        <f>H1769*J1769</f>
        <v/>
      </c>
      <c r="U1769">
        <f>IF(AND(K1769=0,G1769&lt;=Assumptions!$C$6),1,0)</f>
        <v/>
      </c>
      <c r="V1769">
        <f>IF(U1769=1,IF(M1769&gt;0,IF(P1769&lt;=G1769+Assumptions!$C$7,1,0),0),0)</f>
        <v/>
      </c>
      <c r="W1769">
        <f>IF(AND(U1769=1,M1769&gt;=H1769*(1-Assumptions!$C$8)),1,0)</f>
        <v/>
      </c>
      <c r="X1769">
        <f>IF(AND(U1769=1,N1769&gt;=H1769*(1-Assumptions!$C$8)),1,0)</f>
        <v/>
      </c>
      <c r="Y1769">
        <f>IF(ISNUMBER(Q1769),1,0)</f>
        <v/>
      </c>
      <c r="Z1769">
        <f>IF(AND(K1769=0,L1769=0,Y1769=0),1,0)</f>
        <v/>
      </c>
      <c r="AA1769">
        <f>IF(AND(Z1769=1,G1769&lt;Assumptions!$C$6),1,0)</f>
        <v/>
      </c>
      <c r="AB1769">
        <f>IF(U1769=0,"",IF(Y1769=1,MAX(0,Q1769-G1769),IF(L1769=1,MAX(0,R1769-G1769),MAX(0,Assumptions!$C$6-G1769))))</f>
        <v/>
      </c>
      <c r="AC1769">
        <f>IF(Y1769=1,Q1769-F1769,"")</f>
        <v/>
      </c>
      <c r="AD1769">
        <f>IF(Y1769=1,AC1769^2,"")</f>
        <v/>
      </c>
      <c r="AE1769" s="19">
        <f>IF(Z1769=1,(H1769-M1769)*I1769,0)</f>
        <v/>
      </c>
      <c r="AF1769">
        <f>IF(G1769&lt;EDATE(Assumptions!$C$6,-12)+1,"prior_12m","last_12m")</f>
        <v/>
      </c>
      <c r="AG1769" s="21">
        <f>DATE(YEAR(G1769),MONTH(G1769),1)</f>
        <v/>
      </c>
    </row>
    <row r="1770">
      <c r="A1770" t="inlineStr">
        <is>
          <t>SPO-00963-1</t>
        </is>
      </c>
      <c r="B1770" t="inlineStr">
        <is>
          <t>SPO-00963</t>
        </is>
      </c>
      <c r="C1770" t="inlineStr">
        <is>
          <t>SUP-05</t>
        </is>
      </c>
      <c r="D1770" t="inlineStr">
        <is>
          <t>FLEET</t>
        </is>
      </c>
      <c r="E1770" t="inlineStr">
        <is>
          <t>FLEET-01</t>
        </is>
      </c>
      <c r="F1770" s="17" t="n">
        <v>45836</v>
      </c>
      <c r="G1770" s="17" t="n">
        <v>45850</v>
      </c>
      <c r="H1770" s="18" t="n">
        <v>19</v>
      </c>
      <c r="I1770" s="19" t="n">
        <v>66.42</v>
      </c>
      <c r="J1770" s="19" t="n">
        <v>64</v>
      </c>
      <c r="K1770" s="20" t="n">
        <v>0</v>
      </c>
      <c r="L1770" s="20" t="n">
        <v>0</v>
      </c>
      <c r="M1770" s="18" t="n">
        <v>19</v>
      </c>
      <c r="N1770" s="18" t="n">
        <v>19</v>
      </c>
      <c r="O1770" s="18" t="n">
        <v>0</v>
      </c>
      <c r="P1770" s="17" t="n">
        <v>45843</v>
      </c>
      <c r="Q1770" s="17" t="n">
        <v>45843</v>
      </c>
      <c r="R1770" s="17" t="n">
        <v>45843</v>
      </c>
      <c r="S1770" s="19">
        <f>H1770*I1770</f>
        <v/>
      </c>
      <c r="T1770" s="19">
        <f>H1770*J1770</f>
        <v/>
      </c>
      <c r="U1770">
        <f>IF(AND(K1770=0,G1770&lt;=Assumptions!$C$6),1,0)</f>
        <v/>
      </c>
      <c r="V1770">
        <f>IF(U1770=1,IF(M1770&gt;0,IF(P1770&lt;=G1770+Assumptions!$C$7,1,0),0),0)</f>
        <v/>
      </c>
      <c r="W1770">
        <f>IF(AND(U1770=1,M1770&gt;=H1770*(1-Assumptions!$C$8)),1,0)</f>
        <v/>
      </c>
      <c r="X1770">
        <f>IF(AND(U1770=1,N1770&gt;=H1770*(1-Assumptions!$C$8)),1,0)</f>
        <v/>
      </c>
      <c r="Y1770">
        <f>IF(ISNUMBER(Q1770),1,0)</f>
        <v/>
      </c>
      <c r="Z1770">
        <f>IF(AND(K1770=0,L1770=0,Y1770=0),1,0)</f>
        <v/>
      </c>
      <c r="AA1770">
        <f>IF(AND(Z1770=1,G1770&lt;Assumptions!$C$6),1,0)</f>
        <v/>
      </c>
      <c r="AB1770">
        <f>IF(U1770=0,"",IF(Y1770=1,MAX(0,Q1770-G1770),IF(L1770=1,MAX(0,R1770-G1770),MAX(0,Assumptions!$C$6-G1770))))</f>
        <v/>
      </c>
      <c r="AC1770">
        <f>IF(Y1770=1,Q1770-F1770,"")</f>
        <v/>
      </c>
      <c r="AD1770">
        <f>IF(Y1770=1,AC1770^2,"")</f>
        <v/>
      </c>
      <c r="AE1770" s="19">
        <f>IF(Z1770=1,(H1770-M1770)*I1770,0)</f>
        <v/>
      </c>
      <c r="AF1770">
        <f>IF(G1770&lt;EDATE(Assumptions!$C$6,-12)+1,"prior_12m","last_12m")</f>
        <v/>
      </c>
      <c r="AG1770" s="21">
        <f>DATE(YEAR(G1770),MONTH(G1770),1)</f>
        <v/>
      </c>
    </row>
    <row r="1771">
      <c r="A1771" t="inlineStr">
        <is>
          <t>SPO-00964-1</t>
        </is>
      </c>
      <c r="B1771" t="inlineStr">
        <is>
          <t>SPO-00964</t>
        </is>
      </c>
      <c r="C1771" t="inlineStr">
        <is>
          <t>SUP-04</t>
        </is>
      </c>
      <c r="D1771" t="inlineStr">
        <is>
          <t>FLEET</t>
        </is>
      </c>
      <c r="E1771" t="inlineStr">
        <is>
          <t>FLEET-04</t>
        </is>
      </c>
      <c r="F1771" s="17" t="n">
        <v>45836</v>
      </c>
      <c r="G1771" s="17" t="n">
        <v>45849</v>
      </c>
      <c r="H1771" s="18" t="n">
        <v>121</v>
      </c>
      <c r="I1771" s="19" t="n">
        <v>9.4</v>
      </c>
      <c r="J1771" s="19" t="n">
        <v>9</v>
      </c>
      <c r="K1771" s="20" t="n">
        <v>0</v>
      </c>
      <c r="L1771" s="20" t="n">
        <v>0</v>
      </c>
      <c r="M1771" s="18" t="n">
        <v>121</v>
      </c>
      <c r="N1771" s="18" t="n">
        <v>121</v>
      </c>
      <c r="O1771" s="18" t="n">
        <v>0</v>
      </c>
      <c r="P1771" s="17" t="n">
        <v>45844</v>
      </c>
      <c r="Q1771" s="17" t="n">
        <v>45844</v>
      </c>
      <c r="R1771" s="17" t="n">
        <v>45844</v>
      </c>
      <c r="S1771" s="19">
        <f>H1771*I1771</f>
        <v/>
      </c>
      <c r="T1771" s="19">
        <f>H1771*J1771</f>
        <v/>
      </c>
      <c r="U1771">
        <f>IF(AND(K1771=0,G1771&lt;=Assumptions!$C$6),1,0)</f>
        <v/>
      </c>
      <c r="V1771">
        <f>IF(U1771=1,IF(M1771&gt;0,IF(P1771&lt;=G1771+Assumptions!$C$7,1,0),0),0)</f>
        <v/>
      </c>
      <c r="W1771">
        <f>IF(AND(U1771=1,M1771&gt;=H1771*(1-Assumptions!$C$8)),1,0)</f>
        <v/>
      </c>
      <c r="X1771">
        <f>IF(AND(U1771=1,N1771&gt;=H1771*(1-Assumptions!$C$8)),1,0)</f>
        <v/>
      </c>
      <c r="Y1771">
        <f>IF(ISNUMBER(Q1771),1,0)</f>
        <v/>
      </c>
      <c r="Z1771">
        <f>IF(AND(K1771=0,L1771=0,Y1771=0),1,0)</f>
        <v/>
      </c>
      <c r="AA1771">
        <f>IF(AND(Z1771=1,G1771&lt;Assumptions!$C$6),1,0)</f>
        <v/>
      </c>
      <c r="AB1771">
        <f>IF(U1771=0,"",IF(Y1771=1,MAX(0,Q1771-G1771),IF(L1771=1,MAX(0,R1771-G1771),MAX(0,Assumptions!$C$6-G1771))))</f>
        <v/>
      </c>
      <c r="AC1771">
        <f>IF(Y1771=1,Q1771-F1771,"")</f>
        <v/>
      </c>
      <c r="AD1771">
        <f>IF(Y1771=1,AC1771^2,"")</f>
        <v/>
      </c>
      <c r="AE1771" s="19">
        <f>IF(Z1771=1,(H1771-M1771)*I1771,0)</f>
        <v/>
      </c>
      <c r="AF1771">
        <f>IF(G1771&lt;EDATE(Assumptions!$C$6,-12)+1,"prior_12m","last_12m")</f>
        <v/>
      </c>
      <c r="AG1771" s="21">
        <f>DATE(YEAR(G1771),MONTH(G1771),1)</f>
        <v/>
      </c>
    </row>
    <row r="1772">
      <c r="A1772" t="inlineStr">
        <is>
          <t>SPO-00965-1</t>
        </is>
      </c>
      <c r="B1772" t="inlineStr">
        <is>
          <t>SPO-00965</t>
        </is>
      </c>
      <c r="C1772" t="inlineStr">
        <is>
          <t>SUP-05</t>
        </is>
      </c>
      <c r="D1772" t="inlineStr">
        <is>
          <t>FLEET</t>
        </is>
      </c>
      <c r="E1772" t="inlineStr">
        <is>
          <t>FLEET-04</t>
        </is>
      </c>
      <c r="F1772" s="17" t="n">
        <v>45836</v>
      </c>
      <c r="G1772" s="17" t="n">
        <v>45850</v>
      </c>
      <c r="H1772" s="18" t="n">
        <v>109</v>
      </c>
      <c r="I1772" s="19" t="n">
        <v>8.49</v>
      </c>
      <c r="J1772" s="19" t="n">
        <v>9</v>
      </c>
      <c r="K1772" s="20" t="n">
        <v>0</v>
      </c>
      <c r="L1772" s="20" t="n">
        <v>0</v>
      </c>
      <c r="M1772" s="18" t="n">
        <v>109</v>
      </c>
      <c r="N1772" s="18" t="n">
        <v>109</v>
      </c>
      <c r="O1772" s="18" t="n">
        <v>0</v>
      </c>
      <c r="P1772" s="17" t="n">
        <v>45847</v>
      </c>
      <c r="Q1772" s="17" t="n">
        <v>45847</v>
      </c>
      <c r="R1772" s="17" t="n">
        <v>45847</v>
      </c>
      <c r="S1772" s="19">
        <f>H1772*I1772</f>
        <v/>
      </c>
      <c r="T1772" s="19">
        <f>H1772*J1772</f>
        <v/>
      </c>
      <c r="U1772">
        <f>IF(AND(K1772=0,G1772&lt;=Assumptions!$C$6),1,0)</f>
        <v/>
      </c>
      <c r="V1772">
        <f>IF(U1772=1,IF(M1772&gt;0,IF(P1772&lt;=G1772+Assumptions!$C$7,1,0),0),0)</f>
        <v/>
      </c>
      <c r="W1772">
        <f>IF(AND(U1772=1,M1772&gt;=H1772*(1-Assumptions!$C$8)),1,0)</f>
        <v/>
      </c>
      <c r="X1772">
        <f>IF(AND(U1772=1,N1772&gt;=H1772*(1-Assumptions!$C$8)),1,0)</f>
        <v/>
      </c>
      <c r="Y1772">
        <f>IF(ISNUMBER(Q1772),1,0)</f>
        <v/>
      </c>
      <c r="Z1772">
        <f>IF(AND(K1772=0,L1772=0,Y1772=0),1,0)</f>
        <v/>
      </c>
      <c r="AA1772">
        <f>IF(AND(Z1772=1,G1772&lt;Assumptions!$C$6),1,0)</f>
        <v/>
      </c>
      <c r="AB1772">
        <f>IF(U1772=0,"",IF(Y1772=1,MAX(0,Q1772-G1772),IF(L1772=1,MAX(0,R1772-G1772),MAX(0,Assumptions!$C$6-G1772))))</f>
        <v/>
      </c>
      <c r="AC1772">
        <f>IF(Y1772=1,Q1772-F1772,"")</f>
        <v/>
      </c>
      <c r="AD1772">
        <f>IF(Y1772=1,AC1772^2,"")</f>
        <v/>
      </c>
      <c r="AE1772" s="19">
        <f>IF(Z1772=1,(H1772-M1772)*I1772,0)</f>
        <v/>
      </c>
      <c r="AF1772">
        <f>IF(G1772&lt;EDATE(Assumptions!$C$6,-12)+1,"prior_12m","last_12m")</f>
        <v/>
      </c>
      <c r="AG1772" s="21">
        <f>DATE(YEAR(G1772),MONTH(G1772),1)</f>
        <v/>
      </c>
    </row>
    <row r="1773">
      <c r="A1773" t="inlineStr">
        <is>
          <t>SPO-00965-2</t>
        </is>
      </c>
      <c r="B1773" t="inlineStr">
        <is>
          <t>SPO-00965</t>
        </is>
      </c>
      <c r="C1773" t="inlineStr">
        <is>
          <t>SUP-05</t>
        </is>
      </c>
      <c r="D1773" t="inlineStr">
        <is>
          <t>FLEET</t>
        </is>
      </c>
      <c r="E1773" t="inlineStr">
        <is>
          <t>FLEET-07</t>
        </is>
      </c>
      <c r="F1773" s="17" t="n">
        <v>45836</v>
      </c>
      <c r="G1773" s="17" t="n">
        <v>45850</v>
      </c>
      <c r="H1773" s="18" t="n">
        <v>10</v>
      </c>
      <c r="I1773" s="19" t="n">
        <v>120.56</v>
      </c>
      <c r="J1773" s="19" t="n">
        <v>118</v>
      </c>
      <c r="K1773" s="20" t="n">
        <v>0</v>
      </c>
      <c r="L1773" s="20" t="n">
        <v>0</v>
      </c>
      <c r="M1773" s="18" t="n">
        <v>10</v>
      </c>
      <c r="N1773" s="18" t="n">
        <v>10</v>
      </c>
      <c r="O1773" s="18" t="n">
        <v>0</v>
      </c>
      <c r="P1773" s="17" t="n">
        <v>45848</v>
      </c>
      <c r="Q1773" s="17" t="n">
        <v>45848</v>
      </c>
      <c r="R1773" s="17" t="n">
        <v>45848</v>
      </c>
      <c r="S1773" s="19">
        <f>H1773*I1773</f>
        <v/>
      </c>
      <c r="T1773" s="19">
        <f>H1773*J1773</f>
        <v/>
      </c>
      <c r="U1773">
        <f>IF(AND(K1773=0,G1773&lt;=Assumptions!$C$6),1,0)</f>
        <v/>
      </c>
      <c r="V1773">
        <f>IF(U1773=1,IF(M1773&gt;0,IF(P1773&lt;=G1773+Assumptions!$C$7,1,0),0),0)</f>
        <v/>
      </c>
      <c r="W1773">
        <f>IF(AND(U1773=1,M1773&gt;=H1773*(1-Assumptions!$C$8)),1,0)</f>
        <v/>
      </c>
      <c r="X1773">
        <f>IF(AND(U1773=1,N1773&gt;=H1773*(1-Assumptions!$C$8)),1,0)</f>
        <v/>
      </c>
      <c r="Y1773">
        <f>IF(ISNUMBER(Q1773),1,0)</f>
        <v/>
      </c>
      <c r="Z1773">
        <f>IF(AND(K1773=0,L1773=0,Y1773=0),1,0)</f>
        <v/>
      </c>
      <c r="AA1773">
        <f>IF(AND(Z1773=1,G1773&lt;Assumptions!$C$6),1,0)</f>
        <v/>
      </c>
      <c r="AB1773">
        <f>IF(U1773=0,"",IF(Y1773=1,MAX(0,Q1773-G1773),IF(L1773=1,MAX(0,R1773-G1773),MAX(0,Assumptions!$C$6-G1773))))</f>
        <v/>
      </c>
      <c r="AC1773">
        <f>IF(Y1773=1,Q1773-F1773,"")</f>
        <v/>
      </c>
      <c r="AD1773">
        <f>IF(Y1773=1,AC1773^2,"")</f>
        <v/>
      </c>
      <c r="AE1773" s="19">
        <f>IF(Z1773=1,(H1773-M1773)*I1773,0)</f>
        <v/>
      </c>
      <c r="AF1773">
        <f>IF(G1773&lt;EDATE(Assumptions!$C$6,-12)+1,"prior_12m","last_12m")</f>
        <v/>
      </c>
      <c r="AG1773" s="21">
        <f>DATE(YEAR(G1773),MONTH(G1773),1)</f>
        <v/>
      </c>
    </row>
    <row r="1774">
      <c r="A1774" t="inlineStr">
        <is>
          <t>SPO-00965-3</t>
        </is>
      </c>
      <c r="B1774" t="inlineStr">
        <is>
          <t>SPO-00965</t>
        </is>
      </c>
      <c r="C1774" t="inlineStr">
        <is>
          <t>SUP-05</t>
        </is>
      </c>
      <c r="D1774" t="inlineStr">
        <is>
          <t>FLEET</t>
        </is>
      </c>
      <c r="E1774" t="inlineStr">
        <is>
          <t>FLEET-06</t>
        </is>
      </c>
      <c r="F1774" s="17" t="n">
        <v>45836</v>
      </c>
      <c r="G1774" s="17" t="n">
        <v>45850</v>
      </c>
      <c r="H1774" s="18" t="n">
        <v>43</v>
      </c>
      <c r="I1774" s="19" t="n">
        <v>32.84</v>
      </c>
      <c r="J1774" s="19" t="n">
        <v>33</v>
      </c>
      <c r="K1774" s="20" t="n">
        <v>0</v>
      </c>
      <c r="L1774" s="20" t="n">
        <v>0</v>
      </c>
      <c r="M1774" s="18" t="n">
        <v>43</v>
      </c>
      <c r="N1774" s="18" t="n">
        <v>43</v>
      </c>
      <c r="O1774" s="18" t="n">
        <v>0</v>
      </c>
      <c r="P1774" s="17" t="n">
        <v>45847</v>
      </c>
      <c r="Q1774" s="17" t="n">
        <v>45847</v>
      </c>
      <c r="R1774" s="17" t="n">
        <v>45847</v>
      </c>
      <c r="S1774" s="19">
        <f>H1774*I1774</f>
        <v/>
      </c>
      <c r="T1774" s="19">
        <f>H1774*J1774</f>
        <v/>
      </c>
      <c r="U1774">
        <f>IF(AND(K1774=0,G1774&lt;=Assumptions!$C$6),1,0)</f>
        <v/>
      </c>
      <c r="V1774">
        <f>IF(U1774=1,IF(M1774&gt;0,IF(P1774&lt;=G1774+Assumptions!$C$7,1,0),0),0)</f>
        <v/>
      </c>
      <c r="W1774">
        <f>IF(AND(U1774=1,M1774&gt;=H1774*(1-Assumptions!$C$8)),1,0)</f>
        <v/>
      </c>
      <c r="X1774">
        <f>IF(AND(U1774=1,N1774&gt;=H1774*(1-Assumptions!$C$8)),1,0)</f>
        <v/>
      </c>
      <c r="Y1774">
        <f>IF(ISNUMBER(Q1774),1,0)</f>
        <v/>
      </c>
      <c r="Z1774">
        <f>IF(AND(K1774=0,L1774=0,Y1774=0),1,0)</f>
        <v/>
      </c>
      <c r="AA1774">
        <f>IF(AND(Z1774=1,G1774&lt;Assumptions!$C$6),1,0)</f>
        <v/>
      </c>
      <c r="AB1774">
        <f>IF(U1774=0,"",IF(Y1774=1,MAX(0,Q1774-G1774),IF(L1774=1,MAX(0,R1774-G1774),MAX(0,Assumptions!$C$6-G1774))))</f>
        <v/>
      </c>
      <c r="AC1774">
        <f>IF(Y1774=1,Q1774-F1774,"")</f>
        <v/>
      </c>
      <c r="AD1774">
        <f>IF(Y1774=1,AC1774^2,"")</f>
        <v/>
      </c>
      <c r="AE1774" s="19">
        <f>IF(Z1774=1,(H1774-M1774)*I1774,0)</f>
        <v/>
      </c>
      <c r="AF1774">
        <f>IF(G1774&lt;EDATE(Assumptions!$C$6,-12)+1,"prior_12m","last_12m")</f>
        <v/>
      </c>
      <c r="AG1774" s="21">
        <f>DATE(YEAR(G1774),MONTH(G1774),1)</f>
        <v/>
      </c>
    </row>
    <row r="1775">
      <c r="A1775" t="inlineStr">
        <is>
          <t>SPO-00965-4</t>
        </is>
      </c>
      <c r="B1775" t="inlineStr">
        <is>
          <t>SPO-00965</t>
        </is>
      </c>
      <c r="C1775" t="inlineStr">
        <is>
          <t>SUP-05</t>
        </is>
      </c>
      <c r="D1775" t="inlineStr">
        <is>
          <t>FLEET</t>
        </is>
      </c>
      <c r="E1775" t="inlineStr">
        <is>
          <t>FLEET-08</t>
        </is>
      </c>
      <c r="F1775" s="17" t="n">
        <v>45836</v>
      </c>
      <c r="G1775" s="17" t="n">
        <v>45850</v>
      </c>
      <c r="H1775" s="18" t="n">
        <v>200</v>
      </c>
      <c r="I1775" s="19" t="n">
        <v>6.45</v>
      </c>
      <c r="J1775" s="19" t="n">
        <v>6.4</v>
      </c>
      <c r="K1775" s="20" t="n">
        <v>0</v>
      </c>
      <c r="L1775" s="20" t="n">
        <v>0</v>
      </c>
      <c r="M1775" s="18" t="n">
        <v>200</v>
      </c>
      <c r="N1775" s="18" t="n">
        <v>200</v>
      </c>
      <c r="O1775" s="18" t="n">
        <v>0</v>
      </c>
      <c r="P1775" s="17" t="n">
        <v>45849</v>
      </c>
      <c r="Q1775" s="17" t="n">
        <v>45849</v>
      </c>
      <c r="R1775" s="17" t="n">
        <v>45849</v>
      </c>
      <c r="S1775" s="19">
        <f>H1775*I1775</f>
        <v/>
      </c>
      <c r="T1775" s="19">
        <f>H1775*J1775</f>
        <v/>
      </c>
      <c r="U1775">
        <f>IF(AND(K1775=0,G1775&lt;=Assumptions!$C$6),1,0)</f>
        <v/>
      </c>
      <c r="V1775">
        <f>IF(U1775=1,IF(M1775&gt;0,IF(P1775&lt;=G1775+Assumptions!$C$7,1,0),0),0)</f>
        <v/>
      </c>
      <c r="W1775">
        <f>IF(AND(U1775=1,M1775&gt;=H1775*(1-Assumptions!$C$8)),1,0)</f>
        <v/>
      </c>
      <c r="X1775">
        <f>IF(AND(U1775=1,N1775&gt;=H1775*(1-Assumptions!$C$8)),1,0)</f>
        <v/>
      </c>
      <c r="Y1775">
        <f>IF(ISNUMBER(Q1775),1,0)</f>
        <v/>
      </c>
      <c r="Z1775">
        <f>IF(AND(K1775=0,L1775=0,Y1775=0),1,0)</f>
        <v/>
      </c>
      <c r="AA1775">
        <f>IF(AND(Z1775=1,G1775&lt;Assumptions!$C$6),1,0)</f>
        <v/>
      </c>
      <c r="AB1775">
        <f>IF(U1775=0,"",IF(Y1775=1,MAX(0,Q1775-G1775),IF(L1775=1,MAX(0,R1775-G1775),MAX(0,Assumptions!$C$6-G1775))))</f>
        <v/>
      </c>
      <c r="AC1775">
        <f>IF(Y1775=1,Q1775-F1775,"")</f>
        <v/>
      </c>
      <c r="AD1775">
        <f>IF(Y1775=1,AC1775^2,"")</f>
        <v/>
      </c>
      <c r="AE1775" s="19">
        <f>IF(Z1775=1,(H1775-M1775)*I1775,0)</f>
        <v/>
      </c>
      <c r="AF1775">
        <f>IF(G1775&lt;EDATE(Assumptions!$C$6,-12)+1,"prior_12m","last_12m")</f>
        <v/>
      </c>
      <c r="AG1775" s="21">
        <f>DATE(YEAR(G1775),MONTH(G1775),1)</f>
        <v/>
      </c>
    </row>
    <row r="1776">
      <c r="A1776" t="inlineStr">
        <is>
          <t>SPO-00966-1</t>
        </is>
      </c>
      <c r="B1776" t="inlineStr">
        <is>
          <t>SPO-00966</t>
        </is>
      </c>
      <c r="C1776" t="inlineStr">
        <is>
          <t>SUP-04</t>
        </is>
      </c>
      <c r="D1776" t="inlineStr">
        <is>
          <t>FLEET</t>
        </is>
      </c>
      <c r="E1776" t="inlineStr">
        <is>
          <t>FLEET-06</t>
        </is>
      </c>
      <c r="F1776" s="17" t="n">
        <v>45836</v>
      </c>
      <c r="G1776" s="17" t="n">
        <v>45849</v>
      </c>
      <c r="H1776" s="18" t="n">
        <v>26</v>
      </c>
      <c r="I1776" s="19" t="n">
        <v>32.86</v>
      </c>
      <c r="J1776" s="19" t="n">
        <v>33</v>
      </c>
      <c r="K1776" s="20" t="n">
        <v>0</v>
      </c>
      <c r="L1776" s="20" t="n">
        <v>0</v>
      </c>
      <c r="M1776" s="18" t="n">
        <v>26</v>
      </c>
      <c r="N1776" s="18" t="n">
        <v>0</v>
      </c>
      <c r="O1776" s="18" t="n">
        <v>0</v>
      </c>
      <c r="P1776" s="17" t="n">
        <v>45858</v>
      </c>
      <c r="Q1776" s="17" t="n">
        <v>45858</v>
      </c>
      <c r="R1776" s="17" t="n">
        <v>45858</v>
      </c>
      <c r="S1776" s="19">
        <f>H1776*I1776</f>
        <v/>
      </c>
      <c r="T1776" s="19">
        <f>H1776*J1776</f>
        <v/>
      </c>
      <c r="U1776">
        <f>IF(AND(K1776=0,G1776&lt;=Assumptions!$C$6),1,0)</f>
        <v/>
      </c>
      <c r="V1776">
        <f>IF(U1776=1,IF(M1776&gt;0,IF(P1776&lt;=G1776+Assumptions!$C$7,1,0),0),0)</f>
        <v/>
      </c>
      <c r="W1776">
        <f>IF(AND(U1776=1,M1776&gt;=H1776*(1-Assumptions!$C$8)),1,0)</f>
        <v/>
      </c>
      <c r="X1776">
        <f>IF(AND(U1776=1,N1776&gt;=H1776*(1-Assumptions!$C$8)),1,0)</f>
        <v/>
      </c>
      <c r="Y1776">
        <f>IF(ISNUMBER(Q1776),1,0)</f>
        <v/>
      </c>
      <c r="Z1776">
        <f>IF(AND(K1776=0,L1776=0,Y1776=0),1,0)</f>
        <v/>
      </c>
      <c r="AA1776">
        <f>IF(AND(Z1776=1,G1776&lt;Assumptions!$C$6),1,0)</f>
        <v/>
      </c>
      <c r="AB1776">
        <f>IF(U1776=0,"",IF(Y1776=1,MAX(0,Q1776-G1776),IF(L1776=1,MAX(0,R1776-G1776),MAX(0,Assumptions!$C$6-G1776))))</f>
        <v/>
      </c>
      <c r="AC1776">
        <f>IF(Y1776=1,Q1776-F1776,"")</f>
        <v/>
      </c>
      <c r="AD1776">
        <f>IF(Y1776=1,AC1776^2,"")</f>
        <v/>
      </c>
      <c r="AE1776" s="19">
        <f>IF(Z1776=1,(H1776-M1776)*I1776,0)</f>
        <v/>
      </c>
      <c r="AF1776">
        <f>IF(G1776&lt;EDATE(Assumptions!$C$6,-12)+1,"prior_12m","last_12m")</f>
        <v/>
      </c>
      <c r="AG1776" s="21">
        <f>DATE(YEAR(G1776),MONTH(G1776),1)</f>
        <v/>
      </c>
    </row>
    <row r="1777">
      <c r="A1777" t="inlineStr">
        <is>
          <t>SPO-00967-1</t>
        </is>
      </c>
      <c r="B1777" t="inlineStr">
        <is>
          <t>SPO-00967</t>
        </is>
      </c>
      <c r="C1777" t="inlineStr">
        <is>
          <t>SUP-07</t>
        </is>
      </c>
      <c r="D1777" t="inlineStr">
        <is>
          <t>MRO</t>
        </is>
      </c>
      <c r="E1777" t="inlineStr">
        <is>
          <t>MRO-04</t>
        </is>
      </c>
      <c r="F1777" s="17" t="n">
        <v>45836</v>
      </c>
      <c r="G1777" s="17" t="n">
        <v>45846</v>
      </c>
      <c r="H1777" s="18" t="n">
        <v>22</v>
      </c>
      <c r="I1777" s="19" t="n">
        <v>57.83</v>
      </c>
      <c r="J1777" s="19" t="n">
        <v>58</v>
      </c>
      <c r="K1777" s="20" t="n">
        <v>0</v>
      </c>
      <c r="L1777" s="20" t="n">
        <v>0</v>
      </c>
      <c r="M1777" s="18" t="n">
        <v>22</v>
      </c>
      <c r="N1777" s="18" t="n">
        <v>22</v>
      </c>
      <c r="O1777" s="18" t="n">
        <v>0</v>
      </c>
      <c r="P1777" s="17" t="n">
        <v>45842</v>
      </c>
      <c r="Q1777" s="17" t="n">
        <v>45842</v>
      </c>
      <c r="R1777" s="17" t="n">
        <v>45842</v>
      </c>
      <c r="S1777" s="19">
        <f>H1777*I1777</f>
        <v/>
      </c>
      <c r="T1777" s="19">
        <f>H1777*J1777</f>
        <v/>
      </c>
      <c r="U1777">
        <f>IF(AND(K1777=0,G1777&lt;=Assumptions!$C$6),1,0)</f>
        <v/>
      </c>
      <c r="V1777">
        <f>IF(U1777=1,IF(M1777&gt;0,IF(P1777&lt;=G1777+Assumptions!$C$7,1,0),0),0)</f>
        <v/>
      </c>
      <c r="W1777">
        <f>IF(AND(U1777=1,M1777&gt;=H1777*(1-Assumptions!$C$8)),1,0)</f>
        <v/>
      </c>
      <c r="X1777">
        <f>IF(AND(U1777=1,N1777&gt;=H1777*(1-Assumptions!$C$8)),1,0)</f>
        <v/>
      </c>
      <c r="Y1777">
        <f>IF(ISNUMBER(Q1777),1,0)</f>
        <v/>
      </c>
      <c r="Z1777">
        <f>IF(AND(K1777=0,L1777=0,Y1777=0),1,0)</f>
        <v/>
      </c>
      <c r="AA1777">
        <f>IF(AND(Z1777=1,G1777&lt;Assumptions!$C$6),1,0)</f>
        <v/>
      </c>
      <c r="AB1777">
        <f>IF(U1777=0,"",IF(Y1777=1,MAX(0,Q1777-G1777),IF(L1777=1,MAX(0,R1777-G1777),MAX(0,Assumptions!$C$6-G1777))))</f>
        <v/>
      </c>
      <c r="AC1777">
        <f>IF(Y1777=1,Q1777-F1777,"")</f>
        <v/>
      </c>
      <c r="AD1777">
        <f>IF(Y1777=1,AC1777^2,"")</f>
        <v/>
      </c>
      <c r="AE1777" s="19">
        <f>IF(Z1777=1,(H1777-M1777)*I1777,0)</f>
        <v/>
      </c>
      <c r="AF1777">
        <f>IF(G1777&lt;EDATE(Assumptions!$C$6,-12)+1,"prior_12m","last_12m")</f>
        <v/>
      </c>
      <c r="AG1777" s="21">
        <f>DATE(YEAR(G1777),MONTH(G1777),1)</f>
        <v/>
      </c>
    </row>
    <row r="1778">
      <c r="A1778" t="inlineStr">
        <is>
          <t>SPO-00968-1</t>
        </is>
      </c>
      <c r="B1778" t="inlineStr">
        <is>
          <t>SPO-00968</t>
        </is>
      </c>
      <c r="C1778" t="inlineStr">
        <is>
          <t>SUP-10</t>
        </is>
      </c>
      <c r="D1778" t="inlineStr">
        <is>
          <t>PPE</t>
        </is>
      </c>
      <c r="E1778" t="inlineStr">
        <is>
          <t>PPE-02</t>
        </is>
      </c>
      <c r="F1778" s="17" t="n">
        <v>45837</v>
      </c>
      <c r="G1778" s="17" t="n">
        <v>45850</v>
      </c>
      <c r="H1778" s="18" t="n">
        <v>132</v>
      </c>
      <c r="I1778" s="19" t="n">
        <v>12.56</v>
      </c>
      <c r="J1778" s="19" t="n">
        <v>12.5</v>
      </c>
      <c r="K1778" s="20" t="n">
        <v>0</v>
      </c>
      <c r="L1778" s="20" t="n">
        <v>0</v>
      </c>
      <c r="M1778" s="18" t="n">
        <v>132</v>
      </c>
      <c r="N1778" s="18" t="n">
        <v>132</v>
      </c>
      <c r="O1778" s="18" t="n">
        <v>0</v>
      </c>
      <c r="P1778" s="17" t="n">
        <v>45845</v>
      </c>
      <c r="Q1778" s="17" t="n">
        <v>45845</v>
      </c>
      <c r="R1778" s="17" t="n">
        <v>45845</v>
      </c>
      <c r="S1778" s="19">
        <f>H1778*I1778</f>
        <v/>
      </c>
      <c r="T1778" s="19">
        <f>H1778*J1778</f>
        <v/>
      </c>
      <c r="U1778">
        <f>IF(AND(K1778=0,G1778&lt;=Assumptions!$C$6),1,0)</f>
        <v/>
      </c>
      <c r="V1778">
        <f>IF(U1778=1,IF(M1778&gt;0,IF(P1778&lt;=G1778+Assumptions!$C$7,1,0),0),0)</f>
        <v/>
      </c>
      <c r="W1778">
        <f>IF(AND(U1778=1,M1778&gt;=H1778*(1-Assumptions!$C$8)),1,0)</f>
        <v/>
      </c>
      <c r="X1778">
        <f>IF(AND(U1778=1,N1778&gt;=H1778*(1-Assumptions!$C$8)),1,0)</f>
        <v/>
      </c>
      <c r="Y1778">
        <f>IF(ISNUMBER(Q1778),1,0)</f>
        <v/>
      </c>
      <c r="Z1778">
        <f>IF(AND(K1778=0,L1778=0,Y1778=0),1,0)</f>
        <v/>
      </c>
      <c r="AA1778">
        <f>IF(AND(Z1778=1,G1778&lt;Assumptions!$C$6),1,0)</f>
        <v/>
      </c>
      <c r="AB1778">
        <f>IF(U1778=0,"",IF(Y1778=1,MAX(0,Q1778-G1778),IF(L1778=1,MAX(0,R1778-G1778),MAX(0,Assumptions!$C$6-G1778))))</f>
        <v/>
      </c>
      <c r="AC1778">
        <f>IF(Y1778=1,Q1778-F1778,"")</f>
        <v/>
      </c>
      <c r="AD1778">
        <f>IF(Y1778=1,AC1778^2,"")</f>
        <v/>
      </c>
      <c r="AE1778" s="19">
        <f>IF(Z1778=1,(H1778-M1778)*I1778,0)</f>
        <v/>
      </c>
      <c r="AF1778">
        <f>IF(G1778&lt;EDATE(Assumptions!$C$6,-12)+1,"prior_12m","last_12m")</f>
        <v/>
      </c>
      <c r="AG1778" s="21">
        <f>DATE(YEAR(G1778),MONTH(G1778),1)</f>
        <v/>
      </c>
    </row>
    <row r="1779">
      <c r="A1779" t="inlineStr">
        <is>
          <t>SPO-00969-1</t>
        </is>
      </c>
      <c r="B1779" t="inlineStr">
        <is>
          <t>SPO-00969</t>
        </is>
      </c>
      <c r="C1779" t="inlineStr">
        <is>
          <t>SUP-04</t>
        </is>
      </c>
      <c r="D1779" t="inlineStr">
        <is>
          <t>FLEET</t>
        </is>
      </c>
      <c r="E1779" t="inlineStr">
        <is>
          <t>FLEET-04</t>
        </is>
      </c>
      <c r="F1779" s="17" t="n">
        <v>45837</v>
      </c>
      <c r="G1779" s="17" t="n">
        <v>45850</v>
      </c>
      <c r="H1779" s="18" t="n">
        <v>206</v>
      </c>
      <c r="I1779" s="19" t="n">
        <v>8.449999999999999</v>
      </c>
      <c r="J1779" s="19" t="n">
        <v>9</v>
      </c>
      <c r="K1779" s="20" t="n">
        <v>0</v>
      </c>
      <c r="L1779" s="20" t="n">
        <v>0</v>
      </c>
      <c r="M1779" s="18" t="n">
        <v>206</v>
      </c>
      <c r="N1779" s="18" t="n">
        <v>206</v>
      </c>
      <c r="O1779" s="18" t="n">
        <v>21</v>
      </c>
      <c r="P1779" s="17" t="n">
        <v>45846</v>
      </c>
      <c r="Q1779" s="17" t="n">
        <v>45846</v>
      </c>
      <c r="R1779" s="17" t="n">
        <v>45846</v>
      </c>
      <c r="S1779" s="19">
        <f>H1779*I1779</f>
        <v/>
      </c>
      <c r="T1779" s="19">
        <f>H1779*J1779</f>
        <v/>
      </c>
      <c r="U1779">
        <f>IF(AND(K1779=0,G1779&lt;=Assumptions!$C$6),1,0)</f>
        <v/>
      </c>
      <c r="V1779">
        <f>IF(U1779=1,IF(M1779&gt;0,IF(P1779&lt;=G1779+Assumptions!$C$7,1,0),0),0)</f>
        <v/>
      </c>
      <c r="W1779">
        <f>IF(AND(U1779=1,M1779&gt;=H1779*(1-Assumptions!$C$8)),1,0)</f>
        <v/>
      </c>
      <c r="X1779">
        <f>IF(AND(U1779=1,N1779&gt;=H1779*(1-Assumptions!$C$8)),1,0)</f>
        <v/>
      </c>
      <c r="Y1779">
        <f>IF(ISNUMBER(Q1779),1,0)</f>
        <v/>
      </c>
      <c r="Z1779">
        <f>IF(AND(K1779=0,L1779=0,Y1779=0),1,0)</f>
        <v/>
      </c>
      <c r="AA1779">
        <f>IF(AND(Z1779=1,G1779&lt;Assumptions!$C$6),1,0)</f>
        <v/>
      </c>
      <c r="AB1779">
        <f>IF(U1779=0,"",IF(Y1779=1,MAX(0,Q1779-G1779),IF(L1779=1,MAX(0,R1779-G1779),MAX(0,Assumptions!$C$6-G1779))))</f>
        <v/>
      </c>
      <c r="AC1779">
        <f>IF(Y1779=1,Q1779-F1779,"")</f>
        <v/>
      </c>
      <c r="AD1779">
        <f>IF(Y1779=1,AC1779^2,"")</f>
        <v/>
      </c>
      <c r="AE1779" s="19">
        <f>IF(Z1779=1,(H1779-M1779)*I1779,0)</f>
        <v/>
      </c>
      <c r="AF1779">
        <f>IF(G1779&lt;EDATE(Assumptions!$C$6,-12)+1,"prior_12m","last_12m")</f>
        <v/>
      </c>
      <c r="AG1779" s="21">
        <f>DATE(YEAR(G1779),MONTH(G1779),1)</f>
        <v/>
      </c>
    </row>
    <row r="1780">
      <c r="A1780" t="inlineStr">
        <is>
          <t>SPO-00970-1</t>
        </is>
      </c>
      <c r="B1780" t="inlineStr">
        <is>
          <t>SPO-00970</t>
        </is>
      </c>
      <c r="C1780" t="inlineStr">
        <is>
          <t>SUP-06</t>
        </is>
      </c>
      <c r="D1780" t="inlineStr">
        <is>
          <t>MRO</t>
        </is>
      </c>
      <c r="E1780" t="inlineStr">
        <is>
          <t>MRO-07</t>
        </is>
      </c>
      <c r="F1780" s="17" t="n">
        <v>45838</v>
      </c>
      <c r="G1780" s="17" t="n">
        <v>45846</v>
      </c>
      <c r="H1780" s="18" t="n">
        <v>194</v>
      </c>
      <c r="I1780" s="19" t="n">
        <v>13.61</v>
      </c>
      <c r="J1780" s="19" t="n">
        <v>14</v>
      </c>
      <c r="K1780" s="20" t="n">
        <v>0</v>
      </c>
      <c r="L1780" s="20" t="n">
        <v>0</v>
      </c>
      <c r="M1780" s="18" t="n">
        <v>194</v>
      </c>
      <c r="N1780" s="18" t="n">
        <v>194</v>
      </c>
      <c r="O1780" s="18" t="n">
        <v>0</v>
      </c>
      <c r="P1780" s="17" t="n">
        <v>45844</v>
      </c>
      <c r="Q1780" s="17" t="n">
        <v>45844</v>
      </c>
      <c r="R1780" s="17" t="n">
        <v>45844</v>
      </c>
      <c r="S1780" s="19">
        <f>H1780*I1780</f>
        <v/>
      </c>
      <c r="T1780" s="19">
        <f>H1780*J1780</f>
        <v/>
      </c>
      <c r="U1780">
        <f>IF(AND(K1780=0,G1780&lt;=Assumptions!$C$6),1,0)</f>
        <v/>
      </c>
      <c r="V1780">
        <f>IF(U1780=1,IF(M1780&gt;0,IF(P1780&lt;=G1780+Assumptions!$C$7,1,0),0),0)</f>
        <v/>
      </c>
      <c r="W1780">
        <f>IF(AND(U1780=1,M1780&gt;=H1780*(1-Assumptions!$C$8)),1,0)</f>
        <v/>
      </c>
      <c r="X1780">
        <f>IF(AND(U1780=1,N1780&gt;=H1780*(1-Assumptions!$C$8)),1,0)</f>
        <v/>
      </c>
      <c r="Y1780">
        <f>IF(ISNUMBER(Q1780),1,0)</f>
        <v/>
      </c>
      <c r="Z1780">
        <f>IF(AND(K1780=0,L1780=0,Y1780=0),1,0)</f>
        <v/>
      </c>
      <c r="AA1780">
        <f>IF(AND(Z1780=1,G1780&lt;Assumptions!$C$6),1,0)</f>
        <v/>
      </c>
      <c r="AB1780">
        <f>IF(U1780=0,"",IF(Y1780=1,MAX(0,Q1780-G1780),IF(L1780=1,MAX(0,R1780-G1780),MAX(0,Assumptions!$C$6-G1780))))</f>
        <v/>
      </c>
      <c r="AC1780">
        <f>IF(Y1780=1,Q1780-F1780,"")</f>
        <v/>
      </c>
      <c r="AD1780">
        <f>IF(Y1780=1,AC1780^2,"")</f>
        <v/>
      </c>
      <c r="AE1780" s="19">
        <f>IF(Z1780=1,(H1780-M1780)*I1780,0)</f>
        <v/>
      </c>
      <c r="AF1780">
        <f>IF(G1780&lt;EDATE(Assumptions!$C$6,-12)+1,"prior_12m","last_12m")</f>
        <v/>
      </c>
      <c r="AG1780" s="21">
        <f>DATE(YEAR(G1780),MONTH(G1780),1)</f>
        <v/>
      </c>
    </row>
    <row r="1781">
      <c r="A1781" t="inlineStr">
        <is>
          <t>SPO-00970-2</t>
        </is>
      </c>
      <c r="B1781" t="inlineStr">
        <is>
          <t>SPO-00970</t>
        </is>
      </c>
      <c r="C1781" t="inlineStr">
        <is>
          <t>SUP-06</t>
        </is>
      </c>
      <c r="D1781" t="inlineStr">
        <is>
          <t>MRO</t>
        </is>
      </c>
      <c r="E1781" t="inlineStr">
        <is>
          <t>MRO-02</t>
        </is>
      </c>
      <c r="F1781" s="17" t="n">
        <v>45838</v>
      </c>
      <c r="G1781" s="17" t="n">
        <v>45846</v>
      </c>
      <c r="H1781" s="18" t="n">
        <v>30</v>
      </c>
      <c r="I1781" s="19" t="n">
        <v>40.02</v>
      </c>
      <c r="J1781" s="19" t="n">
        <v>41</v>
      </c>
      <c r="K1781" s="20" t="n">
        <v>0</v>
      </c>
      <c r="L1781" s="20" t="n">
        <v>0</v>
      </c>
      <c r="M1781" s="18" t="n">
        <v>30</v>
      </c>
      <c r="N1781" s="18" t="n">
        <v>30</v>
      </c>
      <c r="O1781" s="18" t="n">
        <v>0</v>
      </c>
      <c r="P1781" s="17" t="n">
        <v>45843</v>
      </c>
      <c r="Q1781" s="17" t="n">
        <v>45843</v>
      </c>
      <c r="R1781" s="17" t="n">
        <v>45843</v>
      </c>
      <c r="S1781" s="19">
        <f>H1781*I1781</f>
        <v/>
      </c>
      <c r="T1781" s="19">
        <f>H1781*J1781</f>
        <v/>
      </c>
      <c r="U1781">
        <f>IF(AND(K1781=0,G1781&lt;=Assumptions!$C$6),1,0)</f>
        <v/>
      </c>
      <c r="V1781">
        <f>IF(U1781=1,IF(M1781&gt;0,IF(P1781&lt;=G1781+Assumptions!$C$7,1,0),0),0)</f>
        <v/>
      </c>
      <c r="W1781">
        <f>IF(AND(U1781=1,M1781&gt;=H1781*(1-Assumptions!$C$8)),1,0)</f>
        <v/>
      </c>
      <c r="X1781">
        <f>IF(AND(U1781=1,N1781&gt;=H1781*(1-Assumptions!$C$8)),1,0)</f>
        <v/>
      </c>
      <c r="Y1781">
        <f>IF(ISNUMBER(Q1781),1,0)</f>
        <v/>
      </c>
      <c r="Z1781">
        <f>IF(AND(K1781=0,L1781=0,Y1781=0),1,0)</f>
        <v/>
      </c>
      <c r="AA1781">
        <f>IF(AND(Z1781=1,G1781&lt;Assumptions!$C$6),1,0)</f>
        <v/>
      </c>
      <c r="AB1781">
        <f>IF(U1781=0,"",IF(Y1781=1,MAX(0,Q1781-G1781),IF(L1781=1,MAX(0,R1781-G1781),MAX(0,Assumptions!$C$6-G1781))))</f>
        <v/>
      </c>
      <c r="AC1781">
        <f>IF(Y1781=1,Q1781-F1781,"")</f>
        <v/>
      </c>
      <c r="AD1781">
        <f>IF(Y1781=1,AC1781^2,"")</f>
        <v/>
      </c>
      <c r="AE1781" s="19">
        <f>IF(Z1781=1,(H1781-M1781)*I1781,0)</f>
        <v/>
      </c>
      <c r="AF1781">
        <f>IF(G1781&lt;EDATE(Assumptions!$C$6,-12)+1,"prior_12m","last_12m")</f>
        <v/>
      </c>
      <c r="AG1781" s="21">
        <f>DATE(YEAR(G1781),MONTH(G1781),1)</f>
        <v/>
      </c>
    </row>
    <row r="1782">
      <c r="A1782" t="inlineStr">
        <is>
          <t>SPO-00971-1</t>
        </is>
      </c>
      <c r="B1782" t="inlineStr">
        <is>
          <t>SPO-00971</t>
        </is>
      </c>
      <c r="C1782" t="inlineStr">
        <is>
          <t>SUP-04</t>
        </is>
      </c>
      <c r="D1782" t="inlineStr">
        <is>
          <t>FLEET</t>
        </is>
      </c>
      <c r="E1782" t="inlineStr">
        <is>
          <t>FLEET-02</t>
        </is>
      </c>
      <c r="F1782" s="17" t="n">
        <v>45838</v>
      </c>
      <c r="G1782" s="17" t="n">
        <v>45851</v>
      </c>
      <c r="H1782" s="18" t="n">
        <v>578</v>
      </c>
      <c r="I1782" s="19" t="n">
        <v>7.24</v>
      </c>
      <c r="J1782" s="19" t="n">
        <v>7.5</v>
      </c>
      <c r="K1782" s="20" t="n">
        <v>0</v>
      </c>
      <c r="L1782" s="20" t="n">
        <v>1</v>
      </c>
      <c r="M1782" s="18" t="n">
        <v>329</v>
      </c>
      <c r="N1782" s="18" t="n">
        <v>329</v>
      </c>
      <c r="O1782" s="18" t="n">
        <v>0</v>
      </c>
      <c r="P1782" s="17" t="n">
        <v>45844</v>
      </c>
      <c r="Q1782" s="17" t="n"/>
      <c r="R1782" s="17" t="n">
        <v>45844</v>
      </c>
      <c r="S1782" s="19">
        <f>H1782*I1782</f>
        <v/>
      </c>
      <c r="T1782" s="19">
        <f>H1782*J1782</f>
        <v/>
      </c>
      <c r="U1782">
        <f>IF(AND(K1782=0,G1782&lt;=Assumptions!$C$6),1,0)</f>
        <v/>
      </c>
      <c r="V1782">
        <f>IF(U1782=1,IF(M1782&gt;0,IF(P1782&lt;=G1782+Assumptions!$C$7,1,0),0),0)</f>
        <v/>
      </c>
      <c r="W1782">
        <f>IF(AND(U1782=1,M1782&gt;=H1782*(1-Assumptions!$C$8)),1,0)</f>
        <v/>
      </c>
      <c r="X1782">
        <f>IF(AND(U1782=1,N1782&gt;=H1782*(1-Assumptions!$C$8)),1,0)</f>
        <v/>
      </c>
      <c r="Y1782">
        <f>IF(ISNUMBER(Q1782),1,0)</f>
        <v/>
      </c>
      <c r="Z1782">
        <f>IF(AND(K1782=0,L1782=0,Y1782=0),1,0)</f>
        <v/>
      </c>
      <c r="AA1782">
        <f>IF(AND(Z1782=1,G1782&lt;Assumptions!$C$6),1,0)</f>
        <v/>
      </c>
      <c r="AB1782">
        <f>IF(U1782=0,"",IF(Y1782=1,MAX(0,Q1782-G1782),IF(L1782=1,MAX(0,R1782-G1782),MAX(0,Assumptions!$C$6-G1782))))</f>
        <v/>
      </c>
      <c r="AC1782">
        <f>IF(Y1782=1,Q1782-F1782,"")</f>
        <v/>
      </c>
      <c r="AD1782">
        <f>IF(Y1782=1,AC1782^2,"")</f>
        <v/>
      </c>
      <c r="AE1782" s="19">
        <f>IF(Z1782=1,(H1782-M1782)*I1782,0)</f>
        <v/>
      </c>
      <c r="AF1782">
        <f>IF(G1782&lt;EDATE(Assumptions!$C$6,-12)+1,"prior_12m","last_12m")</f>
        <v/>
      </c>
      <c r="AG1782" s="21">
        <f>DATE(YEAR(G1782),MONTH(G1782),1)</f>
        <v/>
      </c>
    </row>
    <row r="1783">
      <c r="A1783" t="inlineStr">
        <is>
          <t>SPO-00972-1</t>
        </is>
      </c>
      <c r="B1783" t="inlineStr">
        <is>
          <t>SPO-00972</t>
        </is>
      </c>
      <c r="C1783" t="inlineStr">
        <is>
          <t>SUP-09</t>
        </is>
      </c>
      <c r="D1783" t="inlineStr">
        <is>
          <t>CHEM</t>
        </is>
      </c>
      <c r="E1783" t="inlineStr">
        <is>
          <t>CHEM-05</t>
        </is>
      </c>
      <c r="F1783" s="17" t="n">
        <v>45839</v>
      </c>
      <c r="G1783" s="17" t="n">
        <v>45853</v>
      </c>
      <c r="H1783" s="18" t="n">
        <v>1</v>
      </c>
      <c r="I1783" s="19" t="n">
        <v>955.3099999999999</v>
      </c>
      <c r="J1783" s="19" t="n">
        <v>930</v>
      </c>
      <c r="K1783" s="20" t="n">
        <v>0</v>
      </c>
      <c r="L1783" s="20" t="n">
        <v>0</v>
      </c>
      <c r="M1783" s="18" t="n">
        <v>1</v>
      </c>
      <c r="N1783" s="18" t="n">
        <v>1</v>
      </c>
      <c r="O1783" s="18" t="n">
        <v>0</v>
      </c>
      <c r="P1783" s="17" t="n">
        <v>45851</v>
      </c>
      <c r="Q1783" s="17" t="n">
        <v>45851</v>
      </c>
      <c r="R1783" s="17" t="n">
        <v>45851</v>
      </c>
      <c r="S1783" s="19">
        <f>H1783*I1783</f>
        <v/>
      </c>
      <c r="T1783" s="19">
        <f>H1783*J1783</f>
        <v/>
      </c>
      <c r="U1783">
        <f>IF(AND(K1783=0,G1783&lt;=Assumptions!$C$6),1,0)</f>
        <v/>
      </c>
      <c r="V1783">
        <f>IF(U1783=1,IF(M1783&gt;0,IF(P1783&lt;=G1783+Assumptions!$C$7,1,0),0),0)</f>
        <v/>
      </c>
      <c r="W1783">
        <f>IF(AND(U1783=1,M1783&gt;=H1783*(1-Assumptions!$C$8)),1,0)</f>
        <v/>
      </c>
      <c r="X1783">
        <f>IF(AND(U1783=1,N1783&gt;=H1783*(1-Assumptions!$C$8)),1,0)</f>
        <v/>
      </c>
      <c r="Y1783">
        <f>IF(ISNUMBER(Q1783),1,0)</f>
        <v/>
      </c>
      <c r="Z1783">
        <f>IF(AND(K1783=0,L1783=0,Y1783=0),1,0)</f>
        <v/>
      </c>
      <c r="AA1783">
        <f>IF(AND(Z1783=1,G1783&lt;Assumptions!$C$6),1,0)</f>
        <v/>
      </c>
      <c r="AB1783">
        <f>IF(U1783=0,"",IF(Y1783=1,MAX(0,Q1783-G1783),IF(L1783=1,MAX(0,R1783-G1783),MAX(0,Assumptions!$C$6-G1783))))</f>
        <v/>
      </c>
      <c r="AC1783">
        <f>IF(Y1783=1,Q1783-F1783,"")</f>
        <v/>
      </c>
      <c r="AD1783">
        <f>IF(Y1783=1,AC1783^2,"")</f>
        <v/>
      </c>
      <c r="AE1783" s="19">
        <f>IF(Z1783=1,(H1783-M1783)*I1783,0)</f>
        <v/>
      </c>
      <c r="AF1783">
        <f>IF(G1783&lt;EDATE(Assumptions!$C$6,-12)+1,"prior_12m","last_12m")</f>
        <v/>
      </c>
      <c r="AG1783" s="21">
        <f>DATE(YEAR(G1783),MONTH(G1783),1)</f>
        <v/>
      </c>
    </row>
    <row r="1784">
      <c r="A1784" t="inlineStr">
        <is>
          <t>SPO-00972-2</t>
        </is>
      </c>
      <c r="B1784" t="inlineStr">
        <is>
          <t>SPO-00972</t>
        </is>
      </c>
      <c r="C1784" t="inlineStr">
        <is>
          <t>SUP-09</t>
        </is>
      </c>
      <c r="D1784" t="inlineStr">
        <is>
          <t>CHEM</t>
        </is>
      </c>
      <c r="E1784" t="inlineStr">
        <is>
          <t>CHEM-03</t>
        </is>
      </c>
      <c r="F1784" s="17" t="n">
        <v>45839</v>
      </c>
      <c r="G1784" s="17" t="n">
        <v>45853</v>
      </c>
      <c r="H1784" s="18" t="n">
        <v>8</v>
      </c>
      <c r="I1784" s="19" t="n">
        <v>258.58</v>
      </c>
      <c r="J1784" s="19" t="n">
        <v>265</v>
      </c>
      <c r="K1784" s="20" t="n">
        <v>0</v>
      </c>
      <c r="L1784" s="20" t="n">
        <v>0</v>
      </c>
      <c r="M1784" s="18" t="n">
        <v>8</v>
      </c>
      <c r="N1784" s="18" t="n">
        <v>8</v>
      </c>
      <c r="O1784" s="18" t="n">
        <v>0</v>
      </c>
      <c r="P1784" s="17" t="n">
        <v>45850</v>
      </c>
      <c r="Q1784" s="17" t="n">
        <v>45850</v>
      </c>
      <c r="R1784" s="17" t="n">
        <v>45850</v>
      </c>
      <c r="S1784" s="19">
        <f>H1784*I1784</f>
        <v/>
      </c>
      <c r="T1784" s="19">
        <f>H1784*J1784</f>
        <v/>
      </c>
      <c r="U1784">
        <f>IF(AND(K1784=0,G1784&lt;=Assumptions!$C$6),1,0)</f>
        <v/>
      </c>
      <c r="V1784">
        <f>IF(U1784=1,IF(M1784&gt;0,IF(P1784&lt;=G1784+Assumptions!$C$7,1,0),0),0)</f>
        <v/>
      </c>
      <c r="W1784">
        <f>IF(AND(U1784=1,M1784&gt;=H1784*(1-Assumptions!$C$8)),1,0)</f>
        <v/>
      </c>
      <c r="X1784">
        <f>IF(AND(U1784=1,N1784&gt;=H1784*(1-Assumptions!$C$8)),1,0)</f>
        <v/>
      </c>
      <c r="Y1784">
        <f>IF(ISNUMBER(Q1784),1,0)</f>
        <v/>
      </c>
      <c r="Z1784">
        <f>IF(AND(K1784=0,L1784=0,Y1784=0),1,0)</f>
        <v/>
      </c>
      <c r="AA1784">
        <f>IF(AND(Z1784=1,G1784&lt;Assumptions!$C$6),1,0)</f>
        <v/>
      </c>
      <c r="AB1784">
        <f>IF(U1784=0,"",IF(Y1784=1,MAX(0,Q1784-G1784),IF(L1784=1,MAX(0,R1784-G1784),MAX(0,Assumptions!$C$6-G1784))))</f>
        <v/>
      </c>
      <c r="AC1784">
        <f>IF(Y1784=1,Q1784-F1784,"")</f>
        <v/>
      </c>
      <c r="AD1784">
        <f>IF(Y1784=1,AC1784^2,"")</f>
        <v/>
      </c>
      <c r="AE1784" s="19">
        <f>IF(Z1784=1,(H1784-M1784)*I1784,0)</f>
        <v/>
      </c>
      <c r="AF1784">
        <f>IF(G1784&lt;EDATE(Assumptions!$C$6,-12)+1,"prior_12m","last_12m")</f>
        <v/>
      </c>
      <c r="AG1784" s="21">
        <f>DATE(YEAR(G1784),MONTH(G1784),1)</f>
        <v/>
      </c>
    </row>
    <row r="1785">
      <c r="A1785" t="inlineStr">
        <is>
          <t>SPO-00973-1</t>
        </is>
      </c>
      <c r="B1785" t="inlineStr">
        <is>
          <t>SPO-00973</t>
        </is>
      </c>
      <c r="C1785" t="inlineStr">
        <is>
          <t>SUP-04</t>
        </is>
      </c>
      <c r="D1785" t="inlineStr">
        <is>
          <t>FLEET</t>
        </is>
      </c>
      <c r="E1785" t="inlineStr">
        <is>
          <t>FLEET-02</t>
        </is>
      </c>
      <c r="F1785" s="17" t="n">
        <v>45839</v>
      </c>
      <c r="G1785" s="17" t="n">
        <v>45852</v>
      </c>
      <c r="H1785" s="18" t="n">
        <v>126</v>
      </c>
      <c r="I1785" s="19" t="n">
        <v>7.39</v>
      </c>
      <c r="J1785" s="19" t="n">
        <v>7.5</v>
      </c>
      <c r="K1785" s="20" t="n">
        <v>0</v>
      </c>
      <c r="L1785" s="20" t="n">
        <v>0</v>
      </c>
      <c r="M1785" s="18" t="n">
        <v>126</v>
      </c>
      <c r="N1785" s="18" t="n">
        <v>0</v>
      </c>
      <c r="O1785" s="18" t="n">
        <v>0</v>
      </c>
      <c r="P1785" s="17" t="n">
        <v>45864</v>
      </c>
      <c r="Q1785" s="17" t="n">
        <v>45864</v>
      </c>
      <c r="R1785" s="17" t="n">
        <v>45864</v>
      </c>
      <c r="S1785" s="19">
        <f>H1785*I1785</f>
        <v/>
      </c>
      <c r="T1785" s="19">
        <f>H1785*J1785</f>
        <v/>
      </c>
      <c r="U1785">
        <f>IF(AND(K1785=0,G1785&lt;=Assumptions!$C$6),1,0)</f>
        <v/>
      </c>
      <c r="V1785">
        <f>IF(U1785=1,IF(M1785&gt;0,IF(P1785&lt;=G1785+Assumptions!$C$7,1,0),0),0)</f>
        <v/>
      </c>
      <c r="W1785">
        <f>IF(AND(U1785=1,M1785&gt;=H1785*(1-Assumptions!$C$8)),1,0)</f>
        <v/>
      </c>
      <c r="X1785">
        <f>IF(AND(U1785=1,N1785&gt;=H1785*(1-Assumptions!$C$8)),1,0)</f>
        <v/>
      </c>
      <c r="Y1785">
        <f>IF(ISNUMBER(Q1785),1,0)</f>
        <v/>
      </c>
      <c r="Z1785">
        <f>IF(AND(K1785=0,L1785=0,Y1785=0),1,0)</f>
        <v/>
      </c>
      <c r="AA1785">
        <f>IF(AND(Z1785=1,G1785&lt;Assumptions!$C$6),1,0)</f>
        <v/>
      </c>
      <c r="AB1785">
        <f>IF(U1785=0,"",IF(Y1785=1,MAX(0,Q1785-G1785),IF(L1785=1,MAX(0,R1785-G1785),MAX(0,Assumptions!$C$6-G1785))))</f>
        <v/>
      </c>
      <c r="AC1785">
        <f>IF(Y1785=1,Q1785-F1785,"")</f>
        <v/>
      </c>
      <c r="AD1785">
        <f>IF(Y1785=1,AC1785^2,"")</f>
        <v/>
      </c>
      <c r="AE1785" s="19">
        <f>IF(Z1785=1,(H1785-M1785)*I1785,0)</f>
        <v/>
      </c>
      <c r="AF1785">
        <f>IF(G1785&lt;EDATE(Assumptions!$C$6,-12)+1,"prior_12m","last_12m")</f>
        <v/>
      </c>
      <c r="AG1785" s="21">
        <f>DATE(YEAR(G1785),MONTH(G1785),1)</f>
        <v/>
      </c>
    </row>
    <row r="1786">
      <c r="A1786" t="inlineStr">
        <is>
          <t>SPO-00974-1</t>
        </is>
      </c>
      <c r="B1786" t="inlineStr">
        <is>
          <t>SPO-00974</t>
        </is>
      </c>
      <c r="C1786" t="inlineStr">
        <is>
          <t>SUP-08</t>
        </is>
      </c>
      <c r="D1786" t="inlineStr">
        <is>
          <t>PPE</t>
        </is>
      </c>
      <c r="E1786" t="inlineStr">
        <is>
          <t>PPE-04</t>
        </is>
      </c>
      <c r="F1786" s="17" t="n">
        <v>45840</v>
      </c>
      <c r="G1786" s="17" t="n">
        <v>45851</v>
      </c>
      <c r="H1786" s="18" t="n">
        <v>55</v>
      </c>
      <c r="I1786" s="19" t="n">
        <v>26.29</v>
      </c>
      <c r="J1786" s="19" t="n">
        <v>26</v>
      </c>
      <c r="K1786" s="20" t="n">
        <v>0</v>
      </c>
      <c r="L1786" s="20" t="n">
        <v>0</v>
      </c>
      <c r="M1786" s="18" t="n">
        <v>55</v>
      </c>
      <c r="N1786" s="18" t="n">
        <v>55</v>
      </c>
      <c r="O1786" s="18" t="n">
        <v>0</v>
      </c>
      <c r="P1786" s="17" t="n">
        <v>45851</v>
      </c>
      <c r="Q1786" s="17" t="n">
        <v>45851</v>
      </c>
      <c r="R1786" s="17" t="n">
        <v>45851</v>
      </c>
      <c r="S1786" s="19">
        <f>H1786*I1786</f>
        <v/>
      </c>
      <c r="T1786" s="19">
        <f>H1786*J1786</f>
        <v/>
      </c>
      <c r="U1786">
        <f>IF(AND(K1786=0,G1786&lt;=Assumptions!$C$6),1,0)</f>
        <v/>
      </c>
      <c r="V1786">
        <f>IF(U1786=1,IF(M1786&gt;0,IF(P1786&lt;=G1786+Assumptions!$C$7,1,0),0),0)</f>
        <v/>
      </c>
      <c r="W1786">
        <f>IF(AND(U1786=1,M1786&gt;=H1786*(1-Assumptions!$C$8)),1,0)</f>
        <v/>
      </c>
      <c r="X1786">
        <f>IF(AND(U1786=1,N1786&gt;=H1786*(1-Assumptions!$C$8)),1,0)</f>
        <v/>
      </c>
      <c r="Y1786">
        <f>IF(ISNUMBER(Q1786),1,0)</f>
        <v/>
      </c>
      <c r="Z1786">
        <f>IF(AND(K1786=0,L1786=0,Y1786=0),1,0)</f>
        <v/>
      </c>
      <c r="AA1786">
        <f>IF(AND(Z1786=1,G1786&lt;Assumptions!$C$6),1,0)</f>
        <v/>
      </c>
      <c r="AB1786">
        <f>IF(U1786=0,"",IF(Y1786=1,MAX(0,Q1786-G1786),IF(L1786=1,MAX(0,R1786-G1786),MAX(0,Assumptions!$C$6-G1786))))</f>
        <v/>
      </c>
      <c r="AC1786">
        <f>IF(Y1786=1,Q1786-F1786,"")</f>
        <v/>
      </c>
      <c r="AD1786">
        <f>IF(Y1786=1,AC1786^2,"")</f>
        <v/>
      </c>
      <c r="AE1786" s="19">
        <f>IF(Z1786=1,(H1786-M1786)*I1786,0)</f>
        <v/>
      </c>
      <c r="AF1786">
        <f>IF(G1786&lt;EDATE(Assumptions!$C$6,-12)+1,"prior_12m","last_12m")</f>
        <v/>
      </c>
      <c r="AG1786" s="21">
        <f>DATE(YEAR(G1786),MONTH(G1786),1)</f>
        <v/>
      </c>
    </row>
    <row r="1787">
      <c r="A1787" t="inlineStr">
        <is>
          <t>SPO-00974-2</t>
        </is>
      </c>
      <c r="B1787" t="inlineStr">
        <is>
          <t>SPO-00974</t>
        </is>
      </c>
      <c r="C1787" t="inlineStr">
        <is>
          <t>SUP-08</t>
        </is>
      </c>
      <c r="D1787" t="inlineStr">
        <is>
          <t>PPE</t>
        </is>
      </c>
      <c r="E1787" t="inlineStr">
        <is>
          <t>PPE-01</t>
        </is>
      </c>
      <c r="F1787" s="17" t="n">
        <v>45840</v>
      </c>
      <c r="G1787" s="17" t="n">
        <v>45851</v>
      </c>
      <c r="H1787" s="18" t="n">
        <v>236</v>
      </c>
      <c r="I1787" s="19" t="n">
        <v>5.05</v>
      </c>
      <c r="J1787" s="19" t="n">
        <v>4.8</v>
      </c>
      <c r="K1787" s="20" t="n">
        <v>0</v>
      </c>
      <c r="L1787" s="20" t="n">
        <v>0</v>
      </c>
      <c r="M1787" s="18" t="n">
        <v>236</v>
      </c>
      <c r="N1787" s="18" t="n">
        <v>236</v>
      </c>
      <c r="O1787" s="18" t="n">
        <v>0</v>
      </c>
      <c r="P1787" s="17" t="n">
        <v>45847</v>
      </c>
      <c r="Q1787" s="17" t="n">
        <v>45847</v>
      </c>
      <c r="R1787" s="17" t="n">
        <v>45847</v>
      </c>
      <c r="S1787" s="19">
        <f>H1787*I1787</f>
        <v/>
      </c>
      <c r="T1787" s="19">
        <f>H1787*J1787</f>
        <v/>
      </c>
      <c r="U1787">
        <f>IF(AND(K1787=0,G1787&lt;=Assumptions!$C$6),1,0)</f>
        <v/>
      </c>
      <c r="V1787">
        <f>IF(U1787=1,IF(M1787&gt;0,IF(P1787&lt;=G1787+Assumptions!$C$7,1,0),0),0)</f>
        <v/>
      </c>
      <c r="W1787">
        <f>IF(AND(U1787=1,M1787&gt;=H1787*(1-Assumptions!$C$8)),1,0)</f>
        <v/>
      </c>
      <c r="X1787">
        <f>IF(AND(U1787=1,N1787&gt;=H1787*(1-Assumptions!$C$8)),1,0)</f>
        <v/>
      </c>
      <c r="Y1787">
        <f>IF(ISNUMBER(Q1787),1,0)</f>
        <v/>
      </c>
      <c r="Z1787">
        <f>IF(AND(K1787=0,L1787=0,Y1787=0),1,0)</f>
        <v/>
      </c>
      <c r="AA1787">
        <f>IF(AND(Z1787=1,G1787&lt;Assumptions!$C$6),1,0)</f>
        <v/>
      </c>
      <c r="AB1787">
        <f>IF(U1787=0,"",IF(Y1787=1,MAX(0,Q1787-G1787),IF(L1787=1,MAX(0,R1787-G1787),MAX(0,Assumptions!$C$6-G1787))))</f>
        <v/>
      </c>
      <c r="AC1787">
        <f>IF(Y1787=1,Q1787-F1787,"")</f>
        <v/>
      </c>
      <c r="AD1787">
        <f>IF(Y1787=1,AC1787^2,"")</f>
        <v/>
      </c>
      <c r="AE1787" s="19">
        <f>IF(Z1787=1,(H1787-M1787)*I1787,0)</f>
        <v/>
      </c>
      <c r="AF1787">
        <f>IF(G1787&lt;EDATE(Assumptions!$C$6,-12)+1,"prior_12m","last_12m")</f>
        <v/>
      </c>
      <c r="AG1787" s="21">
        <f>DATE(YEAR(G1787),MONTH(G1787),1)</f>
        <v/>
      </c>
    </row>
    <row r="1788">
      <c r="A1788" t="inlineStr">
        <is>
          <t>SPO-00974-3</t>
        </is>
      </c>
      <c r="B1788" t="inlineStr">
        <is>
          <t>SPO-00974</t>
        </is>
      </c>
      <c r="C1788" t="inlineStr">
        <is>
          <t>SUP-08</t>
        </is>
      </c>
      <c r="D1788" t="inlineStr">
        <is>
          <t>PPE</t>
        </is>
      </c>
      <c r="E1788" t="inlineStr">
        <is>
          <t>PPE-03</t>
        </is>
      </c>
      <c r="F1788" s="17" t="n">
        <v>45840</v>
      </c>
      <c r="G1788" s="17" t="n">
        <v>45851</v>
      </c>
      <c r="H1788" s="18" t="n">
        <v>54</v>
      </c>
      <c r="I1788" s="19" t="n">
        <v>21.38</v>
      </c>
      <c r="J1788" s="19" t="n">
        <v>21</v>
      </c>
      <c r="K1788" s="20" t="n">
        <v>0</v>
      </c>
      <c r="L1788" s="20" t="n">
        <v>0</v>
      </c>
      <c r="M1788" s="18" t="n">
        <v>54</v>
      </c>
      <c r="N1788" s="18" t="n">
        <v>54</v>
      </c>
      <c r="O1788" s="18" t="n">
        <v>0</v>
      </c>
      <c r="P1788" s="17" t="n">
        <v>45847</v>
      </c>
      <c r="Q1788" s="17" t="n">
        <v>45847</v>
      </c>
      <c r="R1788" s="17" t="n">
        <v>45847</v>
      </c>
      <c r="S1788" s="19">
        <f>H1788*I1788</f>
        <v/>
      </c>
      <c r="T1788" s="19">
        <f>H1788*J1788</f>
        <v/>
      </c>
      <c r="U1788">
        <f>IF(AND(K1788=0,G1788&lt;=Assumptions!$C$6),1,0)</f>
        <v/>
      </c>
      <c r="V1788">
        <f>IF(U1788=1,IF(M1788&gt;0,IF(P1788&lt;=G1788+Assumptions!$C$7,1,0),0),0)</f>
        <v/>
      </c>
      <c r="W1788">
        <f>IF(AND(U1788=1,M1788&gt;=H1788*(1-Assumptions!$C$8)),1,0)</f>
        <v/>
      </c>
      <c r="X1788">
        <f>IF(AND(U1788=1,N1788&gt;=H1788*(1-Assumptions!$C$8)),1,0)</f>
        <v/>
      </c>
      <c r="Y1788">
        <f>IF(ISNUMBER(Q1788),1,0)</f>
        <v/>
      </c>
      <c r="Z1788">
        <f>IF(AND(K1788=0,L1788=0,Y1788=0),1,0)</f>
        <v/>
      </c>
      <c r="AA1788">
        <f>IF(AND(Z1788=1,G1788&lt;Assumptions!$C$6),1,0)</f>
        <v/>
      </c>
      <c r="AB1788">
        <f>IF(U1788=0,"",IF(Y1788=1,MAX(0,Q1788-G1788),IF(L1788=1,MAX(0,R1788-G1788),MAX(0,Assumptions!$C$6-G1788))))</f>
        <v/>
      </c>
      <c r="AC1788">
        <f>IF(Y1788=1,Q1788-F1788,"")</f>
        <v/>
      </c>
      <c r="AD1788">
        <f>IF(Y1788=1,AC1788^2,"")</f>
        <v/>
      </c>
      <c r="AE1788" s="19">
        <f>IF(Z1788=1,(H1788-M1788)*I1788,0)</f>
        <v/>
      </c>
      <c r="AF1788">
        <f>IF(G1788&lt;EDATE(Assumptions!$C$6,-12)+1,"prior_12m","last_12m")</f>
        <v/>
      </c>
      <c r="AG1788" s="21">
        <f>DATE(YEAR(G1788),MONTH(G1788),1)</f>
        <v/>
      </c>
    </row>
    <row r="1789">
      <c r="A1789" t="inlineStr">
        <is>
          <t>SPO-00974-4</t>
        </is>
      </c>
      <c r="B1789" t="inlineStr">
        <is>
          <t>SPO-00974</t>
        </is>
      </c>
      <c r="C1789" t="inlineStr">
        <is>
          <t>SUP-08</t>
        </is>
      </c>
      <c r="D1789" t="inlineStr">
        <is>
          <t>PPE</t>
        </is>
      </c>
      <c r="E1789" t="inlineStr">
        <is>
          <t>PPE-08</t>
        </is>
      </c>
      <c r="F1789" s="17" t="n">
        <v>45840</v>
      </c>
      <c r="G1789" s="17" t="n">
        <v>45851</v>
      </c>
      <c r="H1789" s="18" t="n">
        <v>58</v>
      </c>
      <c r="I1789" s="19" t="n">
        <v>62.11</v>
      </c>
      <c r="J1789" s="19" t="n">
        <v>64</v>
      </c>
      <c r="K1789" s="20" t="n">
        <v>0</v>
      </c>
      <c r="L1789" s="20" t="n">
        <v>0</v>
      </c>
      <c r="M1789" s="18" t="n">
        <v>58</v>
      </c>
      <c r="N1789" s="18" t="n">
        <v>43</v>
      </c>
      <c r="O1789" s="18" t="n">
        <v>0</v>
      </c>
      <c r="P1789" s="17" t="n">
        <v>45847</v>
      </c>
      <c r="Q1789" s="17" t="n">
        <v>45866</v>
      </c>
      <c r="R1789" s="17" t="n">
        <v>45866</v>
      </c>
      <c r="S1789" s="19">
        <f>H1789*I1789</f>
        <v/>
      </c>
      <c r="T1789" s="19">
        <f>H1789*J1789</f>
        <v/>
      </c>
      <c r="U1789">
        <f>IF(AND(K1789=0,G1789&lt;=Assumptions!$C$6),1,0)</f>
        <v/>
      </c>
      <c r="V1789">
        <f>IF(U1789=1,IF(M1789&gt;0,IF(P1789&lt;=G1789+Assumptions!$C$7,1,0),0),0)</f>
        <v/>
      </c>
      <c r="W1789">
        <f>IF(AND(U1789=1,M1789&gt;=H1789*(1-Assumptions!$C$8)),1,0)</f>
        <v/>
      </c>
      <c r="X1789">
        <f>IF(AND(U1789=1,N1789&gt;=H1789*(1-Assumptions!$C$8)),1,0)</f>
        <v/>
      </c>
      <c r="Y1789">
        <f>IF(ISNUMBER(Q1789),1,0)</f>
        <v/>
      </c>
      <c r="Z1789">
        <f>IF(AND(K1789=0,L1789=0,Y1789=0),1,0)</f>
        <v/>
      </c>
      <c r="AA1789">
        <f>IF(AND(Z1789=1,G1789&lt;Assumptions!$C$6),1,0)</f>
        <v/>
      </c>
      <c r="AB1789">
        <f>IF(U1789=0,"",IF(Y1789=1,MAX(0,Q1789-G1789),IF(L1789=1,MAX(0,R1789-G1789),MAX(0,Assumptions!$C$6-G1789))))</f>
        <v/>
      </c>
      <c r="AC1789">
        <f>IF(Y1789=1,Q1789-F1789,"")</f>
        <v/>
      </c>
      <c r="AD1789">
        <f>IF(Y1789=1,AC1789^2,"")</f>
        <v/>
      </c>
      <c r="AE1789" s="19">
        <f>IF(Z1789=1,(H1789-M1789)*I1789,0)</f>
        <v/>
      </c>
      <c r="AF1789">
        <f>IF(G1789&lt;EDATE(Assumptions!$C$6,-12)+1,"prior_12m","last_12m")</f>
        <v/>
      </c>
      <c r="AG1789" s="21">
        <f>DATE(YEAR(G1789),MONTH(G1789),1)</f>
        <v/>
      </c>
    </row>
    <row r="1790">
      <c r="A1790" t="inlineStr">
        <is>
          <t>SPO-00975-1</t>
        </is>
      </c>
      <c r="B1790" t="inlineStr">
        <is>
          <t>SPO-00975</t>
        </is>
      </c>
      <c r="C1790" t="inlineStr">
        <is>
          <t>SUP-07</t>
        </is>
      </c>
      <c r="D1790" t="inlineStr">
        <is>
          <t>MRO</t>
        </is>
      </c>
      <c r="E1790" t="inlineStr">
        <is>
          <t>MRO-02</t>
        </is>
      </c>
      <c r="F1790" s="17" t="n">
        <v>45840</v>
      </c>
      <c r="G1790" s="17" t="n">
        <v>45850</v>
      </c>
      <c r="H1790" s="18" t="n">
        <v>28</v>
      </c>
      <c r="I1790" s="19" t="n">
        <v>39.68</v>
      </c>
      <c r="J1790" s="19" t="n">
        <v>41</v>
      </c>
      <c r="K1790" s="20" t="n">
        <v>0</v>
      </c>
      <c r="L1790" s="20" t="n">
        <v>0</v>
      </c>
      <c r="M1790" s="18" t="n">
        <v>28</v>
      </c>
      <c r="N1790" s="18" t="n">
        <v>0</v>
      </c>
      <c r="O1790" s="18" t="n">
        <v>0</v>
      </c>
      <c r="P1790" s="17" t="n">
        <v>45851</v>
      </c>
      <c r="Q1790" s="17" t="n">
        <v>45859</v>
      </c>
      <c r="R1790" s="17" t="n">
        <v>45859</v>
      </c>
      <c r="S1790" s="19">
        <f>H1790*I1790</f>
        <v/>
      </c>
      <c r="T1790" s="19">
        <f>H1790*J1790</f>
        <v/>
      </c>
      <c r="U1790">
        <f>IF(AND(K1790=0,G1790&lt;=Assumptions!$C$6),1,0)</f>
        <v/>
      </c>
      <c r="V1790">
        <f>IF(U1790=1,IF(M1790&gt;0,IF(P1790&lt;=G1790+Assumptions!$C$7,1,0),0),0)</f>
        <v/>
      </c>
      <c r="W1790">
        <f>IF(AND(U1790=1,M1790&gt;=H1790*(1-Assumptions!$C$8)),1,0)</f>
        <v/>
      </c>
      <c r="X1790">
        <f>IF(AND(U1790=1,N1790&gt;=H1790*(1-Assumptions!$C$8)),1,0)</f>
        <v/>
      </c>
      <c r="Y1790">
        <f>IF(ISNUMBER(Q1790),1,0)</f>
        <v/>
      </c>
      <c r="Z1790">
        <f>IF(AND(K1790=0,L1790=0,Y1790=0),1,0)</f>
        <v/>
      </c>
      <c r="AA1790">
        <f>IF(AND(Z1790=1,G1790&lt;Assumptions!$C$6),1,0)</f>
        <v/>
      </c>
      <c r="AB1790">
        <f>IF(U1790=0,"",IF(Y1790=1,MAX(0,Q1790-G1790),IF(L1790=1,MAX(0,R1790-G1790),MAX(0,Assumptions!$C$6-G1790))))</f>
        <v/>
      </c>
      <c r="AC1790">
        <f>IF(Y1790=1,Q1790-F1790,"")</f>
        <v/>
      </c>
      <c r="AD1790">
        <f>IF(Y1790=1,AC1790^2,"")</f>
        <v/>
      </c>
      <c r="AE1790" s="19">
        <f>IF(Z1790=1,(H1790-M1790)*I1790,0)</f>
        <v/>
      </c>
      <c r="AF1790">
        <f>IF(G1790&lt;EDATE(Assumptions!$C$6,-12)+1,"prior_12m","last_12m")</f>
        <v/>
      </c>
      <c r="AG1790" s="21">
        <f>DATE(YEAR(G1790),MONTH(G1790),1)</f>
        <v/>
      </c>
    </row>
    <row r="1791">
      <c r="A1791" t="inlineStr">
        <is>
          <t>SPO-00975-2</t>
        </is>
      </c>
      <c r="B1791" t="inlineStr">
        <is>
          <t>SPO-00975</t>
        </is>
      </c>
      <c r="C1791" t="inlineStr">
        <is>
          <t>SUP-07</t>
        </is>
      </c>
      <c r="D1791" t="inlineStr">
        <is>
          <t>MRO</t>
        </is>
      </c>
      <c r="E1791" t="inlineStr">
        <is>
          <t>MRO-04</t>
        </is>
      </c>
      <c r="F1791" s="17" t="n">
        <v>45840</v>
      </c>
      <c r="G1791" s="17" t="n">
        <v>45850</v>
      </c>
      <c r="H1791" s="18" t="n">
        <v>22</v>
      </c>
      <c r="I1791" s="19" t="n">
        <v>55.43</v>
      </c>
      <c r="J1791" s="19" t="n">
        <v>58</v>
      </c>
      <c r="K1791" s="20" t="n">
        <v>0</v>
      </c>
      <c r="L1791" s="20" t="n">
        <v>0</v>
      </c>
      <c r="M1791" s="18" t="n">
        <v>22</v>
      </c>
      <c r="N1791" s="18" t="n">
        <v>22</v>
      </c>
      <c r="O1791" s="18" t="n">
        <v>0</v>
      </c>
      <c r="P1791" s="17" t="n">
        <v>45846</v>
      </c>
      <c r="Q1791" s="17" t="n">
        <v>45846</v>
      </c>
      <c r="R1791" s="17" t="n">
        <v>45846</v>
      </c>
      <c r="S1791" s="19">
        <f>H1791*I1791</f>
        <v/>
      </c>
      <c r="T1791" s="19">
        <f>H1791*J1791</f>
        <v/>
      </c>
      <c r="U1791">
        <f>IF(AND(K1791=0,G1791&lt;=Assumptions!$C$6),1,0)</f>
        <v/>
      </c>
      <c r="V1791">
        <f>IF(U1791=1,IF(M1791&gt;0,IF(P1791&lt;=G1791+Assumptions!$C$7,1,0),0),0)</f>
        <v/>
      </c>
      <c r="W1791">
        <f>IF(AND(U1791=1,M1791&gt;=H1791*(1-Assumptions!$C$8)),1,0)</f>
        <v/>
      </c>
      <c r="X1791">
        <f>IF(AND(U1791=1,N1791&gt;=H1791*(1-Assumptions!$C$8)),1,0)</f>
        <v/>
      </c>
      <c r="Y1791">
        <f>IF(ISNUMBER(Q1791),1,0)</f>
        <v/>
      </c>
      <c r="Z1791">
        <f>IF(AND(K1791=0,L1791=0,Y1791=0),1,0)</f>
        <v/>
      </c>
      <c r="AA1791">
        <f>IF(AND(Z1791=1,G1791&lt;Assumptions!$C$6),1,0)</f>
        <v/>
      </c>
      <c r="AB1791">
        <f>IF(U1791=0,"",IF(Y1791=1,MAX(0,Q1791-G1791),IF(L1791=1,MAX(0,R1791-G1791),MAX(0,Assumptions!$C$6-G1791))))</f>
        <v/>
      </c>
      <c r="AC1791">
        <f>IF(Y1791=1,Q1791-F1791,"")</f>
        <v/>
      </c>
      <c r="AD1791">
        <f>IF(Y1791=1,AC1791^2,"")</f>
        <v/>
      </c>
      <c r="AE1791" s="19">
        <f>IF(Z1791=1,(H1791-M1791)*I1791,0)</f>
        <v/>
      </c>
      <c r="AF1791">
        <f>IF(G1791&lt;EDATE(Assumptions!$C$6,-12)+1,"prior_12m","last_12m")</f>
        <v/>
      </c>
      <c r="AG1791" s="21">
        <f>DATE(YEAR(G1791),MONTH(G1791),1)</f>
        <v/>
      </c>
    </row>
    <row r="1792">
      <c r="A1792" t="inlineStr">
        <is>
          <t>SPO-00976-1</t>
        </is>
      </c>
      <c r="B1792" t="inlineStr">
        <is>
          <t>SPO-00976</t>
        </is>
      </c>
      <c r="C1792" t="inlineStr">
        <is>
          <t>SUP-06</t>
        </is>
      </c>
      <c r="D1792" t="inlineStr">
        <is>
          <t>MRO</t>
        </is>
      </c>
      <c r="E1792" t="inlineStr">
        <is>
          <t>MRO-07</t>
        </is>
      </c>
      <c r="F1792" s="17" t="n">
        <v>45841</v>
      </c>
      <c r="G1792" s="17" t="n">
        <v>45849</v>
      </c>
      <c r="H1792" s="18" t="n">
        <v>66</v>
      </c>
      <c r="I1792" s="19" t="n">
        <v>13.71</v>
      </c>
      <c r="J1792" s="19" t="n">
        <v>14</v>
      </c>
      <c r="K1792" s="20" t="n">
        <v>0</v>
      </c>
      <c r="L1792" s="20" t="n">
        <v>0</v>
      </c>
      <c r="M1792" s="18" t="n">
        <v>66</v>
      </c>
      <c r="N1792" s="18" t="n">
        <v>66</v>
      </c>
      <c r="O1792" s="18" t="n">
        <v>0</v>
      </c>
      <c r="P1792" s="17" t="n">
        <v>45847</v>
      </c>
      <c r="Q1792" s="17" t="n">
        <v>45847</v>
      </c>
      <c r="R1792" s="17" t="n">
        <v>45847</v>
      </c>
      <c r="S1792" s="19">
        <f>H1792*I1792</f>
        <v/>
      </c>
      <c r="T1792" s="19">
        <f>H1792*J1792</f>
        <v/>
      </c>
      <c r="U1792">
        <f>IF(AND(K1792=0,G1792&lt;=Assumptions!$C$6),1,0)</f>
        <v/>
      </c>
      <c r="V1792">
        <f>IF(U1792=1,IF(M1792&gt;0,IF(P1792&lt;=G1792+Assumptions!$C$7,1,0),0),0)</f>
        <v/>
      </c>
      <c r="W1792">
        <f>IF(AND(U1792=1,M1792&gt;=H1792*(1-Assumptions!$C$8)),1,0)</f>
        <v/>
      </c>
      <c r="X1792">
        <f>IF(AND(U1792=1,N1792&gt;=H1792*(1-Assumptions!$C$8)),1,0)</f>
        <v/>
      </c>
      <c r="Y1792">
        <f>IF(ISNUMBER(Q1792),1,0)</f>
        <v/>
      </c>
      <c r="Z1792">
        <f>IF(AND(K1792=0,L1792=0,Y1792=0),1,0)</f>
        <v/>
      </c>
      <c r="AA1792">
        <f>IF(AND(Z1792=1,G1792&lt;Assumptions!$C$6),1,0)</f>
        <v/>
      </c>
      <c r="AB1792">
        <f>IF(U1792=0,"",IF(Y1792=1,MAX(0,Q1792-G1792),IF(L1792=1,MAX(0,R1792-G1792),MAX(0,Assumptions!$C$6-G1792))))</f>
        <v/>
      </c>
      <c r="AC1792">
        <f>IF(Y1792=1,Q1792-F1792,"")</f>
        <v/>
      </c>
      <c r="AD1792">
        <f>IF(Y1792=1,AC1792^2,"")</f>
        <v/>
      </c>
      <c r="AE1792" s="19">
        <f>IF(Z1792=1,(H1792-M1792)*I1792,0)</f>
        <v/>
      </c>
      <c r="AF1792">
        <f>IF(G1792&lt;EDATE(Assumptions!$C$6,-12)+1,"prior_12m","last_12m")</f>
        <v/>
      </c>
      <c r="AG1792" s="21">
        <f>DATE(YEAR(G1792),MONTH(G1792),1)</f>
        <v/>
      </c>
    </row>
    <row r="1793">
      <c r="A1793" t="inlineStr">
        <is>
          <t>SPO-00977-1</t>
        </is>
      </c>
      <c r="B1793" t="inlineStr">
        <is>
          <t>SPO-00977</t>
        </is>
      </c>
      <c r="C1793" t="inlineStr">
        <is>
          <t>SUP-09</t>
        </is>
      </c>
      <c r="D1793" t="inlineStr">
        <is>
          <t>CHEM</t>
        </is>
      </c>
      <c r="E1793" t="inlineStr">
        <is>
          <t>CHEM-02</t>
        </is>
      </c>
      <c r="F1793" s="17" t="n">
        <v>45841</v>
      </c>
      <c r="G1793" s="17" t="n">
        <v>45855</v>
      </c>
      <c r="H1793" s="18" t="n">
        <v>3</v>
      </c>
      <c r="I1793" s="19" t="n">
        <v>395.59</v>
      </c>
      <c r="J1793" s="19" t="n">
        <v>410</v>
      </c>
      <c r="K1793" s="20" t="n">
        <v>0</v>
      </c>
      <c r="L1793" s="20" t="n">
        <v>0</v>
      </c>
      <c r="M1793" s="18" t="n">
        <v>3</v>
      </c>
      <c r="N1793" s="18" t="n">
        <v>3</v>
      </c>
      <c r="O1793" s="18" t="n">
        <v>0</v>
      </c>
      <c r="P1793" s="17" t="n">
        <v>45854</v>
      </c>
      <c r="Q1793" s="17" t="n">
        <v>45854</v>
      </c>
      <c r="R1793" s="17" t="n">
        <v>45854</v>
      </c>
      <c r="S1793" s="19">
        <f>H1793*I1793</f>
        <v/>
      </c>
      <c r="T1793" s="19">
        <f>H1793*J1793</f>
        <v/>
      </c>
      <c r="U1793">
        <f>IF(AND(K1793=0,G1793&lt;=Assumptions!$C$6),1,0)</f>
        <v/>
      </c>
      <c r="V1793">
        <f>IF(U1793=1,IF(M1793&gt;0,IF(P1793&lt;=G1793+Assumptions!$C$7,1,0),0),0)</f>
        <v/>
      </c>
      <c r="W1793">
        <f>IF(AND(U1793=1,M1793&gt;=H1793*(1-Assumptions!$C$8)),1,0)</f>
        <v/>
      </c>
      <c r="X1793">
        <f>IF(AND(U1793=1,N1793&gt;=H1793*(1-Assumptions!$C$8)),1,0)</f>
        <v/>
      </c>
      <c r="Y1793">
        <f>IF(ISNUMBER(Q1793),1,0)</f>
        <v/>
      </c>
      <c r="Z1793">
        <f>IF(AND(K1793=0,L1793=0,Y1793=0),1,0)</f>
        <v/>
      </c>
      <c r="AA1793">
        <f>IF(AND(Z1793=1,G1793&lt;Assumptions!$C$6),1,0)</f>
        <v/>
      </c>
      <c r="AB1793">
        <f>IF(U1793=0,"",IF(Y1793=1,MAX(0,Q1793-G1793),IF(L1793=1,MAX(0,R1793-G1793),MAX(0,Assumptions!$C$6-G1793))))</f>
        <v/>
      </c>
      <c r="AC1793">
        <f>IF(Y1793=1,Q1793-F1793,"")</f>
        <v/>
      </c>
      <c r="AD1793">
        <f>IF(Y1793=1,AC1793^2,"")</f>
        <v/>
      </c>
      <c r="AE1793" s="19">
        <f>IF(Z1793=1,(H1793-M1793)*I1793,0)</f>
        <v/>
      </c>
      <c r="AF1793">
        <f>IF(G1793&lt;EDATE(Assumptions!$C$6,-12)+1,"prior_12m","last_12m")</f>
        <v/>
      </c>
      <c r="AG1793" s="21">
        <f>DATE(YEAR(G1793),MONTH(G1793),1)</f>
        <v/>
      </c>
    </row>
    <row r="1794">
      <c r="A1794" t="inlineStr">
        <is>
          <t>SPO-00978-1</t>
        </is>
      </c>
      <c r="B1794" t="inlineStr">
        <is>
          <t>SPO-00978</t>
        </is>
      </c>
      <c r="C1794" t="inlineStr">
        <is>
          <t>SUP-08</t>
        </is>
      </c>
      <c r="D1794" t="inlineStr">
        <is>
          <t>PPE</t>
        </is>
      </c>
      <c r="E1794" t="inlineStr">
        <is>
          <t>PPE-04</t>
        </is>
      </c>
      <c r="F1794" s="17" t="n">
        <v>45841</v>
      </c>
      <c r="G1794" s="17" t="n">
        <v>45852</v>
      </c>
      <c r="H1794" s="18" t="n">
        <v>23</v>
      </c>
      <c r="I1794" s="19" t="n">
        <v>26.69</v>
      </c>
      <c r="J1794" s="19" t="n">
        <v>26</v>
      </c>
      <c r="K1794" s="20" t="n">
        <v>0</v>
      </c>
      <c r="L1794" s="20" t="n">
        <v>0</v>
      </c>
      <c r="M1794" s="18" t="n">
        <v>23</v>
      </c>
      <c r="N1794" s="18" t="n">
        <v>23</v>
      </c>
      <c r="O1794" s="18" t="n">
        <v>0</v>
      </c>
      <c r="P1794" s="17" t="n">
        <v>45848</v>
      </c>
      <c r="Q1794" s="17" t="n">
        <v>45848</v>
      </c>
      <c r="R1794" s="17" t="n">
        <v>45848</v>
      </c>
      <c r="S1794" s="19">
        <f>H1794*I1794</f>
        <v/>
      </c>
      <c r="T1794" s="19">
        <f>H1794*J1794</f>
        <v/>
      </c>
      <c r="U1794">
        <f>IF(AND(K1794=0,G1794&lt;=Assumptions!$C$6),1,0)</f>
        <v/>
      </c>
      <c r="V1794">
        <f>IF(U1794=1,IF(M1794&gt;0,IF(P1794&lt;=G1794+Assumptions!$C$7,1,0),0),0)</f>
        <v/>
      </c>
      <c r="W1794">
        <f>IF(AND(U1794=1,M1794&gt;=H1794*(1-Assumptions!$C$8)),1,0)</f>
        <v/>
      </c>
      <c r="X1794">
        <f>IF(AND(U1794=1,N1794&gt;=H1794*(1-Assumptions!$C$8)),1,0)</f>
        <v/>
      </c>
      <c r="Y1794">
        <f>IF(ISNUMBER(Q1794),1,0)</f>
        <v/>
      </c>
      <c r="Z1794">
        <f>IF(AND(K1794=0,L1794=0,Y1794=0),1,0)</f>
        <v/>
      </c>
      <c r="AA1794">
        <f>IF(AND(Z1794=1,G1794&lt;Assumptions!$C$6),1,0)</f>
        <v/>
      </c>
      <c r="AB1794">
        <f>IF(U1794=0,"",IF(Y1794=1,MAX(0,Q1794-G1794),IF(L1794=1,MAX(0,R1794-G1794),MAX(0,Assumptions!$C$6-G1794))))</f>
        <v/>
      </c>
      <c r="AC1794">
        <f>IF(Y1794=1,Q1794-F1794,"")</f>
        <v/>
      </c>
      <c r="AD1794">
        <f>IF(Y1794=1,AC1794^2,"")</f>
        <v/>
      </c>
      <c r="AE1794" s="19">
        <f>IF(Z1794=1,(H1794-M1794)*I1794,0)</f>
        <v/>
      </c>
      <c r="AF1794">
        <f>IF(G1794&lt;EDATE(Assumptions!$C$6,-12)+1,"prior_12m","last_12m")</f>
        <v/>
      </c>
      <c r="AG1794" s="21">
        <f>DATE(YEAR(G1794),MONTH(G1794),1)</f>
        <v/>
      </c>
    </row>
    <row r="1795">
      <c r="A1795" t="inlineStr">
        <is>
          <t>SPO-00978-2</t>
        </is>
      </c>
      <c r="B1795" t="inlineStr">
        <is>
          <t>SPO-00978</t>
        </is>
      </c>
      <c r="C1795" t="inlineStr">
        <is>
          <t>SUP-08</t>
        </is>
      </c>
      <c r="D1795" t="inlineStr">
        <is>
          <t>PPE</t>
        </is>
      </c>
      <c r="E1795" t="inlineStr">
        <is>
          <t>PPE-06</t>
        </is>
      </c>
      <c r="F1795" s="17" t="n">
        <v>45841</v>
      </c>
      <c r="G1795" s="17" t="n">
        <v>45852</v>
      </c>
      <c r="H1795" s="18" t="n">
        <v>21</v>
      </c>
      <c r="I1795" s="19" t="n">
        <v>108.9</v>
      </c>
      <c r="J1795" s="19" t="n">
        <v>115</v>
      </c>
      <c r="K1795" s="20" t="n">
        <v>0</v>
      </c>
      <c r="L1795" s="20" t="n">
        <v>0</v>
      </c>
      <c r="M1795" s="18" t="n">
        <v>21</v>
      </c>
      <c r="N1795" s="18" t="n">
        <v>21</v>
      </c>
      <c r="O1795" s="18" t="n">
        <v>0</v>
      </c>
      <c r="P1795" s="17" t="n">
        <v>45849</v>
      </c>
      <c r="Q1795" s="17" t="n">
        <v>45849</v>
      </c>
      <c r="R1795" s="17" t="n">
        <v>45849</v>
      </c>
      <c r="S1795" s="19">
        <f>H1795*I1795</f>
        <v/>
      </c>
      <c r="T1795" s="19">
        <f>H1795*J1795</f>
        <v/>
      </c>
      <c r="U1795">
        <f>IF(AND(K1795=0,G1795&lt;=Assumptions!$C$6),1,0)</f>
        <v/>
      </c>
      <c r="V1795">
        <f>IF(U1795=1,IF(M1795&gt;0,IF(P1795&lt;=G1795+Assumptions!$C$7,1,0),0),0)</f>
        <v/>
      </c>
      <c r="W1795">
        <f>IF(AND(U1795=1,M1795&gt;=H1795*(1-Assumptions!$C$8)),1,0)</f>
        <v/>
      </c>
      <c r="X1795">
        <f>IF(AND(U1795=1,N1795&gt;=H1795*(1-Assumptions!$C$8)),1,0)</f>
        <v/>
      </c>
      <c r="Y1795">
        <f>IF(ISNUMBER(Q1795),1,0)</f>
        <v/>
      </c>
      <c r="Z1795">
        <f>IF(AND(K1795=0,L1795=0,Y1795=0),1,0)</f>
        <v/>
      </c>
      <c r="AA1795">
        <f>IF(AND(Z1795=1,G1795&lt;Assumptions!$C$6),1,0)</f>
        <v/>
      </c>
      <c r="AB1795">
        <f>IF(U1795=0,"",IF(Y1795=1,MAX(0,Q1795-G1795),IF(L1795=1,MAX(0,R1795-G1795),MAX(0,Assumptions!$C$6-G1795))))</f>
        <v/>
      </c>
      <c r="AC1795">
        <f>IF(Y1795=1,Q1795-F1795,"")</f>
        <v/>
      </c>
      <c r="AD1795">
        <f>IF(Y1795=1,AC1795^2,"")</f>
        <v/>
      </c>
      <c r="AE1795" s="19">
        <f>IF(Z1795=1,(H1795-M1795)*I1795,0)</f>
        <v/>
      </c>
      <c r="AF1795">
        <f>IF(G1795&lt;EDATE(Assumptions!$C$6,-12)+1,"prior_12m","last_12m")</f>
        <v/>
      </c>
      <c r="AG1795" s="21">
        <f>DATE(YEAR(G1795),MONTH(G1795),1)</f>
        <v/>
      </c>
    </row>
    <row r="1796">
      <c r="A1796" t="inlineStr">
        <is>
          <t>SPO-00978-3</t>
        </is>
      </c>
      <c r="B1796" t="inlineStr">
        <is>
          <t>SPO-00978</t>
        </is>
      </c>
      <c r="C1796" t="inlineStr">
        <is>
          <t>SUP-08</t>
        </is>
      </c>
      <c r="D1796" t="inlineStr">
        <is>
          <t>PPE</t>
        </is>
      </c>
      <c r="E1796" t="inlineStr">
        <is>
          <t>PPE-03</t>
        </is>
      </c>
      <c r="F1796" s="17" t="n">
        <v>45841</v>
      </c>
      <c r="G1796" s="17" t="n">
        <v>45852</v>
      </c>
      <c r="H1796" s="18" t="n">
        <v>51</v>
      </c>
      <c r="I1796" s="19" t="n">
        <v>20.43</v>
      </c>
      <c r="J1796" s="19" t="n">
        <v>21</v>
      </c>
      <c r="K1796" s="20" t="n">
        <v>0</v>
      </c>
      <c r="L1796" s="20" t="n">
        <v>0</v>
      </c>
      <c r="M1796" s="18" t="n">
        <v>51</v>
      </c>
      <c r="N1796" s="18" t="n">
        <v>51</v>
      </c>
      <c r="O1796" s="18" t="n">
        <v>0</v>
      </c>
      <c r="P1796" s="17" t="n">
        <v>45849</v>
      </c>
      <c r="Q1796" s="17" t="n">
        <v>45849</v>
      </c>
      <c r="R1796" s="17" t="n">
        <v>45849</v>
      </c>
      <c r="S1796" s="19">
        <f>H1796*I1796</f>
        <v/>
      </c>
      <c r="T1796" s="19">
        <f>H1796*J1796</f>
        <v/>
      </c>
      <c r="U1796">
        <f>IF(AND(K1796=0,G1796&lt;=Assumptions!$C$6),1,0)</f>
        <v/>
      </c>
      <c r="V1796">
        <f>IF(U1796=1,IF(M1796&gt;0,IF(P1796&lt;=G1796+Assumptions!$C$7,1,0),0),0)</f>
        <v/>
      </c>
      <c r="W1796">
        <f>IF(AND(U1796=1,M1796&gt;=H1796*(1-Assumptions!$C$8)),1,0)</f>
        <v/>
      </c>
      <c r="X1796">
        <f>IF(AND(U1796=1,N1796&gt;=H1796*(1-Assumptions!$C$8)),1,0)</f>
        <v/>
      </c>
      <c r="Y1796">
        <f>IF(ISNUMBER(Q1796),1,0)</f>
        <v/>
      </c>
      <c r="Z1796">
        <f>IF(AND(K1796=0,L1796=0,Y1796=0),1,0)</f>
        <v/>
      </c>
      <c r="AA1796">
        <f>IF(AND(Z1796=1,G1796&lt;Assumptions!$C$6),1,0)</f>
        <v/>
      </c>
      <c r="AB1796">
        <f>IF(U1796=0,"",IF(Y1796=1,MAX(0,Q1796-G1796),IF(L1796=1,MAX(0,R1796-G1796),MAX(0,Assumptions!$C$6-G1796))))</f>
        <v/>
      </c>
      <c r="AC1796">
        <f>IF(Y1796=1,Q1796-F1796,"")</f>
        <v/>
      </c>
      <c r="AD1796">
        <f>IF(Y1796=1,AC1796^2,"")</f>
        <v/>
      </c>
      <c r="AE1796" s="19">
        <f>IF(Z1796=1,(H1796-M1796)*I1796,0)</f>
        <v/>
      </c>
      <c r="AF1796">
        <f>IF(G1796&lt;EDATE(Assumptions!$C$6,-12)+1,"prior_12m","last_12m")</f>
        <v/>
      </c>
      <c r="AG1796" s="21">
        <f>DATE(YEAR(G1796),MONTH(G1796),1)</f>
        <v/>
      </c>
    </row>
    <row r="1797">
      <c r="A1797" t="inlineStr">
        <is>
          <t>SPO-00979-1</t>
        </is>
      </c>
      <c r="B1797" t="inlineStr">
        <is>
          <t>SPO-00979</t>
        </is>
      </c>
      <c r="C1797" t="inlineStr">
        <is>
          <t>SUP-12</t>
        </is>
      </c>
      <c r="D1797" t="inlineStr">
        <is>
          <t>IT</t>
        </is>
      </c>
      <c r="E1797" t="inlineStr">
        <is>
          <t>IT-08</t>
        </is>
      </c>
      <c r="F1797" s="17" t="n">
        <v>45841</v>
      </c>
      <c r="G1797" s="17" t="n">
        <v>45851</v>
      </c>
      <c r="H1797" s="18" t="n">
        <v>3</v>
      </c>
      <c r="I1797" s="19" t="n">
        <v>278.32</v>
      </c>
      <c r="J1797" s="19" t="n">
        <v>245</v>
      </c>
      <c r="K1797" s="20" t="n">
        <v>1</v>
      </c>
      <c r="L1797" s="20" t="n">
        <v>0</v>
      </c>
      <c r="M1797" s="18" t="n">
        <v>0</v>
      </c>
      <c r="N1797" s="18" t="n">
        <v>0</v>
      </c>
      <c r="O1797" s="18" t="n">
        <v>0</v>
      </c>
      <c r="P1797" s="17" t="n"/>
      <c r="Q1797" s="17" t="n"/>
      <c r="R1797" s="17" t="n"/>
      <c r="S1797" s="19">
        <f>H1797*I1797</f>
        <v/>
      </c>
      <c r="T1797" s="19">
        <f>H1797*J1797</f>
        <v/>
      </c>
      <c r="U1797">
        <f>IF(AND(K1797=0,G1797&lt;=Assumptions!$C$6),1,0)</f>
        <v/>
      </c>
      <c r="V1797">
        <f>IF(U1797=1,IF(M1797&gt;0,IF(P1797&lt;=G1797+Assumptions!$C$7,1,0),0),0)</f>
        <v/>
      </c>
      <c r="W1797">
        <f>IF(AND(U1797=1,M1797&gt;=H1797*(1-Assumptions!$C$8)),1,0)</f>
        <v/>
      </c>
      <c r="X1797">
        <f>IF(AND(U1797=1,N1797&gt;=H1797*(1-Assumptions!$C$8)),1,0)</f>
        <v/>
      </c>
      <c r="Y1797">
        <f>IF(ISNUMBER(Q1797),1,0)</f>
        <v/>
      </c>
      <c r="Z1797">
        <f>IF(AND(K1797=0,L1797=0,Y1797=0),1,0)</f>
        <v/>
      </c>
      <c r="AA1797">
        <f>IF(AND(Z1797=1,G1797&lt;Assumptions!$C$6),1,0)</f>
        <v/>
      </c>
      <c r="AB1797">
        <f>IF(U1797=0,"",IF(Y1797=1,MAX(0,Q1797-G1797),IF(L1797=1,MAX(0,R1797-G1797),MAX(0,Assumptions!$C$6-G1797))))</f>
        <v/>
      </c>
      <c r="AC1797">
        <f>IF(Y1797=1,Q1797-F1797,"")</f>
        <v/>
      </c>
      <c r="AD1797">
        <f>IF(Y1797=1,AC1797^2,"")</f>
        <v/>
      </c>
      <c r="AE1797" s="19">
        <f>IF(Z1797=1,(H1797-M1797)*I1797,0)</f>
        <v/>
      </c>
      <c r="AF1797">
        <f>IF(G1797&lt;EDATE(Assumptions!$C$6,-12)+1,"prior_12m","last_12m")</f>
        <v/>
      </c>
      <c r="AG1797" s="21">
        <f>DATE(YEAR(G1797),MONTH(G1797),1)</f>
        <v/>
      </c>
    </row>
    <row r="1798">
      <c r="A1798" t="inlineStr">
        <is>
          <t>SPO-00979-2</t>
        </is>
      </c>
      <c r="B1798" t="inlineStr">
        <is>
          <t>SPO-00979</t>
        </is>
      </c>
      <c r="C1798" t="inlineStr">
        <is>
          <t>SUP-12</t>
        </is>
      </c>
      <c r="D1798" t="inlineStr">
        <is>
          <t>IT</t>
        </is>
      </c>
      <c r="E1798" t="inlineStr">
        <is>
          <t>IT-07</t>
        </is>
      </c>
      <c r="F1798" s="17" t="n">
        <v>45841</v>
      </c>
      <c r="G1798" s="17" t="n">
        <v>45851</v>
      </c>
      <c r="H1798" s="18" t="n">
        <v>26</v>
      </c>
      <c r="I1798" s="19" t="n">
        <v>90.17</v>
      </c>
      <c r="J1798" s="19" t="n">
        <v>74</v>
      </c>
      <c r="K1798" s="20" t="n">
        <v>0</v>
      </c>
      <c r="L1798" s="20" t="n">
        <v>0</v>
      </c>
      <c r="M1798" s="18" t="n">
        <v>26</v>
      </c>
      <c r="N1798" s="18" t="n">
        <v>26</v>
      </c>
      <c r="O1798" s="18" t="n">
        <v>0</v>
      </c>
      <c r="P1798" s="17" t="n">
        <v>45850</v>
      </c>
      <c r="Q1798" s="17" t="n">
        <v>45850</v>
      </c>
      <c r="R1798" s="17" t="n">
        <v>45850</v>
      </c>
      <c r="S1798" s="19">
        <f>H1798*I1798</f>
        <v/>
      </c>
      <c r="T1798" s="19">
        <f>H1798*J1798</f>
        <v/>
      </c>
      <c r="U1798">
        <f>IF(AND(K1798=0,G1798&lt;=Assumptions!$C$6),1,0)</f>
        <v/>
      </c>
      <c r="V1798">
        <f>IF(U1798=1,IF(M1798&gt;0,IF(P1798&lt;=G1798+Assumptions!$C$7,1,0),0),0)</f>
        <v/>
      </c>
      <c r="W1798">
        <f>IF(AND(U1798=1,M1798&gt;=H1798*(1-Assumptions!$C$8)),1,0)</f>
        <v/>
      </c>
      <c r="X1798">
        <f>IF(AND(U1798=1,N1798&gt;=H1798*(1-Assumptions!$C$8)),1,0)</f>
        <v/>
      </c>
      <c r="Y1798">
        <f>IF(ISNUMBER(Q1798),1,0)</f>
        <v/>
      </c>
      <c r="Z1798">
        <f>IF(AND(K1798=0,L1798=0,Y1798=0),1,0)</f>
        <v/>
      </c>
      <c r="AA1798">
        <f>IF(AND(Z1798=1,G1798&lt;Assumptions!$C$6),1,0)</f>
        <v/>
      </c>
      <c r="AB1798">
        <f>IF(U1798=0,"",IF(Y1798=1,MAX(0,Q1798-G1798),IF(L1798=1,MAX(0,R1798-G1798),MAX(0,Assumptions!$C$6-G1798))))</f>
        <v/>
      </c>
      <c r="AC1798">
        <f>IF(Y1798=1,Q1798-F1798,"")</f>
        <v/>
      </c>
      <c r="AD1798">
        <f>IF(Y1798=1,AC1798^2,"")</f>
        <v/>
      </c>
      <c r="AE1798" s="19">
        <f>IF(Z1798=1,(H1798-M1798)*I1798,0)</f>
        <v/>
      </c>
      <c r="AF1798">
        <f>IF(G1798&lt;EDATE(Assumptions!$C$6,-12)+1,"prior_12m","last_12m")</f>
        <v/>
      </c>
      <c r="AG1798" s="21">
        <f>DATE(YEAR(G1798),MONTH(G1798),1)</f>
        <v/>
      </c>
    </row>
    <row r="1799">
      <c r="A1799" t="inlineStr">
        <is>
          <t>SPO-00979-3</t>
        </is>
      </c>
      <c r="B1799" t="inlineStr">
        <is>
          <t>SPO-00979</t>
        </is>
      </c>
      <c r="C1799" t="inlineStr">
        <is>
          <t>SUP-12</t>
        </is>
      </c>
      <c r="D1799" t="inlineStr">
        <is>
          <t>IT</t>
        </is>
      </c>
      <c r="E1799" t="inlineStr">
        <is>
          <t>IT-06</t>
        </is>
      </c>
      <c r="F1799" s="17" t="n">
        <v>45841</v>
      </c>
      <c r="G1799" s="17" t="n">
        <v>45851</v>
      </c>
      <c r="H1799" s="18" t="n">
        <v>14</v>
      </c>
      <c r="I1799" s="19" t="n">
        <v>105.12</v>
      </c>
      <c r="J1799" s="19" t="n">
        <v>89</v>
      </c>
      <c r="K1799" s="20" t="n">
        <v>1</v>
      </c>
      <c r="L1799" s="20" t="n">
        <v>0</v>
      </c>
      <c r="M1799" s="18" t="n">
        <v>0</v>
      </c>
      <c r="N1799" s="18" t="n">
        <v>0</v>
      </c>
      <c r="O1799" s="18" t="n">
        <v>0</v>
      </c>
      <c r="P1799" s="17" t="n"/>
      <c r="Q1799" s="17" t="n"/>
      <c r="R1799" s="17" t="n"/>
      <c r="S1799" s="19">
        <f>H1799*I1799</f>
        <v/>
      </c>
      <c r="T1799" s="19">
        <f>H1799*J1799</f>
        <v/>
      </c>
      <c r="U1799">
        <f>IF(AND(K1799=0,G1799&lt;=Assumptions!$C$6),1,0)</f>
        <v/>
      </c>
      <c r="V1799">
        <f>IF(U1799=1,IF(M1799&gt;0,IF(P1799&lt;=G1799+Assumptions!$C$7,1,0),0),0)</f>
        <v/>
      </c>
      <c r="W1799">
        <f>IF(AND(U1799=1,M1799&gt;=H1799*(1-Assumptions!$C$8)),1,0)</f>
        <v/>
      </c>
      <c r="X1799">
        <f>IF(AND(U1799=1,N1799&gt;=H1799*(1-Assumptions!$C$8)),1,0)</f>
        <v/>
      </c>
      <c r="Y1799">
        <f>IF(ISNUMBER(Q1799),1,0)</f>
        <v/>
      </c>
      <c r="Z1799">
        <f>IF(AND(K1799=0,L1799=0,Y1799=0),1,0)</f>
        <v/>
      </c>
      <c r="AA1799">
        <f>IF(AND(Z1799=1,G1799&lt;Assumptions!$C$6),1,0)</f>
        <v/>
      </c>
      <c r="AB1799">
        <f>IF(U1799=0,"",IF(Y1799=1,MAX(0,Q1799-G1799),IF(L1799=1,MAX(0,R1799-G1799),MAX(0,Assumptions!$C$6-G1799))))</f>
        <v/>
      </c>
      <c r="AC1799">
        <f>IF(Y1799=1,Q1799-F1799,"")</f>
        <v/>
      </c>
      <c r="AD1799">
        <f>IF(Y1799=1,AC1799^2,"")</f>
        <v/>
      </c>
      <c r="AE1799" s="19">
        <f>IF(Z1799=1,(H1799-M1799)*I1799,0)</f>
        <v/>
      </c>
      <c r="AF1799">
        <f>IF(G1799&lt;EDATE(Assumptions!$C$6,-12)+1,"prior_12m","last_12m")</f>
        <v/>
      </c>
      <c r="AG1799" s="21">
        <f>DATE(YEAR(G1799),MONTH(G1799),1)</f>
        <v/>
      </c>
    </row>
    <row r="1800">
      <c r="A1800" t="inlineStr">
        <is>
          <t>SPO-00979-4</t>
        </is>
      </c>
      <c r="B1800" t="inlineStr">
        <is>
          <t>SPO-00979</t>
        </is>
      </c>
      <c r="C1800" t="inlineStr">
        <is>
          <t>SUP-12</t>
        </is>
      </c>
      <c r="D1800" t="inlineStr">
        <is>
          <t>IT</t>
        </is>
      </c>
      <c r="E1800" t="inlineStr">
        <is>
          <t>IT-04</t>
        </is>
      </c>
      <c r="F1800" s="17" t="n">
        <v>45841</v>
      </c>
      <c r="G1800" s="17" t="n">
        <v>45851</v>
      </c>
      <c r="H1800" s="18" t="n">
        <v>114</v>
      </c>
      <c r="I1800" s="19" t="n">
        <v>13.75</v>
      </c>
      <c r="J1800" s="19" t="n">
        <v>12</v>
      </c>
      <c r="K1800" s="20" t="n">
        <v>0</v>
      </c>
      <c r="L1800" s="20" t="n">
        <v>0</v>
      </c>
      <c r="M1800" s="18" t="n">
        <v>114</v>
      </c>
      <c r="N1800" s="18" t="n">
        <v>114</v>
      </c>
      <c r="O1800" s="18" t="n">
        <v>0</v>
      </c>
      <c r="P1800" s="17" t="n">
        <v>45850</v>
      </c>
      <c r="Q1800" s="17" t="n">
        <v>45850</v>
      </c>
      <c r="R1800" s="17" t="n">
        <v>45850</v>
      </c>
      <c r="S1800" s="19">
        <f>H1800*I1800</f>
        <v/>
      </c>
      <c r="T1800" s="19">
        <f>H1800*J1800</f>
        <v/>
      </c>
      <c r="U1800">
        <f>IF(AND(K1800=0,G1800&lt;=Assumptions!$C$6),1,0)</f>
        <v/>
      </c>
      <c r="V1800">
        <f>IF(U1800=1,IF(M1800&gt;0,IF(P1800&lt;=G1800+Assumptions!$C$7,1,0),0),0)</f>
        <v/>
      </c>
      <c r="W1800">
        <f>IF(AND(U1800=1,M1800&gt;=H1800*(1-Assumptions!$C$8)),1,0)</f>
        <v/>
      </c>
      <c r="X1800">
        <f>IF(AND(U1800=1,N1800&gt;=H1800*(1-Assumptions!$C$8)),1,0)</f>
        <v/>
      </c>
      <c r="Y1800">
        <f>IF(ISNUMBER(Q1800),1,0)</f>
        <v/>
      </c>
      <c r="Z1800">
        <f>IF(AND(K1800=0,L1800=0,Y1800=0),1,0)</f>
        <v/>
      </c>
      <c r="AA1800">
        <f>IF(AND(Z1800=1,G1800&lt;Assumptions!$C$6),1,0)</f>
        <v/>
      </c>
      <c r="AB1800">
        <f>IF(U1800=0,"",IF(Y1800=1,MAX(0,Q1800-G1800),IF(L1800=1,MAX(0,R1800-G1800),MAX(0,Assumptions!$C$6-G1800))))</f>
        <v/>
      </c>
      <c r="AC1800">
        <f>IF(Y1800=1,Q1800-F1800,"")</f>
        <v/>
      </c>
      <c r="AD1800">
        <f>IF(Y1800=1,AC1800^2,"")</f>
        <v/>
      </c>
      <c r="AE1800" s="19">
        <f>IF(Z1800=1,(H1800-M1800)*I1800,0)</f>
        <v/>
      </c>
      <c r="AF1800">
        <f>IF(G1800&lt;EDATE(Assumptions!$C$6,-12)+1,"prior_12m","last_12m")</f>
        <v/>
      </c>
      <c r="AG1800" s="21">
        <f>DATE(YEAR(G1800),MONTH(G1800),1)</f>
        <v/>
      </c>
    </row>
    <row r="1801">
      <c r="A1801" t="inlineStr">
        <is>
          <t>SPO-00980-1</t>
        </is>
      </c>
      <c r="B1801" t="inlineStr">
        <is>
          <t>SPO-00980</t>
        </is>
      </c>
      <c r="C1801" t="inlineStr">
        <is>
          <t>SUP-05</t>
        </is>
      </c>
      <c r="D1801" t="inlineStr">
        <is>
          <t>FLEET</t>
        </is>
      </c>
      <c r="E1801" t="inlineStr">
        <is>
          <t>FLEET-02</t>
        </is>
      </c>
      <c r="F1801" s="17" t="n">
        <v>45842</v>
      </c>
      <c r="G1801" s="17" t="n">
        <v>45856</v>
      </c>
      <c r="H1801" s="18" t="n">
        <v>393</v>
      </c>
      <c r="I1801" s="19" t="n">
        <v>7.64</v>
      </c>
      <c r="J1801" s="19" t="n">
        <v>7.5</v>
      </c>
      <c r="K1801" s="20" t="n">
        <v>0</v>
      </c>
      <c r="L1801" s="20" t="n">
        <v>0</v>
      </c>
      <c r="M1801" s="18" t="n">
        <v>393</v>
      </c>
      <c r="N1801" s="18" t="n">
        <v>393</v>
      </c>
      <c r="O1801" s="18" t="n">
        <v>0</v>
      </c>
      <c r="P1801" s="17" t="n">
        <v>45850</v>
      </c>
      <c r="Q1801" s="17" t="n">
        <v>45850</v>
      </c>
      <c r="R1801" s="17" t="n">
        <v>45850</v>
      </c>
      <c r="S1801" s="19">
        <f>H1801*I1801</f>
        <v/>
      </c>
      <c r="T1801" s="19">
        <f>H1801*J1801</f>
        <v/>
      </c>
      <c r="U1801">
        <f>IF(AND(K1801=0,G1801&lt;=Assumptions!$C$6),1,0)</f>
        <v/>
      </c>
      <c r="V1801">
        <f>IF(U1801=1,IF(M1801&gt;0,IF(P1801&lt;=G1801+Assumptions!$C$7,1,0),0),0)</f>
        <v/>
      </c>
      <c r="W1801">
        <f>IF(AND(U1801=1,M1801&gt;=H1801*(1-Assumptions!$C$8)),1,0)</f>
        <v/>
      </c>
      <c r="X1801">
        <f>IF(AND(U1801=1,N1801&gt;=H1801*(1-Assumptions!$C$8)),1,0)</f>
        <v/>
      </c>
      <c r="Y1801">
        <f>IF(ISNUMBER(Q1801),1,0)</f>
        <v/>
      </c>
      <c r="Z1801">
        <f>IF(AND(K1801=0,L1801=0,Y1801=0),1,0)</f>
        <v/>
      </c>
      <c r="AA1801">
        <f>IF(AND(Z1801=1,G1801&lt;Assumptions!$C$6),1,0)</f>
        <v/>
      </c>
      <c r="AB1801">
        <f>IF(U1801=0,"",IF(Y1801=1,MAX(0,Q1801-G1801),IF(L1801=1,MAX(0,R1801-G1801),MAX(0,Assumptions!$C$6-G1801))))</f>
        <v/>
      </c>
      <c r="AC1801">
        <f>IF(Y1801=1,Q1801-F1801,"")</f>
        <v/>
      </c>
      <c r="AD1801">
        <f>IF(Y1801=1,AC1801^2,"")</f>
        <v/>
      </c>
      <c r="AE1801" s="19">
        <f>IF(Z1801=1,(H1801-M1801)*I1801,0)</f>
        <v/>
      </c>
      <c r="AF1801">
        <f>IF(G1801&lt;EDATE(Assumptions!$C$6,-12)+1,"prior_12m","last_12m")</f>
        <v/>
      </c>
      <c r="AG1801" s="21">
        <f>DATE(YEAR(G1801),MONTH(G1801),1)</f>
        <v/>
      </c>
    </row>
    <row r="1802">
      <c r="A1802" t="inlineStr">
        <is>
          <t>SPO-00980-2</t>
        </is>
      </c>
      <c r="B1802" t="inlineStr">
        <is>
          <t>SPO-00980</t>
        </is>
      </c>
      <c r="C1802" t="inlineStr">
        <is>
          <t>SUP-05</t>
        </is>
      </c>
      <c r="D1802" t="inlineStr">
        <is>
          <t>FLEET</t>
        </is>
      </c>
      <c r="E1802" t="inlineStr">
        <is>
          <t>FLEET-06</t>
        </is>
      </c>
      <c r="F1802" s="17" t="n">
        <v>45842</v>
      </c>
      <c r="G1802" s="17" t="n">
        <v>45856</v>
      </c>
      <c r="H1802" s="18" t="n">
        <v>132</v>
      </c>
      <c r="I1802" s="19" t="n">
        <v>33.18</v>
      </c>
      <c r="J1802" s="19" t="n">
        <v>33</v>
      </c>
      <c r="K1802" s="20" t="n">
        <v>0</v>
      </c>
      <c r="L1802" s="20" t="n">
        <v>0</v>
      </c>
      <c r="M1802" s="18" t="n">
        <v>132</v>
      </c>
      <c r="N1802" s="18" t="n">
        <v>132</v>
      </c>
      <c r="O1802" s="18" t="n">
        <v>0</v>
      </c>
      <c r="P1802" s="17" t="n">
        <v>45851</v>
      </c>
      <c r="Q1802" s="17" t="n">
        <v>45851</v>
      </c>
      <c r="R1802" s="17" t="n">
        <v>45851</v>
      </c>
      <c r="S1802" s="19">
        <f>H1802*I1802</f>
        <v/>
      </c>
      <c r="T1802" s="19">
        <f>H1802*J1802</f>
        <v/>
      </c>
      <c r="U1802">
        <f>IF(AND(K1802=0,G1802&lt;=Assumptions!$C$6),1,0)</f>
        <v/>
      </c>
      <c r="V1802">
        <f>IF(U1802=1,IF(M1802&gt;0,IF(P1802&lt;=G1802+Assumptions!$C$7,1,0),0),0)</f>
        <v/>
      </c>
      <c r="W1802">
        <f>IF(AND(U1802=1,M1802&gt;=H1802*(1-Assumptions!$C$8)),1,0)</f>
        <v/>
      </c>
      <c r="X1802">
        <f>IF(AND(U1802=1,N1802&gt;=H1802*(1-Assumptions!$C$8)),1,0)</f>
        <v/>
      </c>
      <c r="Y1802">
        <f>IF(ISNUMBER(Q1802),1,0)</f>
        <v/>
      </c>
      <c r="Z1802">
        <f>IF(AND(K1802=0,L1802=0,Y1802=0),1,0)</f>
        <v/>
      </c>
      <c r="AA1802">
        <f>IF(AND(Z1802=1,G1802&lt;Assumptions!$C$6),1,0)</f>
        <v/>
      </c>
      <c r="AB1802">
        <f>IF(U1802=0,"",IF(Y1802=1,MAX(0,Q1802-G1802),IF(L1802=1,MAX(0,R1802-G1802),MAX(0,Assumptions!$C$6-G1802))))</f>
        <v/>
      </c>
      <c r="AC1802">
        <f>IF(Y1802=1,Q1802-F1802,"")</f>
        <v/>
      </c>
      <c r="AD1802">
        <f>IF(Y1802=1,AC1802^2,"")</f>
        <v/>
      </c>
      <c r="AE1802" s="19">
        <f>IF(Z1802=1,(H1802-M1802)*I1802,0)</f>
        <v/>
      </c>
      <c r="AF1802">
        <f>IF(G1802&lt;EDATE(Assumptions!$C$6,-12)+1,"prior_12m","last_12m")</f>
        <v/>
      </c>
      <c r="AG1802" s="21">
        <f>DATE(YEAR(G1802),MONTH(G1802),1)</f>
        <v/>
      </c>
    </row>
    <row r="1803">
      <c r="A1803" t="inlineStr">
        <is>
          <t>SPO-00981-1</t>
        </is>
      </c>
      <c r="B1803" t="inlineStr">
        <is>
          <t>SPO-00981</t>
        </is>
      </c>
      <c r="C1803" t="inlineStr">
        <is>
          <t>SUP-14</t>
        </is>
      </c>
      <c r="D1803" t="inlineStr">
        <is>
          <t>FLEET</t>
        </is>
      </c>
      <c r="E1803" t="inlineStr">
        <is>
          <t>FLEET-03</t>
        </is>
      </c>
      <c r="F1803" s="17" t="n">
        <v>45842</v>
      </c>
      <c r="G1803" s="17" t="n">
        <v>45856</v>
      </c>
      <c r="H1803" s="18" t="n">
        <v>54</v>
      </c>
      <c r="I1803" s="19" t="n">
        <v>20.59</v>
      </c>
      <c r="J1803" s="19" t="n">
        <v>21</v>
      </c>
      <c r="K1803" s="20" t="n">
        <v>0</v>
      </c>
      <c r="L1803" s="20" t="n">
        <v>0</v>
      </c>
      <c r="M1803" s="18" t="n">
        <v>54</v>
      </c>
      <c r="N1803" s="18" t="n">
        <v>54</v>
      </c>
      <c r="O1803" s="18" t="n">
        <v>0</v>
      </c>
      <c r="P1803" s="17" t="n">
        <v>45852</v>
      </c>
      <c r="Q1803" s="17" t="n">
        <v>45852</v>
      </c>
      <c r="R1803" s="17" t="n">
        <v>45852</v>
      </c>
      <c r="S1803" s="19">
        <f>H1803*I1803</f>
        <v/>
      </c>
      <c r="T1803" s="19">
        <f>H1803*J1803</f>
        <v/>
      </c>
      <c r="U1803">
        <f>IF(AND(K1803=0,G1803&lt;=Assumptions!$C$6),1,0)</f>
        <v/>
      </c>
      <c r="V1803">
        <f>IF(U1803=1,IF(M1803&gt;0,IF(P1803&lt;=G1803+Assumptions!$C$7,1,0),0),0)</f>
        <v/>
      </c>
      <c r="W1803">
        <f>IF(AND(U1803=1,M1803&gt;=H1803*(1-Assumptions!$C$8)),1,0)</f>
        <v/>
      </c>
      <c r="X1803">
        <f>IF(AND(U1803=1,N1803&gt;=H1803*(1-Assumptions!$C$8)),1,0)</f>
        <v/>
      </c>
      <c r="Y1803">
        <f>IF(ISNUMBER(Q1803),1,0)</f>
        <v/>
      </c>
      <c r="Z1803">
        <f>IF(AND(K1803=0,L1803=0,Y1803=0),1,0)</f>
        <v/>
      </c>
      <c r="AA1803">
        <f>IF(AND(Z1803=1,G1803&lt;Assumptions!$C$6),1,0)</f>
        <v/>
      </c>
      <c r="AB1803">
        <f>IF(U1803=0,"",IF(Y1803=1,MAX(0,Q1803-G1803),IF(L1803=1,MAX(0,R1803-G1803),MAX(0,Assumptions!$C$6-G1803))))</f>
        <v/>
      </c>
      <c r="AC1803">
        <f>IF(Y1803=1,Q1803-F1803,"")</f>
        <v/>
      </c>
      <c r="AD1803">
        <f>IF(Y1803=1,AC1803^2,"")</f>
        <v/>
      </c>
      <c r="AE1803" s="19">
        <f>IF(Z1803=1,(H1803-M1803)*I1803,0)</f>
        <v/>
      </c>
      <c r="AF1803">
        <f>IF(G1803&lt;EDATE(Assumptions!$C$6,-12)+1,"prior_12m","last_12m")</f>
        <v/>
      </c>
      <c r="AG1803" s="21">
        <f>DATE(YEAR(G1803),MONTH(G1803),1)</f>
        <v/>
      </c>
    </row>
    <row r="1804">
      <c r="A1804" t="inlineStr">
        <is>
          <t>SPO-00981-2</t>
        </is>
      </c>
      <c r="B1804" t="inlineStr">
        <is>
          <t>SPO-00981</t>
        </is>
      </c>
      <c r="C1804" t="inlineStr">
        <is>
          <t>SUP-14</t>
        </is>
      </c>
      <c r="D1804" t="inlineStr">
        <is>
          <t>FLEET</t>
        </is>
      </c>
      <c r="E1804" t="inlineStr">
        <is>
          <t>FLEET-06</t>
        </is>
      </c>
      <c r="F1804" s="17" t="n">
        <v>45842</v>
      </c>
      <c r="G1804" s="17" t="n">
        <v>45856</v>
      </c>
      <c r="H1804" s="18" t="n">
        <v>46</v>
      </c>
      <c r="I1804" s="19" t="n">
        <v>31.24</v>
      </c>
      <c r="J1804" s="19" t="n">
        <v>33</v>
      </c>
      <c r="K1804" s="20" t="n">
        <v>0</v>
      </c>
      <c r="L1804" s="20" t="n">
        <v>0</v>
      </c>
      <c r="M1804" s="18" t="n">
        <v>46</v>
      </c>
      <c r="N1804" s="18" t="n">
        <v>46</v>
      </c>
      <c r="O1804" s="18" t="n">
        <v>0</v>
      </c>
      <c r="P1804" s="17" t="n">
        <v>45847</v>
      </c>
      <c r="Q1804" s="17" t="n">
        <v>45847</v>
      </c>
      <c r="R1804" s="17" t="n">
        <v>45847</v>
      </c>
      <c r="S1804" s="19">
        <f>H1804*I1804</f>
        <v/>
      </c>
      <c r="T1804" s="19">
        <f>H1804*J1804</f>
        <v/>
      </c>
      <c r="U1804">
        <f>IF(AND(K1804=0,G1804&lt;=Assumptions!$C$6),1,0)</f>
        <v/>
      </c>
      <c r="V1804">
        <f>IF(U1804=1,IF(M1804&gt;0,IF(P1804&lt;=G1804+Assumptions!$C$7,1,0),0),0)</f>
        <v/>
      </c>
      <c r="W1804">
        <f>IF(AND(U1804=1,M1804&gt;=H1804*(1-Assumptions!$C$8)),1,0)</f>
        <v/>
      </c>
      <c r="X1804">
        <f>IF(AND(U1804=1,N1804&gt;=H1804*(1-Assumptions!$C$8)),1,0)</f>
        <v/>
      </c>
      <c r="Y1804">
        <f>IF(ISNUMBER(Q1804),1,0)</f>
        <v/>
      </c>
      <c r="Z1804">
        <f>IF(AND(K1804=0,L1804=0,Y1804=0),1,0)</f>
        <v/>
      </c>
      <c r="AA1804">
        <f>IF(AND(Z1804=1,G1804&lt;Assumptions!$C$6),1,0)</f>
        <v/>
      </c>
      <c r="AB1804">
        <f>IF(U1804=0,"",IF(Y1804=1,MAX(0,Q1804-G1804),IF(L1804=1,MAX(0,R1804-G1804),MAX(0,Assumptions!$C$6-G1804))))</f>
        <v/>
      </c>
      <c r="AC1804">
        <f>IF(Y1804=1,Q1804-F1804,"")</f>
        <v/>
      </c>
      <c r="AD1804">
        <f>IF(Y1804=1,AC1804^2,"")</f>
        <v/>
      </c>
      <c r="AE1804" s="19">
        <f>IF(Z1804=1,(H1804-M1804)*I1804,0)</f>
        <v/>
      </c>
      <c r="AF1804">
        <f>IF(G1804&lt;EDATE(Assumptions!$C$6,-12)+1,"prior_12m","last_12m")</f>
        <v/>
      </c>
      <c r="AG1804" s="21">
        <f>DATE(YEAR(G1804),MONTH(G1804),1)</f>
        <v/>
      </c>
    </row>
    <row r="1805">
      <c r="A1805" t="inlineStr">
        <is>
          <t>SPO-00982-1</t>
        </is>
      </c>
      <c r="B1805" t="inlineStr">
        <is>
          <t>SPO-00982</t>
        </is>
      </c>
      <c r="C1805" t="inlineStr">
        <is>
          <t>SUP-06</t>
        </is>
      </c>
      <c r="D1805" t="inlineStr">
        <is>
          <t>MRO</t>
        </is>
      </c>
      <c r="E1805" t="inlineStr">
        <is>
          <t>MRO-05</t>
        </is>
      </c>
      <c r="F1805" s="17" t="n">
        <v>45842</v>
      </c>
      <c r="G1805" s="17" t="n">
        <v>45850</v>
      </c>
      <c r="H1805" s="18" t="n">
        <v>34</v>
      </c>
      <c r="I1805" s="19" t="n">
        <v>37.45</v>
      </c>
      <c r="J1805" s="19" t="n">
        <v>36</v>
      </c>
      <c r="K1805" s="20" t="n">
        <v>0</v>
      </c>
      <c r="L1805" s="20" t="n">
        <v>0</v>
      </c>
      <c r="M1805" s="18" t="n">
        <v>34</v>
      </c>
      <c r="N1805" s="18" t="n">
        <v>34</v>
      </c>
      <c r="O1805" s="18" t="n">
        <v>0</v>
      </c>
      <c r="P1805" s="17" t="n">
        <v>45848</v>
      </c>
      <c r="Q1805" s="17" t="n">
        <v>45848</v>
      </c>
      <c r="R1805" s="17" t="n">
        <v>45848</v>
      </c>
      <c r="S1805" s="19">
        <f>H1805*I1805</f>
        <v/>
      </c>
      <c r="T1805" s="19">
        <f>H1805*J1805</f>
        <v/>
      </c>
      <c r="U1805">
        <f>IF(AND(K1805=0,G1805&lt;=Assumptions!$C$6),1,0)</f>
        <v/>
      </c>
      <c r="V1805">
        <f>IF(U1805=1,IF(M1805&gt;0,IF(P1805&lt;=G1805+Assumptions!$C$7,1,0),0),0)</f>
        <v/>
      </c>
      <c r="W1805">
        <f>IF(AND(U1805=1,M1805&gt;=H1805*(1-Assumptions!$C$8)),1,0)</f>
        <v/>
      </c>
      <c r="X1805">
        <f>IF(AND(U1805=1,N1805&gt;=H1805*(1-Assumptions!$C$8)),1,0)</f>
        <v/>
      </c>
      <c r="Y1805">
        <f>IF(ISNUMBER(Q1805),1,0)</f>
        <v/>
      </c>
      <c r="Z1805">
        <f>IF(AND(K1805=0,L1805=0,Y1805=0),1,0)</f>
        <v/>
      </c>
      <c r="AA1805">
        <f>IF(AND(Z1805=1,G1805&lt;Assumptions!$C$6),1,0)</f>
        <v/>
      </c>
      <c r="AB1805">
        <f>IF(U1805=0,"",IF(Y1805=1,MAX(0,Q1805-G1805),IF(L1805=1,MAX(0,R1805-G1805),MAX(0,Assumptions!$C$6-G1805))))</f>
        <v/>
      </c>
      <c r="AC1805">
        <f>IF(Y1805=1,Q1805-F1805,"")</f>
        <v/>
      </c>
      <c r="AD1805">
        <f>IF(Y1805=1,AC1805^2,"")</f>
        <v/>
      </c>
      <c r="AE1805" s="19">
        <f>IF(Z1805=1,(H1805-M1805)*I1805,0)</f>
        <v/>
      </c>
      <c r="AF1805">
        <f>IF(G1805&lt;EDATE(Assumptions!$C$6,-12)+1,"prior_12m","last_12m")</f>
        <v/>
      </c>
      <c r="AG1805" s="21">
        <f>DATE(YEAR(G1805),MONTH(G1805),1)</f>
        <v/>
      </c>
    </row>
    <row r="1806">
      <c r="A1806" t="inlineStr">
        <is>
          <t>SPO-00983-1</t>
        </is>
      </c>
      <c r="B1806" t="inlineStr">
        <is>
          <t>SPO-00983</t>
        </is>
      </c>
      <c r="C1806" t="inlineStr">
        <is>
          <t>SUP-01</t>
        </is>
      </c>
      <c r="D1806" t="inlineStr">
        <is>
          <t>ELEC</t>
        </is>
      </c>
      <c r="E1806" t="inlineStr">
        <is>
          <t>ELEC-01</t>
        </is>
      </c>
      <c r="F1806" s="17" t="n">
        <v>45843</v>
      </c>
      <c r="G1806" s="17" t="n">
        <v>45861</v>
      </c>
      <c r="H1806" s="18" t="n">
        <v>16</v>
      </c>
      <c r="I1806" s="19" t="n">
        <v>35.71</v>
      </c>
      <c r="J1806" s="19" t="n">
        <v>38</v>
      </c>
      <c r="K1806" s="20" t="n">
        <v>0</v>
      </c>
      <c r="L1806" s="20" t="n">
        <v>0</v>
      </c>
      <c r="M1806" s="18" t="n">
        <v>16</v>
      </c>
      <c r="N1806" s="18" t="n">
        <v>0</v>
      </c>
      <c r="O1806" s="18" t="n">
        <v>0</v>
      </c>
      <c r="P1806" s="17" t="n">
        <v>45862</v>
      </c>
      <c r="Q1806" s="17" t="n">
        <v>45862</v>
      </c>
      <c r="R1806" s="17" t="n">
        <v>45862</v>
      </c>
      <c r="S1806" s="19">
        <f>H1806*I1806</f>
        <v/>
      </c>
      <c r="T1806" s="19">
        <f>H1806*J1806</f>
        <v/>
      </c>
      <c r="U1806">
        <f>IF(AND(K1806=0,G1806&lt;=Assumptions!$C$6),1,0)</f>
        <v/>
      </c>
      <c r="V1806">
        <f>IF(U1806=1,IF(M1806&gt;0,IF(P1806&lt;=G1806+Assumptions!$C$7,1,0),0),0)</f>
        <v/>
      </c>
      <c r="W1806">
        <f>IF(AND(U1806=1,M1806&gt;=H1806*(1-Assumptions!$C$8)),1,0)</f>
        <v/>
      </c>
      <c r="X1806">
        <f>IF(AND(U1806=1,N1806&gt;=H1806*(1-Assumptions!$C$8)),1,0)</f>
        <v/>
      </c>
      <c r="Y1806">
        <f>IF(ISNUMBER(Q1806),1,0)</f>
        <v/>
      </c>
      <c r="Z1806">
        <f>IF(AND(K1806=0,L1806=0,Y1806=0),1,0)</f>
        <v/>
      </c>
      <c r="AA1806">
        <f>IF(AND(Z1806=1,G1806&lt;Assumptions!$C$6),1,0)</f>
        <v/>
      </c>
      <c r="AB1806">
        <f>IF(U1806=0,"",IF(Y1806=1,MAX(0,Q1806-G1806),IF(L1806=1,MAX(0,R1806-G1806),MAX(0,Assumptions!$C$6-G1806))))</f>
        <v/>
      </c>
      <c r="AC1806">
        <f>IF(Y1806=1,Q1806-F1806,"")</f>
        <v/>
      </c>
      <c r="AD1806">
        <f>IF(Y1806=1,AC1806^2,"")</f>
        <v/>
      </c>
      <c r="AE1806" s="19">
        <f>IF(Z1806=1,(H1806-M1806)*I1806,0)</f>
        <v/>
      </c>
      <c r="AF1806">
        <f>IF(G1806&lt;EDATE(Assumptions!$C$6,-12)+1,"prior_12m","last_12m")</f>
        <v/>
      </c>
      <c r="AG1806" s="21">
        <f>DATE(YEAR(G1806),MONTH(G1806),1)</f>
        <v/>
      </c>
    </row>
    <row r="1807">
      <c r="A1807" t="inlineStr">
        <is>
          <t>SPO-00983-2</t>
        </is>
      </c>
      <c r="B1807" t="inlineStr">
        <is>
          <t>SPO-00983</t>
        </is>
      </c>
      <c r="C1807" t="inlineStr">
        <is>
          <t>SUP-01</t>
        </is>
      </c>
      <c r="D1807" t="inlineStr">
        <is>
          <t>ELEC</t>
        </is>
      </c>
      <c r="E1807" t="inlineStr">
        <is>
          <t>ELEC-02</t>
        </is>
      </c>
      <c r="F1807" s="17" t="n">
        <v>45843</v>
      </c>
      <c r="G1807" s="17" t="n">
        <v>45861</v>
      </c>
      <c r="H1807" s="18" t="n">
        <v>1002</v>
      </c>
      <c r="I1807" s="19" t="n">
        <v>4.14</v>
      </c>
      <c r="J1807" s="19" t="n">
        <v>4.2</v>
      </c>
      <c r="K1807" s="20" t="n">
        <v>0</v>
      </c>
      <c r="L1807" s="20" t="n">
        <v>0</v>
      </c>
      <c r="M1807" s="18" t="n">
        <v>1002</v>
      </c>
      <c r="N1807" s="18" t="n">
        <v>1002</v>
      </c>
      <c r="O1807" s="18" t="n">
        <v>0</v>
      </c>
      <c r="P1807" s="17" t="n">
        <v>45856</v>
      </c>
      <c r="Q1807" s="17" t="n">
        <v>45856</v>
      </c>
      <c r="R1807" s="17" t="n">
        <v>45856</v>
      </c>
      <c r="S1807" s="19">
        <f>H1807*I1807</f>
        <v/>
      </c>
      <c r="T1807" s="19">
        <f>H1807*J1807</f>
        <v/>
      </c>
      <c r="U1807">
        <f>IF(AND(K1807=0,G1807&lt;=Assumptions!$C$6),1,0)</f>
        <v/>
      </c>
      <c r="V1807">
        <f>IF(U1807=1,IF(M1807&gt;0,IF(P1807&lt;=G1807+Assumptions!$C$7,1,0),0),0)</f>
        <v/>
      </c>
      <c r="W1807">
        <f>IF(AND(U1807=1,M1807&gt;=H1807*(1-Assumptions!$C$8)),1,0)</f>
        <v/>
      </c>
      <c r="X1807">
        <f>IF(AND(U1807=1,N1807&gt;=H1807*(1-Assumptions!$C$8)),1,0)</f>
        <v/>
      </c>
      <c r="Y1807">
        <f>IF(ISNUMBER(Q1807),1,0)</f>
        <v/>
      </c>
      <c r="Z1807">
        <f>IF(AND(K1807=0,L1807=0,Y1807=0),1,0)</f>
        <v/>
      </c>
      <c r="AA1807">
        <f>IF(AND(Z1807=1,G1807&lt;Assumptions!$C$6),1,0)</f>
        <v/>
      </c>
      <c r="AB1807">
        <f>IF(U1807=0,"",IF(Y1807=1,MAX(0,Q1807-G1807),IF(L1807=1,MAX(0,R1807-G1807),MAX(0,Assumptions!$C$6-G1807))))</f>
        <v/>
      </c>
      <c r="AC1807">
        <f>IF(Y1807=1,Q1807-F1807,"")</f>
        <v/>
      </c>
      <c r="AD1807">
        <f>IF(Y1807=1,AC1807^2,"")</f>
        <v/>
      </c>
      <c r="AE1807" s="19">
        <f>IF(Z1807=1,(H1807-M1807)*I1807,0)</f>
        <v/>
      </c>
      <c r="AF1807">
        <f>IF(G1807&lt;EDATE(Assumptions!$C$6,-12)+1,"prior_12m","last_12m")</f>
        <v/>
      </c>
      <c r="AG1807" s="21">
        <f>DATE(YEAR(G1807),MONTH(G1807),1)</f>
        <v/>
      </c>
    </row>
    <row r="1808">
      <c r="A1808" t="inlineStr">
        <is>
          <t>SPO-00983-3</t>
        </is>
      </c>
      <c r="B1808" t="inlineStr">
        <is>
          <t>SPO-00983</t>
        </is>
      </c>
      <c r="C1808" t="inlineStr">
        <is>
          <t>SUP-01</t>
        </is>
      </c>
      <c r="D1808" t="inlineStr">
        <is>
          <t>ELEC</t>
        </is>
      </c>
      <c r="E1808" t="inlineStr">
        <is>
          <t>ELEC-08</t>
        </is>
      </c>
      <c r="F1808" s="17" t="n">
        <v>45843</v>
      </c>
      <c r="G1808" s="17" t="n">
        <v>45861</v>
      </c>
      <c r="H1808" s="18" t="n">
        <v>107</v>
      </c>
      <c r="I1808" s="19" t="n">
        <v>17.4</v>
      </c>
      <c r="J1808" s="19" t="n">
        <v>18</v>
      </c>
      <c r="K1808" s="20" t="n">
        <v>0</v>
      </c>
      <c r="L1808" s="20" t="n">
        <v>0</v>
      </c>
      <c r="M1808" s="18" t="n">
        <v>107</v>
      </c>
      <c r="N1808" s="18" t="n">
        <v>107</v>
      </c>
      <c r="O1808" s="18" t="n">
        <v>0</v>
      </c>
      <c r="P1808" s="17" t="n">
        <v>45859</v>
      </c>
      <c r="Q1808" s="17" t="n">
        <v>45859</v>
      </c>
      <c r="R1808" s="17" t="n">
        <v>45859</v>
      </c>
      <c r="S1808" s="19">
        <f>H1808*I1808</f>
        <v/>
      </c>
      <c r="T1808" s="19">
        <f>H1808*J1808</f>
        <v/>
      </c>
      <c r="U1808">
        <f>IF(AND(K1808=0,G1808&lt;=Assumptions!$C$6),1,0)</f>
        <v/>
      </c>
      <c r="V1808">
        <f>IF(U1808=1,IF(M1808&gt;0,IF(P1808&lt;=G1808+Assumptions!$C$7,1,0),0),0)</f>
        <v/>
      </c>
      <c r="W1808">
        <f>IF(AND(U1808=1,M1808&gt;=H1808*(1-Assumptions!$C$8)),1,0)</f>
        <v/>
      </c>
      <c r="X1808">
        <f>IF(AND(U1808=1,N1808&gt;=H1808*(1-Assumptions!$C$8)),1,0)</f>
        <v/>
      </c>
      <c r="Y1808">
        <f>IF(ISNUMBER(Q1808),1,0)</f>
        <v/>
      </c>
      <c r="Z1808">
        <f>IF(AND(K1808=0,L1808=0,Y1808=0),1,0)</f>
        <v/>
      </c>
      <c r="AA1808">
        <f>IF(AND(Z1808=1,G1808&lt;Assumptions!$C$6),1,0)</f>
        <v/>
      </c>
      <c r="AB1808">
        <f>IF(U1808=0,"",IF(Y1808=1,MAX(0,Q1808-G1808),IF(L1808=1,MAX(0,R1808-G1808),MAX(0,Assumptions!$C$6-G1808))))</f>
        <v/>
      </c>
      <c r="AC1808">
        <f>IF(Y1808=1,Q1808-F1808,"")</f>
        <v/>
      </c>
      <c r="AD1808">
        <f>IF(Y1808=1,AC1808^2,"")</f>
        <v/>
      </c>
      <c r="AE1808" s="19">
        <f>IF(Z1808=1,(H1808-M1808)*I1808,0)</f>
        <v/>
      </c>
      <c r="AF1808">
        <f>IF(G1808&lt;EDATE(Assumptions!$C$6,-12)+1,"prior_12m","last_12m")</f>
        <v/>
      </c>
      <c r="AG1808" s="21">
        <f>DATE(YEAR(G1808),MONTH(G1808),1)</f>
        <v/>
      </c>
    </row>
    <row r="1809">
      <c r="A1809" t="inlineStr">
        <is>
          <t>SPO-00983-4</t>
        </is>
      </c>
      <c r="B1809" t="inlineStr">
        <is>
          <t>SPO-00983</t>
        </is>
      </c>
      <c r="C1809" t="inlineStr">
        <is>
          <t>SUP-01</t>
        </is>
      </c>
      <c r="D1809" t="inlineStr">
        <is>
          <t>ELEC</t>
        </is>
      </c>
      <c r="E1809" t="inlineStr">
        <is>
          <t>ELEC-03</t>
        </is>
      </c>
      <c r="F1809" s="17" t="n">
        <v>45843</v>
      </c>
      <c r="G1809" s="17" t="n">
        <v>45861</v>
      </c>
      <c r="H1809" s="18" t="n">
        <v>37</v>
      </c>
      <c r="I1809" s="19" t="n">
        <v>97.26000000000001</v>
      </c>
      <c r="J1809" s="19" t="n">
        <v>96</v>
      </c>
      <c r="K1809" s="20" t="n">
        <v>0</v>
      </c>
      <c r="L1809" s="20" t="n">
        <v>0</v>
      </c>
      <c r="M1809" s="18" t="n">
        <v>37</v>
      </c>
      <c r="N1809" s="18" t="n">
        <v>37</v>
      </c>
      <c r="O1809" s="18" t="n">
        <v>0</v>
      </c>
      <c r="P1809" s="17" t="n">
        <v>45856</v>
      </c>
      <c r="Q1809" s="17" t="n">
        <v>45856</v>
      </c>
      <c r="R1809" s="17" t="n">
        <v>45856</v>
      </c>
      <c r="S1809" s="19">
        <f>H1809*I1809</f>
        <v/>
      </c>
      <c r="T1809" s="19">
        <f>H1809*J1809</f>
        <v/>
      </c>
      <c r="U1809">
        <f>IF(AND(K1809=0,G1809&lt;=Assumptions!$C$6),1,0)</f>
        <v/>
      </c>
      <c r="V1809">
        <f>IF(U1809=1,IF(M1809&gt;0,IF(P1809&lt;=G1809+Assumptions!$C$7,1,0),0),0)</f>
        <v/>
      </c>
      <c r="W1809">
        <f>IF(AND(U1809=1,M1809&gt;=H1809*(1-Assumptions!$C$8)),1,0)</f>
        <v/>
      </c>
      <c r="X1809">
        <f>IF(AND(U1809=1,N1809&gt;=H1809*(1-Assumptions!$C$8)),1,0)</f>
        <v/>
      </c>
      <c r="Y1809">
        <f>IF(ISNUMBER(Q1809),1,0)</f>
        <v/>
      </c>
      <c r="Z1809">
        <f>IF(AND(K1809=0,L1809=0,Y1809=0),1,0)</f>
        <v/>
      </c>
      <c r="AA1809">
        <f>IF(AND(Z1809=1,G1809&lt;Assumptions!$C$6),1,0)</f>
        <v/>
      </c>
      <c r="AB1809">
        <f>IF(U1809=0,"",IF(Y1809=1,MAX(0,Q1809-G1809),IF(L1809=1,MAX(0,R1809-G1809),MAX(0,Assumptions!$C$6-G1809))))</f>
        <v/>
      </c>
      <c r="AC1809">
        <f>IF(Y1809=1,Q1809-F1809,"")</f>
        <v/>
      </c>
      <c r="AD1809">
        <f>IF(Y1809=1,AC1809^2,"")</f>
        <v/>
      </c>
      <c r="AE1809" s="19">
        <f>IF(Z1809=1,(H1809-M1809)*I1809,0)</f>
        <v/>
      </c>
      <c r="AF1809">
        <f>IF(G1809&lt;EDATE(Assumptions!$C$6,-12)+1,"prior_12m","last_12m")</f>
        <v/>
      </c>
      <c r="AG1809" s="21">
        <f>DATE(YEAR(G1809),MONTH(G1809),1)</f>
        <v/>
      </c>
    </row>
    <row r="1810">
      <c r="A1810" t="inlineStr">
        <is>
          <t>SPO-00984-1</t>
        </is>
      </c>
      <c r="B1810" t="inlineStr">
        <is>
          <t>SPO-00984</t>
        </is>
      </c>
      <c r="C1810" t="inlineStr">
        <is>
          <t>SUP-06</t>
        </is>
      </c>
      <c r="D1810" t="inlineStr">
        <is>
          <t>MRO</t>
        </is>
      </c>
      <c r="E1810" t="inlineStr">
        <is>
          <t>MRO-07</t>
        </is>
      </c>
      <c r="F1810" s="17" t="n">
        <v>45843</v>
      </c>
      <c r="G1810" s="17" t="n">
        <v>45851</v>
      </c>
      <c r="H1810" s="18" t="n">
        <v>111</v>
      </c>
      <c r="I1810" s="19" t="n">
        <v>14.52</v>
      </c>
      <c r="J1810" s="19" t="n">
        <v>14</v>
      </c>
      <c r="K1810" s="20" t="n">
        <v>0</v>
      </c>
      <c r="L1810" s="20" t="n">
        <v>0</v>
      </c>
      <c r="M1810" s="18" t="n">
        <v>111</v>
      </c>
      <c r="N1810" s="18" t="n">
        <v>111</v>
      </c>
      <c r="O1810" s="18" t="n">
        <v>0</v>
      </c>
      <c r="P1810" s="17" t="n">
        <v>45849</v>
      </c>
      <c r="Q1810" s="17" t="n">
        <v>45849</v>
      </c>
      <c r="R1810" s="17" t="n">
        <v>45849</v>
      </c>
      <c r="S1810" s="19">
        <f>H1810*I1810</f>
        <v/>
      </c>
      <c r="T1810" s="19">
        <f>H1810*J1810</f>
        <v/>
      </c>
      <c r="U1810">
        <f>IF(AND(K1810=0,G1810&lt;=Assumptions!$C$6),1,0)</f>
        <v/>
      </c>
      <c r="V1810">
        <f>IF(U1810=1,IF(M1810&gt;0,IF(P1810&lt;=G1810+Assumptions!$C$7,1,0),0),0)</f>
        <v/>
      </c>
      <c r="W1810">
        <f>IF(AND(U1810=1,M1810&gt;=H1810*(1-Assumptions!$C$8)),1,0)</f>
        <v/>
      </c>
      <c r="X1810">
        <f>IF(AND(U1810=1,N1810&gt;=H1810*(1-Assumptions!$C$8)),1,0)</f>
        <v/>
      </c>
      <c r="Y1810">
        <f>IF(ISNUMBER(Q1810),1,0)</f>
        <v/>
      </c>
      <c r="Z1810">
        <f>IF(AND(K1810=0,L1810=0,Y1810=0),1,0)</f>
        <v/>
      </c>
      <c r="AA1810">
        <f>IF(AND(Z1810=1,G1810&lt;Assumptions!$C$6),1,0)</f>
        <v/>
      </c>
      <c r="AB1810">
        <f>IF(U1810=0,"",IF(Y1810=1,MAX(0,Q1810-G1810),IF(L1810=1,MAX(0,R1810-G1810),MAX(0,Assumptions!$C$6-G1810))))</f>
        <v/>
      </c>
      <c r="AC1810">
        <f>IF(Y1810=1,Q1810-F1810,"")</f>
        <v/>
      </c>
      <c r="AD1810">
        <f>IF(Y1810=1,AC1810^2,"")</f>
        <v/>
      </c>
      <c r="AE1810" s="19">
        <f>IF(Z1810=1,(H1810-M1810)*I1810,0)</f>
        <v/>
      </c>
      <c r="AF1810">
        <f>IF(G1810&lt;EDATE(Assumptions!$C$6,-12)+1,"prior_12m","last_12m")</f>
        <v/>
      </c>
      <c r="AG1810" s="21">
        <f>DATE(YEAR(G1810),MONTH(G1810),1)</f>
        <v/>
      </c>
    </row>
    <row r="1811">
      <c r="A1811" t="inlineStr">
        <is>
          <t>SPO-00985-1</t>
        </is>
      </c>
      <c r="B1811" t="inlineStr">
        <is>
          <t>SPO-00985</t>
        </is>
      </c>
      <c r="C1811" t="inlineStr">
        <is>
          <t>SUP-01</t>
        </is>
      </c>
      <c r="D1811" t="inlineStr">
        <is>
          <t>ELEC</t>
        </is>
      </c>
      <c r="E1811" t="inlineStr">
        <is>
          <t>ELEC-05</t>
        </is>
      </c>
      <c r="F1811" s="17" t="n">
        <v>45844</v>
      </c>
      <c r="G1811" s="17" t="n">
        <v>45862</v>
      </c>
      <c r="H1811" s="18" t="n">
        <v>95</v>
      </c>
      <c r="I1811" s="19" t="n">
        <v>11.08</v>
      </c>
      <c r="J1811" s="19" t="n">
        <v>11.5</v>
      </c>
      <c r="K1811" s="20" t="n">
        <v>0</v>
      </c>
      <c r="L1811" s="20" t="n">
        <v>0</v>
      </c>
      <c r="M1811" s="18" t="n">
        <v>95</v>
      </c>
      <c r="N1811" s="18" t="n">
        <v>0</v>
      </c>
      <c r="O1811" s="18" t="n">
        <v>0</v>
      </c>
      <c r="P1811" s="17" t="n">
        <v>45863</v>
      </c>
      <c r="Q1811" s="17" t="n">
        <v>45876</v>
      </c>
      <c r="R1811" s="17" t="n">
        <v>45876</v>
      </c>
      <c r="S1811" s="19">
        <f>H1811*I1811</f>
        <v/>
      </c>
      <c r="T1811" s="19">
        <f>H1811*J1811</f>
        <v/>
      </c>
      <c r="U1811">
        <f>IF(AND(K1811=0,G1811&lt;=Assumptions!$C$6),1,0)</f>
        <v/>
      </c>
      <c r="V1811">
        <f>IF(U1811=1,IF(M1811&gt;0,IF(P1811&lt;=G1811+Assumptions!$C$7,1,0),0),0)</f>
        <v/>
      </c>
      <c r="W1811">
        <f>IF(AND(U1811=1,M1811&gt;=H1811*(1-Assumptions!$C$8)),1,0)</f>
        <v/>
      </c>
      <c r="X1811">
        <f>IF(AND(U1811=1,N1811&gt;=H1811*(1-Assumptions!$C$8)),1,0)</f>
        <v/>
      </c>
      <c r="Y1811">
        <f>IF(ISNUMBER(Q1811),1,0)</f>
        <v/>
      </c>
      <c r="Z1811">
        <f>IF(AND(K1811=0,L1811=0,Y1811=0),1,0)</f>
        <v/>
      </c>
      <c r="AA1811">
        <f>IF(AND(Z1811=1,G1811&lt;Assumptions!$C$6),1,0)</f>
        <v/>
      </c>
      <c r="AB1811">
        <f>IF(U1811=0,"",IF(Y1811=1,MAX(0,Q1811-G1811),IF(L1811=1,MAX(0,R1811-G1811),MAX(0,Assumptions!$C$6-G1811))))</f>
        <v/>
      </c>
      <c r="AC1811">
        <f>IF(Y1811=1,Q1811-F1811,"")</f>
        <v/>
      </c>
      <c r="AD1811">
        <f>IF(Y1811=1,AC1811^2,"")</f>
        <v/>
      </c>
      <c r="AE1811" s="19">
        <f>IF(Z1811=1,(H1811-M1811)*I1811,0)</f>
        <v/>
      </c>
      <c r="AF1811">
        <f>IF(G1811&lt;EDATE(Assumptions!$C$6,-12)+1,"prior_12m","last_12m")</f>
        <v/>
      </c>
      <c r="AG1811" s="21">
        <f>DATE(YEAR(G1811),MONTH(G1811),1)</f>
        <v/>
      </c>
    </row>
    <row r="1812">
      <c r="A1812" t="inlineStr">
        <is>
          <t>SPO-00985-2</t>
        </is>
      </c>
      <c r="B1812" t="inlineStr">
        <is>
          <t>SPO-00985</t>
        </is>
      </c>
      <c r="C1812" t="inlineStr">
        <is>
          <t>SUP-01</t>
        </is>
      </c>
      <c r="D1812" t="inlineStr">
        <is>
          <t>ELEC</t>
        </is>
      </c>
      <c r="E1812" t="inlineStr">
        <is>
          <t>ELEC-06</t>
        </is>
      </c>
      <c r="F1812" s="17" t="n">
        <v>45844</v>
      </c>
      <c r="G1812" s="17" t="n">
        <v>45862</v>
      </c>
      <c r="H1812" s="18" t="n">
        <v>31</v>
      </c>
      <c r="I1812" s="19" t="n">
        <v>141.12</v>
      </c>
      <c r="J1812" s="19" t="n">
        <v>145</v>
      </c>
      <c r="K1812" s="20" t="n">
        <v>0</v>
      </c>
      <c r="L1812" s="20" t="n">
        <v>0</v>
      </c>
      <c r="M1812" s="18" t="n">
        <v>31</v>
      </c>
      <c r="N1812" s="18" t="n">
        <v>31</v>
      </c>
      <c r="O1812" s="18" t="n">
        <v>0</v>
      </c>
      <c r="P1812" s="17" t="n">
        <v>45859</v>
      </c>
      <c r="Q1812" s="17" t="n">
        <v>45859</v>
      </c>
      <c r="R1812" s="17" t="n">
        <v>45859</v>
      </c>
      <c r="S1812" s="19">
        <f>H1812*I1812</f>
        <v/>
      </c>
      <c r="T1812" s="19">
        <f>H1812*J1812</f>
        <v/>
      </c>
      <c r="U1812">
        <f>IF(AND(K1812=0,G1812&lt;=Assumptions!$C$6),1,0)</f>
        <v/>
      </c>
      <c r="V1812">
        <f>IF(U1812=1,IF(M1812&gt;0,IF(P1812&lt;=G1812+Assumptions!$C$7,1,0),0),0)</f>
        <v/>
      </c>
      <c r="W1812">
        <f>IF(AND(U1812=1,M1812&gt;=H1812*(1-Assumptions!$C$8)),1,0)</f>
        <v/>
      </c>
      <c r="X1812">
        <f>IF(AND(U1812=1,N1812&gt;=H1812*(1-Assumptions!$C$8)),1,0)</f>
        <v/>
      </c>
      <c r="Y1812">
        <f>IF(ISNUMBER(Q1812),1,0)</f>
        <v/>
      </c>
      <c r="Z1812">
        <f>IF(AND(K1812=0,L1812=0,Y1812=0),1,0)</f>
        <v/>
      </c>
      <c r="AA1812">
        <f>IF(AND(Z1812=1,G1812&lt;Assumptions!$C$6),1,0)</f>
        <v/>
      </c>
      <c r="AB1812">
        <f>IF(U1812=0,"",IF(Y1812=1,MAX(0,Q1812-G1812),IF(L1812=1,MAX(0,R1812-G1812),MAX(0,Assumptions!$C$6-G1812))))</f>
        <v/>
      </c>
      <c r="AC1812">
        <f>IF(Y1812=1,Q1812-F1812,"")</f>
        <v/>
      </c>
      <c r="AD1812">
        <f>IF(Y1812=1,AC1812^2,"")</f>
        <v/>
      </c>
      <c r="AE1812" s="19">
        <f>IF(Z1812=1,(H1812-M1812)*I1812,0)</f>
        <v/>
      </c>
      <c r="AF1812">
        <f>IF(G1812&lt;EDATE(Assumptions!$C$6,-12)+1,"prior_12m","last_12m")</f>
        <v/>
      </c>
      <c r="AG1812" s="21">
        <f>DATE(YEAR(G1812),MONTH(G1812),1)</f>
        <v/>
      </c>
    </row>
    <row r="1813">
      <c r="A1813" t="inlineStr">
        <is>
          <t>SPO-00986-1</t>
        </is>
      </c>
      <c r="B1813" t="inlineStr">
        <is>
          <t>SPO-00986</t>
        </is>
      </c>
      <c r="C1813" t="inlineStr">
        <is>
          <t>SUP-01</t>
        </is>
      </c>
      <c r="D1813" t="inlineStr">
        <is>
          <t>ELEC</t>
        </is>
      </c>
      <c r="E1813" t="inlineStr">
        <is>
          <t>ELEC-08</t>
        </is>
      </c>
      <c r="F1813" s="17" t="n">
        <v>45844</v>
      </c>
      <c r="G1813" s="17" t="n">
        <v>45862</v>
      </c>
      <c r="H1813" s="18" t="n">
        <v>90</v>
      </c>
      <c r="I1813" s="19" t="n">
        <v>18.99</v>
      </c>
      <c r="J1813" s="19" t="n">
        <v>18</v>
      </c>
      <c r="K1813" s="20" t="n">
        <v>0</v>
      </c>
      <c r="L1813" s="20" t="n">
        <v>0</v>
      </c>
      <c r="M1813" s="18" t="n">
        <v>90</v>
      </c>
      <c r="N1813" s="18" t="n">
        <v>90</v>
      </c>
      <c r="O1813" s="18" t="n">
        <v>0</v>
      </c>
      <c r="P1813" s="17" t="n">
        <v>45858</v>
      </c>
      <c r="Q1813" s="17" t="n">
        <v>45858</v>
      </c>
      <c r="R1813" s="17" t="n">
        <v>45858</v>
      </c>
      <c r="S1813" s="19">
        <f>H1813*I1813</f>
        <v/>
      </c>
      <c r="T1813" s="19">
        <f>H1813*J1813</f>
        <v/>
      </c>
      <c r="U1813">
        <f>IF(AND(K1813=0,G1813&lt;=Assumptions!$C$6),1,0)</f>
        <v/>
      </c>
      <c r="V1813">
        <f>IF(U1813=1,IF(M1813&gt;0,IF(P1813&lt;=G1813+Assumptions!$C$7,1,0),0),0)</f>
        <v/>
      </c>
      <c r="W1813">
        <f>IF(AND(U1813=1,M1813&gt;=H1813*(1-Assumptions!$C$8)),1,0)</f>
        <v/>
      </c>
      <c r="X1813">
        <f>IF(AND(U1813=1,N1813&gt;=H1813*(1-Assumptions!$C$8)),1,0)</f>
        <v/>
      </c>
      <c r="Y1813">
        <f>IF(ISNUMBER(Q1813),1,0)</f>
        <v/>
      </c>
      <c r="Z1813">
        <f>IF(AND(K1813=0,L1813=0,Y1813=0),1,0)</f>
        <v/>
      </c>
      <c r="AA1813">
        <f>IF(AND(Z1813=1,G1813&lt;Assumptions!$C$6),1,0)</f>
        <v/>
      </c>
      <c r="AB1813">
        <f>IF(U1813=0,"",IF(Y1813=1,MAX(0,Q1813-G1813),IF(L1813=1,MAX(0,R1813-G1813),MAX(0,Assumptions!$C$6-G1813))))</f>
        <v/>
      </c>
      <c r="AC1813">
        <f>IF(Y1813=1,Q1813-F1813,"")</f>
        <v/>
      </c>
      <c r="AD1813">
        <f>IF(Y1813=1,AC1813^2,"")</f>
        <v/>
      </c>
      <c r="AE1813" s="19">
        <f>IF(Z1813=1,(H1813-M1813)*I1813,0)</f>
        <v/>
      </c>
      <c r="AF1813">
        <f>IF(G1813&lt;EDATE(Assumptions!$C$6,-12)+1,"prior_12m","last_12m")</f>
        <v/>
      </c>
      <c r="AG1813" s="21">
        <f>DATE(YEAR(G1813),MONTH(G1813),1)</f>
        <v/>
      </c>
    </row>
    <row r="1814">
      <c r="A1814" t="inlineStr">
        <is>
          <t>SPO-00987-1</t>
        </is>
      </c>
      <c r="B1814" t="inlineStr">
        <is>
          <t>SPO-00987</t>
        </is>
      </c>
      <c r="C1814" t="inlineStr">
        <is>
          <t>SUP-02</t>
        </is>
      </c>
      <c r="D1814" t="inlineStr">
        <is>
          <t>ELEC</t>
        </is>
      </c>
      <c r="E1814" t="inlineStr">
        <is>
          <t>ELEC-01</t>
        </is>
      </c>
      <c r="F1814" s="17" t="n">
        <v>45845</v>
      </c>
      <c r="G1814" s="17" t="n">
        <v>45861</v>
      </c>
      <c r="H1814" s="18" t="n">
        <v>50</v>
      </c>
      <c r="I1814" s="19" t="n">
        <v>35.27</v>
      </c>
      <c r="J1814" s="19" t="n">
        <v>38</v>
      </c>
      <c r="K1814" s="20" t="n">
        <v>0</v>
      </c>
      <c r="L1814" s="20" t="n">
        <v>0</v>
      </c>
      <c r="M1814" s="18" t="n">
        <v>50</v>
      </c>
      <c r="N1814" s="18" t="n">
        <v>50</v>
      </c>
      <c r="O1814" s="18" t="n">
        <v>0</v>
      </c>
      <c r="P1814" s="17" t="n">
        <v>45860</v>
      </c>
      <c r="Q1814" s="17" t="n">
        <v>45860</v>
      </c>
      <c r="R1814" s="17" t="n">
        <v>45860</v>
      </c>
      <c r="S1814" s="19">
        <f>H1814*I1814</f>
        <v/>
      </c>
      <c r="T1814" s="19">
        <f>H1814*J1814</f>
        <v/>
      </c>
      <c r="U1814">
        <f>IF(AND(K1814=0,G1814&lt;=Assumptions!$C$6),1,0)</f>
        <v/>
      </c>
      <c r="V1814">
        <f>IF(U1814=1,IF(M1814&gt;0,IF(P1814&lt;=G1814+Assumptions!$C$7,1,0),0),0)</f>
        <v/>
      </c>
      <c r="W1814">
        <f>IF(AND(U1814=1,M1814&gt;=H1814*(1-Assumptions!$C$8)),1,0)</f>
        <v/>
      </c>
      <c r="X1814">
        <f>IF(AND(U1814=1,N1814&gt;=H1814*(1-Assumptions!$C$8)),1,0)</f>
        <v/>
      </c>
      <c r="Y1814">
        <f>IF(ISNUMBER(Q1814),1,0)</f>
        <v/>
      </c>
      <c r="Z1814">
        <f>IF(AND(K1814=0,L1814=0,Y1814=0),1,0)</f>
        <v/>
      </c>
      <c r="AA1814">
        <f>IF(AND(Z1814=1,G1814&lt;Assumptions!$C$6),1,0)</f>
        <v/>
      </c>
      <c r="AB1814">
        <f>IF(U1814=0,"",IF(Y1814=1,MAX(0,Q1814-G1814),IF(L1814=1,MAX(0,R1814-G1814),MAX(0,Assumptions!$C$6-G1814))))</f>
        <v/>
      </c>
      <c r="AC1814">
        <f>IF(Y1814=1,Q1814-F1814,"")</f>
        <v/>
      </c>
      <c r="AD1814">
        <f>IF(Y1814=1,AC1814^2,"")</f>
        <v/>
      </c>
      <c r="AE1814" s="19">
        <f>IF(Z1814=1,(H1814-M1814)*I1814,0)</f>
        <v/>
      </c>
      <c r="AF1814">
        <f>IF(G1814&lt;EDATE(Assumptions!$C$6,-12)+1,"prior_12m","last_12m")</f>
        <v/>
      </c>
      <c r="AG1814" s="21">
        <f>DATE(YEAR(G1814),MONTH(G1814),1)</f>
        <v/>
      </c>
    </row>
    <row r="1815">
      <c r="A1815" t="inlineStr">
        <is>
          <t>SPO-00987-2</t>
        </is>
      </c>
      <c r="B1815" t="inlineStr">
        <is>
          <t>SPO-00987</t>
        </is>
      </c>
      <c r="C1815" t="inlineStr">
        <is>
          <t>SUP-02</t>
        </is>
      </c>
      <c r="D1815" t="inlineStr">
        <is>
          <t>ELEC</t>
        </is>
      </c>
      <c r="E1815" t="inlineStr">
        <is>
          <t>ELEC-04</t>
        </is>
      </c>
      <c r="F1815" s="17" t="n">
        <v>45845</v>
      </c>
      <c r="G1815" s="17" t="n">
        <v>45861</v>
      </c>
      <c r="H1815" s="18" t="n">
        <v>21</v>
      </c>
      <c r="I1815" s="19" t="n">
        <v>73.06999999999999</v>
      </c>
      <c r="J1815" s="19" t="n">
        <v>72</v>
      </c>
      <c r="K1815" s="20" t="n">
        <v>0</v>
      </c>
      <c r="L1815" s="20" t="n">
        <v>0</v>
      </c>
      <c r="M1815" s="18" t="n">
        <v>21</v>
      </c>
      <c r="N1815" s="18" t="n">
        <v>21</v>
      </c>
      <c r="O1815" s="18" t="n">
        <v>0</v>
      </c>
      <c r="P1815" s="17" t="n">
        <v>45858</v>
      </c>
      <c r="Q1815" s="17" t="n">
        <v>45858</v>
      </c>
      <c r="R1815" s="17" t="n">
        <v>45858</v>
      </c>
      <c r="S1815" s="19">
        <f>H1815*I1815</f>
        <v/>
      </c>
      <c r="T1815" s="19">
        <f>H1815*J1815</f>
        <v/>
      </c>
      <c r="U1815">
        <f>IF(AND(K1815=0,G1815&lt;=Assumptions!$C$6),1,0)</f>
        <v/>
      </c>
      <c r="V1815">
        <f>IF(U1815=1,IF(M1815&gt;0,IF(P1815&lt;=G1815+Assumptions!$C$7,1,0),0),0)</f>
        <v/>
      </c>
      <c r="W1815">
        <f>IF(AND(U1815=1,M1815&gt;=H1815*(1-Assumptions!$C$8)),1,0)</f>
        <v/>
      </c>
      <c r="X1815">
        <f>IF(AND(U1815=1,N1815&gt;=H1815*(1-Assumptions!$C$8)),1,0)</f>
        <v/>
      </c>
      <c r="Y1815">
        <f>IF(ISNUMBER(Q1815),1,0)</f>
        <v/>
      </c>
      <c r="Z1815">
        <f>IF(AND(K1815=0,L1815=0,Y1815=0),1,0)</f>
        <v/>
      </c>
      <c r="AA1815">
        <f>IF(AND(Z1815=1,G1815&lt;Assumptions!$C$6),1,0)</f>
        <v/>
      </c>
      <c r="AB1815">
        <f>IF(U1815=0,"",IF(Y1815=1,MAX(0,Q1815-G1815),IF(L1815=1,MAX(0,R1815-G1815),MAX(0,Assumptions!$C$6-G1815))))</f>
        <v/>
      </c>
      <c r="AC1815">
        <f>IF(Y1815=1,Q1815-F1815,"")</f>
        <v/>
      </c>
      <c r="AD1815">
        <f>IF(Y1815=1,AC1815^2,"")</f>
        <v/>
      </c>
      <c r="AE1815" s="19">
        <f>IF(Z1815=1,(H1815-M1815)*I1815,0)</f>
        <v/>
      </c>
      <c r="AF1815">
        <f>IF(G1815&lt;EDATE(Assumptions!$C$6,-12)+1,"prior_12m","last_12m")</f>
        <v/>
      </c>
      <c r="AG1815" s="21">
        <f>DATE(YEAR(G1815),MONTH(G1815),1)</f>
        <v/>
      </c>
    </row>
    <row r="1816">
      <c r="A1816" t="inlineStr">
        <is>
          <t>SPO-00987-3</t>
        </is>
      </c>
      <c r="B1816" t="inlineStr">
        <is>
          <t>SPO-00987</t>
        </is>
      </c>
      <c r="C1816" t="inlineStr">
        <is>
          <t>SUP-02</t>
        </is>
      </c>
      <c r="D1816" t="inlineStr">
        <is>
          <t>ELEC</t>
        </is>
      </c>
      <c r="E1816" t="inlineStr">
        <is>
          <t>ELEC-02</t>
        </is>
      </c>
      <c r="F1816" s="17" t="n">
        <v>45845</v>
      </c>
      <c r="G1816" s="17" t="n">
        <v>45861</v>
      </c>
      <c r="H1816" s="18" t="n">
        <v>205</v>
      </c>
      <c r="I1816" s="19" t="n">
        <v>4.45</v>
      </c>
      <c r="J1816" s="19" t="n">
        <v>4.2</v>
      </c>
      <c r="K1816" s="20" t="n">
        <v>0</v>
      </c>
      <c r="L1816" s="20" t="n">
        <v>0</v>
      </c>
      <c r="M1816" s="18" t="n">
        <v>205</v>
      </c>
      <c r="N1816" s="18" t="n">
        <v>205</v>
      </c>
      <c r="O1816" s="18" t="n">
        <v>0</v>
      </c>
      <c r="P1816" s="17" t="n">
        <v>45855</v>
      </c>
      <c r="Q1816" s="17" t="n">
        <v>45855</v>
      </c>
      <c r="R1816" s="17" t="n">
        <v>45855</v>
      </c>
      <c r="S1816" s="19">
        <f>H1816*I1816</f>
        <v/>
      </c>
      <c r="T1816" s="19">
        <f>H1816*J1816</f>
        <v/>
      </c>
      <c r="U1816">
        <f>IF(AND(K1816=0,G1816&lt;=Assumptions!$C$6),1,0)</f>
        <v/>
      </c>
      <c r="V1816">
        <f>IF(U1816=1,IF(M1816&gt;0,IF(P1816&lt;=G1816+Assumptions!$C$7,1,0),0),0)</f>
        <v/>
      </c>
      <c r="W1816">
        <f>IF(AND(U1816=1,M1816&gt;=H1816*(1-Assumptions!$C$8)),1,0)</f>
        <v/>
      </c>
      <c r="X1816">
        <f>IF(AND(U1816=1,N1816&gt;=H1816*(1-Assumptions!$C$8)),1,0)</f>
        <v/>
      </c>
      <c r="Y1816">
        <f>IF(ISNUMBER(Q1816),1,0)</f>
        <v/>
      </c>
      <c r="Z1816">
        <f>IF(AND(K1816=0,L1816=0,Y1816=0),1,0)</f>
        <v/>
      </c>
      <c r="AA1816">
        <f>IF(AND(Z1816=1,G1816&lt;Assumptions!$C$6),1,0)</f>
        <v/>
      </c>
      <c r="AB1816">
        <f>IF(U1816=0,"",IF(Y1816=1,MAX(0,Q1816-G1816),IF(L1816=1,MAX(0,R1816-G1816),MAX(0,Assumptions!$C$6-G1816))))</f>
        <v/>
      </c>
      <c r="AC1816">
        <f>IF(Y1816=1,Q1816-F1816,"")</f>
        <v/>
      </c>
      <c r="AD1816">
        <f>IF(Y1816=1,AC1816^2,"")</f>
        <v/>
      </c>
      <c r="AE1816" s="19">
        <f>IF(Z1816=1,(H1816-M1816)*I1816,0)</f>
        <v/>
      </c>
      <c r="AF1816">
        <f>IF(G1816&lt;EDATE(Assumptions!$C$6,-12)+1,"prior_12m","last_12m")</f>
        <v/>
      </c>
      <c r="AG1816" s="21">
        <f>DATE(YEAR(G1816),MONTH(G1816),1)</f>
        <v/>
      </c>
    </row>
    <row r="1817">
      <c r="A1817" t="inlineStr">
        <is>
          <t>SPO-00987-4</t>
        </is>
      </c>
      <c r="B1817" t="inlineStr">
        <is>
          <t>SPO-00987</t>
        </is>
      </c>
      <c r="C1817" t="inlineStr">
        <is>
          <t>SUP-02</t>
        </is>
      </c>
      <c r="D1817" t="inlineStr">
        <is>
          <t>ELEC</t>
        </is>
      </c>
      <c r="E1817" t="inlineStr">
        <is>
          <t>ELEC-03</t>
        </is>
      </c>
      <c r="F1817" s="17" t="n">
        <v>45845</v>
      </c>
      <c r="G1817" s="17" t="n">
        <v>45861</v>
      </c>
      <c r="H1817" s="18" t="n">
        <v>26</v>
      </c>
      <c r="I1817" s="19" t="n">
        <v>97.33</v>
      </c>
      <c r="J1817" s="19" t="n">
        <v>96</v>
      </c>
      <c r="K1817" s="20" t="n">
        <v>0</v>
      </c>
      <c r="L1817" s="20" t="n">
        <v>0</v>
      </c>
      <c r="M1817" s="18" t="n">
        <v>26</v>
      </c>
      <c r="N1817" s="18" t="n">
        <v>12</v>
      </c>
      <c r="O1817" s="18" t="n">
        <v>0</v>
      </c>
      <c r="P1817" s="17" t="n">
        <v>45857</v>
      </c>
      <c r="Q1817" s="17" t="n">
        <v>45877</v>
      </c>
      <c r="R1817" s="17" t="n">
        <v>45877</v>
      </c>
      <c r="S1817" s="19">
        <f>H1817*I1817</f>
        <v/>
      </c>
      <c r="T1817" s="19">
        <f>H1817*J1817</f>
        <v/>
      </c>
      <c r="U1817">
        <f>IF(AND(K1817=0,G1817&lt;=Assumptions!$C$6),1,0)</f>
        <v/>
      </c>
      <c r="V1817">
        <f>IF(U1817=1,IF(M1817&gt;0,IF(P1817&lt;=G1817+Assumptions!$C$7,1,0),0),0)</f>
        <v/>
      </c>
      <c r="W1817">
        <f>IF(AND(U1817=1,M1817&gt;=H1817*(1-Assumptions!$C$8)),1,0)</f>
        <v/>
      </c>
      <c r="X1817">
        <f>IF(AND(U1817=1,N1817&gt;=H1817*(1-Assumptions!$C$8)),1,0)</f>
        <v/>
      </c>
      <c r="Y1817">
        <f>IF(ISNUMBER(Q1817),1,0)</f>
        <v/>
      </c>
      <c r="Z1817">
        <f>IF(AND(K1817=0,L1817=0,Y1817=0),1,0)</f>
        <v/>
      </c>
      <c r="AA1817">
        <f>IF(AND(Z1817=1,G1817&lt;Assumptions!$C$6),1,0)</f>
        <v/>
      </c>
      <c r="AB1817">
        <f>IF(U1817=0,"",IF(Y1817=1,MAX(0,Q1817-G1817),IF(L1817=1,MAX(0,R1817-G1817),MAX(0,Assumptions!$C$6-G1817))))</f>
        <v/>
      </c>
      <c r="AC1817">
        <f>IF(Y1817=1,Q1817-F1817,"")</f>
        <v/>
      </c>
      <c r="AD1817">
        <f>IF(Y1817=1,AC1817^2,"")</f>
        <v/>
      </c>
      <c r="AE1817" s="19">
        <f>IF(Z1817=1,(H1817-M1817)*I1817,0)</f>
        <v/>
      </c>
      <c r="AF1817">
        <f>IF(G1817&lt;EDATE(Assumptions!$C$6,-12)+1,"prior_12m","last_12m")</f>
        <v/>
      </c>
      <c r="AG1817" s="21">
        <f>DATE(YEAR(G1817),MONTH(G1817),1)</f>
        <v/>
      </c>
    </row>
    <row r="1818">
      <c r="A1818" t="inlineStr">
        <is>
          <t>SPO-00988-1</t>
        </is>
      </c>
      <c r="B1818" t="inlineStr">
        <is>
          <t>SPO-00988</t>
        </is>
      </c>
      <c r="C1818" t="inlineStr">
        <is>
          <t>SUP-14</t>
        </is>
      </c>
      <c r="D1818" t="inlineStr">
        <is>
          <t>FLEET</t>
        </is>
      </c>
      <c r="E1818" t="inlineStr">
        <is>
          <t>FLEET-02</t>
        </is>
      </c>
      <c r="F1818" s="17" t="n">
        <v>45845</v>
      </c>
      <c r="G1818" s="17" t="n">
        <v>45859</v>
      </c>
      <c r="H1818" s="18" t="n">
        <v>188</v>
      </c>
      <c r="I1818" s="19" t="n">
        <v>7.53</v>
      </c>
      <c r="J1818" s="19" t="n">
        <v>7.5</v>
      </c>
      <c r="K1818" s="20" t="n">
        <v>0</v>
      </c>
      <c r="L1818" s="20" t="n">
        <v>0</v>
      </c>
      <c r="M1818" s="18" t="n">
        <v>188</v>
      </c>
      <c r="N1818" s="18" t="n">
        <v>188</v>
      </c>
      <c r="O1818" s="18" t="n">
        <v>0</v>
      </c>
      <c r="P1818" s="17" t="n">
        <v>45859</v>
      </c>
      <c r="Q1818" s="17" t="n">
        <v>45859</v>
      </c>
      <c r="R1818" s="17" t="n">
        <v>45859</v>
      </c>
      <c r="S1818" s="19">
        <f>H1818*I1818</f>
        <v/>
      </c>
      <c r="T1818" s="19">
        <f>H1818*J1818</f>
        <v/>
      </c>
      <c r="U1818">
        <f>IF(AND(K1818=0,G1818&lt;=Assumptions!$C$6),1,0)</f>
        <v/>
      </c>
      <c r="V1818">
        <f>IF(U1818=1,IF(M1818&gt;0,IF(P1818&lt;=G1818+Assumptions!$C$7,1,0),0),0)</f>
        <v/>
      </c>
      <c r="W1818">
        <f>IF(AND(U1818=1,M1818&gt;=H1818*(1-Assumptions!$C$8)),1,0)</f>
        <v/>
      </c>
      <c r="X1818">
        <f>IF(AND(U1818=1,N1818&gt;=H1818*(1-Assumptions!$C$8)),1,0)</f>
        <v/>
      </c>
      <c r="Y1818">
        <f>IF(ISNUMBER(Q1818),1,0)</f>
        <v/>
      </c>
      <c r="Z1818">
        <f>IF(AND(K1818=0,L1818=0,Y1818=0),1,0)</f>
        <v/>
      </c>
      <c r="AA1818">
        <f>IF(AND(Z1818=1,G1818&lt;Assumptions!$C$6),1,0)</f>
        <v/>
      </c>
      <c r="AB1818">
        <f>IF(U1818=0,"",IF(Y1818=1,MAX(0,Q1818-G1818),IF(L1818=1,MAX(0,R1818-G1818),MAX(0,Assumptions!$C$6-G1818))))</f>
        <v/>
      </c>
      <c r="AC1818">
        <f>IF(Y1818=1,Q1818-F1818,"")</f>
        <v/>
      </c>
      <c r="AD1818">
        <f>IF(Y1818=1,AC1818^2,"")</f>
        <v/>
      </c>
      <c r="AE1818" s="19">
        <f>IF(Z1818=1,(H1818-M1818)*I1818,0)</f>
        <v/>
      </c>
      <c r="AF1818">
        <f>IF(G1818&lt;EDATE(Assumptions!$C$6,-12)+1,"prior_12m","last_12m")</f>
        <v/>
      </c>
      <c r="AG1818" s="21">
        <f>DATE(YEAR(G1818),MONTH(G1818),1)</f>
        <v/>
      </c>
    </row>
    <row r="1819">
      <c r="A1819" t="inlineStr">
        <is>
          <t>SPO-00989-1</t>
        </is>
      </c>
      <c r="B1819" t="inlineStr">
        <is>
          <t>SPO-00989</t>
        </is>
      </c>
      <c r="C1819" t="inlineStr">
        <is>
          <t>SUP-12</t>
        </is>
      </c>
      <c r="D1819" t="inlineStr">
        <is>
          <t>IT</t>
        </is>
      </c>
      <c r="E1819" t="inlineStr">
        <is>
          <t>IT-04</t>
        </is>
      </c>
      <c r="F1819" s="17" t="n">
        <v>45846</v>
      </c>
      <c r="G1819" s="17" t="n">
        <v>45856</v>
      </c>
      <c r="H1819" s="18" t="n">
        <v>135</v>
      </c>
      <c r="I1819" s="19" t="n">
        <v>13.48</v>
      </c>
      <c r="J1819" s="19" t="n">
        <v>12</v>
      </c>
      <c r="K1819" s="20" t="n">
        <v>0</v>
      </c>
      <c r="L1819" s="20" t="n">
        <v>0</v>
      </c>
      <c r="M1819" s="18" t="n">
        <v>135</v>
      </c>
      <c r="N1819" s="18" t="n">
        <v>135</v>
      </c>
      <c r="O1819" s="18" t="n">
        <v>0</v>
      </c>
      <c r="P1819" s="17" t="n">
        <v>45853</v>
      </c>
      <c r="Q1819" s="17" t="n">
        <v>45853</v>
      </c>
      <c r="R1819" s="17" t="n">
        <v>45853</v>
      </c>
      <c r="S1819" s="19">
        <f>H1819*I1819</f>
        <v/>
      </c>
      <c r="T1819" s="19">
        <f>H1819*J1819</f>
        <v/>
      </c>
      <c r="U1819">
        <f>IF(AND(K1819=0,G1819&lt;=Assumptions!$C$6),1,0)</f>
        <v/>
      </c>
      <c r="V1819">
        <f>IF(U1819=1,IF(M1819&gt;0,IF(P1819&lt;=G1819+Assumptions!$C$7,1,0),0),0)</f>
        <v/>
      </c>
      <c r="W1819">
        <f>IF(AND(U1819=1,M1819&gt;=H1819*(1-Assumptions!$C$8)),1,0)</f>
        <v/>
      </c>
      <c r="X1819">
        <f>IF(AND(U1819=1,N1819&gt;=H1819*(1-Assumptions!$C$8)),1,0)</f>
        <v/>
      </c>
      <c r="Y1819">
        <f>IF(ISNUMBER(Q1819),1,0)</f>
        <v/>
      </c>
      <c r="Z1819">
        <f>IF(AND(K1819=0,L1819=0,Y1819=0),1,0)</f>
        <v/>
      </c>
      <c r="AA1819">
        <f>IF(AND(Z1819=1,G1819&lt;Assumptions!$C$6),1,0)</f>
        <v/>
      </c>
      <c r="AB1819">
        <f>IF(U1819=0,"",IF(Y1819=1,MAX(0,Q1819-G1819),IF(L1819=1,MAX(0,R1819-G1819),MAX(0,Assumptions!$C$6-G1819))))</f>
        <v/>
      </c>
      <c r="AC1819">
        <f>IF(Y1819=1,Q1819-F1819,"")</f>
        <v/>
      </c>
      <c r="AD1819">
        <f>IF(Y1819=1,AC1819^2,"")</f>
        <v/>
      </c>
      <c r="AE1819" s="19">
        <f>IF(Z1819=1,(H1819-M1819)*I1819,0)</f>
        <v/>
      </c>
      <c r="AF1819">
        <f>IF(G1819&lt;EDATE(Assumptions!$C$6,-12)+1,"prior_12m","last_12m")</f>
        <v/>
      </c>
      <c r="AG1819" s="21">
        <f>DATE(YEAR(G1819),MONTH(G1819),1)</f>
        <v/>
      </c>
    </row>
    <row r="1820">
      <c r="A1820" t="inlineStr">
        <is>
          <t>SPO-00990-1</t>
        </is>
      </c>
      <c r="B1820" t="inlineStr">
        <is>
          <t>SPO-00990</t>
        </is>
      </c>
      <c r="C1820" t="inlineStr">
        <is>
          <t>SUP-12</t>
        </is>
      </c>
      <c r="D1820" t="inlineStr">
        <is>
          <t>IT</t>
        </is>
      </c>
      <c r="E1820" t="inlineStr">
        <is>
          <t>IT-03</t>
        </is>
      </c>
      <c r="F1820" s="17" t="n">
        <v>45846</v>
      </c>
      <c r="G1820" s="17" t="n">
        <v>45856</v>
      </c>
      <c r="H1820" s="18" t="n">
        <v>91</v>
      </c>
      <c r="I1820" s="19" t="n">
        <v>41.17</v>
      </c>
      <c r="J1820" s="19" t="n">
        <v>38</v>
      </c>
      <c r="K1820" s="20" t="n">
        <v>0</v>
      </c>
      <c r="L1820" s="20" t="n">
        <v>0</v>
      </c>
      <c r="M1820" s="18" t="n">
        <v>91</v>
      </c>
      <c r="N1820" s="18" t="n">
        <v>0</v>
      </c>
      <c r="O1820" s="18" t="n">
        <v>0</v>
      </c>
      <c r="P1820" s="17" t="n">
        <v>45857</v>
      </c>
      <c r="Q1820" s="17" t="n">
        <v>45857</v>
      </c>
      <c r="R1820" s="17" t="n">
        <v>45857</v>
      </c>
      <c r="S1820" s="19">
        <f>H1820*I1820</f>
        <v/>
      </c>
      <c r="T1820" s="19">
        <f>H1820*J1820</f>
        <v/>
      </c>
      <c r="U1820">
        <f>IF(AND(K1820=0,G1820&lt;=Assumptions!$C$6),1,0)</f>
        <v/>
      </c>
      <c r="V1820">
        <f>IF(U1820=1,IF(M1820&gt;0,IF(P1820&lt;=G1820+Assumptions!$C$7,1,0),0),0)</f>
        <v/>
      </c>
      <c r="W1820">
        <f>IF(AND(U1820=1,M1820&gt;=H1820*(1-Assumptions!$C$8)),1,0)</f>
        <v/>
      </c>
      <c r="X1820">
        <f>IF(AND(U1820=1,N1820&gt;=H1820*(1-Assumptions!$C$8)),1,0)</f>
        <v/>
      </c>
      <c r="Y1820">
        <f>IF(ISNUMBER(Q1820),1,0)</f>
        <v/>
      </c>
      <c r="Z1820">
        <f>IF(AND(K1820=0,L1820=0,Y1820=0),1,0)</f>
        <v/>
      </c>
      <c r="AA1820">
        <f>IF(AND(Z1820=1,G1820&lt;Assumptions!$C$6),1,0)</f>
        <v/>
      </c>
      <c r="AB1820">
        <f>IF(U1820=0,"",IF(Y1820=1,MAX(0,Q1820-G1820),IF(L1820=1,MAX(0,R1820-G1820),MAX(0,Assumptions!$C$6-G1820))))</f>
        <v/>
      </c>
      <c r="AC1820">
        <f>IF(Y1820=1,Q1820-F1820,"")</f>
        <v/>
      </c>
      <c r="AD1820">
        <f>IF(Y1820=1,AC1820^2,"")</f>
        <v/>
      </c>
      <c r="AE1820" s="19">
        <f>IF(Z1820=1,(H1820-M1820)*I1820,0)</f>
        <v/>
      </c>
      <c r="AF1820">
        <f>IF(G1820&lt;EDATE(Assumptions!$C$6,-12)+1,"prior_12m","last_12m")</f>
        <v/>
      </c>
      <c r="AG1820" s="21">
        <f>DATE(YEAR(G1820),MONTH(G1820),1)</f>
        <v/>
      </c>
    </row>
    <row r="1821">
      <c r="A1821" t="inlineStr">
        <is>
          <t>SPO-00990-2</t>
        </is>
      </c>
      <c r="B1821" t="inlineStr">
        <is>
          <t>SPO-00990</t>
        </is>
      </c>
      <c r="C1821" t="inlineStr">
        <is>
          <t>SUP-12</t>
        </is>
      </c>
      <c r="D1821" t="inlineStr">
        <is>
          <t>IT</t>
        </is>
      </c>
      <c r="E1821" t="inlineStr">
        <is>
          <t>IT-01</t>
        </is>
      </c>
      <c r="F1821" s="17" t="n">
        <v>45846</v>
      </c>
      <c r="G1821" s="17" t="n">
        <v>45856</v>
      </c>
      <c r="H1821" s="18" t="n">
        <v>4</v>
      </c>
      <c r="I1821" s="19" t="n">
        <v>206.29</v>
      </c>
      <c r="J1821" s="19" t="n">
        <v>189</v>
      </c>
      <c r="K1821" s="20" t="n">
        <v>0</v>
      </c>
      <c r="L1821" s="20" t="n">
        <v>0</v>
      </c>
      <c r="M1821" s="18" t="n">
        <v>4</v>
      </c>
      <c r="N1821" s="18" t="n">
        <v>4</v>
      </c>
      <c r="O1821" s="18" t="n">
        <v>0</v>
      </c>
      <c r="P1821" s="17" t="n">
        <v>45855</v>
      </c>
      <c r="Q1821" s="17" t="n">
        <v>45855</v>
      </c>
      <c r="R1821" s="17" t="n">
        <v>45855</v>
      </c>
      <c r="S1821" s="19">
        <f>H1821*I1821</f>
        <v/>
      </c>
      <c r="T1821" s="19">
        <f>H1821*J1821</f>
        <v/>
      </c>
      <c r="U1821">
        <f>IF(AND(K1821=0,G1821&lt;=Assumptions!$C$6),1,0)</f>
        <v/>
      </c>
      <c r="V1821">
        <f>IF(U1821=1,IF(M1821&gt;0,IF(P1821&lt;=G1821+Assumptions!$C$7,1,0),0),0)</f>
        <v/>
      </c>
      <c r="W1821">
        <f>IF(AND(U1821=1,M1821&gt;=H1821*(1-Assumptions!$C$8)),1,0)</f>
        <v/>
      </c>
      <c r="X1821">
        <f>IF(AND(U1821=1,N1821&gt;=H1821*(1-Assumptions!$C$8)),1,0)</f>
        <v/>
      </c>
      <c r="Y1821">
        <f>IF(ISNUMBER(Q1821),1,0)</f>
        <v/>
      </c>
      <c r="Z1821">
        <f>IF(AND(K1821=0,L1821=0,Y1821=0),1,0)</f>
        <v/>
      </c>
      <c r="AA1821">
        <f>IF(AND(Z1821=1,G1821&lt;Assumptions!$C$6),1,0)</f>
        <v/>
      </c>
      <c r="AB1821">
        <f>IF(U1821=0,"",IF(Y1821=1,MAX(0,Q1821-G1821),IF(L1821=1,MAX(0,R1821-G1821),MAX(0,Assumptions!$C$6-G1821))))</f>
        <v/>
      </c>
      <c r="AC1821">
        <f>IF(Y1821=1,Q1821-F1821,"")</f>
        <v/>
      </c>
      <c r="AD1821">
        <f>IF(Y1821=1,AC1821^2,"")</f>
        <v/>
      </c>
      <c r="AE1821" s="19">
        <f>IF(Z1821=1,(H1821-M1821)*I1821,0)</f>
        <v/>
      </c>
      <c r="AF1821">
        <f>IF(G1821&lt;EDATE(Assumptions!$C$6,-12)+1,"prior_12m","last_12m")</f>
        <v/>
      </c>
      <c r="AG1821" s="21">
        <f>DATE(YEAR(G1821),MONTH(G1821),1)</f>
        <v/>
      </c>
    </row>
    <row r="1822">
      <c r="A1822" t="inlineStr">
        <is>
          <t>SPO-00990-3</t>
        </is>
      </c>
      <c r="B1822" t="inlineStr">
        <is>
          <t>SPO-00990</t>
        </is>
      </c>
      <c r="C1822" t="inlineStr">
        <is>
          <t>SUP-12</t>
        </is>
      </c>
      <c r="D1822" t="inlineStr">
        <is>
          <t>IT</t>
        </is>
      </c>
      <c r="E1822" t="inlineStr">
        <is>
          <t>IT-04</t>
        </is>
      </c>
      <c r="F1822" s="17" t="n">
        <v>45846</v>
      </c>
      <c r="G1822" s="17" t="n">
        <v>45856</v>
      </c>
      <c r="H1822" s="18" t="n">
        <v>82</v>
      </c>
      <c r="I1822" s="19" t="n">
        <v>14.28</v>
      </c>
      <c r="J1822" s="19" t="n">
        <v>12</v>
      </c>
      <c r="K1822" s="20" t="n">
        <v>0</v>
      </c>
      <c r="L1822" s="20" t="n">
        <v>0</v>
      </c>
      <c r="M1822" s="18" t="n">
        <v>82</v>
      </c>
      <c r="N1822" s="18" t="n">
        <v>82</v>
      </c>
      <c r="O1822" s="18" t="n">
        <v>0</v>
      </c>
      <c r="P1822" s="17" t="n">
        <v>45854</v>
      </c>
      <c r="Q1822" s="17" t="n">
        <v>45854</v>
      </c>
      <c r="R1822" s="17" t="n">
        <v>45854</v>
      </c>
      <c r="S1822" s="19">
        <f>H1822*I1822</f>
        <v/>
      </c>
      <c r="T1822" s="19">
        <f>H1822*J1822</f>
        <v/>
      </c>
      <c r="U1822">
        <f>IF(AND(K1822=0,G1822&lt;=Assumptions!$C$6),1,0)</f>
        <v/>
      </c>
      <c r="V1822">
        <f>IF(U1822=1,IF(M1822&gt;0,IF(P1822&lt;=G1822+Assumptions!$C$7,1,0),0),0)</f>
        <v/>
      </c>
      <c r="W1822">
        <f>IF(AND(U1822=1,M1822&gt;=H1822*(1-Assumptions!$C$8)),1,0)</f>
        <v/>
      </c>
      <c r="X1822">
        <f>IF(AND(U1822=1,N1822&gt;=H1822*(1-Assumptions!$C$8)),1,0)</f>
        <v/>
      </c>
      <c r="Y1822">
        <f>IF(ISNUMBER(Q1822),1,0)</f>
        <v/>
      </c>
      <c r="Z1822">
        <f>IF(AND(K1822=0,L1822=0,Y1822=0),1,0)</f>
        <v/>
      </c>
      <c r="AA1822">
        <f>IF(AND(Z1822=1,G1822&lt;Assumptions!$C$6),1,0)</f>
        <v/>
      </c>
      <c r="AB1822">
        <f>IF(U1822=0,"",IF(Y1822=1,MAX(0,Q1822-G1822),IF(L1822=1,MAX(0,R1822-G1822),MAX(0,Assumptions!$C$6-G1822))))</f>
        <v/>
      </c>
      <c r="AC1822">
        <f>IF(Y1822=1,Q1822-F1822,"")</f>
        <v/>
      </c>
      <c r="AD1822">
        <f>IF(Y1822=1,AC1822^2,"")</f>
        <v/>
      </c>
      <c r="AE1822" s="19">
        <f>IF(Z1822=1,(H1822-M1822)*I1822,0)</f>
        <v/>
      </c>
      <c r="AF1822">
        <f>IF(G1822&lt;EDATE(Assumptions!$C$6,-12)+1,"prior_12m","last_12m")</f>
        <v/>
      </c>
      <c r="AG1822" s="21">
        <f>DATE(YEAR(G1822),MONTH(G1822),1)</f>
        <v/>
      </c>
    </row>
    <row r="1823">
      <c r="A1823" t="inlineStr">
        <is>
          <t>SPO-00991-1</t>
        </is>
      </c>
      <c r="B1823" t="inlineStr">
        <is>
          <t>SPO-00991</t>
        </is>
      </c>
      <c r="C1823" t="inlineStr">
        <is>
          <t>SUP-08</t>
        </is>
      </c>
      <c r="D1823" t="inlineStr">
        <is>
          <t>PPE</t>
        </is>
      </c>
      <c r="E1823" t="inlineStr">
        <is>
          <t>PPE-01</t>
        </is>
      </c>
      <c r="F1823" s="17" t="n">
        <v>45846</v>
      </c>
      <c r="G1823" s="17" t="n">
        <v>45857</v>
      </c>
      <c r="H1823" s="18" t="n">
        <v>323</v>
      </c>
      <c r="I1823" s="19" t="n">
        <v>4.87</v>
      </c>
      <c r="J1823" s="19" t="n">
        <v>4.8</v>
      </c>
      <c r="K1823" s="20" t="n">
        <v>1</v>
      </c>
      <c r="L1823" s="20" t="n">
        <v>0</v>
      </c>
      <c r="M1823" s="18" t="n">
        <v>0</v>
      </c>
      <c r="N1823" s="18" t="n">
        <v>0</v>
      </c>
      <c r="O1823" s="18" t="n">
        <v>0</v>
      </c>
      <c r="P1823" s="17" t="n"/>
      <c r="Q1823" s="17" t="n"/>
      <c r="R1823" s="17" t="n"/>
      <c r="S1823" s="19">
        <f>H1823*I1823</f>
        <v/>
      </c>
      <c r="T1823" s="19">
        <f>H1823*J1823</f>
        <v/>
      </c>
      <c r="U1823">
        <f>IF(AND(K1823=0,G1823&lt;=Assumptions!$C$6),1,0)</f>
        <v/>
      </c>
      <c r="V1823">
        <f>IF(U1823=1,IF(M1823&gt;0,IF(P1823&lt;=G1823+Assumptions!$C$7,1,0),0),0)</f>
        <v/>
      </c>
      <c r="W1823">
        <f>IF(AND(U1823=1,M1823&gt;=H1823*(1-Assumptions!$C$8)),1,0)</f>
        <v/>
      </c>
      <c r="X1823">
        <f>IF(AND(U1823=1,N1823&gt;=H1823*(1-Assumptions!$C$8)),1,0)</f>
        <v/>
      </c>
      <c r="Y1823">
        <f>IF(ISNUMBER(Q1823),1,0)</f>
        <v/>
      </c>
      <c r="Z1823">
        <f>IF(AND(K1823=0,L1823=0,Y1823=0),1,0)</f>
        <v/>
      </c>
      <c r="AA1823">
        <f>IF(AND(Z1823=1,G1823&lt;Assumptions!$C$6),1,0)</f>
        <v/>
      </c>
      <c r="AB1823">
        <f>IF(U1823=0,"",IF(Y1823=1,MAX(0,Q1823-G1823),IF(L1823=1,MAX(0,R1823-G1823),MAX(0,Assumptions!$C$6-G1823))))</f>
        <v/>
      </c>
      <c r="AC1823">
        <f>IF(Y1823=1,Q1823-F1823,"")</f>
        <v/>
      </c>
      <c r="AD1823">
        <f>IF(Y1823=1,AC1823^2,"")</f>
        <v/>
      </c>
      <c r="AE1823" s="19">
        <f>IF(Z1823=1,(H1823-M1823)*I1823,0)</f>
        <v/>
      </c>
      <c r="AF1823">
        <f>IF(G1823&lt;EDATE(Assumptions!$C$6,-12)+1,"prior_12m","last_12m")</f>
        <v/>
      </c>
      <c r="AG1823" s="21">
        <f>DATE(YEAR(G1823),MONTH(G1823),1)</f>
        <v/>
      </c>
    </row>
    <row r="1824">
      <c r="A1824" t="inlineStr">
        <is>
          <t>SPO-00992-1</t>
        </is>
      </c>
      <c r="B1824" t="inlineStr">
        <is>
          <t>SPO-00992</t>
        </is>
      </c>
      <c r="C1824" t="inlineStr">
        <is>
          <t>SUP-12</t>
        </is>
      </c>
      <c r="D1824" t="inlineStr">
        <is>
          <t>IT</t>
        </is>
      </c>
      <c r="E1824" t="inlineStr">
        <is>
          <t>IT-07</t>
        </is>
      </c>
      <c r="F1824" s="17" t="n">
        <v>45846</v>
      </c>
      <c r="G1824" s="17" t="n">
        <v>45856</v>
      </c>
      <c r="H1824" s="18" t="n">
        <v>38</v>
      </c>
      <c r="I1824" s="19" t="n">
        <v>87.22</v>
      </c>
      <c r="J1824" s="19" t="n">
        <v>74</v>
      </c>
      <c r="K1824" s="20" t="n">
        <v>0</v>
      </c>
      <c r="L1824" s="20" t="n">
        <v>0</v>
      </c>
      <c r="M1824" s="18" t="n">
        <v>38</v>
      </c>
      <c r="N1824" s="18" t="n">
        <v>38</v>
      </c>
      <c r="O1824" s="18" t="n">
        <v>0</v>
      </c>
      <c r="P1824" s="17" t="n">
        <v>45855</v>
      </c>
      <c r="Q1824" s="17" t="n">
        <v>45855</v>
      </c>
      <c r="R1824" s="17" t="n">
        <v>45855</v>
      </c>
      <c r="S1824" s="19">
        <f>H1824*I1824</f>
        <v/>
      </c>
      <c r="T1824" s="19">
        <f>H1824*J1824</f>
        <v/>
      </c>
      <c r="U1824">
        <f>IF(AND(K1824=0,G1824&lt;=Assumptions!$C$6),1,0)</f>
        <v/>
      </c>
      <c r="V1824">
        <f>IF(U1824=1,IF(M1824&gt;0,IF(P1824&lt;=G1824+Assumptions!$C$7,1,0),0),0)</f>
        <v/>
      </c>
      <c r="W1824">
        <f>IF(AND(U1824=1,M1824&gt;=H1824*(1-Assumptions!$C$8)),1,0)</f>
        <v/>
      </c>
      <c r="X1824">
        <f>IF(AND(U1824=1,N1824&gt;=H1824*(1-Assumptions!$C$8)),1,0)</f>
        <v/>
      </c>
      <c r="Y1824">
        <f>IF(ISNUMBER(Q1824),1,0)</f>
        <v/>
      </c>
      <c r="Z1824">
        <f>IF(AND(K1824=0,L1824=0,Y1824=0),1,0)</f>
        <v/>
      </c>
      <c r="AA1824">
        <f>IF(AND(Z1824=1,G1824&lt;Assumptions!$C$6),1,0)</f>
        <v/>
      </c>
      <c r="AB1824">
        <f>IF(U1824=0,"",IF(Y1824=1,MAX(0,Q1824-G1824),IF(L1824=1,MAX(0,R1824-G1824),MAX(0,Assumptions!$C$6-G1824))))</f>
        <v/>
      </c>
      <c r="AC1824">
        <f>IF(Y1824=1,Q1824-F1824,"")</f>
        <v/>
      </c>
      <c r="AD1824">
        <f>IF(Y1824=1,AC1824^2,"")</f>
        <v/>
      </c>
      <c r="AE1824" s="19">
        <f>IF(Z1824=1,(H1824-M1824)*I1824,0)</f>
        <v/>
      </c>
      <c r="AF1824">
        <f>IF(G1824&lt;EDATE(Assumptions!$C$6,-12)+1,"prior_12m","last_12m")</f>
        <v/>
      </c>
      <c r="AG1824" s="21">
        <f>DATE(YEAR(G1824),MONTH(G1824),1)</f>
        <v/>
      </c>
    </row>
    <row r="1825">
      <c r="A1825" t="inlineStr">
        <is>
          <t>SPO-00993-1</t>
        </is>
      </c>
      <c r="B1825" t="inlineStr">
        <is>
          <t>SPO-00993</t>
        </is>
      </c>
      <c r="C1825" t="inlineStr">
        <is>
          <t>SUP-14</t>
        </is>
      </c>
      <c r="D1825" t="inlineStr">
        <is>
          <t>FLEET</t>
        </is>
      </c>
      <c r="E1825" t="inlineStr">
        <is>
          <t>FLEET-01</t>
        </is>
      </c>
      <c r="F1825" s="17" t="n">
        <v>45847</v>
      </c>
      <c r="G1825" s="17" t="n">
        <v>45861</v>
      </c>
      <c r="H1825" s="18" t="n">
        <v>15</v>
      </c>
      <c r="I1825" s="19" t="n">
        <v>61.11</v>
      </c>
      <c r="J1825" s="19" t="n">
        <v>64</v>
      </c>
      <c r="K1825" s="20" t="n">
        <v>0</v>
      </c>
      <c r="L1825" s="20" t="n">
        <v>0</v>
      </c>
      <c r="M1825" s="18" t="n">
        <v>15</v>
      </c>
      <c r="N1825" s="18" t="n">
        <v>0</v>
      </c>
      <c r="O1825" s="18" t="n">
        <v>0</v>
      </c>
      <c r="P1825" s="17" t="n">
        <v>45862</v>
      </c>
      <c r="Q1825" s="17" t="n">
        <v>45862</v>
      </c>
      <c r="R1825" s="17" t="n">
        <v>45862</v>
      </c>
      <c r="S1825" s="19">
        <f>H1825*I1825</f>
        <v/>
      </c>
      <c r="T1825" s="19">
        <f>H1825*J1825</f>
        <v/>
      </c>
      <c r="U1825">
        <f>IF(AND(K1825=0,G1825&lt;=Assumptions!$C$6),1,0)</f>
        <v/>
      </c>
      <c r="V1825">
        <f>IF(U1825=1,IF(M1825&gt;0,IF(P1825&lt;=G1825+Assumptions!$C$7,1,0),0),0)</f>
        <v/>
      </c>
      <c r="W1825">
        <f>IF(AND(U1825=1,M1825&gt;=H1825*(1-Assumptions!$C$8)),1,0)</f>
        <v/>
      </c>
      <c r="X1825">
        <f>IF(AND(U1825=1,N1825&gt;=H1825*(1-Assumptions!$C$8)),1,0)</f>
        <v/>
      </c>
      <c r="Y1825">
        <f>IF(ISNUMBER(Q1825),1,0)</f>
        <v/>
      </c>
      <c r="Z1825">
        <f>IF(AND(K1825=0,L1825=0,Y1825=0),1,0)</f>
        <v/>
      </c>
      <c r="AA1825">
        <f>IF(AND(Z1825=1,G1825&lt;Assumptions!$C$6),1,0)</f>
        <v/>
      </c>
      <c r="AB1825">
        <f>IF(U1825=0,"",IF(Y1825=1,MAX(0,Q1825-G1825),IF(L1825=1,MAX(0,R1825-G1825),MAX(0,Assumptions!$C$6-G1825))))</f>
        <v/>
      </c>
      <c r="AC1825">
        <f>IF(Y1825=1,Q1825-F1825,"")</f>
        <v/>
      </c>
      <c r="AD1825">
        <f>IF(Y1825=1,AC1825^2,"")</f>
        <v/>
      </c>
      <c r="AE1825" s="19">
        <f>IF(Z1825=1,(H1825-M1825)*I1825,0)</f>
        <v/>
      </c>
      <c r="AF1825">
        <f>IF(G1825&lt;EDATE(Assumptions!$C$6,-12)+1,"prior_12m","last_12m")</f>
        <v/>
      </c>
      <c r="AG1825" s="21">
        <f>DATE(YEAR(G1825),MONTH(G1825),1)</f>
        <v/>
      </c>
    </row>
    <row r="1826">
      <c r="A1826" t="inlineStr">
        <is>
          <t>SPO-00993-2</t>
        </is>
      </c>
      <c r="B1826" t="inlineStr">
        <is>
          <t>SPO-00993</t>
        </is>
      </c>
      <c r="C1826" t="inlineStr">
        <is>
          <t>SUP-14</t>
        </is>
      </c>
      <c r="D1826" t="inlineStr">
        <is>
          <t>FLEET</t>
        </is>
      </c>
      <c r="E1826" t="inlineStr">
        <is>
          <t>FLEET-07</t>
        </is>
      </c>
      <c r="F1826" s="17" t="n">
        <v>45847</v>
      </c>
      <c r="G1826" s="17" t="n">
        <v>45861</v>
      </c>
      <c r="H1826" s="18" t="n">
        <v>18</v>
      </c>
      <c r="I1826" s="19" t="n">
        <v>119.56</v>
      </c>
      <c r="J1826" s="19" t="n">
        <v>118</v>
      </c>
      <c r="K1826" s="20" t="n">
        <v>0</v>
      </c>
      <c r="L1826" s="20" t="n">
        <v>0</v>
      </c>
      <c r="M1826" s="18" t="n">
        <v>18</v>
      </c>
      <c r="N1826" s="18" t="n">
        <v>18</v>
      </c>
      <c r="O1826" s="18" t="n">
        <v>0</v>
      </c>
      <c r="P1826" s="17" t="n">
        <v>45858</v>
      </c>
      <c r="Q1826" s="17" t="n">
        <v>45858</v>
      </c>
      <c r="R1826" s="17" t="n">
        <v>45858</v>
      </c>
      <c r="S1826" s="19">
        <f>H1826*I1826</f>
        <v/>
      </c>
      <c r="T1826" s="19">
        <f>H1826*J1826</f>
        <v/>
      </c>
      <c r="U1826">
        <f>IF(AND(K1826=0,G1826&lt;=Assumptions!$C$6),1,0)</f>
        <v/>
      </c>
      <c r="V1826">
        <f>IF(U1826=1,IF(M1826&gt;0,IF(P1826&lt;=G1826+Assumptions!$C$7,1,0),0),0)</f>
        <v/>
      </c>
      <c r="W1826">
        <f>IF(AND(U1826=1,M1826&gt;=H1826*(1-Assumptions!$C$8)),1,0)</f>
        <v/>
      </c>
      <c r="X1826">
        <f>IF(AND(U1826=1,N1826&gt;=H1826*(1-Assumptions!$C$8)),1,0)</f>
        <v/>
      </c>
      <c r="Y1826">
        <f>IF(ISNUMBER(Q1826),1,0)</f>
        <v/>
      </c>
      <c r="Z1826">
        <f>IF(AND(K1826=0,L1826=0,Y1826=0),1,0)</f>
        <v/>
      </c>
      <c r="AA1826">
        <f>IF(AND(Z1826=1,G1826&lt;Assumptions!$C$6),1,0)</f>
        <v/>
      </c>
      <c r="AB1826">
        <f>IF(U1826=0,"",IF(Y1826=1,MAX(0,Q1826-G1826),IF(L1826=1,MAX(0,R1826-G1826),MAX(0,Assumptions!$C$6-G1826))))</f>
        <v/>
      </c>
      <c r="AC1826">
        <f>IF(Y1826=1,Q1826-F1826,"")</f>
        <v/>
      </c>
      <c r="AD1826">
        <f>IF(Y1826=1,AC1826^2,"")</f>
        <v/>
      </c>
      <c r="AE1826" s="19">
        <f>IF(Z1826=1,(H1826-M1826)*I1826,0)</f>
        <v/>
      </c>
      <c r="AF1826">
        <f>IF(G1826&lt;EDATE(Assumptions!$C$6,-12)+1,"prior_12m","last_12m")</f>
        <v/>
      </c>
      <c r="AG1826" s="21">
        <f>DATE(YEAR(G1826),MONTH(G1826),1)</f>
        <v/>
      </c>
    </row>
    <row r="1827">
      <c r="A1827" t="inlineStr">
        <is>
          <t>SPO-00994-1</t>
        </is>
      </c>
      <c r="B1827" t="inlineStr">
        <is>
          <t>SPO-00994</t>
        </is>
      </c>
      <c r="C1827" t="inlineStr">
        <is>
          <t>SUP-14</t>
        </is>
      </c>
      <c r="D1827" t="inlineStr">
        <is>
          <t>FLEET</t>
        </is>
      </c>
      <c r="E1827" t="inlineStr">
        <is>
          <t>FLEET-02</t>
        </is>
      </c>
      <c r="F1827" s="17" t="n">
        <v>45847</v>
      </c>
      <c r="G1827" s="17" t="n">
        <v>45861</v>
      </c>
      <c r="H1827" s="18" t="n">
        <v>521</v>
      </c>
      <c r="I1827" s="19" t="n">
        <v>7.29</v>
      </c>
      <c r="J1827" s="19" t="n">
        <v>7.5</v>
      </c>
      <c r="K1827" s="20" t="n">
        <v>0</v>
      </c>
      <c r="L1827" s="20" t="n">
        <v>0</v>
      </c>
      <c r="M1827" s="18" t="n">
        <v>521</v>
      </c>
      <c r="N1827" s="18" t="n">
        <v>521</v>
      </c>
      <c r="O1827" s="18" t="n">
        <v>0</v>
      </c>
      <c r="P1827" s="17" t="n">
        <v>45856</v>
      </c>
      <c r="Q1827" s="17" t="n">
        <v>45856</v>
      </c>
      <c r="R1827" s="17" t="n">
        <v>45856</v>
      </c>
      <c r="S1827" s="19">
        <f>H1827*I1827</f>
        <v/>
      </c>
      <c r="T1827" s="19">
        <f>H1827*J1827</f>
        <v/>
      </c>
      <c r="U1827">
        <f>IF(AND(K1827=0,G1827&lt;=Assumptions!$C$6),1,0)</f>
        <v/>
      </c>
      <c r="V1827">
        <f>IF(U1827=1,IF(M1827&gt;0,IF(P1827&lt;=G1827+Assumptions!$C$7,1,0),0),0)</f>
        <v/>
      </c>
      <c r="W1827">
        <f>IF(AND(U1827=1,M1827&gt;=H1827*(1-Assumptions!$C$8)),1,0)</f>
        <v/>
      </c>
      <c r="X1827">
        <f>IF(AND(U1827=1,N1827&gt;=H1827*(1-Assumptions!$C$8)),1,0)</f>
        <v/>
      </c>
      <c r="Y1827">
        <f>IF(ISNUMBER(Q1827),1,0)</f>
        <v/>
      </c>
      <c r="Z1827">
        <f>IF(AND(K1827=0,L1827=0,Y1827=0),1,0)</f>
        <v/>
      </c>
      <c r="AA1827">
        <f>IF(AND(Z1827=1,G1827&lt;Assumptions!$C$6),1,0)</f>
        <v/>
      </c>
      <c r="AB1827">
        <f>IF(U1827=0,"",IF(Y1827=1,MAX(0,Q1827-G1827),IF(L1827=1,MAX(0,R1827-G1827),MAX(0,Assumptions!$C$6-G1827))))</f>
        <v/>
      </c>
      <c r="AC1827">
        <f>IF(Y1827=1,Q1827-F1827,"")</f>
        <v/>
      </c>
      <c r="AD1827">
        <f>IF(Y1827=1,AC1827^2,"")</f>
        <v/>
      </c>
      <c r="AE1827" s="19">
        <f>IF(Z1827=1,(H1827-M1827)*I1827,0)</f>
        <v/>
      </c>
      <c r="AF1827">
        <f>IF(G1827&lt;EDATE(Assumptions!$C$6,-12)+1,"prior_12m","last_12m")</f>
        <v/>
      </c>
      <c r="AG1827" s="21">
        <f>DATE(YEAR(G1827),MONTH(G1827),1)</f>
        <v/>
      </c>
    </row>
    <row r="1828">
      <c r="A1828" t="inlineStr">
        <is>
          <t>SPO-00994-2</t>
        </is>
      </c>
      <c r="B1828" t="inlineStr">
        <is>
          <t>SPO-00994</t>
        </is>
      </c>
      <c r="C1828" t="inlineStr">
        <is>
          <t>SUP-14</t>
        </is>
      </c>
      <c r="D1828" t="inlineStr">
        <is>
          <t>FLEET</t>
        </is>
      </c>
      <c r="E1828" t="inlineStr">
        <is>
          <t>FLEET-01</t>
        </is>
      </c>
      <c r="F1828" s="17" t="n">
        <v>45847</v>
      </c>
      <c r="G1828" s="17" t="n">
        <v>45861</v>
      </c>
      <c r="H1828" s="18" t="n">
        <v>27</v>
      </c>
      <c r="I1828" s="19" t="n">
        <v>64.18000000000001</v>
      </c>
      <c r="J1828" s="19" t="n">
        <v>64</v>
      </c>
      <c r="K1828" s="20" t="n">
        <v>0</v>
      </c>
      <c r="L1828" s="20" t="n">
        <v>0</v>
      </c>
      <c r="M1828" s="18" t="n">
        <v>27</v>
      </c>
      <c r="N1828" s="18" t="n">
        <v>0</v>
      </c>
      <c r="O1828" s="18" t="n">
        <v>0</v>
      </c>
      <c r="P1828" s="17" t="n">
        <v>45862</v>
      </c>
      <c r="Q1828" s="17" t="n">
        <v>45862</v>
      </c>
      <c r="R1828" s="17" t="n">
        <v>45862</v>
      </c>
      <c r="S1828" s="19">
        <f>H1828*I1828</f>
        <v/>
      </c>
      <c r="T1828" s="19">
        <f>H1828*J1828</f>
        <v/>
      </c>
      <c r="U1828">
        <f>IF(AND(K1828=0,G1828&lt;=Assumptions!$C$6),1,0)</f>
        <v/>
      </c>
      <c r="V1828">
        <f>IF(U1828=1,IF(M1828&gt;0,IF(P1828&lt;=G1828+Assumptions!$C$7,1,0),0),0)</f>
        <v/>
      </c>
      <c r="W1828">
        <f>IF(AND(U1828=1,M1828&gt;=H1828*(1-Assumptions!$C$8)),1,0)</f>
        <v/>
      </c>
      <c r="X1828">
        <f>IF(AND(U1828=1,N1828&gt;=H1828*(1-Assumptions!$C$8)),1,0)</f>
        <v/>
      </c>
      <c r="Y1828">
        <f>IF(ISNUMBER(Q1828),1,0)</f>
        <v/>
      </c>
      <c r="Z1828">
        <f>IF(AND(K1828=0,L1828=0,Y1828=0),1,0)</f>
        <v/>
      </c>
      <c r="AA1828">
        <f>IF(AND(Z1828=1,G1828&lt;Assumptions!$C$6),1,0)</f>
        <v/>
      </c>
      <c r="AB1828">
        <f>IF(U1828=0,"",IF(Y1828=1,MAX(0,Q1828-G1828),IF(L1828=1,MAX(0,R1828-G1828),MAX(0,Assumptions!$C$6-G1828))))</f>
        <v/>
      </c>
      <c r="AC1828">
        <f>IF(Y1828=1,Q1828-F1828,"")</f>
        <v/>
      </c>
      <c r="AD1828">
        <f>IF(Y1828=1,AC1828^2,"")</f>
        <v/>
      </c>
      <c r="AE1828" s="19">
        <f>IF(Z1828=1,(H1828-M1828)*I1828,0)</f>
        <v/>
      </c>
      <c r="AF1828">
        <f>IF(G1828&lt;EDATE(Assumptions!$C$6,-12)+1,"prior_12m","last_12m")</f>
        <v/>
      </c>
      <c r="AG1828" s="21">
        <f>DATE(YEAR(G1828),MONTH(G1828),1)</f>
        <v/>
      </c>
    </row>
    <row r="1829">
      <c r="A1829" t="inlineStr">
        <is>
          <t>SPO-00995-1</t>
        </is>
      </c>
      <c r="B1829" t="inlineStr">
        <is>
          <t>SPO-00995</t>
        </is>
      </c>
      <c r="C1829" t="inlineStr">
        <is>
          <t>SUP-14</t>
        </is>
      </c>
      <c r="D1829" t="inlineStr">
        <is>
          <t>FLEET</t>
        </is>
      </c>
      <c r="E1829" t="inlineStr">
        <is>
          <t>FLEET-03</t>
        </is>
      </c>
      <c r="F1829" s="17" t="n">
        <v>45847</v>
      </c>
      <c r="G1829" s="17" t="n">
        <v>45861</v>
      </c>
      <c r="H1829" s="18" t="n">
        <v>89</v>
      </c>
      <c r="I1829" s="19" t="n">
        <v>20.69</v>
      </c>
      <c r="J1829" s="19" t="n">
        <v>21</v>
      </c>
      <c r="K1829" s="20" t="n">
        <v>0</v>
      </c>
      <c r="L1829" s="20" t="n">
        <v>0</v>
      </c>
      <c r="M1829" s="18" t="n">
        <v>89</v>
      </c>
      <c r="N1829" s="18" t="n">
        <v>89</v>
      </c>
      <c r="O1829" s="18" t="n">
        <v>0</v>
      </c>
      <c r="P1829" s="17" t="n">
        <v>45859</v>
      </c>
      <c r="Q1829" s="17" t="n">
        <v>45859</v>
      </c>
      <c r="R1829" s="17" t="n">
        <v>45859</v>
      </c>
      <c r="S1829" s="19">
        <f>H1829*I1829</f>
        <v/>
      </c>
      <c r="T1829" s="19">
        <f>H1829*J1829</f>
        <v/>
      </c>
      <c r="U1829">
        <f>IF(AND(K1829=0,G1829&lt;=Assumptions!$C$6),1,0)</f>
        <v/>
      </c>
      <c r="V1829">
        <f>IF(U1829=1,IF(M1829&gt;0,IF(P1829&lt;=G1829+Assumptions!$C$7,1,0),0),0)</f>
        <v/>
      </c>
      <c r="W1829">
        <f>IF(AND(U1829=1,M1829&gt;=H1829*(1-Assumptions!$C$8)),1,0)</f>
        <v/>
      </c>
      <c r="X1829">
        <f>IF(AND(U1829=1,N1829&gt;=H1829*(1-Assumptions!$C$8)),1,0)</f>
        <v/>
      </c>
      <c r="Y1829">
        <f>IF(ISNUMBER(Q1829),1,0)</f>
        <v/>
      </c>
      <c r="Z1829">
        <f>IF(AND(K1829=0,L1829=0,Y1829=0),1,0)</f>
        <v/>
      </c>
      <c r="AA1829">
        <f>IF(AND(Z1829=1,G1829&lt;Assumptions!$C$6),1,0)</f>
        <v/>
      </c>
      <c r="AB1829">
        <f>IF(U1829=0,"",IF(Y1829=1,MAX(0,Q1829-G1829),IF(L1829=1,MAX(0,R1829-G1829),MAX(0,Assumptions!$C$6-G1829))))</f>
        <v/>
      </c>
      <c r="AC1829">
        <f>IF(Y1829=1,Q1829-F1829,"")</f>
        <v/>
      </c>
      <c r="AD1829">
        <f>IF(Y1829=1,AC1829^2,"")</f>
        <v/>
      </c>
      <c r="AE1829" s="19">
        <f>IF(Z1829=1,(H1829-M1829)*I1829,0)</f>
        <v/>
      </c>
      <c r="AF1829">
        <f>IF(G1829&lt;EDATE(Assumptions!$C$6,-12)+1,"prior_12m","last_12m")</f>
        <v/>
      </c>
      <c r="AG1829" s="21">
        <f>DATE(YEAR(G1829),MONTH(G1829),1)</f>
        <v/>
      </c>
    </row>
    <row r="1830">
      <c r="A1830" t="inlineStr">
        <is>
          <t>SPO-00996-1</t>
        </is>
      </c>
      <c r="B1830" t="inlineStr">
        <is>
          <t>SPO-00996</t>
        </is>
      </c>
      <c r="C1830" t="inlineStr">
        <is>
          <t>SUP-01</t>
        </is>
      </c>
      <c r="D1830" t="inlineStr">
        <is>
          <t>ELEC</t>
        </is>
      </c>
      <c r="E1830" t="inlineStr">
        <is>
          <t>ELEC-03</t>
        </is>
      </c>
      <c r="F1830" s="17" t="n">
        <v>45847</v>
      </c>
      <c r="G1830" s="17" t="n">
        <v>45865</v>
      </c>
      <c r="H1830" s="18" t="n">
        <v>15</v>
      </c>
      <c r="I1830" s="19" t="n">
        <v>96.67</v>
      </c>
      <c r="J1830" s="19" t="n">
        <v>96</v>
      </c>
      <c r="K1830" s="20" t="n">
        <v>0</v>
      </c>
      <c r="L1830" s="20" t="n">
        <v>0</v>
      </c>
      <c r="M1830" s="18" t="n">
        <v>15</v>
      </c>
      <c r="N1830" s="18" t="n">
        <v>15</v>
      </c>
      <c r="O1830" s="18" t="n">
        <v>0</v>
      </c>
      <c r="P1830" s="17" t="n">
        <v>45860</v>
      </c>
      <c r="Q1830" s="17" t="n">
        <v>45860</v>
      </c>
      <c r="R1830" s="17" t="n">
        <v>45860</v>
      </c>
      <c r="S1830" s="19">
        <f>H1830*I1830</f>
        <v/>
      </c>
      <c r="T1830" s="19">
        <f>H1830*J1830</f>
        <v/>
      </c>
      <c r="U1830">
        <f>IF(AND(K1830=0,G1830&lt;=Assumptions!$C$6),1,0)</f>
        <v/>
      </c>
      <c r="V1830">
        <f>IF(U1830=1,IF(M1830&gt;0,IF(P1830&lt;=G1830+Assumptions!$C$7,1,0),0),0)</f>
        <v/>
      </c>
      <c r="W1830">
        <f>IF(AND(U1830=1,M1830&gt;=H1830*(1-Assumptions!$C$8)),1,0)</f>
        <v/>
      </c>
      <c r="X1830">
        <f>IF(AND(U1830=1,N1830&gt;=H1830*(1-Assumptions!$C$8)),1,0)</f>
        <v/>
      </c>
      <c r="Y1830">
        <f>IF(ISNUMBER(Q1830),1,0)</f>
        <v/>
      </c>
      <c r="Z1830">
        <f>IF(AND(K1830=0,L1830=0,Y1830=0),1,0)</f>
        <v/>
      </c>
      <c r="AA1830">
        <f>IF(AND(Z1830=1,G1830&lt;Assumptions!$C$6),1,0)</f>
        <v/>
      </c>
      <c r="AB1830">
        <f>IF(U1830=0,"",IF(Y1830=1,MAX(0,Q1830-G1830),IF(L1830=1,MAX(0,R1830-G1830),MAX(0,Assumptions!$C$6-G1830))))</f>
        <v/>
      </c>
      <c r="AC1830">
        <f>IF(Y1830=1,Q1830-F1830,"")</f>
        <v/>
      </c>
      <c r="AD1830">
        <f>IF(Y1830=1,AC1830^2,"")</f>
        <v/>
      </c>
      <c r="AE1830" s="19">
        <f>IF(Z1830=1,(H1830-M1830)*I1830,0)</f>
        <v/>
      </c>
      <c r="AF1830">
        <f>IF(G1830&lt;EDATE(Assumptions!$C$6,-12)+1,"prior_12m","last_12m")</f>
        <v/>
      </c>
      <c r="AG1830" s="21">
        <f>DATE(YEAR(G1830),MONTH(G1830),1)</f>
        <v/>
      </c>
    </row>
    <row r="1831">
      <c r="A1831" t="inlineStr">
        <is>
          <t>SPO-00996-2</t>
        </is>
      </c>
      <c r="B1831" t="inlineStr">
        <is>
          <t>SPO-00996</t>
        </is>
      </c>
      <c r="C1831" t="inlineStr">
        <is>
          <t>SUP-01</t>
        </is>
      </c>
      <c r="D1831" t="inlineStr">
        <is>
          <t>ELEC</t>
        </is>
      </c>
      <c r="E1831" t="inlineStr">
        <is>
          <t>ELEC-05</t>
        </is>
      </c>
      <c r="F1831" s="17" t="n">
        <v>45847</v>
      </c>
      <c r="G1831" s="17" t="n">
        <v>45865</v>
      </c>
      <c r="H1831" s="18" t="n">
        <v>198</v>
      </c>
      <c r="I1831" s="19" t="n">
        <v>11.5</v>
      </c>
      <c r="J1831" s="19" t="n">
        <v>11.5</v>
      </c>
      <c r="K1831" s="20" t="n">
        <v>0</v>
      </c>
      <c r="L1831" s="20" t="n">
        <v>0</v>
      </c>
      <c r="M1831" s="18" t="n">
        <v>198</v>
      </c>
      <c r="N1831" s="18" t="n">
        <v>198</v>
      </c>
      <c r="O1831" s="18" t="n">
        <v>0</v>
      </c>
      <c r="P1831" s="17" t="n">
        <v>45864</v>
      </c>
      <c r="Q1831" s="17" t="n">
        <v>45864</v>
      </c>
      <c r="R1831" s="17" t="n">
        <v>45864</v>
      </c>
      <c r="S1831" s="19">
        <f>H1831*I1831</f>
        <v/>
      </c>
      <c r="T1831" s="19">
        <f>H1831*J1831</f>
        <v/>
      </c>
      <c r="U1831">
        <f>IF(AND(K1831=0,G1831&lt;=Assumptions!$C$6),1,0)</f>
        <v/>
      </c>
      <c r="V1831">
        <f>IF(U1831=1,IF(M1831&gt;0,IF(P1831&lt;=G1831+Assumptions!$C$7,1,0),0),0)</f>
        <v/>
      </c>
      <c r="W1831">
        <f>IF(AND(U1831=1,M1831&gt;=H1831*(1-Assumptions!$C$8)),1,0)</f>
        <v/>
      </c>
      <c r="X1831">
        <f>IF(AND(U1831=1,N1831&gt;=H1831*(1-Assumptions!$C$8)),1,0)</f>
        <v/>
      </c>
      <c r="Y1831">
        <f>IF(ISNUMBER(Q1831),1,0)</f>
        <v/>
      </c>
      <c r="Z1831">
        <f>IF(AND(K1831=0,L1831=0,Y1831=0),1,0)</f>
        <v/>
      </c>
      <c r="AA1831">
        <f>IF(AND(Z1831=1,G1831&lt;Assumptions!$C$6),1,0)</f>
        <v/>
      </c>
      <c r="AB1831">
        <f>IF(U1831=0,"",IF(Y1831=1,MAX(0,Q1831-G1831),IF(L1831=1,MAX(0,R1831-G1831),MAX(0,Assumptions!$C$6-G1831))))</f>
        <v/>
      </c>
      <c r="AC1831">
        <f>IF(Y1831=1,Q1831-F1831,"")</f>
        <v/>
      </c>
      <c r="AD1831">
        <f>IF(Y1831=1,AC1831^2,"")</f>
        <v/>
      </c>
      <c r="AE1831" s="19">
        <f>IF(Z1831=1,(H1831-M1831)*I1831,0)</f>
        <v/>
      </c>
      <c r="AF1831">
        <f>IF(G1831&lt;EDATE(Assumptions!$C$6,-12)+1,"prior_12m","last_12m")</f>
        <v/>
      </c>
      <c r="AG1831" s="21">
        <f>DATE(YEAR(G1831),MONTH(G1831),1)</f>
        <v/>
      </c>
    </row>
    <row r="1832">
      <c r="A1832" t="inlineStr">
        <is>
          <t>SPO-00996-3</t>
        </is>
      </c>
      <c r="B1832" t="inlineStr">
        <is>
          <t>SPO-00996</t>
        </is>
      </c>
      <c r="C1832" t="inlineStr">
        <is>
          <t>SUP-01</t>
        </is>
      </c>
      <c r="D1832" t="inlineStr">
        <is>
          <t>ELEC</t>
        </is>
      </c>
      <c r="E1832" t="inlineStr">
        <is>
          <t>ELEC-07</t>
        </is>
      </c>
      <c r="F1832" s="17" t="n">
        <v>45847</v>
      </c>
      <c r="G1832" s="17" t="n">
        <v>45865</v>
      </c>
      <c r="H1832" s="18" t="n">
        <v>764</v>
      </c>
      <c r="I1832" s="19" t="n">
        <v>9.630000000000001</v>
      </c>
      <c r="J1832" s="19" t="n">
        <v>9.800000000000001</v>
      </c>
      <c r="K1832" s="20" t="n">
        <v>0</v>
      </c>
      <c r="L1832" s="20" t="n">
        <v>0</v>
      </c>
      <c r="M1832" s="18" t="n">
        <v>764</v>
      </c>
      <c r="N1832" s="18" t="n">
        <v>764</v>
      </c>
      <c r="O1832" s="18" t="n">
        <v>0</v>
      </c>
      <c r="P1832" s="17" t="n">
        <v>45863</v>
      </c>
      <c r="Q1832" s="17" t="n">
        <v>45863</v>
      </c>
      <c r="R1832" s="17" t="n">
        <v>45863</v>
      </c>
      <c r="S1832" s="19">
        <f>H1832*I1832</f>
        <v/>
      </c>
      <c r="T1832" s="19">
        <f>H1832*J1832</f>
        <v/>
      </c>
      <c r="U1832">
        <f>IF(AND(K1832=0,G1832&lt;=Assumptions!$C$6),1,0)</f>
        <v/>
      </c>
      <c r="V1832">
        <f>IF(U1832=1,IF(M1832&gt;0,IF(P1832&lt;=G1832+Assumptions!$C$7,1,0),0),0)</f>
        <v/>
      </c>
      <c r="W1832">
        <f>IF(AND(U1832=1,M1832&gt;=H1832*(1-Assumptions!$C$8)),1,0)</f>
        <v/>
      </c>
      <c r="X1832">
        <f>IF(AND(U1832=1,N1832&gt;=H1832*(1-Assumptions!$C$8)),1,0)</f>
        <v/>
      </c>
      <c r="Y1832">
        <f>IF(ISNUMBER(Q1832),1,0)</f>
        <v/>
      </c>
      <c r="Z1832">
        <f>IF(AND(K1832=0,L1832=0,Y1832=0),1,0)</f>
        <v/>
      </c>
      <c r="AA1832">
        <f>IF(AND(Z1832=1,G1832&lt;Assumptions!$C$6),1,0)</f>
        <v/>
      </c>
      <c r="AB1832">
        <f>IF(U1832=0,"",IF(Y1832=1,MAX(0,Q1832-G1832),IF(L1832=1,MAX(0,R1832-G1832),MAX(0,Assumptions!$C$6-G1832))))</f>
        <v/>
      </c>
      <c r="AC1832">
        <f>IF(Y1832=1,Q1832-F1832,"")</f>
        <v/>
      </c>
      <c r="AD1832">
        <f>IF(Y1832=1,AC1832^2,"")</f>
        <v/>
      </c>
      <c r="AE1832" s="19">
        <f>IF(Z1832=1,(H1832-M1832)*I1832,0)</f>
        <v/>
      </c>
      <c r="AF1832">
        <f>IF(G1832&lt;EDATE(Assumptions!$C$6,-12)+1,"prior_12m","last_12m")</f>
        <v/>
      </c>
      <c r="AG1832" s="21">
        <f>DATE(YEAR(G1832),MONTH(G1832),1)</f>
        <v/>
      </c>
    </row>
    <row r="1833">
      <c r="A1833" t="inlineStr">
        <is>
          <t>SPO-00997-1</t>
        </is>
      </c>
      <c r="B1833" t="inlineStr">
        <is>
          <t>SPO-00997</t>
        </is>
      </c>
      <c r="C1833" t="inlineStr">
        <is>
          <t>SUP-01</t>
        </is>
      </c>
      <c r="D1833" t="inlineStr">
        <is>
          <t>ELEC</t>
        </is>
      </c>
      <c r="E1833" t="inlineStr">
        <is>
          <t>ELEC-02</t>
        </is>
      </c>
      <c r="F1833" s="17" t="n">
        <v>45848</v>
      </c>
      <c r="G1833" s="17" t="n">
        <v>45866</v>
      </c>
      <c r="H1833" s="18" t="n">
        <v>715</v>
      </c>
      <c r="I1833" s="19" t="n">
        <v>4.4</v>
      </c>
      <c r="J1833" s="19" t="n">
        <v>4.2</v>
      </c>
      <c r="K1833" s="20" t="n">
        <v>0</v>
      </c>
      <c r="L1833" s="20" t="n">
        <v>0</v>
      </c>
      <c r="M1833" s="18" t="n">
        <v>715</v>
      </c>
      <c r="N1833" s="18" t="n">
        <v>715</v>
      </c>
      <c r="O1833" s="18" t="n">
        <v>0</v>
      </c>
      <c r="P1833" s="17" t="n">
        <v>45861</v>
      </c>
      <c r="Q1833" s="17" t="n">
        <v>45861</v>
      </c>
      <c r="R1833" s="17" t="n">
        <v>45861</v>
      </c>
      <c r="S1833" s="19">
        <f>H1833*I1833</f>
        <v/>
      </c>
      <c r="T1833" s="19">
        <f>H1833*J1833</f>
        <v/>
      </c>
      <c r="U1833">
        <f>IF(AND(K1833=0,G1833&lt;=Assumptions!$C$6),1,0)</f>
        <v/>
      </c>
      <c r="V1833">
        <f>IF(U1833=1,IF(M1833&gt;0,IF(P1833&lt;=G1833+Assumptions!$C$7,1,0),0),0)</f>
        <v/>
      </c>
      <c r="W1833">
        <f>IF(AND(U1833=1,M1833&gt;=H1833*(1-Assumptions!$C$8)),1,0)</f>
        <v/>
      </c>
      <c r="X1833">
        <f>IF(AND(U1833=1,N1833&gt;=H1833*(1-Assumptions!$C$8)),1,0)</f>
        <v/>
      </c>
      <c r="Y1833">
        <f>IF(ISNUMBER(Q1833),1,0)</f>
        <v/>
      </c>
      <c r="Z1833">
        <f>IF(AND(K1833=0,L1833=0,Y1833=0),1,0)</f>
        <v/>
      </c>
      <c r="AA1833">
        <f>IF(AND(Z1833=1,G1833&lt;Assumptions!$C$6),1,0)</f>
        <v/>
      </c>
      <c r="AB1833">
        <f>IF(U1833=0,"",IF(Y1833=1,MAX(0,Q1833-G1833),IF(L1833=1,MAX(0,R1833-G1833),MAX(0,Assumptions!$C$6-G1833))))</f>
        <v/>
      </c>
      <c r="AC1833">
        <f>IF(Y1833=1,Q1833-F1833,"")</f>
        <v/>
      </c>
      <c r="AD1833">
        <f>IF(Y1833=1,AC1833^2,"")</f>
        <v/>
      </c>
      <c r="AE1833" s="19">
        <f>IF(Z1833=1,(H1833-M1833)*I1833,0)</f>
        <v/>
      </c>
      <c r="AF1833">
        <f>IF(G1833&lt;EDATE(Assumptions!$C$6,-12)+1,"prior_12m","last_12m")</f>
        <v/>
      </c>
      <c r="AG1833" s="21">
        <f>DATE(YEAR(G1833),MONTH(G1833),1)</f>
        <v/>
      </c>
    </row>
    <row r="1834">
      <c r="A1834" t="inlineStr">
        <is>
          <t>SPO-00997-2</t>
        </is>
      </c>
      <c r="B1834" t="inlineStr">
        <is>
          <t>SPO-00997</t>
        </is>
      </c>
      <c r="C1834" t="inlineStr">
        <is>
          <t>SUP-01</t>
        </is>
      </c>
      <c r="D1834" t="inlineStr">
        <is>
          <t>ELEC</t>
        </is>
      </c>
      <c r="E1834" t="inlineStr">
        <is>
          <t>ELEC-07</t>
        </is>
      </c>
      <c r="F1834" s="17" t="n">
        <v>45848</v>
      </c>
      <c r="G1834" s="17" t="n">
        <v>45866</v>
      </c>
      <c r="H1834" s="18" t="n">
        <v>71</v>
      </c>
      <c r="I1834" s="19" t="n">
        <v>10.08</v>
      </c>
      <c r="J1834" s="19" t="n">
        <v>9.800000000000001</v>
      </c>
      <c r="K1834" s="20" t="n">
        <v>0</v>
      </c>
      <c r="L1834" s="20" t="n">
        <v>0</v>
      </c>
      <c r="M1834" s="18" t="n">
        <v>71</v>
      </c>
      <c r="N1834" s="18" t="n">
        <v>71</v>
      </c>
      <c r="O1834" s="18" t="n">
        <v>0</v>
      </c>
      <c r="P1834" s="17" t="n">
        <v>45865</v>
      </c>
      <c r="Q1834" s="17" t="n">
        <v>45865</v>
      </c>
      <c r="R1834" s="17" t="n">
        <v>45865</v>
      </c>
      <c r="S1834" s="19">
        <f>H1834*I1834</f>
        <v/>
      </c>
      <c r="T1834" s="19">
        <f>H1834*J1834</f>
        <v/>
      </c>
      <c r="U1834">
        <f>IF(AND(K1834=0,G1834&lt;=Assumptions!$C$6),1,0)</f>
        <v/>
      </c>
      <c r="V1834">
        <f>IF(U1834=1,IF(M1834&gt;0,IF(P1834&lt;=G1834+Assumptions!$C$7,1,0),0),0)</f>
        <v/>
      </c>
      <c r="W1834">
        <f>IF(AND(U1834=1,M1834&gt;=H1834*(1-Assumptions!$C$8)),1,0)</f>
        <v/>
      </c>
      <c r="X1834">
        <f>IF(AND(U1834=1,N1834&gt;=H1834*(1-Assumptions!$C$8)),1,0)</f>
        <v/>
      </c>
      <c r="Y1834">
        <f>IF(ISNUMBER(Q1834),1,0)</f>
        <v/>
      </c>
      <c r="Z1834">
        <f>IF(AND(K1834=0,L1834=0,Y1834=0),1,0)</f>
        <v/>
      </c>
      <c r="AA1834">
        <f>IF(AND(Z1834=1,G1834&lt;Assumptions!$C$6),1,0)</f>
        <v/>
      </c>
      <c r="AB1834">
        <f>IF(U1834=0,"",IF(Y1834=1,MAX(0,Q1834-G1834),IF(L1834=1,MAX(0,R1834-G1834),MAX(0,Assumptions!$C$6-G1834))))</f>
        <v/>
      </c>
      <c r="AC1834">
        <f>IF(Y1834=1,Q1834-F1834,"")</f>
        <v/>
      </c>
      <c r="AD1834">
        <f>IF(Y1834=1,AC1834^2,"")</f>
        <v/>
      </c>
      <c r="AE1834" s="19">
        <f>IF(Z1834=1,(H1834-M1834)*I1834,0)</f>
        <v/>
      </c>
      <c r="AF1834">
        <f>IF(G1834&lt;EDATE(Assumptions!$C$6,-12)+1,"prior_12m","last_12m")</f>
        <v/>
      </c>
      <c r="AG1834" s="21">
        <f>DATE(YEAR(G1834),MONTH(G1834),1)</f>
        <v/>
      </c>
    </row>
    <row r="1835">
      <c r="A1835" t="inlineStr">
        <is>
          <t>SPO-00997-3</t>
        </is>
      </c>
      <c r="B1835" t="inlineStr">
        <is>
          <t>SPO-00997</t>
        </is>
      </c>
      <c r="C1835" t="inlineStr">
        <is>
          <t>SUP-01</t>
        </is>
      </c>
      <c r="D1835" t="inlineStr">
        <is>
          <t>ELEC</t>
        </is>
      </c>
      <c r="E1835" t="inlineStr">
        <is>
          <t>ELEC-08</t>
        </is>
      </c>
      <c r="F1835" s="17" t="n">
        <v>45848</v>
      </c>
      <c r="G1835" s="17" t="n">
        <v>45866</v>
      </c>
      <c r="H1835" s="18" t="n">
        <v>102</v>
      </c>
      <c r="I1835" s="19" t="n">
        <v>18.38</v>
      </c>
      <c r="J1835" s="19" t="n">
        <v>18</v>
      </c>
      <c r="K1835" s="20" t="n">
        <v>0</v>
      </c>
      <c r="L1835" s="20" t="n">
        <v>0</v>
      </c>
      <c r="M1835" s="18" t="n">
        <v>102</v>
      </c>
      <c r="N1835" s="18" t="n">
        <v>102</v>
      </c>
      <c r="O1835" s="18" t="n">
        <v>0</v>
      </c>
      <c r="P1835" s="17" t="n">
        <v>45864</v>
      </c>
      <c r="Q1835" s="17" t="n">
        <v>45864</v>
      </c>
      <c r="R1835" s="17" t="n">
        <v>45864</v>
      </c>
      <c r="S1835" s="19">
        <f>H1835*I1835</f>
        <v/>
      </c>
      <c r="T1835" s="19">
        <f>H1835*J1835</f>
        <v/>
      </c>
      <c r="U1835">
        <f>IF(AND(K1835=0,G1835&lt;=Assumptions!$C$6),1,0)</f>
        <v/>
      </c>
      <c r="V1835">
        <f>IF(U1835=1,IF(M1835&gt;0,IF(P1835&lt;=G1835+Assumptions!$C$7,1,0),0),0)</f>
        <v/>
      </c>
      <c r="W1835">
        <f>IF(AND(U1835=1,M1835&gt;=H1835*(1-Assumptions!$C$8)),1,0)</f>
        <v/>
      </c>
      <c r="X1835">
        <f>IF(AND(U1835=1,N1835&gt;=H1835*(1-Assumptions!$C$8)),1,0)</f>
        <v/>
      </c>
      <c r="Y1835">
        <f>IF(ISNUMBER(Q1835),1,0)</f>
        <v/>
      </c>
      <c r="Z1835">
        <f>IF(AND(K1835=0,L1835=0,Y1835=0),1,0)</f>
        <v/>
      </c>
      <c r="AA1835">
        <f>IF(AND(Z1835=1,G1835&lt;Assumptions!$C$6),1,0)</f>
        <v/>
      </c>
      <c r="AB1835">
        <f>IF(U1835=0,"",IF(Y1835=1,MAX(0,Q1835-G1835),IF(L1835=1,MAX(0,R1835-G1835),MAX(0,Assumptions!$C$6-G1835))))</f>
        <v/>
      </c>
      <c r="AC1835">
        <f>IF(Y1835=1,Q1835-F1835,"")</f>
        <v/>
      </c>
      <c r="AD1835">
        <f>IF(Y1835=1,AC1835^2,"")</f>
        <v/>
      </c>
      <c r="AE1835" s="19">
        <f>IF(Z1835=1,(H1835-M1835)*I1835,0)</f>
        <v/>
      </c>
      <c r="AF1835">
        <f>IF(G1835&lt;EDATE(Assumptions!$C$6,-12)+1,"prior_12m","last_12m")</f>
        <v/>
      </c>
      <c r="AG1835" s="21">
        <f>DATE(YEAR(G1835),MONTH(G1835),1)</f>
        <v/>
      </c>
    </row>
    <row r="1836">
      <c r="A1836" t="inlineStr">
        <is>
          <t>SPO-00997-4</t>
        </is>
      </c>
      <c r="B1836" t="inlineStr">
        <is>
          <t>SPO-00997</t>
        </is>
      </c>
      <c r="C1836" t="inlineStr">
        <is>
          <t>SUP-01</t>
        </is>
      </c>
      <c r="D1836" t="inlineStr">
        <is>
          <t>ELEC</t>
        </is>
      </c>
      <c r="E1836" t="inlineStr">
        <is>
          <t>ELEC-04</t>
        </is>
      </c>
      <c r="F1836" s="17" t="n">
        <v>45848</v>
      </c>
      <c r="G1836" s="17" t="n">
        <v>45866</v>
      </c>
      <c r="H1836" s="18" t="n">
        <v>47</v>
      </c>
      <c r="I1836" s="19" t="n">
        <v>71.19</v>
      </c>
      <c r="J1836" s="19" t="n">
        <v>72</v>
      </c>
      <c r="K1836" s="20" t="n">
        <v>0</v>
      </c>
      <c r="L1836" s="20" t="n">
        <v>1</v>
      </c>
      <c r="M1836" s="18" t="n">
        <v>25</v>
      </c>
      <c r="N1836" s="18" t="n">
        <v>25</v>
      </c>
      <c r="O1836" s="18" t="n">
        <v>0</v>
      </c>
      <c r="P1836" s="17" t="n">
        <v>45860</v>
      </c>
      <c r="Q1836" s="17" t="n"/>
      <c r="R1836" s="17" t="n">
        <v>45860</v>
      </c>
      <c r="S1836" s="19">
        <f>H1836*I1836</f>
        <v/>
      </c>
      <c r="T1836" s="19">
        <f>H1836*J1836</f>
        <v/>
      </c>
      <c r="U1836">
        <f>IF(AND(K1836=0,G1836&lt;=Assumptions!$C$6),1,0)</f>
        <v/>
      </c>
      <c r="V1836">
        <f>IF(U1836=1,IF(M1836&gt;0,IF(P1836&lt;=G1836+Assumptions!$C$7,1,0),0),0)</f>
        <v/>
      </c>
      <c r="W1836">
        <f>IF(AND(U1836=1,M1836&gt;=H1836*(1-Assumptions!$C$8)),1,0)</f>
        <v/>
      </c>
      <c r="X1836">
        <f>IF(AND(U1836=1,N1836&gt;=H1836*(1-Assumptions!$C$8)),1,0)</f>
        <v/>
      </c>
      <c r="Y1836">
        <f>IF(ISNUMBER(Q1836),1,0)</f>
        <v/>
      </c>
      <c r="Z1836">
        <f>IF(AND(K1836=0,L1836=0,Y1836=0),1,0)</f>
        <v/>
      </c>
      <c r="AA1836">
        <f>IF(AND(Z1836=1,G1836&lt;Assumptions!$C$6),1,0)</f>
        <v/>
      </c>
      <c r="AB1836">
        <f>IF(U1836=0,"",IF(Y1836=1,MAX(0,Q1836-G1836),IF(L1836=1,MAX(0,R1836-G1836),MAX(0,Assumptions!$C$6-G1836))))</f>
        <v/>
      </c>
      <c r="AC1836">
        <f>IF(Y1836=1,Q1836-F1836,"")</f>
        <v/>
      </c>
      <c r="AD1836">
        <f>IF(Y1836=1,AC1836^2,"")</f>
        <v/>
      </c>
      <c r="AE1836" s="19">
        <f>IF(Z1836=1,(H1836-M1836)*I1836,0)</f>
        <v/>
      </c>
      <c r="AF1836">
        <f>IF(G1836&lt;EDATE(Assumptions!$C$6,-12)+1,"prior_12m","last_12m")</f>
        <v/>
      </c>
      <c r="AG1836" s="21">
        <f>DATE(YEAR(G1836),MONTH(G1836),1)</f>
        <v/>
      </c>
    </row>
    <row r="1837">
      <c r="A1837" t="inlineStr">
        <is>
          <t>SPO-00998-1</t>
        </is>
      </c>
      <c r="B1837" t="inlineStr">
        <is>
          <t>SPO-00998</t>
        </is>
      </c>
      <c r="C1837" t="inlineStr">
        <is>
          <t>SUP-05</t>
        </is>
      </c>
      <c r="D1837" t="inlineStr">
        <is>
          <t>FLEET</t>
        </is>
      </c>
      <c r="E1837" t="inlineStr">
        <is>
          <t>FLEET-02</t>
        </is>
      </c>
      <c r="F1837" s="17" t="n">
        <v>45848</v>
      </c>
      <c r="G1837" s="17" t="n">
        <v>45862</v>
      </c>
      <c r="H1837" s="18" t="n">
        <v>249</v>
      </c>
      <c r="I1837" s="19" t="n">
        <v>7.6</v>
      </c>
      <c r="J1837" s="19" t="n">
        <v>7.5</v>
      </c>
      <c r="K1837" s="20" t="n">
        <v>0</v>
      </c>
      <c r="L1837" s="20" t="n">
        <v>0</v>
      </c>
      <c r="M1837" s="18" t="n">
        <v>249</v>
      </c>
      <c r="N1837" s="18" t="n">
        <v>0</v>
      </c>
      <c r="O1837" s="18" t="n">
        <v>0</v>
      </c>
      <c r="P1837" s="17" t="n">
        <v>45863</v>
      </c>
      <c r="Q1837" s="17" t="n">
        <v>45863</v>
      </c>
      <c r="R1837" s="17" t="n">
        <v>45863</v>
      </c>
      <c r="S1837" s="19">
        <f>H1837*I1837</f>
        <v/>
      </c>
      <c r="T1837" s="19">
        <f>H1837*J1837</f>
        <v/>
      </c>
      <c r="U1837">
        <f>IF(AND(K1837=0,G1837&lt;=Assumptions!$C$6),1,0)</f>
        <v/>
      </c>
      <c r="V1837">
        <f>IF(U1837=1,IF(M1837&gt;0,IF(P1837&lt;=G1837+Assumptions!$C$7,1,0),0),0)</f>
        <v/>
      </c>
      <c r="W1837">
        <f>IF(AND(U1837=1,M1837&gt;=H1837*(1-Assumptions!$C$8)),1,0)</f>
        <v/>
      </c>
      <c r="X1837">
        <f>IF(AND(U1837=1,N1837&gt;=H1837*(1-Assumptions!$C$8)),1,0)</f>
        <v/>
      </c>
      <c r="Y1837">
        <f>IF(ISNUMBER(Q1837),1,0)</f>
        <v/>
      </c>
      <c r="Z1837">
        <f>IF(AND(K1837=0,L1837=0,Y1837=0),1,0)</f>
        <v/>
      </c>
      <c r="AA1837">
        <f>IF(AND(Z1837=1,G1837&lt;Assumptions!$C$6),1,0)</f>
        <v/>
      </c>
      <c r="AB1837">
        <f>IF(U1837=0,"",IF(Y1837=1,MAX(0,Q1837-G1837),IF(L1837=1,MAX(0,R1837-G1837),MAX(0,Assumptions!$C$6-G1837))))</f>
        <v/>
      </c>
      <c r="AC1837">
        <f>IF(Y1837=1,Q1837-F1837,"")</f>
        <v/>
      </c>
      <c r="AD1837">
        <f>IF(Y1837=1,AC1837^2,"")</f>
        <v/>
      </c>
      <c r="AE1837" s="19">
        <f>IF(Z1837=1,(H1837-M1837)*I1837,0)</f>
        <v/>
      </c>
      <c r="AF1837">
        <f>IF(G1837&lt;EDATE(Assumptions!$C$6,-12)+1,"prior_12m","last_12m")</f>
        <v/>
      </c>
      <c r="AG1837" s="21">
        <f>DATE(YEAR(G1837),MONTH(G1837),1)</f>
        <v/>
      </c>
    </row>
    <row r="1838">
      <c r="A1838" t="inlineStr">
        <is>
          <t>SPO-00998-2</t>
        </is>
      </c>
      <c r="B1838" t="inlineStr">
        <is>
          <t>SPO-00998</t>
        </is>
      </c>
      <c r="C1838" t="inlineStr">
        <is>
          <t>SUP-05</t>
        </is>
      </c>
      <c r="D1838" t="inlineStr">
        <is>
          <t>FLEET</t>
        </is>
      </c>
      <c r="E1838" t="inlineStr">
        <is>
          <t>FLEET-06</t>
        </is>
      </c>
      <c r="F1838" s="17" t="n">
        <v>45848</v>
      </c>
      <c r="G1838" s="17" t="n">
        <v>45862</v>
      </c>
      <c r="H1838" s="18" t="n">
        <v>22</v>
      </c>
      <c r="I1838" s="19" t="n">
        <v>35.45</v>
      </c>
      <c r="J1838" s="19" t="n">
        <v>33</v>
      </c>
      <c r="K1838" s="20" t="n">
        <v>0</v>
      </c>
      <c r="L1838" s="20" t="n">
        <v>0</v>
      </c>
      <c r="M1838" s="18" t="n">
        <v>22</v>
      </c>
      <c r="N1838" s="18" t="n">
        <v>22</v>
      </c>
      <c r="O1838" s="18" t="n">
        <v>0</v>
      </c>
      <c r="P1838" s="17" t="n">
        <v>45861</v>
      </c>
      <c r="Q1838" s="17" t="n">
        <v>45861</v>
      </c>
      <c r="R1838" s="17" t="n">
        <v>45861</v>
      </c>
      <c r="S1838" s="19">
        <f>H1838*I1838</f>
        <v/>
      </c>
      <c r="T1838" s="19">
        <f>H1838*J1838</f>
        <v/>
      </c>
      <c r="U1838">
        <f>IF(AND(K1838=0,G1838&lt;=Assumptions!$C$6),1,0)</f>
        <v/>
      </c>
      <c r="V1838">
        <f>IF(U1838=1,IF(M1838&gt;0,IF(P1838&lt;=G1838+Assumptions!$C$7,1,0),0),0)</f>
        <v/>
      </c>
      <c r="W1838">
        <f>IF(AND(U1838=1,M1838&gt;=H1838*(1-Assumptions!$C$8)),1,0)</f>
        <v/>
      </c>
      <c r="X1838">
        <f>IF(AND(U1838=1,N1838&gt;=H1838*(1-Assumptions!$C$8)),1,0)</f>
        <v/>
      </c>
      <c r="Y1838">
        <f>IF(ISNUMBER(Q1838),1,0)</f>
        <v/>
      </c>
      <c r="Z1838">
        <f>IF(AND(K1838=0,L1838=0,Y1838=0),1,0)</f>
        <v/>
      </c>
      <c r="AA1838">
        <f>IF(AND(Z1838=1,G1838&lt;Assumptions!$C$6),1,0)</f>
        <v/>
      </c>
      <c r="AB1838">
        <f>IF(U1838=0,"",IF(Y1838=1,MAX(0,Q1838-G1838),IF(L1838=1,MAX(0,R1838-G1838),MAX(0,Assumptions!$C$6-G1838))))</f>
        <v/>
      </c>
      <c r="AC1838">
        <f>IF(Y1838=1,Q1838-F1838,"")</f>
        <v/>
      </c>
      <c r="AD1838">
        <f>IF(Y1838=1,AC1838^2,"")</f>
        <v/>
      </c>
      <c r="AE1838" s="19">
        <f>IF(Z1838=1,(H1838-M1838)*I1838,0)</f>
        <v/>
      </c>
      <c r="AF1838">
        <f>IF(G1838&lt;EDATE(Assumptions!$C$6,-12)+1,"prior_12m","last_12m")</f>
        <v/>
      </c>
      <c r="AG1838" s="21">
        <f>DATE(YEAR(G1838),MONTH(G1838),1)</f>
        <v/>
      </c>
    </row>
    <row r="1839">
      <c r="A1839" t="inlineStr">
        <is>
          <t>SPO-00999-1</t>
        </is>
      </c>
      <c r="B1839" t="inlineStr">
        <is>
          <t>SPO-00999</t>
        </is>
      </c>
      <c r="C1839" t="inlineStr">
        <is>
          <t>SUP-04</t>
        </is>
      </c>
      <c r="D1839" t="inlineStr">
        <is>
          <t>FLEET</t>
        </is>
      </c>
      <c r="E1839" t="inlineStr">
        <is>
          <t>FLEET-07</t>
        </is>
      </c>
      <c r="F1839" s="17" t="n">
        <v>45848</v>
      </c>
      <c r="G1839" s="17" t="n">
        <v>45861</v>
      </c>
      <c r="H1839" s="18" t="n">
        <v>10</v>
      </c>
      <c r="I1839" s="19" t="n">
        <v>117.44</v>
      </c>
      <c r="J1839" s="19" t="n">
        <v>118</v>
      </c>
      <c r="K1839" s="20" t="n">
        <v>0</v>
      </c>
      <c r="L1839" s="20" t="n">
        <v>0</v>
      </c>
      <c r="M1839" s="18" t="n">
        <v>10</v>
      </c>
      <c r="N1839" s="18" t="n">
        <v>0</v>
      </c>
      <c r="O1839" s="18" t="n">
        <v>0</v>
      </c>
      <c r="P1839" s="17" t="n">
        <v>45862</v>
      </c>
      <c r="Q1839" s="17" t="n">
        <v>45862</v>
      </c>
      <c r="R1839" s="17" t="n">
        <v>45862</v>
      </c>
      <c r="S1839" s="19">
        <f>H1839*I1839</f>
        <v/>
      </c>
      <c r="T1839" s="19">
        <f>H1839*J1839</f>
        <v/>
      </c>
      <c r="U1839">
        <f>IF(AND(K1839=0,G1839&lt;=Assumptions!$C$6),1,0)</f>
        <v/>
      </c>
      <c r="V1839">
        <f>IF(U1839=1,IF(M1839&gt;0,IF(P1839&lt;=G1839+Assumptions!$C$7,1,0),0),0)</f>
        <v/>
      </c>
      <c r="W1839">
        <f>IF(AND(U1839=1,M1839&gt;=H1839*(1-Assumptions!$C$8)),1,0)</f>
        <v/>
      </c>
      <c r="X1839">
        <f>IF(AND(U1839=1,N1839&gt;=H1839*(1-Assumptions!$C$8)),1,0)</f>
        <v/>
      </c>
      <c r="Y1839">
        <f>IF(ISNUMBER(Q1839),1,0)</f>
        <v/>
      </c>
      <c r="Z1839">
        <f>IF(AND(K1839=0,L1839=0,Y1839=0),1,0)</f>
        <v/>
      </c>
      <c r="AA1839">
        <f>IF(AND(Z1839=1,G1839&lt;Assumptions!$C$6),1,0)</f>
        <v/>
      </c>
      <c r="AB1839">
        <f>IF(U1839=0,"",IF(Y1839=1,MAX(0,Q1839-G1839),IF(L1839=1,MAX(0,R1839-G1839),MAX(0,Assumptions!$C$6-G1839))))</f>
        <v/>
      </c>
      <c r="AC1839">
        <f>IF(Y1839=1,Q1839-F1839,"")</f>
        <v/>
      </c>
      <c r="AD1839">
        <f>IF(Y1839=1,AC1839^2,"")</f>
        <v/>
      </c>
      <c r="AE1839" s="19">
        <f>IF(Z1839=1,(H1839-M1839)*I1839,0)</f>
        <v/>
      </c>
      <c r="AF1839">
        <f>IF(G1839&lt;EDATE(Assumptions!$C$6,-12)+1,"prior_12m","last_12m")</f>
        <v/>
      </c>
      <c r="AG1839" s="21">
        <f>DATE(YEAR(G1839),MONTH(G1839),1)</f>
        <v/>
      </c>
    </row>
    <row r="1840">
      <c r="A1840" t="inlineStr">
        <is>
          <t>SPO-01000-1</t>
        </is>
      </c>
      <c r="B1840" t="inlineStr">
        <is>
          <t>SPO-01000</t>
        </is>
      </c>
      <c r="C1840" t="inlineStr">
        <is>
          <t>SUP-12</t>
        </is>
      </c>
      <c r="D1840" t="inlineStr">
        <is>
          <t>IT</t>
        </is>
      </c>
      <c r="E1840" t="inlineStr">
        <is>
          <t>IT-03</t>
        </is>
      </c>
      <c r="F1840" s="17" t="n">
        <v>45849</v>
      </c>
      <c r="G1840" s="17" t="n">
        <v>45859</v>
      </c>
      <c r="H1840" s="18" t="n">
        <v>96</v>
      </c>
      <c r="I1840" s="19" t="n">
        <v>41.08</v>
      </c>
      <c r="J1840" s="19" t="n">
        <v>38</v>
      </c>
      <c r="K1840" s="20" t="n">
        <v>0</v>
      </c>
      <c r="L1840" s="20" t="n">
        <v>0</v>
      </c>
      <c r="M1840" s="18" t="n">
        <v>96</v>
      </c>
      <c r="N1840" s="18" t="n">
        <v>96</v>
      </c>
      <c r="O1840" s="18" t="n">
        <v>0</v>
      </c>
      <c r="P1840" s="17" t="n">
        <v>45858</v>
      </c>
      <c r="Q1840" s="17" t="n">
        <v>45858</v>
      </c>
      <c r="R1840" s="17" t="n">
        <v>45858</v>
      </c>
      <c r="S1840" s="19">
        <f>H1840*I1840</f>
        <v/>
      </c>
      <c r="T1840" s="19">
        <f>H1840*J1840</f>
        <v/>
      </c>
      <c r="U1840">
        <f>IF(AND(K1840=0,G1840&lt;=Assumptions!$C$6),1,0)</f>
        <v/>
      </c>
      <c r="V1840">
        <f>IF(U1840=1,IF(M1840&gt;0,IF(P1840&lt;=G1840+Assumptions!$C$7,1,0),0),0)</f>
        <v/>
      </c>
      <c r="W1840">
        <f>IF(AND(U1840=1,M1840&gt;=H1840*(1-Assumptions!$C$8)),1,0)</f>
        <v/>
      </c>
      <c r="X1840">
        <f>IF(AND(U1840=1,N1840&gt;=H1840*(1-Assumptions!$C$8)),1,0)</f>
        <v/>
      </c>
      <c r="Y1840">
        <f>IF(ISNUMBER(Q1840),1,0)</f>
        <v/>
      </c>
      <c r="Z1840">
        <f>IF(AND(K1840=0,L1840=0,Y1840=0),1,0)</f>
        <v/>
      </c>
      <c r="AA1840">
        <f>IF(AND(Z1840=1,G1840&lt;Assumptions!$C$6),1,0)</f>
        <v/>
      </c>
      <c r="AB1840">
        <f>IF(U1840=0,"",IF(Y1840=1,MAX(0,Q1840-G1840),IF(L1840=1,MAX(0,R1840-G1840),MAX(0,Assumptions!$C$6-G1840))))</f>
        <v/>
      </c>
      <c r="AC1840">
        <f>IF(Y1840=1,Q1840-F1840,"")</f>
        <v/>
      </c>
      <c r="AD1840">
        <f>IF(Y1840=1,AC1840^2,"")</f>
        <v/>
      </c>
      <c r="AE1840" s="19">
        <f>IF(Z1840=1,(H1840-M1840)*I1840,0)</f>
        <v/>
      </c>
      <c r="AF1840">
        <f>IF(G1840&lt;EDATE(Assumptions!$C$6,-12)+1,"prior_12m","last_12m")</f>
        <v/>
      </c>
      <c r="AG1840" s="21">
        <f>DATE(YEAR(G1840),MONTH(G1840),1)</f>
        <v/>
      </c>
    </row>
    <row r="1841">
      <c r="A1841" t="inlineStr">
        <is>
          <t>SPO-01000-2</t>
        </is>
      </c>
      <c r="B1841" t="inlineStr">
        <is>
          <t>SPO-01000</t>
        </is>
      </c>
      <c r="C1841" t="inlineStr">
        <is>
          <t>SUP-12</t>
        </is>
      </c>
      <c r="D1841" t="inlineStr">
        <is>
          <t>IT</t>
        </is>
      </c>
      <c r="E1841" t="inlineStr">
        <is>
          <t>IT-06</t>
        </is>
      </c>
      <c r="F1841" s="17" t="n">
        <v>45849</v>
      </c>
      <c r="G1841" s="17" t="n">
        <v>45859</v>
      </c>
      <c r="H1841" s="18" t="n">
        <v>12</v>
      </c>
      <c r="I1841" s="19" t="n">
        <v>96.88</v>
      </c>
      <c r="J1841" s="19" t="n">
        <v>89</v>
      </c>
      <c r="K1841" s="20" t="n">
        <v>0</v>
      </c>
      <c r="L1841" s="20" t="n">
        <v>0</v>
      </c>
      <c r="M1841" s="18" t="n">
        <v>12</v>
      </c>
      <c r="N1841" s="18" t="n">
        <v>12</v>
      </c>
      <c r="O1841" s="18" t="n">
        <v>0</v>
      </c>
      <c r="P1841" s="17" t="n">
        <v>45852</v>
      </c>
      <c r="Q1841" s="17" t="n">
        <v>45852</v>
      </c>
      <c r="R1841" s="17" t="n">
        <v>45852</v>
      </c>
      <c r="S1841" s="19">
        <f>H1841*I1841</f>
        <v/>
      </c>
      <c r="T1841" s="19">
        <f>H1841*J1841</f>
        <v/>
      </c>
      <c r="U1841">
        <f>IF(AND(K1841=0,G1841&lt;=Assumptions!$C$6),1,0)</f>
        <v/>
      </c>
      <c r="V1841">
        <f>IF(U1841=1,IF(M1841&gt;0,IF(P1841&lt;=G1841+Assumptions!$C$7,1,0),0),0)</f>
        <v/>
      </c>
      <c r="W1841">
        <f>IF(AND(U1841=1,M1841&gt;=H1841*(1-Assumptions!$C$8)),1,0)</f>
        <v/>
      </c>
      <c r="X1841">
        <f>IF(AND(U1841=1,N1841&gt;=H1841*(1-Assumptions!$C$8)),1,0)</f>
        <v/>
      </c>
      <c r="Y1841">
        <f>IF(ISNUMBER(Q1841),1,0)</f>
        <v/>
      </c>
      <c r="Z1841">
        <f>IF(AND(K1841=0,L1841=0,Y1841=0),1,0)</f>
        <v/>
      </c>
      <c r="AA1841">
        <f>IF(AND(Z1841=1,G1841&lt;Assumptions!$C$6),1,0)</f>
        <v/>
      </c>
      <c r="AB1841">
        <f>IF(U1841=0,"",IF(Y1841=1,MAX(0,Q1841-G1841),IF(L1841=1,MAX(0,R1841-G1841),MAX(0,Assumptions!$C$6-G1841))))</f>
        <v/>
      </c>
      <c r="AC1841">
        <f>IF(Y1841=1,Q1841-F1841,"")</f>
        <v/>
      </c>
      <c r="AD1841">
        <f>IF(Y1841=1,AC1841^2,"")</f>
        <v/>
      </c>
      <c r="AE1841" s="19">
        <f>IF(Z1841=1,(H1841-M1841)*I1841,0)</f>
        <v/>
      </c>
      <c r="AF1841">
        <f>IF(G1841&lt;EDATE(Assumptions!$C$6,-12)+1,"prior_12m","last_12m")</f>
        <v/>
      </c>
      <c r="AG1841" s="21">
        <f>DATE(YEAR(G1841),MONTH(G1841),1)</f>
        <v/>
      </c>
    </row>
    <row r="1842">
      <c r="A1842" t="inlineStr">
        <is>
          <t>SPO-01001-1</t>
        </is>
      </c>
      <c r="B1842" t="inlineStr">
        <is>
          <t>SPO-01001</t>
        </is>
      </c>
      <c r="C1842" t="inlineStr">
        <is>
          <t>SUP-11</t>
        </is>
      </c>
      <c r="D1842" t="inlineStr">
        <is>
          <t>PPE</t>
        </is>
      </c>
      <c r="E1842" t="inlineStr">
        <is>
          <t>PPE-06</t>
        </is>
      </c>
      <c r="F1842" s="17" t="n">
        <v>45849</v>
      </c>
      <c r="G1842" s="17" t="n">
        <v>45861</v>
      </c>
      <c r="H1842" s="18" t="n">
        <v>11</v>
      </c>
      <c r="I1842" s="19" t="n">
        <v>113.24</v>
      </c>
      <c r="J1842" s="19" t="n">
        <v>115</v>
      </c>
      <c r="K1842" s="20" t="n">
        <v>0</v>
      </c>
      <c r="L1842" s="20" t="n">
        <v>0</v>
      </c>
      <c r="M1842" s="18" t="n">
        <v>11</v>
      </c>
      <c r="N1842" s="18" t="n">
        <v>11</v>
      </c>
      <c r="O1842" s="18" t="n">
        <v>0</v>
      </c>
      <c r="P1842" s="17" t="n">
        <v>45857</v>
      </c>
      <c r="Q1842" s="17" t="n">
        <v>45857</v>
      </c>
      <c r="R1842" s="17" t="n">
        <v>45857</v>
      </c>
      <c r="S1842" s="19">
        <f>H1842*I1842</f>
        <v/>
      </c>
      <c r="T1842" s="19">
        <f>H1842*J1842</f>
        <v/>
      </c>
      <c r="U1842">
        <f>IF(AND(K1842=0,G1842&lt;=Assumptions!$C$6),1,0)</f>
        <v/>
      </c>
      <c r="V1842">
        <f>IF(U1842=1,IF(M1842&gt;0,IF(P1842&lt;=G1842+Assumptions!$C$7,1,0),0),0)</f>
        <v/>
      </c>
      <c r="W1842">
        <f>IF(AND(U1842=1,M1842&gt;=H1842*(1-Assumptions!$C$8)),1,0)</f>
        <v/>
      </c>
      <c r="X1842">
        <f>IF(AND(U1842=1,N1842&gt;=H1842*(1-Assumptions!$C$8)),1,0)</f>
        <v/>
      </c>
      <c r="Y1842">
        <f>IF(ISNUMBER(Q1842),1,0)</f>
        <v/>
      </c>
      <c r="Z1842">
        <f>IF(AND(K1842=0,L1842=0,Y1842=0),1,0)</f>
        <v/>
      </c>
      <c r="AA1842">
        <f>IF(AND(Z1842=1,G1842&lt;Assumptions!$C$6),1,0)</f>
        <v/>
      </c>
      <c r="AB1842">
        <f>IF(U1842=0,"",IF(Y1842=1,MAX(0,Q1842-G1842),IF(L1842=1,MAX(0,R1842-G1842),MAX(0,Assumptions!$C$6-G1842))))</f>
        <v/>
      </c>
      <c r="AC1842">
        <f>IF(Y1842=1,Q1842-F1842,"")</f>
        <v/>
      </c>
      <c r="AD1842">
        <f>IF(Y1842=1,AC1842^2,"")</f>
        <v/>
      </c>
      <c r="AE1842" s="19">
        <f>IF(Z1842=1,(H1842-M1842)*I1842,0)</f>
        <v/>
      </c>
      <c r="AF1842">
        <f>IF(G1842&lt;EDATE(Assumptions!$C$6,-12)+1,"prior_12m","last_12m")</f>
        <v/>
      </c>
      <c r="AG1842" s="21">
        <f>DATE(YEAR(G1842),MONTH(G1842),1)</f>
        <v/>
      </c>
    </row>
    <row r="1843">
      <c r="A1843" t="inlineStr">
        <is>
          <t>SPO-01002-1</t>
        </is>
      </c>
      <c r="B1843" t="inlineStr">
        <is>
          <t>SPO-01002</t>
        </is>
      </c>
      <c r="C1843" t="inlineStr">
        <is>
          <t>SUP-04</t>
        </is>
      </c>
      <c r="D1843" t="inlineStr">
        <is>
          <t>FLEET</t>
        </is>
      </c>
      <c r="E1843" t="inlineStr">
        <is>
          <t>FLEET-03</t>
        </is>
      </c>
      <c r="F1843" s="17" t="n">
        <v>45849</v>
      </c>
      <c r="G1843" s="17" t="n">
        <v>45862</v>
      </c>
      <c r="H1843" s="18" t="n">
        <v>71</v>
      </c>
      <c r="I1843" s="19" t="n">
        <v>21.23</v>
      </c>
      <c r="J1843" s="19" t="n">
        <v>21</v>
      </c>
      <c r="K1843" s="20" t="n">
        <v>0</v>
      </c>
      <c r="L1843" s="20" t="n">
        <v>0</v>
      </c>
      <c r="M1843" s="18" t="n">
        <v>71</v>
      </c>
      <c r="N1843" s="18" t="n">
        <v>71</v>
      </c>
      <c r="O1843" s="18" t="n">
        <v>0</v>
      </c>
      <c r="P1843" s="17" t="n">
        <v>45861</v>
      </c>
      <c r="Q1843" s="17" t="n">
        <v>45861</v>
      </c>
      <c r="R1843" s="17" t="n">
        <v>45861</v>
      </c>
      <c r="S1843" s="19">
        <f>H1843*I1843</f>
        <v/>
      </c>
      <c r="T1843" s="19">
        <f>H1843*J1843</f>
        <v/>
      </c>
      <c r="U1843">
        <f>IF(AND(K1843=0,G1843&lt;=Assumptions!$C$6),1,0)</f>
        <v/>
      </c>
      <c r="V1843">
        <f>IF(U1843=1,IF(M1843&gt;0,IF(P1843&lt;=G1843+Assumptions!$C$7,1,0),0),0)</f>
        <v/>
      </c>
      <c r="W1843">
        <f>IF(AND(U1843=1,M1843&gt;=H1843*(1-Assumptions!$C$8)),1,0)</f>
        <v/>
      </c>
      <c r="X1843">
        <f>IF(AND(U1843=1,N1843&gt;=H1843*(1-Assumptions!$C$8)),1,0)</f>
        <v/>
      </c>
      <c r="Y1843">
        <f>IF(ISNUMBER(Q1843),1,0)</f>
        <v/>
      </c>
      <c r="Z1843">
        <f>IF(AND(K1843=0,L1843=0,Y1843=0),1,0)</f>
        <v/>
      </c>
      <c r="AA1843">
        <f>IF(AND(Z1843=1,G1843&lt;Assumptions!$C$6),1,0)</f>
        <v/>
      </c>
      <c r="AB1843">
        <f>IF(U1843=0,"",IF(Y1843=1,MAX(0,Q1843-G1843),IF(L1843=1,MAX(0,R1843-G1843),MAX(0,Assumptions!$C$6-G1843))))</f>
        <v/>
      </c>
      <c r="AC1843">
        <f>IF(Y1843=1,Q1843-F1843,"")</f>
        <v/>
      </c>
      <c r="AD1843">
        <f>IF(Y1843=1,AC1843^2,"")</f>
        <v/>
      </c>
      <c r="AE1843" s="19">
        <f>IF(Z1843=1,(H1843-M1843)*I1843,0)</f>
        <v/>
      </c>
      <c r="AF1843">
        <f>IF(G1843&lt;EDATE(Assumptions!$C$6,-12)+1,"prior_12m","last_12m")</f>
        <v/>
      </c>
      <c r="AG1843" s="21">
        <f>DATE(YEAR(G1843),MONTH(G1843),1)</f>
        <v/>
      </c>
    </row>
    <row r="1844">
      <c r="A1844" t="inlineStr">
        <is>
          <t>SPO-01002-2</t>
        </is>
      </c>
      <c r="B1844" t="inlineStr">
        <is>
          <t>SPO-01002</t>
        </is>
      </c>
      <c r="C1844" t="inlineStr">
        <is>
          <t>SUP-04</t>
        </is>
      </c>
      <c r="D1844" t="inlineStr">
        <is>
          <t>FLEET</t>
        </is>
      </c>
      <c r="E1844" t="inlineStr">
        <is>
          <t>FLEET-07</t>
        </is>
      </c>
      <c r="F1844" s="17" t="n">
        <v>45849</v>
      </c>
      <c r="G1844" s="17" t="n">
        <v>45862</v>
      </c>
      <c r="H1844" s="18" t="n">
        <v>7</v>
      </c>
      <c r="I1844" s="19" t="n">
        <v>117.09</v>
      </c>
      <c r="J1844" s="19" t="n">
        <v>118</v>
      </c>
      <c r="K1844" s="20" t="n">
        <v>0</v>
      </c>
      <c r="L1844" s="20" t="n">
        <v>0</v>
      </c>
      <c r="M1844" s="18" t="n">
        <v>7</v>
      </c>
      <c r="N1844" s="18" t="n">
        <v>0</v>
      </c>
      <c r="O1844" s="18" t="n">
        <v>0</v>
      </c>
      <c r="P1844" s="17" t="n">
        <v>45867</v>
      </c>
      <c r="Q1844" s="17" t="n">
        <v>45867</v>
      </c>
      <c r="R1844" s="17" t="n">
        <v>45867</v>
      </c>
      <c r="S1844" s="19">
        <f>H1844*I1844</f>
        <v/>
      </c>
      <c r="T1844" s="19">
        <f>H1844*J1844</f>
        <v/>
      </c>
      <c r="U1844">
        <f>IF(AND(K1844=0,G1844&lt;=Assumptions!$C$6),1,0)</f>
        <v/>
      </c>
      <c r="V1844">
        <f>IF(U1844=1,IF(M1844&gt;0,IF(P1844&lt;=G1844+Assumptions!$C$7,1,0),0),0)</f>
        <v/>
      </c>
      <c r="W1844">
        <f>IF(AND(U1844=1,M1844&gt;=H1844*(1-Assumptions!$C$8)),1,0)</f>
        <v/>
      </c>
      <c r="X1844">
        <f>IF(AND(U1844=1,N1844&gt;=H1844*(1-Assumptions!$C$8)),1,0)</f>
        <v/>
      </c>
      <c r="Y1844">
        <f>IF(ISNUMBER(Q1844),1,0)</f>
        <v/>
      </c>
      <c r="Z1844">
        <f>IF(AND(K1844=0,L1844=0,Y1844=0),1,0)</f>
        <v/>
      </c>
      <c r="AA1844">
        <f>IF(AND(Z1844=1,G1844&lt;Assumptions!$C$6),1,0)</f>
        <v/>
      </c>
      <c r="AB1844">
        <f>IF(U1844=0,"",IF(Y1844=1,MAX(0,Q1844-G1844),IF(L1844=1,MAX(0,R1844-G1844),MAX(0,Assumptions!$C$6-G1844))))</f>
        <v/>
      </c>
      <c r="AC1844">
        <f>IF(Y1844=1,Q1844-F1844,"")</f>
        <v/>
      </c>
      <c r="AD1844">
        <f>IF(Y1844=1,AC1844^2,"")</f>
        <v/>
      </c>
      <c r="AE1844" s="19">
        <f>IF(Z1844=1,(H1844-M1844)*I1844,0)</f>
        <v/>
      </c>
      <c r="AF1844">
        <f>IF(G1844&lt;EDATE(Assumptions!$C$6,-12)+1,"prior_12m","last_12m")</f>
        <v/>
      </c>
      <c r="AG1844" s="21">
        <f>DATE(YEAR(G1844),MONTH(G1844),1)</f>
        <v/>
      </c>
    </row>
    <row r="1845">
      <c r="A1845" t="inlineStr">
        <is>
          <t>SPO-01003-1</t>
        </is>
      </c>
      <c r="B1845" t="inlineStr">
        <is>
          <t>SPO-01003</t>
        </is>
      </c>
      <c r="C1845" t="inlineStr">
        <is>
          <t>SUP-06</t>
        </is>
      </c>
      <c r="D1845" t="inlineStr">
        <is>
          <t>MRO</t>
        </is>
      </c>
      <c r="E1845" t="inlineStr">
        <is>
          <t>MRO-06</t>
        </is>
      </c>
      <c r="F1845" s="17" t="n">
        <v>45849</v>
      </c>
      <c r="G1845" s="17" t="n">
        <v>45857</v>
      </c>
      <c r="H1845" s="18" t="n">
        <v>221</v>
      </c>
      <c r="I1845" s="19" t="n">
        <v>6.08</v>
      </c>
      <c r="J1845" s="19" t="n">
        <v>6.1</v>
      </c>
      <c r="K1845" s="20" t="n">
        <v>0</v>
      </c>
      <c r="L1845" s="20" t="n">
        <v>0</v>
      </c>
      <c r="M1845" s="18" t="n">
        <v>221</v>
      </c>
      <c r="N1845" s="18" t="n">
        <v>221</v>
      </c>
      <c r="O1845" s="18" t="n">
        <v>0</v>
      </c>
      <c r="P1845" s="17" t="n">
        <v>45857</v>
      </c>
      <c r="Q1845" s="17" t="n">
        <v>45857</v>
      </c>
      <c r="R1845" s="17" t="n">
        <v>45857</v>
      </c>
      <c r="S1845" s="19">
        <f>H1845*I1845</f>
        <v/>
      </c>
      <c r="T1845" s="19">
        <f>H1845*J1845</f>
        <v/>
      </c>
      <c r="U1845">
        <f>IF(AND(K1845=0,G1845&lt;=Assumptions!$C$6),1,0)</f>
        <v/>
      </c>
      <c r="V1845">
        <f>IF(U1845=1,IF(M1845&gt;0,IF(P1845&lt;=G1845+Assumptions!$C$7,1,0),0),0)</f>
        <v/>
      </c>
      <c r="W1845">
        <f>IF(AND(U1845=1,M1845&gt;=H1845*(1-Assumptions!$C$8)),1,0)</f>
        <v/>
      </c>
      <c r="X1845">
        <f>IF(AND(U1845=1,N1845&gt;=H1845*(1-Assumptions!$C$8)),1,0)</f>
        <v/>
      </c>
      <c r="Y1845">
        <f>IF(ISNUMBER(Q1845),1,0)</f>
        <v/>
      </c>
      <c r="Z1845">
        <f>IF(AND(K1845=0,L1845=0,Y1845=0),1,0)</f>
        <v/>
      </c>
      <c r="AA1845">
        <f>IF(AND(Z1845=1,G1845&lt;Assumptions!$C$6),1,0)</f>
        <v/>
      </c>
      <c r="AB1845">
        <f>IF(U1845=0,"",IF(Y1845=1,MAX(0,Q1845-G1845),IF(L1845=1,MAX(0,R1845-G1845),MAX(0,Assumptions!$C$6-G1845))))</f>
        <v/>
      </c>
      <c r="AC1845">
        <f>IF(Y1845=1,Q1845-F1845,"")</f>
        <v/>
      </c>
      <c r="AD1845">
        <f>IF(Y1845=1,AC1845^2,"")</f>
        <v/>
      </c>
      <c r="AE1845" s="19">
        <f>IF(Z1845=1,(H1845-M1845)*I1845,0)</f>
        <v/>
      </c>
      <c r="AF1845">
        <f>IF(G1845&lt;EDATE(Assumptions!$C$6,-12)+1,"prior_12m","last_12m")</f>
        <v/>
      </c>
      <c r="AG1845" s="21">
        <f>DATE(YEAR(G1845),MONTH(G1845),1)</f>
        <v/>
      </c>
    </row>
    <row r="1846">
      <c r="A1846" t="inlineStr">
        <is>
          <t>SPO-01004-1</t>
        </is>
      </c>
      <c r="B1846" t="inlineStr">
        <is>
          <t>SPO-01004</t>
        </is>
      </c>
      <c r="C1846" t="inlineStr">
        <is>
          <t>SUP-05</t>
        </is>
      </c>
      <c r="D1846" t="inlineStr">
        <is>
          <t>FLEET</t>
        </is>
      </c>
      <c r="E1846" t="inlineStr">
        <is>
          <t>FLEET-06</t>
        </is>
      </c>
      <c r="F1846" s="17" t="n">
        <v>45850</v>
      </c>
      <c r="G1846" s="17" t="n">
        <v>45864</v>
      </c>
      <c r="H1846" s="18" t="n">
        <v>47</v>
      </c>
      <c r="I1846" s="19" t="n">
        <v>33.9</v>
      </c>
      <c r="J1846" s="19" t="n">
        <v>33</v>
      </c>
      <c r="K1846" s="20" t="n">
        <v>0</v>
      </c>
      <c r="L1846" s="20" t="n">
        <v>0</v>
      </c>
      <c r="M1846" s="18" t="n">
        <v>47</v>
      </c>
      <c r="N1846" s="18" t="n">
        <v>47</v>
      </c>
      <c r="O1846" s="18" t="n">
        <v>0</v>
      </c>
      <c r="P1846" s="17" t="n">
        <v>45860</v>
      </c>
      <c r="Q1846" s="17" t="n">
        <v>45860</v>
      </c>
      <c r="R1846" s="17" t="n">
        <v>45860</v>
      </c>
      <c r="S1846" s="19">
        <f>H1846*I1846</f>
        <v/>
      </c>
      <c r="T1846" s="19">
        <f>H1846*J1846</f>
        <v/>
      </c>
      <c r="U1846">
        <f>IF(AND(K1846=0,G1846&lt;=Assumptions!$C$6),1,0)</f>
        <v/>
      </c>
      <c r="V1846">
        <f>IF(U1846=1,IF(M1846&gt;0,IF(P1846&lt;=G1846+Assumptions!$C$7,1,0),0),0)</f>
        <v/>
      </c>
      <c r="W1846">
        <f>IF(AND(U1846=1,M1846&gt;=H1846*(1-Assumptions!$C$8)),1,0)</f>
        <v/>
      </c>
      <c r="X1846">
        <f>IF(AND(U1846=1,N1846&gt;=H1846*(1-Assumptions!$C$8)),1,0)</f>
        <v/>
      </c>
      <c r="Y1846">
        <f>IF(ISNUMBER(Q1846),1,0)</f>
        <v/>
      </c>
      <c r="Z1846">
        <f>IF(AND(K1846=0,L1846=0,Y1846=0),1,0)</f>
        <v/>
      </c>
      <c r="AA1846">
        <f>IF(AND(Z1846=1,G1846&lt;Assumptions!$C$6),1,0)</f>
        <v/>
      </c>
      <c r="AB1846">
        <f>IF(U1846=0,"",IF(Y1846=1,MAX(0,Q1846-G1846),IF(L1846=1,MAX(0,R1846-G1846),MAX(0,Assumptions!$C$6-G1846))))</f>
        <v/>
      </c>
      <c r="AC1846">
        <f>IF(Y1846=1,Q1846-F1846,"")</f>
        <v/>
      </c>
      <c r="AD1846">
        <f>IF(Y1846=1,AC1846^2,"")</f>
        <v/>
      </c>
      <c r="AE1846" s="19">
        <f>IF(Z1846=1,(H1846-M1846)*I1846,0)</f>
        <v/>
      </c>
      <c r="AF1846">
        <f>IF(G1846&lt;EDATE(Assumptions!$C$6,-12)+1,"prior_12m","last_12m")</f>
        <v/>
      </c>
      <c r="AG1846" s="21">
        <f>DATE(YEAR(G1846),MONTH(G1846),1)</f>
        <v/>
      </c>
    </row>
    <row r="1847">
      <c r="A1847" t="inlineStr">
        <is>
          <t>SPO-01004-2</t>
        </is>
      </c>
      <c r="B1847" t="inlineStr">
        <is>
          <t>SPO-01004</t>
        </is>
      </c>
      <c r="C1847" t="inlineStr">
        <is>
          <t>SUP-05</t>
        </is>
      </c>
      <c r="D1847" t="inlineStr">
        <is>
          <t>FLEET</t>
        </is>
      </c>
      <c r="E1847" t="inlineStr">
        <is>
          <t>FLEET-02</t>
        </is>
      </c>
      <c r="F1847" s="17" t="n">
        <v>45850</v>
      </c>
      <c r="G1847" s="17" t="n">
        <v>45864</v>
      </c>
      <c r="H1847" s="18" t="n">
        <v>174</v>
      </c>
      <c r="I1847" s="19" t="n">
        <v>7.78</v>
      </c>
      <c r="J1847" s="19" t="n">
        <v>7.5</v>
      </c>
      <c r="K1847" s="20" t="n">
        <v>0</v>
      </c>
      <c r="L1847" s="20" t="n">
        <v>0</v>
      </c>
      <c r="M1847" s="18" t="n">
        <v>174</v>
      </c>
      <c r="N1847" s="18" t="n">
        <v>174</v>
      </c>
      <c r="O1847" s="18" t="n">
        <v>0</v>
      </c>
      <c r="P1847" s="17" t="n">
        <v>45864</v>
      </c>
      <c r="Q1847" s="17" t="n">
        <v>45864</v>
      </c>
      <c r="R1847" s="17" t="n">
        <v>45864</v>
      </c>
      <c r="S1847" s="19">
        <f>H1847*I1847</f>
        <v/>
      </c>
      <c r="T1847" s="19">
        <f>H1847*J1847</f>
        <v/>
      </c>
      <c r="U1847">
        <f>IF(AND(K1847=0,G1847&lt;=Assumptions!$C$6),1,0)</f>
        <v/>
      </c>
      <c r="V1847">
        <f>IF(U1847=1,IF(M1847&gt;0,IF(P1847&lt;=G1847+Assumptions!$C$7,1,0),0),0)</f>
        <v/>
      </c>
      <c r="W1847">
        <f>IF(AND(U1847=1,M1847&gt;=H1847*(1-Assumptions!$C$8)),1,0)</f>
        <v/>
      </c>
      <c r="X1847">
        <f>IF(AND(U1847=1,N1847&gt;=H1847*(1-Assumptions!$C$8)),1,0)</f>
        <v/>
      </c>
      <c r="Y1847">
        <f>IF(ISNUMBER(Q1847),1,0)</f>
        <v/>
      </c>
      <c r="Z1847">
        <f>IF(AND(K1847=0,L1847=0,Y1847=0),1,0)</f>
        <v/>
      </c>
      <c r="AA1847">
        <f>IF(AND(Z1847=1,G1847&lt;Assumptions!$C$6),1,0)</f>
        <v/>
      </c>
      <c r="AB1847">
        <f>IF(U1847=0,"",IF(Y1847=1,MAX(0,Q1847-G1847),IF(L1847=1,MAX(0,R1847-G1847),MAX(0,Assumptions!$C$6-G1847))))</f>
        <v/>
      </c>
      <c r="AC1847">
        <f>IF(Y1847=1,Q1847-F1847,"")</f>
        <v/>
      </c>
      <c r="AD1847">
        <f>IF(Y1847=1,AC1847^2,"")</f>
        <v/>
      </c>
      <c r="AE1847" s="19">
        <f>IF(Z1847=1,(H1847-M1847)*I1847,0)</f>
        <v/>
      </c>
      <c r="AF1847">
        <f>IF(G1847&lt;EDATE(Assumptions!$C$6,-12)+1,"prior_12m","last_12m")</f>
        <v/>
      </c>
      <c r="AG1847" s="21">
        <f>DATE(YEAR(G1847),MONTH(G1847),1)</f>
        <v/>
      </c>
    </row>
    <row r="1848">
      <c r="A1848" t="inlineStr">
        <is>
          <t>SPO-01005-1</t>
        </is>
      </c>
      <c r="B1848" t="inlineStr">
        <is>
          <t>SPO-01005</t>
        </is>
      </c>
      <c r="C1848" t="inlineStr">
        <is>
          <t>SUP-01</t>
        </is>
      </c>
      <c r="D1848" t="inlineStr">
        <is>
          <t>ELEC</t>
        </is>
      </c>
      <c r="E1848" t="inlineStr">
        <is>
          <t>ELEC-06</t>
        </is>
      </c>
      <c r="F1848" s="17" t="n">
        <v>45850</v>
      </c>
      <c r="G1848" s="17" t="n">
        <v>45868</v>
      </c>
      <c r="H1848" s="18" t="n">
        <v>27</v>
      </c>
      <c r="I1848" s="19" t="n">
        <v>147</v>
      </c>
      <c r="J1848" s="19" t="n">
        <v>145</v>
      </c>
      <c r="K1848" s="20" t="n">
        <v>0</v>
      </c>
      <c r="L1848" s="20" t="n">
        <v>0</v>
      </c>
      <c r="M1848" s="18" t="n">
        <v>27</v>
      </c>
      <c r="N1848" s="18" t="n">
        <v>27</v>
      </c>
      <c r="O1848" s="18" t="n">
        <v>0</v>
      </c>
      <c r="P1848" s="17" t="n">
        <v>45863</v>
      </c>
      <c r="Q1848" s="17" t="n">
        <v>45863</v>
      </c>
      <c r="R1848" s="17" t="n">
        <v>45863</v>
      </c>
      <c r="S1848" s="19">
        <f>H1848*I1848</f>
        <v/>
      </c>
      <c r="T1848" s="19">
        <f>H1848*J1848</f>
        <v/>
      </c>
      <c r="U1848">
        <f>IF(AND(K1848=0,G1848&lt;=Assumptions!$C$6),1,0)</f>
        <v/>
      </c>
      <c r="V1848">
        <f>IF(U1848=1,IF(M1848&gt;0,IF(P1848&lt;=G1848+Assumptions!$C$7,1,0),0),0)</f>
        <v/>
      </c>
      <c r="W1848">
        <f>IF(AND(U1848=1,M1848&gt;=H1848*(1-Assumptions!$C$8)),1,0)</f>
        <v/>
      </c>
      <c r="X1848">
        <f>IF(AND(U1848=1,N1848&gt;=H1848*(1-Assumptions!$C$8)),1,0)</f>
        <v/>
      </c>
      <c r="Y1848">
        <f>IF(ISNUMBER(Q1848),1,0)</f>
        <v/>
      </c>
      <c r="Z1848">
        <f>IF(AND(K1848=0,L1848=0,Y1848=0),1,0)</f>
        <v/>
      </c>
      <c r="AA1848">
        <f>IF(AND(Z1848=1,G1848&lt;Assumptions!$C$6),1,0)</f>
        <v/>
      </c>
      <c r="AB1848">
        <f>IF(U1848=0,"",IF(Y1848=1,MAX(0,Q1848-G1848),IF(L1848=1,MAX(0,R1848-G1848),MAX(0,Assumptions!$C$6-G1848))))</f>
        <v/>
      </c>
      <c r="AC1848">
        <f>IF(Y1848=1,Q1848-F1848,"")</f>
        <v/>
      </c>
      <c r="AD1848">
        <f>IF(Y1848=1,AC1848^2,"")</f>
        <v/>
      </c>
      <c r="AE1848" s="19">
        <f>IF(Z1848=1,(H1848-M1848)*I1848,0)</f>
        <v/>
      </c>
      <c r="AF1848">
        <f>IF(G1848&lt;EDATE(Assumptions!$C$6,-12)+1,"prior_12m","last_12m")</f>
        <v/>
      </c>
      <c r="AG1848" s="21">
        <f>DATE(YEAR(G1848),MONTH(G1848),1)</f>
        <v/>
      </c>
    </row>
    <row r="1849">
      <c r="A1849" t="inlineStr">
        <is>
          <t>SPO-01006-1</t>
        </is>
      </c>
      <c r="B1849" t="inlineStr">
        <is>
          <t>SPO-01006</t>
        </is>
      </c>
      <c r="C1849" t="inlineStr">
        <is>
          <t>SUP-06</t>
        </is>
      </c>
      <c r="D1849" t="inlineStr">
        <is>
          <t>MRO</t>
        </is>
      </c>
      <c r="E1849" t="inlineStr">
        <is>
          <t>MRO-07</t>
        </is>
      </c>
      <c r="F1849" s="17" t="n">
        <v>45850</v>
      </c>
      <c r="G1849" s="17" t="n">
        <v>45858</v>
      </c>
      <c r="H1849" s="18" t="n">
        <v>198</v>
      </c>
      <c r="I1849" s="19" t="n">
        <v>13.81</v>
      </c>
      <c r="J1849" s="19" t="n">
        <v>14</v>
      </c>
      <c r="K1849" s="20" t="n">
        <v>0</v>
      </c>
      <c r="L1849" s="20" t="n">
        <v>0</v>
      </c>
      <c r="M1849" s="18" t="n">
        <v>198</v>
      </c>
      <c r="N1849" s="18" t="n">
        <v>198</v>
      </c>
      <c r="O1849" s="18" t="n">
        <v>0</v>
      </c>
      <c r="P1849" s="17" t="n">
        <v>45856</v>
      </c>
      <c r="Q1849" s="17" t="n">
        <v>45856</v>
      </c>
      <c r="R1849" s="17" t="n">
        <v>45856</v>
      </c>
      <c r="S1849" s="19">
        <f>H1849*I1849</f>
        <v/>
      </c>
      <c r="T1849" s="19">
        <f>H1849*J1849</f>
        <v/>
      </c>
      <c r="U1849">
        <f>IF(AND(K1849=0,G1849&lt;=Assumptions!$C$6),1,0)</f>
        <v/>
      </c>
      <c r="V1849">
        <f>IF(U1849=1,IF(M1849&gt;0,IF(P1849&lt;=G1849+Assumptions!$C$7,1,0),0),0)</f>
        <v/>
      </c>
      <c r="W1849">
        <f>IF(AND(U1849=1,M1849&gt;=H1849*(1-Assumptions!$C$8)),1,0)</f>
        <v/>
      </c>
      <c r="X1849">
        <f>IF(AND(U1849=1,N1849&gt;=H1849*(1-Assumptions!$C$8)),1,0)</f>
        <v/>
      </c>
      <c r="Y1849">
        <f>IF(ISNUMBER(Q1849),1,0)</f>
        <v/>
      </c>
      <c r="Z1849">
        <f>IF(AND(K1849=0,L1849=0,Y1849=0),1,0)</f>
        <v/>
      </c>
      <c r="AA1849">
        <f>IF(AND(Z1849=1,G1849&lt;Assumptions!$C$6),1,0)</f>
        <v/>
      </c>
      <c r="AB1849">
        <f>IF(U1849=0,"",IF(Y1849=1,MAX(0,Q1849-G1849),IF(L1849=1,MAX(0,R1849-G1849),MAX(0,Assumptions!$C$6-G1849))))</f>
        <v/>
      </c>
      <c r="AC1849">
        <f>IF(Y1849=1,Q1849-F1849,"")</f>
        <v/>
      </c>
      <c r="AD1849">
        <f>IF(Y1849=1,AC1849^2,"")</f>
        <v/>
      </c>
      <c r="AE1849" s="19">
        <f>IF(Z1849=1,(H1849-M1849)*I1849,0)</f>
        <v/>
      </c>
      <c r="AF1849">
        <f>IF(G1849&lt;EDATE(Assumptions!$C$6,-12)+1,"prior_12m","last_12m")</f>
        <v/>
      </c>
      <c r="AG1849" s="21">
        <f>DATE(YEAR(G1849),MONTH(G1849),1)</f>
        <v/>
      </c>
    </row>
    <row r="1850">
      <c r="A1850" t="inlineStr">
        <is>
          <t>SPO-01006-2</t>
        </is>
      </c>
      <c r="B1850" t="inlineStr">
        <is>
          <t>SPO-01006</t>
        </is>
      </c>
      <c r="C1850" t="inlineStr">
        <is>
          <t>SUP-06</t>
        </is>
      </c>
      <c r="D1850" t="inlineStr">
        <is>
          <t>MRO</t>
        </is>
      </c>
      <c r="E1850" t="inlineStr">
        <is>
          <t>MRO-05</t>
        </is>
      </c>
      <c r="F1850" s="17" t="n">
        <v>45850</v>
      </c>
      <c r="G1850" s="17" t="n">
        <v>45858</v>
      </c>
      <c r="H1850" s="18" t="n">
        <v>34</v>
      </c>
      <c r="I1850" s="19" t="n">
        <v>37.6</v>
      </c>
      <c r="J1850" s="19" t="n">
        <v>36</v>
      </c>
      <c r="K1850" s="20" t="n">
        <v>0</v>
      </c>
      <c r="L1850" s="20" t="n">
        <v>0</v>
      </c>
      <c r="M1850" s="18" t="n">
        <v>34</v>
      </c>
      <c r="N1850" s="18" t="n">
        <v>34</v>
      </c>
      <c r="O1850" s="18" t="n">
        <v>0</v>
      </c>
      <c r="P1850" s="17" t="n">
        <v>45856</v>
      </c>
      <c r="Q1850" s="17" t="n">
        <v>45856</v>
      </c>
      <c r="R1850" s="17" t="n">
        <v>45856</v>
      </c>
      <c r="S1850" s="19">
        <f>H1850*I1850</f>
        <v/>
      </c>
      <c r="T1850" s="19">
        <f>H1850*J1850</f>
        <v/>
      </c>
      <c r="U1850">
        <f>IF(AND(K1850=0,G1850&lt;=Assumptions!$C$6),1,0)</f>
        <v/>
      </c>
      <c r="V1850">
        <f>IF(U1850=1,IF(M1850&gt;0,IF(P1850&lt;=G1850+Assumptions!$C$7,1,0),0),0)</f>
        <v/>
      </c>
      <c r="W1850">
        <f>IF(AND(U1850=1,M1850&gt;=H1850*(1-Assumptions!$C$8)),1,0)</f>
        <v/>
      </c>
      <c r="X1850">
        <f>IF(AND(U1850=1,N1850&gt;=H1850*(1-Assumptions!$C$8)),1,0)</f>
        <v/>
      </c>
      <c r="Y1850">
        <f>IF(ISNUMBER(Q1850),1,0)</f>
        <v/>
      </c>
      <c r="Z1850">
        <f>IF(AND(K1850=0,L1850=0,Y1850=0),1,0)</f>
        <v/>
      </c>
      <c r="AA1850">
        <f>IF(AND(Z1850=1,G1850&lt;Assumptions!$C$6),1,0)</f>
        <v/>
      </c>
      <c r="AB1850">
        <f>IF(U1850=0,"",IF(Y1850=1,MAX(0,Q1850-G1850),IF(L1850=1,MAX(0,R1850-G1850),MAX(0,Assumptions!$C$6-G1850))))</f>
        <v/>
      </c>
      <c r="AC1850">
        <f>IF(Y1850=1,Q1850-F1850,"")</f>
        <v/>
      </c>
      <c r="AD1850">
        <f>IF(Y1850=1,AC1850^2,"")</f>
        <v/>
      </c>
      <c r="AE1850" s="19">
        <f>IF(Z1850=1,(H1850-M1850)*I1850,0)</f>
        <v/>
      </c>
      <c r="AF1850">
        <f>IF(G1850&lt;EDATE(Assumptions!$C$6,-12)+1,"prior_12m","last_12m")</f>
        <v/>
      </c>
      <c r="AG1850" s="21">
        <f>DATE(YEAR(G1850),MONTH(G1850),1)</f>
        <v/>
      </c>
    </row>
    <row r="1851">
      <c r="A1851" t="inlineStr">
        <is>
          <t>SPO-01006-3</t>
        </is>
      </c>
      <c r="B1851" t="inlineStr">
        <is>
          <t>SPO-01006</t>
        </is>
      </c>
      <c r="C1851" t="inlineStr">
        <is>
          <t>SUP-06</t>
        </is>
      </c>
      <c r="D1851" t="inlineStr">
        <is>
          <t>MRO</t>
        </is>
      </c>
      <c r="E1851" t="inlineStr">
        <is>
          <t>MRO-01</t>
        </is>
      </c>
      <c r="F1851" s="17" t="n">
        <v>45850</v>
      </c>
      <c r="G1851" s="17" t="n">
        <v>45858</v>
      </c>
      <c r="H1851" s="18" t="n">
        <v>33</v>
      </c>
      <c r="I1851" s="19" t="n">
        <v>53.06</v>
      </c>
      <c r="J1851" s="19" t="n">
        <v>52</v>
      </c>
      <c r="K1851" s="20" t="n">
        <v>0</v>
      </c>
      <c r="L1851" s="20" t="n">
        <v>0</v>
      </c>
      <c r="M1851" s="18" t="n">
        <v>33</v>
      </c>
      <c r="N1851" s="18" t="n">
        <v>33</v>
      </c>
      <c r="O1851" s="18" t="n">
        <v>0</v>
      </c>
      <c r="P1851" s="17" t="n">
        <v>45857</v>
      </c>
      <c r="Q1851" s="17" t="n">
        <v>45857</v>
      </c>
      <c r="R1851" s="17" t="n">
        <v>45857</v>
      </c>
      <c r="S1851" s="19">
        <f>H1851*I1851</f>
        <v/>
      </c>
      <c r="T1851" s="19">
        <f>H1851*J1851</f>
        <v/>
      </c>
      <c r="U1851">
        <f>IF(AND(K1851=0,G1851&lt;=Assumptions!$C$6),1,0)</f>
        <v/>
      </c>
      <c r="V1851">
        <f>IF(U1851=1,IF(M1851&gt;0,IF(P1851&lt;=G1851+Assumptions!$C$7,1,0),0),0)</f>
        <v/>
      </c>
      <c r="W1851">
        <f>IF(AND(U1851=1,M1851&gt;=H1851*(1-Assumptions!$C$8)),1,0)</f>
        <v/>
      </c>
      <c r="X1851">
        <f>IF(AND(U1851=1,N1851&gt;=H1851*(1-Assumptions!$C$8)),1,0)</f>
        <v/>
      </c>
      <c r="Y1851">
        <f>IF(ISNUMBER(Q1851),1,0)</f>
        <v/>
      </c>
      <c r="Z1851">
        <f>IF(AND(K1851=0,L1851=0,Y1851=0),1,0)</f>
        <v/>
      </c>
      <c r="AA1851">
        <f>IF(AND(Z1851=1,G1851&lt;Assumptions!$C$6),1,0)</f>
        <v/>
      </c>
      <c r="AB1851">
        <f>IF(U1851=0,"",IF(Y1851=1,MAX(0,Q1851-G1851),IF(L1851=1,MAX(0,R1851-G1851),MAX(0,Assumptions!$C$6-G1851))))</f>
        <v/>
      </c>
      <c r="AC1851">
        <f>IF(Y1851=1,Q1851-F1851,"")</f>
        <v/>
      </c>
      <c r="AD1851">
        <f>IF(Y1851=1,AC1851^2,"")</f>
        <v/>
      </c>
      <c r="AE1851" s="19">
        <f>IF(Z1851=1,(H1851-M1851)*I1851,0)</f>
        <v/>
      </c>
      <c r="AF1851">
        <f>IF(G1851&lt;EDATE(Assumptions!$C$6,-12)+1,"prior_12m","last_12m")</f>
        <v/>
      </c>
      <c r="AG1851" s="21">
        <f>DATE(YEAR(G1851),MONTH(G1851),1)</f>
        <v/>
      </c>
    </row>
    <row r="1852">
      <c r="A1852" t="inlineStr">
        <is>
          <t>SPO-01007-1</t>
        </is>
      </c>
      <c r="B1852" t="inlineStr">
        <is>
          <t>SPO-01007</t>
        </is>
      </c>
      <c r="C1852" t="inlineStr">
        <is>
          <t>SUP-07</t>
        </is>
      </c>
      <c r="D1852" t="inlineStr">
        <is>
          <t>MRO</t>
        </is>
      </c>
      <c r="E1852" t="inlineStr">
        <is>
          <t>MRO-01</t>
        </is>
      </c>
      <c r="F1852" s="17" t="n">
        <v>45850</v>
      </c>
      <c r="G1852" s="17" t="n">
        <v>45860</v>
      </c>
      <c r="H1852" s="18" t="n">
        <v>42</v>
      </c>
      <c r="I1852" s="19" t="n">
        <v>52.59</v>
      </c>
      <c r="J1852" s="19" t="n">
        <v>52</v>
      </c>
      <c r="K1852" s="20" t="n">
        <v>0</v>
      </c>
      <c r="L1852" s="20" t="n">
        <v>1</v>
      </c>
      <c r="M1852" s="18" t="n">
        <v>27</v>
      </c>
      <c r="N1852" s="18" t="n">
        <v>27</v>
      </c>
      <c r="O1852" s="18" t="n">
        <v>0</v>
      </c>
      <c r="P1852" s="17" t="n">
        <v>45858</v>
      </c>
      <c r="Q1852" s="17" t="n"/>
      <c r="R1852" s="17" t="n">
        <v>45858</v>
      </c>
      <c r="S1852" s="19">
        <f>H1852*I1852</f>
        <v/>
      </c>
      <c r="T1852" s="19">
        <f>H1852*J1852</f>
        <v/>
      </c>
      <c r="U1852">
        <f>IF(AND(K1852=0,G1852&lt;=Assumptions!$C$6),1,0)</f>
        <v/>
      </c>
      <c r="V1852">
        <f>IF(U1852=1,IF(M1852&gt;0,IF(P1852&lt;=G1852+Assumptions!$C$7,1,0),0),0)</f>
        <v/>
      </c>
      <c r="W1852">
        <f>IF(AND(U1852=1,M1852&gt;=H1852*(1-Assumptions!$C$8)),1,0)</f>
        <v/>
      </c>
      <c r="X1852">
        <f>IF(AND(U1852=1,N1852&gt;=H1852*(1-Assumptions!$C$8)),1,0)</f>
        <v/>
      </c>
      <c r="Y1852">
        <f>IF(ISNUMBER(Q1852),1,0)</f>
        <v/>
      </c>
      <c r="Z1852">
        <f>IF(AND(K1852=0,L1852=0,Y1852=0),1,0)</f>
        <v/>
      </c>
      <c r="AA1852">
        <f>IF(AND(Z1852=1,G1852&lt;Assumptions!$C$6),1,0)</f>
        <v/>
      </c>
      <c r="AB1852">
        <f>IF(U1852=0,"",IF(Y1852=1,MAX(0,Q1852-G1852),IF(L1852=1,MAX(0,R1852-G1852),MAX(0,Assumptions!$C$6-G1852))))</f>
        <v/>
      </c>
      <c r="AC1852">
        <f>IF(Y1852=1,Q1852-F1852,"")</f>
        <v/>
      </c>
      <c r="AD1852">
        <f>IF(Y1852=1,AC1852^2,"")</f>
        <v/>
      </c>
      <c r="AE1852" s="19">
        <f>IF(Z1852=1,(H1852-M1852)*I1852,0)</f>
        <v/>
      </c>
      <c r="AF1852">
        <f>IF(G1852&lt;EDATE(Assumptions!$C$6,-12)+1,"prior_12m","last_12m")</f>
        <v/>
      </c>
      <c r="AG1852" s="21">
        <f>DATE(YEAR(G1852),MONTH(G1852),1)</f>
        <v/>
      </c>
    </row>
    <row r="1853">
      <c r="A1853" t="inlineStr">
        <is>
          <t>SPO-01007-2</t>
        </is>
      </c>
      <c r="B1853" t="inlineStr">
        <is>
          <t>SPO-01007</t>
        </is>
      </c>
      <c r="C1853" t="inlineStr">
        <is>
          <t>SUP-07</t>
        </is>
      </c>
      <c r="D1853" t="inlineStr">
        <is>
          <t>MRO</t>
        </is>
      </c>
      <c r="E1853" t="inlineStr">
        <is>
          <t>MRO-02</t>
        </is>
      </c>
      <c r="F1853" s="17" t="n">
        <v>45850</v>
      </c>
      <c r="G1853" s="17" t="n">
        <v>45860</v>
      </c>
      <c r="H1853" s="18" t="n">
        <v>24</v>
      </c>
      <c r="I1853" s="19" t="n">
        <v>43.01</v>
      </c>
      <c r="J1853" s="19" t="n">
        <v>41</v>
      </c>
      <c r="K1853" s="20" t="n">
        <v>0</v>
      </c>
      <c r="L1853" s="20" t="n">
        <v>0</v>
      </c>
      <c r="M1853" s="18" t="n">
        <v>24</v>
      </c>
      <c r="N1853" s="18" t="n">
        <v>24</v>
      </c>
      <c r="O1853" s="18" t="n">
        <v>0</v>
      </c>
      <c r="P1853" s="17" t="n">
        <v>45860</v>
      </c>
      <c r="Q1853" s="17" t="n">
        <v>45860</v>
      </c>
      <c r="R1853" s="17" t="n">
        <v>45860</v>
      </c>
      <c r="S1853" s="19">
        <f>H1853*I1853</f>
        <v/>
      </c>
      <c r="T1853" s="19">
        <f>H1853*J1853</f>
        <v/>
      </c>
      <c r="U1853">
        <f>IF(AND(K1853=0,G1853&lt;=Assumptions!$C$6),1,0)</f>
        <v/>
      </c>
      <c r="V1853">
        <f>IF(U1853=1,IF(M1853&gt;0,IF(P1853&lt;=G1853+Assumptions!$C$7,1,0),0),0)</f>
        <v/>
      </c>
      <c r="W1853">
        <f>IF(AND(U1853=1,M1853&gt;=H1853*(1-Assumptions!$C$8)),1,0)</f>
        <v/>
      </c>
      <c r="X1853">
        <f>IF(AND(U1853=1,N1853&gt;=H1853*(1-Assumptions!$C$8)),1,0)</f>
        <v/>
      </c>
      <c r="Y1853">
        <f>IF(ISNUMBER(Q1853),1,0)</f>
        <v/>
      </c>
      <c r="Z1853">
        <f>IF(AND(K1853=0,L1853=0,Y1853=0),1,0)</f>
        <v/>
      </c>
      <c r="AA1853">
        <f>IF(AND(Z1853=1,G1853&lt;Assumptions!$C$6),1,0)</f>
        <v/>
      </c>
      <c r="AB1853">
        <f>IF(U1853=0,"",IF(Y1853=1,MAX(0,Q1853-G1853),IF(L1853=1,MAX(0,R1853-G1853),MAX(0,Assumptions!$C$6-G1853))))</f>
        <v/>
      </c>
      <c r="AC1853">
        <f>IF(Y1853=1,Q1853-F1853,"")</f>
        <v/>
      </c>
      <c r="AD1853">
        <f>IF(Y1853=1,AC1853^2,"")</f>
        <v/>
      </c>
      <c r="AE1853" s="19">
        <f>IF(Z1853=1,(H1853-M1853)*I1853,0)</f>
        <v/>
      </c>
      <c r="AF1853">
        <f>IF(G1853&lt;EDATE(Assumptions!$C$6,-12)+1,"prior_12m","last_12m")</f>
        <v/>
      </c>
      <c r="AG1853" s="21">
        <f>DATE(YEAR(G1853),MONTH(G1853),1)</f>
        <v/>
      </c>
    </row>
    <row r="1854">
      <c r="A1854" t="inlineStr">
        <is>
          <t>SPO-01007-3</t>
        </is>
      </c>
      <c r="B1854" t="inlineStr">
        <is>
          <t>SPO-01007</t>
        </is>
      </c>
      <c r="C1854" t="inlineStr">
        <is>
          <t>SUP-07</t>
        </is>
      </c>
      <c r="D1854" t="inlineStr">
        <is>
          <t>MRO</t>
        </is>
      </c>
      <c r="E1854" t="inlineStr">
        <is>
          <t>MRO-04</t>
        </is>
      </c>
      <c r="F1854" s="17" t="n">
        <v>45850</v>
      </c>
      <c r="G1854" s="17" t="n">
        <v>45860</v>
      </c>
      <c r="H1854" s="18" t="n">
        <v>19</v>
      </c>
      <c r="I1854" s="19" t="n">
        <v>58.64</v>
      </c>
      <c r="J1854" s="19" t="n">
        <v>58</v>
      </c>
      <c r="K1854" s="20" t="n">
        <v>0</v>
      </c>
      <c r="L1854" s="20" t="n">
        <v>0</v>
      </c>
      <c r="M1854" s="18" t="n">
        <v>19</v>
      </c>
      <c r="N1854" s="18" t="n">
        <v>19</v>
      </c>
      <c r="O1854" s="18" t="n">
        <v>0</v>
      </c>
      <c r="P1854" s="17" t="n">
        <v>45854</v>
      </c>
      <c r="Q1854" s="17" t="n">
        <v>45854</v>
      </c>
      <c r="R1854" s="17" t="n">
        <v>45854</v>
      </c>
      <c r="S1854" s="19">
        <f>H1854*I1854</f>
        <v/>
      </c>
      <c r="T1854" s="19">
        <f>H1854*J1854</f>
        <v/>
      </c>
      <c r="U1854">
        <f>IF(AND(K1854=0,G1854&lt;=Assumptions!$C$6),1,0)</f>
        <v/>
      </c>
      <c r="V1854">
        <f>IF(U1854=1,IF(M1854&gt;0,IF(P1854&lt;=G1854+Assumptions!$C$7,1,0),0),0)</f>
        <v/>
      </c>
      <c r="W1854">
        <f>IF(AND(U1854=1,M1854&gt;=H1854*(1-Assumptions!$C$8)),1,0)</f>
        <v/>
      </c>
      <c r="X1854">
        <f>IF(AND(U1854=1,N1854&gt;=H1854*(1-Assumptions!$C$8)),1,0)</f>
        <v/>
      </c>
      <c r="Y1854">
        <f>IF(ISNUMBER(Q1854),1,0)</f>
        <v/>
      </c>
      <c r="Z1854">
        <f>IF(AND(K1854=0,L1854=0,Y1854=0),1,0)</f>
        <v/>
      </c>
      <c r="AA1854">
        <f>IF(AND(Z1854=1,G1854&lt;Assumptions!$C$6),1,0)</f>
        <v/>
      </c>
      <c r="AB1854">
        <f>IF(U1854=0,"",IF(Y1854=1,MAX(0,Q1854-G1854),IF(L1854=1,MAX(0,R1854-G1854),MAX(0,Assumptions!$C$6-G1854))))</f>
        <v/>
      </c>
      <c r="AC1854">
        <f>IF(Y1854=1,Q1854-F1854,"")</f>
        <v/>
      </c>
      <c r="AD1854">
        <f>IF(Y1854=1,AC1854^2,"")</f>
        <v/>
      </c>
      <c r="AE1854" s="19">
        <f>IF(Z1854=1,(H1854-M1854)*I1854,0)</f>
        <v/>
      </c>
      <c r="AF1854">
        <f>IF(G1854&lt;EDATE(Assumptions!$C$6,-12)+1,"prior_12m","last_12m")</f>
        <v/>
      </c>
      <c r="AG1854" s="21">
        <f>DATE(YEAR(G1854),MONTH(G1854),1)</f>
        <v/>
      </c>
    </row>
    <row r="1855">
      <c r="A1855" t="inlineStr">
        <is>
          <t>SPO-01008-1</t>
        </is>
      </c>
      <c r="B1855" t="inlineStr">
        <is>
          <t>SPO-01008</t>
        </is>
      </c>
      <c r="C1855" t="inlineStr">
        <is>
          <t>SUP-04</t>
        </is>
      </c>
      <c r="D1855" t="inlineStr">
        <is>
          <t>FLEET</t>
        </is>
      </c>
      <c r="E1855" t="inlineStr">
        <is>
          <t>FLEET-08</t>
        </is>
      </c>
      <c r="F1855" s="17" t="n">
        <v>45850</v>
      </c>
      <c r="G1855" s="17" t="n">
        <v>45863</v>
      </c>
      <c r="H1855" s="18" t="n">
        <v>280</v>
      </c>
      <c r="I1855" s="19" t="n">
        <v>5.83</v>
      </c>
      <c r="J1855" s="19" t="n">
        <v>6.4</v>
      </c>
      <c r="K1855" s="20" t="n">
        <v>0</v>
      </c>
      <c r="L1855" s="20" t="n">
        <v>0</v>
      </c>
      <c r="M1855" s="18" t="n">
        <v>280</v>
      </c>
      <c r="N1855" s="18" t="n">
        <v>280</v>
      </c>
      <c r="O1855" s="18" t="n">
        <v>0</v>
      </c>
      <c r="P1855" s="17" t="n">
        <v>45860</v>
      </c>
      <c r="Q1855" s="17" t="n">
        <v>45860</v>
      </c>
      <c r="R1855" s="17" t="n">
        <v>45860</v>
      </c>
      <c r="S1855" s="19">
        <f>H1855*I1855</f>
        <v/>
      </c>
      <c r="T1855" s="19">
        <f>H1855*J1855</f>
        <v/>
      </c>
      <c r="U1855">
        <f>IF(AND(K1855=0,G1855&lt;=Assumptions!$C$6),1,0)</f>
        <v/>
      </c>
      <c r="V1855">
        <f>IF(U1855=1,IF(M1855&gt;0,IF(P1855&lt;=G1855+Assumptions!$C$7,1,0),0),0)</f>
        <v/>
      </c>
      <c r="W1855">
        <f>IF(AND(U1855=1,M1855&gt;=H1855*(1-Assumptions!$C$8)),1,0)</f>
        <v/>
      </c>
      <c r="X1855">
        <f>IF(AND(U1855=1,N1855&gt;=H1855*(1-Assumptions!$C$8)),1,0)</f>
        <v/>
      </c>
      <c r="Y1855">
        <f>IF(ISNUMBER(Q1855),1,0)</f>
        <v/>
      </c>
      <c r="Z1855">
        <f>IF(AND(K1855=0,L1855=0,Y1855=0),1,0)</f>
        <v/>
      </c>
      <c r="AA1855">
        <f>IF(AND(Z1855=1,G1855&lt;Assumptions!$C$6),1,0)</f>
        <v/>
      </c>
      <c r="AB1855">
        <f>IF(U1855=0,"",IF(Y1855=1,MAX(0,Q1855-G1855),IF(L1855=1,MAX(0,R1855-G1855),MAX(0,Assumptions!$C$6-G1855))))</f>
        <v/>
      </c>
      <c r="AC1855">
        <f>IF(Y1855=1,Q1855-F1855,"")</f>
        <v/>
      </c>
      <c r="AD1855">
        <f>IF(Y1855=1,AC1855^2,"")</f>
        <v/>
      </c>
      <c r="AE1855" s="19">
        <f>IF(Z1855=1,(H1855-M1855)*I1855,0)</f>
        <v/>
      </c>
      <c r="AF1855">
        <f>IF(G1855&lt;EDATE(Assumptions!$C$6,-12)+1,"prior_12m","last_12m")</f>
        <v/>
      </c>
      <c r="AG1855" s="21">
        <f>DATE(YEAR(G1855),MONTH(G1855),1)</f>
        <v/>
      </c>
    </row>
    <row r="1856">
      <c r="A1856" t="inlineStr">
        <is>
          <t>SPO-01009-1</t>
        </is>
      </c>
      <c r="B1856" t="inlineStr">
        <is>
          <t>SPO-01009</t>
        </is>
      </c>
      <c r="C1856" t="inlineStr">
        <is>
          <t>SUP-05</t>
        </is>
      </c>
      <c r="D1856" t="inlineStr">
        <is>
          <t>FLEET</t>
        </is>
      </c>
      <c r="E1856" t="inlineStr">
        <is>
          <t>FLEET-02</t>
        </is>
      </c>
      <c r="F1856" s="17" t="n">
        <v>45851</v>
      </c>
      <c r="G1856" s="17" t="n">
        <v>45865</v>
      </c>
      <c r="H1856" s="18" t="n">
        <v>309</v>
      </c>
      <c r="I1856" s="19" t="n">
        <v>7.59</v>
      </c>
      <c r="J1856" s="19" t="n">
        <v>7.5</v>
      </c>
      <c r="K1856" s="20" t="n">
        <v>0</v>
      </c>
      <c r="L1856" s="20" t="n">
        <v>0</v>
      </c>
      <c r="M1856" s="18" t="n">
        <v>309</v>
      </c>
      <c r="N1856" s="18" t="n">
        <v>309</v>
      </c>
      <c r="O1856" s="18" t="n">
        <v>0</v>
      </c>
      <c r="P1856" s="17" t="n">
        <v>45861</v>
      </c>
      <c r="Q1856" s="17" t="n">
        <v>45861</v>
      </c>
      <c r="R1856" s="17" t="n">
        <v>45861</v>
      </c>
      <c r="S1856" s="19">
        <f>H1856*I1856</f>
        <v/>
      </c>
      <c r="T1856" s="19">
        <f>H1856*J1856</f>
        <v/>
      </c>
      <c r="U1856">
        <f>IF(AND(K1856=0,G1856&lt;=Assumptions!$C$6),1,0)</f>
        <v/>
      </c>
      <c r="V1856">
        <f>IF(U1856=1,IF(M1856&gt;0,IF(P1856&lt;=G1856+Assumptions!$C$7,1,0),0),0)</f>
        <v/>
      </c>
      <c r="W1856">
        <f>IF(AND(U1856=1,M1856&gt;=H1856*(1-Assumptions!$C$8)),1,0)</f>
        <v/>
      </c>
      <c r="X1856">
        <f>IF(AND(U1856=1,N1856&gt;=H1856*(1-Assumptions!$C$8)),1,0)</f>
        <v/>
      </c>
      <c r="Y1856">
        <f>IF(ISNUMBER(Q1856),1,0)</f>
        <v/>
      </c>
      <c r="Z1856">
        <f>IF(AND(K1856=0,L1856=0,Y1856=0),1,0)</f>
        <v/>
      </c>
      <c r="AA1856">
        <f>IF(AND(Z1856=1,G1856&lt;Assumptions!$C$6),1,0)</f>
        <v/>
      </c>
      <c r="AB1856">
        <f>IF(U1856=0,"",IF(Y1856=1,MAX(0,Q1856-G1856),IF(L1856=1,MAX(0,R1856-G1856),MAX(0,Assumptions!$C$6-G1856))))</f>
        <v/>
      </c>
      <c r="AC1856">
        <f>IF(Y1856=1,Q1856-F1856,"")</f>
        <v/>
      </c>
      <c r="AD1856">
        <f>IF(Y1856=1,AC1856^2,"")</f>
        <v/>
      </c>
      <c r="AE1856" s="19">
        <f>IF(Z1856=1,(H1856-M1856)*I1856,0)</f>
        <v/>
      </c>
      <c r="AF1856">
        <f>IF(G1856&lt;EDATE(Assumptions!$C$6,-12)+1,"prior_12m","last_12m")</f>
        <v/>
      </c>
      <c r="AG1856" s="21">
        <f>DATE(YEAR(G1856),MONTH(G1856),1)</f>
        <v/>
      </c>
    </row>
    <row r="1857">
      <c r="A1857" t="inlineStr">
        <is>
          <t>SPO-01009-2</t>
        </is>
      </c>
      <c r="B1857" t="inlineStr">
        <is>
          <t>SPO-01009</t>
        </is>
      </c>
      <c r="C1857" t="inlineStr">
        <is>
          <t>SUP-05</t>
        </is>
      </c>
      <c r="D1857" t="inlineStr">
        <is>
          <t>FLEET</t>
        </is>
      </c>
      <c r="E1857" t="inlineStr">
        <is>
          <t>FLEET-08</t>
        </is>
      </c>
      <c r="F1857" s="17" t="n">
        <v>45851</v>
      </c>
      <c r="G1857" s="17" t="n">
        <v>45865</v>
      </c>
      <c r="H1857" s="18" t="n">
        <v>294</v>
      </c>
      <c r="I1857" s="19" t="n">
        <v>6.25</v>
      </c>
      <c r="J1857" s="19" t="n">
        <v>6.4</v>
      </c>
      <c r="K1857" s="20" t="n">
        <v>0</v>
      </c>
      <c r="L1857" s="20" t="n">
        <v>0</v>
      </c>
      <c r="M1857" s="18" t="n">
        <v>294</v>
      </c>
      <c r="N1857" s="18" t="n">
        <v>294</v>
      </c>
      <c r="O1857" s="18" t="n">
        <v>0</v>
      </c>
      <c r="P1857" s="17" t="n">
        <v>45861</v>
      </c>
      <c r="Q1857" s="17" t="n">
        <v>45861</v>
      </c>
      <c r="R1857" s="17" t="n">
        <v>45861</v>
      </c>
      <c r="S1857" s="19">
        <f>H1857*I1857</f>
        <v/>
      </c>
      <c r="T1857" s="19">
        <f>H1857*J1857</f>
        <v/>
      </c>
      <c r="U1857">
        <f>IF(AND(K1857=0,G1857&lt;=Assumptions!$C$6),1,0)</f>
        <v/>
      </c>
      <c r="V1857">
        <f>IF(U1857=1,IF(M1857&gt;0,IF(P1857&lt;=G1857+Assumptions!$C$7,1,0),0),0)</f>
        <v/>
      </c>
      <c r="W1857">
        <f>IF(AND(U1857=1,M1857&gt;=H1857*(1-Assumptions!$C$8)),1,0)</f>
        <v/>
      </c>
      <c r="X1857">
        <f>IF(AND(U1857=1,N1857&gt;=H1857*(1-Assumptions!$C$8)),1,0)</f>
        <v/>
      </c>
      <c r="Y1857">
        <f>IF(ISNUMBER(Q1857),1,0)</f>
        <v/>
      </c>
      <c r="Z1857">
        <f>IF(AND(K1857=0,L1857=0,Y1857=0),1,0)</f>
        <v/>
      </c>
      <c r="AA1857">
        <f>IF(AND(Z1857=1,G1857&lt;Assumptions!$C$6),1,0)</f>
        <v/>
      </c>
      <c r="AB1857">
        <f>IF(U1857=0,"",IF(Y1857=1,MAX(0,Q1857-G1857),IF(L1857=1,MAX(0,R1857-G1857),MAX(0,Assumptions!$C$6-G1857))))</f>
        <v/>
      </c>
      <c r="AC1857">
        <f>IF(Y1857=1,Q1857-F1857,"")</f>
        <v/>
      </c>
      <c r="AD1857">
        <f>IF(Y1857=1,AC1857^2,"")</f>
        <v/>
      </c>
      <c r="AE1857" s="19">
        <f>IF(Z1857=1,(H1857-M1857)*I1857,0)</f>
        <v/>
      </c>
      <c r="AF1857">
        <f>IF(G1857&lt;EDATE(Assumptions!$C$6,-12)+1,"prior_12m","last_12m")</f>
        <v/>
      </c>
      <c r="AG1857" s="21">
        <f>DATE(YEAR(G1857),MONTH(G1857),1)</f>
        <v/>
      </c>
    </row>
    <row r="1858">
      <c r="A1858" t="inlineStr">
        <is>
          <t>SPO-01010-1</t>
        </is>
      </c>
      <c r="B1858" t="inlineStr">
        <is>
          <t>SPO-01010</t>
        </is>
      </c>
      <c r="C1858" t="inlineStr">
        <is>
          <t>SUP-01</t>
        </is>
      </c>
      <c r="D1858" t="inlineStr">
        <is>
          <t>ELEC</t>
        </is>
      </c>
      <c r="E1858" t="inlineStr">
        <is>
          <t>ELEC-05</t>
        </is>
      </c>
      <c r="F1858" s="17" t="n">
        <v>45851</v>
      </c>
      <c r="G1858" s="17" t="n">
        <v>45869</v>
      </c>
      <c r="H1858" s="18" t="n">
        <v>94</v>
      </c>
      <c r="I1858" s="19" t="n">
        <v>11.73</v>
      </c>
      <c r="J1858" s="19" t="n">
        <v>11.5</v>
      </c>
      <c r="K1858" s="20" t="n">
        <v>0</v>
      </c>
      <c r="L1858" s="20" t="n">
        <v>0</v>
      </c>
      <c r="M1858" s="18" t="n">
        <v>94</v>
      </c>
      <c r="N1858" s="18" t="n">
        <v>94</v>
      </c>
      <c r="O1858" s="18" t="n">
        <v>0</v>
      </c>
      <c r="P1858" s="17" t="n">
        <v>45866</v>
      </c>
      <c r="Q1858" s="17" t="n">
        <v>45866</v>
      </c>
      <c r="R1858" s="17" t="n">
        <v>45866</v>
      </c>
      <c r="S1858" s="19">
        <f>H1858*I1858</f>
        <v/>
      </c>
      <c r="T1858" s="19">
        <f>H1858*J1858</f>
        <v/>
      </c>
      <c r="U1858">
        <f>IF(AND(K1858=0,G1858&lt;=Assumptions!$C$6),1,0)</f>
        <v/>
      </c>
      <c r="V1858">
        <f>IF(U1858=1,IF(M1858&gt;0,IF(P1858&lt;=G1858+Assumptions!$C$7,1,0),0),0)</f>
        <v/>
      </c>
      <c r="W1858">
        <f>IF(AND(U1858=1,M1858&gt;=H1858*(1-Assumptions!$C$8)),1,0)</f>
        <v/>
      </c>
      <c r="X1858">
        <f>IF(AND(U1858=1,N1858&gt;=H1858*(1-Assumptions!$C$8)),1,0)</f>
        <v/>
      </c>
      <c r="Y1858">
        <f>IF(ISNUMBER(Q1858),1,0)</f>
        <v/>
      </c>
      <c r="Z1858">
        <f>IF(AND(K1858=0,L1858=0,Y1858=0),1,0)</f>
        <v/>
      </c>
      <c r="AA1858">
        <f>IF(AND(Z1858=1,G1858&lt;Assumptions!$C$6),1,0)</f>
        <v/>
      </c>
      <c r="AB1858">
        <f>IF(U1858=0,"",IF(Y1858=1,MAX(0,Q1858-G1858),IF(L1858=1,MAX(0,R1858-G1858),MAX(0,Assumptions!$C$6-G1858))))</f>
        <v/>
      </c>
      <c r="AC1858">
        <f>IF(Y1858=1,Q1858-F1858,"")</f>
        <v/>
      </c>
      <c r="AD1858">
        <f>IF(Y1858=1,AC1858^2,"")</f>
        <v/>
      </c>
      <c r="AE1858" s="19">
        <f>IF(Z1858=1,(H1858-M1858)*I1858,0)</f>
        <v/>
      </c>
      <c r="AF1858">
        <f>IF(G1858&lt;EDATE(Assumptions!$C$6,-12)+1,"prior_12m","last_12m")</f>
        <v/>
      </c>
      <c r="AG1858" s="21">
        <f>DATE(YEAR(G1858),MONTH(G1858),1)</f>
        <v/>
      </c>
    </row>
    <row r="1859">
      <c r="A1859" t="inlineStr">
        <is>
          <t>SPO-01010-2</t>
        </is>
      </c>
      <c r="B1859" t="inlineStr">
        <is>
          <t>SPO-01010</t>
        </is>
      </c>
      <c r="C1859" t="inlineStr">
        <is>
          <t>SUP-01</t>
        </is>
      </c>
      <c r="D1859" t="inlineStr">
        <is>
          <t>ELEC</t>
        </is>
      </c>
      <c r="E1859" t="inlineStr">
        <is>
          <t>ELEC-03</t>
        </is>
      </c>
      <c r="F1859" s="17" t="n">
        <v>45851</v>
      </c>
      <c r="G1859" s="17" t="n">
        <v>45869</v>
      </c>
      <c r="H1859" s="18" t="n">
        <v>17</v>
      </c>
      <c r="I1859" s="19" t="n">
        <v>95.31999999999999</v>
      </c>
      <c r="J1859" s="19" t="n">
        <v>96</v>
      </c>
      <c r="K1859" s="20" t="n">
        <v>0</v>
      </c>
      <c r="L1859" s="20" t="n">
        <v>0</v>
      </c>
      <c r="M1859" s="18" t="n">
        <v>17</v>
      </c>
      <c r="N1859" s="18" t="n">
        <v>17</v>
      </c>
      <c r="O1859" s="18" t="n">
        <v>0</v>
      </c>
      <c r="P1859" s="17" t="n">
        <v>45868</v>
      </c>
      <c r="Q1859" s="17" t="n">
        <v>45868</v>
      </c>
      <c r="R1859" s="17" t="n">
        <v>45868</v>
      </c>
      <c r="S1859" s="19">
        <f>H1859*I1859</f>
        <v/>
      </c>
      <c r="T1859" s="19">
        <f>H1859*J1859</f>
        <v/>
      </c>
      <c r="U1859">
        <f>IF(AND(K1859=0,G1859&lt;=Assumptions!$C$6),1,0)</f>
        <v/>
      </c>
      <c r="V1859">
        <f>IF(U1859=1,IF(M1859&gt;0,IF(P1859&lt;=G1859+Assumptions!$C$7,1,0),0),0)</f>
        <v/>
      </c>
      <c r="W1859">
        <f>IF(AND(U1859=1,M1859&gt;=H1859*(1-Assumptions!$C$8)),1,0)</f>
        <v/>
      </c>
      <c r="X1859">
        <f>IF(AND(U1859=1,N1859&gt;=H1859*(1-Assumptions!$C$8)),1,0)</f>
        <v/>
      </c>
      <c r="Y1859">
        <f>IF(ISNUMBER(Q1859),1,0)</f>
        <v/>
      </c>
      <c r="Z1859">
        <f>IF(AND(K1859=0,L1859=0,Y1859=0),1,0)</f>
        <v/>
      </c>
      <c r="AA1859">
        <f>IF(AND(Z1859=1,G1859&lt;Assumptions!$C$6),1,0)</f>
        <v/>
      </c>
      <c r="AB1859">
        <f>IF(U1859=0,"",IF(Y1859=1,MAX(0,Q1859-G1859),IF(L1859=1,MAX(0,R1859-G1859),MAX(0,Assumptions!$C$6-G1859))))</f>
        <v/>
      </c>
      <c r="AC1859">
        <f>IF(Y1859=1,Q1859-F1859,"")</f>
        <v/>
      </c>
      <c r="AD1859">
        <f>IF(Y1859=1,AC1859^2,"")</f>
        <v/>
      </c>
      <c r="AE1859" s="19">
        <f>IF(Z1859=1,(H1859-M1859)*I1859,0)</f>
        <v/>
      </c>
      <c r="AF1859">
        <f>IF(G1859&lt;EDATE(Assumptions!$C$6,-12)+1,"prior_12m","last_12m")</f>
        <v/>
      </c>
      <c r="AG1859" s="21">
        <f>DATE(YEAR(G1859),MONTH(G1859),1)</f>
        <v/>
      </c>
    </row>
    <row r="1860">
      <c r="A1860" t="inlineStr">
        <is>
          <t>SPO-01010-3</t>
        </is>
      </c>
      <c r="B1860" t="inlineStr">
        <is>
          <t>SPO-01010</t>
        </is>
      </c>
      <c r="C1860" t="inlineStr">
        <is>
          <t>SUP-01</t>
        </is>
      </c>
      <c r="D1860" t="inlineStr">
        <is>
          <t>ELEC</t>
        </is>
      </c>
      <c r="E1860" t="inlineStr">
        <is>
          <t>ELEC-06</t>
        </is>
      </c>
      <c r="F1860" s="17" t="n">
        <v>45851</v>
      </c>
      <c r="G1860" s="17" t="n">
        <v>45869</v>
      </c>
      <c r="H1860" s="18" t="n">
        <v>26</v>
      </c>
      <c r="I1860" s="19" t="n">
        <v>148.83</v>
      </c>
      <c r="J1860" s="19" t="n">
        <v>145</v>
      </c>
      <c r="K1860" s="20" t="n">
        <v>0</v>
      </c>
      <c r="L1860" s="20" t="n">
        <v>0</v>
      </c>
      <c r="M1860" s="18" t="n">
        <v>26</v>
      </c>
      <c r="N1860" s="18" t="n">
        <v>26</v>
      </c>
      <c r="O1860" s="18" t="n">
        <v>0</v>
      </c>
      <c r="P1860" s="17" t="n">
        <v>45867</v>
      </c>
      <c r="Q1860" s="17" t="n">
        <v>45867</v>
      </c>
      <c r="R1860" s="17" t="n">
        <v>45867</v>
      </c>
      <c r="S1860" s="19">
        <f>H1860*I1860</f>
        <v/>
      </c>
      <c r="T1860" s="19">
        <f>H1860*J1860</f>
        <v/>
      </c>
      <c r="U1860">
        <f>IF(AND(K1860=0,G1860&lt;=Assumptions!$C$6),1,0)</f>
        <v/>
      </c>
      <c r="V1860">
        <f>IF(U1860=1,IF(M1860&gt;0,IF(P1860&lt;=G1860+Assumptions!$C$7,1,0),0),0)</f>
        <v/>
      </c>
      <c r="W1860">
        <f>IF(AND(U1860=1,M1860&gt;=H1860*(1-Assumptions!$C$8)),1,0)</f>
        <v/>
      </c>
      <c r="X1860">
        <f>IF(AND(U1860=1,N1860&gt;=H1860*(1-Assumptions!$C$8)),1,0)</f>
        <v/>
      </c>
      <c r="Y1860">
        <f>IF(ISNUMBER(Q1860),1,0)</f>
        <v/>
      </c>
      <c r="Z1860">
        <f>IF(AND(K1860=0,L1860=0,Y1860=0),1,0)</f>
        <v/>
      </c>
      <c r="AA1860">
        <f>IF(AND(Z1860=1,G1860&lt;Assumptions!$C$6),1,0)</f>
        <v/>
      </c>
      <c r="AB1860">
        <f>IF(U1860=0,"",IF(Y1860=1,MAX(0,Q1860-G1860),IF(L1860=1,MAX(0,R1860-G1860),MAX(0,Assumptions!$C$6-G1860))))</f>
        <v/>
      </c>
      <c r="AC1860">
        <f>IF(Y1860=1,Q1860-F1860,"")</f>
        <v/>
      </c>
      <c r="AD1860">
        <f>IF(Y1860=1,AC1860^2,"")</f>
        <v/>
      </c>
      <c r="AE1860" s="19">
        <f>IF(Z1860=1,(H1860-M1860)*I1860,0)</f>
        <v/>
      </c>
      <c r="AF1860">
        <f>IF(G1860&lt;EDATE(Assumptions!$C$6,-12)+1,"prior_12m","last_12m")</f>
        <v/>
      </c>
      <c r="AG1860" s="21">
        <f>DATE(YEAR(G1860),MONTH(G1860),1)</f>
        <v/>
      </c>
    </row>
    <row r="1861">
      <c r="A1861" t="inlineStr">
        <is>
          <t>SPO-01011-1</t>
        </is>
      </c>
      <c r="B1861" t="inlineStr">
        <is>
          <t>SPO-01011</t>
        </is>
      </c>
      <c r="C1861" t="inlineStr">
        <is>
          <t>SUP-08</t>
        </is>
      </c>
      <c r="D1861" t="inlineStr">
        <is>
          <t>MRO</t>
        </is>
      </c>
      <c r="E1861" t="inlineStr">
        <is>
          <t>MRO-04</t>
        </is>
      </c>
      <c r="F1861" s="17" t="n">
        <v>45851</v>
      </c>
      <c r="G1861" s="17" t="n">
        <v>45862</v>
      </c>
      <c r="H1861" s="18" t="n">
        <v>75</v>
      </c>
      <c r="I1861" s="19" t="n">
        <v>57.46</v>
      </c>
      <c r="J1861" s="19" t="n">
        <v>58</v>
      </c>
      <c r="K1861" s="20" t="n">
        <v>0</v>
      </c>
      <c r="L1861" s="20" t="n">
        <v>0</v>
      </c>
      <c r="M1861" s="18" t="n">
        <v>75</v>
      </c>
      <c r="N1861" s="18" t="n">
        <v>75</v>
      </c>
      <c r="O1861" s="18" t="n">
        <v>0</v>
      </c>
      <c r="P1861" s="17" t="n">
        <v>45862</v>
      </c>
      <c r="Q1861" s="17" t="n">
        <v>45862</v>
      </c>
      <c r="R1861" s="17" t="n">
        <v>45862</v>
      </c>
      <c r="S1861" s="19">
        <f>H1861*I1861</f>
        <v/>
      </c>
      <c r="T1861" s="19">
        <f>H1861*J1861</f>
        <v/>
      </c>
      <c r="U1861">
        <f>IF(AND(K1861=0,G1861&lt;=Assumptions!$C$6),1,0)</f>
        <v/>
      </c>
      <c r="V1861">
        <f>IF(U1861=1,IF(M1861&gt;0,IF(P1861&lt;=G1861+Assumptions!$C$7,1,0),0),0)</f>
        <v/>
      </c>
      <c r="W1861">
        <f>IF(AND(U1861=1,M1861&gt;=H1861*(1-Assumptions!$C$8)),1,0)</f>
        <v/>
      </c>
      <c r="X1861">
        <f>IF(AND(U1861=1,N1861&gt;=H1861*(1-Assumptions!$C$8)),1,0)</f>
        <v/>
      </c>
      <c r="Y1861">
        <f>IF(ISNUMBER(Q1861),1,0)</f>
        <v/>
      </c>
      <c r="Z1861">
        <f>IF(AND(K1861=0,L1861=0,Y1861=0),1,0)</f>
        <v/>
      </c>
      <c r="AA1861">
        <f>IF(AND(Z1861=1,G1861&lt;Assumptions!$C$6),1,0)</f>
        <v/>
      </c>
      <c r="AB1861">
        <f>IF(U1861=0,"",IF(Y1861=1,MAX(0,Q1861-G1861),IF(L1861=1,MAX(0,R1861-G1861),MAX(0,Assumptions!$C$6-G1861))))</f>
        <v/>
      </c>
      <c r="AC1861">
        <f>IF(Y1861=1,Q1861-F1861,"")</f>
        <v/>
      </c>
      <c r="AD1861">
        <f>IF(Y1861=1,AC1861^2,"")</f>
        <v/>
      </c>
      <c r="AE1861" s="19">
        <f>IF(Z1861=1,(H1861-M1861)*I1861,0)</f>
        <v/>
      </c>
      <c r="AF1861">
        <f>IF(G1861&lt;EDATE(Assumptions!$C$6,-12)+1,"prior_12m","last_12m")</f>
        <v/>
      </c>
      <c r="AG1861" s="21">
        <f>DATE(YEAR(G1861),MONTH(G1861),1)</f>
        <v/>
      </c>
    </row>
    <row r="1862">
      <c r="A1862" t="inlineStr">
        <is>
          <t>SPO-01011-2</t>
        </is>
      </c>
      <c r="B1862" t="inlineStr">
        <is>
          <t>SPO-01011</t>
        </is>
      </c>
      <c r="C1862" t="inlineStr">
        <is>
          <t>SUP-08</t>
        </is>
      </c>
      <c r="D1862" t="inlineStr">
        <is>
          <t>MRO</t>
        </is>
      </c>
      <c r="E1862" t="inlineStr">
        <is>
          <t>MRO-05</t>
        </is>
      </c>
      <c r="F1862" s="17" t="n">
        <v>45851</v>
      </c>
      <c r="G1862" s="17" t="n">
        <v>45862</v>
      </c>
      <c r="H1862" s="18" t="n">
        <v>62</v>
      </c>
      <c r="I1862" s="19" t="n">
        <v>37.97</v>
      </c>
      <c r="J1862" s="19" t="n">
        <v>36</v>
      </c>
      <c r="K1862" s="20" t="n">
        <v>0</v>
      </c>
      <c r="L1862" s="20" t="n">
        <v>1</v>
      </c>
      <c r="M1862" s="18" t="n">
        <v>47</v>
      </c>
      <c r="N1862" s="18" t="n">
        <v>47</v>
      </c>
      <c r="O1862" s="18" t="n">
        <v>0</v>
      </c>
      <c r="P1862" s="17" t="n">
        <v>45861</v>
      </c>
      <c r="Q1862" s="17" t="n"/>
      <c r="R1862" s="17" t="n">
        <v>45861</v>
      </c>
      <c r="S1862" s="19">
        <f>H1862*I1862</f>
        <v/>
      </c>
      <c r="T1862" s="19">
        <f>H1862*J1862</f>
        <v/>
      </c>
      <c r="U1862">
        <f>IF(AND(K1862=0,G1862&lt;=Assumptions!$C$6),1,0)</f>
        <v/>
      </c>
      <c r="V1862">
        <f>IF(U1862=1,IF(M1862&gt;0,IF(P1862&lt;=G1862+Assumptions!$C$7,1,0),0),0)</f>
        <v/>
      </c>
      <c r="W1862">
        <f>IF(AND(U1862=1,M1862&gt;=H1862*(1-Assumptions!$C$8)),1,0)</f>
        <v/>
      </c>
      <c r="X1862">
        <f>IF(AND(U1862=1,N1862&gt;=H1862*(1-Assumptions!$C$8)),1,0)</f>
        <v/>
      </c>
      <c r="Y1862">
        <f>IF(ISNUMBER(Q1862),1,0)</f>
        <v/>
      </c>
      <c r="Z1862">
        <f>IF(AND(K1862=0,L1862=0,Y1862=0),1,0)</f>
        <v/>
      </c>
      <c r="AA1862">
        <f>IF(AND(Z1862=1,G1862&lt;Assumptions!$C$6),1,0)</f>
        <v/>
      </c>
      <c r="AB1862">
        <f>IF(U1862=0,"",IF(Y1862=1,MAX(0,Q1862-G1862),IF(L1862=1,MAX(0,R1862-G1862),MAX(0,Assumptions!$C$6-G1862))))</f>
        <v/>
      </c>
      <c r="AC1862">
        <f>IF(Y1862=1,Q1862-F1862,"")</f>
        <v/>
      </c>
      <c r="AD1862">
        <f>IF(Y1862=1,AC1862^2,"")</f>
        <v/>
      </c>
      <c r="AE1862" s="19">
        <f>IF(Z1862=1,(H1862-M1862)*I1862,0)</f>
        <v/>
      </c>
      <c r="AF1862">
        <f>IF(G1862&lt;EDATE(Assumptions!$C$6,-12)+1,"prior_12m","last_12m")</f>
        <v/>
      </c>
      <c r="AG1862" s="21">
        <f>DATE(YEAR(G1862),MONTH(G1862),1)</f>
        <v/>
      </c>
    </row>
    <row r="1863">
      <c r="A1863" t="inlineStr">
        <is>
          <t>SPO-01011-3</t>
        </is>
      </c>
      <c r="B1863" t="inlineStr">
        <is>
          <t>SPO-01011</t>
        </is>
      </c>
      <c r="C1863" t="inlineStr">
        <is>
          <t>SUP-08</t>
        </is>
      </c>
      <c r="D1863" t="inlineStr">
        <is>
          <t>MRO</t>
        </is>
      </c>
      <c r="E1863" t="inlineStr">
        <is>
          <t>MRO-06</t>
        </is>
      </c>
      <c r="F1863" s="17" t="n">
        <v>45851</v>
      </c>
      <c r="G1863" s="17" t="n">
        <v>45862</v>
      </c>
      <c r="H1863" s="18" t="n">
        <v>394</v>
      </c>
      <c r="I1863" s="19" t="n">
        <v>5.92</v>
      </c>
      <c r="J1863" s="19" t="n">
        <v>6.1</v>
      </c>
      <c r="K1863" s="20" t="n">
        <v>0</v>
      </c>
      <c r="L1863" s="20" t="n">
        <v>0</v>
      </c>
      <c r="M1863" s="18" t="n">
        <v>394</v>
      </c>
      <c r="N1863" s="18" t="n">
        <v>394</v>
      </c>
      <c r="O1863" s="18" t="n">
        <v>0</v>
      </c>
      <c r="P1863" s="17" t="n">
        <v>45860</v>
      </c>
      <c r="Q1863" s="17" t="n">
        <v>45860</v>
      </c>
      <c r="R1863" s="17" t="n">
        <v>45860</v>
      </c>
      <c r="S1863" s="19">
        <f>H1863*I1863</f>
        <v/>
      </c>
      <c r="T1863" s="19">
        <f>H1863*J1863</f>
        <v/>
      </c>
      <c r="U1863">
        <f>IF(AND(K1863=0,G1863&lt;=Assumptions!$C$6),1,0)</f>
        <v/>
      </c>
      <c r="V1863">
        <f>IF(U1863=1,IF(M1863&gt;0,IF(P1863&lt;=G1863+Assumptions!$C$7,1,0),0),0)</f>
        <v/>
      </c>
      <c r="W1863">
        <f>IF(AND(U1863=1,M1863&gt;=H1863*(1-Assumptions!$C$8)),1,0)</f>
        <v/>
      </c>
      <c r="X1863">
        <f>IF(AND(U1863=1,N1863&gt;=H1863*(1-Assumptions!$C$8)),1,0)</f>
        <v/>
      </c>
      <c r="Y1863">
        <f>IF(ISNUMBER(Q1863),1,0)</f>
        <v/>
      </c>
      <c r="Z1863">
        <f>IF(AND(K1863=0,L1863=0,Y1863=0),1,0)</f>
        <v/>
      </c>
      <c r="AA1863">
        <f>IF(AND(Z1863=1,G1863&lt;Assumptions!$C$6),1,0)</f>
        <v/>
      </c>
      <c r="AB1863">
        <f>IF(U1863=0,"",IF(Y1863=1,MAX(0,Q1863-G1863),IF(L1863=1,MAX(0,R1863-G1863),MAX(0,Assumptions!$C$6-G1863))))</f>
        <v/>
      </c>
      <c r="AC1863">
        <f>IF(Y1863=1,Q1863-F1863,"")</f>
        <v/>
      </c>
      <c r="AD1863">
        <f>IF(Y1863=1,AC1863^2,"")</f>
        <v/>
      </c>
      <c r="AE1863" s="19">
        <f>IF(Z1863=1,(H1863-M1863)*I1863,0)</f>
        <v/>
      </c>
      <c r="AF1863">
        <f>IF(G1863&lt;EDATE(Assumptions!$C$6,-12)+1,"prior_12m","last_12m")</f>
        <v/>
      </c>
      <c r="AG1863" s="21">
        <f>DATE(YEAR(G1863),MONTH(G1863),1)</f>
        <v/>
      </c>
    </row>
    <row r="1864">
      <c r="A1864" t="inlineStr">
        <is>
          <t>SPO-01012-1</t>
        </is>
      </c>
      <c r="B1864" t="inlineStr">
        <is>
          <t>SPO-01012</t>
        </is>
      </c>
      <c r="C1864" t="inlineStr">
        <is>
          <t>SUP-01</t>
        </is>
      </c>
      <c r="D1864" t="inlineStr">
        <is>
          <t>ELEC</t>
        </is>
      </c>
      <c r="E1864" t="inlineStr">
        <is>
          <t>ELEC-06</t>
        </is>
      </c>
      <c r="F1864" s="17" t="n">
        <v>45851</v>
      </c>
      <c r="G1864" s="17" t="n">
        <v>45869</v>
      </c>
      <c r="H1864" s="18" t="n">
        <v>32</v>
      </c>
      <c r="I1864" s="19" t="n">
        <v>142.21</v>
      </c>
      <c r="J1864" s="19" t="n">
        <v>145</v>
      </c>
      <c r="K1864" s="20" t="n">
        <v>0</v>
      </c>
      <c r="L1864" s="20" t="n">
        <v>0</v>
      </c>
      <c r="M1864" s="18" t="n">
        <v>32</v>
      </c>
      <c r="N1864" s="18" t="n">
        <v>32</v>
      </c>
      <c r="O1864" s="18" t="n">
        <v>0</v>
      </c>
      <c r="P1864" s="17" t="n">
        <v>45869</v>
      </c>
      <c r="Q1864" s="17" t="n">
        <v>45869</v>
      </c>
      <c r="R1864" s="17" t="n">
        <v>45869</v>
      </c>
      <c r="S1864" s="19">
        <f>H1864*I1864</f>
        <v/>
      </c>
      <c r="T1864" s="19">
        <f>H1864*J1864</f>
        <v/>
      </c>
      <c r="U1864">
        <f>IF(AND(K1864=0,G1864&lt;=Assumptions!$C$6),1,0)</f>
        <v/>
      </c>
      <c r="V1864">
        <f>IF(U1864=1,IF(M1864&gt;0,IF(P1864&lt;=G1864+Assumptions!$C$7,1,0),0),0)</f>
        <v/>
      </c>
      <c r="W1864">
        <f>IF(AND(U1864=1,M1864&gt;=H1864*(1-Assumptions!$C$8)),1,0)</f>
        <v/>
      </c>
      <c r="X1864">
        <f>IF(AND(U1864=1,N1864&gt;=H1864*(1-Assumptions!$C$8)),1,0)</f>
        <v/>
      </c>
      <c r="Y1864">
        <f>IF(ISNUMBER(Q1864),1,0)</f>
        <v/>
      </c>
      <c r="Z1864">
        <f>IF(AND(K1864=0,L1864=0,Y1864=0),1,0)</f>
        <v/>
      </c>
      <c r="AA1864">
        <f>IF(AND(Z1864=1,G1864&lt;Assumptions!$C$6),1,0)</f>
        <v/>
      </c>
      <c r="AB1864">
        <f>IF(U1864=0,"",IF(Y1864=1,MAX(0,Q1864-G1864),IF(L1864=1,MAX(0,R1864-G1864),MAX(0,Assumptions!$C$6-G1864))))</f>
        <v/>
      </c>
      <c r="AC1864">
        <f>IF(Y1864=1,Q1864-F1864,"")</f>
        <v/>
      </c>
      <c r="AD1864">
        <f>IF(Y1864=1,AC1864^2,"")</f>
        <v/>
      </c>
      <c r="AE1864" s="19">
        <f>IF(Z1864=1,(H1864-M1864)*I1864,0)</f>
        <v/>
      </c>
      <c r="AF1864">
        <f>IF(G1864&lt;EDATE(Assumptions!$C$6,-12)+1,"prior_12m","last_12m")</f>
        <v/>
      </c>
      <c r="AG1864" s="21">
        <f>DATE(YEAR(G1864),MONTH(G1864),1)</f>
        <v/>
      </c>
    </row>
    <row r="1865">
      <c r="A1865" t="inlineStr">
        <is>
          <t>SPO-01013-1</t>
        </is>
      </c>
      <c r="B1865" t="inlineStr">
        <is>
          <t>SPO-01013</t>
        </is>
      </c>
      <c r="C1865" t="inlineStr">
        <is>
          <t>SUP-04</t>
        </is>
      </c>
      <c r="D1865" t="inlineStr">
        <is>
          <t>FLEET</t>
        </is>
      </c>
      <c r="E1865" t="inlineStr">
        <is>
          <t>FLEET-01</t>
        </is>
      </c>
      <c r="F1865" s="17" t="n">
        <v>45851</v>
      </c>
      <c r="G1865" s="17" t="n">
        <v>45864</v>
      </c>
      <c r="H1865" s="18" t="n">
        <v>42</v>
      </c>
      <c r="I1865" s="19" t="n">
        <v>65.17</v>
      </c>
      <c r="J1865" s="19" t="n">
        <v>64</v>
      </c>
      <c r="K1865" s="20" t="n">
        <v>0</v>
      </c>
      <c r="L1865" s="20" t="n">
        <v>0</v>
      </c>
      <c r="M1865" s="18" t="n">
        <v>42</v>
      </c>
      <c r="N1865" s="18" t="n">
        <v>42</v>
      </c>
      <c r="O1865" s="18" t="n">
        <v>0</v>
      </c>
      <c r="P1865" s="17" t="n">
        <v>45862</v>
      </c>
      <c r="Q1865" s="17" t="n">
        <v>45862</v>
      </c>
      <c r="R1865" s="17" t="n">
        <v>45862</v>
      </c>
      <c r="S1865" s="19">
        <f>H1865*I1865</f>
        <v/>
      </c>
      <c r="T1865" s="19">
        <f>H1865*J1865</f>
        <v/>
      </c>
      <c r="U1865">
        <f>IF(AND(K1865=0,G1865&lt;=Assumptions!$C$6),1,0)</f>
        <v/>
      </c>
      <c r="V1865">
        <f>IF(U1865=1,IF(M1865&gt;0,IF(P1865&lt;=G1865+Assumptions!$C$7,1,0),0),0)</f>
        <v/>
      </c>
      <c r="W1865">
        <f>IF(AND(U1865=1,M1865&gt;=H1865*(1-Assumptions!$C$8)),1,0)</f>
        <v/>
      </c>
      <c r="X1865">
        <f>IF(AND(U1865=1,N1865&gt;=H1865*(1-Assumptions!$C$8)),1,0)</f>
        <v/>
      </c>
      <c r="Y1865">
        <f>IF(ISNUMBER(Q1865),1,0)</f>
        <v/>
      </c>
      <c r="Z1865">
        <f>IF(AND(K1865=0,L1865=0,Y1865=0),1,0)</f>
        <v/>
      </c>
      <c r="AA1865">
        <f>IF(AND(Z1865=1,G1865&lt;Assumptions!$C$6),1,0)</f>
        <v/>
      </c>
      <c r="AB1865">
        <f>IF(U1865=0,"",IF(Y1865=1,MAX(0,Q1865-G1865),IF(L1865=1,MAX(0,R1865-G1865),MAX(0,Assumptions!$C$6-G1865))))</f>
        <v/>
      </c>
      <c r="AC1865">
        <f>IF(Y1865=1,Q1865-F1865,"")</f>
        <v/>
      </c>
      <c r="AD1865">
        <f>IF(Y1865=1,AC1865^2,"")</f>
        <v/>
      </c>
      <c r="AE1865" s="19">
        <f>IF(Z1865=1,(H1865-M1865)*I1865,0)</f>
        <v/>
      </c>
      <c r="AF1865">
        <f>IF(G1865&lt;EDATE(Assumptions!$C$6,-12)+1,"prior_12m","last_12m")</f>
        <v/>
      </c>
      <c r="AG1865" s="21">
        <f>DATE(YEAR(G1865),MONTH(G1865),1)</f>
        <v/>
      </c>
    </row>
    <row r="1866">
      <c r="A1866" t="inlineStr">
        <is>
          <t>SPO-01013-2</t>
        </is>
      </c>
      <c r="B1866" t="inlineStr">
        <is>
          <t>SPO-01013</t>
        </is>
      </c>
      <c r="C1866" t="inlineStr">
        <is>
          <t>SUP-04</t>
        </is>
      </c>
      <c r="D1866" t="inlineStr">
        <is>
          <t>FLEET</t>
        </is>
      </c>
      <c r="E1866" t="inlineStr">
        <is>
          <t>FLEET-03</t>
        </is>
      </c>
      <c r="F1866" s="17" t="n">
        <v>45851</v>
      </c>
      <c r="G1866" s="17" t="n">
        <v>45864</v>
      </c>
      <c r="H1866" s="18" t="n">
        <v>29</v>
      </c>
      <c r="I1866" s="19" t="n">
        <v>19.68</v>
      </c>
      <c r="J1866" s="19" t="n">
        <v>21</v>
      </c>
      <c r="K1866" s="20" t="n">
        <v>0</v>
      </c>
      <c r="L1866" s="20" t="n">
        <v>0</v>
      </c>
      <c r="M1866" s="18" t="n">
        <v>29</v>
      </c>
      <c r="N1866" s="18" t="n">
        <v>0</v>
      </c>
      <c r="O1866" s="18" t="n">
        <v>0</v>
      </c>
      <c r="P1866" s="17" t="n">
        <v>45870</v>
      </c>
      <c r="Q1866" s="17" t="n">
        <v>45884</v>
      </c>
      <c r="R1866" s="17" t="n">
        <v>45884</v>
      </c>
      <c r="S1866" s="19">
        <f>H1866*I1866</f>
        <v/>
      </c>
      <c r="T1866" s="19">
        <f>H1866*J1866</f>
        <v/>
      </c>
      <c r="U1866">
        <f>IF(AND(K1866=0,G1866&lt;=Assumptions!$C$6),1,0)</f>
        <v/>
      </c>
      <c r="V1866">
        <f>IF(U1866=1,IF(M1866&gt;0,IF(P1866&lt;=G1866+Assumptions!$C$7,1,0),0),0)</f>
        <v/>
      </c>
      <c r="W1866">
        <f>IF(AND(U1866=1,M1866&gt;=H1866*(1-Assumptions!$C$8)),1,0)</f>
        <v/>
      </c>
      <c r="X1866">
        <f>IF(AND(U1866=1,N1866&gt;=H1866*(1-Assumptions!$C$8)),1,0)</f>
        <v/>
      </c>
      <c r="Y1866">
        <f>IF(ISNUMBER(Q1866),1,0)</f>
        <v/>
      </c>
      <c r="Z1866">
        <f>IF(AND(K1866=0,L1866=0,Y1866=0),1,0)</f>
        <v/>
      </c>
      <c r="AA1866">
        <f>IF(AND(Z1866=1,G1866&lt;Assumptions!$C$6),1,0)</f>
        <v/>
      </c>
      <c r="AB1866">
        <f>IF(U1866=0,"",IF(Y1866=1,MAX(0,Q1866-G1866),IF(L1866=1,MAX(0,R1866-G1866),MAX(0,Assumptions!$C$6-G1866))))</f>
        <v/>
      </c>
      <c r="AC1866">
        <f>IF(Y1866=1,Q1866-F1866,"")</f>
        <v/>
      </c>
      <c r="AD1866">
        <f>IF(Y1866=1,AC1866^2,"")</f>
        <v/>
      </c>
      <c r="AE1866" s="19">
        <f>IF(Z1866=1,(H1866-M1866)*I1866,0)</f>
        <v/>
      </c>
      <c r="AF1866">
        <f>IF(G1866&lt;EDATE(Assumptions!$C$6,-12)+1,"prior_12m","last_12m")</f>
        <v/>
      </c>
      <c r="AG1866" s="21">
        <f>DATE(YEAR(G1866),MONTH(G1866),1)</f>
        <v/>
      </c>
    </row>
    <row r="1867">
      <c r="A1867" t="inlineStr">
        <is>
          <t>SPO-01014-1</t>
        </is>
      </c>
      <c r="B1867" t="inlineStr">
        <is>
          <t>SPO-01014</t>
        </is>
      </c>
      <c r="C1867" t="inlineStr">
        <is>
          <t>SUP-04</t>
        </is>
      </c>
      <c r="D1867" t="inlineStr">
        <is>
          <t>FLEET</t>
        </is>
      </c>
      <c r="E1867" t="inlineStr">
        <is>
          <t>FLEET-01</t>
        </is>
      </c>
      <c r="F1867" s="17" t="n">
        <v>45851</v>
      </c>
      <c r="G1867" s="17" t="n">
        <v>45864</v>
      </c>
      <c r="H1867" s="18" t="n">
        <v>15</v>
      </c>
      <c r="I1867" s="19" t="n">
        <v>62.62</v>
      </c>
      <c r="J1867" s="19" t="n">
        <v>64</v>
      </c>
      <c r="K1867" s="20" t="n">
        <v>0</v>
      </c>
      <c r="L1867" s="20" t="n">
        <v>0</v>
      </c>
      <c r="M1867" s="18" t="n">
        <v>15</v>
      </c>
      <c r="N1867" s="18" t="n">
        <v>15</v>
      </c>
      <c r="O1867" s="18" t="n">
        <v>0</v>
      </c>
      <c r="P1867" s="17" t="n">
        <v>45862</v>
      </c>
      <c r="Q1867" s="17" t="n">
        <v>45862</v>
      </c>
      <c r="R1867" s="17" t="n">
        <v>45862</v>
      </c>
      <c r="S1867" s="19">
        <f>H1867*I1867</f>
        <v/>
      </c>
      <c r="T1867" s="19">
        <f>H1867*J1867</f>
        <v/>
      </c>
      <c r="U1867">
        <f>IF(AND(K1867=0,G1867&lt;=Assumptions!$C$6),1,0)</f>
        <v/>
      </c>
      <c r="V1867">
        <f>IF(U1867=1,IF(M1867&gt;0,IF(P1867&lt;=G1867+Assumptions!$C$7,1,0),0),0)</f>
        <v/>
      </c>
      <c r="W1867">
        <f>IF(AND(U1867=1,M1867&gt;=H1867*(1-Assumptions!$C$8)),1,0)</f>
        <v/>
      </c>
      <c r="X1867">
        <f>IF(AND(U1867=1,N1867&gt;=H1867*(1-Assumptions!$C$8)),1,0)</f>
        <v/>
      </c>
      <c r="Y1867">
        <f>IF(ISNUMBER(Q1867),1,0)</f>
        <v/>
      </c>
      <c r="Z1867">
        <f>IF(AND(K1867=0,L1867=0,Y1867=0),1,0)</f>
        <v/>
      </c>
      <c r="AA1867">
        <f>IF(AND(Z1867=1,G1867&lt;Assumptions!$C$6),1,0)</f>
        <v/>
      </c>
      <c r="AB1867">
        <f>IF(U1867=0,"",IF(Y1867=1,MAX(0,Q1867-G1867),IF(L1867=1,MAX(0,R1867-G1867),MAX(0,Assumptions!$C$6-G1867))))</f>
        <v/>
      </c>
      <c r="AC1867">
        <f>IF(Y1867=1,Q1867-F1867,"")</f>
        <v/>
      </c>
      <c r="AD1867">
        <f>IF(Y1867=1,AC1867^2,"")</f>
        <v/>
      </c>
      <c r="AE1867" s="19">
        <f>IF(Z1867=1,(H1867-M1867)*I1867,0)</f>
        <v/>
      </c>
      <c r="AF1867">
        <f>IF(G1867&lt;EDATE(Assumptions!$C$6,-12)+1,"prior_12m","last_12m")</f>
        <v/>
      </c>
      <c r="AG1867" s="21">
        <f>DATE(YEAR(G1867),MONTH(G1867),1)</f>
        <v/>
      </c>
    </row>
    <row r="1868">
      <c r="A1868" t="inlineStr">
        <is>
          <t>SPO-01015-1</t>
        </is>
      </c>
      <c r="B1868" t="inlineStr">
        <is>
          <t>SPO-01015</t>
        </is>
      </c>
      <c r="C1868" t="inlineStr">
        <is>
          <t>SUP-04</t>
        </is>
      </c>
      <c r="D1868" t="inlineStr">
        <is>
          <t>FLEET</t>
        </is>
      </c>
      <c r="E1868" t="inlineStr">
        <is>
          <t>FLEET-01</t>
        </is>
      </c>
      <c r="F1868" s="17" t="n">
        <v>45851</v>
      </c>
      <c r="G1868" s="17" t="n">
        <v>45864</v>
      </c>
      <c r="H1868" s="18" t="n">
        <v>27</v>
      </c>
      <c r="I1868" s="19" t="n">
        <v>61.58</v>
      </c>
      <c r="J1868" s="19" t="n">
        <v>64</v>
      </c>
      <c r="K1868" s="20" t="n">
        <v>0</v>
      </c>
      <c r="L1868" s="20" t="n">
        <v>0</v>
      </c>
      <c r="M1868" s="18" t="n">
        <v>27</v>
      </c>
      <c r="N1868" s="18" t="n">
        <v>27</v>
      </c>
      <c r="O1868" s="18" t="n">
        <v>0</v>
      </c>
      <c r="P1868" s="17" t="n">
        <v>45858</v>
      </c>
      <c r="Q1868" s="17" t="n">
        <v>45858</v>
      </c>
      <c r="R1868" s="17" t="n">
        <v>45858</v>
      </c>
      <c r="S1868" s="19">
        <f>H1868*I1868</f>
        <v/>
      </c>
      <c r="T1868" s="19">
        <f>H1868*J1868</f>
        <v/>
      </c>
      <c r="U1868">
        <f>IF(AND(K1868=0,G1868&lt;=Assumptions!$C$6),1,0)</f>
        <v/>
      </c>
      <c r="V1868">
        <f>IF(U1868=1,IF(M1868&gt;0,IF(P1868&lt;=G1868+Assumptions!$C$7,1,0),0),0)</f>
        <v/>
      </c>
      <c r="W1868">
        <f>IF(AND(U1868=1,M1868&gt;=H1868*(1-Assumptions!$C$8)),1,0)</f>
        <v/>
      </c>
      <c r="X1868">
        <f>IF(AND(U1868=1,N1868&gt;=H1868*(1-Assumptions!$C$8)),1,0)</f>
        <v/>
      </c>
      <c r="Y1868">
        <f>IF(ISNUMBER(Q1868),1,0)</f>
        <v/>
      </c>
      <c r="Z1868">
        <f>IF(AND(K1868=0,L1868=0,Y1868=0),1,0)</f>
        <v/>
      </c>
      <c r="AA1868">
        <f>IF(AND(Z1868=1,G1868&lt;Assumptions!$C$6),1,0)</f>
        <v/>
      </c>
      <c r="AB1868">
        <f>IF(U1868=0,"",IF(Y1868=1,MAX(0,Q1868-G1868),IF(L1868=1,MAX(0,R1868-G1868),MAX(0,Assumptions!$C$6-G1868))))</f>
        <v/>
      </c>
      <c r="AC1868">
        <f>IF(Y1868=1,Q1868-F1868,"")</f>
        <v/>
      </c>
      <c r="AD1868">
        <f>IF(Y1868=1,AC1868^2,"")</f>
        <v/>
      </c>
      <c r="AE1868" s="19">
        <f>IF(Z1868=1,(H1868-M1868)*I1868,0)</f>
        <v/>
      </c>
      <c r="AF1868">
        <f>IF(G1868&lt;EDATE(Assumptions!$C$6,-12)+1,"prior_12m","last_12m")</f>
        <v/>
      </c>
      <c r="AG1868" s="21">
        <f>DATE(YEAR(G1868),MONTH(G1868),1)</f>
        <v/>
      </c>
    </row>
    <row r="1869">
      <c r="A1869" t="inlineStr">
        <is>
          <t>SPO-01015-2</t>
        </is>
      </c>
      <c r="B1869" t="inlineStr">
        <is>
          <t>SPO-01015</t>
        </is>
      </c>
      <c r="C1869" t="inlineStr">
        <is>
          <t>SUP-04</t>
        </is>
      </c>
      <c r="D1869" t="inlineStr">
        <is>
          <t>FLEET</t>
        </is>
      </c>
      <c r="E1869" t="inlineStr">
        <is>
          <t>FLEET-07</t>
        </is>
      </c>
      <c r="F1869" s="17" t="n">
        <v>45851</v>
      </c>
      <c r="G1869" s="17" t="n">
        <v>45864</v>
      </c>
      <c r="H1869" s="18" t="n">
        <v>19</v>
      </c>
      <c r="I1869" s="19" t="n">
        <v>118.01</v>
      </c>
      <c r="J1869" s="19" t="n">
        <v>118</v>
      </c>
      <c r="K1869" s="20" t="n">
        <v>0</v>
      </c>
      <c r="L1869" s="20" t="n">
        <v>0</v>
      </c>
      <c r="M1869" s="18" t="n">
        <v>19</v>
      </c>
      <c r="N1869" s="18" t="n">
        <v>19</v>
      </c>
      <c r="O1869" s="18" t="n">
        <v>0</v>
      </c>
      <c r="P1869" s="17" t="n">
        <v>45860</v>
      </c>
      <c r="Q1869" s="17" t="n">
        <v>45860</v>
      </c>
      <c r="R1869" s="17" t="n">
        <v>45860</v>
      </c>
      <c r="S1869" s="19">
        <f>H1869*I1869</f>
        <v/>
      </c>
      <c r="T1869" s="19">
        <f>H1869*J1869</f>
        <v/>
      </c>
      <c r="U1869">
        <f>IF(AND(K1869=0,G1869&lt;=Assumptions!$C$6),1,0)</f>
        <v/>
      </c>
      <c r="V1869">
        <f>IF(U1869=1,IF(M1869&gt;0,IF(P1869&lt;=G1869+Assumptions!$C$7,1,0),0),0)</f>
        <v/>
      </c>
      <c r="W1869">
        <f>IF(AND(U1869=1,M1869&gt;=H1869*(1-Assumptions!$C$8)),1,0)</f>
        <v/>
      </c>
      <c r="X1869">
        <f>IF(AND(U1869=1,N1869&gt;=H1869*(1-Assumptions!$C$8)),1,0)</f>
        <v/>
      </c>
      <c r="Y1869">
        <f>IF(ISNUMBER(Q1869),1,0)</f>
        <v/>
      </c>
      <c r="Z1869">
        <f>IF(AND(K1869=0,L1869=0,Y1869=0),1,0)</f>
        <v/>
      </c>
      <c r="AA1869">
        <f>IF(AND(Z1869=1,G1869&lt;Assumptions!$C$6),1,0)</f>
        <v/>
      </c>
      <c r="AB1869">
        <f>IF(U1869=0,"",IF(Y1869=1,MAX(0,Q1869-G1869),IF(L1869=1,MAX(0,R1869-G1869),MAX(0,Assumptions!$C$6-G1869))))</f>
        <v/>
      </c>
      <c r="AC1869">
        <f>IF(Y1869=1,Q1869-F1869,"")</f>
        <v/>
      </c>
      <c r="AD1869">
        <f>IF(Y1869=1,AC1869^2,"")</f>
        <v/>
      </c>
      <c r="AE1869" s="19">
        <f>IF(Z1869=1,(H1869-M1869)*I1869,0)</f>
        <v/>
      </c>
      <c r="AF1869">
        <f>IF(G1869&lt;EDATE(Assumptions!$C$6,-12)+1,"prior_12m","last_12m")</f>
        <v/>
      </c>
      <c r="AG1869" s="21">
        <f>DATE(YEAR(G1869),MONTH(G1869),1)</f>
        <v/>
      </c>
    </row>
    <row r="1870">
      <c r="A1870" t="inlineStr">
        <is>
          <t>SPO-01015-3</t>
        </is>
      </c>
      <c r="B1870" t="inlineStr">
        <is>
          <t>SPO-01015</t>
        </is>
      </c>
      <c r="C1870" t="inlineStr">
        <is>
          <t>SUP-04</t>
        </is>
      </c>
      <c r="D1870" t="inlineStr">
        <is>
          <t>FLEET</t>
        </is>
      </c>
      <c r="E1870" t="inlineStr">
        <is>
          <t>FLEET-03</t>
        </is>
      </c>
      <c r="F1870" s="17" t="n">
        <v>45851</v>
      </c>
      <c r="G1870" s="17" t="n">
        <v>45864</v>
      </c>
      <c r="H1870" s="18" t="n">
        <v>51</v>
      </c>
      <c r="I1870" s="19" t="n">
        <v>20.77</v>
      </c>
      <c r="J1870" s="19" t="n">
        <v>21</v>
      </c>
      <c r="K1870" s="20" t="n">
        <v>0</v>
      </c>
      <c r="L1870" s="20" t="n">
        <v>0</v>
      </c>
      <c r="M1870" s="18" t="n">
        <v>51</v>
      </c>
      <c r="N1870" s="18" t="n">
        <v>51</v>
      </c>
      <c r="O1870" s="18" t="n">
        <v>0</v>
      </c>
      <c r="P1870" s="17" t="n">
        <v>45852</v>
      </c>
      <c r="Q1870" s="17" t="n">
        <v>45852</v>
      </c>
      <c r="R1870" s="17" t="n">
        <v>45852</v>
      </c>
      <c r="S1870" s="19">
        <f>H1870*I1870</f>
        <v/>
      </c>
      <c r="T1870" s="19">
        <f>H1870*J1870</f>
        <v/>
      </c>
      <c r="U1870">
        <f>IF(AND(K1870=0,G1870&lt;=Assumptions!$C$6),1,0)</f>
        <v/>
      </c>
      <c r="V1870">
        <f>IF(U1870=1,IF(M1870&gt;0,IF(P1870&lt;=G1870+Assumptions!$C$7,1,0),0),0)</f>
        <v/>
      </c>
      <c r="W1870">
        <f>IF(AND(U1870=1,M1870&gt;=H1870*(1-Assumptions!$C$8)),1,0)</f>
        <v/>
      </c>
      <c r="X1870">
        <f>IF(AND(U1870=1,N1870&gt;=H1870*(1-Assumptions!$C$8)),1,0)</f>
        <v/>
      </c>
      <c r="Y1870">
        <f>IF(ISNUMBER(Q1870),1,0)</f>
        <v/>
      </c>
      <c r="Z1870">
        <f>IF(AND(K1870=0,L1870=0,Y1870=0),1,0)</f>
        <v/>
      </c>
      <c r="AA1870">
        <f>IF(AND(Z1870=1,G1870&lt;Assumptions!$C$6),1,0)</f>
        <v/>
      </c>
      <c r="AB1870">
        <f>IF(U1870=0,"",IF(Y1870=1,MAX(0,Q1870-G1870),IF(L1870=1,MAX(0,R1870-G1870),MAX(0,Assumptions!$C$6-G1870))))</f>
        <v/>
      </c>
      <c r="AC1870">
        <f>IF(Y1870=1,Q1870-F1870,"")</f>
        <v/>
      </c>
      <c r="AD1870">
        <f>IF(Y1870=1,AC1870^2,"")</f>
        <v/>
      </c>
      <c r="AE1870" s="19">
        <f>IF(Z1870=1,(H1870-M1870)*I1870,0)</f>
        <v/>
      </c>
      <c r="AF1870">
        <f>IF(G1870&lt;EDATE(Assumptions!$C$6,-12)+1,"prior_12m","last_12m")</f>
        <v/>
      </c>
      <c r="AG1870" s="21">
        <f>DATE(YEAR(G1870),MONTH(G1870),1)</f>
        <v/>
      </c>
    </row>
    <row r="1871">
      <c r="A1871" t="inlineStr">
        <is>
          <t>SPO-01016-1</t>
        </is>
      </c>
      <c r="B1871" t="inlineStr">
        <is>
          <t>SPO-01016</t>
        </is>
      </c>
      <c r="C1871" t="inlineStr">
        <is>
          <t>SUP-12</t>
        </is>
      </c>
      <c r="D1871" t="inlineStr">
        <is>
          <t>IT</t>
        </is>
      </c>
      <c r="E1871" t="inlineStr">
        <is>
          <t>IT-07</t>
        </is>
      </c>
      <c r="F1871" s="17" t="n">
        <v>45851</v>
      </c>
      <c r="G1871" s="17" t="n">
        <v>45861</v>
      </c>
      <c r="H1871" s="18" t="n">
        <v>8</v>
      </c>
      <c r="I1871" s="19" t="n">
        <v>84.44</v>
      </c>
      <c r="J1871" s="19" t="n">
        <v>74</v>
      </c>
      <c r="K1871" s="20" t="n">
        <v>0</v>
      </c>
      <c r="L1871" s="20" t="n">
        <v>0</v>
      </c>
      <c r="M1871" s="18" t="n">
        <v>8</v>
      </c>
      <c r="N1871" s="18" t="n">
        <v>8</v>
      </c>
      <c r="O1871" s="18" t="n">
        <v>0</v>
      </c>
      <c r="P1871" s="17" t="n">
        <v>45855</v>
      </c>
      <c r="Q1871" s="17" t="n">
        <v>45855</v>
      </c>
      <c r="R1871" s="17" t="n">
        <v>45855</v>
      </c>
      <c r="S1871" s="19">
        <f>H1871*I1871</f>
        <v/>
      </c>
      <c r="T1871" s="19">
        <f>H1871*J1871</f>
        <v/>
      </c>
      <c r="U1871">
        <f>IF(AND(K1871=0,G1871&lt;=Assumptions!$C$6),1,0)</f>
        <v/>
      </c>
      <c r="V1871">
        <f>IF(U1871=1,IF(M1871&gt;0,IF(P1871&lt;=G1871+Assumptions!$C$7,1,0),0),0)</f>
        <v/>
      </c>
      <c r="W1871">
        <f>IF(AND(U1871=1,M1871&gt;=H1871*(1-Assumptions!$C$8)),1,0)</f>
        <v/>
      </c>
      <c r="X1871">
        <f>IF(AND(U1871=1,N1871&gt;=H1871*(1-Assumptions!$C$8)),1,0)</f>
        <v/>
      </c>
      <c r="Y1871">
        <f>IF(ISNUMBER(Q1871),1,0)</f>
        <v/>
      </c>
      <c r="Z1871">
        <f>IF(AND(K1871=0,L1871=0,Y1871=0),1,0)</f>
        <v/>
      </c>
      <c r="AA1871">
        <f>IF(AND(Z1871=1,G1871&lt;Assumptions!$C$6),1,0)</f>
        <v/>
      </c>
      <c r="AB1871">
        <f>IF(U1871=0,"",IF(Y1871=1,MAX(0,Q1871-G1871),IF(L1871=1,MAX(0,R1871-G1871),MAX(0,Assumptions!$C$6-G1871))))</f>
        <v/>
      </c>
      <c r="AC1871">
        <f>IF(Y1871=1,Q1871-F1871,"")</f>
        <v/>
      </c>
      <c r="AD1871">
        <f>IF(Y1871=1,AC1871^2,"")</f>
        <v/>
      </c>
      <c r="AE1871" s="19">
        <f>IF(Z1871=1,(H1871-M1871)*I1871,0)</f>
        <v/>
      </c>
      <c r="AF1871">
        <f>IF(G1871&lt;EDATE(Assumptions!$C$6,-12)+1,"prior_12m","last_12m")</f>
        <v/>
      </c>
      <c r="AG1871" s="21">
        <f>DATE(YEAR(G1871),MONTH(G1871),1)</f>
        <v/>
      </c>
    </row>
    <row r="1872">
      <c r="A1872" t="inlineStr">
        <is>
          <t>SPO-01016-2</t>
        </is>
      </c>
      <c r="B1872" t="inlineStr">
        <is>
          <t>SPO-01016</t>
        </is>
      </c>
      <c r="C1872" t="inlineStr">
        <is>
          <t>SUP-12</t>
        </is>
      </c>
      <c r="D1872" t="inlineStr">
        <is>
          <t>IT</t>
        </is>
      </c>
      <c r="E1872" t="inlineStr">
        <is>
          <t>IT-08</t>
        </is>
      </c>
      <c r="F1872" s="17" t="n">
        <v>45851</v>
      </c>
      <c r="G1872" s="17" t="n">
        <v>45861</v>
      </c>
      <c r="H1872" s="18" t="n">
        <v>5</v>
      </c>
      <c r="I1872" s="19" t="n">
        <v>279</v>
      </c>
      <c r="J1872" s="19" t="n">
        <v>245</v>
      </c>
      <c r="K1872" s="20" t="n">
        <v>0</v>
      </c>
      <c r="L1872" s="20" t="n">
        <v>0</v>
      </c>
      <c r="M1872" s="18" t="n">
        <v>5</v>
      </c>
      <c r="N1872" s="18" t="n">
        <v>5</v>
      </c>
      <c r="O1872" s="18" t="n">
        <v>0</v>
      </c>
      <c r="P1872" s="17" t="n">
        <v>45858</v>
      </c>
      <c r="Q1872" s="17" t="n">
        <v>45858</v>
      </c>
      <c r="R1872" s="17" t="n">
        <v>45858</v>
      </c>
      <c r="S1872" s="19">
        <f>H1872*I1872</f>
        <v/>
      </c>
      <c r="T1872" s="19">
        <f>H1872*J1872</f>
        <v/>
      </c>
      <c r="U1872">
        <f>IF(AND(K1872=0,G1872&lt;=Assumptions!$C$6),1,0)</f>
        <v/>
      </c>
      <c r="V1872">
        <f>IF(U1872=1,IF(M1872&gt;0,IF(P1872&lt;=G1872+Assumptions!$C$7,1,0),0),0)</f>
        <v/>
      </c>
      <c r="W1872">
        <f>IF(AND(U1872=1,M1872&gt;=H1872*(1-Assumptions!$C$8)),1,0)</f>
        <v/>
      </c>
      <c r="X1872">
        <f>IF(AND(U1872=1,N1872&gt;=H1872*(1-Assumptions!$C$8)),1,0)</f>
        <v/>
      </c>
      <c r="Y1872">
        <f>IF(ISNUMBER(Q1872),1,0)</f>
        <v/>
      </c>
      <c r="Z1872">
        <f>IF(AND(K1872=0,L1872=0,Y1872=0),1,0)</f>
        <v/>
      </c>
      <c r="AA1872">
        <f>IF(AND(Z1872=1,G1872&lt;Assumptions!$C$6),1,0)</f>
        <v/>
      </c>
      <c r="AB1872">
        <f>IF(U1872=0,"",IF(Y1872=1,MAX(0,Q1872-G1872),IF(L1872=1,MAX(0,R1872-G1872),MAX(0,Assumptions!$C$6-G1872))))</f>
        <v/>
      </c>
      <c r="AC1872">
        <f>IF(Y1872=1,Q1872-F1872,"")</f>
        <v/>
      </c>
      <c r="AD1872">
        <f>IF(Y1872=1,AC1872^2,"")</f>
        <v/>
      </c>
      <c r="AE1872" s="19">
        <f>IF(Z1872=1,(H1872-M1872)*I1872,0)</f>
        <v/>
      </c>
      <c r="AF1872">
        <f>IF(G1872&lt;EDATE(Assumptions!$C$6,-12)+1,"prior_12m","last_12m")</f>
        <v/>
      </c>
      <c r="AG1872" s="21">
        <f>DATE(YEAR(G1872),MONTH(G1872),1)</f>
        <v/>
      </c>
    </row>
    <row r="1873">
      <c r="A1873" t="inlineStr">
        <is>
          <t>SPO-01016-3</t>
        </is>
      </c>
      <c r="B1873" t="inlineStr">
        <is>
          <t>SPO-01016</t>
        </is>
      </c>
      <c r="C1873" t="inlineStr">
        <is>
          <t>SUP-12</t>
        </is>
      </c>
      <c r="D1873" t="inlineStr">
        <is>
          <t>IT</t>
        </is>
      </c>
      <c r="E1873" t="inlineStr">
        <is>
          <t>IT-04</t>
        </is>
      </c>
      <c r="F1873" s="17" t="n">
        <v>45851</v>
      </c>
      <c r="G1873" s="17" t="n">
        <v>45861</v>
      </c>
      <c r="H1873" s="18" t="n">
        <v>93</v>
      </c>
      <c r="I1873" s="19" t="n">
        <v>13.44</v>
      </c>
      <c r="J1873" s="19" t="n">
        <v>12</v>
      </c>
      <c r="K1873" s="20" t="n">
        <v>0</v>
      </c>
      <c r="L1873" s="20" t="n">
        <v>1</v>
      </c>
      <c r="M1873" s="18" t="n">
        <v>40</v>
      </c>
      <c r="N1873" s="18" t="n">
        <v>40</v>
      </c>
      <c r="O1873" s="18" t="n">
        <v>0</v>
      </c>
      <c r="P1873" s="17" t="n">
        <v>45858</v>
      </c>
      <c r="Q1873" s="17" t="n"/>
      <c r="R1873" s="17" t="n">
        <v>45858</v>
      </c>
      <c r="S1873" s="19">
        <f>H1873*I1873</f>
        <v/>
      </c>
      <c r="T1873" s="19">
        <f>H1873*J1873</f>
        <v/>
      </c>
      <c r="U1873">
        <f>IF(AND(K1873=0,G1873&lt;=Assumptions!$C$6),1,0)</f>
        <v/>
      </c>
      <c r="V1873">
        <f>IF(U1873=1,IF(M1873&gt;0,IF(P1873&lt;=G1873+Assumptions!$C$7,1,0),0),0)</f>
        <v/>
      </c>
      <c r="W1873">
        <f>IF(AND(U1873=1,M1873&gt;=H1873*(1-Assumptions!$C$8)),1,0)</f>
        <v/>
      </c>
      <c r="X1873">
        <f>IF(AND(U1873=1,N1873&gt;=H1873*(1-Assumptions!$C$8)),1,0)</f>
        <v/>
      </c>
      <c r="Y1873">
        <f>IF(ISNUMBER(Q1873),1,0)</f>
        <v/>
      </c>
      <c r="Z1873">
        <f>IF(AND(K1873=0,L1873=0,Y1873=0),1,0)</f>
        <v/>
      </c>
      <c r="AA1873">
        <f>IF(AND(Z1873=1,G1873&lt;Assumptions!$C$6),1,0)</f>
        <v/>
      </c>
      <c r="AB1873">
        <f>IF(U1873=0,"",IF(Y1873=1,MAX(0,Q1873-G1873),IF(L1873=1,MAX(0,R1873-G1873),MAX(0,Assumptions!$C$6-G1873))))</f>
        <v/>
      </c>
      <c r="AC1873">
        <f>IF(Y1873=1,Q1873-F1873,"")</f>
        <v/>
      </c>
      <c r="AD1873">
        <f>IF(Y1873=1,AC1873^2,"")</f>
        <v/>
      </c>
      <c r="AE1873" s="19">
        <f>IF(Z1873=1,(H1873-M1873)*I1873,0)</f>
        <v/>
      </c>
      <c r="AF1873">
        <f>IF(G1873&lt;EDATE(Assumptions!$C$6,-12)+1,"prior_12m","last_12m")</f>
        <v/>
      </c>
      <c r="AG1873" s="21">
        <f>DATE(YEAR(G1873),MONTH(G1873),1)</f>
        <v/>
      </c>
    </row>
    <row r="1874">
      <c r="A1874" t="inlineStr">
        <is>
          <t>SPO-01016-4</t>
        </is>
      </c>
      <c r="B1874" t="inlineStr">
        <is>
          <t>SPO-01016</t>
        </is>
      </c>
      <c r="C1874" t="inlineStr">
        <is>
          <t>SUP-12</t>
        </is>
      </c>
      <c r="D1874" t="inlineStr">
        <is>
          <t>IT</t>
        </is>
      </c>
      <c r="E1874" t="inlineStr">
        <is>
          <t>IT-05</t>
        </is>
      </c>
      <c r="F1874" s="17" t="n">
        <v>45851</v>
      </c>
      <c r="G1874" s="17" t="n">
        <v>45861</v>
      </c>
      <c r="H1874" s="18" t="n">
        <v>4</v>
      </c>
      <c r="I1874" s="19" t="n">
        <v>733.26</v>
      </c>
      <c r="J1874" s="19" t="n">
        <v>640</v>
      </c>
      <c r="K1874" s="20" t="n">
        <v>0</v>
      </c>
      <c r="L1874" s="20" t="n">
        <v>0</v>
      </c>
      <c r="M1874" s="18" t="n">
        <v>4</v>
      </c>
      <c r="N1874" s="18" t="n">
        <v>4</v>
      </c>
      <c r="O1874" s="18" t="n">
        <v>0</v>
      </c>
      <c r="P1874" s="17" t="n">
        <v>45856</v>
      </c>
      <c r="Q1874" s="17" t="n">
        <v>45856</v>
      </c>
      <c r="R1874" s="17" t="n">
        <v>45856</v>
      </c>
      <c r="S1874" s="19">
        <f>H1874*I1874</f>
        <v/>
      </c>
      <c r="T1874" s="19">
        <f>H1874*J1874</f>
        <v/>
      </c>
      <c r="U1874">
        <f>IF(AND(K1874=0,G1874&lt;=Assumptions!$C$6),1,0)</f>
        <v/>
      </c>
      <c r="V1874">
        <f>IF(U1874=1,IF(M1874&gt;0,IF(P1874&lt;=G1874+Assumptions!$C$7,1,0),0),0)</f>
        <v/>
      </c>
      <c r="W1874">
        <f>IF(AND(U1874=1,M1874&gt;=H1874*(1-Assumptions!$C$8)),1,0)</f>
        <v/>
      </c>
      <c r="X1874">
        <f>IF(AND(U1874=1,N1874&gt;=H1874*(1-Assumptions!$C$8)),1,0)</f>
        <v/>
      </c>
      <c r="Y1874">
        <f>IF(ISNUMBER(Q1874),1,0)</f>
        <v/>
      </c>
      <c r="Z1874">
        <f>IF(AND(K1874=0,L1874=0,Y1874=0),1,0)</f>
        <v/>
      </c>
      <c r="AA1874">
        <f>IF(AND(Z1874=1,G1874&lt;Assumptions!$C$6),1,0)</f>
        <v/>
      </c>
      <c r="AB1874">
        <f>IF(U1874=0,"",IF(Y1874=1,MAX(0,Q1874-G1874),IF(L1874=1,MAX(0,R1874-G1874),MAX(0,Assumptions!$C$6-G1874))))</f>
        <v/>
      </c>
      <c r="AC1874">
        <f>IF(Y1874=1,Q1874-F1874,"")</f>
        <v/>
      </c>
      <c r="AD1874">
        <f>IF(Y1874=1,AC1874^2,"")</f>
        <v/>
      </c>
      <c r="AE1874" s="19">
        <f>IF(Z1874=1,(H1874-M1874)*I1874,0)</f>
        <v/>
      </c>
      <c r="AF1874">
        <f>IF(G1874&lt;EDATE(Assumptions!$C$6,-12)+1,"prior_12m","last_12m")</f>
        <v/>
      </c>
      <c r="AG1874" s="21">
        <f>DATE(YEAR(G1874),MONTH(G1874),1)</f>
        <v/>
      </c>
    </row>
    <row r="1875">
      <c r="A1875" t="inlineStr">
        <is>
          <t>SPO-01017-1</t>
        </is>
      </c>
      <c r="B1875" t="inlineStr">
        <is>
          <t>SPO-01017</t>
        </is>
      </c>
      <c r="C1875" t="inlineStr">
        <is>
          <t>SUP-12</t>
        </is>
      </c>
      <c r="D1875" t="inlineStr">
        <is>
          <t>IT</t>
        </is>
      </c>
      <c r="E1875" t="inlineStr">
        <is>
          <t>IT-08</t>
        </is>
      </c>
      <c r="F1875" s="17" t="n">
        <v>45851</v>
      </c>
      <c r="G1875" s="17" t="n">
        <v>45861</v>
      </c>
      <c r="H1875" s="18" t="n">
        <v>10</v>
      </c>
      <c r="I1875" s="19" t="n">
        <v>272.46</v>
      </c>
      <c r="J1875" s="19" t="n">
        <v>245</v>
      </c>
      <c r="K1875" s="20" t="n">
        <v>0</v>
      </c>
      <c r="L1875" s="20" t="n">
        <v>0</v>
      </c>
      <c r="M1875" s="18" t="n">
        <v>10</v>
      </c>
      <c r="N1875" s="18" t="n">
        <v>10</v>
      </c>
      <c r="O1875" s="18" t="n">
        <v>0</v>
      </c>
      <c r="P1875" s="17" t="n">
        <v>45858</v>
      </c>
      <c r="Q1875" s="17" t="n">
        <v>45858</v>
      </c>
      <c r="R1875" s="17" t="n">
        <v>45858</v>
      </c>
      <c r="S1875" s="19">
        <f>H1875*I1875</f>
        <v/>
      </c>
      <c r="T1875" s="19">
        <f>H1875*J1875</f>
        <v/>
      </c>
      <c r="U1875">
        <f>IF(AND(K1875=0,G1875&lt;=Assumptions!$C$6),1,0)</f>
        <v/>
      </c>
      <c r="V1875">
        <f>IF(U1875=1,IF(M1875&gt;0,IF(P1875&lt;=G1875+Assumptions!$C$7,1,0),0),0)</f>
        <v/>
      </c>
      <c r="W1875">
        <f>IF(AND(U1875=1,M1875&gt;=H1875*(1-Assumptions!$C$8)),1,0)</f>
        <v/>
      </c>
      <c r="X1875">
        <f>IF(AND(U1875=1,N1875&gt;=H1875*(1-Assumptions!$C$8)),1,0)</f>
        <v/>
      </c>
      <c r="Y1875">
        <f>IF(ISNUMBER(Q1875),1,0)</f>
        <v/>
      </c>
      <c r="Z1875">
        <f>IF(AND(K1875=0,L1875=0,Y1875=0),1,0)</f>
        <v/>
      </c>
      <c r="AA1875">
        <f>IF(AND(Z1875=1,G1875&lt;Assumptions!$C$6),1,0)</f>
        <v/>
      </c>
      <c r="AB1875">
        <f>IF(U1875=0,"",IF(Y1875=1,MAX(0,Q1875-G1875),IF(L1875=1,MAX(0,R1875-G1875),MAX(0,Assumptions!$C$6-G1875))))</f>
        <v/>
      </c>
      <c r="AC1875">
        <f>IF(Y1875=1,Q1875-F1875,"")</f>
        <v/>
      </c>
      <c r="AD1875">
        <f>IF(Y1875=1,AC1875^2,"")</f>
        <v/>
      </c>
      <c r="AE1875" s="19">
        <f>IF(Z1875=1,(H1875-M1875)*I1875,0)</f>
        <v/>
      </c>
      <c r="AF1875">
        <f>IF(G1875&lt;EDATE(Assumptions!$C$6,-12)+1,"prior_12m","last_12m")</f>
        <v/>
      </c>
      <c r="AG1875" s="21">
        <f>DATE(YEAR(G1875),MONTH(G1875),1)</f>
        <v/>
      </c>
    </row>
    <row r="1876">
      <c r="A1876" t="inlineStr">
        <is>
          <t>SPO-01018-1</t>
        </is>
      </c>
      <c r="B1876" t="inlineStr">
        <is>
          <t>SPO-01018</t>
        </is>
      </c>
      <c r="C1876" t="inlineStr">
        <is>
          <t>SUP-05</t>
        </is>
      </c>
      <c r="D1876" t="inlineStr">
        <is>
          <t>FLEET</t>
        </is>
      </c>
      <c r="E1876" t="inlineStr">
        <is>
          <t>FLEET-04</t>
        </is>
      </c>
      <c r="F1876" s="17" t="n">
        <v>45852</v>
      </c>
      <c r="G1876" s="17" t="n">
        <v>45866</v>
      </c>
      <c r="H1876" s="18" t="n">
        <v>361</v>
      </c>
      <c r="I1876" s="19" t="n">
        <v>8.92</v>
      </c>
      <c r="J1876" s="19" t="n">
        <v>9</v>
      </c>
      <c r="K1876" s="20" t="n">
        <v>0</v>
      </c>
      <c r="L1876" s="20" t="n">
        <v>0</v>
      </c>
      <c r="M1876" s="18" t="n">
        <v>361</v>
      </c>
      <c r="N1876" s="18" t="n">
        <v>361</v>
      </c>
      <c r="O1876" s="18" t="n">
        <v>0</v>
      </c>
      <c r="P1876" s="17" t="n">
        <v>45859</v>
      </c>
      <c r="Q1876" s="17" t="n">
        <v>45859</v>
      </c>
      <c r="R1876" s="17" t="n">
        <v>45859</v>
      </c>
      <c r="S1876" s="19">
        <f>H1876*I1876</f>
        <v/>
      </c>
      <c r="T1876" s="19">
        <f>H1876*J1876</f>
        <v/>
      </c>
      <c r="U1876">
        <f>IF(AND(K1876=0,G1876&lt;=Assumptions!$C$6),1,0)</f>
        <v/>
      </c>
      <c r="V1876">
        <f>IF(U1876=1,IF(M1876&gt;0,IF(P1876&lt;=G1876+Assumptions!$C$7,1,0),0),0)</f>
        <v/>
      </c>
      <c r="W1876">
        <f>IF(AND(U1876=1,M1876&gt;=H1876*(1-Assumptions!$C$8)),1,0)</f>
        <v/>
      </c>
      <c r="X1876">
        <f>IF(AND(U1876=1,N1876&gt;=H1876*(1-Assumptions!$C$8)),1,0)</f>
        <v/>
      </c>
      <c r="Y1876">
        <f>IF(ISNUMBER(Q1876),1,0)</f>
        <v/>
      </c>
      <c r="Z1876">
        <f>IF(AND(K1876=0,L1876=0,Y1876=0),1,0)</f>
        <v/>
      </c>
      <c r="AA1876">
        <f>IF(AND(Z1876=1,G1876&lt;Assumptions!$C$6),1,0)</f>
        <v/>
      </c>
      <c r="AB1876">
        <f>IF(U1876=0,"",IF(Y1876=1,MAX(0,Q1876-G1876),IF(L1876=1,MAX(0,R1876-G1876),MAX(0,Assumptions!$C$6-G1876))))</f>
        <v/>
      </c>
      <c r="AC1876">
        <f>IF(Y1876=1,Q1876-F1876,"")</f>
        <v/>
      </c>
      <c r="AD1876">
        <f>IF(Y1876=1,AC1876^2,"")</f>
        <v/>
      </c>
      <c r="AE1876" s="19">
        <f>IF(Z1876=1,(H1876-M1876)*I1876,0)</f>
        <v/>
      </c>
      <c r="AF1876">
        <f>IF(G1876&lt;EDATE(Assumptions!$C$6,-12)+1,"prior_12m","last_12m")</f>
        <v/>
      </c>
      <c r="AG1876" s="21">
        <f>DATE(YEAR(G1876),MONTH(G1876),1)</f>
        <v/>
      </c>
    </row>
    <row r="1877">
      <c r="A1877" t="inlineStr">
        <is>
          <t>SPO-01019-1</t>
        </is>
      </c>
      <c r="B1877" t="inlineStr">
        <is>
          <t>SPO-01019</t>
        </is>
      </c>
      <c r="C1877" t="inlineStr">
        <is>
          <t>SUP-08</t>
        </is>
      </c>
      <c r="D1877" t="inlineStr">
        <is>
          <t>MRO</t>
        </is>
      </c>
      <c r="E1877" t="inlineStr">
        <is>
          <t>MRO-06</t>
        </is>
      </c>
      <c r="F1877" s="17" t="n">
        <v>45852</v>
      </c>
      <c r="G1877" s="17" t="n">
        <v>45863</v>
      </c>
      <c r="H1877" s="18" t="n">
        <v>186</v>
      </c>
      <c r="I1877" s="19" t="n">
        <v>6.06</v>
      </c>
      <c r="J1877" s="19" t="n">
        <v>6.1</v>
      </c>
      <c r="K1877" s="20" t="n">
        <v>0</v>
      </c>
      <c r="L1877" s="20" t="n">
        <v>0</v>
      </c>
      <c r="M1877" s="18" t="n">
        <v>186</v>
      </c>
      <c r="N1877" s="18" t="n">
        <v>186</v>
      </c>
      <c r="O1877" s="18" t="n">
        <v>0</v>
      </c>
      <c r="P1877" s="17" t="n">
        <v>45860</v>
      </c>
      <c r="Q1877" s="17" t="n">
        <v>45860</v>
      </c>
      <c r="R1877" s="17" t="n">
        <v>45860</v>
      </c>
      <c r="S1877" s="19">
        <f>H1877*I1877</f>
        <v/>
      </c>
      <c r="T1877" s="19">
        <f>H1877*J1877</f>
        <v/>
      </c>
      <c r="U1877">
        <f>IF(AND(K1877=0,G1877&lt;=Assumptions!$C$6),1,0)</f>
        <v/>
      </c>
      <c r="V1877">
        <f>IF(U1877=1,IF(M1877&gt;0,IF(P1877&lt;=G1877+Assumptions!$C$7,1,0),0),0)</f>
        <v/>
      </c>
      <c r="W1877">
        <f>IF(AND(U1877=1,M1877&gt;=H1877*(1-Assumptions!$C$8)),1,0)</f>
        <v/>
      </c>
      <c r="X1877">
        <f>IF(AND(U1877=1,N1877&gt;=H1877*(1-Assumptions!$C$8)),1,0)</f>
        <v/>
      </c>
      <c r="Y1877">
        <f>IF(ISNUMBER(Q1877),1,0)</f>
        <v/>
      </c>
      <c r="Z1877">
        <f>IF(AND(K1877=0,L1877=0,Y1877=0),1,0)</f>
        <v/>
      </c>
      <c r="AA1877">
        <f>IF(AND(Z1877=1,G1877&lt;Assumptions!$C$6),1,0)</f>
        <v/>
      </c>
      <c r="AB1877">
        <f>IF(U1877=0,"",IF(Y1877=1,MAX(0,Q1877-G1877),IF(L1877=1,MAX(0,R1877-G1877),MAX(0,Assumptions!$C$6-G1877))))</f>
        <v/>
      </c>
      <c r="AC1877">
        <f>IF(Y1877=1,Q1877-F1877,"")</f>
        <v/>
      </c>
      <c r="AD1877">
        <f>IF(Y1877=1,AC1877^2,"")</f>
        <v/>
      </c>
      <c r="AE1877" s="19">
        <f>IF(Z1877=1,(H1877-M1877)*I1877,0)</f>
        <v/>
      </c>
      <c r="AF1877">
        <f>IF(G1877&lt;EDATE(Assumptions!$C$6,-12)+1,"prior_12m","last_12m")</f>
        <v/>
      </c>
      <c r="AG1877" s="21">
        <f>DATE(YEAR(G1877),MONTH(G1877),1)</f>
        <v/>
      </c>
    </row>
    <row r="1878">
      <c r="A1878" t="inlineStr">
        <is>
          <t>SPO-01019-2</t>
        </is>
      </c>
      <c r="B1878" t="inlineStr">
        <is>
          <t>SPO-01019</t>
        </is>
      </c>
      <c r="C1878" t="inlineStr">
        <is>
          <t>SUP-08</t>
        </is>
      </c>
      <c r="D1878" t="inlineStr">
        <is>
          <t>MRO</t>
        </is>
      </c>
      <c r="E1878" t="inlineStr">
        <is>
          <t>MRO-03</t>
        </is>
      </c>
      <c r="F1878" s="17" t="n">
        <v>45852</v>
      </c>
      <c r="G1878" s="17" t="n">
        <v>45863</v>
      </c>
      <c r="H1878" s="18" t="n">
        <v>187</v>
      </c>
      <c r="I1878" s="19" t="n">
        <v>8.52</v>
      </c>
      <c r="J1878" s="19" t="n">
        <v>8.9</v>
      </c>
      <c r="K1878" s="20" t="n">
        <v>0</v>
      </c>
      <c r="L1878" s="20" t="n">
        <v>0</v>
      </c>
      <c r="M1878" s="18" t="n">
        <v>187</v>
      </c>
      <c r="N1878" s="18" t="n">
        <v>187</v>
      </c>
      <c r="O1878" s="18" t="n">
        <v>0</v>
      </c>
      <c r="P1878" s="17" t="n">
        <v>45861</v>
      </c>
      <c r="Q1878" s="17" t="n">
        <v>45861</v>
      </c>
      <c r="R1878" s="17" t="n">
        <v>45861</v>
      </c>
      <c r="S1878" s="19">
        <f>H1878*I1878</f>
        <v/>
      </c>
      <c r="T1878" s="19">
        <f>H1878*J1878</f>
        <v/>
      </c>
      <c r="U1878">
        <f>IF(AND(K1878=0,G1878&lt;=Assumptions!$C$6),1,0)</f>
        <v/>
      </c>
      <c r="V1878">
        <f>IF(U1878=1,IF(M1878&gt;0,IF(P1878&lt;=G1878+Assumptions!$C$7,1,0),0),0)</f>
        <v/>
      </c>
      <c r="W1878">
        <f>IF(AND(U1878=1,M1878&gt;=H1878*(1-Assumptions!$C$8)),1,0)</f>
        <v/>
      </c>
      <c r="X1878">
        <f>IF(AND(U1878=1,N1878&gt;=H1878*(1-Assumptions!$C$8)),1,0)</f>
        <v/>
      </c>
      <c r="Y1878">
        <f>IF(ISNUMBER(Q1878),1,0)</f>
        <v/>
      </c>
      <c r="Z1878">
        <f>IF(AND(K1878=0,L1878=0,Y1878=0),1,0)</f>
        <v/>
      </c>
      <c r="AA1878">
        <f>IF(AND(Z1878=1,G1878&lt;Assumptions!$C$6),1,0)</f>
        <v/>
      </c>
      <c r="AB1878">
        <f>IF(U1878=0,"",IF(Y1878=1,MAX(0,Q1878-G1878),IF(L1878=1,MAX(0,R1878-G1878),MAX(0,Assumptions!$C$6-G1878))))</f>
        <v/>
      </c>
      <c r="AC1878">
        <f>IF(Y1878=1,Q1878-F1878,"")</f>
        <v/>
      </c>
      <c r="AD1878">
        <f>IF(Y1878=1,AC1878^2,"")</f>
        <v/>
      </c>
      <c r="AE1878" s="19">
        <f>IF(Z1878=1,(H1878-M1878)*I1878,0)</f>
        <v/>
      </c>
      <c r="AF1878">
        <f>IF(G1878&lt;EDATE(Assumptions!$C$6,-12)+1,"prior_12m","last_12m")</f>
        <v/>
      </c>
      <c r="AG1878" s="21">
        <f>DATE(YEAR(G1878),MONTH(G1878),1)</f>
        <v/>
      </c>
    </row>
    <row r="1879">
      <c r="A1879" t="inlineStr">
        <is>
          <t>SPO-01020-1</t>
        </is>
      </c>
      <c r="B1879" t="inlineStr">
        <is>
          <t>SPO-01020</t>
        </is>
      </c>
      <c r="C1879" t="inlineStr">
        <is>
          <t>SUP-01</t>
        </is>
      </c>
      <c r="D1879" t="inlineStr">
        <is>
          <t>ELEC</t>
        </is>
      </c>
      <c r="E1879" t="inlineStr">
        <is>
          <t>ELEC-02</t>
        </is>
      </c>
      <c r="F1879" s="17" t="n">
        <v>45852</v>
      </c>
      <c r="G1879" s="17" t="n">
        <v>45870</v>
      </c>
      <c r="H1879" s="18" t="n">
        <v>436</v>
      </c>
      <c r="I1879" s="19" t="n">
        <v>4.23</v>
      </c>
      <c r="J1879" s="19" t="n">
        <v>4.2</v>
      </c>
      <c r="K1879" s="20" t="n">
        <v>0</v>
      </c>
      <c r="L1879" s="20" t="n">
        <v>0</v>
      </c>
      <c r="M1879" s="18" t="n">
        <v>436</v>
      </c>
      <c r="N1879" s="18" t="n">
        <v>436</v>
      </c>
      <c r="O1879" s="18" t="n">
        <v>0</v>
      </c>
      <c r="P1879" s="17" t="n">
        <v>45867</v>
      </c>
      <c r="Q1879" s="17" t="n">
        <v>45867</v>
      </c>
      <c r="R1879" s="17" t="n">
        <v>45867</v>
      </c>
      <c r="S1879" s="19">
        <f>H1879*I1879</f>
        <v/>
      </c>
      <c r="T1879" s="19">
        <f>H1879*J1879</f>
        <v/>
      </c>
      <c r="U1879">
        <f>IF(AND(K1879=0,G1879&lt;=Assumptions!$C$6),1,0)</f>
        <v/>
      </c>
      <c r="V1879">
        <f>IF(U1879=1,IF(M1879&gt;0,IF(P1879&lt;=G1879+Assumptions!$C$7,1,0),0),0)</f>
        <v/>
      </c>
      <c r="W1879">
        <f>IF(AND(U1879=1,M1879&gt;=H1879*(1-Assumptions!$C$8)),1,0)</f>
        <v/>
      </c>
      <c r="X1879">
        <f>IF(AND(U1879=1,N1879&gt;=H1879*(1-Assumptions!$C$8)),1,0)</f>
        <v/>
      </c>
      <c r="Y1879">
        <f>IF(ISNUMBER(Q1879),1,0)</f>
        <v/>
      </c>
      <c r="Z1879">
        <f>IF(AND(K1879=0,L1879=0,Y1879=0),1,0)</f>
        <v/>
      </c>
      <c r="AA1879">
        <f>IF(AND(Z1879=1,G1879&lt;Assumptions!$C$6),1,0)</f>
        <v/>
      </c>
      <c r="AB1879">
        <f>IF(U1879=0,"",IF(Y1879=1,MAX(0,Q1879-G1879),IF(L1879=1,MAX(0,R1879-G1879),MAX(0,Assumptions!$C$6-G1879))))</f>
        <v/>
      </c>
      <c r="AC1879">
        <f>IF(Y1879=1,Q1879-F1879,"")</f>
        <v/>
      </c>
      <c r="AD1879">
        <f>IF(Y1879=1,AC1879^2,"")</f>
        <v/>
      </c>
      <c r="AE1879" s="19">
        <f>IF(Z1879=1,(H1879-M1879)*I1879,0)</f>
        <v/>
      </c>
      <c r="AF1879">
        <f>IF(G1879&lt;EDATE(Assumptions!$C$6,-12)+1,"prior_12m","last_12m")</f>
        <v/>
      </c>
      <c r="AG1879" s="21">
        <f>DATE(YEAR(G1879),MONTH(G1879),1)</f>
        <v/>
      </c>
    </row>
    <row r="1880">
      <c r="A1880" t="inlineStr">
        <is>
          <t>SPO-01020-2</t>
        </is>
      </c>
      <c r="B1880" t="inlineStr">
        <is>
          <t>SPO-01020</t>
        </is>
      </c>
      <c r="C1880" t="inlineStr">
        <is>
          <t>SUP-01</t>
        </is>
      </c>
      <c r="D1880" t="inlineStr">
        <is>
          <t>ELEC</t>
        </is>
      </c>
      <c r="E1880" t="inlineStr">
        <is>
          <t>ELEC-07</t>
        </is>
      </c>
      <c r="F1880" s="17" t="n">
        <v>45852</v>
      </c>
      <c r="G1880" s="17" t="n">
        <v>45870</v>
      </c>
      <c r="H1880" s="18" t="n">
        <v>493</v>
      </c>
      <c r="I1880" s="19" t="n">
        <v>9.5</v>
      </c>
      <c r="J1880" s="19" t="n">
        <v>9.800000000000001</v>
      </c>
      <c r="K1880" s="20" t="n">
        <v>0</v>
      </c>
      <c r="L1880" s="20" t="n">
        <v>0</v>
      </c>
      <c r="M1880" s="18" t="n">
        <v>493</v>
      </c>
      <c r="N1880" s="18" t="n">
        <v>493</v>
      </c>
      <c r="O1880" s="18" t="n">
        <v>0</v>
      </c>
      <c r="P1880" s="17" t="n">
        <v>45865</v>
      </c>
      <c r="Q1880" s="17" t="n">
        <v>45865</v>
      </c>
      <c r="R1880" s="17" t="n">
        <v>45865</v>
      </c>
      <c r="S1880" s="19">
        <f>H1880*I1880</f>
        <v/>
      </c>
      <c r="T1880" s="19">
        <f>H1880*J1880</f>
        <v/>
      </c>
      <c r="U1880">
        <f>IF(AND(K1880=0,G1880&lt;=Assumptions!$C$6),1,0)</f>
        <v/>
      </c>
      <c r="V1880">
        <f>IF(U1880=1,IF(M1880&gt;0,IF(P1880&lt;=G1880+Assumptions!$C$7,1,0),0),0)</f>
        <v/>
      </c>
      <c r="W1880">
        <f>IF(AND(U1880=1,M1880&gt;=H1880*(1-Assumptions!$C$8)),1,0)</f>
        <v/>
      </c>
      <c r="X1880">
        <f>IF(AND(U1880=1,N1880&gt;=H1880*(1-Assumptions!$C$8)),1,0)</f>
        <v/>
      </c>
      <c r="Y1880">
        <f>IF(ISNUMBER(Q1880),1,0)</f>
        <v/>
      </c>
      <c r="Z1880">
        <f>IF(AND(K1880=0,L1880=0,Y1880=0),1,0)</f>
        <v/>
      </c>
      <c r="AA1880">
        <f>IF(AND(Z1880=1,G1880&lt;Assumptions!$C$6),1,0)</f>
        <v/>
      </c>
      <c r="AB1880">
        <f>IF(U1880=0,"",IF(Y1880=1,MAX(0,Q1880-G1880),IF(L1880=1,MAX(0,R1880-G1880),MAX(0,Assumptions!$C$6-G1880))))</f>
        <v/>
      </c>
      <c r="AC1880">
        <f>IF(Y1880=1,Q1880-F1880,"")</f>
        <v/>
      </c>
      <c r="AD1880">
        <f>IF(Y1880=1,AC1880^2,"")</f>
        <v/>
      </c>
      <c r="AE1880" s="19">
        <f>IF(Z1880=1,(H1880-M1880)*I1880,0)</f>
        <v/>
      </c>
      <c r="AF1880">
        <f>IF(G1880&lt;EDATE(Assumptions!$C$6,-12)+1,"prior_12m","last_12m")</f>
        <v/>
      </c>
      <c r="AG1880" s="21">
        <f>DATE(YEAR(G1880),MONTH(G1880),1)</f>
        <v/>
      </c>
    </row>
    <row r="1881">
      <c r="A1881" t="inlineStr">
        <is>
          <t>SPO-01020-3</t>
        </is>
      </c>
      <c r="B1881" t="inlineStr">
        <is>
          <t>SPO-01020</t>
        </is>
      </c>
      <c r="C1881" t="inlineStr">
        <is>
          <t>SUP-01</t>
        </is>
      </c>
      <c r="D1881" t="inlineStr">
        <is>
          <t>ELEC</t>
        </is>
      </c>
      <c r="E1881" t="inlineStr">
        <is>
          <t>ELEC-06</t>
        </is>
      </c>
      <c r="F1881" s="17" t="n">
        <v>45852</v>
      </c>
      <c r="G1881" s="17" t="n">
        <v>45870</v>
      </c>
      <c r="H1881" s="18" t="n">
        <v>24</v>
      </c>
      <c r="I1881" s="19" t="n">
        <v>144.01</v>
      </c>
      <c r="J1881" s="19" t="n">
        <v>145</v>
      </c>
      <c r="K1881" s="20" t="n">
        <v>0</v>
      </c>
      <c r="L1881" s="20" t="n">
        <v>0</v>
      </c>
      <c r="M1881" s="18" t="n">
        <v>24</v>
      </c>
      <c r="N1881" s="18" t="n">
        <v>24</v>
      </c>
      <c r="O1881" s="18" t="n">
        <v>0</v>
      </c>
      <c r="P1881" s="17" t="n">
        <v>45866</v>
      </c>
      <c r="Q1881" s="17" t="n">
        <v>45866</v>
      </c>
      <c r="R1881" s="17" t="n">
        <v>45866</v>
      </c>
      <c r="S1881" s="19">
        <f>H1881*I1881</f>
        <v/>
      </c>
      <c r="T1881" s="19">
        <f>H1881*J1881</f>
        <v/>
      </c>
      <c r="U1881">
        <f>IF(AND(K1881=0,G1881&lt;=Assumptions!$C$6),1,0)</f>
        <v/>
      </c>
      <c r="V1881">
        <f>IF(U1881=1,IF(M1881&gt;0,IF(P1881&lt;=G1881+Assumptions!$C$7,1,0),0),0)</f>
        <v/>
      </c>
      <c r="W1881">
        <f>IF(AND(U1881=1,M1881&gt;=H1881*(1-Assumptions!$C$8)),1,0)</f>
        <v/>
      </c>
      <c r="X1881">
        <f>IF(AND(U1881=1,N1881&gt;=H1881*(1-Assumptions!$C$8)),1,0)</f>
        <v/>
      </c>
      <c r="Y1881">
        <f>IF(ISNUMBER(Q1881),1,0)</f>
        <v/>
      </c>
      <c r="Z1881">
        <f>IF(AND(K1881=0,L1881=0,Y1881=0),1,0)</f>
        <v/>
      </c>
      <c r="AA1881">
        <f>IF(AND(Z1881=1,G1881&lt;Assumptions!$C$6),1,0)</f>
        <v/>
      </c>
      <c r="AB1881">
        <f>IF(U1881=0,"",IF(Y1881=1,MAX(0,Q1881-G1881),IF(L1881=1,MAX(0,R1881-G1881),MAX(0,Assumptions!$C$6-G1881))))</f>
        <v/>
      </c>
      <c r="AC1881">
        <f>IF(Y1881=1,Q1881-F1881,"")</f>
        <v/>
      </c>
      <c r="AD1881">
        <f>IF(Y1881=1,AC1881^2,"")</f>
        <v/>
      </c>
      <c r="AE1881" s="19">
        <f>IF(Z1881=1,(H1881-M1881)*I1881,0)</f>
        <v/>
      </c>
      <c r="AF1881">
        <f>IF(G1881&lt;EDATE(Assumptions!$C$6,-12)+1,"prior_12m","last_12m")</f>
        <v/>
      </c>
      <c r="AG1881" s="21">
        <f>DATE(YEAR(G1881),MONTH(G1881),1)</f>
        <v/>
      </c>
    </row>
    <row r="1882">
      <c r="A1882" t="inlineStr">
        <is>
          <t>SPO-01021-1</t>
        </is>
      </c>
      <c r="B1882" t="inlineStr">
        <is>
          <t>SPO-01021</t>
        </is>
      </c>
      <c r="C1882" t="inlineStr">
        <is>
          <t>SUP-02</t>
        </is>
      </c>
      <c r="D1882" t="inlineStr">
        <is>
          <t>ELEC</t>
        </is>
      </c>
      <c r="E1882" t="inlineStr">
        <is>
          <t>ELEC-08</t>
        </is>
      </c>
      <c r="F1882" s="17" t="n">
        <v>45853</v>
      </c>
      <c r="G1882" s="17" t="n">
        <v>45869</v>
      </c>
      <c r="H1882" s="18" t="n">
        <v>55</v>
      </c>
      <c r="I1882" s="19" t="n">
        <v>17.31</v>
      </c>
      <c r="J1882" s="19" t="n">
        <v>18</v>
      </c>
      <c r="K1882" s="20" t="n">
        <v>0</v>
      </c>
      <c r="L1882" s="20" t="n">
        <v>0</v>
      </c>
      <c r="M1882" s="18" t="n">
        <v>55</v>
      </c>
      <c r="N1882" s="18" t="n">
        <v>55</v>
      </c>
      <c r="O1882" s="18" t="n">
        <v>0</v>
      </c>
      <c r="P1882" s="17" t="n">
        <v>45867</v>
      </c>
      <c r="Q1882" s="17" t="n">
        <v>45867</v>
      </c>
      <c r="R1882" s="17" t="n">
        <v>45867</v>
      </c>
      <c r="S1882" s="19">
        <f>H1882*I1882</f>
        <v/>
      </c>
      <c r="T1882" s="19">
        <f>H1882*J1882</f>
        <v/>
      </c>
      <c r="U1882">
        <f>IF(AND(K1882=0,G1882&lt;=Assumptions!$C$6),1,0)</f>
        <v/>
      </c>
      <c r="V1882">
        <f>IF(U1882=1,IF(M1882&gt;0,IF(P1882&lt;=G1882+Assumptions!$C$7,1,0),0),0)</f>
        <v/>
      </c>
      <c r="W1882">
        <f>IF(AND(U1882=1,M1882&gt;=H1882*(1-Assumptions!$C$8)),1,0)</f>
        <v/>
      </c>
      <c r="X1882">
        <f>IF(AND(U1882=1,N1882&gt;=H1882*(1-Assumptions!$C$8)),1,0)</f>
        <v/>
      </c>
      <c r="Y1882">
        <f>IF(ISNUMBER(Q1882),1,0)</f>
        <v/>
      </c>
      <c r="Z1882">
        <f>IF(AND(K1882=0,L1882=0,Y1882=0),1,0)</f>
        <v/>
      </c>
      <c r="AA1882">
        <f>IF(AND(Z1882=1,G1882&lt;Assumptions!$C$6),1,0)</f>
        <v/>
      </c>
      <c r="AB1882">
        <f>IF(U1882=0,"",IF(Y1882=1,MAX(0,Q1882-G1882),IF(L1882=1,MAX(0,R1882-G1882),MAX(0,Assumptions!$C$6-G1882))))</f>
        <v/>
      </c>
      <c r="AC1882">
        <f>IF(Y1882=1,Q1882-F1882,"")</f>
        <v/>
      </c>
      <c r="AD1882">
        <f>IF(Y1882=1,AC1882^2,"")</f>
        <v/>
      </c>
      <c r="AE1882" s="19">
        <f>IF(Z1882=1,(H1882-M1882)*I1882,0)</f>
        <v/>
      </c>
      <c r="AF1882">
        <f>IF(G1882&lt;EDATE(Assumptions!$C$6,-12)+1,"prior_12m","last_12m")</f>
        <v/>
      </c>
      <c r="AG1882" s="21">
        <f>DATE(YEAR(G1882),MONTH(G1882),1)</f>
        <v/>
      </c>
    </row>
    <row r="1883">
      <c r="A1883" t="inlineStr">
        <is>
          <t>SPO-01021-2</t>
        </is>
      </c>
      <c r="B1883" t="inlineStr">
        <is>
          <t>SPO-01021</t>
        </is>
      </c>
      <c r="C1883" t="inlineStr">
        <is>
          <t>SUP-02</t>
        </is>
      </c>
      <c r="D1883" t="inlineStr">
        <is>
          <t>ELEC</t>
        </is>
      </c>
      <c r="E1883" t="inlineStr">
        <is>
          <t>ELEC-03</t>
        </is>
      </c>
      <c r="F1883" s="17" t="n">
        <v>45853</v>
      </c>
      <c r="G1883" s="17" t="n">
        <v>45869</v>
      </c>
      <c r="H1883" s="18" t="n">
        <v>12</v>
      </c>
      <c r="I1883" s="19" t="n">
        <v>94.95</v>
      </c>
      <c r="J1883" s="19" t="n">
        <v>96</v>
      </c>
      <c r="K1883" s="20" t="n">
        <v>0</v>
      </c>
      <c r="L1883" s="20" t="n">
        <v>0</v>
      </c>
      <c r="M1883" s="18" t="n">
        <v>12</v>
      </c>
      <c r="N1883" s="18" t="n">
        <v>12</v>
      </c>
      <c r="O1883" s="18" t="n">
        <v>0</v>
      </c>
      <c r="P1883" s="17" t="n">
        <v>45868</v>
      </c>
      <c r="Q1883" s="17" t="n">
        <v>45868</v>
      </c>
      <c r="R1883" s="17" t="n">
        <v>45868</v>
      </c>
      <c r="S1883" s="19">
        <f>H1883*I1883</f>
        <v/>
      </c>
      <c r="T1883" s="19">
        <f>H1883*J1883</f>
        <v/>
      </c>
      <c r="U1883">
        <f>IF(AND(K1883=0,G1883&lt;=Assumptions!$C$6),1,0)</f>
        <v/>
      </c>
      <c r="V1883">
        <f>IF(U1883=1,IF(M1883&gt;0,IF(P1883&lt;=G1883+Assumptions!$C$7,1,0),0),0)</f>
        <v/>
      </c>
      <c r="W1883">
        <f>IF(AND(U1883=1,M1883&gt;=H1883*(1-Assumptions!$C$8)),1,0)</f>
        <v/>
      </c>
      <c r="X1883">
        <f>IF(AND(U1883=1,N1883&gt;=H1883*(1-Assumptions!$C$8)),1,0)</f>
        <v/>
      </c>
      <c r="Y1883">
        <f>IF(ISNUMBER(Q1883),1,0)</f>
        <v/>
      </c>
      <c r="Z1883">
        <f>IF(AND(K1883=0,L1883=0,Y1883=0),1,0)</f>
        <v/>
      </c>
      <c r="AA1883">
        <f>IF(AND(Z1883=1,G1883&lt;Assumptions!$C$6),1,0)</f>
        <v/>
      </c>
      <c r="AB1883">
        <f>IF(U1883=0,"",IF(Y1883=1,MAX(0,Q1883-G1883),IF(L1883=1,MAX(0,R1883-G1883),MAX(0,Assumptions!$C$6-G1883))))</f>
        <v/>
      </c>
      <c r="AC1883">
        <f>IF(Y1883=1,Q1883-F1883,"")</f>
        <v/>
      </c>
      <c r="AD1883">
        <f>IF(Y1883=1,AC1883^2,"")</f>
        <v/>
      </c>
      <c r="AE1883" s="19">
        <f>IF(Z1883=1,(H1883-M1883)*I1883,0)</f>
        <v/>
      </c>
      <c r="AF1883">
        <f>IF(G1883&lt;EDATE(Assumptions!$C$6,-12)+1,"prior_12m","last_12m")</f>
        <v/>
      </c>
      <c r="AG1883" s="21">
        <f>DATE(YEAR(G1883),MONTH(G1883),1)</f>
        <v/>
      </c>
    </row>
    <row r="1884">
      <c r="A1884" t="inlineStr">
        <is>
          <t>SPO-01021-3</t>
        </is>
      </c>
      <c r="B1884" t="inlineStr">
        <is>
          <t>SPO-01021</t>
        </is>
      </c>
      <c r="C1884" t="inlineStr">
        <is>
          <t>SUP-02</t>
        </is>
      </c>
      <c r="D1884" t="inlineStr">
        <is>
          <t>ELEC</t>
        </is>
      </c>
      <c r="E1884" t="inlineStr">
        <is>
          <t>ELEC-01</t>
        </is>
      </c>
      <c r="F1884" s="17" t="n">
        <v>45853</v>
      </c>
      <c r="G1884" s="17" t="n">
        <v>45869</v>
      </c>
      <c r="H1884" s="18" t="n">
        <v>30</v>
      </c>
      <c r="I1884" s="19" t="n">
        <v>38.99</v>
      </c>
      <c r="J1884" s="19" t="n">
        <v>38</v>
      </c>
      <c r="K1884" s="20" t="n">
        <v>0</v>
      </c>
      <c r="L1884" s="20" t="n">
        <v>0</v>
      </c>
      <c r="M1884" s="18" t="n">
        <v>30</v>
      </c>
      <c r="N1884" s="18" t="n">
        <v>30</v>
      </c>
      <c r="O1884" s="18" t="n">
        <v>0</v>
      </c>
      <c r="P1884" s="17" t="n">
        <v>45863</v>
      </c>
      <c r="Q1884" s="17" t="n">
        <v>45863</v>
      </c>
      <c r="R1884" s="17" t="n">
        <v>45863</v>
      </c>
      <c r="S1884" s="19">
        <f>H1884*I1884</f>
        <v/>
      </c>
      <c r="T1884" s="19">
        <f>H1884*J1884</f>
        <v/>
      </c>
      <c r="U1884">
        <f>IF(AND(K1884=0,G1884&lt;=Assumptions!$C$6),1,0)</f>
        <v/>
      </c>
      <c r="V1884">
        <f>IF(U1884=1,IF(M1884&gt;0,IF(P1884&lt;=G1884+Assumptions!$C$7,1,0),0),0)</f>
        <v/>
      </c>
      <c r="W1884">
        <f>IF(AND(U1884=1,M1884&gt;=H1884*(1-Assumptions!$C$8)),1,0)</f>
        <v/>
      </c>
      <c r="X1884">
        <f>IF(AND(U1884=1,N1884&gt;=H1884*(1-Assumptions!$C$8)),1,0)</f>
        <v/>
      </c>
      <c r="Y1884">
        <f>IF(ISNUMBER(Q1884),1,0)</f>
        <v/>
      </c>
      <c r="Z1884">
        <f>IF(AND(K1884=0,L1884=0,Y1884=0),1,0)</f>
        <v/>
      </c>
      <c r="AA1884">
        <f>IF(AND(Z1884=1,G1884&lt;Assumptions!$C$6),1,0)</f>
        <v/>
      </c>
      <c r="AB1884">
        <f>IF(U1884=0,"",IF(Y1884=1,MAX(0,Q1884-G1884),IF(L1884=1,MAX(0,R1884-G1884),MAX(0,Assumptions!$C$6-G1884))))</f>
        <v/>
      </c>
      <c r="AC1884">
        <f>IF(Y1884=1,Q1884-F1884,"")</f>
        <v/>
      </c>
      <c r="AD1884">
        <f>IF(Y1884=1,AC1884^2,"")</f>
        <v/>
      </c>
      <c r="AE1884" s="19">
        <f>IF(Z1884=1,(H1884-M1884)*I1884,0)</f>
        <v/>
      </c>
      <c r="AF1884">
        <f>IF(G1884&lt;EDATE(Assumptions!$C$6,-12)+1,"prior_12m","last_12m")</f>
        <v/>
      </c>
      <c r="AG1884" s="21">
        <f>DATE(YEAR(G1884),MONTH(G1884),1)</f>
        <v/>
      </c>
    </row>
    <row r="1885">
      <c r="A1885" t="inlineStr">
        <is>
          <t>SPO-01022-1</t>
        </is>
      </c>
      <c r="B1885" t="inlineStr">
        <is>
          <t>SPO-01022</t>
        </is>
      </c>
      <c r="C1885" t="inlineStr">
        <is>
          <t>SUP-05</t>
        </is>
      </c>
      <c r="D1885" t="inlineStr">
        <is>
          <t>FLEET</t>
        </is>
      </c>
      <c r="E1885" t="inlineStr">
        <is>
          <t>FLEET-05</t>
        </is>
      </c>
      <c r="F1885" s="17" t="n">
        <v>45853</v>
      </c>
      <c r="G1885" s="17" t="n">
        <v>45867</v>
      </c>
      <c r="H1885" s="18" t="n">
        <v>19</v>
      </c>
      <c r="I1885" s="19" t="n">
        <v>173.3</v>
      </c>
      <c r="J1885" s="19" t="n">
        <v>168</v>
      </c>
      <c r="K1885" s="20" t="n">
        <v>0</v>
      </c>
      <c r="L1885" s="20" t="n">
        <v>0</v>
      </c>
      <c r="M1885" s="18" t="n">
        <v>19</v>
      </c>
      <c r="N1885" s="18" t="n">
        <v>19</v>
      </c>
      <c r="O1885" s="18" t="n">
        <v>0</v>
      </c>
      <c r="P1885" s="17" t="n">
        <v>45865</v>
      </c>
      <c r="Q1885" s="17" t="n">
        <v>45865</v>
      </c>
      <c r="R1885" s="17" t="n">
        <v>45865</v>
      </c>
      <c r="S1885" s="19">
        <f>H1885*I1885</f>
        <v/>
      </c>
      <c r="T1885" s="19">
        <f>H1885*J1885</f>
        <v/>
      </c>
      <c r="U1885">
        <f>IF(AND(K1885=0,G1885&lt;=Assumptions!$C$6),1,0)</f>
        <v/>
      </c>
      <c r="V1885">
        <f>IF(U1885=1,IF(M1885&gt;0,IF(P1885&lt;=G1885+Assumptions!$C$7,1,0),0),0)</f>
        <v/>
      </c>
      <c r="W1885">
        <f>IF(AND(U1885=1,M1885&gt;=H1885*(1-Assumptions!$C$8)),1,0)</f>
        <v/>
      </c>
      <c r="X1885">
        <f>IF(AND(U1885=1,N1885&gt;=H1885*(1-Assumptions!$C$8)),1,0)</f>
        <v/>
      </c>
      <c r="Y1885">
        <f>IF(ISNUMBER(Q1885),1,0)</f>
        <v/>
      </c>
      <c r="Z1885">
        <f>IF(AND(K1885=0,L1885=0,Y1885=0),1,0)</f>
        <v/>
      </c>
      <c r="AA1885">
        <f>IF(AND(Z1885=1,G1885&lt;Assumptions!$C$6),1,0)</f>
        <v/>
      </c>
      <c r="AB1885">
        <f>IF(U1885=0,"",IF(Y1885=1,MAX(0,Q1885-G1885),IF(L1885=1,MAX(0,R1885-G1885),MAX(0,Assumptions!$C$6-G1885))))</f>
        <v/>
      </c>
      <c r="AC1885">
        <f>IF(Y1885=1,Q1885-F1885,"")</f>
        <v/>
      </c>
      <c r="AD1885">
        <f>IF(Y1885=1,AC1885^2,"")</f>
        <v/>
      </c>
      <c r="AE1885" s="19">
        <f>IF(Z1885=1,(H1885-M1885)*I1885,0)</f>
        <v/>
      </c>
      <c r="AF1885">
        <f>IF(G1885&lt;EDATE(Assumptions!$C$6,-12)+1,"prior_12m","last_12m")</f>
        <v/>
      </c>
      <c r="AG1885" s="21">
        <f>DATE(YEAR(G1885),MONTH(G1885),1)</f>
        <v/>
      </c>
    </row>
    <row r="1886">
      <c r="A1886" t="inlineStr">
        <is>
          <t>SPO-01023-1</t>
        </is>
      </c>
      <c r="B1886" t="inlineStr">
        <is>
          <t>SPO-01023</t>
        </is>
      </c>
      <c r="C1886" t="inlineStr">
        <is>
          <t>SUP-09</t>
        </is>
      </c>
      <c r="D1886" t="inlineStr">
        <is>
          <t>CHEM</t>
        </is>
      </c>
      <c r="E1886" t="inlineStr">
        <is>
          <t>CHEM-02</t>
        </is>
      </c>
      <c r="F1886" s="17" t="n">
        <v>45853</v>
      </c>
      <c r="G1886" s="17" t="n">
        <v>45867</v>
      </c>
      <c r="H1886" s="18" t="n">
        <v>4</v>
      </c>
      <c r="I1886" s="19" t="n">
        <v>415.61</v>
      </c>
      <c r="J1886" s="19" t="n">
        <v>410</v>
      </c>
      <c r="K1886" s="20" t="n">
        <v>0</v>
      </c>
      <c r="L1886" s="20" t="n">
        <v>0</v>
      </c>
      <c r="M1886" s="18" t="n">
        <v>4</v>
      </c>
      <c r="N1886" s="18" t="n">
        <v>4</v>
      </c>
      <c r="O1886" s="18" t="n">
        <v>0</v>
      </c>
      <c r="P1886" s="17" t="n">
        <v>45866</v>
      </c>
      <c r="Q1886" s="17" t="n">
        <v>45866</v>
      </c>
      <c r="R1886" s="17" t="n">
        <v>45866</v>
      </c>
      <c r="S1886" s="19">
        <f>H1886*I1886</f>
        <v/>
      </c>
      <c r="T1886" s="19">
        <f>H1886*J1886</f>
        <v/>
      </c>
      <c r="U1886">
        <f>IF(AND(K1886=0,G1886&lt;=Assumptions!$C$6),1,0)</f>
        <v/>
      </c>
      <c r="V1886">
        <f>IF(U1886=1,IF(M1886&gt;0,IF(P1886&lt;=G1886+Assumptions!$C$7,1,0),0),0)</f>
        <v/>
      </c>
      <c r="W1886">
        <f>IF(AND(U1886=1,M1886&gt;=H1886*(1-Assumptions!$C$8)),1,0)</f>
        <v/>
      </c>
      <c r="X1886">
        <f>IF(AND(U1886=1,N1886&gt;=H1886*(1-Assumptions!$C$8)),1,0)</f>
        <v/>
      </c>
      <c r="Y1886">
        <f>IF(ISNUMBER(Q1886),1,0)</f>
        <v/>
      </c>
      <c r="Z1886">
        <f>IF(AND(K1886=0,L1886=0,Y1886=0),1,0)</f>
        <v/>
      </c>
      <c r="AA1886">
        <f>IF(AND(Z1886=1,G1886&lt;Assumptions!$C$6),1,0)</f>
        <v/>
      </c>
      <c r="AB1886">
        <f>IF(U1886=0,"",IF(Y1886=1,MAX(0,Q1886-G1886),IF(L1886=1,MAX(0,R1886-G1886),MAX(0,Assumptions!$C$6-G1886))))</f>
        <v/>
      </c>
      <c r="AC1886">
        <f>IF(Y1886=1,Q1886-F1886,"")</f>
        <v/>
      </c>
      <c r="AD1886">
        <f>IF(Y1886=1,AC1886^2,"")</f>
        <v/>
      </c>
      <c r="AE1886" s="19">
        <f>IF(Z1886=1,(H1886-M1886)*I1886,0)</f>
        <v/>
      </c>
      <c r="AF1886">
        <f>IF(G1886&lt;EDATE(Assumptions!$C$6,-12)+1,"prior_12m","last_12m")</f>
        <v/>
      </c>
      <c r="AG1886" s="21">
        <f>DATE(YEAR(G1886),MONTH(G1886),1)</f>
        <v/>
      </c>
    </row>
    <row r="1887">
      <c r="A1887" t="inlineStr">
        <is>
          <t>SPO-01023-2</t>
        </is>
      </c>
      <c r="B1887" t="inlineStr">
        <is>
          <t>SPO-01023</t>
        </is>
      </c>
      <c r="C1887" t="inlineStr">
        <is>
          <t>SUP-09</t>
        </is>
      </c>
      <c r="D1887" t="inlineStr">
        <is>
          <t>CHEM</t>
        </is>
      </c>
      <c r="E1887" t="inlineStr">
        <is>
          <t>CHEM-01</t>
        </is>
      </c>
      <c r="F1887" s="17" t="n">
        <v>45853</v>
      </c>
      <c r="G1887" s="17" t="n">
        <v>45867</v>
      </c>
      <c r="H1887" s="18" t="n">
        <v>3</v>
      </c>
      <c r="I1887" s="19" t="n">
        <v>664.1</v>
      </c>
      <c r="J1887" s="19" t="n">
        <v>640</v>
      </c>
      <c r="K1887" s="20" t="n">
        <v>0</v>
      </c>
      <c r="L1887" s="20" t="n">
        <v>0</v>
      </c>
      <c r="M1887" s="18" t="n">
        <v>3</v>
      </c>
      <c r="N1887" s="18" t="n">
        <v>3</v>
      </c>
      <c r="O1887" s="18" t="n">
        <v>0</v>
      </c>
      <c r="P1887" s="17" t="n">
        <v>45864</v>
      </c>
      <c r="Q1887" s="17" t="n">
        <v>45864</v>
      </c>
      <c r="R1887" s="17" t="n">
        <v>45864</v>
      </c>
      <c r="S1887" s="19">
        <f>H1887*I1887</f>
        <v/>
      </c>
      <c r="T1887" s="19">
        <f>H1887*J1887</f>
        <v/>
      </c>
      <c r="U1887">
        <f>IF(AND(K1887=0,G1887&lt;=Assumptions!$C$6),1,0)</f>
        <v/>
      </c>
      <c r="V1887">
        <f>IF(U1887=1,IF(M1887&gt;0,IF(P1887&lt;=G1887+Assumptions!$C$7,1,0),0),0)</f>
        <v/>
      </c>
      <c r="W1887">
        <f>IF(AND(U1887=1,M1887&gt;=H1887*(1-Assumptions!$C$8)),1,0)</f>
        <v/>
      </c>
      <c r="X1887">
        <f>IF(AND(U1887=1,N1887&gt;=H1887*(1-Assumptions!$C$8)),1,0)</f>
        <v/>
      </c>
      <c r="Y1887">
        <f>IF(ISNUMBER(Q1887),1,0)</f>
        <v/>
      </c>
      <c r="Z1887">
        <f>IF(AND(K1887=0,L1887=0,Y1887=0),1,0)</f>
        <v/>
      </c>
      <c r="AA1887">
        <f>IF(AND(Z1887=1,G1887&lt;Assumptions!$C$6),1,0)</f>
        <v/>
      </c>
      <c r="AB1887">
        <f>IF(U1887=0,"",IF(Y1887=1,MAX(0,Q1887-G1887),IF(L1887=1,MAX(0,R1887-G1887),MAX(0,Assumptions!$C$6-G1887))))</f>
        <v/>
      </c>
      <c r="AC1887">
        <f>IF(Y1887=1,Q1887-F1887,"")</f>
        <v/>
      </c>
      <c r="AD1887">
        <f>IF(Y1887=1,AC1887^2,"")</f>
        <v/>
      </c>
      <c r="AE1887" s="19">
        <f>IF(Z1887=1,(H1887-M1887)*I1887,0)</f>
        <v/>
      </c>
      <c r="AF1887">
        <f>IF(G1887&lt;EDATE(Assumptions!$C$6,-12)+1,"prior_12m","last_12m")</f>
        <v/>
      </c>
      <c r="AG1887" s="21">
        <f>DATE(YEAR(G1887),MONTH(G1887),1)</f>
        <v/>
      </c>
    </row>
    <row r="1888">
      <c r="A1888" t="inlineStr">
        <is>
          <t>SPO-01024-1</t>
        </is>
      </c>
      <c r="B1888" t="inlineStr">
        <is>
          <t>SPO-01024</t>
        </is>
      </c>
      <c r="C1888" t="inlineStr">
        <is>
          <t>SUP-08</t>
        </is>
      </c>
      <c r="D1888" t="inlineStr">
        <is>
          <t>PPE</t>
        </is>
      </c>
      <c r="E1888" t="inlineStr">
        <is>
          <t>PPE-05</t>
        </is>
      </c>
      <c r="F1888" s="17" t="n">
        <v>45853</v>
      </c>
      <c r="G1888" s="17" t="n">
        <v>45864</v>
      </c>
      <c r="H1888" s="18" t="n">
        <v>236</v>
      </c>
      <c r="I1888" s="19" t="n">
        <v>10.94</v>
      </c>
      <c r="J1888" s="19" t="n">
        <v>11</v>
      </c>
      <c r="K1888" s="20" t="n">
        <v>0</v>
      </c>
      <c r="L1888" s="20" t="n">
        <v>0</v>
      </c>
      <c r="M1888" s="18" t="n">
        <v>236</v>
      </c>
      <c r="N1888" s="18" t="n">
        <v>236</v>
      </c>
      <c r="O1888" s="18" t="n">
        <v>0</v>
      </c>
      <c r="P1888" s="17" t="n">
        <v>45862</v>
      </c>
      <c r="Q1888" s="17" t="n">
        <v>45862</v>
      </c>
      <c r="R1888" s="17" t="n">
        <v>45862</v>
      </c>
      <c r="S1888" s="19">
        <f>H1888*I1888</f>
        <v/>
      </c>
      <c r="T1888" s="19">
        <f>H1888*J1888</f>
        <v/>
      </c>
      <c r="U1888">
        <f>IF(AND(K1888=0,G1888&lt;=Assumptions!$C$6),1,0)</f>
        <v/>
      </c>
      <c r="V1888">
        <f>IF(U1888=1,IF(M1888&gt;0,IF(P1888&lt;=G1888+Assumptions!$C$7,1,0),0),0)</f>
        <v/>
      </c>
      <c r="W1888">
        <f>IF(AND(U1888=1,M1888&gt;=H1888*(1-Assumptions!$C$8)),1,0)</f>
        <v/>
      </c>
      <c r="X1888">
        <f>IF(AND(U1888=1,N1888&gt;=H1888*(1-Assumptions!$C$8)),1,0)</f>
        <v/>
      </c>
      <c r="Y1888">
        <f>IF(ISNUMBER(Q1888),1,0)</f>
        <v/>
      </c>
      <c r="Z1888">
        <f>IF(AND(K1888=0,L1888=0,Y1888=0),1,0)</f>
        <v/>
      </c>
      <c r="AA1888">
        <f>IF(AND(Z1888=1,G1888&lt;Assumptions!$C$6),1,0)</f>
        <v/>
      </c>
      <c r="AB1888">
        <f>IF(U1888=0,"",IF(Y1888=1,MAX(0,Q1888-G1888),IF(L1888=1,MAX(0,R1888-G1888),MAX(0,Assumptions!$C$6-G1888))))</f>
        <v/>
      </c>
      <c r="AC1888">
        <f>IF(Y1888=1,Q1888-F1888,"")</f>
        <v/>
      </c>
      <c r="AD1888">
        <f>IF(Y1888=1,AC1888^2,"")</f>
        <v/>
      </c>
      <c r="AE1888" s="19">
        <f>IF(Z1888=1,(H1888-M1888)*I1888,0)</f>
        <v/>
      </c>
      <c r="AF1888">
        <f>IF(G1888&lt;EDATE(Assumptions!$C$6,-12)+1,"prior_12m","last_12m")</f>
        <v/>
      </c>
      <c r="AG1888" s="21">
        <f>DATE(YEAR(G1888),MONTH(G1888),1)</f>
        <v/>
      </c>
    </row>
    <row r="1889">
      <c r="A1889" t="inlineStr">
        <is>
          <t>SPO-01024-2</t>
        </is>
      </c>
      <c r="B1889" t="inlineStr">
        <is>
          <t>SPO-01024</t>
        </is>
      </c>
      <c r="C1889" t="inlineStr">
        <is>
          <t>SUP-08</t>
        </is>
      </c>
      <c r="D1889" t="inlineStr">
        <is>
          <t>PPE</t>
        </is>
      </c>
      <c r="E1889" t="inlineStr">
        <is>
          <t>PPE-06</t>
        </is>
      </c>
      <c r="F1889" s="17" t="n">
        <v>45853</v>
      </c>
      <c r="G1889" s="17" t="n">
        <v>45864</v>
      </c>
      <c r="H1889" s="18" t="n">
        <v>16</v>
      </c>
      <c r="I1889" s="19" t="n">
        <v>120.25</v>
      </c>
      <c r="J1889" s="19" t="n">
        <v>115</v>
      </c>
      <c r="K1889" s="20" t="n">
        <v>0</v>
      </c>
      <c r="L1889" s="20" t="n">
        <v>0</v>
      </c>
      <c r="M1889" s="18" t="n">
        <v>16</v>
      </c>
      <c r="N1889" s="18" t="n">
        <v>16</v>
      </c>
      <c r="O1889" s="18" t="n">
        <v>0</v>
      </c>
      <c r="P1889" s="17" t="n">
        <v>45860</v>
      </c>
      <c r="Q1889" s="17" t="n">
        <v>45860</v>
      </c>
      <c r="R1889" s="17" t="n">
        <v>45860</v>
      </c>
      <c r="S1889" s="19">
        <f>H1889*I1889</f>
        <v/>
      </c>
      <c r="T1889" s="19">
        <f>H1889*J1889</f>
        <v/>
      </c>
      <c r="U1889">
        <f>IF(AND(K1889=0,G1889&lt;=Assumptions!$C$6),1,0)</f>
        <v/>
      </c>
      <c r="V1889">
        <f>IF(U1889=1,IF(M1889&gt;0,IF(P1889&lt;=G1889+Assumptions!$C$7,1,0),0),0)</f>
        <v/>
      </c>
      <c r="W1889">
        <f>IF(AND(U1889=1,M1889&gt;=H1889*(1-Assumptions!$C$8)),1,0)</f>
        <v/>
      </c>
      <c r="X1889">
        <f>IF(AND(U1889=1,N1889&gt;=H1889*(1-Assumptions!$C$8)),1,0)</f>
        <v/>
      </c>
      <c r="Y1889">
        <f>IF(ISNUMBER(Q1889),1,0)</f>
        <v/>
      </c>
      <c r="Z1889">
        <f>IF(AND(K1889=0,L1889=0,Y1889=0),1,0)</f>
        <v/>
      </c>
      <c r="AA1889">
        <f>IF(AND(Z1889=1,G1889&lt;Assumptions!$C$6),1,0)</f>
        <v/>
      </c>
      <c r="AB1889">
        <f>IF(U1889=0,"",IF(Y1889=1,MAX(0,Q1889-G1889),IF(L1889=1,MAX(0,R1889-G1889),MAX(0,Assumptions!$C$6-G1889))))</f>
        <v/>
      </c>
      <c r="AC1889">
        <f>IF(Y1889=1,Q1889-F1889,"")</f>
        <v/>
      </c>
      <c r="AD1889">
        <f>IF(Y1889=1,AC1889^2,"")</f>
        <v/>
      </c>
      <c r="AE1889" s="19">
        <f>IF(Z1889=1,(H1889-M1889)*I1889,0)</f>
        <v/>
      </c>
      <c r="AF1889">
        <f>IF(G1889&lt;EDATE(Assumptions!$C$6,-12)+1,"prior_12m","last_12m")</f>
        <v/>
      </c>
      <c r="AG1889" s="21">
        <f>DATE(YEAR(G1889),MONTH(G1889),1)</f>
        <v/>
      </c>
    </row>
    <row r="1890">
      <c r="A1890" t="inlineStr">
        <is>
          <t>SPO-01024-3</t>
        </is>
      </c>
      <c r="B1890" t="inlineStr">
        <is>
          <t>SPO-01024</t>
        </is>
      </c>
      <c r="C1890" t="inlineStr">
        <is>
          <t>SUP-08</t>
        </is>
      </c>
      <c r="D1890" t="inlineStr">
        <is>
          <t>PPE</t>
        </is>
      </c>
      <c r="E1890" t="inlineStr">
        <is>
          <t>PPE-04</t>
        </is>
      </c>
      <c r="F1890" s="17" t="n">
        <v>45853</v>
      </c>
      <c r="G1890" s="17" t="n">
        <v>45864</v>
      </c>
      <c r="H1890" s="18" t="n">
        <v>61</v>
      </c>
      <c r="I1890" s="19" t="n">
        <v>25.72</v>
      </c>
      <c r="J1890" s="19" t="n">
        <v>26</v>
      </c>
      <c r="K1890" s="20" t="n">
        <v>0</v>
      </c>
      <c r="L1890" s="20" t="n">
        <v>0</v>
      </c>
      <c r="M1890" s="18" t="n">
        <v>61</v>
      </c>
      <c r="N1890" s="18" t="n">
        <v>61</v>
      </c>
      <c r="O1890" s="18" t="n">
        <v>0</v>
      </c>
      <c r="P1890" s="17" t="n">
        <v>45860</v>
      </c>
      <c r="Q1890" s="17" t="n">
        <v>45860</v>
      </c>
      <c r="R1890" s="17" t="n">
        <v>45860</v>
      </c>
      <c r="S1890" s="19">
        <f>H1890*I1890</f>
        <v/>
      </c>
      <c r="T1890" s="19">
        <f>H1890*J1890</f>
        <v/>
      </c>
      <c r="U1890">
        <f>IF(AND(K1890=0,G1890&lt;=Assumptions!$C$6),1,0)</f>
        <v/>
      </c>
      <c r="V1890">
        <f>IF(U1890=1,IF(M1890&gt;0,IF(P1890&lt;=G1890+Assumptions!$C$7,1,0),0),0)</f>
        <v/>
      </c>
      <c r="W1890">
        <f>IF(AND(U1890=1,M1890&gt;=H1890*(1-Assumptions!$C$8)),1,0)</f>
        <v/>
      </c>
      <c r="X1890">
        <f>IF(AND(U1890=1,N1890&gt;=H1890*(1-Assumptions!$C$8)),1,0)</f>
        <v/>
      </c>
      <c r="Y1890">
        <f>IF(ISNUMBER(Q1890),1,0)</f>
        <v/>
      </c>
      <c r="Z1890">
        <f>IF(AND(K1890=0,L1890=0,Y1890=0),1,0)</f>
        <v/>
      </c>
      <c r="AA1890">
        <f>IF(AND(Z1890=1,G1890&lt;Assumptions!$C$6),1,0)</f>
        <v/>
      </c>
      <c r="AB1890">
        <f>IF(U1890=0,"",IF(Y1890=1,MAX(0,Q1890-G1890),IF(L1890=1,MAX(0,R1890-G1890),MAX(0,Assumptions!$C$6-G1890))))</f>
        <v/>
      </c>
      <c r="AC1890">
        <f>IF(Y1890=1,Q1890-F1890,"")</f>
        <v/>
      </c>
      <c r="AD1890">
        <f>IF(Y1890=1,AC1890^2,"")</f>
        <v/>
      </c>
      <c r="AE1890" s="19">
        <f>IF(Z1890=1,(H1890-M1890)*I1890,0)</f>
        <v/>
      </c>
      <c r="AF1890">
        <f>IF(G1890&lt;EDATE(Assumptions!$C$6,-12)+1,"prior_12m","last_12m")</f>
        <v/>
      </c>
      <c r="AG1890" s="21">
        <f>DATE(YEAR(G1890),MONTH(G1890),1)</f>
        <v/>
      </c>
    </row>
    <row r="1891">
      <c r="A1891" t="inlineStr">
        <is>
          <t>SPO-01024-4</t>
        </is>
      </c>
      <c r="B1891" t="inlineStr">
        <is>
          <t>SPO-01024</t>
        </is>
      </c>
      <c r="C1891" t="inlineStr">
        <is>
          <t>SUP-08</t>
        </is>
      </c>
      <c r="D1891" t="inlineStr">
        <is>
          <t>PPE</t>
        </is>
      </c>
      <c r="E1891" t="inlineStr">
        <is>
          <t>PPE-07</t>
        </is>
      </c>
      <c r="F1891" s="17" t="n">
        <v>45853</v>
      </c>
      <c r="G1891" s="17" t="n">
        <v>45864</v>
      </c>
      <c r="H1891" s="18" t="n">
        <v>81</v>
      </c>
      <c r="I1891" s="19" t="n">
        <v>31.17</v>
      </c>
      <c r="J1891" s="19" t="n">
        <v>31</v>
      </c>
      <c r="K1891" s="20" t="n">
        <v>0</v>
      </c>
      <c r="L1891" s="20" t="n">
        <v>0</v>
      </c>
      <c r="M1891" s="18" t="n">
        <v>81</v>
      </c>
      <c r="N1891" s="18" t="n">
        <v>81</v>
      </c>
      <c r="O1891" s="18" t="n">
        <v>0</v>
      </c>
      <c r="P1891" s="17" t="n">
        <v>45862</v>
      </c>
      <c r="Q1891" s="17" t="n">
        <v>45862</v>
      </c>
      <c r="R1891" s="17" t="n">
        <v>45862</v>
      </c>
      <c r="S1891" s="19">
        <f>H1891*I1891</f>
        <v/>
      </c>
      <c r="T1891" s="19">
        <f>H1891*J1891</f>
        <v/>
      </c>
      <c r="U1891">
        <f>IF(AND(K1891=0,G1891&lt;=Assumptions!$C$6),1,0)</f>
        <v/>
      </c>
      <c r="V1891">
        <f>IF(U1891=1,IF(M1891&gt;0,IF(P1891&lt;=G1891+Assumptions!$C$7,1,0),0),0)</f>
        <v/>
      </c>
      <c r="W1891">
        <f>IF(AND(U1891=1,M1891&gt;=H1891*(1-Assumptions!$C$8)),1,0)</f>
        <v/>
      </c>
      <c r="X1891">
        <f>IF(AND(U1891=1,N1891&gt;=H1891*(1-Assumptions!$C$8)),1,0)</f>
        <v/>
      </c>
      <c r="Y1891">
        <f>IF(ISNUMBER(Q1891),1,0)</f>
        <v/>
      </c>
      <c r="Z1891">
        <f>IF(AND(K1891=0,L1891=0,Y1891=0),1,0)</f>
        <v/>
      </c>
      <c r="AA1891">
        <f>IF(AND(Z1891=1,G1891&lt;Assumptions!$C$6),1,0)</f>
        <v/>
      </c>
      <c r="AB1891">
        <f>IF(U1891=0,"",IF(Y1891=1,MAX(0,Q1891-G1891),IF(L1891=1,MAX(0,R1891-G1891),MAX(0,Assumptions!$C$6-G1891))))</f>
        <v/>
      </c>
      <c r="AC1891">
        <f>IF(Y1891=1,Q1891-F1891,"")</f>
        <v/>
      </c>
      <c r="AD1891">
        <f>IF(Y1891=1,AC1891^2,"")</f>
        <v/>
      </c>
      <c r="AE1891" s="19">
        <f>IF(Z1891=1,(H1891-M1891)*I1891,0)</f>
        <v/>
      </c>
      <c r="AF1891">
        <f>IF(G1891&lt;EDATE(Assumptions!$C$6,-12)+1,"prior_12m","last_12m")</f>
        <v/>
      </c>
      <c r="AG1891" s="21">
        <f>DATE(YEAR(G1891),MONTH(G1891),1)</f>
        <v/>
      </c>
    </row>
    <row r="1892">
      <c r="A1892" t="inlineStr">
        <is>
          <t>SPO-01025-1</t>
        </is>
      </c>
      <c r="B1892" t="inlineStr">
        <is>
          <t>SPO-01025</t>
        </is>
      </c>
      <c r="C1892" t="inlineStr">
        <is>
          <t>SUP-12</t>
        </is>
      </c>
      <c r="D1892" t="inlineStr">
        <is>
          <t>IT</t>
        </is>
      </c>
      <c r="E1892" t="inlineStr">
        <is>
          <t>IT-04</t>
        </is>
      </c>
      <c r="F1892" s="17" t="n">
        <v>45853</v>
      </c>
      <c r="G1892" s="17" t="n">
        <v>45863</v>
      </c>
      <c r="H1892" s="18" t="n">
        <v>189</v>
      </c>
      <c r="I1892" s="19" t="n">
        <v>13</v>
      </c>
      <c r="J1892" s="19" t="n">
        <v>12</v>
      </c>
      <c r="K1892" s="20" t="n">
        <v>0</v>
      </c>
      <c r="L1892" s="20" t="n">
        <v>0</v>
      </c>
      <c r="M1892" s="18" t="n">
        <v>189</v>
      </c>
      <c r="N1892" s="18" t="n">
        <v>189</v>
      </c>
      <c r="O1892" s="18" t="n">
        <v>0</v>
      </c>
      <c r="P1892" s="17" t="n">
        <v>45862</v>
      </c>
      <c r="Q1892" s="17" t="n">
        <v>45862</v>
      </c>
      <c r="R1892" s="17" t="n">
        <v>45862</v>
      </c>
      <c r="S1892" s="19">
        <f>H1892*I1892</f>
        <v/>
      </c>
      <c r="T1892" s="19">
        <f>H1892*J1892</f>
        <v/>
      </c>
      <c r="U1892">
        <f>IF(AND(K1892=0,G1892&lt;=Assumptions!$C$6),1,0)</f>
        <v/>
      </c>
      <c r="V1892">
        <f>IF(U1892=1,IF(M1892&gt;0,IF(P1892&lt;=G1892+Assumptions!$C$7,1,0),0),0)</f>
        <v/>
      </c>
      <c r="W1892">
        <f>IF(AND(U1892=1,M1892&gt;=H1892*(1-Assumptions!$C$8)),1,0)</f>
        <v/>
      </c>
      <c r="X1892">
        <f>IF(AND(U1892=1,N1892&gt;=H1892*(1-Assumptions!$C$8)),1,0)</f>
        <v/>
      </c>
      <c r="Y1892">
        <f>IF(ISNUMBER(Q1892),1,0)</f>
        <v/>
      </c>
      <c r="Z1892">
        <f>IF(AND(K1892=0,L1892=0,Y1892=0),1,0)</f>
        <v/>
      </c>
      <c r="AA1892">
        <f>IF(AND(Z1892=1,G1892&lt;Assumptions!$C$6),1,0)</f>
        <v/>
      </c>
      <c r="AB1892">
        <f>IF(U1892=0,"",IF(Y1892=1,MAX(0,Q1892-G1892),IF(L1892=1,MAX(0,R1892-G1892),MAX(0,Assumptions!$C$6-G1892))))</f>
        <v/>
      </c>
      <c r="AC1892">
        <f>IF(Y1892=1,Q1892-F1892,"")</f>
        <v/>
      </c>
      <c r="AD1892">
        <f>IF(Y1892=1,AC1892^2,"")</f>
        <v/>
      </c>
      <c r="AE1892" s="19">
        <f>IF(Z1892=1,(H1892-M1892)*I1892,0)</f>
        <v/>
      </c>
      <c r="AF1892">
        <f>IF(G1892&lt;EDATE(Assumptions!$C$6,-12)+1,"prior_12m","last_12m")</f>
        <v/>
      </c>
      <c r="AG1892" s="21">
        <f>DATE(YEAR(G1892),MONTH(G1892),1)</f>
        <v/>
      </c>
    </row>
    <row r="1893">
      <c r="A1893" t="inlineStr">
        <is>
          <t>SPO-01026-1</t>
        </is>
      </c>
      <c r="B1893" t="inlineStr">
        <is>
          <t>SPO-01026</t>
        </is>
      </c>
      <c r="C1893" t="inlineStr">
        <is>
          <t>SUP-06</t>
        </is>
      </c>
      <c r="D1893" t="inlineStr">
        <is>
          <t>MRO</t>
        </is>
      </c>
      <c r="E1893" t="inlineStr">
        <is>
          <t>MRO-01</t>
        </is>
      </c>
      <c r="F1893" s="17" t="n">
        <v>45854</v>
      </c>
      <c r="G1893" s="17" t="n">
        <v>45862</v>
      </c>
      <c r="H1893" s="18" t="n">
        <v>28</v>
      </c>
      <c r="I1893" s="19" t="n">
        <v>51.46</v>
      </c>
      <c r="J1893" s="19" t="n">
        <v>52</v>
      </c>
      <c r="K1893" s="20" t="n">
        <v>0</v>
      </c>
      <c r="L1893" s="20" t="n">
        <v>0</v>
      </c>
      <c r="M1893" s="18" t="n">
        <v>28</v>
      </c>
      <c r="N1893" s="18" t="n">
        <v>28</v>
      </c>
      <c r="O1893" s="18" t="n">
        <v>0</v>
      </c>
      <c r="P1893" s="17" t="n">
        <v>45859</v>
      </c>
      <c r="Q1893" s="17" t="n">
        <v>45859</v>
      </c>
      <c r="R1893" s="17" t="n">
        <v>45859</v>
      </c>
      <c r="S1893" s="19">
        <f>H1893*I1893</f>
        <v/>
      </c>
      <c r="T1893" s="19">
        <f>H1893*J1893</f>
        <v/>
      </c>
      <c r="U1893">
        <f>IF(AND(K1893=0,G1893&lt;=Assumptions!$C$6),1,0)</f>
        <v/>
      </c>
      <c r="V1893">
        <f>IF(U1893=1,IF(M1893&gt;0,IF(P1893&lt;=G1893+Assumptions!$C$7,1,0),0),0)</f>
        <v/>
      </c>
      <c r="W1893">
        <f>IF(AND(U1893=1,M1893&gt;=H1893*(1-Assumptions!$C$8)),1,0)</f>
        <v/>
      </c>
      <c r="X1893">
        <f>IF(AND(U1893=1,N1893&gt;=H1893*(1-Assumptions!$C$8)),1,0)</f>
        <v/>
      </c>
      <c r="Y1893">
        <f>IF(ISNUMBER(Q1893),1,0)</f>
        <v/>
      </c>
      <c r="Z1893">
        <f>IF(AND(K1893=0,L1893=0,Y1893=0),1,0)</f>
        <v/>
      </c>
      <c r="AA1893">
        <f>IF(AND(Z1893=1,G1893&lt;Assumptions!$C$6),1,0)</f>
        <v/>
      </c>
      <c r="AB1893">
        <f>IF(U1893=0,"",IF(Y1893=1,MAX(0,Q1893-G1893),IF(L1893=1,MAX(0,R1893-G1893),MAX(0,Assumptions!$C$6-G1893))))</f>
        <v/>
      </c>
      <c r="AC1893">
        <f>IF(Y1893=1,Q1893-F1893,"")</f>
        <v/>
      </c>
      <c r="AD1893">
        <f>IF(Y1893=1,AC1893^2,"")</f>
        <v/>
      </c>
      <c r="AE1893" s="19">
        <f>IF(Z1893=1,(H1893-M1893)*I1893,0)</f>
        <v/>
      </c>
      <c r="AF1893">
        <f>IF(G1893&lt;EDATE(Assumptions!$C$6,-12)+1,"prior_12m","last_12m")</f>
        <v/>
      </c>
      <c r="AG1893" s="21">
        <f>DATE(YEAR(G1893),MONTH(G1893),1)</f>
        <v/>
      </c>
    </row>
    <row r="1894">
      <c r="A1894" t="inlineStr">
        <is>
          <t>SPO-01027-1</t>
        </is>
      </c>
      <c r="B1894" t="inlineStr">
        <is>
          <t>SPO-01027</t>
        </is>
      </c>
      <c r="C1894" t="inlineStr">
        <is>
          <t>SUP-04</t>
        </is>
      </c>
      <c r="D1894" t="inlineStr">
        <is>
          <t>FLEET</t>
        </is>
      </c>
      <c r="E1894" t="inlineStr">
        <is>
          <t>FLEET-08</t>
        </is>
      </c>
      <c r="F1894" s="17" t="n">
        <v>45854</v>
      </c>
      <c r="G1894" s="17" t="n">
        <v>45867</v>
      </c>
      <c r="H1894" s="18" t="n">
        <v>369</v>
      </c>
      <c r="I1894" s="19" t="n">
        <v>6.16</v>
      </c>
      <c r="J1894" s="19" t="n">
        <v>6.4</v>
      </c>
      <c r="K1894" s="20" t="n">
        <v>0</v>
      </c>
      <c r="L1894" s="20" t="n">
        <v>0</v>
      </c>
      <c r="M1894" s="18" t="n">
        <v>369</v>
      </c>
      <c r="N1894" s="18" t="n">
        <v>369</v>
      </c>
      <c r="O1894" s="18" t="n">
        <v>0</v>
      </c>
      <c r="P1894" s="17" t="n">
        <v>45862</v>
      </c>
      <c r="Q1894" s="17" t="n">
        <v>45862</v>
      </c>
      <c r="R1894" s="17" t="n">
        <v>45862</v>
      </c>
      <c r="S1894" s="19">
        <f>H1894*I1894</f>
        <v/>
      </c>
      <c r="T1894" s="19">
        <f>H1894*J1894</f>
        <v/>
      </c>
      <c r="U1894">
        <f>IF(AND(K1894=0,G1894&lt;=Assumptions!$C$6),1,0)</f>
        <v/>
      </c>
      <c r="V1894">
        <f>IF(U1894=1,IF(M1894&gt;0,IF(P1894&lt;=G1894+Assumptions!$C$7,1,0),0),0)</f>
        <v/>
      </c>
      <c r="W1894">
        <f>IF(AND(U1894=1,M1894&gt;=H1894*(1-Assumptions!$C$8)),1,0)</f>
        <v/>
      </c>
      <c r="X1894">
        <f>IF(AND(U1894=1,N1894&gt;=H1894*(1-Assumptions!$C$8)),1,0)</f>
        <v/>
      </c>
      <c r="Y1894">
        <f>IF(ISNUMBER(Q1894),1,0)</f>
        <v/>
      </c>
      <c r="Z1894">
        <f>IF(AND(K1894=0,L1894=0,Y1894=0),1,0)</f>
        <v/>
      </c>
      <c r="AA1894">
        <f>IF(AND(Z1894=1,G1894&lt;Assumptions!$C$6),1,0)</f>
        <v/>
      </c>
      <c r="AB1894">
        <f>IF(U1894=0,"",IF(Y1894=1,MAX(0,Q1894-G1894),IF(L1894=1,MAX(0,R1894-G1894),MAX(0,Assumptions!$C$6-G1894))))</f>
        <v/>
      </c>
      <c r="AC1894">
        <f>IF(Y1894=1,Q1894-F1894,"")</f>
        <v/>
      </c>
      <c r="AD1894">
        <f>IF(Y1894=1,AC1894^2,"")</f>
        <v/>
      </c>
      <c r="AE1894" s="19">
        <f>IF(Z1894=1,(H1894-M1894)*I1894,0)</f>
        <v/>
      </c>
      <c r="AF1894">
        <f>IF(G1894&lt;EDATE(Assumptions!$C$6,-12)+1,"prior_12m","last_12m")</f>
        <v/>
      </c>
      <c r="AG1894" s="21">
        <f>DATE(YEAR(G1894),MONTH(G1894),1)</f>
        <v/>
      </c>
    </row>
    <row r="1895">
      <c r="A1895" t="inlineStr">
        <is>
          <t>SPO-01027-2</t>
        </is>
      </c>
      <c r="B1895" t="inlineStr">
        <is>
          <t>SPO-01027</t>
        </is>
      </c>
      <c r="C1895" t="inlineStr">
        <is>
          <t>SUP-04</t>
        </is>
      </c>
      <c r="D1895" t="inlineStr">
        <is>
          <t>FLEET</t>
        </is>
      </c>
      <c r="E1895" t="inlineStr">
        <is>
          <t>FLEET-06</t>
        </is>
      </c>
      <c r="F1895" s="17" t="n">
        <v>45854</v>
      </c>
      <c r="G1895" s="17" t="n">
        <v>45867</v>
      </c>
      <c r="H1895" s="18" t="n">
        <v>12</v>
      </c>
      <c r="I1895" s="19" t="n">
        <v>32.55</v>
      </c>
      <c r="J1895" s="19" t="n">
        <v>33</v>
      </c>
      <c r="K1895" s="20" t="n">
        <v>0</v>
      </c>
      <c r="L1895" s="20" t="n">
        <v>0</v>
      </c>
      <c r="M1895" s="18" t="n">
        <v>12</v>
      </c>
      <c r="N1895" s="18" t="n">
        <v>0</v>
      </c>
      <c r="O1895" s="18" t="n">
        <v>0</v>
      </c>
      <c r="P1895" s="17" t="n">
        <v>45876</v>
      </c>
      <c r="Q1895" s="17" t="n">
        <v>45876</v>
      </c>
      <c r="R1895" s="17" t="n">
        <v>45876</v>
      </c>
      <c r="S1895" s="19">
        <f>H1895*I1895</f>
        <v/>
      </c>
      <c r="T1895" s="19">
        <f>H1895*J1895</f>
        <v/>
      </c>
      <c r="U1895">
        <f>IF(AND(K1895=0,G1895&lt;=Assumptions!$C$6),1,0)</f>
        <v/>
      </c>
      <c r="V1895">
        <f>IF(U1895=1,IF(M1895&gt;0,IF(P1895&lt;=G1895+Assumptions!$C$7,1,0),0),0)</f>
        <v/>
      </c>
      <c r="W1895">
        <f>IF(AND(U1895=1,M1895&gt;=H1895*(1-Assumptions!$C$8)),1,0)</f>
        <v/>
      </c>
      <c r="X1895">
        <f>IF(AND(U1895=1,N1895&gt;=H1895*(1-Assumptions!$C$8)),1,0)</f>
        <v/>
      </c>
      <c r="Y1895">
        <f>IF(ISNUMBER(Q1895),1,0)</f>
        <v/>
      </c>
      <c r="Z1895">
        <f>IF(AND(K1895=0,L1895=0,Y1895=0),1,0)</f>
        <v/>
      </c>
      <c r="AA1895">
        <f>IF(AND(Z1895=1,G1895&lt;Assumptions!$C$6),1,0)</f>
        <v/>
      </c>
      <c r="AB1895">
        <f>IF(U1895=0,"",IF(Y1895=1,MAX(0,Q1895-G1895),IF(L1895=1,MAX(0,R1895-G1895),MAX(0,Assumptions!$C$6-G1895))))</f>
        <v/>
      </c>
      <c r="AC1895">
        <f>IF(Y1895=1,Q1895-F1895,"")</f>
        <v/>
      </c>
      <c r="AD1895">
        <f>IF(Y1895=1,AC1895^2,"")</f>
        <v/>
      </c>
      <c r="AE1895" s="19">
        <f>IF(Z1895=1,(H1895-M1895)*I1895,0)</f>
        <v/>
      </c>
      <c r="AF1895">
        <f>IF(G1895&lt;EDATE(Assumptions!$C$6,-12)+1,"prior_12m","last_12m")</f>
        <v/>
      </c>
      <c r="AG1895" s="21">
        <f>DATE(YEAR(G1895),MONTH(G1895),1)</f>
        <v/>
      </c>
    </row>
    <row r="1896">
      <c r="A1896" t="inlineStr">
        <is>
          <t>SPO-01028-1</t>
        </is>
      </c>
      <c r="B1896" t="inlineStr">
        <is>
          <t>SPO-01028</t>
        </is>
      </c>
      <c r="C1896" t="inlineStr">
        <is>
          <t>SUP-05</t>
        </is>
      </c>
      <c r="D1896" t="inlineStr">
        <is>
          <t>FLEET</t>
        </is>
      </c>
      <c r="E1896" t="inlineStr">
        <is>
          <t>FLEET-08</t>
        </is>
      </c>
      <c r="F1896" s="17" t="n">
        <v>45854</v>
      </c>
      <c r="G1896" s="17" t="n">
        <v>45868</v>
      </c>
      <c r="H1896" s="18" t="n">
        <v>211</v>
      </c>
      <c r="I1896" s="19" t="n">
        <v>6.79</v>
      </c>
      <c r="J1896" s="19" t="n">
        <v>6.4</v>
      </c>
      <c r="K1896" s="20" t="n">
        <v>0</v>
      </c>
      <c r="L1896" s="20" t="n">
        <v>0</v>
      </c>
      <c r="M1896" s="18" t="n">
        <v>211</v>
      </c>
      <c r="N1896" s="18" t="n">
        <v>211</v>
      </c>
      <c r="O1896" s="18" t="n">
        <v>0</v>
      </c>
      <c r="P1896" s="17" t="n">
        <v>45865</v>
      </c>
      <c r="Q1896" s="17" t="n">
        <v>45865</v>
      </c>
      <c r="R1896" s="17" t="n">
        <v>45865</v>
      </c>
      <c r="S1896" s="19">
        <f>H1896*I1896</f>
        <v/>
      </c>
      <c r="T1896" s="19">
        <f>H1896*J1896</f>
        <v/>
      </c>
      <c r="U1896">
        <f>IF(AND(K1896=0,G1896&lt;=Assumptions!$C$6),1,0)</f>
        <v/>
      </c>
      <c r="V1896">
        <f>IF(U1896=1,IF(M1896&gt;0,IF(P1896&lt;=G1896+Assumptions!$C$7,1,0),0),0)</f>
        <v/>
      </c>
      <c r="W1896">
        <f>IF(AND(U1896=1,M1896&gt;=H1896*(1-Assumptions!$C$8)),1,0)</f>
        <v/>
      </c>
      <c r="X1896">
        <f>IF(AND(U1896=1,N1896&gt;=H1896*(1-Assumptions!$C$8)),1,0)</f>
        <v/>
      </c>
      <c r="Y1896">
        <f>IF(ISNUMBER(Q1896),1,0)</f>
        <v/>
      </c>
      <c r="Z1896">
        <f>IF(AND(K1896=0,L1896=0,Y1896=0),1,0)</f>
        <v/>
      </c>
      <c r="AA1896">
        <f>IF(AND(Z1896=1,G1896&lt;Assumptions!$C$6),1,0)</f>
        <v/>
      </c>
      <c r="AB1896">
        <f>IF(U1896=0,"",IF(Y1896=1,MAX(0,Q1896-G1896),IF(L1896=1,MAX(0,R1896-G1896),MAX(0,Assumptions!$C$6-G1896))))</f>
        <v/>
      </c>
      <c r="AC1896">
        <f>IF(Y1896=1,Q1896-F1896,"")</f>
        <v/>
      </c>
      <c r="AD1896">
        <f>IF(Y1896=1,AC1896^2,"")</f>
        <v/>
      </c>
      <c r="AE1896" s="19">
        <f>IF(Z1896=1,(H1896-M1896)*I1896,0)</f>
        <v/>
      </c>
      <c r="AF1896">
        <f>IF(G1896&lt;EDATE(Assumptions!$C$6,-12)+1,"prior_12m","last_12m")</f>
        <v/>
      </c>
      <c r="AG1896" s="21">
        <f>DATE(YEAR(G1896),MONTH(G1896),1)</f>
        <v/>
      </c>
    </row>
    <row r="1897">
      <c r="A1897" t="inlineStr">
        <is>
          <t>SPO-01028-2</t>
        </is>
      </c>
      <c r="B1897" t="inlineStr">
        <is>
          <t>SPO-01028</t>
        </is>
      </c>
      <c r="C1897" t="inlineStr">
        <is>
          <t>SUP-05</t>
        </is>
      </c>
      <c r="D1897" t="inlineStr">
        <is>
          <t>FLEET</t>
        </is>
      </c>
      <c r="E1897" t="inlineStr">
        <is>
          <t>FLEET-02</t>
        </is>
      </c>
      <c r="F1897" s="17" t="n">
        <v>45854</v>
      </c>
      <c r="G1897" s="17" t="n">
        <v>45868</v>
      </c>
      <c r="H1897" s="18" t="n">
        <v>99</v>
      </c>
      <c r="I1897" s="19" t="n">
        <v>7.62</v>
      </c>
      <c r="J1897" s="19" t="n">
        <v>7.5</v>
      </c>
      <c r="K1897" s="20" t="n">
        <v>0</v>
      </c>
      <c r="L1897" s="20" t="n">
        <v>0</v>
      </c>
      <c r="M1897" s="18" t="n">
        <v>99</v>
      </c>
      <c r="N1897" s="18" t="n">
        <v>99</v>
      </c>
      <c r="O1897" s="18" t="n">
        <v>0</v>
      </c>
      <c r="P1897" s="17" t="n">
        <v>45865</v>
      </c>
      <c r="Q1897" s="17" t="n">
        <v>45865</v>
      </c>
      <c r="R1897" s="17" t="n">
        <v>45865</v>
      </c>
      <c r="S1897" s="19">
        <f>H1897*I1897</f>
        <v/>
      </c>
      <c r="T1897" s="19">
        <f>H1897*J1897</f>
        <v/>
      </c>
      <c r="U1897">
        <f>IF(AND(K1897=0,G1897&lt;=Assumptions!$C$6),1,0)</f>
        <v/>
      </c>
      <c r="V1897">
        <f>IF(U1897=1,IF(M1897&gt;0,IF(P1897&lt;=G1897+Assumptions!$C$7,1,0),0),0)</f>
        <v/>
      </c>
      <c r="W1897">
        <f>IF(AND(U1897=1,M1897&gt;=H1897*(1-Assumptions!$C$8)),1,0)</f>
        <v/>
      </c>
      <c r="X1897">
        <f>IF(AND(U1897=1,N1897&gt;=H1897*(1-Assumptions!$C$8)),1,0)</f>
        <v/>
      </c>
      <c r="Y1897">
        <f>IF(ISNUMBER(Q1897),1,0)</f>
        <v/>
      </c>
      <c r="Z1897">
        <f>IF(AND(K1897=0,L1897=0,Y1897=0),1,0)</f>
        <v/>
      </c>
      <c r="AA1897">
        <f>IF(AND(Z1897=1,G1897&lt;Assumptions!$C$6),1,0)</f>
        <v/>
      </c>
      <c r="AB1897">
        <f>IF(U1897=0,"",IF(Y1897=1,MAX(0,Q1897-G1897),IF(L1897=1,MAX(0,R1897-G1897),MAX(0,Assumptions!$C$6-G1897))))</f>
        <v/>
      </c>
      <c r="AC1897">
        <f>IF(Y1897=1,Q1897-F1897,"")</f>
        <v/>
      </c>
      <c r="AD1897">
        <f>IF(Y1897=1,AC1897^2,"")</f>
        <v/>
      </c>
      <c r="AE1897" s="19">
        <f>IF(Z1897=1,(H1897-M1897)*I1897,0)</f>
        <v/>
      </c>
      <c r="AF1897">
        <f>IF(G1897&lt;EDATE(Assumptions!$C$6,-12)+1,"prior_12m","last_12m")</f>
        <v/>
      </c>
      <c r="AG1897" s="21">
        <f>DATE(YEAR(G1897),MONTH(G1897),1)</f>
        <v/>
      </c>
    </row>
    <row r="1898">
      <c r="A1898" t="inlineStr">
        <is>
          <t>SPO-01029-1</t>
        </is>
      </c>
      <c r="B1898" t="inlineStr">
        <is>
          <t>SPO-01029</t>
        </is>
      </c>
      <c r="C1898" t="inlineStr">
        <is>
          <t>SUP-01</t>
        </is>
      </c>
      <c r="D1898" t="inlineStr">
        <is>
          <t>ELEC</t>
        </is>
      </c>
      <c r="E1898" t="inlineStr">
        <is>
          <t>ELEC-08</t>
        </is>
      </c>
      <c r="F1898" s="17" t="n">
        <v>45855</v>
      </c>
      <c r="G1898" s="17" t="n">
        <v>45873</v>
      </c>
      <c r="H1898" s="18" t="n">
        <v>112</v>
      </c>
      <c r="I1898" s="19" t="n">
        <v>18.42</v>
      </c>
      <c r="J1898" s="19" t="n">
        <v>18</v>
      </c>
      <c r="K1898" s="20" t="n">
        <v>0</v>
      </c>
      <c r="L1898" s="20" t="n">
        <v>0</v>
      </c>
      <c r="M1898" s="18" t="n">
        <v>112</v>
      </c>
      <c r="N1898" s="18" t="n">
        <v>112</v>
      </c>
      <c r="O1898" s="18" t="n">
        <v>0</v>
      </c>
      <c r="P1898" s="17" t="n">
        <v>45870</v>
      </c>
      <c r="Q1898" s="17" t="n">
        <v>45870</v>
      </c>
      <c r="R1898" s="17" t="n">
        <v>45870</v>
      </c>
      <c r="S1898" s="19">
        <f>H1898*I1898</f>
        <v/>
      </c>
      <c r="T1898" s="19">
        <f>H1898*J1898</f>
        <v/>
      </c>
      <c r="U1898">
        <f>IF(AND(K1898=0,G1898&lt;=Assumptions!$C$6),1,0)</f>
        <v/>
      </c>
      <c r="V1898">
        <f>IF(U1898=1,IF(M1898&gt;0,IF(P1898&lt;=G1898+Assumptions!$C$7,1,0),0),0)</f>
        <v/>
      </c>
      <c r="W1898">
        <f>IF(AND(U1898=1,M1898&gt;=H1898*(1-Assumptions!$C$8)),1,0)</f>
        <v/>
      </c>
      <c r="X1898">
        <f>IF(AND(U1898=1,N1898&gt;=H1898*(1-Assumptions!$C$8)),1,0)</f>
        <v/>
      </c>
      <c r="Y1898">
        <f>IF(ISNUMBER(Q1898),1,0)</f>
        <v/>
      </c>
      <c r="Z1898">
        <f>IF(AND(K1898=0,L1898=0,Y1898=0),1,0)</f>
        <v/>
      </c>
      <c r="AA1898">
        <f>IF(AND(Z1898=1,G1898&lt;Assumptions!$C$6),1,0)</f>
        <v/>
      </c>
      <c r="AB1898">
        <f>IF(U1898=0,"",IF(Y1898=1,MAX(0,Q1898-G1898),IF(L1898=1,MAX(0,R1898-G1898),MAX(0,Assumptions!$C$6-G1898))))</f>
        <v/>
      </c>
      <c r="AC1898">
        <f>IF(Y1898=1,Q1898-F1898,"")</f>
        <v/>
      </c>
      <c r="AD1898">
        <f>IF(Y1898=1,AC1898^2,"")</f>
        <v/>
      </c>
      <c r="AE1898" s="19">
        <f>IF(Z1898=1,(H1898-M1898)*I1898,0)</f>
        <v/>
      </c>
      <c r="AF1898">
        <f>IF(G1898&lt;EDATE(Assumptions!$C$6,-12)+1,"prior_12m","last_12m")</f>
        <v/>
      </c>
      <c r="AG1898" s="21">
        <f>DATE(YEAR(G1898),MONTH(G1898),1)</f>
        <v/>
      </c>
    </row>
    <row r="1899">
      <c r="A1899" t="inlineStr">
        <is>
          <t>SPO-01029-2</t>
        </is>
      </c>
      <c r="B1899" t="inlineStr">
        <is>
          <t>SPO-01029</t>
        </is>
      </c>
      <c r="C1899" t="inlineStr">
        <is>
          <t>SUP-01</t>
        </is>
      </c>
      <c r="D1899" t="inlineStr">
        <is>
          <t>ELEC</t>
        </is>
      </c>
      <c r="E1899" t="inlineStr">
        <is>
          <t>ELEC-02</t>
        </is>
      </c>
      <c r="F1899" s="17" t="n">
        <v>45855</v>
      </c>
      <c r="G1899" s="17" t="n">
        <v>45873</v>
      </c>
      <c r="H1899" s="18" t="n">
        <v>189</v>
      </c>
      <c r="I1899" s="19" t="n">
        <v>4.2</v>
      </c>
      <c r="J1899" s="19" t="n">
        <v>4.2</v>
      </c>
      <c r="K1899" s="20" t="n">
        <v>0</v>
      </c>
      <c r="L1899" s="20" t="n">
        <v>0</v>
      </c>
      <c r="M1899" s="18" t="n">
        <v>189</v>
      </c>
      <c r="N1899" s="18" t="n">
        <v>189</v>
      </c>
      <c r="O1899" s="18" t="n">
        <v>0</v>
      </c>
      <c r="P1899" s="17" t="n">
        <v>45872</v>
      </c>
      <c r="Q1899" s="17" t="n">
        <v>45872</v>
      </c>
      <c r="R1899" s="17" t="n">
        <v>45872</v>
      </c>
      <c r="S1899" s="19">
        <f>H1899*I1899</f>
        <v/>
      </c>
      <c r="T1899" s="19">
        <f>H1899*J1899</f>
        <v/>
      </c>
      <c r="U1899">
        <f>IF(AND(K1899=0,G1899&lt;=Assumptions!$C$6),1,0)</f>
        <v/>
      </c>
      <c r="V1899">
        <f>IF(U1899=1,IF(M1899&gt;0,IF(P1899&lt;=G1899+Assumptions!$C$7,1,0),0),0)</f>
        <v/>
      </c>
      <c r="W1899">
        <f>IF(AND(U1899=1,M1899&gt;=H1899*(1-Assumptions!$C$8)),1,0)</f>
        <v/>
      </c>
      <c r="X1899">
        <f>IF(AND(U1899=1,N1899&gt;=H1899*(1-Assumptions!$C$8)),1,0)</f>
        <v/>
      </c>
      <c r="Y1899">
        <f>IF(ISNUMBER(Q1899),1,0)</f>
        <v/>
      </c>
      <c r="Z1899">
        <f>IF(AND(K1899=0,L1899=0,Y1899=0),1,0)</f>
        <v/>
      </c>
      <c r="AA1899">
        <f>IF(AND(Z1899=1,G1899&lt;Assumptions!$C$6),1,0)</f>
        <v/>
      </c>
      <c r="AB1899">
        <f>IF(U1899=0,"",IF(Y1899=1,MAX(0,Q1899-G1899),IF(L1899=1,MAX(0,R1899-G1899),MAX(0,Assumptions!$C$6-G1899))))</f>
        <v/>
      </c>
      <c r="AC1899">
        <f>IF(Y1899=1,Q1899-F1899,"")</f>
        <v/>
      </c>
      <c r="AD1899">
        <f>IF(Y1899=1,AC1899^2,"")</f>
        <v/>
      </c>
      <c r="AE1899" s="19">
        <f>IF(Z1899=1,(H1899-M1899)*I1899,0)</f>
        <v/>
      </c>
      <c r="AF1899">
        <f>IF(G1899&lt;EDATE(Assumptions!$C$6,-12)+1,"prior_12m","last_12m")</f>
        <v/>
      </c>
      <c r="AG1899" s="21">
        <f>DATE(YEAR(G1899),MONTH(G1899),1)</f>
        <v/>
      </c>
    </row>
    <row r="1900">
      <c r="A1900" t="inlineStr">
        <is>
          <t>SPO-01029-3</t>
        </is>
      </c>
      <c r="B1900" t="inlineStr">
        <is>
          <t>SPO-01029</t>
        </is>
      </c>
      <c r="C1900" t="inlineStr">
        <is>
          <t>SUP-01</t>
        </is>
      </c>
      <c r="D1900" t="inlineStr">
        <is>
          <t>ELEC</t>
        </is>
      </c>
      <c r="E1900" t="inlineStr">
        <is>
          <t>ELEC-06</t>
        </is>
      </c>
      <c r="F1900" s="17" t="n">
        <v>45855</v>
      </c>
      <c r="G1900" s="17" t="n">
        <v>45873</v>
      </c>
      <c r="H1900" s="18" t="n">
        <v>24</v>
      </c>
      <c r="I1900" s="19" t="n">
        <v>146.56</v>
      </c>
      <c r="J1900" s="19" t="n">
        <v>145</v>
      </c>
      <c r="K1900" s="20" t="n">
        <v>0</v>
      </c>
      <c r="L1900" s="20" t="n">
        <v>0</v>
      </c>
      <c r="M1900" s="18" t="n">
        <v>24</v>
      </c>
      <c r="N1900" s="18" t="n">
        <v>24</v>
      </c>
      <c r="O1900" s="18" t="n">
        <v>0</v>
      </c>
      <c r="P1900" s="17" t="n">
        <v>45869</v>
      </c>
      <c r="Q1900" s="17" t="n">
        <v>45869</v>
      </c>
      <c r="R1900" s="17" t="n">
        <v>45869</v>
      </c>
      <c r="S1900" s="19">
        <f>H1900*I1900</f>
        <v/>
      </c>
      <c r="T1900" s="19">
        <f>H1900*J1900</f>
        <v/>
      </c>
      <c r="U1900">
        <f>IF(AND(K1900=0,G1900&lt;=Assumptions!$C$6),1,0)</f>
        <v/>
      </c>
      <c r="V1900">
        <f>IF(U1900=1,IF(M1900&gt;0,IF(P1900&lt;=G1900+Assumptions!$C$7,1,0),0),0)</f>
        <v/>
      </c>
      <c r="W1900">
        <f>IF(AND(U1900=1,M1900&gt;=H1900*(1-Assumptions!$C$8)),1,0)</f>
        <v/>
      </c>
      <c r="X1900">
        <f>IF(AND(U1900=1,N1900&gt;=H1900*(1-Assumptions!$C$8)),1,0)</f>
        <v/>
      </c>
      <c r="Y1900">
        <f>IF(ISNUMBER(Q1900),1,0)</f>
        <v/>
      </c>
      <c r="Z1900">
        <f>IF(AND(K1900=0,L1900=0,Y1900=0),1,0)</f>
        <v/>
      </c>
      <c r="AA1900">
        <f>IF(AND(Z1900=1,G1900&lt;Assumptions!$C$6),1,0)</f>
        <v/>
      </c>
      <c r="AB1900">
        <f>IF(U1900=0,"",IF(Y1900=1,MAX(0,Q1900-G1900),IF(L1900=1,MAX(0,R1900-G1900),MAX(0,Assumptions!$C$6-G1900))))</f>
        <v/>
      </c>
      <c r="AC1900">
        <f>IF(Y1900=1,Q1900-F1900,"")</f>
        <v/>
      </c>
      <c r="AD1900">
        <f>IF(Y1900=1,AC1900^2,"")</f>
        <v/>
      </c>
      <c r="AE1900" s="19">
        <f>IF(Z1900=1,(H1900-M1900)*I1900,0)</f>
        <v/>
      </c>
      <c r="AF1900">
        <f>IF(G1900&lt;EDATE(Assumptions!$C$6,-12)+1,"prior_12m","last_12m")</f>
        <v/>
      </c>
      <c r="AG1900" s="21">
        <f>DATE(YEAR(G1900),MONTH(G1900),1)</f>
        <v/>
      </c>
    </row>
    <row r="1901">
      <c r="A1901" t="inlineStr">
        <is>
          <t>SPO-01030-1</t>
        </is>
      </c>
      <c r="B1901" t="inlineStr">
        <is>
          <t>SPO-01030</t>
        </is>
      </c>
      <c r="C1901" t="inlineStr">
        <is>
          <t>SUP-08</t>
        </is>
      </c>
      <c r="D1901" t="inlineStr">
        <is>
          <t>PPE</t>
        </is>
      </c>
      <c r="E1901" t="inlineStr">
        <is>
          <t>PPE-06</t>
        </is>
      </c>
      <c r="F1901" s="17" t="n">
        <v>45855</v>
      </c>
      <c r="G1901" s="17" t="n">
        <v>45866</v>
      </c>
      <c r="H1901" s="18" t="n">
        <v>9</v>
      </c>
      <c r="I1901" s="19" t="n">
        <v>116.66</v>
      </c>
      <c r="J1901" s="19" t="n">
        <v>115</v>
      </c>
      <c r="K1901" s="20" t="n">
        <v>0</v>
      </c>
      <c r="L1901" s="20" t="n">
        <v>0</v>
      </c>
      <c r="M1901" s="18" t="n">
        <v>9</v>
      </c>
      <c r="N1901" s="18" t="n">
        <v>9</v>
      </c>
      <c r="O1901" s="18" t="n">
        <v>0</v>
      </c>
      <c r="P1901" s="17" t="n">
        <v>45862</v>
      </c>
      <c r="Q1901" s="17" t="n">
        <v>45862</v>
      </c>
      <c r="R1901" s="17" t="n">
        <v>45862</v>
      </c>
      <c r="S1901" s="19">
        <f>H1901*I1901</f>
        <v/>
      </c>
      <c r="T1901" s="19">
        <f>H1901*J1901</f>
        <v/>
      </c>
      <c r="U1901">
        <f>IF(AND(K1901=0,G1901&lt;=Assumptions!$C$6),1,0)</f>
        <v/>
      </c>
      <c r="V1901">
        <f>IF(U1901=1,IF(M1901&gt;0,IF(P1901&lt;=G1901+Assumptions!$C$7,1,0),0),0)</f>
        <v/>
      </c>
      <c r="W1901">
        <f>IF(AND(U1901=1,M1901&gt;=H1901*(1-Assumptions!$C$8)),1,0)</f>
        <v/>
      </c>
      <c r="X1901">
        <f>IF(AND(U1901=1,N1901&gt;=H1901*(1-Assumptions!$C$8)),1,0)</f>
        <v/>
      </c>
      <c r="Y1901">
        <f>IF(ISNUMBER(Q1901),1,0)</f>
        <v/>
      </c>
      <c r="Z1901">
        <f>IF(AND(K1901=0,L1901=0,Y1901=0),1,0)</f>
        <v/>
      </c>
      <c r="AA1901">
        <f>IF(AND(Z1901=1,G1901&lt;Assumptions!$C$6),1,0)</f>
        <v/>
      </c>
      <c r="AB1901">
        <f>IF(U1901=0,"",IF(Y1901=1,MAX(0,Q1901-G1901),IF(L1901=1,MAX(0,R1901-G1901),MAX(0,Assumptions!$C$6-G1901))))</f>
        <v/>
      </c>
      <c r="AC1901">
        <f>IF(Y1901=1,Q1901-F1901,"")</f>
        <v/>
      </c>
      <c r="AD1901">
        <f>IF(Y1901=1,AC1901^2,"")</f>
        <v/>
      </c>
      <c r="AE1901" s="19">
        <f>IF(Z1901=1,(H1901-M1901)*I1901,0)</f>
        <v/>
      </c>
      <c r="AF1901">
        <f>IF(G1901&lt;EDATE(Assumptions!$C$6,-12)+1,"prior_12m","last_12m")</f>
        <v/>
      </c>
      <c r="AG1901" s="21">
        <f>DATE(YEAR(G1901),MONTH(G1901),1)</f>
        <v/>
      </c>
    </row>
    <row r="1902">
      <c r="A1902" t="inlineStr">
        <is>
          <t>SPO-01030-2</t>
        </is>
      </c>
      <c r="B1902" t="inlineStr">
        <is>
          <t>SPO-01030</t>
        </is>
      </c>
      <c r="C1902" t="inlineStr">
        <is>
          <t>SUP-08</t>
        </is>
      </c>
      <c r="D1902" t="inlineStr">
        <is>
          <t>PPE</t>
        </is>
      </c>
      <c r="E1902" t="inlineStr">
        <is>
          <t>PPE-03</t>
        </is>
      </c>
      <c r="F1902" s="17" t="n">
        <v>45855</v>
      </c>
      <c r="G1902" s="17" t="n">
        <v>45866</v>
      </c>
      <c r="H1902" s="18" t="n">
        <v>92</v>
      </c>
      <c r="I1902" s="19" t="n">
        <v>20.5</v>
      </c>
      <c r="J1902" s="19" t="n">
        <v>21</v>
      </c>
      <c r="K1902" s="20" t="n">
        <v>0</v>
      </c>
      <c r="L1902" s="20" t="n">
        <v>0</v>
      </c>
      <c r="M1902" s="18" t="n">
        <v>92</v>
      </c>
      <c r="N1902" s="18" t="n">
        <v>92</v>
      </c>
      <c r="O1902" s="18" t="n">
        <v>19</v>
      </c>
      <c r="P1902" s="17" t="n">
        <v>45866</v>
      </c>
      <c r="Q1902" s="17" t="n">
        <v>45866</v>
      </c>
      <c r="R1902" s="17" t="n">
        <v>45866</v>
      </c>
      <c r="S1902" s="19">
        <f>H1902*I1902</f>
        <v/>
      </c>
      <c r="T1902" s="19">
        <f>H1902*J1902</f>
        <v/>
      </c>
      <c r="U1902">
        <f>IF(AND(K1902=0,G1902&lt;=Assumptions!$C$6),1,0)</f>
        <v/>
      </c>
      <c r="V1902">
        <f>IF(U1902=1,IF(M1902&gt;0,IF(P1902&lt;=G1902+Assumptions!$C$7,1,0),0),0)</f>
        <v/>
      </c>
      <c r="W1902">
        <f>IF(AND(U1902=1,M1902&gt;=H1902*(1-Assumptions!$C$8)),1,0)</f>
        <v/>
      </c>
      <c r="X1902">
        <f>IF(AND(U1902=1,N1902&gt;=H1902*(1-Assumptions!$C$8)),1,0)</f>
        <v/>
      </c>
      <c r="Y1902">
        <f>IF(ISNUMBER(Q1902),1,0)</f>
        <v/>
      </c>
      <c r="Z1902">
        <f>IF(AND(K1902=0,L1902=0,Y1902=0),1,0)</f>
        <v/>
      </c>
      <c r="AA1902">
        <f>IF(AND(Z1902=1,G1902&lt;Assumptions!$C$6),1,0)</f>
        <v/>
      </c>
      <c r="AB1902">
        <f>IF(U1902=0,"",IF(Y1902=1,MAX(0,Q1902-G1902),IF(L1902=1,MAX(0,R1902-G1902),MAX(0,Assumptions!$C$6-G1902))))</f>
        <v/>
      </c>
      <c r="AC1902">
        <f>IF(Y1902=1,Q1902-F1902,"")</f>
        <v/>
      </c>
      <c r="AD1902">
        <f>IF(Y1902=1,AC1902^2,"")</f>
        <v/>
      </c>
      <c r="AE1902" s="19">
        <f>IF(Z1902=1,(H1902-M1902)*I1902,0)</f>
        <v/>
      </c>
      <c r="AF1902">
        <f>IF(G1902&lt;EDATE(Assumptions!$C$6,-12)+1,"prior_12m","last_12m")</f>
        <v/>
      </c>
      <c r="AG1902" s="21">
        <f>DATE(YEAR(G1902),MONTH(G1902),1)</f>
        <v/>
      </c>
    </row>
    <row r="1903">
      <c r="A1903" t="inlineStr">
        <is>
          <t>SPO-01030-3</t>
        </is>
      </c>
      <c r="B1903" t="inlineStr">
        <is>
          <t>SPO-01030</t>
        </is>
      </c>
      <c r="C1903" t="inlineStr">
        <is>
          <t>SUP-08</t>
        </is>
      </c>
      <c r="D1903" t="inlineStr">
        <is>
          <t>PPE</t>
        </is>
      </c>
      <c r="E1903" t="inlineStr">
        <is>
          <t>PPE-01</t>
        </is>
      </c>
      <c r="F1903" s="17" t="n">
        <v>45855</v>
      </c>
      <c r="G1903" s="17" t="n">
        <v>45866</v>
      </c>
      <c r="H1903" s="18" t="n">
        <v>205</v>
      </c>
      <c r="I1903" s="19" t="n">
        <v>4.77</v>
      </c>
      <c r="J1903" s="19" t="n">
        <v>4.8</v>
      </c>
      <c r="K1903" s="20" t="n">
        <v>0</v>
      </c>
      <c r="L1903" s="20" t="n">
        <v>0</v>
      </c>
      <c r="M1903" s="18" t="n">
        <v>205</v>
      </c>
      <c r="N1903" s="18" t="n">
        <v>205</v>
      </c>
      <c r="O1903" s="18" t="n">
        <v>0</v>
      </c>
      <c r="P1903" s="17" t="n">
        <v>45862</v>
      </c>
      <c r="Q1903" s="17" t="n">
        <v>45862</v>
      </c>
      <c r="R1903" s="17" t="n">
        <v>45862</v>
      </c>
      <c r="S1903" s="19">
        <f>H1903*I1903</f>
        <v/>
      </c>
      <c r="T1903" s="19">
        <f>H1903*J1903</f>
        <v/>
      </c>
      <c r="U1903">
        <f>IF(AND(K1903=0,G1903&lt;=Assumptions!$C$6),1,0)</f>
        <v/>
      </c>
      <c r="V1903">
        <f>IF(U1903=1,IF(M1903&gt;0,IF(P1903&lt;=G1903+Assumptions!$C$7,1,0),0),0)</f>
        <v/>
      </c>
      <c r="W1903">
        <f>IF(AND(U1903=1,M1903&gt;=H1903*(1-Assumptions!$C$8)),1,0)</f>
        <v/>
      </c>
      <c r="X1903">
        <f>IF(AND(U1903=1,N1903&gt;=H1903*(1-Assumptions!$C$8)),1,0)</f>
        <v/>
      </c>
      <c r="Y1903">
        <f>IF(ISNUMBER(Q1903),1,0)</f>
        <v/>
      </c>
      <c r="Z1903">
        <f>IF(AND(K1903=0,L1903=0,Y1903=0),1,0)</f>
        <v/>
      </c>
      <c r="AA1903">
        <f>IF(AND(Z1903=1,G1903&lt;Assumptions!$C$6),1,0)</f>
        <v/>
      </c>
      <c r="AB1903">
        <f>IF(U1903=0,"",IF(Y1903=1,MAX(0,Q1903-G1903),IF(L1903=1,MAX(0,R1903-G1903),MAX(0,Assumptions!$C$6-G1903))))</f>
        <v/>
      </c>
      <c r="AC1903">
        <f>IF(Y1903=1,Q1903-F1903,"")</f>
        <v/>
      </c>
      <c r="AD1903">
        <f>IF(Y1903=1,AC1903^2,"")</f>
        <v/>
      </c>
      <c r="AE1903" s="19">
        <f>IF(Z1903=1,(H1903-M1903)*I1903,0)</f>
        <v/>
      </c>
      <c r="AF1903">
        <f>IF(G1903&lt;EDATE(Assumptions!$C$6,-12)+1,"prior_12m","last_12m")</f>
        <v/>
      </c>
      <c r="AG1903" s="21">
        <f>DATE(YEAR(G1903),MONTH(G1903),1)</f>
        <v/>
      </c>
    </row>
    <row r="1904">
      <c r="A1904" t="inlineStr">
        <is>
          <t>SPO-01031-1</t>
        </is>
      </c>
      <c r="B1904" t="inlineStr">
        <is>
          <t>SPO-01031</t>
        </is>
      </c>
      <c r="C1904" t="inlineStr">
        <is>
          <t>SUP-05</t>
        </is>
      </c>
      <c r="D1904" t="inlineStr">
        <is>
          <t>FLEET</t>
        </is>
      </c>
      <c r="E1904" t="inlineStr">
        <is>
          <t>FLEET-05</t>
        </is>
      </c>
      <c r="F1904" s="17" t="n">
        <v>45855</v>
      </c>
      <c r="G1904" s="17" t="n">
        <v>45869</v>
      </c>
      <c r="H1904" s="18" t="n">
        <v>8</v>
      </c>
      <c r="I1904" s="19" t="n">
        <v>172.37</v>
      </c>
      <c r="J1904" s="19" t="n">
        <v>168</v>
      </c>
      <c r="K1904" s="20" t="n">
        <v>0</v>
      </c>
      <c r="L1904" s="20" t="n">
        <v>0</v>
      </c>
      <c r="M1904" s="18" t="n">
        <v>8</v>
      </c>
      <c r="N1904" s="18" t="n">
        <v>8</v>
      </c>
      <c r="O1904" s="18" t="n">
        <v>0</v>
      </c>
      <c r="P1904" s="17" t="n">
        <v>45866</v>
      </c>
      <c r="Q1904" s="17" t="n">
        <v>45866</v>
      </c>
      <c r="R1904" s="17" t="n">
        <v>45866</v>
      </c>
      <c r="S1904" s="19">
        <f>H1904*I1904</f>
        <v/>
      </c>
      <c r="T1904" s="19">
        <f>H1904*J1904</f>
        <v/>
      </c>
      <c r="U1904">
        <f>IF(AND(K1904=0,G1904&lt;=Assumptions!$C$6),1,0)</f>
        <v/>
      </c>
      <c r="V1904">
        <f>IF(U1904=1,IF(M1904&gt;0,IF(P1904&lt;=G1904+Assumptions!$C$7,1,0),0),0)</f>
        <v/>
      </c>
      <c r="W1904">
        <f>IF(AND(U1904=1,M1904&gt;=H1904*(1-Assumptions!$C$8)),1,0)</f>
        <v/>
      </c>
      <c r="X1904">
        <f>IF(AND(U1904=1,N1904&gt;=H1904*(1-Assumptions!$C$8)),1,0)</f>
        <v/>
      </c>
      <c r="Y1904">
        <f>IF(ISNUMBER(Q1904),1,0)</f>
        <v/>
      </c>
      <c r="Z1904">
        <f>IF(AND(K1904=0,L1904=0,Y1904=0),1,0)</f>
        <v/>
      </c>
      <c r="AA1904">
        <f>IF(AND(Z1904=1,G1904&lt;Assumptions!$C$6),1,0)</f>
        <v/>
      </c>
      <c r="AB1904">
        <f>IF(U1904=0,"",IF(Y1904=1,MAX(0,Q1904-G1904),IF(L1904=1,MAX(0,R1904-G1904),MAX(0,Assumptions!$C$6-G1904))))</f>
        <v/>
      </c>
      <c r="AC1904">
        <f>IF(Y1904=1,Q1904-F1904,"")</f>
        <v/>
      </c>
      <c r="AD1904">
        <f>IF(Y1904=1,AC1904^2,"")</f>
        <v/>
      </c>
      <c r="AE1904" s="19">
        <f>IF(Z1904=1,(H1904-M1904)*I1904,0)</f>
        <v/>
      </c>
      <c r="AF1904">
        <f>IF(G1904&lt;EDATE(Assumptions!$C$6,-12)+1,"prior_12m","last_12m")</f>
        <v/>
      </c>
      <c r="AG1904" s="21">
        <f>DATE(YEAR(G1904),MONTH(G1904),1)</f>
        <v/>
      </c>
    </row>
    <row r="1905">
      <c r="A1905" t="inlineStr">
        <is>
          <t>SPO-01031-2</t>
        </is>
      </c>
      <c r="B1905" t="inlineStr">
        <is>
          <t>SPO-01031</t>
        </is>
      </c>
      <c r="C1905" t="inlineStr">
        <is>
          <t>SUP-05</t>
        </is>
      </c>
      <c r="D1905" t="inlineStr">
        <is>
          <t>FLEET</t>
        </is>
      </c>
      <c r="E1905" t="inlineStr">
        <is>
          <t>FLEET-01</t>
        </is>
      </c>
      <c r="F1905" s="17" t="n">
        <v>45855</v>
      </c>
      <c r="G1905" s="17" t="n">
        <v>45869</v>
      </c>
      <c r="H1905" s="18" t="n">
        <v>22</v>
      </c>
      <c r="I1905" s="19" t="n">
        <v>63.71</v>
      </c>
      <c r="J1905" s="19" t="n">
        <v>64</v>
      </c>
      <c r="K1905" s="20" t="n">
        <v>0</v>
      </c>
      <c r="L1905" s="20" t="n">
        <v>0</v>
      </c>
      <c r="M1905" s="18" t="n">
        <v>22</v>
      </c>
      <c r="N1905" s="18" t="n">
        <v>22</v>
      </c>
      <c r="O1905" s="18" t="n">
        <v>0</v>
      </c>
      <c r="P1905" s="17" t="n">
        <v>45868</v>
      </c>
      <c r="Q1905" s="17" t="n">
        <v>45868</v>
      </c>
      <c r="R1905" s="17" t="n">
        <v>45868</v>
      </c>
      <c r="S1905" s="19">
        <f>H1905*I1905</f>
        <v/>
      </c>
      <c r="T1905" s="19">
        <f>H1905*J1905</f>
        <v/>
      </c>
      <c r="U1905">
        <f>IF(AND(K1905=0,G1905&lt;=Assumptions!$C$6),1,0)</f>
        <v/>
      </c>
      <c r="V1905">
        <f>IF(U1905=1,IF(M1905&gt;0,IF(P1905&lt;=G1905+Assumptions!$C$7,1,0),0),0)</f>
        <v/>
      </c>
      <c r="W1905">
        <f>IF(AND(U1905=1,M1905&gt;=H1905*(1-Assumptions!$C$8)),1,0)</f>
        <v/>
      </c>
      <c r="X1905">
        <f>IF(AND(U1905=1,N1905&gt;=H1905*(1-Assumptions!$C$8)),1,0)</f>
        <v/>
      </c>
      <c r="Y1905">
        <f>IF(ISNUMBER(Q1905),1,0)</f>
        <v/>
      </c>
      <c r="Z1905">
        <f>IF(AND(K1905=0,L1905=0,Y1905=0),1,0)</f>
        <v/>
      </c>
      <c r="AA1905">
        <f>IF(AND(Z1905=1,G1905&lt;Assumptions!$C$6),1,0)</f>
        <v/>
      </c>
      <c r="AB1905">
        <f>IF(U1905=0,"",IF(Y1905=1,MAX(0,Q1905-G1905),IF(L1905=1,MAX(0,R1905-G1905),MAX(0,Assumptions!$C$6-G1905))))</f>
        <v/>
      </c>
      <c r="AC1905">
        <f>IF(Y1905=1,Q1905-F1905,"")</f>
        <v/>
      </c>
      <c r="AD1905">
        <f>IF(Y1905=1,AC1905^2,"")</f>
        <v/>
      </c>
      <c r="AE1905" s="19">
        <f>IF(Z1905=1,(H1905-M1905)*I1905,0)</f>
        <v/>
      </c>
      <c r="AF1905">
        <f>IF(G1905&lt;EDATE(Assumptions!$C$6,-12)+1,"prior_12m","last_12m")</f>
        <v/>
      </c>
      <c r="AG1905" s="21">
        <f>DATE(YEAR(G1905),MONTH(G1905),1)</f>
        <v/>
      </c>
    </row>
    <row r="1906">
      <c r="A1906" t="inlineStr">
        <is>
          <t>SPO-01032-1</t>
        </is>
      </c>
      <c r="B1906" t="inlineStr">
        <is>
          <t>SPO-01032</t>
        </is>
      </c>
      <c r="C1906" t="inlineStr">
        <is>
          <t>SUP-01</t>
        </is>
      </c>
      <c r="D1906" t="inlineStr">
        <is>
          <t>ELEC</t>
        </is>
      </c>
      <c r="E1906" t="inlineStr">
        <is>
          <t>ELEC-03</t>
        </is>
      </c>
      <c r="F1906" s="17" t="n">
        <v>45855</v>
      </c>
      <c r="G1906" s="17" t="n">
        <v>45873</v>
      </c>
      <c r="H1906" s="18" t="n">
        <v>33</v>
      </c>
      <c r="I1906" s="19" t="n">
        <v>97.01000000000001</v>
      </c>
      <c r="J1906" s="19" t="n">
        <v>96</v>
      </c>
      <c r="K1906" s="20" t="n">
        <v>0</v>
      </c>
      <c r="L1906" s="20" t="n">
        <v>0</v>
      </c>
      <c r="M1906" s="18" t="n">
        <v>33</v>
      </c>
      <c r="N1906" s="18" t="n">
        <v>33</v>
      </c>
      <c r="O1906" s="18" t="n">
        <v>0</v>
      </c>
      <c r="P1906" s="17" t="n">
        <v>45869</v>
      </c>
      <c r="Q1906" s="17" t="n">
        <v>45869</v>
      </c>
      <c r="R1906" s="17" t="n">
        <v>45869</v>
      </c>
      <c r="S1906" s="19">
        <f>H1906*I1906</f>
        <v/>
      </c>
      <c r="T1906" s="19">
        <f>H1906*J1906</f>
        <v/>
      </c>
      <c r="U1906">
        <f>IF(AND(K1906=0,G1906&lt;=Assumptions!$C$6),1,0)</f>
        <v/>
      </c>
      <c r="V1906">
        <f>IF(U1906=1,IF(M1906&gt;0,IF(P1906&lt;=G1906+Assumptions!$C$7,1,0),0),0)</f>
        <v/>
      </c>
      <c r="W1906">
        <f>IF(AND(U1906=1,M1906&gt;=H1906*(1-Assumptions!$C$8)),1,0)</f>
        <v/>
      </c>
      <c r="X1906">
        <f>IF(AND(U1906=1,N1906&gt;=H1906*(1-Assumptions!$C$8)),1,0)</f>
        <v/>
      </c>
      <c r="Y1906">
        <f>IF(ISNUMBER(Q1906),1,0)</f>
        <v/>
      </c>
      <c r="Z1906">
        <f>IF(AND(K1906=0,L1906=0,Y1906=0),1,0)</f>
        <v/>
      </c>
      <c r="AA1906">
        <f>IF(AND(Z1906=1,G1906&lt;Assumptions!$C$6),1,0)</f>
        <v/>
      </c>
      <c r="AB1906">
        <f>IF(U1906=0,"",IF(Y1906=1,MAX(0,Q1906-G1906),IF(L1906=1,MAX(0,R1906-G1906),MAX(0,Assumptions!$C$6-G1906))))</f>
        <v/>
      </c>
      <c r="AC1906">
        <f>IF(Y1906=1,Q1906-F1906,"")</f>
        <v/>
      </c>
      <c r="AD1906">
        <f>IF(Y1906=1,AC1906^2,"")</f>
        <v/>
      </c>
      <c r="AE1906" s="19">
        <f>IF(Z1906=1,(H1906-M1906)*I1906,0)</f>
        <v/>
      </c>
      <c r="AF1906">
        <f>IF(G1906&lt;EDATE(Assumptions!$C$6,-12)+1,"prior_12m","last_12m")</f>
        <v/>
      </c>
      <c r="AG1906" s="21">
        <f>DATE(YEAR(G1906),MONTH(G1906),1)</f>
        <v/>
      </c>
    </row>
    <row r="1907">
      <c r="A1907" t="inlineStr">
        <is>
          <t>SPO-01032-2</t>
        </is>
      </c>
      <c r="B1907" t="inlineStr">
        <is>
          <t>SPO-01032</t>
        </is>
      </c>
      <c r="C1907" t="inlineStr">
        <is>
          <t>SUP-01</t>
        </is>
      </c>
      <c r="D1907" t="inlineStr">
        <is>
          <t>ELEC</t>
        </is>
      </c>
      <c r="E1907" t="inlineStr">
        <is>
          <t>ELEC-05</t>
        </is>
      </c>
      <c r="F1907" s="17" t="n">
        <v>45855</v>
      </c>
      <c r="G1907" s="17" t="n">
        <v>45873</v>
      </c>
      <c r="H1907" s="18" t="n">
        <v>148</v>
      </c>
      <c r="I1907" s="19" t="n">
        <v>11.46</v>
      </c>
      <c r="J1907" s="19" t="n">
        <v>11.5</v>
      </c>
      <c r="K1907" s="20" t="n">
        <v>0</v>
      </c>
      <c r="L1907" s="20" t="n">
        <v>0</v>
      </c>
      <c r="M1907" s="18" t="n">
        <v>148</v>
      </c>
      <c r="N1907" s="18" t="n">
        <v>148</v>
      </c>
      <c r="O1907" s="18" t="n">
        <v>0</v>
      </c>
      <c r="P1907" s="17" t="n">
        <v>45872</v>
      </c>
      <c r="Q1907" s="17" t="n">
        <v>45872</v>
      </c>
      <c r="R1907" s="17" t="n">
        <v>45872</v>
      </c>
      <c r="S1907" s="19">
        <f>H1907*I1907</f>
        <v/>
      </c>
      <c r="T1907" s="19">
        <f>H1907*J1907</f>
        <v/>
      </c>
      <c r="U1907">
        <f>IF(AND(K1907=0,G1907&lt;=Assumptions!$C$6),1,0)</f>
        <v/>
      </c>
      <c r="V1907">
        <f>IF(U1907=1,IF(M1907&gt;0,IF(P1907&lt;=G1907+Assumptions!$C$7,1,0),0),0)</f>
        <v/>
      </c>
      <c r="W1907">
        <f>IF(AND(U1907=1,M1907&gt;=H1907*(1-Assumptions!$C$8)),1,0)</f>
        <v/>
      </c>
      <c r="X1907">
        <f>IF(AND(U1907=1,N1907&gt;=H1907*(1-Assumptions!$C$8)),1,0)</f>
        <v/>
      </c>
      <c r="Y1907">
        <f>IF(ISNUMBER(Q1907),1,0)</f>
        <v/>
      </c>
      <c r="Z1907">
        <f>IF(AND(K1907=0,L1907=0,Y1907=0),1,0)</f>
        <v/>
      </c>
      <c r="AA1907">
        <f>IF(AND(Z1907=1,G1907&lt;Assumptions!$C$6),1,0)</f>
        <v/>
      </c>
      <c r="AB1907">
        <f>IF(U1907=0,"",IF(Y1907=1,MAX(0,Q1907-G1907),IF(L1907=1,MAX(0,R1907-G1907),MAX(0,Assumptions!$C$6-G1907))))</f>
        <v/>
      </c>
      <c r="AC1907">
        <f>IF(Y1907=1,Q1907-F1907,"")</f>
        <v/>
      </c>
      <c r="AD1907">
        <f>IF(Y1907=1,AC1907^2,"")</f>
        <v/>
      </c>
      <c r="AE1907" s="19">
        <f>IF(Z1907=1,(H1907-M1907)*I1907,0)</f>
        <v/>
      </c>
      <c r="AF1907">
        <f>IF(G1907&lt;EDATE(Assumptions!$C$6,-12)+1,"prior_12m","last_12m")</f>
        <v/>
      </c>
      <c r="AG1907" s="21">
        <f>DATE(YEAR(G1907),MONTH(G1907),1)</f>
        <v/>
      </c>
    </row>
    <row r="1908">
      <c r="A1908" t="inlineStr">
        <is>
          <t>SPO-01032-3</t>
        </is>
      </c>
      <c r="B1908" t="inlineStr">
        <is>
          <t>SPO-01032</t>
        </is>
      </c>
      <c r="C1908" t="inlineStr">
        <is>
          <t>SUP-01</t>
        </is>
      </c>
      <c r="D1908" t="inlineStr">
        <is>
          <t>ELEC</t>
        </is>
      </c>
      <c r="E1908" t="inlineStr">
        <is>
          <t>ELEC-06</t>
        </is>
      </c>
      <c r="F1908" s="17" t="n">
        <v>45855</v>
      </c>
      <c r="G1908" s="17" t="n">
        <v>45873</v>
      </c>
      <c r="H1908" s="18" t="n">
        <v>12</v>
      </c>
      <c r="I1908" s="19" t="n">
        <v>144.07</v>
      </c>
      <c r="J1908" s="19" t="n">
        <v>145</v>
      </c>
      <c r="K1908" s="20" t="n">
        <v>0</v>
      </c>
      <c r="L1908" s="20" t="n">
        <v>0</v>
      </c>
      <c r="M1908" s="18" t="n">
        <v>12</v>
      </c>
      <c r="N1908" s="18" t="n">
        <v>12</v>
      </c>
      <c r="O1908" s="18" t="n">
        <v>0</v>
      </c>
      <c r="P1908" s="17" t="n">
        <v>45871</v>
      </c>
      <c r="Q1908" s="17" t="n">
        <v>45871</v>
      </c>
      <c r="R1908" s="17" t="n">
        <v>45871</v>
      </c>
      <c r="S1908" s="19">
        <f>H1908*I1908</f>
        <v/>
      </c>
      <c r="T1908" s="19">
        <f>H1908*J1908</f>
        <v/>
      </c>
      <c r="U1908">
        <f>IF(AND(K1908=0,G1908&lt;=Assumptions!$C$6),1,0)</f>
        <v/>
      </c>
      <c r="V1908">
        <f>IF(U1908=1,IF(M1908&gt;0,IF(P1908&lt;=G1908+Assumptions!$C$7,1,0),0),0)</f>
        <v/>
      </c>
      <c r="W1908">
        <f>IF(AND(U1908=1,M1908&gt;=H1908*(1-Assumptions!$C$8)),1,0)</f>
        <v/>
      </c>
      <c r="X1908">
        <f>IF(AND(U1908=1,N1908&gt;=H1908*(1-Assumptions!$C$8)),1,0)</f>
        <v/>
      </c>
      <c r="Y1908">
        <f>IF(ISNUMBER(Q1908),1,0)</f>
        <v/>
      </c>
      <c r="Z1908">
        <f>IF(AND(K1908=0,L1908=0,Y1908=0),1,0)</f>
        <v/>
      </c>
      <c r="AA1908">
        <f>IF(AND(Z1908=1,G1908&lt;Assumptions!$C$6),1,0)</f>
        <v/>
      </c>
      <c r="AB1908">
        <f>IF(U1908=0,"",IF(Y1908=1,MAX(0,Q1908-G1908),IF(L1908=1,MAX(0,R1908-G1908),MAX(0,Assumptions!$C$6-G1908))))</f>
        <v/>
      </c>
      <c r="AC1908">
        <f>IF(Y1908=1,Q1908-F1908,"")</f>
        <v/>
      </c>
      <c r="AD1908">
        <f>IF(Y1908=1,AC1908^2,"")</f>
        <v/>
      </c>
      <c r="AE1908" s="19">
        <f>IF(Z1908=1,(H1908-M1908)*I1908,0)</f>
        <v/>
      </c>
      <c r="AF1908">
        <f>IF(G1908&lt;EDATE(Assumptions!$C$6,-12)+1,"prior_12m","last_12m")</f>
        <v/>
      </c>
      <c r="AG1908" s="21">
        <f>DATE(YEAR(G1908),MONTH(G1908),1)</f>
        <v/>
      </c>
    </row>
    <row r="1909">
      <c r="A1909" t="inlineStr">
        <is>
          <t>SPO-01032-4</t>
        </is>
      </c>
      <c r="B1909" t="inlineStr">
        <is>
          <t>SPO-01032</t>
        </is>
      </c>
      <c r="C1909" t="inlineStr">
        <is>
          <t>SUP-01</t>
        </is>
      </c>
      <c r="D1909" t="inlineStr">
        <is>
          <t>ELEC</t>
        </is>
      </c>
      <c r="E1909" t="inlineStr">
        <is>
          <t>ELEC-07</t>
        </is>
      </c>
      <c r="F1909" s="17" t="n">
        <v>45855</v>
      </c>
      <c r="G1909" s="17" t="n">
        <v>45873</v>
      </c>
      <c r="H1909" s="18" t="n">
        <v>71</v>
      </c>
      <c r="I1909" s="19" t="n">
        <v>9.84</v>
      </c>
      <c r="J1909" s="19" t="n">
        <v>9.800000000000001</v>
      </c>
      <c r="K1909" s="20" t="n">
        <v>1</v>
      </c>
      <c r="L1909" s="20" t="n">
        <v>0</v>
      </c>
      <c r="M1909" s="18" t="n">
        <v>0</v>
      </c>
      <c r="N1909" s="18" t="n">
        <v>0</v>
      </c>
      <c r="O1909" s="18" t="n">
        <v>0</v>
      </c>
      <c r="P1909" s="17" t="n"/>
      <c r="Q1909" s="17" t="n"/>
      <c r="R1909" s="17" t="n"/>
      <c r="S1909" s="19">
        <f>H1909*I1909</f>
        <v/>
      </c>
      <c r="T1909" s="19">
        <f>H1909*J1909</f>
        <v/>
      </c>
      <c r="U1909">
        <f>IF(AND(K1909=0,G1909&lt;=Assumptions!$C$6),1,0)</f>
        <v/>
      </c>
      <c r="V1909">
        <f>IF(U1909=1,IF(M1909&gt;0,IF(P1909&lt;=G1909+Assumptions!$C$7,1,0),0),0)</f>
        <v/>
      </c>
      <c r="W1909">
        <f>IF(AND(U1909=1,M1909&gt;=H1909*(1-Assumptions!$C$8)),1,0)</f>
        <v/>
      </c>
      <c r="X1909">
        <f>IF(AND(U1909=1,N1909&gt;=H1909*(1-Assumptions!$C$8)),1,0)</f>
        <v/>
      </c>
      <c r="Y1909">
        <f>IF(ISNUMBER(Q1909),1,0)</f>
        <v/>
      </c>
      <c r="Z1909">
        <f>IF(AND(K1909=0,L1909=0,Y1909=0),1,0)</f>
        <v/>
      </c>
      <c r="AA1909">
        <f>IF(AND(Z1909=1,G1909&lt;Assumptions!$C$6),1,0)</f>
        <v/>
      </c>
      <c r="AB1909">
        <f>IF(U1909=0,"",IF(Y1909=1,MAX(0,Q1909-G1909),IF(L1909=1,MAX(0,R1909-G1909),MAX(0,Assumptions!$C$6-G1909))))</f>
        <v/>
      </c>
      <c r="AC1909">
        <f>IF(Y1909=1,Q1909-F1909,"")</f>
        <v/>
      </c>
      <c r="AD1909">
        <f>IF(Y1909=1,AC1909^2,"")</f>
        <v/>
      </c>
      <c r="AE1909" s="19">
        <f>IF(Z1909=1,(H1909-M1909)*I1909,0)</f>
        <v/>
      </c>
      <c r="AF1909">
        <f>IF(G1909&lt;EDATE(Assumptions!$C$6,-12)+1,"prior_12m","last_12m")</f>
        <v/>
      </c>
      <c r="AG1909" s="21">
        <f>DATE(YEAR(G1909),MONTH(G1909),1)</f>
        <v/>
      </c>
    </row>
    <row r="1910">
      <c r="A1910" t="inlineStr">
        <is>
          <t>SPO-01033-1</t>
        </is>
      </c>
      <c r="B1910" t="inlineStr">
        <is>
          <t>SPO-01033</t>
        </is>
      </c>
      <c r="C1910" t="inlineStr">
        <is>
          <t>SUP-01</t>
        </is>
      </c>
      <c r="D1910" t="inlineStr">
        <is>
          <t>ELEC</t>
        </is>
      </c>
      <c r="E1910" t="inlineStr">
        <is>
          <t>ELEC-02</t>
        </is>
      </c>
      <c r="F1910" s="17" t="n">
        <v>45856</v>
      </c>
      <c r="G1910" s="17" t="n">
        <v>45874</v>
      </c>
      <c r="H1910" s="18" t="n">
        <v>376</v>
      </c>
      <c r="I1910" s="19" t="n">
        <v>4.2</v>
      </c>
      <c r="J1910" s="19" t="n">
        <v>4.2</v>
      </c>
      <c r="K1910" s="20" t="n">
        <v>0</v>
      </c>
      <c r="L1910" s="20" t="n">
        <v>0</v>
      </c>
      <c r="M1910" s="18" t="n">
        <v>376</v>
      </c>
      <c r="N1910" s="18" t="n">
        <v>376</v>
      </c>
      <c r="O1910" s="18" t="n">
        <v>0</v>
      </c>
      <c r="P1910" s="17" t="n">
        <v>45871</v>
      </c>
      <c r="Q1910" s="17" t="n">
        <v>45871</v>
      </c>
      <c r="R1910" s="17" t="n">
        <v>45871</v>
      </c>
      <c r="S1910" s="19">
        <f>H1910*I1910</f>
        <v/>
      </c>
      <c r="T1910" s="19">
        <f>H1910*J1910</f>
        <v/>
      </c>
      <c r="U1910">
        <f>IF(AND(K1910=0,G1910&lt;=Assumptions!$C$6),1,0)</f>
        <v/>
      </c>
      <c r="V1910">
        <f>IF(U1910=1,IF(M1910&gt;0,IF(P1910&lt;=G1910+Assumptions!$C$7,1,0),0),0)</f>
        <v/>
      </c>
      <c r="W1910">
        <f>IF(AND(U1910=1,M1910&gt;=H1910*(1-Assumptions!$C$8)),1,0)</f>
        <v/>
      </c>
      <c r="X1910">
        <f>IF(AND(U1910=1,N1910&gt;=H1910*(1-Assumptions!$C$8)),1,0)</f>
        <v/>
      </c>
      <c r="Y1910">
        <f>IF(ISNUMBER(Q1910),1,0)</f>
        <v/>
      </c>
      <c r="Z1910">
        <f>IF(AND(K1910=0,L1910=0,Y1910=0),1,0)</f>
        <v/>
      </c>
      <c r="AA1910">
        <f>IF(AND(Z1910=1,G1910&lt;Assumptions!$C$6),1,0)</f>
        <v/>
      </c>
      <c r="AB1910">
        <f>IF(U1910=0,"",IF(Y1910=1,MAX(0,Q1910-G1910),IF(L1910=1,MAX(0,R1910-G1910),MAX(0,Assumptions!$C$6-G1910))))</f>
        <v/>
      </c>
      <c r="AC1910">
        <f>IF(Y1910=1,Q1910-F1910,"")</f>
        <v/>
      </c>
      <c r="AD1910">
        <f>IF(Y1910=1,AC1910^2,"")</f>
        <v/>
      </c>
      <c r="AE1910" s="19">
        <f>IF(Z1910=1,(H1910-M1910)*I1910,0)</f>
        <v/>
      </c>
      <c r="AF1910">
        <f>IF(G1910&lt;EDATE(Assumptions!$C$6,-12)+1,"prior_12m","last_12m")</f>
        <v/>
      </c>
      <c r="AG1910" s="21">
        <f>DATE(YEAR(G1910),MONTH(G1910),1)</f>
        <v/>
      </c>
    </row>
    <row r="1911">
      <c r="A1911" t="inlineStr">
        <is>
          <t>SPO-01033-2</t>
        </is>
      </c>
      <c r="B1911" t="inlineStr">
        <is>
          <t>SPO-01033</t>
        </is>
      </c>
      <c r="C1911" t="inlineStr">
        <is>
          <t>SUP-01</t>
        </is>
      </c>
      <c r="D1911" t="inlineStr">
        <is>
          <t>ELEC</t>
        </is>
      </c>
      <c r="E1911" t="inlineStr">
        <is>
          <t>ELEC-03</t>
        </is>
      </c>
      <c r="F1911" s="17" t="n">
        <v>45856</v>
      </c>
      <c r="G1911" s="17" t="n">
        <v>45874</v>
      </c>
      <c r="H1911" s="18" t="n">
        <v>9</v>
      </c>
      <c r="I1911" s="19" t="n">
        <v>93.87</v>
      </c>
      <c r="J1911" s="19" t="n">
        <v>96</v>
      </c>
      <c r="K1911" s="20" t="n">
        <v>0</v>
      </c>
      <c r="L1911" s="20" t="n">
        <v>0</v>
      </c>
      <c r="M1911" s="18" t="n">
        <v>9</v>
      </c>
      <c r="N1911" s="18" t="n">
        <v>9</v>
      </c>
      <c r="O1911" s="18" t="n">
        <v>0</v>
      </c>
      <c r="P1911" s="17" t="n">
        <v>45871</v>
      </c>
      <c r="Q1911" s="17" t="n">
        <v>45871</v>
      </c>
      <c r="R1911" s="17" t="n">
        <v>45871</v>
      </c>
      <c r="S1911" s="19">
        <f>H1911*I1911</f>
        <v/>
      </c>
      <c r="T1911" s="19">
        <f>H1911*J1911</f>
        <v/>
      </c>
      <c r="U1911">
        <f>IF(AND(K1911=0,G1911&lt;=Assumptions!$C$6),1,0)</f>
        <v/>
      </c>
      <c r="V1911">
        <f>IF(U1911=1,IF(M1911&gt;0,IF(P1911&lt;=G1911+Assumptions!$C$7,1,0),0),0)</f>
        <v/>
      </c>
      <c r="W1911">
        <f>IF(AND(U1911=1,M1911&gt;=H1911*(1-Assumptions!$C$8)),1,0)</f>
        <v/>
      </c>
      <c r="X1911">
        <f>IF(AND(U1911=1,N1911&gt;=H1911*(1-Assumptions!$C$8)),1,0)</f>
        <v/>
      </c>
      <c r="Y1911">
        <f>IF(ISNUMBER(Q1911),1,0)</f>
        <v/>
      </c>
      <c r="Z1911">
        <f>IF(AND(K1911=0,L1911=0,Y1911=0),1,0)</f>
        <v/>
      </c>
      <c r="AA1911">
        <f>IF(AND(Z1911=1,G1911&lt;Assumptions!$C$6),1,0)</f>
        <v/>
      </c>
      <c r="AB1911">
        <f>IF(U1911=0,"",IF(Y1911=1,MAX(0,Q1911-G1911),IF(L1911=1,MAX(0,R1911-G1911),MAX(0,Assumptions!$C$6-G1911))))</f>
        <v/>
      </c>
      <c r="AC1911">
        <f>IF(Y1911=1,Q1911-F1911,"")</f>
        <v/>
      </c>
      <c r="AD1911">
        <f>IF(Y1911=1,AC1911^2,"")</f>
        <v/>
      </c>
      <c r="AE1911" s="19">
        <f>IF(Z1911=1,(H1911-M1911)*I1911,0)</f>
        <v/>
      </c>
      <c r="AF1911">
        <f>IF(G1911&lt;EDATE(Assumptions!$C$6,-12)+1,"prior_12m","last_12m")</f>
        <v/>
      </c>
      <c r="AG1911" s="21">
        <f>DATE(YEAR(G1911),MONTH(G1911),1)</f>
        <v/>
      </c>
    </row>
    <row r="1912">
      <c r="A1912" t="inlineStr">
        <is>
          <t>SPO-01033-3</t>
        </is>
      </c>
      <c r="B1912" t="inlineStr">
        <is>
          <t>SPO-01033</t>
        </is>
      </c>
      <c r="C1912" t="inlineStr">
        <is>
          <t>SUP-01</t>
        </is>
      </c>
      <c r="D1912" t="inlineStr">
        <is>
          <t>ELEC</t>
        </is>
      </c>
      <c r="E1912" t="inlineStr">
        <is>
          <t>ELEC-01</t>
        </is>
      </c>
      <c r="F1912" s="17" t="n">
        <v>45856</v>
      </c>
      <c r="G1912" s="17" t="n">
        <v>45874</v>
      </c>
      <c r="H1912" s="18" t="n">
        <v>74</v>
      </c>
      <c r="I1912" s="19" t="n">
        <v>40.38</v>
      </c>
      <c r="J1912" s="19" t="n">
        <v>38</v>
      </c>
      <c r="K1912" s="20" t="n">
        <v>0</v>
      </c>
      <c r="L1912" s="20" t="n">
        <v>0</v>
      </c>
      <c r="M1912" s="18" t="n">
        <v>74</v>
      </c>
      <c r="N1912" s="18" t="n">
        <v>74</v>
      </c>
      <c r="O1912" s="18" t="n">
        <v>0</v>
      </c>
      <c r="P1912" s="17" t="n">
        <v>45869</v>
      </c>
      <c r="Q1912" s="17" t="n">
        <v>45869</v>
      </c>
      <c r="R1912" s="17" t="n">
        <v>45869</v>
      </c>
      <c r="S1912" s="19">
        <f>H1912*I1912</f>
        <v/>
      </c>
      <c r="T1912" s="19">
        <f>H1912*J1912</f>
        <v/>
      </c>
      <c r="U1912">
        <f>IF(AND(K1912=0,G1912&lt;=Assumptions!$C$6),1,0)</f>
        <v/>
      </c>
      <c r="V1912">
        <f>IF(U1912=1,IF(M1912&gt;0,IF(P1912&lt;=G1912+Assumptions!$C$7,1,0),0),0)</f>
        <v/>
      </c>
      <c r="W1912">
        <f>IF(AND(U1912=1,M1912&gt;=H1912*(1-Assumptions!$C$8)),1,0)</f>
        <v/>
      </c>
      <c r="X1912">
        <f>IF(AND(U1912=1,N1912&gt;=H1912*(1-Assumptions!$C$8)),1,0)</f>
        <v/>
      </c>
      <c r="Y1912">
        <f>IF(ISNUMBER(Q1912),1,0)</f>
        <v/>
      </c>
      <c r="Z1912">
        <f>IF(AND(K1912=0,L1912=0,Y1912=0),1,0)</f>
        <v/>
      </c>
      <c r="AA1912">
        <f>IF(AND(Z1912=1,G1912&lt;Assumptions!$C$6),1,0)</f>
        <v/>
      </c>
      <c r="AB1912">
        <f>IF(U1912=0,"",IF(Y1912=1,MAX(0,Q1912-G1912),IF(L1912=1,MAX(0,R1912-G1912),MAX(0,Assumptions!$C$6-G1912))))</f>
        <v/>
      </c>
      <c r="AC1912">
        <f>IF(Y1912=1,Q1912-F1912,"")</f>
        <v/>
      </c>
      <c r="AD1912">
        <f>IF(Y1912=1,AC1912^2,"")</f>
        <v/>
      </c>
      <c r="AE1912" s="19">
        <f>IF(Z1912=1,(H1912-M1912)*I1912,0)</f>
        <v/>
      </c>
      <c r="AF1912">
        <f>IF(G1912&lt;EDATE(Assumptions!$C$6,-12)+1,"prior_12m","last_12m")</f>
        <v/>
      </c>
      <c r="AG1912" s="21">
        <f>DATE(YEAR(G1912),MONTH(G1912),1)</f>
        <v/>
      </c>
    </row>
    <row r="1913">
      <c r="A1913" t="inlineStr">
        <is>
          <t>SPO-01034-1</t>
        </is>
      </c>
      <c r="B1913" t="inlineStr">
        <is>
          <t>SPO-01034</t>
        </is>
      </c>
      <c r="C1913" t="inlineStr">
        <is>
          <t>SUP-06</t>
        </is>
      </c>
      <c r="D1913" t="inlineStr">
        <is>
          <t>MRO</t>
        </is>
      </c>
      <c r="E1913" t="inlineStr">
        <is>
          <t>MRO-02</t>
        </is>
      </c>
      <c r="F1913" s="17" t="n">
        <v>45856</v>
      </c>
      <c r="G1913" s="17" t="n">
        <v>45864</v>
      </c>
      <c r="H1913" s="18" t="n">
        <v>41</v>
      </c>
      <c r="I1913" s="19" t="n">
        <v>41.06</v>
      </c>
      <c r="J1913" s="19" t="n">
        <v>41</v>
      </c>
      <c r="K1913" s="20" t="n">
        <v>0</v>
      </c>
      <c r="L1913" s="20" t="n">
        <v>0</v>
      </c>
      <c r="M1913" s="18" t="n">
        <v>41</v>
      </c>
      <c r="N1913" s="18" t="n">
        <v>41</v>
      </c>
      <c r="O1913" s="18" t="n">
        <v>0</v>
      </c>
      <c r="P1913" s="17" t="n">
        <v>45863</v>
      </c>
      <c r="Q1913" s="17" t="n">
        <v>45863</v>
      </c>
      <c r="R1913" s="17" t="n">
        <v>45863</v>
      </c>
      <c r="S1913" s="19">
        <f>H1913*I1913</f>
        <v/>
      </c>
      <c r="T1913" s="19">
        <f>H1913*J1913</f>
        <v/>
      </c>
      <c r="U1913">
        <f>IF(AND(K1913=0,G1913&lt;=Assumptions!$C$6),1,0)</f>
        <v/>
      </c>
      <c r="V1913">
        <f>IF(U1913=1,IF(M1913&gt;0,IF(P1913&lt;=G1913+Assumptions!$C$7,1,0),0),0)</f>
        <v/>
      </c>
      <c r="W1913">
        <f>IF(AND(U1913=1,M1913&gt;=H1913*(1-Assumptions!$C$8)),1,0)</f>
        <v/>
      </c>
      <c r="X1913">
        <f>IF(AND(U1913=1,N1913&gt;=H1913*(1-Assumptions!$C$8)),1,0)</f>
        <v/>
      </c>
      <c r="Y1913">
        <f>IF(ISNUMBER(Q1913),1,0)</f>
        <v/>
      </c>
      <c r="Z1913">
        <f>IF(AND(K1913=0,L1913=0,Y1913=0),1,0)</f>
        <v/>
      </c>
      <c r="AA1913">
        <f>IF(AND(Z1913=1,G1913&lt;Assumptions!$C$6),1,0)</f>
        <v/>
      </c>
      <c r="AB1913">
        <f>IF(U1913=0,"",IF(Y1913=1,MAX(0,Q1913-G1913),IF(L1913=1,MAX(0,R1913-G1913),MAX(0,Assumptions!$C$6-G1913))))</f>
        <v/>
      </c>
      <c r="AC1913">
        <f>IF(Y1913=1,Q1913-F1913,"")</f>
        <v/>
      </c>
      <c r="AD1913">
        <f>IF(Y1913=1,AC1913^2,"")</f>
        <v/>
      </c>
      <c r="AE1913" s="19">
        <f>IF(Z1913=1,(H1913-M1913)*I1913,0)</f>
        <v/>
      </c>
      <c r="AF1913">
        <f>IF(G1913&lt;EDATE(Assumptions!$C$6,-12)+1,"prior_12m","last_12m")</f>
        <v/>
      </c>
      <c r="AG1913" s="21">
        <f>DATE(YEAR(G1913),MONTH(G1913),1)</f>
        <v/>
      </c>
    </row>
    <row r="1914">
      <c r="A1914" t="inlineStr">
        <is>
          <t>SPO-01035-1</t>
        </is>
      </c>
      <c r="B1914" t="inlineStr">
        <is>
          <t>SPO-01035</t>
        </is>
      </c>
      <c r="C1914" t="inlineStr">
        <is>
          <t>SUP-04</t>
        </is>
      </c>
      <c r="D1914" t="inlineStr">
        <is>
          <t>FLEET</t>
        </is>
      </c>
      <c r="E1914" t="inlineStr">
        <is>
          <t>FLEET-07</t>
        </is>
      </c>
      <c r="F1914" s="17" t="n">
        <v>45857</v>
      </c>
      <c r="G1914" s="17" t="n">
        <v>45870</v>
      </c>
      <c r="H1914" s="18" t="n">
        <v>12</v>
      </c>
      <c r="I1914" s="19" t="n">
        <v>120.51</v>
      </c>
      <c r="J1914" s="19" t="n">
        <v>118</v>
      </c>
      <c r="K1914" s="20" t="n">
        <v>0</v>
      </c>
      <c r="L1914" s="20" t="n">
        <v>0</v>
      </c>
      <c r="M1914" s="18" t="n">
        <v>12</v>
      </c>
      <c r="N1914" s="18" t="n">
        <v>5</v>
      </c>
      <c r="O1914" s="18" t="n">
        <v>0</v>
      </c>
      <c r="P1914" s="17" t="n">
        <v>45868</v>
      </c>
      <c r="Q1914" s="17" t="n">
        <v>45881</v>
      </c>
      <c r="R1914" s="17" t="n">
        <v>45881</v>
      </c>
      <c r="S1914" s="19">
        <f>H1914*I1914</f>
        <v/>
      </c>
      <c r="T1914" s="19">
        <f>H1914*J1914</f>
        <v/>
      </c>
      <c r="U1914">
        <f>IF(AND(K1914=0,G1914&lt;=Assumptions!$C$6),1,0)</f>
        <v/>
      </c>
      <c r="V1914">
        <f>IF(U1914=1,IF(M1914&gt;0,IF(P1914&lt;=G1914+Assumptions!$C$7,1,0),0),0)</f>
        <v/>
      </c>
      <c r="W1914">
        <f>IF(AND(U1914=1,M1914&gt;=H1914*(1-Assumptions!$C$8)),1,0)</f>
        <v/>
      </c>
      <c r="X1914">
        <f>IF(AND(U1914=1,N1914&gt;=H1914*(1-Assumptions!$C$8)),1,0)</f>
        <v/>
      </c>
      <c r="Y1914">
        <f>IF(ISNUMBER(Q1914),1,0)</f>
        <v/>
      </c>
      <c r="Z1914">
        <f>IF(AND(K1914=0,L1914=0,Y1914=0),1,0)</f>
        <v/>
      </c>
      <c r="AA1914">
        <f>IF(AND(Z1914=1,G1914&lt;Assumptions!$C$6),1,0)</f>
        <v/>
      </c>
      <c r="AB1914">
        <f>IF(U1914=0,"",IF(Y1914=1,MAX(0,Q1914-G1914),IF(L1914=1,MAX(0,R1914-G1914),MAX(0,Assumptions!$C$6-G1914))))</f>
        <v/>
      </c>
      <c r="AC1914">
        <f>IF(Y1914=1,Q1914-F1914,"")</f>
        <v/>
      </c>
      <c r="AD1914">
        <f>IF(Y1914=1,AC1914^2,"")</f>
        <v/>
      </c>
      <c r="AE1914" s="19">
        <f>IF(Z1914=1,(H1914-M1914)*I1914,0)</f>
        <v/>
      </c>
      <c r="AF1914">
        <f>IF(G1914&lt;EDATE(Assumptions!$C$6,-12)+1,"prior_12m","last_12m")</f>
        <v/>
      </c>
      <c r="AG1914" s="21">
        <f>DATE(YEAR(G1914),MONTH(G1914),1)</f>
        <v/>
      </c>
    </row>
    <row r="1915">
      <c r="A1915" t="inlineStr">
        <is>
          <t>SPO-01035-2</t>
        </is>
      </c>
      <c r="B1915" t="inlineStr">
        <is>
          <t>SPO-01035</t>
        </is>
      </c>
      <c r="C1915" t="inlineStr">
        <is>
          <t>SUP-04</t>
        </is>
      </c>
      <c r="D1915" t="inlineStr">
        <is>
          <t>FLEET</t>
        </is>
      </c>
      <c r="E1915" t="inlineStr">
        <is>
          <t>FLEET-03</t>
        </is>
      </c>
      <c r="F1915" s="17" t="n">
        <v>45857</v>
      </c>
      <c r="G1915" s="17" t="n">
        <v>45870</v>
      </c>
      <c r="H1915" s="18" t="n">
        <v>51</v>
      </c>
      <c r="I1915" s="19" t="n">
        <v>20.99</v>
      </c>
      <c r="J1915" s="19" t="n">
        <v>21</v>
      </c>
      <c r="K1915" s="20" t="n">
        <v>0</v>
      </c>
      <c r="L1915" s="20" t="n">
        <v>0</v>
      </c>
      <c r="M1915" s="18" t="n">
        <v>51</v>
      </c>
      <c r="N1915" s="18" t="n">
        <v>38</v>
      </c>
      <c r="O1915" s="18" t="n">
        <v>0</v>
      </c>
      <c r="P1915" s="17" t="n">
        <v>45869</v>
      </c>
      <c r="Q1915" s="17" t="n">
        <v>45889</v>
      </c>
      <c r="R1915" s="17" t="n">
        <v>45889</v>
      </c>
      <c r="S1915" s="19">
        <f>H1915*I1915</f>
        <v/>
      </c>
      <c r="T1915" s="19">
        <f>H1915*J1915</f>
        <v/>
      </c>
      <c r="U1915">
        <f>IF(AND(K1915=0,G1915&lt;=Assumptions!$C$6),1,0)</f>
        <v/>
      </c>
      <c r="V1915">
        <f>IF(U1915=1,IF(M1915&gt;0,IF(P1915&lt;=G1915+Assumptions!$C$7,1,0),0),0)</f>
        <v/>
      </c>
      <c r="W1915">
        <f>IF(AND(U1915=1,M1915&gt;=H1915*(1-Assumptions!$C$8)),1,0)</f>
        <v/>
      </c>
      <c r="X1915">
        <f>IF(AND(U1915=1,N1915&gt;=H1915*(1-Assumptions!$C$8)),1,0)</f>
        <v/>
      </c>
      <c r="Y1915">
        <f>IF(ISNUMBER(Q1915),1,0)</f>
        <v/>
      </c>
      <c r="Z1915">
        <f>IF(AND(K1915=0,L1915=0,Y1915=0),1,0)</f>
        <v/>
      </c>
      <c r="AA1915">
        <f>IF(AND(Z1915=1,G1915&lt;Assumptions!$C$6),1,0)</f>
        <v/>
      </c>
      <c r="AB1915">
        <f>IF(U1915=0,"",IF(Y1915=1,MAX(0,Q1915-G1915),IF(L1915=1,MAX(0,R1915-G1915),MAX(0,Assumptions!$C$6-G1915))))</f>
        <v/>
      </c>
      <c r="AC1915">
        <f>IF(Y1915=1,Q1915-F1915,"")</f>
        <v/>
      </c>
      <c r="AD1915">
        <f>IF(Y1915=1,AC1915^2,"")</f>
        <v/>
      </c>
      <c r="AE1915" s="19">
        <f>IF(Z1915=1,(H1915-M1915)*I1915,0)</f>
        <v/>
      </c>
      <c r="AF1915">
        <f>IF(G1915&lt;EDATE(Assumptions!$C$6,-12)+1,"prior_12m","last_12m")</f>
        <v/>
      </c>
      <c r="AG1915" s="21">
        <f>DATE(YEAR(G1915),MONTH(G1915),1)</f>
        <v/>
      </c>
    </row>
    <row r="1916">
      <c r="A1916" t="inlineStr">
        <is>
          <t>SPO-01036-1</t>
        </is>
      </c>
      <c r="B1916" t="inlineStr">
        <is>
          <t>SPO-01036</t>
        </is>
      </c>
      <c r="C1916" t="inlineStr">
        <is>
          <t>SUP-04</t>
        </is>
      </c>
      <c r="D1916" t="inlineStr">
        <is>
          <t>FLEET</t>
        </is>
      </c>
      <c r="E1916" t="inlineStr">
        <is>
          <t>FLEET-04</t>
        </is>
      </c>
      <c r="F1916" s="17" t="n">
        <v>45857</v>
      </c>
      <c r="G1916" s="17" t="n">
        <v>45870</v>
      </c>
      <c r="H1916" s="18" t="n">
        <v>87</v>
      </c>
      <c r="I1916" s="19" t="n">
        <v>9.039999999999999</v>
      </c>
      <c r="J1916" s="19" t="n">
        <v>9</v>
      </c>
      <c r="K1916" s="20" t="n">
        <v>0</v>
      </c>
      <c r="L1916" s="20" t="n">
        <v>0</v>
      </c>
      <c r="M1916" s="18" t="n">
        <v>87</v>
      </c>
      <c r="N1916" s="18" t="n">
        <v>0</v>
      </c>
      <c r="O1916" s="18" t="n">
        <v>0</v>
      </c>
      <c r="P1916" s="17" t="n">
        <v>45873</v>
      </c>
      <c r="Q1916" s="17" t="n">
        <v>45873</v>
      </c>
      <c r="R1916" s="17" t="n">
        <v>45873</v>
      </c>
      <c r="S1916" s="19">
        <f>H1916*I1916</f>
        <v/>
      </c>
      <c r="T1916" s="19">
        <f>H1916*J1916</f>
        <v/>
      </c>
      <c r="U1916">
        <f>IF(AND(K1916=0,G1916&lt;=Assumptions!$C$6),1,0)</f>
        <v/>
      </c>
      <c r="V1916">
        <f>IF(U1916=1,IF(M1916&gt;0,IF(P1916&lt;=G1916+Assumptions!$C$7,1,0),0),0)</f>
        <v/>
      </c>
      <c r="W1916">
        <f>IF(AND(U1916=1,M1916&gt;=H1916*(1-Assumptions!$C$8)),1,0)</f>
        <v/>
      </c>
      <c r="X1916">
        <f>IF(AND(U1916=1,N1916&gt;=H1916*(1-Assumptions!$C$8)),1,0)</f>
        <v/>
      </c>
      <c r="Y1916">
        <f>IF(ISNUMBER(Q1916),1,0)</f>
        <v/>
      </c>
      <c r="Z1916">
        <f>IF(AND(K1916=0,L1916=0,Y1916=0),1,0)</f>
        <v/>
      </c>
      <c r="AA1916">
        <f>IF(AND(Z1916=1,G1916&lt;Assumptions!$C$6),1,0)</f>
        <v/>
      </c>
      <c r="AB1916">
        <f>IF(U1916=0,"",IF(Y1916=1,MAX(0,Q1916-G1916),IF(L1916=1,MAX(0,R1916-G1916),MAX(0,Assumptions!$C$6-G1916))))</f>
        <v/>
      </c>
      <c r="AC1916">
        <f>IF(Y1916=1,Q1916-F1916,"")</f>
        <v/>
      </c>
      <c r="AD1916">
        <f>IF(Y1916=1,AC1916^2,"")</f>
        <v/>
      </c>
      <c r="AE1916" s="19">
        <f>IF(Z1916=1,(H1916-M1916)*I1916,0)</f>
        <v/>
      </c>
      <c r="AF1916">
        <f>IF(G1916&lt;EDATE(Assumptions!$C$6,-12)+1,"prior_12m","last_12m")</f>
        <v/>
      </c>
      <c r="AG1916" s="21">
        <f>DATE(YEAR(G1916),MONTH(G1916),1)</f>
        <v/>
      </c>
    </row>
    <row r="1917">
      <c r="A1917" t="inlineStr">
        <is>
          <t>SPO-01036-2</t>
        </is>
      </c>
      <c r="B1917" t="inlineStr">
        <is>
          <t>SPO-01036</t>
        </is>
      </c>
      <c r="C1917" t="inlineStr">
        <is>
          <t>SUP-04</t>
        </is>
      </c>
      <c r="D1917" t="inlineStr">
        <is>
          <t>FLEET</t>
        </is>
      </c>
      <c r="E1917" t="inlineStr">
        <is>
          <t>FLEET-02</t>
        </is>
      </c>
      <c r="F1917" s="17" t="n">
        <v>45857</v>
      </c>
      <c r="G1917" s="17" t="n">
        <v>45870</v>
      </c>
      <c r="H1917" s="18" t="n">
        <v>280</v>
      </c>
      <c r="I1917" s="19" t="n">
        <v>7.12</v>
      </c>
      <c r="J1917" s="19" t="n">
        <v>7.5</v>
      </c>
      <c r="K1917" s="20" t="n">
        <v>0</v>
      </c>
      <c r="L1917" s="20" t="n">
        <v>0</v>
      </c>
      <c r="M1917" s="18" t="n">
        <v>280</v>
      </c>
      <c r="N1917" s="18" t="n">
        <v>280</v>
      </c>
      <c r="O1917" s="18" t="n">
        <v>0</v>
      </c>
      <c r="P1917" s="17" t="n">
        <v>45864</v>
      </c>
      <c r="Q1917" s="17" t="n">
        <v>45864</v>
      </c>
      <c r="R1917" s="17" t="n">
        <v>45864</v>
      </c>
      <c r="S1917" s="19">
        <f>H1917*I1917</f>
        <v/>
      </c>
      <c r="T1917" s="19">
        <f>H1917*J1917</f>
        <v/>
      </c>
      <c r="U1917">
        <f>IF(AND(K1917=0,G1917&lt;=Assumptions!$C$6),1,0)</f>
        <v/>
      </c>
      <c r="V1917">
        <f>IF(U1917=1,IF(M1917&gt;0,IF(P1917&lt;=G1917+Assumptions!$C$7,1,0),0),0)</f>
        <v/>
      </c>
      <c r="W1917">
        <f>IF(AND(U1917=1,M1917&gt;=H1917*(1-Assumptions!$C$8)),1,0)</f>
        <v/>
      </c>
      <c r="X1917">
        <f>IF(AND(U1917=1,N1917&gt;=H1917*(1-Assumptions!$C$8)),1,0)</f>
        <v/>
      </c>
      <c r="Y1917">
        <f>IF(ISNUMBER(Q1917),1,0)</f>
        <v/>
      </c>
      <c r="Z1917">
        <f>IF(AND(K1917=0,L1917=0,Y1917=0),1,0)</f>
        <v/>
      </c>
      <c r="AA1917">
        <f>IF(AND(Z1917=1,G1917&lt;Assumptions!$C$6),1,0)</f>
        <v/>
      </c>
      <c r="AB1917">
        <f>IF(U1917=0,"",IF(Y1917=1,MAX(0,Q1917-G1917),IF(L1917=1,MAX(0,R1917-G1917),MAX(0,Assumptions!$C$6-G1917))))</f>
        <v/>
      </c>
      <c r="AC1917">
        <f>IF(Y1917=1,Q1917-F1917,"")</f>
        <v/>
      </c>
      <c r="AD1917">
        <f>IF(Y1917=1,AC1917^2,"")</f>
        <v/>
      </c>
      <c r="AE1917" s="19">
        <f>IF(Z1917=1,(H1917-M1917)*I1917,0)</f>
        <v/>
      </c>
      <c r="AF1917">
        <f>IF(G1917&lt;EDATE(Assumptions!$C$6,-12)+1,"prior_12m","last_12m")</f>
        <v/>
      </c>
      <c r="AG1917" s="21">
        <f>DATE(YEAR(G1917),MONTH(G1917),1)</f>
        <v/>
      </c>
    </row>
    <row r="1918">
      <c r="A1918" t="inlineStr">
        <is>
          <t>SPO-01037-1</t>
        </is>
      </c>
      <c r="B1918" t="inlineStr">
        <is>
          <t>SPO-01037</t>
        </is>
      </c>
      <c r="C1918" t="inlineStr">
        <is>
          <t>SUP-09</t>
        </is>
      </c>
      <c r="D1918" t="inlineStr">
        <is>
          <t>CHEM</t>
        </is>
      </c>
      <c r="E1918" t="inlineStr">
        <is>
          <t>CHEM-05</t>
        </is>
      </c>
      <c r="F1918" s="17" t="n">
        <v>45857</v>
      </c>
      <c r="G1918" s="17" t="n">
        <v>45871</v>
      </c>
      <c r="H1918" s="18" t="n">
        <v>2</v>
      </c>
      <c r="I1918" s="19" t="n">
        <v>957.55</v>
      </c>
      <c r="J1918" s="19" t="n">
        <v>930</v>
      </c>
      <c r="K1918" s="20" t="n">
        <v>0</v>
      </c>
      <c r="L1918" s="20" t="n">
        <v>0</v>
      </c>
      <c r="M1918" s="18" t="n">
        <v>2</v>
      </c>
      <c r="N1918" s="18" t="n">
        <v>2</v>
      </c>
      <c r="O1918" s="18" t="n">
        <v>0</v>
      </c>
      <c r="P1918" s="17" t="n">
        <v>45867</v>
      </c>
      <c r="Q1918" s="17" t="n">
        <v>45867</v>
      </c>
      <c r="R1918" s="17" t="n">
        <v>45867</v>
      </c>
      <c r="S1918" s="19">
        <f>H1918*I1918</f>
        <v/>
      </c>
      <c r="T1918" s="19">
        <f>H1918*J1918</f>
        <v/>
      </c>
      <c r="U1918">
        <f>IF(AND(K1918=0,G1918&lt;=Assumptions!$C$6),1,0)</f>
        <v/>
      </c>
      <c r="V1918">
        <f>IF(U1918=1,IF(M1918&gt;0,IF(P1918&lt;=G1918+Assumptions!$C$7,1,0),0),0)</f>
        <v/>
      </c>
      <c r="W1918">
        <f>IF(AND(U1918=1,M1918&gt;=H1918*(1-Assumptions!$C$8)),1,0)</f>
        <v/>
      </c>
      <c r="X1918">
        <f>IF(AND(U1918=1,N1918&gt;=H1918*(1-Assumptions!$C$8)),1,0)</f>
        <v/>
      </c>
      <c r="Y1918">
        <f>IF(ISNUMBER(Q1918),1,0)</f>
        <v/>
      </c>
      <c r="Z1918">
        <f>IF(AND(K1918=0,L1918=0,Y1918=0),1,0)</f>
        <v/>
      </c>
      <c r="AA1918">
        <f>IF(AND(Z1918=1,G1918&lt;Assumptions!$C$6),1,0)</f>
        <v/>
      </c>
      <c r="AB1918">
        <f>IF(U1918=0,"",IF(Y1918=1,MAX(0,Q1918-G1918),IF(L1918=1,MAX(0,R1918-G1918),MAX(0,Assumptions!$C$6-G1918))))</f>
        <v/>
      </c>
      <c r="AC1918">
        <f>IF(Y1918=1,Q1918-F1918,"")</f>
        <v/>
      </c>
      <c r="AD1918">
        <f>IF(Y1918=1,AC1918^2,"")</f>
        <v/>
      </c>
      <c r="AE1918" s="19">
        <f>IF(Z1918=1,(H1918-M1918)*I1918,0)</f>
        <v/>
      </c>
      <c r="AF1918">
        <f>IF(G1918&lt;EDATE(Assumptions!$C$6,-12)+1,"prior_12m","last_12m")</f>
        <v/>
      </c>
      <c r="AG1918" s="21">
        <f>DATE(YEAR(G1918),MONTH(G1918),1)</f>
        <v/>
      </c>
    </row>
    <row r="1919">
      <c r="A1919" t="inlineStr">
        <is>
          <t>SPO-01037-2</t>
        </is>
      </c>
      <c r="B1919" t="inlineStr">
        <is>
          <t>SPO-01037</t>
        </is>
      </c>
      <c r="C1919" t="inlineStr">
        <is>
          <t>SUP-09</t>
        </is>
      </c>
      <c r="D1919" t="inlineStr">
        <is>
          <t>CHEM</t>
        </is>
      </c>
      <c r="E1919" t="inlineStr">
        <is>
          <t>CHEM-01</t>
        </is>
      </c>
      <c r="F1919" s="17" t="n">
        <v>45857</v>
      </c>
      <c r="G1919" s="17" t="n">
        <v>45871</v>
      </c>
      <c r="H1919" s="18" t="n">
        <v>2</v>
      </c>
      <c r="I1919" s="19" t="n">
        <v>672.98</v>
      </c>
      <c r="J1919" s="19" t="n">
        <v>640</v>
      </c>
      <c r="K1919" s="20" t="n">
        <v>0</v>
      </c>
      <c r="L1919" s="20" t="n">
        <v>0</v>
      </c>
      <c r="M1919" s="18" t="n">
        <v>2</v>
      </c>
      <c r="N1919" s="18" t="n">
        <v>2</v>
      </c>
      <c r="O1919" s="18" t="n">
        <v>0</v>
      </c>
      <c r="P1919" s="17" t="n">
        <v>45868</v>
      </c>
      <c r="Q1919" s="17" t="n">
        <v>45868</v>
      </c>
      <c r="R1919" s="17" t="n">
        <v>45868</v>
      </c>
      <c r="S1919" s="19">
        <f>H1919*I1919</f>
        <v/>
      </c>
      <c r="T1919" s="19">
        <f>H1919*J1919</f>
        <v/>
      </c>
      <c r="U1919">
        <f>IF(AND(K1919=0,G1919&lt;=Assumptions!$C$6),1,0)</f>
        <v/>
      </c>
      <c r="V1919">
        <f>IF(U1919=1,IF(M1919&gt;0,IF(P1919&lt;=G1919+Assumptions!$C$7,1,0),0),0)</f>
        <v/>
      </c>
      <c r="W1919">
        <f>IF(AND(U1919=1,M1919&gt;=H1919*(1-Assumptions!$C$8)),1,0)</f>
        <v/>
      </c>
      <c r="X1919">
        <f>IF(AND(U1919=1,N1919&gt;=H1919*(1-Assumptions!$C$8)),1,0)</f>
        <v/>
      </c>
      <c r="Y1919">
        <f>IF(ISNUMBER(Q1919),1,0)</f>
        <v/>
      </c>
      <c r="Z1919">
        <f>IF(AND(K1919=0,L1919=0,Y1919=0),1,0)</f>
        <v/>
      </c>
      <c r="AA1919">
        <f>IF(AND(Z1919=1,G1919&lt;Assumptions!$C$6),1,0)</f>
        <v/>
      </c>
      <c r="AB1919">
        <f>IF(U1919=0,"",IF(Y1919=1,MAX(0,Q1919-G1919),IF(L1919=1,MAX(0,R1919-G1919),MAX(0,Assumptions!$C$6-G1919))))</f>
        <v/>
      </c>
      <c r="AC1919">
        <f>IF(Y1919=1,Q1919-F1919,"")</f>
        <v/>
      </c>
      <c r="AD1919">
        <f>IF(Y1919=1,AC1919^2,"")</f>
        <v/>
      </c>
      <c r="AE1919" s="19">
        <f>IF(Z1919=1,(H1919-M1919)*I1919,0)</f>
        <v/>
      </c>
      <c r="AF1919">
        <f>IF(G1919&lt;EDATE(Assumptions!$C$6,-12)+1,"prior_12m","last_12m")</f>
        <v/>
      </c>
      <c r="AG1919" s="21">
        <f>DATE(YEAR(G1919),MONTH(G1919),1)</f>
        <v/>
      </c>
    </row>
    <row r="1920">
      <c r="A1920" t="inlineStr">
        <is>
          <t>SPO-01037-3</t>
        </is>
      </c>
      <c r="B1920" t="inlineStr">
        <is>
          <t>SPO-01037</t>
        </is>
      </c>
      <c r="C1920" t="inlineStr">
        <is>
          <t>SUP-09</t>
        </is>
      </c>
      <c r="D1920" t="inlineStr">
        <is>
          <t>CHEM</t>
        </is>
      </c>
      <c r="E1920" t="inlineStr">
        <is>
          <t>CHEM-03</t>
        </is>
      </c>
      <c r="F1920" s="17" t="n">
        <v>45857</v>
      </c>
      <c r="G1920" s="17" t="n">
        <v>45871</v>
      </c>
      <c r="H1920" s="18" t="n">
        <v>13</v>
      </c>
      <c r="I1920" s="19" t="n">
        <v>270.04</v>
      </c>
      <c r="J1920" s="19" t="n">
        <v>265</v>
      </c>
      <c r="K1920" s="20" t="n">
        <v>0</v>
      </c>
      <c r="L1920" s="20" t="n">
        <v>0</v>
      </c>
      <c r="M1920" s="18" t="n">
        <v>13</v>
      </c>
      <c r="N1920" s="18" t="n">
        <v>13</v>
      </c>
      <c r="O1920" s="18" t="n">
        <v>0</v>
      </c>
      <c r="P1920" s="17" t="n">
        <v>45871</v>
      </c>
      <c r="Q1920" s="17" t="n">
        <v>45871</v>
      </c>
      <c r="R1920" s="17" t="n">
        <v>45871</v>
      </c>
      <c r="S1920" s="19">
        <f>H1920*I1920</f>
        <v/>
      </c>
      <c r="T1920" s="19">
        <f>H1920*J1920</f>
        <v/>
      </c>
      <c r="U1920">
        <f>IF(AND(K1920=0,G1920&lt;=Assumptions!$C$6),1,0)</f>
        <v/>
      </c>
      <c r="V1920">
        <f>IF(U1920=1,IF(M1920&gt;0,IF(P1920&lt;=G1920+Assumptions!$C$7,1,0),0),0)</f>
        <v/>
      </c>
      <c r="W1920">
        <f>IF(AND(U1920=1,M1920&gt;=H1920*(1-Assumptions!$C$8)),1,0)</f>
        <v/>
      </c>
      <c r="X1920">
        <f>IF(AND(U1920=1,N1920&gt;=H1920*(1-Assumptions!$C$8)),1,0)</f>
        <v/>
      </c>
      <c r="Y1920">
        <f>IF(ISNUMBER(Q1920),1,0)</f>
        <v/>
      </c>
      <c r="Z1920">
        <f>IF(AND(K1920=0,L1920=0,Y1920=0),1,0)</f>
        <v/>
      </c>
      <c r="AA1920">
        <f>IF(AND(Z1920=1,G1920&lt;Assumptions!$C$6),1,0)</f>
        <v/>
      </c>
      <c r="AB1920">
        <f>IF(U1920=0,"",IF(Y1920=1,MAX(0,Q1920-G1920),IF(L1920=1,MAX(0,R1920-G1920),MAX(0,Assumptions!$C$6-G1920))))</f>
        <v/>
      </c>
      <c r="AC1920">
        <f>IF(Y1920=1,Q1920-F1920,"")</f>
        <v/>
      </c>
      <c r="AD1920">
        <f>IF(Y1920=1,AC1920^2,"")</f>
        <v/>
      </c>
      <c r="AE1920" s="19">
        <f>IF(Z1920=1,(H1920-M1920)*I1920,0)</f>
        <v/>
      </c>
      <c r="AF1920">
        <f>IF(G1920&lt;EDATE(Assumptions!$C$6,-12)+1,"prior_12m","last_12m")</f>
        <v/>
      </c>
      <c r="AG1920" s="21">
        <f>DATE(YEAR(G1920),MONTH(G1920),1)</f>
        <v/>
      </c>
    </row>
    <row r="1921">
      <c r="A1921" t="inlineStr">
        <is>
          <t>SPO-01037-4</t>
        </is>
      </c>
      <c r="B1921" t="inlineStr">
        <is>
          <t>SPO-01037</t>
        </is>
      </c>
      <c r="C1921" t="inlineStr">
        <is>
          <t>SUP-09</t>
        </is>
      </c>
      <c r="D1921" t="inlineStr">
        <is>
          <t>CHEM</t>
        </is>
      </c>
      <c r="E1921" t="inlineStr">
        <is>
          <t>CHEM-04</t>
        </is>
      </c>
      <c r="F1921" s="17" t="n">
        <v>45857</v>
      </c>
      <c r="G1921" s="17" t="n">
        <v>45871</v>
      </c>
      <c r="H1921" s="18" t="n">
        <v>2</v>
      </c>
      <c r="I1921" s="19" t="n">
        <v>838.96</v>
      </c>
      <c r="J1921" s="19" t="n">
        <v>820</v>
      </c>
      <c r="K1921" s="20" t="n">
        <v>0</v>
      </c>
      <c r="L1921" s="20" t="n">
        <v>0</v>
      </c>
      <c r="M1921" s="18" t="n">
        <v>2</v>
      </c>
      <c r="N1921" s="18" t="n">
        <v>2</v>
      </c>
      <c r="O1921" s="18" t="n">
        <v>0</v>
      </c>
      <c r="P1921" s="17" t="n">
        <v>45868</v>
      </c>
      <c r="Q1921" s="17" t="n">
        <v>45868</v>
      </c>
      <c r="R1921" s="17" t="n">
        <v>45868</v>
      </c>
      <c r="S1921" s="19">
        <f>H1921*I1921</f>
        <v/>
      </c>
      <c r="T1921" s="19">
        <f>H1921*J1921</f>
        <v/>
      </c>
      <c r="U1921">
        <f>IF(AND(K1921=0,G1921&lt;=Assumptions!$C$6),1,0)</f>
        <v/>
      </c>
      <c r="V1921">
        <f>IF(U1921=1,IF(M1921&gt;0,IF(P1921&lt;=G1921+Assumptions!$C$7,1,0),0),0)</f>
        <v/>
      </c>
      <c r="W1921">
        <f>IF(AND(U1921=1,M1921&gt;=H1921*(1-Assumptions!$C$8)),1,0)</f>
        <v/>
      </c>
      <c r="X1921">
        <f>IF(AND(U1921=1,N1921&gt;=H1921*(1-Assumptions!$C$8)),1,0)</f>
        <v/>
      </c>
      <c r="Y1921">
        <f>IF(ISNUMBER(Q1921),1,0)</f>
        <v/>
      </c>
      <c r="Z1921">
        <f>IF(AND(K1921=0,L1921=0,Y1921=0),1,0)</f>
        <v/>
      </c>
      <c r="AA1921">
        <f>IF(AND(Z1921=1,G1921&lt;Assumptions!$C$6),1,0)</f>
        <v/>
      </c>
      <c r="AB1921">
        <f>IF(U1921=0,"",IF(Y1921=1,MAX(0,Q1921-G1921),IF(L1921=1,MAX(0,R1921-G1921),MAX(0,Assumptions!$C$6-G1921))))</f>
        <v/>
      </c>
      <c r="AC1921">
        <f>IF(Y1921=1,Q1921-F1921,"")</f>
        <v/>
      </c>
      <c r="AD1921">
        <f>IF(Y1921=1,AC1921^2,"")</f>
        <v/>
      </c>
      <c r="AE1921" s="19">
        <f>IF(Z1921=1,(H1921-M1921)*I1921,0)</f>
        <v/>
      </c>
      <c r="AF1921">
        <f>IF(G1921&lt;EDATE(Assumptions!$C$6,-12)+1,"prior_12m","last_12m")</f>
        <v/>
      </c>
      <c r="AG1921" s="21">
        <f>DATE(YEAR(G1921),MONTH(G1921),1)</f>
        <v/>
      </c>
    </row>
    <row r="1922">
      <c r="A1922" t="inlineStr">
        <is>
          <t>SPO-01038-1</t>
        </is>
      </c>
      <c r="B1922" t="inlineStr">
        <is>
          <t>SPO-01038</t>
        </is>
      </c>
      <c r="C1922" t="inlineStr">
        <is>
          <t>SUP-06</t>
        </is>
      </c>
      <c r="D1922" t="inlineStr">
        <is>
          <t>MRO</t>
        </is>
      </c>
      <c r="E1922" t="inlineStr">
        <is>
          <t>MRO-04</t>
        </is>
      </c>
      <c r="F1922" s="17" t="n">
        <v>45858</v>
      </c>
      <c r="G1922" s="17" t="n">
        <v>45866</v>
      </c>
      <c r="H1922" s="18" t="n">
        <v>18</v>
      </c>
      <c r="I1922" s="19" t="n">
        <v>56.75</v>
      </c>
      <c r="J1922" s="19" t="n">
        <v>58</v>
      </c>
      <c r="K1922" s="20" t="n">
        <v>0</v>
      </c>
      <c r="L1922" s="20" t="n">
        <v>0</v>
      </c>
      <c r="M1922" s="18" t="n">
        <v>18</v>
      </c>
      <c r="N1922" s="18" t="n">
        <v>18</v>
      </c>
      <c r="O1922" s="18" t="n">
        <v>0</v>
      </c>
      <c r="P1922" s="17" t="n">
        <v>45865</v>
      </c>
      <c r="Q1922" s="17" t="n">
        <v>45865</v>
      </c>
      <c r="R1922" s="17" t="n">
        <v>45865</v>
      </c>
      <c r="S1922" s="19">
        <f>H1922*I1922</f>
        <v/>
      </c>
      <c r="T1922" s="19">
        <f>H1922*J1922</f>
        <v/>
      </c>
      <c r="U1922">
        <f>IF(AND(K1922=0,G1922&lt;=Assumptions!$C$6),1,0)</f>
        <v/>
      </c>
      <c r="V1922">
        <f>IF(U1922=1,IF(M1922&gt;0,IF(P1922&lt;=G1922+Assumptions!$C$7,1,0),0),0)</f>
        <v/>
      </c>
      <c r="W1922">
        <f>IF(AND(U1922=1,M1922&gt;=H1922*(1-Assumptions!$C$8)),1,0)</f>
        <v/>
      </c>
      <c r="X1922">
        <f>IF(AND(U1922=1,N1922&gt;=H1922*(1-Assumptions!$C$8)),1,0)</f>
        <v/>
      </c>
      <c r="Y1922">
        <f>IF(ISNUMBER(Q1922),1,0)</f>
        <v/>
      </c>
      <c r="Z1922">
        <f>IF(AND(K1922=0,L1922=0,Y1922=0),1,0)</f>
        <v/>
      </c>
      <c r="AA1922">
        <f>IF(AND(Z1922=1,G1922&lt;Assumptions!$C$6),1,0)</f>
        <v/>
      </c>
      <c r="AB1922">
        <f>IF(U1922=0,"",IF(Y1922=1,MAX(0,Q1922-G1922),IF(L1922=1,MAX(0,R1922-G1922),MAX(0,Assumptions!$C$6-G1922))))</f>
        <v/>
      </c>
      <c r="AC1922">
        <f>IF(Y1922=1,Q1922-F1922,"")</f>
        <v/>
      </c>
      <c r="AD1922">
        <f>IF(Y1922=1,AC1922^2,"")</f>
        <v/>
      </c>
      <c r="AE1922" s="19">
        <f>IF(Z1922=1,(H1922-M1922)*I1922,0)</f>
        <v/>
      </c>
      <c r="AF1922">
        <f>IF(G1922&lt;EDATE(Assumptions!$C$6,-12)+1,"prior_12m","last_12m")</f>
        <v/>
      </c>
      <c r="AG1922" s="21">
        <f>DATE(YEAR(G1922),MONTH(G1922),1)</f>
        <v/>
      </c>
    </row>
    <row r="1923">
      <c r="A1923" t="inlineStr">
        <is>
          <t>SPO-01039-1</t>
        </is>
      </c>
      <c r="B1923" t="inlineStr">
        <is>
          <t>SPO-01039</t>
        </is>
      </c>
      <c r="C1923" t="inlineStr">
        <is>
          <t>SUP-01</t>
        </is>
      </c>
      <c r="D1923" t="inlineStr">
        <is>
          <t>ELEC</t>
        </is>
      </c>
      <c r="E1923" t="inlineStr">
        <is>
          <t>ELEC-02</t>
        </is>
      </c>
      <c r="F1923" s="17" t="n">
        <v>45858</v>
      </c>
      <c r="G1923" s="17" t="n">
        <v>45876</v>
      </c>
      <c r="H1923" s="18" t="n">
        <v>533</v>
      </c>
      <c r="I1923" s="19" t="n">
        <v>4.19</v>
      </c>
      <c r="J1923" s="19" t="n">
        <v>4.2</v>
      </c>
      <c r="K1923" s="20" t="n">
        <v>0</v>
      </c>
      <c r="L1923" s="20" t="n">
        <v>0</v>
      </c>
      <c r="M1923" s="18" t="n">
        <v>533</v>
      </c>
      <c r="N1923" s="18" t="n">
        <v>533</v>
      </c>
      <c r="O1923" s="18" t="n">
        <v>0</v>
      </c>
      <c r="P1923" s="17" t="n">
        <v>45875</v>
      </c>
      <c r="Q1923" s="17" t="n">
        <v>45875</v>
      </c>
      <c r="R1923" s="17" t="n">
        <v>45875</v>
      </c>
      <c r="S1923" s="19">
        <f>H1923*I1923</f>
        <v/>
      </c>
      <c r="T1923" s="19">
        <f>H1923*J1923</f>
        <v/>
      </c>
      <c r="U1923">
        <f>IF(AND(K1923=0,G1923&lt;=Assumptions!$C$6),1,0)</f>
        <v/>
      </c>
      <c r="V1923">
        <f>IF(U1923=1,IF(M1923&gt;0,IF(P1923&lt;=G1923+Assumptions!$C$7,1,0),0),0)</f>
        <v/>
      </c>
      <c r="W1923">
        <f>IF(AND(U1923=1,M1923&gt;=H1923*(1-Assumptions!$C$8)),1,0)</f>
        <v/>
      </c>
      <c r="X1923">
        <f>IF(AND(U1923=1,N1923&gt;=H1923*(1-Assumptions!$C$8)),1,0)</f>
        <v/>
      </c>
      <c r="Y1923">
        <f>IF(ISNUMBER(Q1923),1,0)</f>
        <v/>
      </c>
      <c r="Z1923">
        <f>IF(AND(K1923=0,L1923=0,Y1923=0),1,0)</f>
        <v/>
      </c>
      <c r="AA1923">
        <f>IF(AND(Z1923=1,G1923&lt;Assumptions!$C$6),1,0)</f>
        <v/>
      </c>
      <c r="AB1923">
        <f>IF(U1923=0,"",IF(Y1923=1,MAX(0,Q1923-G1923),IF(L1923=1,MAX(0,R1923-G1923),MAX(0,Assumptions!$C$6-G1923))))</f>
        <v/>
      </c>
      <c r="AC1923">
        <f>IF(Y1923=1,Q1923-F1923,"")</f>
        <v/>
      </c>
      <c r="AD1923">
        <f>IF(Y1923=1,AC1923^2,"")</f>
        <v/>
      </c>
      <c r="AE1923" s="19">
        <f>IF(Z1923=1,(H1923-M1923)*I1923,0)</f>
        <v/>
      </c>
      <c r="AF1923">
        <f>IF(G1923&lt;EDATE(Assumptions!$C$6,-12)+1,"prior_12m","last_12m")</f>
        <v/>
      </c>
      <c r="AG1923" s="21">
        <f>DATE(YEAR(G1923),MONTH(G1923),1)</f>
        <v/>
      </c>
    </row>
    <row r="1924">
      <c r="A1924" t="inlineStr">
        <is>
          <t>SPO-01039-2</t>
        </is>
      </c>
      <c r="B1924" t="inlineStr">
        <is>
          <t>SPO-01039</t>
        </is>
      </c>
      <c r="C1924" t="inlineStr">
        <is>
          <t>SUP-01</t>
        </is>
      </c>
      <c r="D1924" t="inlineStr">
        <is>
          <t>ELEC</t>
        </is>
      </c>
      <c r="E1924" t="inlineStr">
        <is>
          <t>ELEC-07</t>
        </is>
      </c>
      <c r="F1924" s="17" t="n">
        <v>45858</v>
      </c>
      <c r="G1924" s="17" t="n">
        <v>45876</v>
      </c>
      <c r="H1924" s="18" t="n">
        <v>734</v>
      </c>
      <c r="I1924" s="19" t="n">
        <v>9.880000000000001</v>
      </c>
      <c r="J1924" s="19" t="n">
        <v>9.800000000000001</v>
      </c>
      <c r="K1924" s="20" t="n">
        <v>0</v>
      </c>
      <c r="L1924" s="20" t="n">
        <v>0</v>
      </c>
      <c r="M1924" s="18" t="n">
        <v>734</v>
      </c>
      <c r="N1924" s="18" t="n">
        <v>734</v>
      </c>
      <c r="O1924" s="18" t="n">
        <v>0</v>
      </c>
      <c r="P1924" s="17" t="n">
        <v>45874</v>
      </c>
      <c r="Q1924" s="17" t="n">
        <v>45874</v>
      </c>
      <c r="R1924" s="17" t="n">
        <v>45874</v>
      </c>
      <c r="S1924" s="19">
        <f>H1924*I1924</f>
        <v/>
      </c>
      <c r="T1924" s="19">
        <f>H1924*J1924</f>
        <v/>
      </c>
      <c r="U1924">
        <f>IF(AND(K1924=0,G1924&lt;=Assumptions!$C$6),1,0)</f>
        <v/>
      </c>
      <c r="V1924">
        <f>IF(U1924=1,IF(M1924&gt;0,IF(P1924&lt;=G1924+Assumptions!$C$7,1,0),0),0)</f>
        <v/>
      </c>
      <c r="W1924">
        <f>IF(AND(U1924=1,M1924&gt;=H1924*(1-Assumptions!$C$8)),1,0)</f>
        <v/>
      </c>
      <c r="X1924">
        <f>IF(AND(U1924=1,N1924&gt;=H1924*(1-Assumptions!$C$8)),1,0)</f>
        <v/>
      </c>
      <c r="Y1924">
        <f>IF(ISNUMBER(Q1924),1,0)</f>
        <v/>
      </c>
      <c r="Z1924">
        <f>IF(AND(K1924=0,L1924=0,Y1924=0),1,0)</f>
        <v/>
      </c>
      <c r="AA1924">
        <f>IF(AND(Z1924=1,G1924&lt;Assumptions!$C$6),1,0)</f>
        <v/>
      </c>
      <c r="AB1924">
        <f>IF(U1924=0,"",IF(Y1924=1,MAX(0,Q1924-G1924),IF(L1924=1,MAX(0,R1924-G1924),MAX(0,Assumptions!$C$6-G1924))))</f>
        <v/>
      </c>
      <c r="AC1924">
        <f>IF(Y1924=1,Q1924-F1924,"")</f>
        <v/>
      </c>
      <c r="AD1924">
        <f>IF(Y1924=1,AC1924^2,"")</f>
        <v/>
      </c>
      <c r="AE1924" s="19">
        <f>IF(Z1924=1,(H1924-M1924)*I1924,0)</f>
        <v/>
      </c>
      <c r="AF1924">
        <f>IF(G1924&lt;EDATE(Assumptions!$C$6,-12)+1,"prior_12m","last_12m")</f>
        <v/>
      </c>
      <c r="AG1924" s="21">
        <f>DATE(YEAR(G1924),MONTH(G1924),1)</f>
        <v/>
      </c>
    </row>
    <row r="1925">
      <c r="A1925" t="inlineStr">
        <is>
          <t>SPO-01039-3</t>
        </is>
      </c>
      <c r="B1925" t="inlineStr">
        <is>
          <t>SPO-01039</t>
        </is>
      </c>
      <c r="C1925" t="inlineStr">
        <is>
          <t>SUP-01</t>
        </is>
      </c>
      <c r="D1925" t="inlineStr">
        <is>
          <t>ELEC</t>
        </is>
      </c>
      <c r="E1925" t="inlineStr">
        <is>
          <t>ELEC-08</t>
        </is>
      </c>
      <c r="F1925" s="17" t="n">
        <v>45858</v>
      </c>
      <c r="G1925" s="17" t="n">
        <v>45876</v>
      </c>
      <c r="H1925" s="18" t="n">
        <v>157</v>
      </c>
      <c r="I1925" s="19" t="n">
        <v>18.09</v>
      </c>
      <c r="J1925" s="19" t="n">
        <v>18</v>
      </c>
      <c r="K1925" s="20" t="n">
        <v>0</v>
      </c>
      <c r="L1925" s="20" t="n">
        <v>0</v>
      </c>
      <c r="M1925" s="18" t="n">
        <v>157</v>
      </c>
      <c r="N1925" s="18" t="n">
        <v>157</v>
      </c>
      <c r="O1925" s="18" t="n">
        <v>0</v>
      </c>
      <c r="P1925" s="17" t="n">
        <v>45875</v>
      </c>
      <c r="Q1925" s="17" t="n">
        <v>45875</v>
      </c>
      <c r="R1925" s="17" t="n">
        <v>45875</v>
      </c>
      <c r="S1925" s="19">
        <f>H1925*I1925</f>
        <v/>
      </c>
      <c r="T1925" s="19">
        <f>H1925*J1925</f>
        <v/>
      </c>
      <c r="U1925">
        <f>IF(AND(K1925=0,G1925&lt;=Assumptions!$C$6),1,0)</f>
        <v/>
      </c>
      <c r="V1925">
        <f>IF(U1925=1,IF(M1925&gt;0,IF(P1925&lt;=G1925+Assumptions!$C$7,1,0),0),0)</f>
        <v/>
      </c>
      <c r="W1925">
        <f>IF(AND(U1925=1,M1925&gt;=H1925*(1-Assumptions!$C$8)),1,0)</f>
        <v/>
      </c>
      <c r="X1925">
        <f>IF(AND(U1925=1,N1925&gt;=H1925*(1-Assumptions!$C$8)),1,0)</f>
        <v/>
      </c>
      <c r="Y1925">
        <f>IF(ISNUMBER(Q1925),1,0)</f>
        <v/>
      </c>
      <c r="Z1925">
        <f>IF(AND(K1925=0,L1925=0,Y1925=0),1,0)</f>
        <v/>
      </c>
      <c r="AA1925">
        <f>IF(AND(Z1925=1,G1925&lt;Assumptions!$C$6),1,0)</f>
        <v/>
      </c>
      <c r="AB1925">
        <f>IF(U1925=0,"",IF(Y1925=1,MAX(0,Q1925-G1925),IF(L1925=1,MAX(0,R1925-G1925),MAX(0,Assumptions!$C$6-G1925))))</f>
        <v/>
      </c>
      <c r="AC1925">
        <f>IF(Y1925=1,Q1925-F1925,"")</f>
        <v/>
      </c>
      <c r="AD1925">
        <f>IF(Y1925=1,AC1925^2,"")</f>
        <v/>
      </c>
      <c r="AE1925" s="19">
        <f>IF(Z1925=1,(H1925-M1925)*I1925,0)</f>
        <v/>
      </c>
      <c r="AF1925">
        <f>IF(G1925&lt;EDATE(Assumptions!$C$6,-12)+1,"prior_12m","last_12m")</f>
        <v/>
      </c>
      <c r="AG1925" s="21">
        <f>DATE(YEAR(G1925),MONTH(G1925),1)</f>
        <v/>
      </c>
    </row>
    <row r="1926">
      <c r="A1926" t="inlineStr">
        <is>
          <t>SPO-01039-4</t>
        </is>
      </c>
      <c r="B1926" t="inlineStr">
        <is>
          <t>SPO-01039</t>
        </is>
      </c>
      <c r="C1926" t="inlineStr">
        <is>
          <t>SUP-01</t>
        </is>
      </c>
      <c r="D1926" t="inlineStr">
        <is>
          <t>ELEC</t>
        </is>
      </c>
      <c r="E1926" t="inlineStr">
        <is>
          <t>ELEC-03</t>
        </is>
      </c>
      <c r="F1926" s="17" t="n">
        <v>45858</v>
      </c>
      <c r="G1926" s="17" t="n">
        <v>45876</v>
      </c>
      <c r="H1926" s="18" t="n">
        <v>16</v>
      </c>
      <c r="I1926" s="19" t="n">
        <v>99.69</v>
      </c>
      <c r="J1926" s="19" t="n">
        <v>96</v>
      </c>
      <c r="K1926" s="20" t="n">
        <v>0</v>
      </c>
      <c r="L1926" s="20" t="n">
        <v>0</v>
      </c>
      <c r="M1926" s="18" t="n">
        <v>16</v>
      </c>
      <c r="N1926" s="18" t="n">
        <v>16</v>
      </c>
      <c r="O1926" s="18" t="n">
        <v>0</v>
      </c>
      <c r="P1926" s="17" t="n">
        <v>45874</v>
      </c>
      <c r="Q1926" s="17" t="n">
        <v>45874</v>
      </c>
      <c r="R1926" s="17" t="n">
        <v>45874</v>
      </c>
      <c r="S1926" s="19">
        <f>H1926*I1926</f>
        <v/>
      </c>
      <c r="T1926" s="19">
        <f>H1926*J1926</f>
        <v/>
      </c>
      <c r="U1926">
        <f>IF(AND(K1926=0,G1926&lt;=Assumptions!$C$6),1,0)</f>
        <v/>
      </c>
      <c r="V1926">
        <f>IF(U1926=1,IF(M1926&gt;0,IF(P1926&lt;=G1926+Assumptions!$C$7,1,0),0),0)</f>
        <v/>
      </c>
      <c r="W1926">
        <f>IF(AND(U1926=1,M1926&gt;=H1926*(1-Assumptions!$C$8)),1,0)</f>
        <v/>
      </c>
      <c r="X1926">
        <f>IF(AND(U1926=1,N1926&gt;=H1926*(1-Assumptions!$C$8)),1,0)</f>
        <v/>
      </c>
      <c r="Y1926">
        <f>IF(ISNUMBER(Q1926),1,0)</f>
        <v/>
      </c>
      <c r="Z1926">
        <f>IF(AND(K1926=0,L1926=0,Y1926=0),1,0)</f>
        <v/>
      </c>
      <c r="AA1926">
        <f>IF(AND(Z1926=1,G1926&lt;Assumptions!$C$6),1,0)</f>
        <v/>
      </c>
      <c r="AB1926">
        <f>IF(U1926=0,"",IF(Y1926=1,MAX(0,Q1926-G1926),IF(L1926=1,MAX(0,R1926-G1926),MAX(0,Assumptions!$C$6-G1926))))</f>
        <v/>
      </c>
      <c r="AC1926">
        <f>IF(Y1926=1,Q1926-F1926,"")</f>
        <v/>
      </c>
      <c r="AD1926">
        <f>IF(Y1926=1,AC1926^2,"")</f>
        <v/>
      </c>
      <c r="AE1926" s="19">
        <f>IF(Z1926=1,(H1926-M1926)*I1926,0)</f>
        <v/>
      </c>
      <c r="AF1926">
        <f>IF(G1926&lt;EDATE(Assumptions!$C$6,-12)+1,"prior_12m","last_12m")</f>
        <v/>
      </c>
      <c r="AG1926" s="21">
        <f>DATE(YEAR(G1926),MONTH(G1926),1)</f>
        <v/>
      </c>
    </row>
    <row r="1927">
      <c r="A1927" t="inlineStr">
        <is>
          <t>SPO-01040-1</t>
        </is>
      </c>
      <c r="B1927" t="inlineStr">
        <is>
          <t>SPO-01040</t>
        </is>
      </c>
      <c r="C1927" t="inlineStr">
        <is>
          <t>SUP-01</t>
        </is>
      </c>
      <c r="D1927" t="inlineStr">
        <is>
          <t>ELEC</t>
        </is>
      </c>
      <c r="E1927" t="inlineStr">
        <is>
          <t>ELEC-06</t>
        </is>
      </c>
      <c r="F1927" s="17" t="n">
        <v>45858</v>
      </c>
      <c r="G1927" s="17" t="n">
        <v>45876</v>
      </c>
      <c r="H1927" s="18" t="n">
        <v>11</v>
      </c>
      <c r="I1927" s="19" t="n">
        <v>157.29</v>
      </c>
      <c r="J1927" s="19" t="n">
        <v>145</v>
      </c>
      <c r="K1927" s="20" t="n">
        <v>0</v>
      </c>
      <c r="L1927" s="20" t="n">
        <v>0</v>
      </c>
      <c r="M1927" s="18" t="n">
        <v>11</v>
      </c>
      <c r="N1927" s="18" t="n">
        <v>11</v>
      </c>
      <c r="O1927" s="18" t="n">
        <v>0</v>
      </c>
      <c r="P1927" s="17" t="n">
        <v>45873</v>
      </c>
      <c r="Q1927" s="17" t="n">
        <v>45873</v>
      </c>
      <c r="R1927" s="17" t="n">
        <v>45873</v>
      </c>
      <c r="S1927" s="19">
        <f>H1927*I1927</f>
        <v/>
      </c>
      <c r="T1927" s="19">
        <f>H1927*J1927</f>
        <v/>
      </c>
      <c r="U1927">
        <f>IF(AND(K1927=0,G1927&lt;=Assumptions!$C$6),1,0)</f>
        <v/>
      </c>
      <c r="V1927">
        <f>IF(U1927=1,IF(M1927&gt;0,IF(P1927&lt;=G1927+Assumptions!$C$7,1,0),0),0)</f>
        <v/>
      </c>
      <c r="W1927">
        <f>IF(AND(U1927=1,M1927&gt;=H1927*(1-Assumptions!$C$8)),1,0)</f>
        <v/>
      </c>
      <c r="X1927">
        <f>IF(AND(U1927=1,N1927&gt;=H1927*(1-Assumptions!$C$8)),1,0)</f>
        <v/>
      </c>
      <c r="Y1927">
        <f>IF(ISNUMBER(Q1927),1,0)</f>
        <v/>
      </c>
      <c r="Z1927">
        <f>IF(AND(K1927=0,L1927=0,Y1927=0),1,0)</f>
        <v/>
      </c>
      <c r="AA1927">
        <f>IF(AND(Z1927=1,G1927&lt;Assumptions!$C$6),1,0)</f>
        <v/>
      </c>
      <c r="AB1927">
        <f>IF(U1927=0,"",IF(Y1927=1,MAX(0,Q1927-G1927),IF(L1927=1,MAX(0,R1927-G1927),MAX(0,Assumptions!$C$6-G1927))))</f>
        <v/>
      </c>
      <c r="AC1927">
        <f>IF(Y1927=1,Q1927-F1927,"")</f>
        <v/>
      </c>
      <c r="AD1927">
        <f>IF(Y1927=1,AC1927^2,"")</f>
        <v/>
      </c>
      <c r="AE1927" s="19">
        <f>IF(Z1927=1,(H1927-M1927)*I1927,0)</f>
        <v/>
      </c>
      <c r="AF1927">
        <f>IF(G1927&lt;EDATE(Assumptions!$C$6,-12)+1,"prior_12m","last_12m")</f>
        <v/>
      </c>
      <c r="AG1927" s="21">
        <f>DATE(YEAR(G1927),MONTH(G1927),1)</f>
        <v/>
      </c>
    </row>
    <row r="1928">
      <c r="A1928" t="inlineStr">
        <is>
          <t>SPO-01040-2</t>
        </is>
      </c>
      <c r="B1928" t="inlineStr">
        <is>
          <t>SPO-01040</t>
        </is>
      </c>
      <c r="C1928" t="inlineStr">
        <is>
          <t>SUP-01</t>
        </is>
      </c>
      <c r="D1928" t="inlineStr">
        <is>
          <t>ELEC</t>
        </is>
      </c>
      <c r="E1928" t="inlineStr">
        <is>
          <t>ELEC-05</t>
        </is>
      </c>
      <c r="F1928" s="17" t="n">
        <v>45858</v>
      </c>
      <c r="G1928" s="17" t="n">
        <v>45876</v>
      </c>
      <c r="H1928" s="18" t="n">
        <v>85</v>
      </c>
      <c r="I1928" s="19" t="n">
        <v>12.06</v>
      </c>
      <c r="J1928" s="19" t="n">
        <v>11.5</v>
      </c>
      <c r="K1928" s="20" t="n">
        <v>0</v>
      </c>
      <c r="L1928" s="20" t="n">
        <v>0</v>
      </c>
      <c r="M1928" s="18" t="n">
        <v>85</v>
      </c>
      <c r="N1928" s="18" t="n">
        <v>85</v>
      </c>
      <c r="O1928" s="18" t="n">
        <v>0</v>
      </c>
      <c r="P1928" s="17" t="n">
        <v>45873</v>
      </c>
      <c r="Q1928" s="17" t="n">
        <v>45873</v>
      </c>
      <c r="R1928" s="17" t="n">
        <v>45873</v>
      </c>
      <c r="S1928" s="19">
        <f>H1928*I1928</f>
        <v/>
      </c>
      <c r="T1928" s="19">
        <f>H1928*J1928</f>
        <v/>
      </c>
      <c r="U1928">
        <f>IF(AND(K1928=0,G1928&lt;=Assumptions!$C$6),1,0)</f>
        <v/>
      </c>
      <c r="V1928">
        <f>IF(U1928=1,IF(M1928&gt;0,IF(P1928&lt;=G1928+Assumptions!$C$7,1,0),0),0)</f>
        <v/>
      </c>
      <c r="W1928">
        <f>IF(AND(U1928=1,M1928&gt;=H1928*(1-Assumptions!$C$8)),1,0)</f>
        <v/>
      </c>
      <c r="X1928">
        <f>IF(AND(U1928=1,N1928&gt;=H1928*(1-Assumptions!$C$8)),1,0)</f>
        <v/>
      </c>
      <c r="Y1928">
        <f>IF(ISNUMBER(Q1928),1,0)</f>
        <v/>
      </c>
      <c r="Z1928">
        <f>IF(AND(K1928=0,L1928=0,Y1928=0),1,0)</f>
        <v/>
      </c>
      <c r="AA1928">
        <f>IF(AND(Z1928=1,G1928&lt;Assumptions!$C$6),1,0)</f>
        <v/>
      </c>
      <c r="AB1928">
        <f>IF(U1928=0,"",IF(Y1928=1,MAX(0,Q1928-G1928),IF(L1928=1,MAX(0,R1928-G1928),MAX(0,Assumptions!$C$6-G1928))))</f>
        <v/>
      </c>
      <c r="AC1928">
        <f>IF(Y1928=1,Q1928-F1928,"")</f>
        <v/>
      </c>
      <c r="AD1928">
        <f>IF(Y1928=1,AC1928^2,"")</f>
        <v/>
      </c>
      <c r="AE1928" s="19">
        <f>IF(Z1928=1,(H1928-M1928)*I1928,0)</f>
        <v/>
      </c>
      <c r="AF1928">
        <f>IF(G1928&lt;EDATE(Assumptions!$C$6,-12)+1,"prior_12m","last_12m")</f>
        <v/>
      </c>
      <c r="AG1928" s="21">
        <f>DATE(YEAR(G1928),MONTH(G1928),1)</f>
        <v/>
      </c>
    </row>
    <row r="1929">
      <c r="A1929" t="inlineStr">
        <is>
          <t>SPO-01040-3</t>
        </is>
      </c>
      <c r="B1929" t="inlineStr">
        <is>
          <t>SPO-01040</t>
        </is>
      </c>
      <c r="C1929" t="inlineStr">
        <is>
          <t>SUP-01</t>
        </is>
      </c>
      <c r="D1929" t="inlineStr">
        <is>
          <t>ELEC</t>
        </is>
      </c>
      <c r="E1929" t="inlineStr">
        <is>
          <t>ELEC-02</t>
        </is>
      </c>
      <c r="F1929" s="17" t="n">
        <v>45858</v>
      </c>
      <c r="G1929" s="17" t="n">
        <v>45876</v>
      </c>
      <c r="H1929" s="18" t="n">
        <v>270</v>
      </c>
      <c r="I1929" s="19" t="n">
        <v>4.12</v>
      </c>
      <c r="J1929" s="19" t="n">
        <v>4.2</v>
      </c>
      <c r="K1929" s="20" t="n">
        <v>0</v>
      </c>
      <c r="L1929" s="20" t="n">
        <v>0</v>
      </c>
      <c r="M1929" s="18" t="n">
        <v>270</v>
      </c>
      <c r="N1929" s="18" t="n">
        <v>270</v>
      </c>
      <c r="O1929" s="18" t="n">
        <v>0</v>
      </c>
      <c r="P1929" s="17" t="n">
        <v>45874</v>
      </c>
      <c r="Q1929" s="17" t="n">
        <v>45874</v>
      </c>
      <c r="R1929" s="17" t="n">
        <v>45874</v>
      </c>
      <c r="S1929" s="19">
        <f>H1929*I1929</f>
        <v/>
      </c>
      <c r="T1929" s="19">
        <f>H1929*J1929</f>
        <v/>
      </c>
      <c r="U1929">
        <f>IF(AND(K1929=0,G1929&lt;=Assumptions!$C$6),1,0)</f>
        <v/>
      </c>
      <c r="V1929">
        <f>IF(U1929=1,IF(M1929&gt;0,IF(P1929&lt;=G1929+Assumptions!$C$7,1,0),0),0)</f>
        <v/>
      </c>
      <c r="W1929">
        <f>IF(AND(U1929=1,M1929&gt;=H1929*(1-Assumptions!$C$8)),1,0)</f>
        <v/>
      </c>
      <c r="X1929">
        <f>IF(AND(U1929=1,N1929&gt;=H1929*(1-Assumptions!$C$8)),1,0)</f>
        <v/>
      </c>
      <c r="Y1929">
        <f>IF(ISNUMBER(Q1929),1,0)</f>
        <v/>
      </c>
      <c r="Z1929">
        <f>IF(AND(K1929=0,L1929=0,Y1929=0),1,0)</f>
        <v/>
      </c>
      <c r="AA1929">
        <f>IF(AND(Z1929=1,G1929&lt;Assumptions!$C$6),1,0)</f>
        <v/>
      </c>
      <c r="AB1929">
        <f>IF(U1929=0,"",IF(Y1929=1,MAX(0,Q1929-G1929),IF(L1929=1,MAX(0,R1929-G1929),MAX(0,Assumptions!$C$6-G1929))))</f>
        <v/>
      </c>
      <c r="AC1929">
        <f>IF(Y1929=1,Q1929-F1929,"")</f>
        <v/>
      </c>
      <c r="AD1929">
        <f>IF(Y1929=1,AC1929^2,"")</f>
        <v/>
      </c>
      <c r="AE1929" s="19">
        <f>IF(Z1929=1,(H1929-M1929)*I1929,0)</f>
        <v/>
      </c>
      <c r="AF1929">
        <f>IF(G1929&lt;EDATE(Assumptions!$C$6,-12)+1,"prior_12m","last_12m")</f>
        <v/>
      </c>
      <c r="AG1929" s="21">
        <f>DATE(YEAR(G1929),MONTH(G1929),1)</f>
        <v/>
      </c>
    </row>
    <row r="1930">
      <c r="A1930" t="inlineStr">
        <is>
          <t>SPO-01041-1</t>
        </is>
      </c>
      <c r="B1930" t="inlineStr">
        <is>
          <t>SPO-01041</t>
        </is>
      </c>
      <c r="C1930" t="inlineStr">
        <is>
          <t>SUP-01</t>
        </is>
      </c>
      <c r="D1930" t="inlineStr">
        <is>
          <t>ELEC</t>
        </is>
      </c>
      <c r="E1930" t="inlineStr">
        <is>
          <t>ELEC-06</t>
        </is>
      </c>
      <c r="F1930" s="17" t="n">
        <v>45859</v>
      </c>
      <c r="G1930" s="17" t="n">
        <v>45877</v>
      </c>
      <c r="H1930" s="18" t="n">
        <v>9</v>
      </c>
      <c r="I1930" s="19" t="n">
        <v>141.74</v>
      </c>
      <c r="J1930" s="19" t="n">
        <v>145</v>
      </c>
      <c r="K1930" s="20" t="n">
        <v>0</v>
      </c>
      <c r="L1930" s="20" t="n">
        <v>0</v>
      </c>
      <c r="M1930" s="18" t="n">
        <v>9</v>
      </c>
      <c r="N1930" s="18" t="n">
        <v>9</v>
      </c>
      <c r="O1930" s="18" t="n">
        <v>0</v>
      </c>
      <c r="P1930" s="17" t="n">
        <v>45875</v>
      </c>
      <c r="Q1930" s="17" t="n">
        <v>45875</v>
      </c>
      <c r="R1930" s="17" t="n">
        <v>45875</v>
      </c>
      <c r="S1930" s="19">
        <f>H1930*I1930</f>
        <v/>
      </c>
      <c r="T1930" s="19">
        <f>H1930*J1930</f>
        <v/>
      </c>
      <c r="U1930">
        <f>IF(AND(K1930=0,G1930&lt;=Assumptions!$C$6),1,0)</f>
        <v/>
      </c>
      <c r="V1930">
        <f>IF(U1930=1,IF(M1930&gt;0,IF(P1930&lt;=G1930+Assumptions!$C$7,1,0),0),0)</f>
        <v/>
      </c>
      <c r="W1930">
        <f>IF(AND(U1930=1,M1930&gt;=H1930*(1-Assumptions!$C$8)),1,0)</f>
        <v/>
      </c>
      <c r="X1930">
        <f>IF(AND(U1930=1,N1930&gt;=H1930*(1-Assumptions!$C$8)),1,0)</f>
        <v/>
      </c>
      <c r="Y1930">
        <f>IF(ISNUMBER(Q1930),1,0)</f>
        <v/>
      </c>
      <c r="Z1930">
        <f>IF(AND(K1930=0,L1930=0,Y1930=0),1,0)</f>
        <v/>
      </c>
      <c r="AA1930">
        <f>IF(AND(Z1930=1,G1930&lt;Assumptions!$C$6),1,0)</f>
        <v/>
      </c>
      <c r="AB1930">
        <f>IF(U1930=0,"",IF(Y1930=1,MAX(0,Q1930-G1930),IF(L1930=1,MAX(0,R1930-G1930),MAX(0,Assumptions!$C$6-G1930))))</f>
        <v/>
      </c>
      <c r="AC1930">
        <f>IF(Y1930=1,Q1930-F1930,"")</f>
        <v/>
      </c>
      <c r="AD1930">
        <f>IF(Y1930=1,AC1930^2,"")</f>
        <v/>
      </c>
      <c r="AE1930" s="19">
        <f>IF(Z1930=1,(H1930-M1930)*I1930,0)</f>
        <v/>
      </c>
      <c r="AF1930">
        <f>IF(G1930&lt;EDATE(Assumptions!$C$6,-12)+1,"prior_12m","last_12m")</f>
        <v/>
      </c>
      <c r="AG1930" s="21">
        <f>DATE(YEAR(G1930),MONTH(G1930),1)</f>
        <v/>
      </c>
    </row>
    <row r="1931">
      <c r="A1931" t="inlineStr">
        <is>
          <t>SPO-01042-1</t>
        </is>
      </c>
      <c r="B1931" t="inlineStr">
        <is>
          <t>SPO-01042</t>
        </is>
      </c>
      <c r="C1931" t="inlineStr">
        <is>
          <t>SUP-11</t>
        </is>
      </c>
      <c r="D1931" t="inlineStr">
        <is>
          <t>PPE</t>
        </is>
      </c>
      <c r="E1931" t="inlineStr">
        <is>
          <t>PPE-05</t>
        </is>
      </c>
      <c r="F1931" s="17" t="n">
        <v>45860</v>
      </c>
      <c r="G1931" s="17" t="n">
        <v>45872</v>
      </c>
      <c r="H1931" s="18" t="n">
        <v>127</v>
      </c>
      <c r="I1931" s="19" t="n">
        <v>10.29</v>
      </c>
      <c r="J1931" s="19" t="n">
        <v>11</v>
      </c>
      <c r="K1931" s="20" t="n">
        <v>0</v>
      </c>
      <c r="L1931" s="20" t="n">
        <v>0</v>
      </c>
      <c r="M1931" s="18" t="n">
        <v>127</v>
      </c>
      <c r="N1931" s="18" t="n">
        <v>127</v>
      </c>
      <c r="O1931" s="18" t="n">
        <v>0</v>
      </c>
      <c r="P1931" s="17" t="n">
        <v>45870</v>
      </c>
      <c r="Q1931" s="17" t="n">
        <v>45870</v>
      </c>
      <c r="R1931" s="17" t="n">
        <v>45870</v>
      </c>
      <c r="S1931" s="19">
        <f>H1931*I1931</f>
        <v/>
      </c>
      <c r="T1931" s="19">
        <f>H1931*J1931</f>
        <v/>
      </c>
      <c r="U1931">
        <f>IF(AND(K1931=0,G1931&lt;=Assumptions!$C$6),1,0)</f>
        <v/>
      </c>
      <c r="V1931">
        <f>IF(U1931=1,IF(M1931&gt;0,IF(P1931&lt;=G1931+Assumptions!$C$7,1,0),0),0)</f>
        <v/>
      </c>
      <c r="W1931">
        <f>IF(AND(U1931=1,M1931&gt;=H1931*(1-Assumptions!$C$8)),1,0)</f>
        <v/>
      </c>
      <c r="X1931">
        <f>IF(AND(U1931=1,N1931&gt;=H1931*(1-Assumptions!$C$8)),1,0)</f>
        <v/>
      </c>
      <c r="Y1931">
        <f>IF(ISNUMBER(Q1931),1,0)</f>
        <v/>
      </c>
      <c r="Z1931">
        <f>IF(AND(K1931=0,L1931=0,Y1931=0),1,0)</f>
        <v/>
      </c>
      <c r="AA1931">
        <f>IF(AND(Z1931=1,G1931&lt;Assumptions!$C$6),1,0)</f>
        <v/>
      </c>
      <c r="AB1931">
        <f>IF(U1931=0,"",IF(Y1931=1,MAX(0,Q1931-G1931),IF(L1931=1,MAX(0,R1931-G1931),MAX(0,Assumptions!$C$6-G1931))))</f>
        <v/>
      </c>
      <c r="AC1931">
        <f>IF(Y1931=1,Q1931-F1931,"")</f>
        <v/>
      </c>
      <c r="AD1931">
        <f>IF(Y1931=1,AC1931^2,"")</f>
        <v/>
      </c>
      <c r="AE1931" s="19">
        <f>IF(Z1931=1,(H1931-M1931)*I1931,0)</f>
        <v/>
      </c>
      <c r="AF1931">
        <f>IF(G1931&lt;EDATE(Assumptions!$C$6,-12)+1,"prior_12m","last_12m")</f>
        <v/>
      </c>
      <c r="AG1931" s="21">
        <f>DATE(YEAR(G1931),MONTH(G1931),1)</f>
        <v/>
      </c>
    </row>
    <row r="1932">
      <c r="A1932" t="inlineStr">
        <is>
          <t>SPO-01043-1</t>
        </is>
      </c>
      <c r="B1932" t="inlineStr">
        <is>
          <t>SPO-01043</t>
        </is>
      </c>
      <c r="C1932" t="inlineStr">
        <is>
          <t>SUP-08</t>
        </is>
      </c>
      <c r="D1932" t="inlineStr">
        <is>
          <t>MRO</t>
        </is>
      </c>
      <c r="E1932" t="inlineStr">
        <is>
          <t>MRO-04</t>
        </is>
      </c>
      <c r="F1932" s="17" t="n">
        <v>45860</v>
      </c>
      <c r="G1932" s="17" t="n">
        <v>45871</v>
      </c>
      <c r="H1932" s="18" t="n">
        <v>41</v>
      </c>
      <c r="I1932" s="19" t="n">
        <v>54.33</v>
      </c>
      <c r="J1932" s="19" t="n">
        <v>58</v>
      </c>
      <c r="K1932" s="20" t="n">
        <v>0</v>
      </c>
      <c r="L1932" s="20" t="n">
        <v>0</v>
      </c>
      <c r="M1932" s="18" t="n">
        <v>41</v>
      </c>
      <c r="N1932" s="18" t="n">
        <v>41</v>
      </c>
      <c r="O1932" s="18" t="n">
        <v>0</v>
      </c>
      <c r="P1932" s="17" t="n">
        <v>45867</v>
      </c>
      <c r="Q1932" s="17" t="n">
        <v>45867</v>
      </c>
      <c r="R1932" s="17" t="n">
        <v>45867</v>
      </c>
      <c r="S1932" s="19">
        <f>H1932*I1932</f>
        <v/>
      </c>
      <c r="T1932" s="19">
        <f>H1932*J1932</f>
        <v/>
      </c>
      <c r="U1932">
        <f>IF(AND(K1932=0,G1932&lt;=Assumptions!$C$6),1,0)</f>
        <v/>
      </c>
      <c r="V1932">
        <f>IF(U1932=1,IF(M1932&gt;0,IF(P1932&lt;=G1932+Assumptions!$C$7,1,0),0),0)</f>
        <v/>
      </c>
      <c r="W1932">
        <f>IF(AND(U1932=1,M1932&gt;=H1932*(1-Assumptions!$C$8)),1,0)</f>
        <v/>
      </c>
      <c r="X1932">
        <f>IF(AND(U1932=1,N1932&gt;=H1932*(1-Assumptions!$C$8)),1,0)</f>
        <v/>
      </c>
      <c r="Y1932">
        <f>IF(ISNUMBER(Q1932),1,0)</f>
        <v/>
      </c>
      <c r="Z1932">
        <f>IF(AND(K1932=0,L1932=0,Y1932=0),1,0)</f>
        <v/>
      </c>
      <c r="AA1932">
        <f>IF(AND(Z1932=1,G1932&lt;Assumptions!$C$6),1,0)</f>
        <v/>
      </c>
      <c r="AB1932">
        <f>IF(U1932=0,"",IF(Y1932=1,MAX(0,Q1932-G1932),IF(L1932=1,MAX(0,R1932-G1932),MAX(0,Assumptions!$C$6-G1932))))</f>
        <v/>
      </c>
      <c r="AC1932">
        <f>IF(Y1932=1,Q1932-F1932,"")</f>
        <v/>
      </c>
      <c r="AD1932">
        <f>IF(Y1932=1,AC1932^2,"")</f>
        <v/>
      </c>
      <c r="AE1932" s="19">
        <f>IF(Z1932=1,(H1932-M1932)*I1932,0)</f>
        <v/>
      </c>
      <c r="AF1932">
        <f>IF(G1932&lt;EDATE(Assumptions!$C$6,-12)+1,"prior_12m","last_12m")</f>
        <v/>
      </c>
      <c r="AG1932" s="21">
        <f>DATE(YEAR(G1932),MONTH(G1932),1)</f>
        <v/>
      </c>
    </row>
    <row r="1933">
      <c r="A1933" t="inlineStr">
        <is>
          <t>SPO-01044-1</t>
        </is>
      </c>
      <c r="B1933" t="inlineStr">
        <is>
          <t>SPO-01044</t>
        </is>
      </c>
      <c r="C1933" t="inlineStr">
        <is>
          <t>SUP-01</t>
        </is>
      </c>
      <c r="D1933" t="inlineStr">
        <is>
          <t>ELEC</t>
        </is>
      </c>
      <c r="E1933" t="inlineStr">
        <is>
          <t>ELEC-01</t>
        </is>
      </c>
      <c r="F1933" s="17" t="n">
        <v>45860</v>
      </c>
      <c r="G1933" s="17" t="n">
        <v>45878</v>
      </c>
      <c r="H1933" s="18" t="n">
        <v>73</v>
      </c>
      <c r="I1933" s="19" t="n">
        <v>37.9</v>
      </c>
      <c r="J1933" s="19" t="n">
        <v>38</v>
      </c>
      <c r="K1933" s="20" t="n">
        <v>0</v>
      </c>
      <c r="L1933" s="20" t="n">
        <v>0</v>
      </c>
      <c r="M1933" s="18" t="n">
        <v>73</v>
      </c>
      <c r="N1933" s="18" t="n">
        <v>73</v>
      </c>
      <c r="O1933" s="18" t="n">
        <v>0</v>
      </c>
      <c r="P1933" s="17" t="n">
        <v>45876</v>
      </c>
      <c r="Q1933" s="17" t="n">
        <v>45876</v>
      </c>
      <c r="R1933" s="17" t="n">
        <v>45876</v>
      </c>
      <c r="S1933" s="19">
        <f>H1933*I1933</f>
        <v/>
      </c>
      <c r="T1933" s="19">
        <f>H1933*J1933</f>
        <v/>
      </c>
      <c r="U1933">
        <f>IF(AND(K1933=0,G1933&lt;=Assumptions!$C$6),1,0)</f>
        <v/>
      </c>
      <c r="V1933">
        <f>IF(U1933=1,IF(M1933&gt;0,IF(P1933&lt;=G1933+Assumptions!$C$7,1,0),0),0)</f>
        <v/>
      </c>
      <c r="W1933">
        <f>IF(AND(U1933=1,M1933&gt;=H1933*(1-Assumptions!$C$8)),1,0)</f>
        <v/>
      </c>
      <c r="X1933">
        <f>IF(AND(U1933=1,N1933&gt;=H1933*(1-Assumptions!$C$8)),1,0)</f>
        <v/>
      </c>
      <c r="Y1933">
        <f>IF(ISNUMBER(Q1933),1,0)</f>
        <v/>
      </c>
      <c r="Z1933">
        <f>IF(AND(K1933=0,L1933=0,Y1933=0),1,0)</f>
        <v/>
      </c>
      <c r="AA1933">
        <f>IF(AND(Z1933=1,G1933&lt;Assumptions!$C$6),1,0)</f>
        <v/>
      </c>
      <c r="AB1933">
        <f>IF(U1933=0,"",IF(Y1933=1,MAX(0,Q1933-G1933),IF(L1933=1,MAX(0,R1933-G1933),MAX(0,Assumptions!$C$6-G1933))))</f>
        <v/>
      </c>
      <c r="AC1933">
        <f>IF(Y1933=1,Q1933-F1933,"")</f>
        <v/>
      </c>
      <c r="AD1933">
        <f>IF(Y1933=1,AC1933^2,"")</f>
        <v/>
      </c>
      <c r="AE1933" s="19">
        <f>IF(Z1933=1,(H1933-M1933)*I1933,0)</f>
        <v/>
      </c>
      <c r="AF1933">
        <f>IF(G1933&lt;EDATE(Assumptions!$C$6,-12)+1,"prior_12m","last_12m")</f>
        <v/>
      </c>
      <c r="AG1933" s="21">
        <f>DATE(YEAR(G1933),MONTH(G1933),1)</f>
        <v/>
      </c>
    </row>
    <row r="1934">
      <c r="A1934" t="inlineStr">
        <is>
          <t>SPO-01044-2</t>
        </is>
      </c>
      <c r="B1934" t="inlineStr">
        <is>
          <t>SPO-01044</t>
        </is>
      </c>
      <c r="C1934" t="inlineStr">
        <is>
          <t>SUP-01</t>
        </is>
      </c>
      <c r="D1934" t="inlineStr">
        <is>
          <t>ELEC</t>
        </is>
      </c>
      <c r="E1934" t="inlineStr">
        <is>
          <t>ELEC-07</t>
        </is>
      </c>
      <c r="F1934" s="17" t="n">
        <v>45860</v>
      </c>
      <c r="G1934" s="17" t="n">
        <v>45878</v>
      </c>
      <c r="H1934" s="18" t="n">
        <v>730</v>
      </c>
      <c r="I1934" s="19" t="n">
        <v>9.49</v>
      </c>
      <c r="J1934" s="19" t="n">
        <v>9.800000000000001</v>
      </c>
      <c r="K1934" s="20" t="n">
        <v>0</v>
      </c>
      <c r="L1934" s="20" t="n">
        <v>0</v>
      </c>
      <c r="M1934" s="18" t="n">
        <v>730</v>
      </c>
      <c r="N1934" s="18" t="n">
        <v>730</v>
      </c>
      <c r="O1934" s="18" t="n">
        <v>0</v>
      </c>
      <c r="P1934" s="17" t="n">
        <v>45876</v>
      </c>
      <c r="Q1934" s="17" t="n">
        <v>45876</v>
      </c>
      <c r="R1934" s="17" t="n">
        <v>45876</v>
      </c>
      <c r="S1934" s="19">
        <f>H1934*I1934</f>
        <v/>
      </c>
      <c r="T1934" s="19">
        <f>H1934*J1934</f>
        <v/>
      </c>
      <c r="U1934">
        <f>IF(AND(K1934=0,G1934&lt;=Assumptions!$C$6),1,0)</f>
        <v/>
      </c>
      <c r="V1934">
        <f>IF(U1934=1,IF(M1934&gt;0,IF(P1934&lt;=G1934+Assumptions!$C$7,1,0),0),0)</f>
        <v/>
      </c>
      <c r="W1934">
        <f>IF(AND(U1934=1,M1934&gt;=H1934*(1-Assumptions!$C$8)),1,0)</f>
        <v/>
      </c>
      <c r="X1934">
        <f>IF(AND(U1934=1,N1934&gt;=H1934*(1-Assumptions!$C$8)),1,0)</f>
        <v/>
      </c>
      <c r="Y1934">
        <f>IF(ISNUMBER(Q1934),1,0)</f>
        <v/>
      </c>
      <c r="Z1934">
        <f>IF(AND(K1934=0,L1934=0,Y1934=0),1,0)</f>
        <v/>
      </c>
      <c r="AA1934">
        <f>IF(AND(Z1934=1,G1934&lt;Assumptions!$C$6),1,0)</f>
        <v/>
      </c>
      <c r="AB1934">
        <f>IF(U1934=0,"",IF(Y1934=1,MAX(0,Q1934-G1934),IF(L1934=1,MAX(0,R1934-G1934),MAX(0,Assumptions!$C$6-G1934))))</f>
        <v/>
      </c>
      <c r="AC1934">
        <f>IF(Y1934=1,Q1934-F1934,"")</f>
        <v/>
      </c>
      <c r="AD1934">
        <f>IF(Y1934=1,AC1934^2,"")</f>
        <v/>
      </c>
      <c r="AE1934" s="19">
        <f>IF(Z1934=1,(H1934-M1934)*I1934,0)</f>
        <v/>
      </c>
      <c r="AF1934">
        <f>IF(G1934&lt;EDATE(Assumptions!$C$6,-12)+1,"prior_12m","last_12m")</f>
        <v/>
      </c>
      <c r="AG1934" s="21">
        <f>DATE(YEAR(G1934),MONTH(G1934),1)</f>
        <v/>
      </c>
    </row>
    <row r="1935">
      <c r="A1935" t="inlineStr">
        <is>
          <t>SPO-01045-1</t>
        </is>
      </c>
      <c r="B1935" t="inlineStr">
        <is>
          <t>SPO-01045</t>
        </is>
      </c>
      <c r="C1935" t="inlineStr">
        <is>
          <t>SUP-06</t>
        </is>
      </c>
      <c r="D1935" t="inlineStr">
        <is>
          <t>MRO</t>
        </is>
      </c>
      <c r="E1935" t="inlineStr">
        <is>
          <t>MRO-07</t>
        </is>
      </c>
      <c r="F1935" s="17" t="n">
        <v>45860</v>
      </c>
      <c r="G1935" s="17" t="n">
        <v>45868</v>
      </c>
      <c r="H1935" s="18" t="n">
        <v>88</v>
      </c>
      <c r="I1935" s="19" t="n">
        <v>14.11</v>
      </c>
      <c r="J1935" s="19" t="n">
        <v>14</v>
      </c>
      <c r="K1935" s="20" t="n">
        <v>0</v>
      </c>
      <c r="L1935" s="20" t="n">
        <v>0</v>
      </c>
      <c r="M1935" s="18" t="n">
        <v>88</v>
      </c>
      <c r="N1935" s="18" t="n">
        <v>88</v>
      </c>
      <c r="O1935" s="18" t="n">
        <v>0</v>
      </c>
      <c r="P1935" s="17" t="n">
        <v>45866</v>
      </c>
      <c r="Q1935" s="17" t="n">
        <v>45866</v>
      </c>
      <c r="R1935" s="17" t="n">
        <v>45866</v>
      </c>
      <c r="S1935" s="19">
        <f>H1935*I1935</f>
        <v/>
      </c>
      <c r="T1935" s="19">
        <f>H1935*J1935</f>
        <v/>
      </c>
      <c r="U1935">
        <f>IF(AND(K1935=0,G1935&lt;=Assumptions!$C$6),1,0)</f>
        <v/>
      </c>
      <c r="V1935">
        <f>IF(U1935=1,IF(M1935&gt;0,IF(P1935&lt;=G1935+Assumptions!$C$7,1,0),0),0)</f>
        <v/>
      </c>
      <c r="W1935">
        <f>IF(AND(U1935=1,M1935&gt;=H1935*(1-Assumptions!$C$8)),1,0)</f>
        <v/>
      </c>
      <c r="X1935">
        <f>IF(AND(U1935=1,N1935&gt;=H1935*(1-Assumptions!$C$8)),1,0)</f>
        <v/>
      </c>
      <c r="Y1935">
        <f>IF(ISNUMBER(Q1935),1,0)</f>
        <v/>
      </c>
      <c r="Z1935">
        <f>IF(AND(K1935=0,L1935=0,Y1935=0),1,0)</f>
        <v/>
      </c>
      <c r="AA1935">
        <f>IF(AND(Z1935=1,G1935&lt;Assumptions!$C$6),1,0)</f>
        <v/>
      </c>
      <c r="AB1935">
        <f>IF(U1935=0,"",IF(Y1935=1,MAX(0,Q1935-G1935),IF(L1935=1,MAX(0,R1935-G1935),MAX(0,Assumptions!$C$6-G1935))))</f>
        <v/>
      </c>
      <c r="AC1935">
        <f>IF(Y1935=1,Q1935-F1935,"")</f>
        <v/>
      </c>
      <c r="AD1935">
        <f>IF(Y1935=1,AC1935^2,"")</f>
        <v/>
      </c>
      <c r="AE1935" s="19">
        <f>IF(Z1935=1,(H1935-M1935)*I1935,0)</f>
        <v/>
      </c>
      <c r="AF1935">
        <f>IF(G1935&lt;EDATE(Assumptions!$C$6,-12)+1,"prior_12m","last_12m")</f>
        <v/>
      </c>
      <c r="AG1935" s="21">
        <f>DATE(YEAR(G1935),MONTH(G1935),1)</f>
        <v/>
      </c>
    </row>
    <row r="1936">
      <c r="A1936" t="inlineStr">
        <is>
          <t>SPO-01046-1</t>
        </is>
      </c>
      <c r="B1936" t="inlineStr">
        <is>
          <t>SPO-01046</t>
        </is>
      </c>
      <c r="C1936" t="inlineStr">
        <is>
          <t>SUP-05</t>
        </is>
      </c>
      <c r="D1936" t="inlineStr">
        <is>
          <t>FLEET</t>
        </is>
      </c>
      <c r="E1936" t="inlineStr">
        <is>
          <t>FLEET-03</t>
        </is>
      </c>
      <c r="F1936" s="17" t="n">
        <v>45860</v>
      </c>
      <c r="G1936" s="17" t="n">
        <v>45874</v>
      </c>
      <c r="H1936" s="18" t="n">
        <v>77</v>
      </c>
      <c r="I1936" s="19" t="n">
        <v>22.09</v>
      </c>
      <c r="J1936" s="19" t="n">
        <v>21</v>
      </c>
      <c r="K1936" s="20" t="n">
        <v>0</v>
      </c>
      <c r="L1936" s="20" t="n">
        <v>0</v>
      </c>
      <c r="M1936" s="18" t="n">
        <v>77</v>
      </c>
      <c r="N1936" s="18" t="n">
        <v>77</v>
      </c>
      <c r="O1936" s="18" t="n">
        <v>0</v>
      </c>
      <c r="P1936" s="17" t="n">
        <v>45871</v>
      </c>
      <c r="Q1936" s="17" t="n">
        <v>45871</v>
      </c>
      <c r="R1936" s="17" t="n">
        <v>45871</v>
      </c>
      <c r="S1936" s="19">
        <f>H1936*I1936</f>
        <v/>
      </c>
      <c r="T1936" s="19">
        <f>H1936*J1936</f>
        <v/>
      </c>
      <c r="U1936">
        <f>IF(AND(K1936=0,G1936&lt;=Assumptions!$C$6),1,0)</f>
        <v/>
      </c>
      <c r="V1936">
        <f>IF(U1936=1,IF(M1936&gt;0,IF(P1936&lt;=G1936+Assumptions!$C$7,1,0),0),0)</f>
        <v/>
      </c>
      <c r="W1936">
        <f>IF(AND(U1936=1,M1936&gt;=H1936*(1-Assumptions!$C$8)),1,0)</f>
        <v/>
      </c>
      <c r="X1936">
        <f>IF(AND(U1936=1,N1936&gt;=H1936*(1-Assumptions!$C$8)),1,0)</f>
        <v/>
      </c>
      <c r="Y1936">
        <f>IF(ISNUMBER(Q1936),1,0)</f>
        <v/>
      </c>
      <c r="Z1936">
        <f>IF(AND(K1936=0,L1936=0,Y1936=0),1,0)</f>
        <v/>
      </c>
      <c r="AA1936">
        <f>IF(AND(Z1936=1,G1936&lt;Assumptions!$C$6),1,0)</f>
        <v/>
      </c>
      <c r="AB1936">
        <f>IF(U1936=0,"",IF(Y1936=1,MAX(0,Q1936-G1936),IF(L1936=1,MAX(0,R1936-G1936),MAX(0,Assumptions!$C$6-G1936))))</f>
        <v/>
      </c>
      <c r="AC1936">
        <f>IF(Y1936=1,Q1936-F1936,"")</f>
        <v/>
      </c>
      <c r="AD1936">
        <f>IF(Y1936=1,AC1936^2,"")</f>
        <v/>
      </c>
      <c r="AE1936" s="19">
        <f>IF(Z1936=1,(H1936-M1936)*I1936,0)</f>
        <v/>
      </c>
      <c r="AF1936">
        <f>IF(G1936&lt;EDATE(Assumptions!$C$6,-12)+1,"prior_12m","last_12m")</f>
        <v/>
      </c>
      <c r="AG1936" s="21">
        <f>DATE(YEAR(G1936),MONTH(G1936),1)</f>
        <v/>
      </c>
    </row>
    <row r="1937">
      <c r="A1937" t="inlineStr">
        <is>
          <t>SPO-01046-2</t>
        </is>
      </c>
      <c r="B1937" t="inlineStr">
        <is>
          <t>SPO-01046</t>
        </is>
      </c>
      <c r="C1937" t="inlineStr">
        <is>
          <t>SUP-05</t>
        </is>
      </c>
      <c r="D1937" t="inlineStr">
        <is>
          <t>FLEET</t>
        </is>
      </c>
      <c r="E1937" t="inlineStr">
        <is>
          <t>FLEET-05</t>
        </is>
      </c>
      <c r="F1937" s="17" t="n">
        <v>45860</v>
      </c>
      <c r="G1937" s="17" t="n">
        <v>45874</v>
      </c>
      <c r="H1937" s="18" t="n">
        <v>7</v>
      </c>
      <c r="I1937" s="19" t="n">
        <v>173.76</v>
      </c>
      <c r="J1937" s="19" t="n">
        <v>168</v>
      </c>
      <c r="K1937" s="20" t="n">
        <v>0</v>
      </c>
      <c r="L1937" s="20" t="n">
        <v>0</v>
      </c>
      <c r="M1937" s="18" t="n">
        <v>7</v>
      </c>
      <c r="N1937" s="18" t="n">
        <v>7</v>
      </c>
      <c r="O1937" s="18" t="n">
        <v>0</v>
      </c>
      <c r="P1937" s="17" t="n">
        <v>45871</v>
      </c>
      <c r="Q1937" s="17" t="n">
        <v>45871</v>
      </c>
      <c r="R1937" s="17" t="n">
        <v>45871</v>
      </c>
      <c r="S1937" s="19">
        <f>H1937*I1937</f>
        <v/>
      </c>
      <c r="T1937" s="19">
        <f>H1937*J1937</f>
        <v/>
      </c>
      <c r="U1937">
        <f>IF(AND(K1937=0,G1937&lt;=Assumptions!$C$6),1,0)</f>
        <v/>
      </c>
      <c r="V1937">
        <f>IF(U1937=1,IF(M1937&gt;0,IF(P1937&lt;=G1937+Assumptions!$C$7,1,0),0),0)</f>
        <v/>
      </c>
      <c r="W1937">
        <f>IF(AND(U1937=1,M1937&gt;=H1937*(1-Assumptions!$C$8)),1,0)</f>
        <v/>
      </c>
      <c r="X1937">
        <f>IF(AND(U1937=1,N1937&gt;=H1937*(1-Assumptions!$C$8)),1,0)</f>
        <v/>
      </c>
      <c r="Y1937">
        <f>IF(ISNUMBER(Q1937),1,0)</f>
        <v/>
      </c>
      <c r="Z1937">
        <f>IF(AND(K1937=0,L1937=0,Y1937=0),1,0)</f>
        <v/>
      </c>
      <c r="AA1937">
        <f>IF(AND(Z1937=1,G1937&lt;Assumptions!$C$6),1,0)</f>
        <v/>
      </c>
      <c r="AB1937">
        <f>IF(U1937=0,"",IF(Y1937=1,MAX(0,Q1937-G1937),IF(L1937=1,MAX(0,R1937-G1937),MAX(0,Assumptions!$C$6-G1937))))</f>
        <v/>
      </c>
      <c r="AC1937">
        <f>IF(Y1937=1,Q1937-F1937,"")</f>
        <v/>
      </c>
      <c r="AD1937">
        <f>IF(Y1937=1,AC1937^2,"")</f>
        <v/>
      </c>
      <c r="AE1937" s="19">
        <f>IF(Z1937=1,(H1937-M1937)*I1937,0)</f>
        <v/>
      </c>
      <c r="AF1937">
        <f>IF(G1937&lt;EDATE(Assumptions!$C$6,-12)+1,"prior_12m","last_12m")</f>
        <v/>
      </c>
      <c r="AG1937" s="21">
        <f>DATE(YEAR(G1937),MONTH(G1937),1)</f>
        <v/>
      </c>
    </row>
    <row r="1938">
      <c r="A1938" t="inlineStr">
        <is>
          <t>SPO-01046-3</t>
        </is>
      </c>
      <c r="B1938" t="inlineStr">
        <is>
          <t>SPO-01046</t>
        </is>
      </c>
      <c r="C1938" t="inlineStr">
        <is>
          <t>SUP-05</t>
        </is>
      </c>
      <c r="D1938" t="inlineStr">
        <is>
          <t>FLEET</t>
        </is>
      </c>
      <c r="E1938" t="inlineStr">
        <is>
          <t>FLEET-08</t>
        </is>
      </c>
      <c r="F1938" s="17" t="n">
        <v>45860</v>
      </c>
      <c r="G1938" s="17" t="n">
        <v>45874</v>
      </c>
      <c r="H1938" s="18" t="n">
        <v>346</v>
      </c>
      <c r="I1938" s="19" t="n">
        <v>6.6</v>
      </c>
      <c r="J1938" s="19" t="n">
        <v>6.4</v>
      </c>
      <c r="K1938" s="20" t="n">
        <v>0</v>
      </c>
      <c r="L1938" s="20" t="n">
        <v>0</v>
      </c>
      <c r="M1938" s="18" t="n">
        <v>346</v>
      </c>
      <c r="N1938" s="18" t="n">
        <v>346</v>
      </c>
      <c r="O1938" s="18" t="n">
        <v>0</v>
      </c>
      <c r="P1938" s="17" t="n">
        <v>45873</v>
      </c>
      <c r="Q1938" s="17" t="n">
        <v>45873</v>
      </c>
      <c r="R1938" s="17" t="n">
        <v>45873</v>
      </c>
      <c r="S1938" s="19">
        <f>H1938*I1938</f>
        <v/>
      </c>
      <c r="T1938" s="19">
        <f>H1938*J1938</f>
        <v/>
      </c>
      <c r="U1938">
        <f>IF(AND(K1938=0,G1938&lt;=Assumptions!$C$6),1,0)</f>
        <v/>
      </c>
      <c r="V1938">
        <f>IF(U1938=1,IF(M1938&gt;0,IF(P1938&lt;=G1938+Assumptions!$C$7,1,0),0),0)</f>
        <v/>
      </c>
      <c r="W1938">
        <f>IF(AND(U1938=1,M1938&gt;=H1938*(1-Assumptions!$C$8)),1,0)</f>
        <v/>
      </c>
      <c r="X1938">
        <f>IF(AND(U1938=1,N1938&gt;=H1938*(1-Assumptions!$C$8)),1,0)</f>
        <v/>
      </c>
      <c r="Y1938">
        <f>IF(ISNUMBER(Q1938),1,0)</f>
        <v/>
      </c>
      <c r="Z1938">
        <f>IF(AND(K1938=0,L1938=0,Y1938=0),1,0)</f>
        <v/>
      </c>
      <c r="AA1938">
        <f>IF(AND(Z1938=1,G1938&lt;Assumptions!$C$6),1,0)</f>
        <v/>
      </c>
      <c r="AB1938">
        <f>IF(U1938=0,"",IF(Y1938=1,MAX(0,Q1938-G1938),IF(L1938=1,MAX(0,R1938-G1938),MAX(0,Assumptions!$C$6-G1938))))</f>
        <v/>
      </c>
      <c r="AC1938">
        <f>IF(Y1938=1,Q1938-F1938,"")</f>
        <v/>
      </c>
      <c r="AD1938">
        <f>IF(Y1938=1,AC1938^2,"")</f>
        <v/>
      </c>
      <c r="AE1938" s="19">
        <f>IF(Z1938=1,(H1938-M1938)*I1938,0)</f>
        <v/>
      </c>
      <c r="AF1938">
        <f>IF(G1938&lt;EDATE(Assumptions!$C$6,-12)+1,"prior_12m","last_12m")</f>
        <v/>
      </c>
      <c r="AG1938" s="21">
        <f>DATE(YEAR(G1938),MONTH(G1938),1)</f>
        <v/>
      </c>
    </row>
    <row r="1939">
      <c r="A1939" t="inlineStr">
        <is>
          <t>SPO-01047-1</t>
        </is>
      </c>
      <c r="B1939" t="inlineStr">
        <is>
          <t>SPO-01047</t>
        </is>
      </c>
      <c r="C1939" t="inlineStr">
        <is>
          <t>SUP-09</t>
        </is>
      </c>
      <c r="D1939" t="inlineStr">
        <is>
          <t>CHEM</t>
        </is>
      </c>
      <c r="E1939" t="inlineStr">
        <is>
          <t>CHEM-02</t>
        </is>
      </c>
      <c r="F1939" s="17" t="n">
        <v>45860</v>
      </c>
      <c r="G1939" s="17" t="n">
        <v>45874</v>
      </c>
      <c r="H1939" s="18" t="n">
        <v>2</v>
      </c>
      <c r="I1939" s="19" t="n">
        <v>400.22</v>
      </c>
      <c r="J1939" s="19" t="n">
        <v>410</v>
      </c>
      <c r="K1939" s="20" t="n">
        <v>0</v>
      </c>
      <c r="L1939" s="20" t="n">
        <v>0</v>
      </c>
      <c r="M1939" s="18" t="n">
        <v>2</v>
      </c>
      <c r="N1939" s="18" t="n">
        <v>2</v>
      </c>
      <c r="O1939" s="18" t="n">
        <v>0</v>
      </c>
      <c r="P1939" s="17" t="n">
        <v>45870</v>
      </c>
      <c r="Q1939" s="17" t="n">
        <v>45870</v>
      </c>
      <c r="R1939" s="17" t="n">
        <v>45870</v>
      </c>
      <c r="S1939" s="19">
        <f>H1939*I1939</f>
        <v/>
      </c>
      <c r="T1939" s="19">
        <f>H1939*J1939</f>
        <v/>
      </c>
      <c r="U1939">
        <f>IF(AND(K1939=0,G1939&lt;=Assumptions!$C$6),1,0)</f>
        <v/>
      </c>
      <c r="V1939">
        <f>IF(U1939=1,IF(M1939&gt;0,IF(P1939&lt;=G1939+Assumptions!$C$7,1,0),0),0)</f>
        <v/>
      </c>
      <c r="W1939">
        <f>IF(AND(U1939=1,M1939&gt;=H1939*(1-Assumptions!$C$8)),1,0)</f>
        <v/>
      </c>
      <c r="X1939">
        <f>IF(AND(U1939=1,N1939&gt;=H1939*(1-Assumptions!$C$8)),1,0)</f>
        <v/>
      </c>
      <c r="Y1939">
        <f>IF(ISNUMBER(Q1939),1,0)</f>
        <v/>
      </c>
      <c r="Z1939">
        <f>IF(AND(K1939=0,L1939=0,Y1939=0),1,0)</f>
        <v/>
      </c>
      <c r="AA1939">
        <f>IF(AND(Z1939=1,G1939&lt;Assumptions!$C$6),1,0)</f>
        <v/>
      </c>
      <c r="AB1939">
        <f>IF(U1939=0,"",IF(Y1939=1,MAX(0,Q1939-G1939),IF(L1939=1,MAX(0,R1939-G1939),MAX(0,Assumptions!$C$6-G1939))))</f>
        <v/>
      </c>
      <c r="AC1939">
        <f>IF(Y1939=1,Q1939-F1939,"")</f>
        <v/>
      </c>
      <c r="AD1939">
        <f>IF(Y1939=1,AC1939^2,"")</f>
        <v/>
      </c>
      <c r="AE1939" s="19">
        <f>IF(Z1939=1,(H1939-M1939)*I1939,0)</f>
        <v/>
      </c>
      <c r="AF1939">
        <f>IF(G1939&lt;EDATE(Assumptions!$C$6,-12)+1,"prior_12m","last_12m")</f>
        <v/>
      </c>
      <c r="AG1939" s="21">
        <f>DATE(YEAR(G1939),MONTH(G1939),1)</f>
        <v/>
      </c>
    </row>
    <row r="1940">
      <c r="A1940" t="inlineStr">
        <is>
          <t>SPO-01047-2</t>
        </is>
      </c>
      <c r="B1940" t="inlineStr">
        <is>
          <t>SPO-01047</t>
        </is>
      </c>
      <c r="C1940" t="inlineStr">
        <is>
          <t>SUP-09</t>
        </is>
      </c>
      <c r="D1940" t="inlineStr">
        <is>
          <t>CHEM</t>
        </is>
      </c>
      <c r="E1940" t="inlineStr">
        <is>
          <t>CHEM-01</t>
        </is>
      </c>
      <c r="F1940" s="17" t="n">
        <v>45860</v>
      </c>
      <c r="G1940" s="17" t="n">
        <v>45874</v>
      </c>
      <c r="H1940" s="18" t="n">
        <v>2</v>
      </c>
      <c r="I1940" s="19" t="n">
        <v>649.79</v>
      </c>
      <c r="J1940" s="19" t="n">
        <v>640</v>
      </c>
      <c r="K1940" s="20" t="n">
        <v>0</v>
      </c>
      <c r="L1940" s="20" t="n">
        <v>0</v>
      </c>
      <c r="M1940" s="18" t="n">
        <v>2</v>
      </c>
      <c r="N1940" s="18" t="n">
        <v>2</v>
      </c>
      <c r="O1940" s="18" t="n">
        <v>0</v>
      </c>
      <c r="P1940" s="17" t="n">
        <v>45872</v>
      </c>
      <c r="Q1940" s="17" t="n">
        <v>45872</v>
      </c>
      <c r="R1940" s="17" t="n">
        <v>45872</v>
      </c>
      <c r="S1940" s="19">
        <f>H1940*I1940</f>
        <v/>
      </c>
      <c r="T1940" s="19">
        <f>H1940*J1940</f>
        <v/>
      </c>
      <c r="U1940">
        <f>IF(AND(K1940=0,G1940&lt;=Assumptions!$C$6),1,0)</f>
        <v/>
      </c>
      <c r="V1940">
        <f>IF(U1940=1,IF(M1940&gt;0,IF(P1940&lt;=G1940+Assumptions!$C$7,1,0),0),0)</f>
        <v/>
      </c>
      <c r="W1940">
        <f>IF(AND(U1940=1,M1940&gt;=H1940*(1-Assumptions!$C$8)),1,0)</f>
        <v/>
      </c>
      <c r="X1940">
        <f>IF(AND(U1940=1,N1940&gt;=H1940*(1-Assumptions!$C$8)),1,0)</f>
        <v/>
      </c>
      <c r="Y1940">
        <f>IF(ISNUMBER(Q1940),1,0)</f>
        <v/>
      </c>
      <c r="Z1940">
        <f>IF(AND(K1940=0,L1940=0,Y1940=0),1,0)</f>
        <v/>
      </c>
      <c r="AA1940">
        <f>IF(AND(Z1940=1,G1940&lt;Assumptions!$C$6),1,0)</f>
        <v/>
      </c>
      <c r="AB1940">
        <f>IF(U1940=0,"",IF(Y1940=1,MAX(0,Q1940-G1940),IF(L1940=1,MAX(0,R1940-G1940),MAX(0,Assumptions!$C$6-G1940))))</f>
        <v/>
      </c>
      <c r="AC1940">
        <f>IF(Y1940=1,Q1940-F1940,"")</f>
        <v/>
      </c>
      <c r="AD1940">
        <f>IF(Y1940=1,AC1940^2,"")</f>
        <v/>
      </c>
      <c r="AE1940" s="19">
        <f>IF(Z1940=1,(H1940-M1940)*I1940,0)</f>
        <v/>
      </c>
      <c r="AF1940">
        <f>IF(G1940&lt;EDATE(Assumptions!$C$6,-12)+1,"prior_12m","last_12m")</f>
        <v/>
      </c>
      <c r="AG1940" s="21">
        <f>DATE(YEAR(G1940),MONTH(G1940),1)</f>
        <v/>
      </c>
    </row>
    <row r="1941">
      <c r="A1941" t="inlineStr">
        <is>
          <t>SPO-01048-1</t>
        </is>
      </c>
      <c r="B1941" t="inlineStr">
        <is>
          <t>SPO-01048</t>
        </is>
      </c>
      <c r="C1941" t="inlineStr">
        <is>
          <t>SUP-05</t>
        </is>
      </c>
      <c r="D1941" t="inlineStr">
        <is>
          <t>FLEET</t>
        </is>
      </c>
      <c r="E1941" t="inlineStr">
        <is>
          <t>FLEET-03</t>
        </is>
      </c>
      <c r="F1941" s="17" t="n">
        <v>45861</v>
      </c>
      <c r="G1941" s="17" t="n">
        <v>45875</v>
      </c>
      <c r="H1941" s="18" t="n">
        <v>27</v>
      </c>
      <c r="I1941" s="19" t="n">
        <v>21.39</v>
      </c>
      <c r="J1941" s="19" t="n">
        <v>21</v>
      </c>
      <c r="K1941" s="20" t="n">
        <v>0</v>
      </c>
      <c r="L1941" s="20" t="n">
        <v>0</v>
      </c>
      <c r="M1941" s="18" t="n">
        <v>27</v>
      </c>
      <c r="N1941" s="18" t="n">
        <v>27</v>
      </c>
      <c r="O1941" s="18" t="n">
        <v>0</v>
      </c>
      <c r="P1941" s="17" t="n">
        <v>45873</v>
      </c>
      <c r="Q1941" s="17" t="n">
        <v>45873</v>
      </c>
      <c r="R1941" s="17" t="n">
        <v>45873</v>
      </c>
      <c r="S1941" s="19">
        <f>H1941*I1941</f>
        <v/>
      </c>
      <c r="T1941" s="19">
        <f>H1941*J1941</f>
        <v/>
      </c>
      <c r="U1941">
        <f>IF(AND(K1941=0,G1941&lt;=Assumptions!$C$6),1,0)</f>
        <v/>
      </c>
      <c r="V1941">
        <f>IF(U1941=1,IF(M1941&gt;0,IF(P1941&lt;=G1941+Assumptions!$C$7,1,0),0),0)</f>
        <v/>
      </c>
      <c r="W1941">
        <f>IF(AND(U1941=1,M1941&gt;=H1941*(1-Assumptions!$C$8)),1,0)</f>
        <v/>
      </c>
      <c r="X1941">
        <f>IF(AND(U1941=1,N1941&gt;=H1941*(1-Assumptions!$C$8)),1,0)</f>
        <v/>
      </c>
      <c r="Y1941">
        <f>IF(ISNUMBER(Q1941),1,0)</f>
        <v/>
      </c>
      <c r="Z1941">
        <f>IF(AND(K1941=0,L1941=0,Y1941=0),1,0)</f>
        <v/>
      </c>
      <c r="AA1941">
        <f>IF(AND(Z1941=1,G1941&lt;Assumptions!$C$6),1,0)</f>
        <v/>
      </c>
      <c r="AB1941">
        <f>IF(U1941=0,"",IF(Y1941=1,MAX(0,Q1941-G1941),IF(L1941=1,MAX(0,R1941-G1941),MAX(0,Assumptions!$C$6-G1941))))</f>
        <v/>
      </c>
      <c r="AC1941">
        <f>IF(Y1941=1,Q1941-F1941,"")</f>
        <v/>
      </c>
      <c r="AD1941">
        <f>IF(Y1941=1,AC1941^2,"")</f>
        <v/>
      </c>
      <c r="AE1941" s="19">
        <f>IF(Z1941=1,(H1941-M1941)*I1941,0)</f>
        <v/>
      </c>
      <c r="AF1941">
        <f>IF(G1941&lt;EDATE(Assumptions!$C$6,-12)+1,"prior_12m","last_12m")</f>
        <v/>
      </c>
      <c r="AG1941" s="21">
        <f>DATE(YEAR(G1941),MONTH(G1941),1)</f>
        <v/>
      </c>
    </row>
    <row r="1942">
      <c r="A1942" t="inlineStr">
        <is>
          <t>SPO-01049-1</t>
        </is>
      </c>
      <c r="B1942" t="inlineStr">
        <is>
          <t>SPO-01049</t>
        </is>
      </c>
      <c r="C1942" t="inlineStr">
        <is>
          <t>SUP-08</t>
        </is>
      </c>
      <c r="D1942" t="inlineStr">
        <is>
          <t>PPE</t>
        </is>
      </c>
      <c r="E1942" t="inlineStr">
        <is>
          <t>PPE-03</t>
        </is>
      </c>
      <c r="F1942" s="17" t="n">
        <v>45862</v>
      </c>
      <c r="G1942" s="17" t="n">
        <v>45873</v>
      </c>
      <c r="H1942" s="18" t="n">
        <v>47</v>
      </c>
      <c r="I1942" s="19" t="n">
        <v>21.67</v>
      </c>
      <c r="J1942" s="19" t="n">
        <v>21</v>
      </c>
      <c r="K1942" s="20" t="n">
        <v>0</v>
      </c>
      <c r="L1942" s="20" t="n">
        <v>0</v>
      </c>
      <c r="M1942" s="18" t="n">
        <v>47</v>
      </c>
      <c r="N1942" s="18" t="n">
        <v>47</v>
      </c>
      <c r="O1942" s="18" t="n">
        <v>0</v>
      </c>
      <c r="P1942" s="17" t="n">
        <v>45869</v>
      </c>
      <c r="Q1942" s="17" t="n">
        <v>45869</v>
      </c>
      <c r="R1942" s="17" t="n">
        <v>45869</v>
      </c>
      <c r="S1942" s="19">
        <f>H1942*I1942</f>
        <v/>
      </c>
      <c r="T1942" s="19">
        <f>H1942*J1942</f>
        <v/>
      </c>
      <c r="U1942">
        <f>IF(AND(K1942=0,G1942&lt;=Assumptions!$C$6),1,0)</f>
        <v/>
      </c>
      <c r="V1942">
        <f>IF(U1942=1,IF(M1942&gt;0,IF(P1942&lt;=G1942+Assumptions!$C$7,1,0),0),0)</f>
        <v/>
      </c>
      <c r="W1942">
        <f>IF(AND(U1942=1,M1942&gt;=H1942*(1-Assumptions!$C$8)),1,0)</f>
        <v/>
      </c>
      <c r="X1942">
        <f>IF(AND(U1942=1,N1942&gt;=H1942*(1-Assumptions!$C$8)),1,0)</f>
        <v/>
      </c>
      <c r="Y1942">
        <f>IF(ISNUMBER(Q1942),1,0)</f>
        <v/>
      </c>
      <c r="Z1942">
        <f>IF(AND(K1942=0,L1942=0,Y1942=0),1,0)</f>
        <v/>
      </c>
      <c r="AA1942">
        <f>IF(AND(Z1942=1,G1942&lt;Assumptions!$C$6),1,0)</f>
        <v/>
      </c>
      <c r="AB1942">
        <f>IF(U1942=0,"",IF(Y1942=1,MAX(0,Q1942-G1942),IF(L1942=1,MAX(0,R1942-G1942),MAX(0,Assumptions!$C$6-G1942))))</f>
        <v/>
      </c>
      <c r="AC1942">
        <f>IF(Y1942=1,Q1942-F1942,"")</f>
        <v/>
      </c>
      <c r="AD1942">
        <f>IF(Y1942=1,AC1942^2,"")</f>
        <v/>
      </c>
      <c r="AE1942" s="19">
        <f>IF(Z1942=1,(H1942-M1942)*I1942,0)</f>
        <v/>
      </c>
      <c r="AF1942">
        <f>IF(G1942&lt;EDATE(Assumptions!$C$6,-12)+1,"prior_12m","last_12m")</f>
        <v/>
      </c>
      <c r="AG1942" s="21">
        <f>DATE(YEAR(G1942),MONTH(G1942),1)</f>
        <v/>
      </c>
    </row>
    <row r="1943">
      <c r="A1943" t="inlineStr">
        <is>
          <t>SPO-01050-1</t>
        </is>
      </c>
      <c r="B1943" t="inlineStr">
        <is>
          <t>SPO-01050</t>
        </is>
      </c>
      <c r="C1943" t="inlineStr">
        <is>
          <t>SUP-02</t>
        </is>
      </c>
      <c r="D1943" t="inlineStr">
        <is>
          <t>ELEC</t>
        </is>
      </c>
      <c r="E1943" t="inlineStr">
        <is>
          <t>ELEC-02</t>
        </is>
      </c>
      <c r="F1943" s="17" t="n">
        <v>45862</v>
      </c>
      <c r="G1943" s="17" t="n">
        <v>45878</v>
      </c>
      <c r="H1943" s="18" t="n">
        <v>696</v>
      </c>
      <c r="I1943" s="19" t="n">
        <v>4.01</v>
      </c>
      <c r="J1943" s="19" t="n">
        <v>4.2</v>
      </c>
      <c r="K1943" s="20" t="n">
        <v>0</v>
      </c>
      <c r="L1943" s="20" t="n">
        <v>0</v>
      </c>
      <c r="M1943" s="18" t="n">
        <v>696</v>
      </c>
      <c r="N1943" s="18" t="n">
        <v>696</v>
      </c>
      <c r="O1943" s="18" t="n">
        <v>0</v>
      </c>
      <c r="P1943" s="17" t="n">
        <v>45874</v>
      </c>
      <c r="Q1943" s="17" t="n">
        <v>45874</v>
      </c>
      <c r="R1943" s="17" t="n">
        <v>45874</v>
      </c>
      <c r="S1943" s="19">
        <f>H1943*I1943</f>
        <v/>
      </c>
      <c r="T1943" s="19">
        <f>H1943*J1943</f>
        <v/>
      </c>
      <c r="U1943">
        <f>IF(AND(K1943=0,G1943&lt;=Assumptions!$C$6),1,0)</f>
        <v/>
      </c>
      <c r="V1943">
        <f>IF(U1943=1,IF(M1943&gt;0,IF(P1943&lt;=G1943+Assumptions!$C$7,1,0),0),0)</f>
        <v/>
      </c>
      <c r="W1943">
        <f>IF(AND(U1943=1,M1943&gt;=H1943*(1-Assumptions!$C$8)),1,0)</f>
        <v/>
      </c>
      <c r="X1943">
        <f>IF(AND(U1943=1,N1943&gt;=H1943*(1-Assumptions!$C$8)),1,0)</f>
        <v/>
      </c>
      <c r="Y1943">
        <f>IF(ISNUMBER(Q1943),1,0)</f>
        <v/>
      </c>
      <c r="Z1943">
        <f>IF(AND(K1943=0,L1943=0,Y1943=0),1,0)</f>
        <v/>
      </c>
      <c r="AA1943">
        <f>IF(AND(Z1943=1,G1943&lt;Assumptions!$C$6),1,0)</f>
        <v/>
      </c>
      <c r="AB1943">
        <f>IF(U1943=0,"",IF(Y1943=1,MAX(0,Q1943-G1943),IF(L1943=1,MAX(0,R1943-G1943),MAX(0,Assumptions!$C$6-G1943))))</f>
        <v/>
      </c>
      <c r="AC1943">
        <f>IF(Y1943=1,Q1943-F1943,"")</f>
        <v/>
      </c>
      <c r="AD1943">
        <f>IF(Y1943=1,AC1943^2,"")</f>
        <v/>
      </c>
      <c r="AE1943" s="19">
        <f>IF(Z1943=1,(H1943-M1943)*I1943,0)</f>
        <v/>
      </c>
      <c r="AF1943">
        <f>IF(G1943&lt;EDATE(Assumptions!$C$6,-12)+1,"prior_12m","last_12m")</f>
        <v/>
      </c>
      <c r="AG1943" s="21">
        <f>DATE(YEAR(G1943),MONTH(G1943),1)</f>
        <v/>
      </c>
    </row>
    <row r="1944">
      <c r="A1944" t="inlineStr">
        <is>
          <t>SPO-01050-2</t>
        </is>
      </c>
      <c r="B1944" t="inlineStr">
        <is>
          <t>SPO-01050</t>
        </is>
      </c>
      <c r="C1944" t="inlineStr">
        <is>
          <t>SUP-02</t>
        </is>
      </c>
      <c r="D1944" t="inlineStr">
        <is>
          <t>ELEC</t>
        </is>
      </c>
      <c r="E1944" t="inlineStr">
        <is>
          <t>ELEC-05</t>
        </is>
      </c>
      <c r="F1944" s="17" t="n">
        <v>45862</v>
      </c>
      <c r="G1944" s="17" t="n">
        <v>45878</v>
      </c>
      <c r="H1944" s="18" t="n">
        <v>303</v>
      </c>
      <c r="I1944" s="19" t="n">
        <v>10.77</v>
      </c>
      <c r="J1944" s="19" t="n">
        <v>11.5</v>
      </c>
      <c r="K1944" s="20" t="n">
        <v>0</v>
      </c>
      <c r="L1944" s="20" t="n">
        <v>0</v>
      </c>
      <c r="M1944" s="18" t="n">
        <v>303</v>
      </c>
      <c r="N1944" s="18" t="n">
        <v>303</v>
      </c>
      <c r="O1944" s="18" t="n">
        <v>0</v>
      </c>
      <c r="P1944" s="17" t="n">
        <v>45875</v>
      </c>
      <c r="Q1944" s="17" t="n">
        <v>45875</v>
      </c>
      <c r="R1944" s="17" t="n">
        <v>45875</v>
      </c>
      <c r="S1944" s="19">
        <f>H1944*I1944</f>
        <v/>
      </c>
      <c r="T1944" s="19">
        <f>H1944*J1944</f>
        <v/>
      </c>
      <c r="U1944">
        <f>IF(AND(K1944=0,G1944&lt;=Assumptions!$C$6),1,0)</f>
        <v/>
      </c>
      <c r="V1944">
        <f>IF(U1944=1,IF(M1944&gt;0,IF(P1944&lt;=G1944+Assumptions!$C$7,1,0),0),0)</f>
        <v/>
      </c>
      <c r="W1944">
        <f>IF(AND(U1944=1,M1944&gt;=H1944*(1-Assumptions!$C$8)),1,0)</f>
        <v/>
      </c>
      <c r="X1944">
        <f>IF(AND(U1944=1,N1944&gt;=H1944*(1-Assumptions!$C$8)),1,0)</f>
        <v/>
      </c>
      <c r="Y1944">
        <f>IF(ISNUMBER(Q1944),1,0)</f>
        <v/>
      </c>
      <c r="Z1944">
        <f>IF(AND(K1944=0,L1944=0,Y1944=0),1,0)</f>
        <v/>
      </c>
      <c r="AA1944">
        <f>IF(AND(Z1944=1,G1944&lt;Assumptions!$C$6),1,0)</f>
        <v/>
      </c>
      <c r="AB1944">
        <f>IF(U1944=0,"",IF(Y1944=1,MAX(0,Q1944-G1944),IF(L1944=1,MAX(0,R1944-G1944),MAX(0,Assumptions!$C$6-G1944))))</f>
        <v/>
      </c>
      <c r="AC1944">
        <f>IF(Y1944=1,Q1944-F1944,"")</f>
        <v/>
      </c>
      <c r="AD1944">
        <f>IF(Y1944=1,AC1944^2,"")</f>
        <v/>
      </c>
      <c r="AE1944" s="19">
        <f>IF(Z1944=1,(H1944-M1944)*I1944,0)</f>
        <v/>
      </c>
      <c r="AF1944">
        <f>IF(G1944&lt;EDATE(Assumptions!$C$6,-12)+1,"prior_12m","last_12m")</f>
        <v/>
      </c>
      <c r="AG1944" s="21">
        <f>DATE(YEAR(G1944),MONTH(G1944),1)</f>
        <v/>
      </c>
    </row>
    <row r="1945">
      <c r="A1945" t="inlineStr">
        <is>
          <t>SPO-01051-1</t>
        </is>
      </c>
      <c r="B1945" t="inlineStr">
        <is>
          <t>SPO-01051</t>
        </is>
      </c>
      <c r="C1945" t="inlineStr">
        <is>
          <t>SUP-05</t>
        </is>
      </c>
      <c r="D1945" t="inlineStr">
        <is>
          <t>FLEET</t>
        </is>
      </c>
      <c r="E1945" t="inlineStr">
        <is>
          <t>FLEET-06</t>
        </is>
      </c>
      <c r="F1945" s="17" t="n">
        <v>45862</v>
      </c>
      <c r="G1945" s="17" t="n">
        <v>45876</v>
      </c>
      <c r="H1945" s="18" t="n">
        <v>40</v>
      </c>
      <c r="I1945" s="19" t="n">
        <v>32.48</v>
      </c>
      <c r="J1945" s="19" t="n">
        <v>33</v>
      </c>
      <c r="K1945" s="20" t="n">
        <v>0</v>
      </c>
      <c r="L1945" s="20" t="n">
        <v>0</v>
      </c>
      <c r="M1945" s="18" t="n">
        <v>40</v>
      </c>
      <c r="N1945" s="18" t="n">
        <v>40</v>
      </c>
      <c r="O1945" s="18" t="n">
        <v>0</v>
      </c>
      <c r="P1945" s="17" t="n">
        <v>45874</v>
      </c>
      <c r="Q1945" s="17" t="n">
        <v>45874</v>
      </c>
      <c r="R1945" s="17" t="n">
        <v>45874</v>
      </c>
      <c r="S1945" s="19">
        <f>H1945*I1945</f>
        <v/>
      </c>
      <c r="T1945" s="19">
        <f>H1945*J1945</f>
        <v/>
      </c>
      <c r="U1945">
        <f>IF(AND(K1945=0,G1945&lt;=Assumptions!$C$6),1,0)</f>
        <v/>
      </c>
      <c r="V1945">
        <f>IF(U1945=1,IF(M1945&gt;0,IF(P1945&lt;=G1945+Assumptions!$C$7,1,0),0),0)</f>
        <v/>
      </c>
      <c r="W1945">
        <f>IF(AND(U1945=1,M1945&gt;=H1945*(1-Assumptions!$C$8)),1,0)</f>
        <v/>
      </c>
      <c r="X1945">
        <f>IF(AND(U1945=1,N1945&gt;=H1945*(1-Assumptions!$C$8)),1,0)</f>
        <v/>
      </c>
      <c r="Y1945">
        <f>IF(ISNUMBER(Q1945),1,0)</f>
        <v/>
      </c>
      <c r="Z1945">
        <f>IF(AND(K1945=0,L1945=0,Y1945=0),1,0)</f>
        <v/>
      </c>
      <c r="AA1945">
        <f>IF(AND(Z1945=1,G1945&lt;Assumptions!$C$6),1,0)</f>
        <v/>
      </c>
      <c r="AB1945">
        <f>IF(U1945=0,"",IF(Y1945=1,MAX(0,Q1945-G1945),IF(L1945=1,MAX(0,R1945-G1945),MAX(0,Assumptions!$C$6-G1945))))</f>
        <v/>
      </c>
      <c r="AC1945">
        <f>IF(Y1945=1,Q1945-F1945,"")</f>
        <v/>
      </c>
      <c r="AD1945">
        <f>IF(Y1945=1,AC1945^2,"")</f>
        <v/>
      </c>
      <c r="AE1945" s="19">
        <f>IF(Z1945=1,(H1945-M1945)*I1945,0)</f>
        <v/>
      </c>
      <c r="AF1945">
        <f>IF(G1945&lt;EDATE(Assumptions!$C$6,-12)+1,"prior_12m","last_12m")</f>
        <v/>
      </c>
      <c r="AG1945" s="21">
        <f>DATE(YEAR(G1945),MONTH(G1945),1)</f>
        <v/>
      </c>
    </row>
    <row r="1946">
      <c r="A1946" t="inlineStr">
        <is>
          <t>SPO-01051-2</t>
        </is>
      </c>
      <c r="B1946" t="inlineStr">
        <is>
          <t>SPO-01051</t>
        </is>
      </c>
      <c r="C1946" t="inlineStr">
        <is>
          <t>SUP-05</t>
        </is>
      </c>
      <c r="D1946" t="inlineStr">
        <is>
          <t>FLEET</t>
        </is>
      </c>
      <c r="E1946" t="inlineStr">
        <is>
          <t>FLEET-01</t>
        </is>
      </c>
      <c r="F1946" s="17" t="n">
        <v>45862</v>
      </c>
      <c r="G1946" s="17" t="n">
        <v>45876</v>
      </c>
      <c r="H1946" s="18" t="n">
        <v>21</v>
      </c>
      <c r="I1946" s="19" t="n">
        <v>65.66</v>
      </c>
      <c r="J1946" s="19" t="n">
        <v>64</v>
      </c>
      <c r="K1946" s="20" t="n">
        <v>0</v>
      </c>
      <c r="L1946" s="20" t="n">
        <v>0</v>
      </c>
      <c r="M1946" s="18" t="n">
        <v>21</v>
      </c>
      <c r="N1946" s="18" t="n">
        <v>21</v>
      </c>
      <c r="O1946" s="18" t="n">
        <v>0</v>
      </c>
      <c r="P1946" s="17" t="n">
        <v>45873</v>
      </c>
      <c r="Q1946" s="17" t="n">
        <v>45873</v>
      </c>
      <c r="R1946" s="17" t="n">
        <v>45873</v>
      </c>
      <c r="S1946" s="19">
        <f>H1946*I1946</f>
        <v/>
      </c>
      <c r="T1946" s="19">
        <f>H1946*J1946</f>
        <v/>
      </c>
      <c r="U1946">
        <f>IF(AND(K1946=0,G1946&lt;=Assumptions!$C$6),1,0)</f>
        <v/>
      </c>
      <c r="V1946">
        <f>IF(U1946=1,IF(M1946&gt;0,IF(P1946&lt;=G1946+Assumptions!$C$7,1,0),0),0)</f>
        <v/>
      </c>
      <c r="W1946">
        <f>IF(AND(U1946=1,M1946&gt;=H1946*(1-Assumptions!$C$8)),1,0)</f>
        <v/>
      </c>
      <c r="X1946">
        <f>IF(AND(U1946=1,N1946&gt;=H1946*(1-Assumptions!$C$8)),1,0)</f>
        <v/>
      </c>
      <c r="Y1946">
        <f>IF(ISNUMBER(Q1946),1,0)</f>
        <v/>
      </c>
      <c r="Z1946">
        <f>IF(AND(K1946=0,L1946=0,Y1946=0),1,0)</f>
        <v/>
      </c>
      <c r="AA1946">
        <f>IF(AND(Z1946=1,G1946&lt;Assumptions!$C$6),1,0)</f>
        <v/>
      </c>
      <c r="AB1946">
        <f>IF(U1946=0,"",IF(Y1946=1,MAX(0,Q1946-G1946),IF(L1946=1,MAX(0,R1946-G1946),MAX(0,Assumptions!$C$6-G1946))))</f>
        <v/>
      </c>
      <c r="AC1946">
        <f>IF(Y1946=1,Q1946-F1946,"")</f>
        <v/>
      </c>
      <c r="AD1946">
        <f>IF(Y1946=1,AC1946^2,"")</f>
        <v/>
      </c>
      <c r="AE1946" s="19">
        <f>IF(Z1946=1,(H1946-M1946)*I1946,0)</f>
        <v/>
      </c>
      <c r="AF1946">
        <f>IF(G1946&lt;EDATE(Assumptions!$C$6,-12)+1,"prior_12m","last_12m")</f>
        <v/>
      </c>
      <c r="AG1946" s="21">
        <f>DATE(YEAR(G1946),MONTH(G1946),1)</f>
        <v/>
      </c>
    </row>
    <row r="1947">
      <c r="A1947" t="inlineStr">
        <is>
          <t>SPO-01051-3</t>
        </is>
      </c>
      <c r="B1947" t="inlineStr">
        <is>
          <t>SPO-01051</t>
        </is>
      </c>
      <c r="C1947" t="inlineStr">
        <is>
          <t>SUP-05</t>
        </is>
      </c>
      <c r="D1947" t="inlineStr">
        <is>
          <t>FLEET</t>
        </is>
      </c>
      <c r="E1947" t="inlineStr">
        <is>
          <t>FLEET-03</t>
        </is>
      </c>
      <c r="F1947" s="17" t="n">
        <v>45862</v>
      </c>
      <c r="G1947" s="17" t="n">
        <v>45876</v>
      </c>
      <c r="H1947" s="18" t="n">
        <v>113</v>
      </c>
      <c r="I1947" s="19" t="n">
        <v>21.3</v>
      </c>
      <c r="J1947" s="19" t="n">
        <v>21</v>
      </c>
      <c r="K1947" s="20" t="n">
        <v>0</v>
      </c>
      <c r="L1947" s="20" t="n">
        <v>0</v>
      </c>
      <c r="M1947" s="18" t="n">
        <v>113</v>
      </c>
      <c r="N1947" s="18" t="n">
        <v>113</v>
      </c>
      <c r="O1947" s="18" t="n">
        <v>0</v>
      </c>
      <c r="P1947" s="17" t="n">
        <v>45873</v>
      </c>
      <c r="Q1947" s="17" t="n">
        <v>45873</v>
      </c>
      <c r="R1947" s="17" t="n">
        <v>45873</v>
      </c>
      <c r="S1947" s="19">
        <f>H1947*I1947</f>
        <v/>
      </c>
      <c r="T1947" s="19">
        <f>H1947*J1947</f>
        <v/>
      </c>
      <c r="U1947">
        <f>IF(AND(K1947=0,G1947&lt;=Assumptions!$C$6),1,0)</f>
        <v/>
      </c>
      <c r="V1947">
        <f>IF(U1947=1,IF(M1947&gt;0,IF(P1947&lt;=G1947+Assumptions!$C$7,1,0),0),0)</f>
        <v/>
      </c>
      <c r="W1947">
        <f>IF(AND(U1947=1,M1947&gt;=H1947*(1-Assumptions!$C$8)),1,0)</f>
        <v/>
      </c>
      <c r="X1947">
        <f>IF(AND(U1947=1,N1947&gt;=H1947*(1-Assumptions!$C$8)),1,0)</f>
        <v/>
      </c>
      <c r="Y1947">
        <f>IF(ISNUMBER(Q1947),1,0)</f>
        <v/>
      </c>
      <c r="Z1947">
        <f>IF(AND(K1947=0,L1947=0,Y1947=0),1,0)</f>
        <v/>
      </c>
      <c r="AA1947">
        <f>IF(AND(Z1947=1,G1947&lt;Assumptions!$C$6),1,0)</f>
        <v/>
      </c>
      <c r="AB1947">
        <f>IF(U1947=0,"",IF(Y1947=1,MAX(0,Q1947-G1947),IF(L1947=1,MAX(0,R1947-G1947),MAX(0,Assumptions!$C$6-G1947))))</f>
        <v/>
      </c>
      <c r="AC1947">
        <f>IF(Y1947=1,Q1947-F1947,"")</f>
        <v/>
      </c>
      <c r="AD1947">
        <f>IF(Y1947=1,AC1947^2,"")</f>
        <v/>
      </c>
      <c r="AE1947" s="19">
        <f>IF(Z1947=1,(H1947-M1947)*I1947,0)</f>
        <v/>
      </c>
      <c r="AF1947">
        <f>IF(G1947&lt;EDATE(Assumptions!$C$6,-12)+1,"prior_12m","last_12m")</f>
        <v/>
      </c>
      <c r="AG1947" s="21">
        <f>DATE(YEAR(G1947),MONTH(G1947),1)</f>
        <v/>
      </c>
    </row>
    <row r="1948">
      <c r="A1948" t="inlineStr">
        <is>
          <t>SPO-01051-4</t>
        </is>
      </c>
      <c r="B1948" t="inlineStr">
        <is>
          <t>SPO-01051</t>
        </is>
      </c>
      <c r="C1948" t="inlineStr">
        <is>
          <t>SUP-05</t>
        </is>
      </c>
      <c r="D1948" t="inlineStr">
        <is>
          <t>FLEET</t>
        </is>
      </c>
      <c r="E1948" t="inlineStr">
        <is>
          <t>FLEET-07</t>
        </is>
      </c>
      <c r="F1948" s="17" t="n">
        <v>45862</v>
      </c>
      <c r="G1948" s="17" t="n">
        <v>45876</v>
      </c>
      <c r="H1948" s="18" t="n">
        <v>10</v>
      </c>
      <c r="I1948" s="19" t="n">
        <v>119.3</v>
      </c>
      <c r="J1948" s="19" t="n">
        <v>118</v>
      </c>
      <c r="K1948" s="20" t="n">
        <v>0</v>
      </c>
      <c r="L1948" s="20" t="n">
        <v>0</v>
      </c>
      <c r="M1948" s="18" t="n">
        <v>10</v>
      </c>
      <c r="N1948" s="18" t="n">
        <v>10</v>
      </c>
      <c r="O1948" s="18" t="n">
        <v>0</v>
      </c>
      <c r="P1948" s="17" t="n">
        <v>45875</v>
      </c>
      <c r="Q1948" s="17" t="n">
        <v>45875</v>
      </c>
      <c r="R1948" s="17" t="n">
        <v>45875</v>
      </c>
      <c r="S1948" s="19">
        <f>H1948*I1948</f>
        <v/>
      </c>
      <c r="T1948" s="19">
        <f>H1948*J1948</f>
        <v/>
      </c>
      <c r="U1948">
        <f>IF(AND(K1948=0,G1948&lt;=Assumptions!$C$6),1,0)</f>
        <v/>
      </c>
      <c r="V1948">
        <f>IF(U1948=1,IF(M1948&gt;0,IF(P1948&lt;=G1948+Assumptions!$C$7,1,0),0),0)</f>
        <v/>
      </c>
      <c r="W1948">
        <f>IF(AND(U1948=1,M1948&gt;=H1948*(1-Assumptions!$C$8)),1,0)</f>
        <v/>
      </c>
      <c r="X1948">
        <f>IF(AND(U1948=1,N1948&gt;=H1948*(1-Assumptions!$C$8)),1,0)</f>
        <v/>
      </c>
      <c r="Y1948">
        <f>IF(ISNUMBER(Q1948),1,0)</f>
        <v/>
      </c>
      <c r="Z1948">
        <f>IF(AND(K1948=0,L1948=0,Y1948=0),1,0)</f>
        <v/>
      </c>
      <c r="AA1948">
        <f>IF(AND(Z1948=1,G1948&lt;Assumptions!$C$6),1,0)</f>
        <v/>
      </c>
      <c r="AB1948">
        <f>IF(U1948=0,"",IF(Y1948=1,MAX(0,Q1948-G1948),IF(L1948=1,MAX(0,R1948-G1948),MAX(0,Assumptions!$C$6-G1948))))</f>
        <v/>
      </c>
      <c r="AC1948">
        <f>IF(Y1948=1,Q1948-F1948,"")</f>
        <v/>
      </c>
      <c r="AD1948">
        <f>IF(Y1948=1,AC1948^2,"")</f>
        <v/>
      </c>
      <c r="AE1948" s="19">
        <f>IF(Z1948=1,(H1948-M1948)*I1948,0)</f>
        <v/>
      </c>
      <c r="AF1948">
        <f>IF(G1948&lt;EDATE(Assumptions!$C$6,-12)+1,"prior_12m","last_12m")</f>
        <v/>
      </c>
      <c r="AG1948" s="21">
        <f>DATE(YEAR(G1948),MONTH(G1948),1)</f>
        <v/>
      </c>
    </row>
    <row r="1949">
      <c r="A1949" t="inlineStr">
        <is>
          <t>SPO-01052-1</t>
        </is>
      </c>
      <c r="B1949" t="inlineStr">
        <is>
          <t>SPO-01052</t>
        </is>
      </c>
      <c r="C1949" t="inlineStr">
        <is>
          <t>SUP-07</t>
        </is>
      </c>
      <c r="D1949" t="inlineStr">
        <is>
          <t>MRO</t>
        </is>
      </c>
      <c r="E1949" t="inlineStr">
        <is>
          <t>MRO-03</t>
        </is>
      </c>
      <c r="F1949" s="17" t="n">
        <v>45862</v>
      </c>
      <c r="G1949" s="17" t="n">
        <v>45872</v>
      </c>
      <c r="H1949" s="18" t="n">
        <v>107</v>
      </c>
      <c r="I1949" s="19" t="n">
        <v>9.029999999999999</v>
      </c>
      <c r="J1949" s="19" t="n">
        <v>8.9</v>
      </c>
      <c r="K1949" s="20" t="n">
        <v>0</v>
      </c>
      <c r="L1949" s="20" t="n">
        <v>0</v>
      </c>
      <c r="M1949" s="18" t="n">
        <v>107</v>
      </c>
      <c r="N1949" s="18" t="n">
        <v>68</v>
      </c>
      <c r="O1949" s="18" t="n">
        <v>0</v>
      </c>
      <c r="P1949" s="17" t="n">
        <v>45867</v>
      </c>
      <c r="Q1949" s="17" t="n">
        <v>45879</v>
      </c>
      <c r="R1949" s="17" t="n">
        <v>45879</v>
      </c>
      <c r="S1949" s="19">
        <f>H1949*I1949</f>
        <v/>
      </c>
      <c r="T1949" s="19">
        <f>H1949*J1949</f>
        <v/>
      </c>
      <c r="U1949">
        <f>IF(AND(K1949=0,G1949&lt;=Assumptions!$C$6),1,0)</f>
        <v/>
      </c>
      <c r="V1949">
        <f>IF(U1949=1,IF(M1949&gt;0,IF(P1949&lt;=G1949+Assumptions!$C$7,1,0),0),0)</f>
        <v/>
      </c>
      <c r="W1949">
        <f>IF(AND(U1949=1,M1949&gt;=H1949*(1-Assumptions!$C$8)),1,0)</f>
        <v/>
      </c>
      <c r="X1949">
        <f>IF(AND(U1949=1,N1949&gt;=H1949*(1-Assumptions!$C$8)),1,0)</f>
        <v/>
      </c>
      <c r="Y1949">
        <f>IF(ISNUMBER(Q1949),1,0)</f>
        <v/>
      </c>
      <c r="Z1949">
        <f>IF(AND(K1949=0,L1949=0,Y1949=0),1,0)</f>
        <v/>
      </c>
      <c r="AA1949">
        <f>IF(AND(Z1949=1,G1949&lt;Assumptions!$C$6),1,0)</f>
        <v/>
      </c>
      <c r="AB1949">
        <f>IF(U1949=0,"",IF(Y1949=1,MAX(0,Q1949-G1949),IF(L1949=1,MAX(0,R1949-G1949),MAX(0,Assumptions!$C$6-G1949))))</f>
        <v/>
      </c>
      <c r="AC1949">
        <f>IF(Y1949=1,Q1949-F1949,"")</f>
        <v/>
      </c>
      <c r="AD1949">
        <f>IF(Y1949=1,AC1949^2,"")</f>
        <v/>
      </c>
      <c r="AE1949" s="19">
        <f>IF(Z1949=1,(H1949-M1949)*I1949,0)</f>
        <v/>
      </c>
      <c r="AF1949">
        <f>IF(G1949&lt;EDATE(Assumptions!$C$6,-12)+1,"prior_12m","last_12m")</f>
        <v/>
      </c>
      <c r="AG1949" s="21">
        <f>DATE(YEAR(G1949),MONTH(G1949),1)</f>
        <v/>
      </c>
    </row>
    <row r="1950">
      <c r="A1950" t="inlineStr">
        <is>
          <t>SPO-01052-2</t>
        </is>
      </c>
      <c r="B1950" t="inlineStr">
        <is>
          <t>SPO-01052</t>
        </is>
      </c>
      <c r="C1950" t="inlineStr">
        <is>
          <t>SUP-07</t>
        </is>
      </c>
      <c r="D1950" t="inlineStr">
        <is>
          <t>MRO</t>
        </is>
      </c>
      <c r="E1950" t="inlineStr">
        <is>
          <t>MRO-08</t>
        </is>
      </c>
      <c r="F1950" s="17" t="n">
        <v>45862</v>
      </c>
      <c r="G1950" s="17" t="n">
        <v>45872</v>
      </c>
      <c r="H1950" s="18" t="n">
        <v>353</v>
      </c>
      <c r="I1950" s="19" t="n">
        <v>7.12</v>
      </c>
      <c r="J1950" s="19" t="n">
        <v>7.2</v>
      </c>
      <c r="K1950" s="20" t="n">
        <v>0</v>
      </c>
      <c r="L1950" s="20" t="n">
        <v>1</v>
      </c>
      <c r="M1950" s="18" t="n">
        <v>218</v>
      </c>
      <c r="N1950" s="18" t="n">
        <v>218</v>
      </c>
      <c r="O1950" s="18" t="n">
        <v>0</v>
      </c>
      <c r="P1950" s="17" t="n">
        <v>45868</v>
      </c>
      <c r="Q1950" s="17" t="n"/>
      <c r="R1950" s="17" t="n">
        <v>45868</v>
      </c>
      <c r="S1950" s="19">
        <f>H1950*I1950</f>
        <v/>
      </c>
      <c r="T1950" s="19">
        <f>H1950*J1950</f>
        <v/>
      </c>
      <c r="U1950">
        <f>IF(AND(K1950=0,G1950&lt;=Assumptions!$C$6),1,0)</f>
        <v/>
      </c>
      <c r="V1950">
        <f>IF(U1950=1,IF(M1950&gt;0,IF(P1950&lt;=G1950+Assumptions!$C$7,1,0),0),0)</f>
        <v/>
      </c>
      <c r="W1950">
        <f>IF(AND(U1950=1,M1950&gt;=H1950*(1-Assumptions!$C$8)),1,0)</f>
        <v/>
      </c>
      <c r="X1950">
        <f>IF(AND(U1950=1,N1950&gt;=H1950*(1-Assumptions!$C$8)),1,0)</f>
        <v/>
      </c>
      <c r="Y1950">
        <f>IF(ISNUMBER(Q1950),1,0)</f>
        <v/>
      </c>
      <c r="Z1950">
        <f>IF(AND(K1950=0,L1950=0,Y1950=0),1,0)</f>
        <v/>
      </c>
      <c r="AA1950">
        <f>IF(AND(Z1950=1,G1950&lt;Assumptions!$C$6),1,0)</f>
        <v/>
      </c>
      <c r="AB1950">
        <f>IF(U1950=0,"",IF(Y1950=1,MAX(0,Q1950-G1950),IF(L1950=1,MAX(0,R1950-G1950),MAX(0,Assumptions!$C$6-G1950))))</f>
        <v/>
      </c>
      <c r="AC1950">
        <f>IF(Y1950=1,Q1950-F1950,"")</f>
        <v/>
      </c>
      <c r="AD1950">
        <f>IF(Y1950=1,AC1950^2,"")</f>
        <v/>
      </c>
      <c r="AE1950" s="19">
        <f>IF(Z1950=1,(H1950-M1950)*I1950,0)</f>
        <v/>
      </c>
      <c r="AF1950">
        <f>IF(G1950&lt;EDATE(Assumptions!$C$6,-12)+1,"prior_12m","last_12m")</f>
        <v/>
      </c>
      <c r="AG1950" s="21">
        <f>DATE(YEAR(G1950),MONTH(G1950),1)</f>
        <v/>
      </c>
    </row>
    <row r="1951">
      <c r="A1951" t="inlineStr">
        <is>
          <t>SPO-01053-1</t>
        </is>
      </c>
      <c r="B1951" t="inlineStr">
        <is>
          <t>SPO-01053</t>
        </is>
      </c>
      <c r="C1951" t="inlineStr">
        <is>
          <t>SUP-09</t>
        </is>
      </c>
      <c r="D1951" t="inlineStr">
        <is>
          <t>CHEM</t>
        </is>
      </c>
      <c r="E1951" t="inlineStr">
        <is>
          <t>CHEM-06</t>
        </is>
      </c>
      <c r="F1951" s="17" t="n">
        <v>45863</v>
      </c>
      <c r="G1951" s="17" t="n">
        <v>45877</v>
      </c>
      <c r="H1951" s="18" t="n">
        <v>4</v>
      </c>
      <c r="I1951" s="19" t="n">
        <v>400.24</v>
      </c>
      <c r="J1951" s="19" t="n">
        <v>380</v>
      </c>
      <c r="K1951" s="20" t="n">
        <v>0</v>
      </c>
      <c r="L1951" s="20" t="n">
        <v>0</v>
      </c>
      <c r="M1951" s="18" t="n">
        <v>4</v>
      </c>
      <c r="N1951" s="18" t="n">
        <v>4</v>
      </c>
      <c r="O1951" s="18" t="n">
        <v>0</v>
      </c>
      <c r="P1951" s="17" t="n">
        <v>45876</v>
      </c>
      <c r="Q1951" s="17" t="n">
        <v>45876</v>
      </c>
      <c r="R1951" s="17" t="n">
        <v>45876</v>
      </c>
      <c r="S1951" s="19">
        <f>H1951*I1951</f>
        <v/>
      </c>
      <c r="T1951" s="19">
        <f>H1951*J1951</f>
        <v/>
      </c>
      <c r="U1951">
        <f>IF(AND(K1951=0,G1951&lt;=Assumptions!$C$6),1,0)</f>
        <v/>
      </c>
      <c r="V1951">
        <f>IF(U1951=1,IF(M1951&gt;0,IF(P1951&lt;=G1951+Assumptions!$C$7,1,0),0),0)</f>
        <v/>
      </c>
      <c r="W1951">
        <f>IF(AND(U1951=1,M1951&gt;=H1951*(1-Assumptions!$C$8)),1,0)</f>
        <v/>
      </c>
      <c r="X1951">
        <f>IF(AND(U1951=1,N1951&gt;=H1951*(1-Assumptions!$C$8)),1,0)</f>
        <v/>
      </c>
      <c r="Y1951">
        <f>IF(ISNUMBER(Q1951),1,0)</f>
        <v/>
      </c>
      <c r="Z1951">
        <f>IF(AND(K1951=0,L1951=0,Y1951=0),1,0)</f>
        <v/>
      </c>
      <c r="AA1951">
        <f>IF(AND(Z1951=1,G1951&lt;Assumptions!$C$6),1,0)</f>
        <v/>
      </c>
      <c r="AB1951">
        <f>IF(U1951=0,"",IF(Y1951=1,MAX(0,Q1951-G1951),IF(L1951=1,MAX(0,R1951-G1951),MAX(0,Assumptions!$C$6-G1951))))</f>
        <v/>
      </c>
      <c r="AC1951">
        <f>IF(Y1951=1,Q1951-F1951,"")</f>
        <v/>
      </c>
      <c r="AD1951">
        <f>IF(Y1951=1,AC1951^2,"")</f>
        <v/>
      </c>
      <c r="AE1951" s="19">
        <f>IF(Z1951=1,(H1951-M1951)*I1951,0)</f>
        <v/>
      </c>
      <c r="AF1951">
        <f>IF(G1951&lt;EDATE(Assumptions!$C$6,-12)+1,"prior_12m","last_12m")</f>
        <v/>
      </c>
      <c r="AG1951" s="21">
        <f>DATE(YEAR(G1951),MONTH(G1951),1)</f>
        <v/>
      </c>
    </row>
    <row r="1952">
      <c r="A1952" t="inlineStr">
        <is>
          <t>SPO-01054-1</t>
        </is>
      </c>
      <c r="B1952" t="inlineStr">
        <is>
          <t>SPO-01054</t>
        </is>
      </c>
      <c r="C1952" t="inlineStr">
        <is>
          <t>SUP-04</t>
        </is>
      </c>
      <c r="D1952" t="inlineStr">
        <is>
          <t>FLEET</t>
        </is>
      </c>
      <c r="E1952" t="inlineStr">
        <is>
          <t>FLEET-04</t>
        </is>
      </c>
      <c r="F1952" s="17" t="n">
        <v>45863</v>
      </c>
      <c r="G1952" s="17" t="n">
        <v>45876</v>
      </c>
      <c r="H1952" s="18" t="n">
        <v>96</v>
      </c>
      <c r="I1952" s="19" t="n">
        <v>8.65</v>
      </c>
      <c r="J1952" s="19" t="n">
        <v>9</v>
      </c>
      <c r="K1952" s="20" t="n">
        <v>0</v>
      </c>
      <c r="L1952" s="20" t="n">
        <v>0</v>
      </c>
      <c r="M1952" s="18" t="n">
        <v>96</v>
      </c>
      <c r="N1952" s="18" t="n">
        <v>50</v>
      </c>
      <c r="O1952" s="18" t="n">
        <v>0</v>
      </c>
      <c r="P1952" s="17" t="n">
        <v>45874</v>
      </c>
      <c r="Q1952" s="17" t="n">
        <v>45885</v>
      </c>
      <c r="R1952" s="17" t="n">
        <v>45885</v>
      </c>
      <c r="S1952" s="19">
        <f>H1952*I1952</f>
        <v/>
      </c>
      <c r="T1952" s="19">
        <f>H1952*J1952</f>
        <v/>
      </c>
      <c r="U1952">
        <f>IF(AND(K1952=0,G1952&lt;=Assumptions!$C$6),1,0)</f>
        <v/>
      </c>
      <c r="V1952">
        <f>IF(U1952=1,IF(M1952&gt;0,IF(P1952&lt;=G1952+Assumptions!$C$7,1,0),0),0)</f>
        <v/>
      </c>
      <c r="W1952">
        <f>IF(AND(U1952=1,M1952&gt;=H1952*(1-Assumptions!$C$8)),1,0)</f>
        <v/>
      </c>
      <c r="X1952">
        <f>IF(AND(U1952=1,N1952&gt;=H1952*(1-Assumptions!$C$8)),1,0)</f>
        <v/>
      </c>
      <c r="Y1952">
        <f>IF(ISNUMBER(Q1952),1,0)</f>
        <v/>
      </c>
      <c r="Z1952">
        <f>IF(AND(K1952=0,L1952=0,Y1952=0),1,0)</f>
        <v/>
      </c>
      <c r="AA1952">
        <f>IF(AND(Z1952=1,G1952&lt;Assumptions!$C$6),1,0)</f>
        <v/>
      </c>
      <c r="AB1952">
        <f>IF(U1952=0,"",IF(Y1952=1,MAX(0,Q1952-G1952),IF(L1952=1,MAX(0,R1952-G1952),MAX(0,Assumptions!$C$6-G1952))))</f>
        <v/>
      </c>
      <c r="AC1952">
        <f>IF(Y1952=1,Q1952-F1952,"")</f>
        <v/>
      </c>
      <c r="AD1952">
        <f>IF(Y1952=1,AC1952^2,"")</f>
        <v/>
      </c>
      <c r="AE1952" s="19">
        <f>IF(Z1952=1,(H1952-M1952)*I1952,0)</f>
        <v/>
      </c>
      <c r="AF1952">
        <f>IF(G1952&lt;EDATE(Assumptions!$C$6,-12)+1,"prior_12m","last_12m")</f>
        <v/>
      </c>
      <c r="AG1952" s="21">
        <f>DATE(YEAR(G1952),MONTH(G1952),1)</f>
        <v/>
      </c>
    </row>
    <row r="1953">
      <c r="A1953" t="inlineStr">
        <is>
          <t>SPO-01054-2</t>
        </is>
      </c>
      <c r="B1953" t="inlineStr">
        <is>
          <t>SPO-01054</t>
        </is>
      </c>
      <c r="C1953" t="inlineStr">
        <is>
          <t>SUP-04</t>
        </is>
      </c>
      <c r="D1953" t="inlineStr">
        <is>
          <t>FLEET</t>
        </is>
      </c>
      <c r="E1953" t="inlineStr">
        <is>
          <t>FLEET-07</t>
        </is>
      </c>
      <c r="F1953" s="17" t="n">
        <v>45863</v>
      </c>
      <c r="G1953" s="17" t="n">
        <v>45876</v>
      </c>
      <c r="H1953" s="18" t="n">
        <v>11</v>
      </c>
      <c r="I1953" s="19" t="n">
        <v>121.6</v>
      </c>
      <c r="J1953" s="19" t="n">
        <v>118</v>
      </c>
      <c r="K1953" s="20" t="n">
        <v>0</v>
      </c>
      <c r="L1953" s="20" t="n">
        <v>0</v>
      </c>
      <c r="M1953" s="18" t="n">
        <v>11</v>
      </c>
      <c r="N1953" s="18" t="n">
        <v>11</v>
      </c>
      <c r="O1953" s="18" t="n">
        <v>0</v>
      </c>
      <c r="P1953" s="17" t="n">
        <v>45872</v>
      </c>
      <c r="Q1953" s="17" t="n">
        <v>45872</v>
      </c>
      <c r="R1953" s="17" t="n">
        <v>45872</v>
      </c>
      <c r="S1953" s="19">
        <f>H1953*I1953</f>
        <v/>
      </c>
      <c r="T1953" s="19">
        <f>H1953*J1953</f>
        <v/>
      </c>
      <c r="U1953">
        <f>IF(AND(K1953=0,G1953&lt;=Assumptions!$C$6),1,0)</f>
        <v/>
      </c>
      <c r="V1953">
        <f>IF(U1953=1,IF(M1953&gt;0,IF(P1953&lt;=G1953+Assumptions!$C$7,1,0),0),0)</f>
        <v/>
      </c>
      <c r="W1953">
        <f>IF(AND(U1953=1,M1953&gt;=H1953*(1-Assumptions!$C$8)),1,0)</f>
        <v/>
      </c>
      <c r="X1953">
        <f>IF(AND(U1953=1,N1953&gt;=H1953*(1-Assumptions!$C$8)),1,0)</f>
        <v/>
      </c>
      <c r="Y1953">
        <f>IF(ISNUMBER(Q1953),1,0)</f>
        <v/>
      </c>
      <c r="Z1953">
        <f>IF(AND(K1953=0,L1953=0,Y1953=0),1,0)</f>
        <v/>
      </c>
      <c r="AA1953">
        <f>IF(AND(Z1953=1,G1953&lt;Assumptions!$C$6),1,0)</f>
        <v/>
      </c>
      <c r="AB1953">
        <f>IF(U1953=0,"",IF(Y1953=1,MAX(0,Q1953-G1953),IF(L1953=1,MAX(0,R1953-G1953),MAX(0,Assumptions!$C$6-G1953))))</f>
        <v/>
      </c>
      <c r="AC1953">
        <f>IF(Y1953=1,Q1953-F1953,"")</f>
        <v/>
      </c>
      <c r="AD1953">
        <f>IF(Y1953=1,AC1953^2,"")</f>
        <v/>
      </c>
      <c r="AE1953" s="19">
        <f>IF(Z1953=1,(H1953-M1953)*I1953,0)</f>
        <v/>
      </c>
      <c r="AF1953">
        <f>IF(G1953&lt;EDATE(Assumptions!$C$6,-12)+1,"prior_12m","last_12m")</f>
        <v/>
      </c>
      <c r="AG1953" s="21">
        <f>DATE(YEAR(G1953),MONTH(G1953),1)</f>
        <v/>
      </c>
    </row>
    <row r="1954">
      <c r="A1954" t="inlineStr">
        <is>
          <t>SPO-01055-1</t>
        </is>
      </c>
      <c r="B1954" t="inlineStr">
        <is>
          <t>SPO-01055</t>
        </is>
      </c>
      <c r="C1954" t="inlineStr">
        <is>
          <t>SUP-06</t>
        </is>
      </c>
      <c r="D1954" t="inlineStr">
        <is>
          <t>MRO</t>
        </is>
      </c>
      <c r="E1954" t="inlineStr">
        <is>
          <t>MRO-05</t>
        </is>
      </c>
      <c r="F1954" s="17" t="n">
        <v>45863</v>
      </c>
      <c r="G1954" s="17" t="n">
        <v>45871</v>
      </c>
      <c r="H1954" s="18" t="n">
        <v>86</v>
      </c>
      <c r="I1954" s="19" t="n">
        <v>35.73</v>
      </c>
      <c r="J1954" s="19" t="n">
        <v>36</v>
      </c>
      <c r="K1954" s="20" t="n">
        <v>0</v>
      </c>
      <c r="L1954" s="20" t="n">
        <v>0</v>
      </c>
      <c r="M1954" s="18" t="n">
        <v>86</v>
      </c>
      <c r="N1954" s="18" t="n">
        <v>86</v>
      </c>
      <c r="O1954" s="18" t="n">
        <v>22</v>
      </c>
      <c r="P1954" s="17" t="n">
        <v>45869</v>
      </c>
      <c r="Q1954" s="17" t="n">
        <v>45869</v>
      </c>
      <c r="R1954" s="17" t="n">
        <v>45869</v>
      </c>
      <c r="S1954" s="19">
        <f>H1954*I1954</f>
        <v/>
      </c>
      <c r="T1954" s="19">
        <f>H1954*J1954</f>
        <v/>
      </c>
      <c r="U1954">
        <f>IF(AND(K1954=0,G1954&lt;=Assumptions!$C$6),1,0)</f>
        <v/>
      </c>
      <c r="V1954">
        <f>IF(U1954=1,IF(M1954&gt;0,IF(P1954&lt;=G1954+Assumptions!$C$7,1,0),0),0)</f>
        <v/>
      </c>
      <c r="W1954">
        <f>IF(AND(U1954=1,M1954&gt;=H1954*(1-Assumptions!$C$8)),1,0)</f>
        <v/>
      </c>
      <c r="X1954">
        <f>IF(AND(U1954=1,N1954&gt;=H1954*(1-Assumptions!$C$8)),1,0)</f>
        <v/>
      </c>
      <c r="Y1954">
        <f>IF(ISNUMBER(Q1954),1,0)</f>
        <v/>
      </c>
      <c r="Z1954">
        <f>IF(AND(K1954=0,L1954=0,Y1954=0),1,0)</f>
        <v/>
      </c>
      <c r="AA1954">
        <f>IF(AND(Z1954=1,G1954&lt;Assumptions!$C$6),1,0)</f>
        <v/>
      </c>
      <c r="AB1954">
        <f>IF(U1954=0,"",IF(Y1954=1,MAX(0,Q1954-G1954),IF(L1954=1,MAX(0,R1954-G1954),MAX(0,Assumptions!$C$6-G1954))))</f>
        <v/>
      </c>
      <c r="AC1954">
        <f>IF(Y1954=1,Q1954-F1954,"")</f>
        <v/>
      </c>
      <c r="AD1954">
        <f>IF(Y1954=1,AC1954^2,"")</f>
        <v/>
      </c>
      <c r="AE1954" s="19">
        <f>IF(Z1954=1,(H1954-M1954)*I1954,0)</f>
        <v/>
      </c>
      <c r="AF1954">
        <f>IF(G1954&lt;EDATE(Assumptions!$C$6,-12)+1,"prior_12m","last_12m")</f>
        <v/>
      </c>
      <c r="AG1954" s="21">
        <f>DATE(YEAR(G1954),MONTH(G1954),1)</f>
        <v/>
      </c>
    </row>
    <row r="1955">
      <c r="A1955" t="inlineStr">
        <is>
          <t>SPO-01055-2</t>
        </is>
      </c>
      <c r="B1955" t="inlineStr">
        <is>
          <t>SPO-01055</t>
        </is>
      </c>
      <c r="C1955" t="inlineStr">
        <is>
          <t>SUP-06</t>
        </is>
      </c>
      <c r="D1955" t="inlineStr">
        <is>
          <t>MRO</t>
        </is>
      </c>
      <c r="E1955" t="inlineStr">
        <is>
          <t>MRO-07</t>
        </is>
      </c>
      <c r="F1955" s="17" t="n">
        <v>45863</v>
      </c>
      <c r="G1955" s="17" t="n">
        <v>45871</v>
      </c>
      <c r="H1955" s="18" t="n">
        <v>108</v>
      </c>
      <c r="I1955" s="19" t="n">
        <v>13.74</v>
      </c>
      <c r="J1955" s="19" t="n">
        <v>14</v>
      </c>
      <c r="K1955" s="20" t="n">
        <v>0</v>
      </c>
      <c r="L1955" s="20" t="n">
        <v>0</v>
      </c>
      <c r="M1955" s="18" t="n">
        <v>108</v>
      </c>
      <c r="N1955" s="18" t="n">
        <v>108</v>
      </c>
      <c r="O1955" s="18" t="n">
        <v>0</v>
      </c>
      <c r="P1955" s="17" t="n">
        <v>45870</v>
      </c>
      <c r="Q1955" s="17" t="n">
        <v>45870</v>
      </c>
      <c r="R1955" s="17" t="n">
        <v>45870</v>
      </c>
      <c r="S1955" s="19">
        <f>H1955*I1955</f>
        <v/>
      </c>
      <c r="T1955" s="19">
        <f>H1955*J1955</f>
        <v/>
      </c>
      <c r="U1955">
        <f>IF(AND(K1955=0,G1955&lt;=Assumptions!$C$6),1,0)</f>
        <v/>
      </c>
      <c r="V1955">
        <f>IF(U1955=1,IF(M1955&gt;0,IF(P1955&lt;=G1955+Assumptions!$C$7,1,0),0),0)</f>
        <v/>
      </c>
      <c r="W1955">
        <f>IF(AND(U1955=1,M1955&gt;=H1955*(1-Assumptions!$C$8)),1,0)</f>
        <v/>
      </c>
      <c r="X1955">
        <f>IF(AND(U1955=1,N1955&gt;=H1955*(1-Assumptions!$C$8)),1,0)</f>
        <v/>
      </c>
      <c r="Y1955">
        <f>IF(ISNUMBER(Q1955),1,0)</f>
        <v/>
      </c>
      <c r="Z1955">
        <f>IF(AND(K1955=0,L1955=0,Y1955=0),1,0)</f>
        <v/>
      </c>
      <c r="AA1955">
        <f>IF(AND(Z1955=1,G1955&lt;Assumptions!$C$6),1,0)</f>
        <v/>
      </c>
      <c r="AB1955">
        <f>IF(U1955=0,"",IF(Y1955=1,MAX(0,Q1955-G1955),IF(L1955=1,MAX(0,R1955-G1955),MAX(0,Assumptions!$C$6-G1955))))</f>
        <v/>
      </c>
      <c r="AC1955">
        <f>IF(Y1955=1,Q1955-F1955,"")</f>
        <v/>
      </c>
      <c r="AD1955">
        <f>IF(Y1955=1,AC1955^2,"")</f>
        <v/>
      </c>
      <c r="AE1955" s="19">
        <f>IF(Z1955=1,(H1955-M1955)*I1955,0)</f>
        <v/>
      </c>
      <c r="AF1955">
        <f>IF(G1955&lt;EDATE(Assumptions!$C$6,-12)+1,"prior_12m","last_12m")</f>
        <v/>
      </c>
      <c r="AG1955" s="21">
        <f>DATE(YEAR(G1955),MONTH(G1955),1)</f>
        <v/>
      </c>
    </row>
    <row r="1956">
      <c r="A1956" t="inlineStr">
        <is>
          <t>SPO-01055-3</t>
        </is>
      </c>
      <c r="B1956" t="inlineStr">
        <is>
          <t>SPO-01055</t>
        </is>
      </c>
      <c r="C1956" t="inlineStr">
        <is>
          <t>SUP-06</t>
        </is>
      </c>
      <c r="D1956" t="inlineStr">
        <is>
          <t>MRO</t>
        </is>
      </c>
      <c r="E1956" t="inlineStr">
        <is>
          <t>MRO-03</t>
        </is>
      </c>
      <c r="F1956" s="17" t="n">
        <v>45863</v>
      </c>
      <c r="G1956" s="17" t="n">
        <v>45871</v>
      </c>
      <c r="H1956" s="18" t="n">
        <v>198</v>
      </c>
      <c r="I1956" s="19" t="n">
        <v>9.050000000000001</v>
      </c>
      <c r="J1956" s="19" t="n">
        <v>8.9</v>
      </c>
      <c r="K1956" s="20" t="n">
        <v>0</v>
      </c>
      <c r="L1956" s="20" t="n">
        <v>0</v>
      </c>
      <c r="M1956" s="18" t="n">
        <v>198</v>
      </c>
      <c r="N1956" s="18" t="n">
        <v>198</v>
      </c>
      <c r="O1956" s="18" t="n">
        <v>0</v>
      </c>
      <c r="P1956" s="17" t="n">
        <v>45868</v>
      </c>
      <c r="Q1956" s="17" t="n">
        <v>45868</v>
      </c>
      <c r="R1956" s="17" t="n">
        <v>45868</v>
      </c>
      <c r="S1956" s="19">
        <f>H1956*I1956</f>
        <v/>
      </c>
      <c r="T1956" s="19">
        <f>H1956*J1956</f>
        <v/>
      </c>
      <c r="U1956">
        <f>IF(AND(K1956=0,G1956&lt;=Assumptions!$C$6),1,0)</f>
        <v/>
      </c>
      <c r="V1956">
        <f>IF(U1956=1,IF(M1956&gt;0,IF(P1956&lt;=G1956+Assumptions!$C$7,1,0),0),0)</f>
        <v/>
      </c>
      <c r="W1956">
        <f>IF(AND(U1956=1,M1956&gt;=H1956*(1-Assumptions!$C$8)),1,0)</f>
        <v/>
      </c>
      <c r="X1956">
        <f>IF(AND(U1956=1,N1956&gt;=H1956*(1-Assumptions!$C$8)),1,0)</f>
        <v/>
      </c>
      <c r="Y1956">
        <f>IF(ISNUMBER(Q1956),1,0)</f>
        <v/>
      </c>
      <c r="Z1956">
        <f>IF(AND(K1956=0,L1956=0,Y1956=0),1,0)</f>
        <v/>
      </c>
      <c r="AA1956">
        <f>IF(AND(Z1956=1,G1956&lt;Assumptions!$C$6),1,0)</f>
        <v/>
      </c>
      <c r="AB1956">
        <f>IF(U1956=0,"",IF(Y1956=1,MAX(0,Q1956-G1956),IF(L1956=1,MAX(0,R1956-G1956),MAX(0,Assumptions!$C$6-G1956))))</f>
        <v/>
      </c>
      <c r="AC1956">
        <f>IF(Y1956=1,Q1956-F1956,"")</f>
        <v/>
      </c>
      <c r="AD1956">
        <f>IF(Y1956=1,AC1956^2,"")</f>
        <v/>
      </c>
      <c r="AE1956" s="19">
        <f>IF(Z1956=1,(H1956-M1956)*I1956,0)</f>
        <v/>
      </c>
      <c r="AF1956">
        <f>IF(G1956&lt;EDATE(Assumptions!$C$6,-12)+1,"prior_12m","last_12m")</f>
        <v/>
      </c>
      <c r="AG1956" s="21">
        <f>DATE(YEAR(G1956),MONTH(G1956),1)</f>
        <v/>
      </c>
    </row>
    <row r="1957">
      <c r="A1957" t="inlineStr">
        <is>
          <t>SPO-01056-1</t>
        </is>
      </c>
      <c r="B1957" t="inlineStr">
        <is>
          <t>SPO-01056</t>
        </is>
      </c>
      <c r="C1957" t="inlineStr">
        <is>
          <t>SUP-06</t>
        </is>
      </c>
      <c r="D1957" t="inlineStr">
        <is>
          <t>MRO</t>
        </is>
      </c>
      <c r="E1957" t="inlineStr">
        <is>
          <t>MRO-05</t>
        </is>
      </c>
      <c r="F1957" s="17" t="n">
        <v>45863</v>
      </c>
      <c r="G1957" s="17" t="n">
        <v>45871</v>
      </c>
      <c r="H1957" s="18" t="n">
        <v>27</v>
      </c>
      <c r="I1957" s="19" t="n">
        <v>35.46</v>
      </c>
      <c r="J1957" s="19" t="n">
        <v>36</v>
      </c>
      <c r="K1957" s="20" t="n">
        <v>0</v>
      </c>
      <c r="L1957" s="20" t="n">
        <v>0</v>
      </c>
      <c r="M1957" s="18" t="n">
        <v>27</v>
      </c>
      <c r="N1957" s="18" t="n">
        <v>0</v>
      </c>
      <c r="O1957" s="18" t="n">
        <v>0</v>
      </c>
      <c r="P1957" s="17" t="n">
        <v>45872</v>
      </c>
      <c r="Q1957" s="17" t="n">
        <v>45872</v>
      </c>
      <c r="R1957" s="17" t="n">
        <v>45872</v>
      </c>
      <c r="S1957" s="19">
        <f>H1957*I1957</f>
        <v/>
      </c>
      <c r="T1957" s="19">
        <f>H1957*J1957</f>
        <v/>
      </c>
      <c r="U1957">
        <f>IF(AND(K1957=0,G1957&lt;=Assumptions!$C$6),1,0)</f>
        <v/>
      </c>
      <c r="V1957">
        <f>IF(U1957=1,IF(M1957&gt;0,IF(P1957&lt;=G1957+Assumptions!$C$7,1,0),0),0)</f>
        <v/>
      </c>
      <c r="W1957">
        <f>IF(AND(U1957=1,M1957&gt;=H1957*(1-Assumptions!$C$8)),1,0)</f>
        <v/>
      </c>
      <c r="X1957">
        <f>IF(AND(U1957=1,N1957&gt;=H1957*(1-Assumptions!$C$8)),1,0)</f>
        <v/>
      </c>
      <c r="Y1957">
        <f>IF(ISNUMBER(Q1957),1,0)</f>
        <v/>
      </c>
      <c r="Z1957">
        <f>IF(AND(K1957=0,L1957=0,Y1957=0),1,0)</f>
        <v/>
      </c>
      <c r="AA1957">
        <f>IF(AND(Z1957=1,G1957&lt;Assumptions!$C$6),1,0)</f>
        <v/>
      </c>
      <c r="AB1957">
        <f>IF(U1957=0,"",IF(Y1957=1,MAX(0,Q1957-G1957),IF(L1957=1,MAX(0,R1957-G1957),MAX(0,Assumptions!$C$6-G1957))))</f>
        <v/>
      </c>
      <c r="AC1957">
        <f>IF(Y1957=1,Q1957-F1957,"")</f>
        <v/>
      </c>
      <c r="AD1957">
        <f>IF(Y1957=1,AC1957^2,"")</f>
        <v/>
      </c>
      <c r="AE1957" s="19">
        <f>IF(Z1957=1,(H1957-M1957)*I1957,0)</f>
        <v/>
      </c>
      <c r="AF1957">
        <f>IF(G1957&lt;EDATE(Assumptions!$C$6,-12)+1,"prior_12m","last_12m")</f>
        <v/>
      </c>
      <c r="AG1957" s="21">
        <f>DATE(YEAR(G1957),MONTH(G1957),1)</f>
        <v/>
      </c>
    </row>
    <row r="1958">
      <c r="A1958" t="inlineStr">
        <is>
          <t>SPO-01057-1</t>
        </is>
      </c>
      <c r="B1958" t="inlineStr">
        <is>
          <t>SPO-01057</t>
        </is>
      </c>
      <c r="C1958" t="inlineStr">
        <is>
          <t>SUP-06</t>
        </is>
      </c>
      <c r="D1958" t="inlineStr">
        <is>
          <t>MRO</t>
        </is>
      </c>
      <c r="E1958" t="inlineStr">
        <is>
          <t>MRO-08</t>
        </is>
      </c>
      <c r="F1958" s="17" t="n">
        <v>45863</v>
      </c>
      <c r="G1958" s="17" t="n">
        <v>45871</v>
      </c>
      <c r="H1958" s="18" t="n">
        <v>439</v>
      </c>
      <c r="I1958" s="19" t="n">
        <v>6.98</v>
      </c>
      <c r="J1958" s="19" t="n">
        <v>7.2</v>
      </c>
      <c r="K1958" s="20" t="n">
        <v>0</v>
      </c>
      <c r="L1958" s="20" t="n">
        <v>0</v>
      </c>
      <c r="M1958" s="18" t="n">
        <v>439</v>
      </c>
      <c r="N1958" s="18" t="n">
        <v>439</v>
      </c>
      <c r="O1958" s="18" t="n">
        <v>0</v>
      </c>
      <c r="P1958" s="17" t="n">
        <v>45870</v>
      </c>
      <c r="Q1958" s="17" t="n">
        <v>45870</v>
      </c>
      <c r="R1958" s="17" t="n">
        <v>45870</v>
      </c>
      <c r="S1958" s="19">
        <f>H1958*I1958</f>
        <v/>
      </c>
      <c r="T1958" s="19">
        <f>H1958*J1958</f>
        <v/>
      </c>
      <c r="U1958">
        <f>IF(AND(K1958=0,G1958&lt;=Assumptions!$C$6),1,0)</f>
        <v/>
      </c>
      <c r="V1958">
        <f>IF(U1958=1,IF(M1958&gt;0,IF(P1958&lt;=G1958+Assumptions!$C$7,1,0),0),0)</f>
        <v/>
      </c>
      <c r="W1958">
        <f>IF(AND(U1958=1,M1958&gt;=H1958*(1-Assumptions!$C$8)),1,0)</f>
        <v/>
      </c>
      <c r="X1958">
        <f>IF(AND(U1958=1,N1958&gt;=H1958*(1-Assumptions!$C$8)),1,0)</f>
        <v/>
      </c>
      <c r="Y1958">
        <f>IF(ISNUMBER(Q1958),1,0)</f>
        <v/>
      </c>
      <c r="Z1958">
        <f>IF(AND(K1958=0,L1958=0,Y1958=0),1,0)</f>
        <v/>
      </c>
      <c r="AA1958">
        <f>IF(AND(Z1958=1,G1958&lt;Assumptions!$C$6),1,0)</f>
        <v/>
      </c>
      <c r="AB1958">
        <f>IF(U1958=0,"",IF(Y1958=1,MAX(0,Q1958-G1958),IF(L1958=1,MAX(0,R1958-G1958),MAX(0,Assumptions!$C$6-G1958))))</f>
        <v/>
      </c>
      <c r="AC1958">
        <f>IF(Y1958=1,Q1958-F1958,"")</f>
        <v/>
      </c>
      <c r="AD1958">
        <f>IF(Y1958=1,AC1958^2,"")</f>
        <v/>
      </c>
      <c r="AE1958" s="19">
        <f>IF(Z1958=1,(H1958-M1958)*I1958,0)</f>
        <v/>
      </c>
      <c r="AF1958">
        <f>IF(G1958&lt;EDATE(Assumptions!$C$6,-12)+1,"prior_12m","last_12m")</f>
        <v/>
      </c>
      <c r="AG1958" s="21">
        <f>DATE(YEAR(G1958),MONTH(G1958),1)</f>
        <v/>
      </c>
    </row>
    <row r="1959">
      <c r="A1959" t="inlineStr">
        <is>
          <t>SPO-01058-1</t>
        </is>
      </c>
      <c r="B1959" t="inlineStr">
        <is>
          <t>SPO-01058</t>
        </is>
      </c>
      <c r="C1959" t="inlineStr">
        <is>
          <t>SUP-04</t>
        </is>
      </c>
      <c r="D1959" t="inlineStr">
        <is>
          <t>FLEET</t>
        </is>
      </c>
      <c r="E1959" t="inlineStr">
        <is>
          <t>FLEET-02</t>
        </is>
      </c>
      <c r="F1959" s="17" t="n">
        <v>45863</v>
      </c>
      <c r="G1959" s="17" t="n">
        <v>45876</v>
      </c>
      <c r="H1959" s="18" t="n">
        <v>118</v>
      </c>
      <c r="I1959" s="19" t="n">
        <v>7.76</v>
      </c>
      <c r="J1959" s="19" t="n">
        <v>7.5</v>
      </c>
      <c r="K1959" s="20" t="n">
        <v>0</v>
      </c>
      <c r="L1959" s="20" t="n">
        <v>1</v>
      </c>
      <c r="M1959" s="18" t="n">
        <v>67</v>
      </c>
      <c r="N1959" s="18" t="n">
        <v>67</v>
      </c>
      <c r="O1959" s="18" t="n">
        <v>0</v>
      </c>
      <c r="P1959" s="17" t="n">
        <v>45872</v>
      </c>
      <c r="Q1959" s="17" t="n"/>
      <c r="R1959" s="17" t="n">
        <v>45872</v>
      </c>
      <c r="S1959" s="19">
        <f>H1959*I1959</f>
        <v/>
      </c>
      <c r="T1959" s="19">
        <f>H1959*J1959</f>
        <v/>
      </c>
      <c r="U1959">
        <f>IF(AND(K1959=0,G1959&lt;=Assumptions!$C$6),1,0)</f>
        <v/>
      </c>
      <c r="V1959">
        <f>IF(U1959=1,IF(M1959&gt;0,IF(P1959&lt;=G1959+Assumptions!$C$7,1,0),0),0)</f>
        <v/>
      </c>
      <c r="W1959">
        <f>IF(AND(U1959=1,M1959&gt;=H1959*(1-Assumptions!$C$8)),1,0)</f>
        <v/>
      </c>
      <c r="X1959">
        <f>IF(AND(U1959=1,N1959&gt;=H1959*(1-Assumptions!$C$8)),1,0)</f>
        <v/>
      </c>
      <c r="Y1959">
        <f>IF(ISNUMBER(Q1959),1,0)</f>
        <v/>
      </c>
      <c r="Z1959">
        <f>IF(AND(K1959=0,L1959=0,Y1959=0),1,0)</f>
        <v/>
      </c>
      <c r="AA1959">
        <f>IF(AND(Z1959=1,G1959&lt;Assumptions!$C$6),1,0)</f>
        <v/>
      </c>
      <c r="AB1959">
        <f>IF(U1959=0,"",IF(Y1959=1,MAX(0,Q1959-G1959),IF(L1959=1,MAX(0,R1959-G1959),MAX(0,Assumptions!$C$6-G1959))))</f>
        <v/>
      </c>
      <c r="AC1959">
        <f>IF(Y1959=1,Q1959-F1959,"")</f>
        <v/>
      </c>
      <c r="AD1959">
        <f>IF(Y1959=1,AC1959^2,"")</f>
        <v/>
      </c>
      <c r="AE1959" s="19">
        <f>IF(Z1959=1,(H1959-M1959)*I1959,0)</f>
        <v/>
      </c>
      <c r="AF1959">
        <f>IF(G1959&lt;EDATE(Assumptions!$C$6,-12)+1,"prior_12m","last_12m")</f>
        <v/>
      </c>
      <c r="AG1959" s="21">
        <f>DATE(YEAR(G1959),MONTH(G1959),1)</f>
        <v/>
      </c>
    </row>
    <row r="1960">
      <c r="A1960" t="inlineStr">
        <is>
          <t>SPO-01058-2</t>
        </is>
      </c>
      <c r="B1960" t="inlineStr">
        <is>
          <t>SPO-01058</t>
        </is>
      </c>
      <c r="C1960" t="inlineStr">
        <is>
          <t>SUP-04</t>
        </is>
      </c>
      <c r="D1960" t="inlineStr">
        <is>
          <t>FLEET</t>
        </is>
      </c>
      <c r="E1960" t="inlineStr">
        <is>
          <t>FLEET-04</t>
        </is>
      </c>
      <c r="F1960" s="17" t="n">
        <v>45863</v>
      </c>
      <c r="G1960" s="17" t="n">
        <v>45876</v>
      </c>
      <c r="H1960" s="18" t="n">
        <v>334</v>
      </c>
      <c r="I1960" s="19" t="n">
        <v>9.17</v>
      </c>
      <c r="J1960" s="19" t="n">
        <v>9</v>
      </c>
      <c r="K1960" s="20" t="n">
        <v>0</v>
      </c>
      <c r="L1960" s="20" t="n">
        <v>0</v>
      </c>
      <c r="M1960" s="18" t="n">
        <v>334</v>
      </c>
      <c r="N1960" s="18" t="n">
        <v>0</v>
      </c>
      <c r="O1960" s="18" t="n">
        <v>0</v>
      </c>
      <c r="P1960" s="17" t="n">
        <v>45886</v>
      </c>
      <c r="Q1960" s="17" t="n">
        <v>45886</v>
      </c>
      <c r="R1960" s="17" t="n">
        <v>45886</v>
      </c>
      <c r="S1960" s="19">
        <f>H1960*I1960</f>
        <v/>
      </c>
      <c r="T1960" s="19">
        <f>H1960*J1960</f>
        <v/>
      </c>
      <c r="U1960">
        <f>IF(AND(K1960=0,G1960&lt;=Assumptions!$C$6),1,0)</f>
        <v/>
      </c>
      <c r="V1960">
        <f>IF(U1960=1,IF(M1960&gt;0,IF(P1960&lt;=G1960+Assumptions!$C$7,1,0),0),0)</f>
        <v/>
      </c>
      <c r="W1960">
        <f>IF(AND(U1960=1,M1960&gt;=H1960*(1-Assumptions!$C$8)),1,0)</f>
        <v/>
      </c>
      <c r="X1960">
        <f>IF(AND(U1960=1,N1960&gt;=H1960*(1-Assumptions!$C$8)),1,0)</f>
        <v/>
      </c>
      <c r="Y1960">
        <f>IF(ISNUMBER(Q1960),1,0)</f>
        <v/>
      </c>
      <c r="Z1960">
        <f>IF(AND(K1960=0,L1960=0,Y1960=0),1,0)</f>
        <v/>
      </c>
      <c r="AA1960">
        <f>IF(AND(Z1960=1,G1960&lt;Assumptions!$C$6),1,0)</f>
        <v/>
      </c>
      <c r="AB1960">
        <f>IF(U1960=0,"",IF(Y1960=1,MAX(0,Q1960-G1960),IF(L1960=1,MAX(0,R1960-G1960),MAX(0,Assumptions!$C$6-G1960))))</f>
        <v/>
      </c>
      <c r="AC1960">
        <f>IF(Y1960=1,Q1960-F1960,"")</f>
        <v/>
      </c>
      <c r="AD1960">
        <f>IF(Y1960=1,AC1960^2,"")</f>
        <v/>
      </c>
      <c r="AE1960" s="19">
        <f>IF(Z1960=1,(H1960-M1960)*I1960,0)</f>
        <v/>
      </c>
      <c r="AF1960">
        <f>IF(G1960&lt;EDATE(Assumptions!$C$6,-12)+1,"prior_12m","last_12m")</f>
        <v/>
      </c>
      <c r="AG1960" s="21">
        <f>DATE(YEAR(G1960),MONTH(G1960),1)</f>
        <v/>
      </c>
    </row>
    <row r="1961">
      <c r="A1961" t="inlineStr">
        <is>
          <t>SPO-01059-1</t>
        </is>
      </c>
      <c r="B1961" t="inlineStr">
        <is>
          <t>SPO-01059</t>
        </is>
      </c>
      <c r="C1961" t="inlineStr">
        <is>
          <t>SUP-01</t>
        </is>
      </c>
      <c r="D1961" t="inlineStr">
        <is>
          <t>ELEC</t>
        </is>
      </c>
      <c r="E1961" t="inlineStr">
        <is>
          <t>ELEC-03</t>
        </is>
      </c>
      <c r="F1961" s="17" t="n">
        <v>45863</v>
      </c>
      <c r="G1961" s="17" t="n">
        <v>45881</v>
      </c>
      <c r="H1961" s="18" t="n">
        <v>42</v>
      </c>
      <c r="I1961" s="19" t="n">
        <v>97.45</v>
      </c>
      <c r="J1961" s="19" t="n">
        <v>96</v>
      </c>
      <c r="K1961" s="20" t="n">
        <v>0</v>
      </c>
      <c r="L1961" s="20" t="n">
        <v>0</v>
      </c>
      <c r="M1961" s="18" t="n">
        <v>42</v>
      </c>
      <c r="N1961" s="18" t="n">
        <v>42</v>
      </c>
      <c r="O1961" s="18" t="n">
        <v>0</v>
      </c>
      <c r="P1961" s="17" t="n">
        <v>45881</v>
      </c>
      <c r="Q1961" s="17" t="n">
        <v>45881</v>
      </c>
      <c r="R1961" s="17" t="n">
        <v>45881</v>
      </c>
      <c r="S1961" s="19">
        <f>H1961*I1961</f>
        <v/>
      </c>
      <c r="T1961" s="19">
        <f>H1961*J1961</f>
        <v/>
      </c>
      <c r="U1961">
        <f>IF(AND(K1961=0,G1961&lt;=Assumptions!$C$6),1,0)</f>
        <v/>
      </c>
      <c r="V1961">
        <f>IF(U1961=1,IF(M1961&gt;0,IF(P1961&lt;=G1961+Assumptions!$C$7,1,0),0),0)</f>
        <v/>
      </c>
      <c r="W1961">
        <f>IF(AND(U1961=1,M1961&gt;=H1961*(1-Assumptions!$C$8)),1,0)</f>
        <v/>
      </c>
      <c r="X1961">
        <f>IF(AND(U1961=1,N1961&gt;=H1961*(1-Assumptions!$C$8)),1,0)</f>
        <v/>
      </c>
      <c r="Y1961">
        <f>IF(ISNUMBER(Q1961),1,0)</f>
        <v/>
      </c>
      <c r="Z1961">
        <f>IF(AND(K1961=0,L1961=0,Y1961=0),1,0)</f>
        <v/>
      </c>
      <c r="AA1961">
        <f>IF(AND(Z1961=1,G1961&lt;Assumptions!$C$6),1,0)</f>
        <v/>
      </c>
      <c r="AB1961">
        <f>IF(U1961=0,"",IF(Y1961=1,MAX(0,Q1961-G1961),IF(L1961=1,MAX(0,R1961-G1961),MAX(0,Assumptions!$C$6-G1961))))</f>
        <v/>
      </c>
      <c r="AC1961">
        <f>IF(Y1961=1,Q1961-F1961,"")</f>
        <v/>
      </c>
      <c r="AD1961">
        <f>IF(Y1961=1,AC1961^2,"")</f>
        <v/>
      </c>
      <c r="AE1961" s="19">
        <f>IF(Z1961=1,(H1961-M1961)*I1961,0)</f>
        <v/>
      </c>
      <c r="AF1961">
        <f>IF(G1961&lt;EDATE(Assumptions!$C$6,-12)+1,"prior_12m","last_12m")</f>
        <v/>
      </c>
      <c r="AG1961" s="21">
        <f>DATE(YEAR(G1961),MONTH(G1961),1)</f>
        <v/>
      </c>
    </row>
    <row r="1962">
      <c r="A1962" t="inlineStr">
        <is>
          <t>SPO-01060-1</t>
        </is>
      </c>
      <c r="B1962" t="inlineStr">
        <is>
          <t>SPO-01060</t>
        </is>
      </c>
      <c r="C1962" t="inlineStr">
        <is>
          <t>SUP-01</t>
        </is>
      </c>
      <c r="D1962" t="inlineStr">
        <is>
          <t>ELEC</t>
        </is>
      </c>
      <c r="E1962" t="inlineStr">
        <is>
          <t>ELEC-07</t>
        </is>
      </c>
      <c r="F1962" s="17" t="n">
        <v>45863</v>
      </c>
      <c r="G1962" s="17" t="n">
        <v>45881</v>
      </c>
      <c r="H1962" s="18" t="n">
        <v>120</v>
      </c>
      <c r="I1962" s="19" t="n">
        <v>9.949999999999999</v>
      </c>
      <c r="J1962" s="19" t="n">
        <v>9.800000000000001</v>
      </c>
      <c r="K1962" s="20" t="n">
        <v>0</v>
      </c>
      <c r="L1962" s="20" t="n">
        <v>0</v>
      </c>
      <c r="M1962" s="18" t="n">
        <v>120</v>
      </c>
      <c r="N1962" s="18" t="n">
        <v>120</v>
      </c>
      <c r="O1962" s="18" t="n">
        <v>0</v>
      </c>
      <c r="P1962" s="17" t="n">
        <v>45877</v>
      </c>
      <c r="Q1962" s="17" t="n">
        <v>45877</v>
      </c>
      <c r="R1962" s="17" t="n">
        <v>45877</v>
      </c>
      <c r="S1962" s="19">
        <f>H1962*I1962</f>
        <v/>
      </c>
      <c r="T1962" s="19">
        <f>H1962*J1962</f>
        <v/>
      </c>
      <c r="U1962">
        <f>IF(AND(K1962=0,G1962&lt;=Assumptions!$C$6),1,0)</f>
        <v/>
      </c>
      <c r="V1962">
        <f>IF(U1962=1,IF(M1962&gt;0,IF(P1962&lt;=G1962+Assumptions!$C$7,1,0),0),0)</f>
        <v/>
      </c>
      <c r="W1962">
        <f>IF(AND(U1962=1,M1962&gt;=H1962*(1-Assumptions!$C$8)),1,0)</f>
        <v/>
      </c>
      <c r="X1962">
        <f>IF(AND(U1962=1,N1962&gt;=H1962*(1-Assumptions!$C$8)),1,0)</f>
        <v/>
      </c>
      <c r="Y1962">
        <f>IF(ISNUMBER(Q1962),1,0)</f>
        <v/>
      </c>
      <c r="Z1962">
        <f>IF(AND(K1962=0,L1962=0,Y1962=0),1,0)</f>
        <v/>
      </c>
      <c r="AA1962">
        <f>IF(AND(Z1962=1,G1962&lt;Assumptions!$C$6),1,0)</f>
        <v/>
      </c>
      <c r="AB1962">
        <f>IF(U1962=0,"",IF(Y1962=1,MAX(0,Q1962-G1962),IF(L1962=1,MAX(0,R1962-G1962),MAX(0,Assumptions!$C$6-G1962))))</f>
        <v/>
      </c>
      <c r="AC1962">
        <f>IF(Y1962=1,Q1962-F1962,"")</f>
        <v/>
      </c>
      <c r="AD1962">
        <f>IF(Y1962=1,AC1962^2,"")</f>
        <v/>
      </c>
      <c r="AE1962" s="19">
        <f>IF(Z1962=1,(H1962-M1962)*I1962,0)</f>
        <v/>
      </c>
      <c r="AF1962">
        <f>IF(G1962&lt;EDATE(Assumptions!$C$6,-12)+1,"prior_12m","last_12m")</f>
        <v/>
      </c>
      <c r="AG1962" s="21">
        <f>DATE(YEAR(G1962),MONTH(G1962),1)</f>
        <v/>
      </c>
    </row>
    <row r="1963">
      <c r="A1963" t="inlineStr">
        <is>
          <t>SPO-01061-1</t>
        </is>
      </c>
      <c r="B1963" t="inlineStr">
        <is>
          <t>SPO-01061</t>
        </is>
      </c>
      <c r="C1963" t="inlineStr">
        <is>
          <t>SUP-09</t>
        </is>
      </c>
      <c r="D1963" t="inlineStr">
        <is>
          <t>CHEM</t>
        </is>
      </c>
      <c r="E1963" t="inlineStr">
        <is>
          <t>CHEM-01</t>
        </is>
      </c>
      <c r="F1963" s="17" t="n">
        <v>45863</v>
      </c>
      <c r="G1963" s="17" t="n">
        <v>45877</v>
      </c>
      <c r="H1963" s="18" t="n">
        <v>2</v>
      </c>
      <c r="I1963" s="19" t="n">
        <v>685.41</v>
      </c>
      <c r="J1963" s="19" t="n">
        <v>640</v>
      </c>
      <c r="K1963" s="20" t="n">
        <v>0</v>
      </c>
      <c r="L1963" s="20" t="n">
        <v>0</v>
      </c>
      <c r="M1963" s="18" t="n">
        <v>2</v>
      </c>
      <c r="N1963" s="18" t="n">
        <v>2</v>
      </c>
      <c r="O1963" s="18" t="n">
        <v>0</v>
      </c>
      <c r="P1963" s="17" t="n">
        <v>45875</v>
      </c>
      <c r="Q1963" s="17" t="n">
        <v>45875</v>
      </c>
      <c r="R1963" s="17" t="n">
        <v>45875</v>
      </c>
      <c r="S1963" s="19">
        <f>H1963*I1963</f>
        <v/>
      </c>
      <c r="T1963" s="19">
        <f>H1963*J1963</f>
        <v/>
      </c>
      <c r="U1963">
        <f>IF(AND(K1963=0,G1963&lt;=Assumptions!$C$6),1,0)</f>
        <v/>
      </c>
      <c r="V1963">
        <f>IF(U1963=1,IF(M1963&gt;0,IF(P1963&lt;=G1963+Assumptions!$C$7,1,0),0),0)</f>
        <v/>
      </c>
      <c r="W1963">
        <f>IF(AND(U1963=1,M1963&gt;=H1963*(1-Assumptions!$C$8)),1,0)</f>
        <v/>
      </c>
      <c r="X1963">
        <f>IF(AND(U1963=1,N1963&gt;=H1963*(1-Assumptions!$C$8)),1,0)</f>
        <v/>
      </c>
      <c r="Y1963">
        <f>IF(ISNUMBER(Q1963),1,0)</f>
        <v/>
      </c>
      <c r="Z1963">
        <f>IF(AND(K1963=0,L1963=0,Y1963=0),1,0)</f>
        <v/>
      </c>
      <c r="AA1963">
        <f>IF(AND(Z1963=1,G1963&lt;Assumptions!$C$6),1,0)</f>
        <v/>
      </c>
      <c r="AB1963">
        <f>IF(U1963=0,"",IF(Y1963=1,MAX(0,Q1963-G1963),IF(L1963=1,MAX(0,R1963-G1963),MAX(0,Assumptions!$C$6-G1963))))</f>
        <v/>
      </c>
      <c r="AC1963">
        <f>IF(Y1963=1,Q1963-F1963,"")</f>
        <v/>
      </c>
      <c r="AD1963">
        <f>IF(Y1963=1,AC1963^2,"")</f>
        <v/>
      </c>
      <c r="AE1963" s="19">
        <f>IF(Z1963=1,(H1963-M1963)*I1963,0)</f>
        <v/>
      </c>
      <c r="AF1963">
        <f>IF(G1963&lt;EDATE(Assumptions!$C$6,-12)+1,"prior_12m","last_12m")</f>
        <v/>
      </c>
      <c r="AG1963" s="21">
        <f>DATE(YEAR(G1963),MONTH(G1963),1)</f>
        <v/>
      </c>
    </row>
    <row r="1964">
      <c r="A1964" t="inlineStr">
        <is>
          <t>SPO-01062-1</t>
        </is>
      </c>
      <c r="B1964" t="inlineStr">
        <is>
          <t>SPO-01062</t>
        </is>
      </c>
      <c r="C1964" t="inlineStr">
        <is>
          <t>SUP-01</t>
        </is>
      </c>
      <c r="D1964" t="inlineStr">
        <is>
          <t>ELEC</t>
        </is>
      </c>
      <c r="E1964" t="inlineStr">
        <is>
          <t>ELEC-04</t>
        </is>
      </c>
      <c r="F1964" s="17" t="n">
        <v>45863</v>
      </c>
      <c r="G1964" s="17" t="n">
        <v>45881</v>
      </c>
      <c r="H1964" s="18" t="n">
        <v>21</v>
      </c>
      <c r="I1964" s="19" t="n">
        <v>74.20999999999999</v>
      </c>
      <c r="J1964" s="19" t="n">
        <v>72</v>
      </c>
      <c r="K1964" s="20" t="n">
        <v>0</v>
      </c>
      <c r="L1964" s="20" t="n">
        <v>1</v>
      </c>
      <c r="M1964" s="18" t="n">
        <v>9</v>
      </c>
      <c r="N1964" s="18" t="n">
        <v>9</v>
      </c>
      <c r="O1964" s="18" t="n">
        <v>0</v>
      </c>
      <c r="P1964" s="17" t="n">
        <v>45879</v>
      </c>
      <c r="Q1964" s="17" t="n"/>
      <c r="R1964" s="17" t="n">
        <v>45879</v>
      </c>
      <c r="S1964" s="19">
        <f>H1964*I1964</f>
        <v/>
      </c>
      <c r="T1964" s="19">
        <f>H1964*J1964</f>
        <v/>
      </c>
      <c r="U1964">
        <f>IF(AND(K1964=0,G1964&lt;=Assumptions!$C$6),1,0)</f>
        <v/>
      </c>
      <c r="V1964">
        <f>IF(U1964=1,IF(M1964&gt;0,IF(P1964&lt;=G1964+Assumptions!$C$7,1,0),0),0)</f>
        <v/>
      </c>
      <c r="W1964">
        <f>IF(AND(U1964=1,M1964&gt;=H1964*(1-Assumptions!$C$8)),1,0)</f>
        <v/>
      </c>
      <c r="X1964">
        <f>IF(AND(U1964=1,N1964&gt;=H1964*(1-Assumptions!$C$8)),1,0)</f>
        <v/>
      </c>
      <c r="Y1964">
        <f>IF(ISNUMBER(Q1964),1,0)</f>
        <v/>
      </c>
      <c r="Z1964">
        <f>IF(AND(K1964=0,L1964=0,Y1964=0),1,0)</f>
        <v/>
      </c>
      <c r="AA1964">
        <f>IF(AND(Z1964=1,G1964&lt;Assumptions!$C$6),1,0)</f>
        <v/>
      </c>
      <c r="AB1964">
        <f>IF(U1964=0,"",IF(Y1964=1,MAX(0,Q1964-G1964),IF(L1964=1,MAX(0,R1964-G1964),MAX(0,Assumptions!$C$6-G1964))))</f>
        <v/>
      </c>
      <c r="AC1964">
        <f>IF(Y1964=1,Q1964-F1964,"")</f>
        <v/>
      </c>
      <c r="AD1964">
        <f>IF(Y1964=1,AC1964^2,"")</f>
        <v/>
      </c>
      <c r="AE1964" s="19">
        <f>IF(Z1964=1,(H1964-M1964)*I1964,0)</f>
        <v/>
      </c>
      <c r="AF1964">
        <f>IF(G1964&lt;EDATE(Assumptions!$C$6,-12)+1,"prior_12m","last_12m")</f>
        <v/>
      </c>
      <c r="AG1964" s="21">
        <f>DATE(YEAR(G1964),MONTH(G1964),1)</f>
        <v/>
      </c>
    </row>
    <row r="1965">
      <c r="A1965" t="inlineStr">
        <is>
          <t>SPO-01063-1</t>
        </is>
      </c>
      <c r="B1965" t="inlineStr">
        <is>
          <t>SPO-01063</t>
        </is>
      </c>
      <c r="C1965" t="inlineStr">
        <is>
          <t>SUP-05</t>
        </is>
      </c>
      <c r="D1965" t="inlineStr">
        <is>
          <t>FLEET</t>
        </is>
      </c>
      <c r="E1965" t="inlineStr">
        <is>
          <t>FLEET-05</t>
        </is>
      </c>
      <c r="F1965" s="17" t="n">
        <v>45863</v>
      </c>
      <c r="G1965" s="17" t="n">
        <v>45877</v>
      </c>
      <c r="H1965" s="18" t="n">
        <v>16</v>
      </c>
      <c r="I1965" s="19" t="n">
        <v>178.79</v>
      </c>
      <c r="J1965" s="19" t="n">
        <v>168</v>
      </c>
      <c r="K1965" s="20" t="n">
        <v>0</v>
      </c>
      <c r="L1965" s="20" t="n">
        <v>0</v>
      </c>
      <c r="M1965" s="18" t="n">
        <v>16</v>
      </c>
      <c r="N1965" s="18" t="n">
        <v>16</v>
      </c>
      <c r="O1965" s="18" t="n">
        <v>0</v>
      </c>
      <c r="P1965" s="17" t="n">
        <v>45872</v>
      </c>
      <c r="Q1965" s="17" t="n">
        <v>45872</v>
      </c>
      <c r="R1965" s="17" t="n">
        <v>45872</v>
      </c>
      <c r="S1965" s="19">
        <f>H1965*I1965</f>
        <v/>
      </c>
      <c r="T1965" s="19">
        <f>H1965*J1965</f>
        <v/>
      </c>
      <c r="U1965">
        <f>IF(AND(K1965=0,G1965&lt;=Assumptions!$C$6),1,0)</f>
        <v/>
      </c>
      <c r="V1965">
        <f>IF(U1965=1,IF(M1965&gt;0,IF(P1965&lt;=G1965+Assumptions!$C$7,1,0),0),0)</f>
        <v/>
      </c>
      <c r="W1965">
        <f>IF(AND(U1965=1,M1965&gt;=H1965*(1-Assumptions!$C$8)),1,0)</f>
        <v/>
      </c>
      <c r="X1965">
        <f>IF(AND(U1965=1,N1965&gt;=H1965*(1-Assumptions!$C$8)),1,0)</f>
        <v/>
      </c>
      <c r="Y1965">
        <f>IF(ISNUMBER(Q1965),1,0)</f>
        <v/>
      </c>
      <c r="Z1965">
        <f>IF(AND(K1965=0,L1965=0,Y1965=0),1,0)</f>
        <v/>
      </c>
      <c r="AA1965">
        <f>IF(AND(Z1965=1,G1965&lt;Assumptions!$C$6),1,0)</f>
        <v/>
      </c>
      <c r="AB1965">
        <f>IF(U1965=0,"",IF(Y1965=1,MAX(0,Q1965-G1965),IF(L1965=1,MAX(0,R1965-G1965),MAX(0,Assumptions!$C$6-G1965))))</f>
        <v/>
      </c>
      <c r="AC1965">
        <f>IF(Y1965=1,Q1965-F1965,"")</f>
        <v/>
      </c>
      <c r="AD1965">
        <f>IF(Y1965=1,AC1965^2,"")</f>
        <v/>
      </c>
      <c r="AE1965" s="19">
        <f>IF(Z1965=1,(H1965-M1965)*I1965,0)</f>
        <v/>
      </c>
      <c r="AF1965">
        <f>IF(G1965&lt;EDATE(Assumptions!$C$6,-12)+1,"prior_12m","last_12m")</f>
        <v/>
      </c>
      <c r="AG1965" s="21">
        <f>DATE(YEAR(G1965),MONTH(G1965),1)</f>
        <v/>
      </c>
    </row>
    <row r="1966">
      <c r="A1966" t="inlineStr">
        <is>
          <t>SPO-01064-1</t>
        </is>
      </c>
      <c r="B1966" t="inlineStr">
        <is>
          <t>SPO-01064</t>
        </is>
      </c>
      <c r="C1966" t="inlineStr">
        <is>
          <t>SUP-12</t>
        </is>
      </c>
      <c r="D1966" t="inlineStr">
        <is>
          <t>IT</t>
        </is>
      </c>
      <c r="E1966" t="inlineStr">
        <is>
          <t>IT-05</t>
        </is>
      </c>
      <c r="F1966" s="17" t="n">
        <v>45864</v>
      </c>
      <c r="G1966" s="17" t="n">
        <v>45874</v>
      </c>
      <c r="H1966" s="18" t="n">
        <v>3</v>
      </c>
      <c r="I1966" s="19" t="n">
        <v>696.2</v>
      </c>
      <c r="J1966" s="19" t="n">
        <v>640</v>
      </c>
      <c r="K1966" s="20" t="n">
        <v>0</v>
      </c>
      <c r="L1966" s="20" t="n">
        <v>0</v>
      </c>
      <c r="M1966" s="18" t="n">
        <v>3</v>
      </c>
      <c r="N1966" s="18" t="n">
        <v>3</v>
      </c>
      <c r="O1966" s="18" t="n">
        <v>0</v>
      </c>
      <c r="P1966" s="17" t="n">
        <v>45873</v>
      </c>
      <c r="Q1966" s="17" t="n">
        <v>45873</v>
      </c>
      <c r="R1966" s="17" t="n">
        <v>45873</v>
      </c>
      <c r="S1966" s="19">
        <f>H1966*I1966</f>
        <v/>
      </c>
      <c r="T1966" s="19">
        <f>H1966*J1966</f>
        <v/>
      </c>
      <c r="U1966">
        <f>IF(AND(K1966=0,G1966&lt;=Assumptions!$C$6),1,0)</f>
        <v/>
      </c>
      <c r="V1966">
        <f>IF(U1966=1,IF(M1966&gt;0,IF(P1966&lt;=G1966+Assumptions!$C$7,1,0),0),0)</f>
        <v/>
      </c>
      <c r="W1966">
        <f>IF(AND(U1966=1,M1966&gt;=H1966*(1-Assumptions!$C$8)),1,0)</f>
        <v/>
      </c>
      <c r="X1966">
        <f>IF(AND(U1966=1,N1966&gt;=H1966*(1-Assumptions!$C$8)),1,0)</f>
        <v/>
      </c>
      <c r="Y1966">
        <f>IF(ISNUMBER(Q1966),1,0)</f>
        <v/>
      </c>
      <c r="Z1966">
        <f>IF(AND(K1966=0,L1966=0,Y1966=0),1,0)</f>
        <v/>
      </c>
      <c r="AA1966">
        <f>IF(AND(Z1966=1,G1966&lt;Assumptions!$C$6),1,0)</f>
        <v/>
      </c>
      <c r="AB1966">
        <f>IF(U1966=0,"",IF(Y1966=1,MAX(0,Q1966-G1966),IF(L1966=1,MAX(0,R1966-G1966),MAX(0,Assumptions!$C$6-G1966))))</f>
        <v/>
      </c>
      <c r="AC1966">
        <f>IF(Y1966=1,Q1966-F1966,"")</f>
        <v/>
      </c>
      <c r="AD1966">
        <f>IF(Y1966=1,AC1966^2,"")</f>
        <v/>
      </c>
      <c r="AE1966" s="19">
        <f>IF(Z1966=1,(H1966-M1966)*I1966,0)</f>
        <v/>
      </c>
      <c r="AF1966">
        <f>IF(G1966&lt;EDATE(Assumptions!$C$6,-12)+1,"prior_12m","last_12m")</f>
        <v/>
      </c>
      <c r="AG1966" s="21">
        <f>DATE(YEAR(G1966),MONTH(G1966),1)</f>
        <v/>
      </c>
    </row>
    <row r="1967">
      <c r="A1967" t="inlineStr">
        <is>
          <t>SPO-01065-1</t>
        </is>
      </c>
      <c r="B1967" t="inlineStr">
        <is>
          <t>SPO-01065</t>
        </is>
      </c>
      <c r="C1967" t="inlineStr">
        <is>
          <t>SUP-01</t>
        </is>
      </c>
      <c r="D1967" t="inlineStr">
        <is>
          <t>ELEC</t>
        </is>
      </c>
      <c r="E1967" t="inlineStr">
        <is>
          <t>ELEC-08</t>
        </is>
      </c>
      <c r="F1967" s="17" t="n">
        <v>45864</v>
      </c>
      <c r="G1967" s="17" t="n">
        <v>45882</v>
      </c>
      <c r="H1967" s="18" t="n">
        <v>154</v>
      </c>
      <c r="I1967" s="19" t="n">
        <v>17.83</v>
      </c>
      <c r="J1967" s="19" t="n">
        <v>18</v>
      </c>
      <c r="K1967" s="20" t="n">
        <v>0</v>
      </c>
      <c r="L1967" s="20" t="n">
        <v>0</v>
      </c>
      <c r="M1967" s="18" t="n">
        <v>154</v>
      </c>
      <c r="N1967" s="18" t="n">
        <v>154</v>
      </c>
      <c r="O1967" s="18" t="n">
        <v>0</v>
      </c>
      <c r="P1967" s="17" t="n">
        <v>45882</v>
      </c>
      <c r="Q1967" s="17" t="n">
        <v>45882</v>
      </c>
      <c r="R1967" s="17" t="n">
        <v>45882</v>
      </c>
      <c r="S1967" s="19">
        <f>H1967*I1967</f>
        <v/>
      </c>
      <c r="T1967" s="19">
        <f>H1967*J1967</f>
        <v/>
      </c>
      <c r="U1967">
        <f>IF(AND(K1967=0,G1967&lt;=Assumptions!$C$6),1,0)</f>
        <v/>
      </c>
      <c r="V1967">
        <f>IF(U1967=1,IF(M1967&gt;0,IF(P1967&lt;=G1967+Assumptions!$C$7,1,0),0),0)</f>
        <v/>
      </c>
      <c r="W1967">
        <f>IF(AND(U1967=1,M1967&gt;=H1967*(1-Assumptions!$C$8)),1,0)</f>
        <v/>
      </c>
      <c r="X1967">
        <f>IF(AND(U1967=1,N1967&gt;=H1967*(1-Assumptions!$C$8)),1,0)</f>
        <v/>
      </c>
      <c r="Y1967">
        <f>IF(ISNUMBER(Q1967),1,0)</f>
        <v/>
      </c>
      <c r="Z1967">
        <f>IF(AND(K1967=0,L1967=0,Y1967=0),1,0)</f>
        <v/>
      </c>
      <c r="AA1967">
        <f>IF(AND(Z1967=1,G1967&lt;Assumptions!$C$6),1,0)</f>
        <v/>
      </c>
      <c r="AB1967">
        <f>IF(U1967=0,"",IF(Y1967=1,MAX(0,Q1967-G1967),IF(L1967=1,MAX(0,R1967-G1967),MAX(0,Assumptions!$C$6-G1967))))</f>
        <v/>
      </c>
      <c r="AC1967">
        <f>IF(Y1967=1,Q1967-F1967,"")</f>
        <v/>
      </c>
      <c r="AD1967">
        <f>IF(Y1967=1,AC1967^2,"")</f>
        <v/>
      </c>
      <c r="AE1967" s="19">
        <f>IF(Z1967=1,(H1967-M1967)*I1967,0)</f>
        <v/>
      </c>
      <c r="AF1967">
        <f>IF(G1967&lt;EDATE(Assumptions!$C$6,-12)+1,"prior_12m","last_12m")</f>
        <v/>
      </c>
      <c r="AG1967" s="21">
        <f>DATE(YEAR(G1967),MONTH(G1967),1)</f>
        <v/>
      </c>
    </row>
    <row r="1968">
      <c r="A1968" t="inlineStr">
        <is>
          <t>SPO-01065-2</t>
        </is>
      </c>
      <c r="B1968" t="inlineStr">
        <is>
          <t>SPO-01065</t>
        </is>
      </c>
      <c r="C1968" t="inlineStr">
        <is>
          <t>SUP-01</t>
        </is>
      </c>
      <c r="D1968" t="inlineStr">
        <is>
          <t>ELEC</t>
        </is>
      </c>
      <c r="E1968" t="inlineStr">
        <is>
          <t>ELEC-01</t>
        </is>
      </c>
      <c r="F1968" s="17" t="n">
        <v>45864</v>
      </c>
      <c r="G1968" s="17" t="n">
        <v>45882</v>
      </c>
      <c r="H1968" s="18" t="n">
        <v>56</v>
      </c>
      <c r="I1968" s="19" t="n">
        <v>40.85</v>
      </c>
      <c r="J1968" s="19" t="n">
        <v>38</v>
      </c>
      <c r="K1968" s="20" t="n">
        <v>0</v>
      </c>
      <c r="L1968" s="20" t="n">
        <v>0</v>
      </c>
      <c r="M1968" s="18" t="n">
        <v>56</v>
      </c>
      <c r="N1968" s="18" t="n">
        <v>56</v>
      </c>
      <c r="O1968" s="18" t="n">
        <v>0</v>
      </c>
      <c r="P1968" s="17" t="n">
        <v>45879</v>
      </c>
      <c r="Q1968" s="17" t="n">
        <v>45879</v>
      </c>
      <c r="R1968" s="17" t="n">
        <v>45879</v>
      </c>
      <c r="S1968" s="19">
        <f>H1968*I1968</f>
        <v/>
      </c>
      <c r="T1968" s="19">
        <f>H1968*J1968</f>
        <v/>
      </c>
      <c r="U1968">
        <f>IF(AND(K1968=0,G1968&lt;=Assumptions!$C$6),1,0)</f>
        <v/>
      </c>
      <c r="V1968">
        <f>IF(U1968=1,IF(M1968&gt;0,IF(P1968&lt;=G1968+Assumptions!$C$7,1,0),0),0)</f>
        <v/>
      </c>
      <c r="W1968">
        <f>IF(AND(U1968=1,M1968&gt;=H1968*(1-Assumptions!$C$8)),1,0)</f>
        <v/>
      </c>
      <c r="X1968">
        <f>IF(AND(U1968=1,N1968&gt;=H1968*(1-Assumptions!$C$8)),1,0)</f>
        <v/>
      </c>
      <c r="Y1968">
        <f>IF(ISNUMBER(Q1968),1,0)</f>
        <v/>
      </c>
      <c r="Z1968">
        <f>IF(AND(K1968=0,L1968=0,Y1968=0),1,0)</f>
        <v/>
      </c>
      <c r="AA1968">
        <f>IF(AND(Z1968=1,G1968&lt;Assumptions!$C$6),1,0)</f>
        <v/>
      </c>
      <c r="AB1968">
        <f>IF(U1968=0,"",IF(Y1968=1,MAX(0,Q1968-G1968),IF(L1968=1,MAX(0,R1968-G1968),MAX(0,Assumptions!$C$6-G1968))))</f>
        <v/>
      </c>
      <c r="AC1968">
        <f>IF(Y1968=1,Q1968-F1968,"")</f>
        <v/>
      </c>
      <c r="AD1968">
        <f>IF(Y1968=1,AC1968^2,"")</f>
        <v/>
      </c>
      <c r="AE1968" s="19">
        <f>IF(Z1968=1,(H1968-M1968)*I1968,0)</f>
        <v/>
      </c>
      <c r="AF1968">
        <f>IF(G1968&lt;EDATE(Assumptions!$C$6,-12)+1,"prior_12m","last_12m")</f>
        <v/>
      </c>
      <c r="AG1968" s="21">
        <f>DATE(YEAR(G1968),MONTH(G1968),1)</f>
        <v/>
      </c>
    </row>
    <row r="1969">
      <c r="A1969" t="inlineStr">
        <is>
          <t>SPO-01065-3</t>
        </is>
      </c>
      <c r="B1969" t="inlineStr">
        <is>
          <t>SPO-01065</t>
        </is>
      </c>
      <c r="C1969" t="inlineStr">
        <is>
          <t>SUP-01</t>
        </is>
      </c>
      <c r="D1969" t="inlineStr">
        <is>
          <t>ELEC</t>
        </is>
      </c>
      <c r="E1969" t="inlineStr">
        <is>
          <t>ELEC-04</t>
        </is>
      </c>
      <c r="F1969" s="17" t="n">
        <v>45864</v>
      </c>
      <c r="G1969" s="17" t="n">
        <v>45882</v>
      </c>
      <c r="H1969" s="18" t="n">
        <v>12</v>
      </c>
      <c r="I1969" s="19" t="n">
        <v>75.54000000000001</v>
      </c>
      <c r="J1969" s="19" t="n">
        <v>72</v>
      </c>
      <c r="K1969" s="20" t="n">
        <v>0</v>
      </c>
      <c r="L1969" s="20" t="n">
        <v>0</v>
      </c>
      <c r="M1969" s="18" t="n">
        <v>12</v>
      </c>
      <c r="N1969" s="18" t="n">
        <v>12</v>
      </c>
      <c r="O1969" s="18" t="n">
        <v>0</v>
      </c>
      <c r="P1969" s="17" t="n">
        <v>45878</v>
      </c>
      <c r="Q1969" s="17" t="n">
        <v>45878</v>
      </c>
      <c r="R1969" s="17" t="n">
        <v>45878</v>
      </c>
      <c r="S1969" s="19">
        <f>H1969*I1969</f>
        <v/>
      </c>
      <c r="T1969" s="19">
        <f>H1969*J1969</f>
        <v/>
      </c>
      <c r="U1969">
        <f>IF(AND(K1969=0,G1969&lt;=Assumptions!$C$6),1,0)</f>
        <v/>
      </c>
      <c r="V1969">
        <f>IF(U1969=1,IF(M1969&gt;0,IF(P1969&lt;=G1969+Assumptions!$C$7,1,0),0),0)</f>
        <v/>
      </c>
      <c r="W1969">
        <f>IF(AND(U1969=1,M1969&gt;=H1969*(1-Assumptions!$C$8)),1,0)</f>
        <v/>
      </c>
      <c r="X1969">
        <f>IF(AND(U1969=1,N1969&gt;=H1969*(1-Assumptions!$C$8)),1,0)</f>
        <v/>
      </c>
      <c r="Y1969">
        <f>IF(ISNUMBER(Q1969),1,0)</f>
        <v/>
      </c>
      <c r="Z1969">
        <f>IF(AND(K1969=0,L1969=0,Y1969=0),1,0)</f>
        <v/>
      </c>
      <c r="AA1969">
        <f>IF(AND(Z1969=1,G1969&lt;Assumptions!$C$6),1,0)</f>
        <v/>
      </c>
      <c r="AB1969">
        <f>IF(U1969=0,"",IF(Y1969=1,MAX(0,Q1969-G1969),IF(L1969=1,MAX(0,R1969-G1969),MAX(0,Assumptions!$C$6-G1969))))</f>
        <v/>
      </c>
      <c r="AC1969">
        <f>IF(Y1969=1,Q1969-F1969,"")</f>
        <v/>
      </c>
      <c r="AD1969">
        <f>IF(Y1969=1,AC1969^2,"")</f>
        <v/>
      </c>
      <c r="AE1969" s="19">
        <f>IF(Z1969=1,(H1969-M1969)*I1969,0)</f>
        <v/>
      </c>
      <c r="AF1969">
        <f>IF(G1969&lt;EDATE(Assumptions!$C$6,-12)+1,"prior_12m","last_12m")</f>
        <v/>
      </c>
      <c r="AG1969" s="21">
        <f>DATE(YEAR(G1969),MONTH(G1969),1)</f>
        <v/>
      </c>
    </row>
    <row r="1970">
      <c r="A1970" t="inlineStr">
        <is>
          <t>SPO-01066-1</t>
        </is>
      </c>
      <c r="B1970" t="inlineStr">
        <is>
          <t>SPO-01066</t>
        </is>
      </c>
      <c r="C1970" t="inlineStr">
        <is>
          <t>SUP-01</t>
        </is>
      </c>
      <c r="D1970" t="inlineStr">
        <is>
          <t>ELEC</t>
        </is>
      </c>
      <c r="E1970" t="inlineStr">
        <is>
          <t>ELEC-02</t>
        </is>
      </c>
      <c r="F1970" s="17" t="n">
        <v>45864</v>
      </c>
      <c r="G1970" s="17" t="n">
        <v>45882</v>
      </c>
      <c r="H1970" s="18" t="n">
        <v>441</v>
      </c>
      <c r="I1970" s="19" t="n">
        <v>4.23</v>
      </c>
      <c r="J1970" s="19" t="n">
        <v>4.2</v>
      </c>
      <c r="K1970" s="20" t="n">
        <v>0</v>
      </c>
      <c r="L1970" s="20" t="n">
        <v>0</v>
      </c>
      <c r="M1970" s="18" t="n">
        <v>441</v>
      </c>
      <c r="N1970" s="18" t="n">
        <v>441</v>
      </c>
      <c r="O1970" s="18" t="n">
        <v>0</v>
      </c>
      <c r="P1970" s="17" t="n">
        <v>45881</v>
      </c>
      <c r="Q1970" s="17" t="n">
        <v>45881</v>
      </c>
      <c r="R1970" s="17" t="n">
        <v>45881</v>
      </c>
      <c r="S1970" s="19">
        <f>H1970*I1970</f>
        <v/>
      </c>
      <c r="T1970" s="19">
        <f>H1970*J1970</f>
        <v/>
      </c>
      <c r="U1970">
        <f>IF(AND(K1970=0,G1970&lt;=Assumptions!$C$6),1,0)</f>
        <v/>
      </c>
      <c r="V1970">
        <f>IF(U1970=1,IF(M1970&gt;0,IF(P1970&lt;=G1970+Assumptions!$C$7,1,0),0),0)</f>
        <v/>
      </c>
      <c r="W1970">
        <f>IF(AND(U1970=1,M1970&gt;=H1970*(1-Assumptions!$C$8)),1,0)</f>
        <v/>
      </c>
      <c r="X1970">
        <f>IF(AND(U1970=1,N1970&gt;=H1970*(1-Assumptions!$C$8)),1,0)</f>
        <v/>
      </c>
      <c r="Y1970">
        <f>IF(ISNUMBER(Q1970),1,0)</f>
        <v/>
      </c>
      <c r="Z1970">
        <f>IF(AND(K1970=0,L1970=0,Y1970=0),1,0)</f>
        <v/>
      </c>
      <c r="AA1970">
        <f>IF(AND(Z1970=1,G1970&lt;Assumptions!$C$6),1,0)</f>
        <v/>
      </c>
      <c r="AB1970">
        <f>IF(U1970=0,"",IF(Y1970=1,MAX(0,Q1970-G1970),IF(L1970=1,MAX(0,R1970-G1970),MAX(0,Assumptions!$C$6-G1970))))</f>
        <v/>
      </c>
      <c r="AC1970">
        <f>IF(Y1970=1,Q1970-F1970,"")</f>
        <v/>
      </c>
      <c r="AD1970">
        <f>IF(Y1970=1,AC1970^2,"")</f>
        <v/>
      </c>
      <c r="AE1970" s="19">
        <f>IF(Z1970=1,(H1970-M1970)*I1970,0)</f>
        <v/>
      </c>
      <c r="AF1970">
        <f>IF(G1970&lt;EDATE(Assumptions!$C$6,-12)+1,"prior_12m","last_12m")</f>
        <v/>
      </c>
      <c r="AG1970" s="21">
        <f>DATE(YEAR(G1970),MONTH(G1970),1)</f>
        <v/>
      </c>
    </row>
    <row r="1971">
      <c r="A1971" t="inlineStr">
        <is>
          <t>SPO-01067-1</t>
        </is>
      </c>
      <c r="B1971" t="inlineStr">
        <is>
          <t>SPO-01067</t>
        </is>
      </c>
      <c r="C1971" t="inlineStr">
        <is>
          <t>SUP-11</t>
        </is>
      </c>
      <c r="D1971" t="inlineStr">
        <is>
          <t>PPE</t>
        </is>
      </c>
      <c r="E1971" t="inlineStr">
        <is>
          <t>PPE-05</t>
        </is>
      </c>
      <c r="F1971" s="17" t="n">
        <v>45865</v>
      </c>
      <c r="G1971" s="17" t="n">
        <v>45877</v>
      </c>
      <c r="H1971" s="18" t="n">
        <v>212</v>
      </c>
      <c r="I1971" s="19" t="n">
        <v>10.67</v>
      </c>
      <c r="J1971" s="19" t="n">
        <v>11</v>
      </c>
      <c r="K1971" s="20" t="n">
        <v>0</v>
      </c>
      <c r="L1971" s="20" t="n">
        <v>0</v>
      </c>
      <c r="M1971" s="18" t="n">
        <v>212</v>
      </c>
      <c r="N1971" s="18" t="n">
        <v>212</v>
      </c>
      <c r="O1971" s="18" t="n">
        <v>0</v>
      </c>
      <c r="P1971" s="17" t="n">
        <v>45877</v>
      </c>
      <c r="Q1971" s="17" t="n">
        <v>45877</v>
      </c>
      <c r="R1971" s="17" t="n">
        <v>45877</v>
      </c>
      <c r="S1971" s="19">
        <f>H1971*I1971</f>
        <v/>
      </c>
      <c r="T1971" s="19">
        <f>H1971*J1971</f>
        <v/>
      </c>
      <c r="U1971">
        <f>IF(AND(K1971=0,G1971&lt;=Assumptions!$C$6),1,0)</f>
        <v/>
      </c>
      <c r="V1971">
        <f>IF(U1971=1,IF(M1971&gt;0,IF(P1971&lt;=G1971+Assumptions!$C$7,1,0),0),0)</f>
        <v/>
      </c>
      <c r="W1971">
        <f>IF(AND(U1971=1,M1971&gt;=H1971*(1-Assumptions!$C$8)),1,0)</f>
        <v/>
      </c>
      <c r="X1971">
        <f>IF(AND(U1971=1,N1971&gt;=H1971*(1-Assumptions!$C$8)),1,0)</f>
        <v/>
      </c>
      <c r="Y1971">
        <f>IF(ISNUMBER(Q1971),1,0)</f>
        <v/>
      </c>
      <c r="Z1971">
        <f>IF(AND(K1971=0,L1971=0,Y1971=0),1,0)</f>
        <v/>
      </c>
      <c r="AA1971">
        <f>IF(AND(Z1971=1,G1971&lt;Assumptions!$C$6),1,0)</f>
        <v/>
      </c>
      <c r="AB1971">
        <f>IF(U1971=0,"",IF(Y1971=1,MAX(0,Q1971-G1971),IF(L1971=1,MAX(0,R1971-G1971),MAX(0,Assumptions!$C$6-G1971))))</f>
        <v/>
      </c>
      <c r="AC1971">
        <f>IF(Y1971=1,Q1971-F1971,"")</f>
        <v/>
      </c>
      <c r="AD1971">
        <f>IF(Y1971=1,AC1971^2,"")</f>
        <v/>
      </c>
      <c r="AE1971" s="19">
        <f>IF(Z1971=1,(H1971-M1971)*I1971,0)</f>
        <v/>
      </c>
      <c r="AF1971">
        <f>IF(G1971&lt;EDATE(Assumptions!$C$6,-12)+1,"prior_12m","last_12m")</f>
        <v/>
      </c>
      <c r="AG1971" s="21">
        <f>DATE(YEAR(G1971),MONTH(G1971),1)</f>
        <v/>
      </c>
    </row>
    <row r="1972">
      <c r="A1972" t="inlineStr">
        <is>
          <t>SPO-01067-2</t>
        </is>
      </c>
      <c r="B1972" t="inlineStr">
        <is>
          <t>SPO-01067</t>
        </is>
      </c>
      <c r="C1972" t="inlineStr">
        <is>
          <t>SUP-11</t>
        </is>
      </c>
      <c r="D1972" t="inlineStr">
        <is>
          <t>PPE</t>
        </is>
      </c>
      <c r="E1972" t="inlineStr">
        <is>
          <t>PPE-08</t>
        </is>
      </c>
      <c r="F1972" s="17" t="n">
        <v>45865</v>
      </c>
      <c r="G1972" s="17" t="n">
        <v>45877</v>
      </c>
      <c r="H1972" s="18" t="n">
        <v>15</v>
      </c>
      <c r="I1972" s="19" t="n">
        <v>69.73999999999999</v>
      </c>
      <c r="J1972" s="19" t="n">
        <v>64</v>
      </c>
      <c r="K1972" s="20" t="n">
        <v>0</v>
      </c>
      <c r="L1972" s="20" t="n">
        <v>0</v>
      </c>
      <c r="M1972" s="18" t="n">
        <v>15</v>
      </c>
      <c r="N1972" s="18" t="n">
        <v>15</v>
      </c>
      <c r="O1972" s="18" t="n">
        <v>0</v>
      </c>
      <c r="P1972" s="17" t="n">
        <v>45877</v>
      </c>
      <c r="Q1972" s="17" t="n">
        <v>45877</v>
      </c>
      <c r="R1972" s="17" t="n">
        <v>45877</v>
      </c>
      <c r="S1972" s="19">
        <f>H1972*I1972</f>
        <v/>
      </c>
      <c r="T1972" s="19">
        <f>H1972*J1972</f>
        <v/>
      </c>
      <c r="U1972">
        <f>IF(AND(K1972=0,G1972&lt;=Assumptions!$C$6),1,0)</f>
        <v/>
      </c>
      <c r="V1972">
        <f>IF(U1972=1,IF(M1972&gt;0,IF(P1972&lt;=G1972+Assumptions!$C$7,1,0),0),0)</f>
        <v/>
      </c>
      <c r="W1972">
        <f>IF(AND(U1972=1,M1972&gt;=H1972*(1-Assumptions!$C$8)),1,0)</f>
        <v/>
      </c>
      <c r="X1972">
        <f>IF(AND(U1972=1,N1972&gt;=H1972*(1-Assumptions!$C$8)),1,0)</f>
        <v/>
      </c>
      <c r="Y1972">
        <f>IF(ISNUMBER(Q1972),1,0)</f>
        <v/>
      </c>
      <c r="Z1972">
        <f>IF(AND(K1972=0,L1972=0,Y1972=0),1,0)</f>
        <v/>
      </c>
      <c r="AA1972">
        <f>IF(AND(Z1972=1,G1972&lt;Assumptions!$C$6),1,0)</f>
        <v/>
      </c>
      <c r="AB1972">
        <f>IF(U1972=0,"",IF(Y1972=1,MAX(0,Q1972-G1972),IF(L1972=1,MAX(0,R1972-G1972),MAX(0,Assumptions!$C$6-G1972))))</f>
        <v/>
      </c>
      <c r="AC1972">
        <f>IF(Y1972=1,Q1972-F1972,"")</f>
        <v/>
      </c>
      <c r="AD1972">
        <f>IF(Y1972=1,AC1972^2,"")</f>
        <v/>
      </c>
      <c r="AE1972" s="19">
        <f>IF(Z1972=1,(H1972-M1972)*I1972,0)</f>
        <v/>
      </c>
      <c r="AF1972">
        <f>IF(G1972&lt;EDATE(Assumptions!$C$6,-12)+1,"prior_12m","last_12m")</f>
        <v/>
      </c>
      <c r="AG1972" s="21">
        <f>DATE(YEAR(G1972),MONTH(G1972),1)</f>
        <v/>
      </c>
    </row>
    <row r="1973">
      <c r="A1973" t="inlineStr">
        <is>
          <t>SPO-01067-3</t>
        </is>
      </c>
      <c r="B1973" t="inlineStr">
        <is>
          <t>SPO-01067</t>
        </is>
      </c>
      <c r="C1973" t="inlineStr">
        <is>
          <t>SUP-11</t>
        </is>
      </c>
      <c r="D1973" t="inlineStr">
        <is>
          <t>PPE</t>
        </is>
      </c>
      <c r="E1973" t="inlineStr">
        <is>
          <t>PPE-07</t>
        </is>
      </c>
      <c r="F1973" s="17" t="n">
        <v>45865</v>
      </c>
      <c r="G1973" s="17" t="n">
        <v>45877</v>
      </c>
      <c r="H1973" s="18" t="n">
        <v>66</v>
      </c>
      <c r="I1973" s="19" t="n">
        <v>33.21</v>
      </c>
      <c r="J1973" s="19" t="n">
        <v>31</v>
      </c>
      <c r="K1973" s="20" t="n">
        <v>0</v>
      </c>
      <c r="L1973" s="20" t="n">
        <v>0</v>
      </c>
      <c r="M1973" s="18" t="n">
        <v>66</v>
      </c>
      <c r="N1973" s="18" t="n">
        <v>66</v>
      </c>
      <c r="O1973" s="18" t="n">
        <v>0</v>
      </c>
      <c r="P1973" s="17" t="n">
        <v>45877</v>
      </c>
      <c r="Q1973" s="17" t="n">
        <v>45877</v>
      </c>
      <c r="R1973" s="17" t="n">
        <v>45877</v>
      </c>
      <c r="S1973" s="19">
        <f>H1973*I1973</f>
        <v/>
      </c>
      <c r="T1973" s="19">
        <f>H1973*J1973</f>
        <v/>
      </c>
      <c r="U1973">
        <f>IF(AND(K1973=0,G1973&lt;=Assumptions!$C$6),1,0)</f>
        <v/>
      </c>
      <c r="V1973">
        <f>IF(U1973=1,IF(M1973&gt;0,IF(P1973&lt;=G1973+Assumptions!$C$7,1,0),0),0)</f>
        <v/>
      </c>
      <c r="W1973">
        <f>IF(AND(U1973=1,M1973&gt;=H1973*(1-Assumptions!$C$8)),1,0)</f>
        <v/>
      </c>
      <c r="X1973">
        <f>IF(AND(U1973=1,N1973&gt;=H1973*(1-Assumptions!$C$8)),1,0)</f>
        <v/>
      </c>
      <c r="Y1973">
        <f>IF(ISNUMBER(Q1973),1,0)</f>
        <v/>
      </c>
      <c r="Z1973">
        <f>IF(AND(K1973=0,L1973=0,Y1973=0),1,0)</f>
        <v/>
      </c>
      <c r="AA1973">
        <f>IF(AND(Z1973=1,G1973&lt;Assumptions!$C$6),1,0)</f>
        <v/>
      </c>
      <c r="AB1973">
        <f>IF(U1973=0,"",IF(Y1973=1,MAX(0,Q1973-G1973),IF(L1973=1,MAX(0,R1973-G1973),MAX(0,Assumptions!$C$6-G1973))))</f>
        <v/>
      </c>
      <c r="AC1973">
        <f>IF(Y1973=1,Q1973-F1973,"")</f>
        <v/>
      </c>
      <c r="AD1973">
        <f>IF(Y1973=1,AC1973^2,"")</f>
        <v/>
      </c>
      <c r="AE1973" s="19">
        <f>IF(Z1973=1,(H1973-M1973)*I1973,0)</f>
        <v/>
      </c>
      <c r="AF1973">
        <f>IF(G1973&lt;EDATE(Assumptions!$C$6,-12)+1,"prior_12m","last_12m")</f>
        <v/>
      </c>
      <c r="AG1973" s="21">
        <f>DATE(YEAR(G1973),MONTH(G1973),1)</f>
        <v/>
      </c>
    </row>
    <row r="1974">
      <c r="A1974" t="inlineStr">
        <is>
          <t>SPO-01068-1</t>
        </is>
      </c>
      <c r="B1974" t="inlineStr">
        <is>
          <t>SPO-01068</t>
        </is>
      </c>
      <c r="C1974" t="inlineStr">
        <is>
          <t>SUP-12</t>
        </is>
      </c>
      <c r="D1974" t="inlineStr">
        <is>
          <t>IT</t>
        </is>
      </c>
      <c r="E1974" t="inlineStr">
        <is>
          <t>IT-05</t>
        </is>
      </c>
      <c r="F1974" s="17" t="n">
        <v>45865</v>
      </c>
      <c r="G1974" s="17" t="n">
        <v>45875</v>
      </c>
      <c r="H1974" s="18" t="n">
        <v>6</v>
      </c>
      <c r="I1974" s="19" t="n">
        <v>750.23</v>
      </c>
      <c r="J1974" s="19" t="n">
        <v>640</v>
      </c>
      <c r="K1974" s="20" t="n">
        <v>0</v>
      </c>
      <c r="L1974" s="20" t="n">
        <v>0</v>
      </c>
      <c r="M1974" s="18" t="n">
        <v>6</v>
      </c>
      <c r="N1974" s="18" t="n">
        <v>6</v>
      </c>
      <c r="O1974" s="18" t="n">
        <v>0</v>
      </c>
      <c r="P1974" s="17" t="n">
        <v>45870</v>
      </c>
      <c r="Q1974" s="17" t="n">
        <v>45870</v>
      </c>
      <c r="R1974" s="17" t="n">
        <v>45870</v>
      </c>
      <c r="S1974" s="19">
        <f>H1974*I1974</f>
        <v/>
      </c>
      <c r="T1974" s="19">
        <f>H1974*J1974</f>
        <v/>
      </c>
      <c r="U1974">
        <f>IF(AND(K1974=0,G1974&lt;=Assumptions!$C$6),1,0)</f>
        <v/>
      </c>
      <c r="V1974">
        <f>IF(U1974=1,IF(M1974&gt;0,IF(P1974&lt;=G1974+Assumptions!$C$7,1,0),0),0)</f>
        <v/>
      </c>
      <c r="W1974">
        <f>IF(AND(U1974=1,M1974&gt;=H1974*(1-Assumptions!$C$8)),1,0)</f>
        <v/>
      </c>
      <c r="X1974">
        <f>IF(AND(U1974=1,N1974&gt;=H1974*(1-Assumptions!$C$8)),1,0)</f>
        <v/>
      </c>
      <c r="Y1974">
        <f>IF(ISNUMBER(Q1974),1,0)</f>
        <v/>
      </c>
      <c r="Z1974">
        <f>IF(AND(K1974=0,L1974=0,Y1974=0),1,0)</f>
        <v/>
      </c>
      <c r="AA1974">
        <f>IF(AND(Z1974=1,G1974&lt;Assumptions!$C$6),1,0)</f>
        <v/>
      </c>
      <c r="AB1974">
        <f>IF(U1974=0,"",IF(Y1974=1,MAX(0,Q1974-G1974),IF(L1974=1,MAX(0,R1974-G1974),MAX(0,Assumptions!$C$6-G1974))))</f>
        <v/>
      </c>
      <c r="AC1974">
        <f>IF(Y1974=1,Q1974-F1974,"")</f>
        <v/>
      </c>
      <c r="AD1974">
        <f>IF(Y1974=1,AC1974^2,"")</f>
        <v/>
      </c>
      <c r="AE1974" s="19">
        <f>IF(Z1974=1,(H1974-M1974)*I1974,0)</f>
        <v/>
      </c>
      <c r="AF1974">
        <f>IF(G1974&lt;EDATE(Assumptions!$C$6,-12)+1,"prior_12m","last_12m")</f>
        <v/>
      </c>
      <c r="AG1974" s="21">
        <f>DATE(YEAR(G1974),MONTH(G1974),1)</f>
        <v/>
      </c>
    </row>
    <row r="1975">
      <c r="A1975" t="inlineStr">
        <is>
          <t>SPO-01068-2</t>
        </is>
      </c>
      <c r="B1975" t="inlineStr">
        <is>
          <t>SPO-01068</t>
        </is>
      </c>
      <c r="C1975" t="inlineStr">
        <is>
          <t>SUP-12</t>
        </is>
      </c>
      <c r="D1975" t="inlineStr">
        <is>
          <t>IT</t>
        </is>
      </c>
      <c r="E1975" t="inlineStr">
        <is>
          <t>IT-04</t>
        </is>
      </c>
      <c r="F1975" s="17" t="n">
        <v>45865</v>
      </c>
      <c r="G1975" s="17" t="n">
        <v>45875</v>
      </c>
      <c r="H1975" s="18" t="n">
        <v>79</v>
      </c>
      <c r="I1975" s="19" t="n">
        <v>13.52</v>
      </c>
      <c r="J1975" s="19" t="n">
        <v>12</v>
      </c>
      <c r="K1975" s="20" t="n">
        <v>0</v>
      </c>
      <c r="L1975" s="20" t="n">
        <v>0</v>
      </c>
      <c r="M1975" s="18" t="n">
        <v>79</v>
      </c>
      <c r="N1975" s="18" t="n">
        <v>79</v>
      </c>
      <c r="O1975" s="18" t="n">
        <v>0</v>
      </c>
      <c r="P1975" s="17" t="n">
        <v>45870</v>
      </c>
      <c r="Q1975" s="17" t="n">
        <v>45870</v>
      </c>
      <c r="R1975" s="17" t="n">
        <v>45870</v>
      </c>
      <c r="S1975" s="19">
        <f>H1975*I1975</f>
        <v/>
      </c>
      <c r="T1975" s="19">
        <f>H1975*J1975</f>
        <v/>
      </c>
      <c r="U1975">
        <f>IF(AND(K1975=0,G1975&lt;=Assumptions!$C$6),1,0)</f>
        <v/>
      </c>
      <c r="V1975">
        <f>IF(U1975=1,IF(M1975&gt;0,IF(P1975&lt;=G1975+Assumptions!$C$7,1,0),0),0)</f>
        <v/>
      </c>
      <c r="W1975">
        <f>IF(AND(U1975=1,M1975&gt;=H1975*(1-Assumptions!$C$8)),1,0)</f>
        <v/>
      </c>
      <c r="X1975">
        <f>IF(AND(U1975=1,N1975&gt;=H1975*(1-Assumptions!$C$8)),1,0)</f>
        <v/>
      </c>
      <c r="Y1975">
        <f>IF(ISNUMBER(Q1975),1,0)</f>
        <v/>
      </c>
      <c r="Z1975">
        <f>IF(AND(K1975=0,L1975=0,Y1975=0),1,0)</f>
        <v/>
      </c>
      <c r="AA1975">
        <f>IF(AND(Z1975=1,G1975&lt;Assumptions!$C$6),1,0)</f>
        <v/>
      </c>
      <c r="AB1975">
        <f>IF(U1975=0,"",IF(Y1975=1,MAX(0,Q1975-G1975),IF(L1975=1,MAX(0,R1975-G1975),MAX(0,Assumptions!$C$6-G1975))))</f>
        <v/>
      </c>
      <c r="AC1975">
        <f>IF(Y1975=1,Q1975-F1975,"")</f>
        <v/>
      </c>
      <c r="AD1975">
        <f>IF(Y1975=1,AC1975^2,"")</f>
        <v/>
      </c>
      <c r="AE1975" s="19">
        <f>IF(Z1975=1,(H1975-M1975)*I1975,0)</f>
        <v/>
      </c>
      <c r="AF1975">
        <f>IF(G1975&lt;EDATE(Assumptions!$C$6,-12)+1,"prior_12m","last_12m")</f>
        <v/>
      </c>
      <c r="AG1975" s="21">
        <f>DATE(YEAR(G1975),MONTH(G1975),1)</f>
        <v/>
      </c>
    </row>
    <row r="1976">
      <c r="A1976" t="inlineStr">
        <is>
          <t>SPO-01068-3</t>
        </is>
      </c>
      <c r="B1976" t="inlineStr">
        <is>
          <t>SPO-01068</t>
        </is>
      </c>
      <c r="C1976" t="inlineStr">
        <is>
          <t>SUP-12</t>
        </is>
      </c>
      <c r="D1976" t="inlineStr">
        <is>
          <t>IT</t>
        </is>
      </c>
      <c r="E1976" t="inlineStr">
        <is>
          <t>IT-06</t>
        </is>
      </c>
      <c r="F1976" s="17" t="n">
        <v>45865</v>
      </c>
      <c r="G1976" s="17" t="n">
        <v>45875</v>
      </c>
      <c r="H1976" s="18" t="n">
        <v>14</v>
      </c>
      <c r="I1976" s="19" t="n">
        <v>98.01000000000001</v>
      </c>
      <c r="J1976" s="19" t="n">
        <v>89</v>
      </c>
      <c r="K1976" s="20" t="n">
        <v>1</v>
      </c>
      <c r="L1976" s="20" t="n">
        <v>0</v>
      </c>
      <c r="M1976" s="18" t="n">
        <v>0</v>
      </c>
      <c r="N1976" s="18" t="n">
        <v>0</v>
      </c>
      <c r="O1976" s="18" t="n">
        <v>0</v>
      </c>
      <c r="P1976" s="17" t="n"/>
      <c r="Q1976" s="17" t="n"/>
      <c r="R1976" s="17" t="n"/>
      <c r="S1976" s="19">
        <f>H1976*I1976</f>
        <v/>
      </c>
      <c r="T1976" s="19">
        <f>H1976*J1976</f>
        <v/>
      </c>
      <c r="U1976">
        <f>IF(AND(K1976=0,G1976&lt;=Assumptions!$C$6),1,0)</f>
        <v/>
      </c>
      <c r="V1976">
        <f>IF(U1976=1,IF(M1976&gt;0,IF(P1976&lt;=G1976+Assumptions!$C$7,1,0),0),0)</f>
        <v/>
      </c>
      <c r="W1976">
        <f>IF(AND(U1976=1,M1976&gt;=H1976*(1-Assumptions!$C$8)),1,0)</f>
        <v/>
      </c>
      <c r="X1976">
        <f>IF(AND(U1976=1,N1976&gt;=H1976*(1-Assumptions!$C$8)),1,0)</f>
        <v/>
      </c>
      <c r="Y1976">
        <f>IF(ISNUMBER(Q1976),1,0)</f>
        <v/>
      </c>
      <c r="Z1976">
        <f>IF(AND(K1976=0,L1976=0,Y1976=0),1,0)</f>
        <v/>
      </c>
      <c r="AA1976">
        <f>IF(AND(Z1976=1,G1976&lt;Assumptions!$C$6),1,0)</f>
        <v/>
      </c>
      <c r="AB1976">
        <f>IF(U1976=0,"",IF(Y1976=1,MAX(0,Q1976-G1976),IF(L1976=1,MAX(0,R1976-G1976),MAX(0,Assumptions!$C$6-G1976))))</f>
        <v/>
      </c>
      <c r="AC1976">
        <f>IF(Y1976=1,Q1976-F1976,"")</f>
        <v/>
      </c>
      <c r="AD1976">
        <f>IF(Y1976=1,AC1976^2,"")</f>
        <v/>
      </c>
      <c r="AE1976" s="19">
        <f>IF(Z1976=1,(H1976-M1976)*I1976,0)</f>
        <v/>
      </c>
      <c r="AF1976">
        <f>IF(G1976&lt;EDATE(Assumptions!$C$6,-12)+1,"prior_12m","last_12m")</f>
        <v/>
      </c>
      <c r="AG1976" s="21">
        <f>DATE(YEAR(G1976),MONTH(G1976),1)</f>
        <v/>
      </c>
    </row>
    <row r="1977">
      <c r="A1977" t="inlineStr">
        <is>
          <t>SPO-01068-4</t>
        </is>
      </c>
      <c r="B1977" t="inlineStr">
        <is>
          <t>SPO-01068</t>
        </is>
      </c>
      <c r="C1977" t="inlineStr">
        <is>
          <t>SUP-12</t>
        </is>
      </c>
      <c r="D1977" t="inlineStr">
        <is>
          <t>IT</t>
        </is>
      </c>
      <c r="E1977" t="inlineStr">
        <is>
          <t>IT-08</t>
        </is>
      </c>
      <c r="F1977" s="17" t="n">
        <v>45865</v>
      </c>
      <c r="G1977" s="17" t="n">
        <v>45875</v>
      </c>
      <c r="H1977" s="18" t="n">
        <v>14</v>
      </c>
      <c r="I1977" s="19" t="n">
        <v>285.17</v>
      </c>
      <c r="J1977" s="19" t="n">
        <v>245</v>
      </c>
      <c r="K1977" s="20" t="n">
        <v>0</v>
      </c>
      <c r="L1977" s="20" t="n">
        <v>0</v>
      </c>
      <c r="M1977" s="18" t="n">
        <v>14</v>
      </c>
      <c r="N1977" s="18" t="n">
        <v>0</v>
      </c>
      <c r="O1977" s="18" t="n">
        <v>0</v>
      </c>
      <c r="P1977" s="17" t="n">
        <v>45876</v>
      </c>
      <c r="Q1977" s="17" t="n">
        <v>45876</v>
      </c>
      <c r="R1977" s="17" t="n">
        <v>45876</v>
      </c>
      <c r="S1977" s="19">
        <f>H1977*I1977</f>
        <v/>
      </c>
      <c r="T1977" s="19">
        <f>H1977*J1977</f>
        <v/>
      </c>
      <c r="U1977">
        <f>IF(AND(K1977=0,G1977&lt;=Assumptions!$C$6),1,0)</f>
        <v/>
      </c>
      <c r="V1977">
        <f>IF(U1977=1,IF(M1977&gt;0,IF(P1977&lt;=G1977+Assumptions!$C$7,1,0),0),0)</f>
        <v/>
      </c>
      <c r="W1977">
        <f>IF(AND(U1977=1,M1977&gt;=H1977*(1-Assumptions!$C$8)),1,0)</f>
        <v/>
      </c>
      <c r="X1977">
        <f>IF(AND(U1977=1,N1977&gt;=H1977*(1-Assumptions!$C$8)),1,0)</f>
        <v/>
      </c>
      <c r="Y1977">
        <f>IF(ISNUMBER(Q1977),1,0)</f>
        <v/>
      </c>
      <c r="Z1977">
        <f>IF(AND(K1977=0,L1977=0,Y1977=0),1,0)</f>
        <v/>
      </c>
      <c r="AA1977">
        <f>IF(AND(Z1977=1,G1977&lt;Assumptions!$C$6),1,0)</f>
        <v/>
      </c>
      <c r="AB1977">
        <f>IF(U1977=0,"",IF(Y1977=1,MAX(0,Q1977-G1977),IF(L1977=1,MAX(0,R1977-G1977),MAX(0,Assumptions!$C$6-G1977))))</f>
        <v/>
      </c>
      <c r="AC1977">
        <f>IF(Y1977=1,Q1977-F1977,"")</f>
        <v/>
      </c>
      <c r="AD1977">
        <f>IF(Y1977=1,AC1977^2,"")</f>
        <v/>
      </c>
      <c r="AE1977" s="19">
        <f>IF(Z1977=1,(H1977-M1977)*I1977,0)</f>
        <v/>
      </c>
      <c r="AF1977">
        <f>IF(G1977&lt;EDATE(Assumptions!$C$6,-12)+1,"prior_12m","last_12m")</f>
        <v/>
      </c>
      <c r="AG1977" s="21">
        <f>DATE(YEAR(G1977),MONTH(G1977),1)</f>
        <v/>
      </c>
    </row>
    <row r="1978">
      <c r="A1978" t="inlineStr">
        <is>
          <t>SPO-01069-1</t>
        </is>
      </c>
      <c r="B1978" t="inlineStr">
        <is>
          <t>SPO-01069</t>
        </is>
      </c>
      <c r="C1978" t="inlineStr">
        <is>
          <t>SUP-05</t>
        </is>
      </c>
      <c r="D1978" t="inlineStr">
        <is>
          <t>FLEET</t>
        </is>
      </c>
      <c r="E1978" t="inlineStr">
        <is>
          <t>FLEET-05</t>
        </is>
      </c>
      <c r="F1978" s="17" t="n">
        <v>45865</v>
      </c>
      <c r="G1978" s="17" t="n">
        <v>45879</v>
      </c>
      <c r="H1978" s="18" t="n">
        <v>3</v>
      </c>
      <c r="I1978" s="19" t="n">
        <v>165.6</v>
      </c>
      <c r="J1978" s="19" t="n">
        <v>168</v>
      </c>
      <c r="K1978" s="20" t="n">
        <v>0</v>
      </c>
      <c r="L1978" s="20" t="n">
        <v>0</v>
      </c>
      <c r="M1978" s="18" t="n">
        <v>3</v>
      </c>
      <c r="N1978" s="18" t="n">
        <v>3</v>
      </c>
      <c r="O1978" s="18" t="n">
        <v>0</v>
      </c>
      <c r="P1978" s="17" t="n">
        <v>45874</v>
      </c>
      <c r="Q1978" s="17" t="n">
        <v>45874</v>
      </c>
      <c r="R1978" s="17" t="n">
        <v>45874</v>
      </c>
      <c r="S1978" s="19">
        <f>H1978*I1978</f>
        <v/>
      </c>
      <c r="T1978" s="19">
        <f>H1978*J1978</f>
        <v/>
      </c>
      <c r="U1978">
        <f>IF(AND(K1978=0,G1978&lt;=Assumptions!$C$6),1,0)</f>
        <v/>
      </c>
      <c r="V1978">
        <f>IF(U1978=1,IF(M1978&gt;0,IF(P1978&lt;=G1978+Assumptions!$C$7,1,0),0),0)</f>
        <v/>
      </c>
      <c r="W1978">
        <f>IF(AND(U1978=1,M1978&gt;=H1978*(1-Assumptions!$C$8)),1,0)</f>
        <v/>
      </c>
      <c r="X1978">
        <f>IF(AND(U1978=1,N1978&gt;=H1978*(1-Assumptions!$C$8)),1,0)</f>
        <v/>
      </c>
      <c r="Y1978">
        <f>IF(ISNUMBER(Q1978),1,0)</f>
        <v/>
      </c>
      <c r="Z1978">
        <f>IF(AND(K1978=0,L1978=0,Y1978=0),1,0)</f>
        <v/>
      </c>
      <c r="AA1978">
        <f>IF(AND(Z1978=1,G1978&lt;Assumptions!$C$6),1,0)</f>
        <v/>
      </c>
      <c r="AB1978">
        <f>IF(U1978=0,"",IF(Y1978=1,MAX(0,Q1978-G1978),IF(L1978=1,MAX(0,R1978-G1978),MAX(0,Assumptions!$C$6-G1978))))</f>
        <v/>
      </c>
      <c r="AC1978">
        <f>IF(Y1978=1,Q1978-F1978,"")</f>
        <v/>
      </c>
      <c r="AD1978">
        <f>IF(Y1978=1,AC1978^2,"")</f>
        <v/>
      </c>
      <c r="AE1978" s="19">
        <f>IF(Z1978=1,(H1978-M1978)*I1978,0)</f>
        <v/>
      </c>
      <c r="AF1978">
        <f>IF(G1978&lt;EDATE(Assumptions!$C$6,-12)+1,"prior_12m","last_12m")</f>
        <v/>
      </c>
      <c r="AG1978" s="21">
        <f>DATE(YEAR(G1978),MONTH(G1978),1)</f>
        <v/>
      </c>
    </row>
    <row r="1979">
      <c r="A1979" t="inlineStr">
        <is>
          <t>SPO-01070-1</t>
        </is>
      </c>
      <c r="B1979" t="inlineStr">
        <is>
          <t>SPO-01070</t>
        </is>
      </c>
      <c r="C1979" t="inlineStr">
        <is>
          <t>SUP-07</t>
        </is>
      </c>
      <c r="D1979" t="inlineStr">
        <is>
          <t>MRO</t>
        </is>
      </c>
      <c r="E1979" t="inlineStr">
        <is>
          <t>MRO-08</t>
        </is>
      </c>
      <c r="F1979" s="17" t="n">
        <v>45865</v>
      </c>
      <c r="G1979" s="17" t="n">
        <v>45875</v>
      </c>
      <c r="H1979" s="18" t="n">
        <v>259</v>
      </c>
      <c r="I1979" s="19" t="n">
        <v>7.18</v>
      </c>
      <c r="J1979" s="19" t="n">
        <v>7.2</v>
      </c>
      <c r="K1979" s="20" t="n">
        <v>0</v>
      </c>
      <c r="L1979" s="20" t="n">
        <v>0</v>
      </c>
      <c r="M1979" s="18" t="n">
        <v>259</v>
      </c>
      <c r="N1979" s="18" t="n">
        <v>259</v>
      </c>
      <c r="O1979" s="18" t="n">
        <v>0</v>
      </c>
      <c r="P1979" s="17" t="n">
        <v>45874</v>
      </c>
      <c r="Q1979" s="17" t="n">
        <v>45874</v>
      </c>
      <c r="R1979" s="17" t="n">
        <v>45874</v>
      </c>
      <c r="S1979" s="19">
        <f>H1979*I1979</f>
        <v/>
      </c>
      <c r="T1979" s="19">
        <f>H1979*J1979</f>
        <v/>
      </c>
      <c r="U1979">
        <f>IF(AND(K1979=0,G1979&lt;=Assumptions!$C$6),1,0)</f>
        <v/>
      </c>
      <c r="V1979">
        <f>IF(U1979=1,IF(M1979&gt;0,IF(P1979&lt;=G1979+Assumptions!$C$7,1,0),0),0)</f>
        <v/>
      </c>
      <c r="W1979">
        <f>IF(AND(U1979=1,M1979&gt;=H1979*(1-Assumptions!$C$8)),1,0)</f>
        <v/>
      </c>
      <c r="X1979">
        <f>IF(AND(U1979=1,N1979&gt;=H1979*(1-Assumptions!$C$8)),1,0)</f>
        <v/>
      </c>
      <c r="Y1979">
        <f>IF(ISNUMBER(Q1979),1,0)</f>
        <v/>
      </c>
      <c r="Z1979">
        <f>IF(AND(K1979=0,L1979=0,Y1979=0),1,0)</f>
        <v/>
      </c>
      <c r="AA1979">
        <f>IF(AND(Z1979=1,G1979&lt;Assumptions!$C$6),1,0)</f>
        <v/>
      </c>
      <c r="AB1979">
        <f>IF(U1979=0,"",IF(Y1979=1,MAX(0,Q1979-G1979),IF(L1979=1,MAX(0,R1979-G1979),MAX(0,Assumptions!$C$6-G1979))))</f>
        <v/>
      </c>
      <c r="AC1979">
        <f>IF(Y1979=1,Q1979-F1979,"")</f>
        <v/>
      </c>
      <c r="AD1979">
        <f>IF(Y1979=1,AC1979^2,"")</f>
        <v/>
      </c>
      <c r="AE1979" s="19">
        <f>IF(Z1979=1,(H1979-M1979)*I1979,0)</f>
        <v/>
      </c>
      <c r="AF1979">
        <f>IF(G1979&lt;EDATE(Assumptions!$C$6,-12)+1,"prior_12m","last_12m")</f>
        <v/>
      </c>
      <c r="AG1979" s="21">
        <f>DATE(YEAR(G1979),MONTH(G1979),1)</f>
        <v/>
      </c>
    </row>
    <row r="1980">
      <c r="A1980" t="inlineStr">
        <is>
          <t>SPO-01071-1</t>
        </is>
      </c>
      <c r="B1980" t="inlineStr">
        <is>
          <t>SPO-01071</t>
        </is>
      </c>
      <c r="C1980" t="inlineStr">
        <is>
          <t>SUP-09</t>
        </is>
      </c>
      <c r="D1980" t="inlineStr">
        <is>
          <t>CHEM</t>
        </is>
      </c>
      <c r="E1980" t="inlineStr">
        <is>
          <t>CHEM-05</t>
        </is>
      </c>
      <c r="F1980" s="17" t="n">
        <v>45865</v>
      </c>
      <c r="G1980" s="17" t="n">
        <v>45879</v>
      </c>
      <c r="H1980" s="18" t="n">
        <v>2</v>
      </c>
      <c r="I1980" s="19" t="n">
        <v>924.24</v>
      </c>
      <c r="J1980" s="19" t="n">
        <v>930</v>
      </c>
      <c r="K1980" s="20" t="n">
        <v>0</v>
      </c>
      <c r="L1980" s="20" t="n">
        <v>0</v>
      </c>
      <c r="M1980" s="18" t="n">
        <v>2</v>
      </c>
      <c r="N1980" s="18" t="n">
        <v>2</v>
      </c>
      <c r="O1980" s="18" t="n">
        <v>0</v>
      </c>
      <c r="P1980" s="17" t="n">
        <v>45877</v>
      </c>
      <c r="Q1980" s="17" t="n">
        <v>45877</v>
      </c>
      <c r="R1980" s="17" t="n">
        <v>45877</v>
      </c>
      <c r="S1980" s="19">
        <f>H1980*I1980</f>
        <v/>
      </c>
      <c r="T1980" s="19">
        <f>H1980*J1980</f>
        <v/>
      </c>
      <c r="U1980">
        <f>IF(AND(K1980=0,G1980&lt;=Assumptions!$C$6),1,0)</f>
        <v/>
      </c>
      <c r="V1980">
        <f>IF(U1980=1,IF(M1980&gt;0,IF(P1980&lt;=G1980+Assumptions!$C$7,1,0),0),0)</f>
        <v/>
      </c>
      <c r="W1980">
        <f>IF(AND(U1980=1,M1980&gt;=H1980*(1-Assumptions!$C$8)),1,0)</f>
        <v/>
      </c>
      <c r="X1980">
        <f>IF(AND(U1980=1,N1980&gt;=H1980*(1-Assumptions!$C$8)),1,0)</f>
        <v/>
      </c>
      <c r="Y1980">
        <f>IF(ISNUMBER(Q1980),1,0)</f>
        <v/>
      </c>
      <c r="Z1980">
        <f>IF(AND(K1980=0,L1980=0,Y1980=0),1,0)</f>
        <v/>
      </c>
      <c r="AA1980">
        <f>IF(AND(Z1980=1,G1980&lt;Assumptions!$C$6),1,0)</f>
        <v/>
      </c>
      <c r="AB1980">
        <f>IF(U1980=0,"",IF(Y1980=1,MAX(0,Q1980-G1980),IF(L1980=1,MAX(0,R1980-G1980),MAX(0,Assumptions!$C$6-G1980))))</f>
        <v/>
      </c>
      <c r="AC1980">
        <f>IF(Y1980=1,Q1980-F1980,"")</f>
        <v/>
      </c>
      <c r="AD1980">
        <f>IF(Y1980=1,AC1980^2,"")</f>
        <v/>
      </c>
      <c r="AE1980" s="19">
        <f>IF(Z1980=1,(H1980-M1980)*I1980,0)</f>
        <v/>
      </c>
      <c r="AF1980">
        <f>IF(G1980&lt;EDATE(Assumptions!$C$6,-12)+1,"prior_12m","last_12m")</f>
        <v/>
      </c>
      <c r="AG1980" s="21">
        <f>DATE(YEAR(G1980),MONTH(G1980),1)</f>
        <v/>
      </c>
    </row>
    <row r="1981">
      <c r="A1981" t="inlineStr">
        <is>
          <t>SPO-01071-2</t>
        </is>
      </c>
      <c r="B1981" t="inlineStr">
        <is>
          <t>SPO-01071</t>
        </is>
      </c>
      <c r="C1981" t="inlineStr">
        <is>
          <t>SUP-09</t>
        </is>
      </c>
      <c r="D1981" t="inlineStr">
        <is>
          <t>CHEM</t>
        </is>
      </c>
      <c r="E1981" t="inlineStr">
        <is>
          <t>CHEM-03</t>
        </is>
      </c>
      <c r="F1981" s="17" t="n">
        <v>45865</v>
      </c>
      <c r="G1981" s="17" t="n">
        <v>45879</v>
      </c>
      <c r="H1981" s="18" t="n">
        <v>4</v>
      </c>
      <c r="I1981" s="19" t="n">
        <v>275.36</v>
      </c>
      <c r="J1981" s="19" t="n">
        <v>265</v>
      </c>
      <c r="K1981" s="20" t="n">
        <v>0</v>
      </c>
      <c r="L1981" s="20" t="n">
        <v>0</v>
      </c>
      <c r="M1981" s="18" t="n">
        <v>4</v>
      </c>
      <c r="N1981" s="18" t="n">
        <v>4</v>
      </c>
      <c r="O1981" s="18" t="n">
        <v>0</v>
      </c>
      <c r="P1981" s="17" t="n">
        <v>45874</v>
      </c>
      <c r="Q1981" s="17" t="n">
        <v>45874</v>
      </c>
      <c r="R1981" s="17" t="n">
        <v>45874</v>
      </c>
      <c r="S1981" s="19">
        <f>H1981*I1981</f>
        <v/>
      </c>
      <c r="T1981" s="19">
        <f>H1981*J1981</f>
        <v/>
      </c>
      <c r="U1981">
        <f>IF(AND(K1981=0,G1981&lt;=Assumptions!$C$6),1,0)</f>
        <v/>
      </c>
      <c r="V1981">
        <f>IF(U1981=1,IF(M1981&gt;0,IF(P1981&lt;=G1981+Assumptions!$C$7,1,0),0),0)</f>
        <v/>
      </c>
      <c r="W1981">
        <f>IF(AND(U1981=1,M1981&gt;=H1981*(1-Assumptions!$C$8)),1,0)</f>
        <v/>
      </c>
      <c r="X1981">
        <f>IF(AND(U1981=1,N1981&gt;=H1981*(1-Assumptions!$C$8)),1,0)</f>
        <v/>
      </c>
      <c r="Y1981">
        <f>IF(ISNUMBER(Q1981),1,0)</f>
        <v/>
      </c>
      <c r="Z1981">
        <f>IF(AND(K1981=0,L1981=0,Y1981=0),1,0)</f>
        <v/>
      </c>
      <c r="AA1981">
        <f>IF(AND(Z1981=1,G1981&lt;Assumptions!$C$6),1,0)</f>
        <v/>
      </c>
      <c r="AB1981">
        <f>IF(U1981=0,"",IF(Y1981=1,MAX(0,Q1981-G1981),IF(L1981=1,MAX(0,R1981-G1981),MAX(0,Assumptions!$C$6-G1981))))</f>
        <v/>
      </c>
      <c r="AC1981">
        <f>IF(Y1981=1,Q1981-F1981,"")</f>
        <v/>
      </c>
      <c r="AD1981">
        <f>IF(Y1981=1,AC1981^2,"")</f>
        <v/>
      </c>
      <c r="AE1981" s="19">
        <f>IF(Z1981=1,(H1981-M1981)*I1981,0)</f>
        <v/>
      </c>
      <c r="AF1981">
        <f>IF(G1981&lt;EDATE(Assumptions!$C$6,-12)+1,"prior_12m","last_12m")</f>
        <v/>
      </c>
      <c r="AG1981" s="21">
        <f>DATE(YEAR(G1981),MONTH(G1981),1)</f>
        <v/>
      </c>
    </row>
    <row r="1982">
      <c r="A1982" t="inlineStr">
        <is>
          <t>SPO-01072-1</t>
        </is>
      </c>
      <c r="B1982" t="inlineStr">
        <is>
          <t>SPO-01072</t>
        </is>
      </c>
      <c r="C1982" t="inlineStr">
        <is>
          <t>SUP-05</t>
        </is>
      </c>
      <c r="D1982" t="inlineStr">
        <is>
          <t>FLEET</t>
        </is>
      </c>
      <c r="E1982" t="inlineStr">
        <is>
          <t>FLEET-03</t>
        </is>
      </c>
      <c r="F1982" s="17" t="n">
        <v>45865</v>
      </c>
      <c r="G1982" s="17" t="n">
        <v>45879</v>
      </c>
      <c r="H1982" s="18" t="n">
        <v>49</v>
      </c>
      <c r="I1982" s="19" t="n">
        <v>22.12</v>
      </c>
      <c r="J1982" s="19" t="n">
        <v>21</v>
      </c>
      <c r="K1982" s="20" t="n">
        <v>0</v>
      </c>
      <c r="L1982" s="20" t="n">
        <v>0</v>
      </c>
      <c r="M1982" s="18" t="n">
        <v>49</v>
      </c>
      <c r="N1982" s="18" t="n">
        <v>49</v>
      </c>
      <c r="O1982" s="18" t="n">
        <v>0</v>
      </c>
      <c r="P1982" s="17" t="n">
        <v>45875</v>
      </c>
      <c r="Q1982" s="17" t="n">
        <v>45875</v>
      </c>
      <c r="R1982" s="17" t="n">
        <v>45875</v>
      </c>
      <c r="S1982" s="19">
        <f>H1982*I1982</f>
        <v/>
      </c>
      <c r="T1982" s="19">
        <f>H1982*J1982</f>
        <v/>
      </c>
      <c r="U1982">
        <f>IF(AND(K1982=0,G1982&lt;=Assumptions!$C$6),1,0)</f>
        <v/>
      </c>
      <c r="V1982">
        <f>IF(U1982=1,IF(M1982&gt;0,IF(P1982&lt;=G1982+Assumptions!$C$7,1,0),0),0)</f>
        <v/>
      </c>
      <c r="W1982">
        <f>IF(AND(U1982=1,M1982&gt;=H1982*(1-Assumptions!$C$8)),1,0)</f>
        <v/>
      </c>
      <c r="X1982">
        <f>IF(AND(U1982=1,N1982&gt;=H1982*(1-Assumptions!$C$8)),1,0)</f>
        <v/>
      </c>
      <c r="Y1982">
        <f>IF(ISNUMBER(Q1982),1,0)</f>
        <v/>
      </c>
      <c r="Z1982">
        <f>IF(AND(K1982=0,L1982=0,Y1982=0),1,0)</f>
        <v/>
      </c>
      <c r="AA1982">
        <f>IF(AND(Z1982=1,G1982&lt;Assumptions!$C$6),1,0)</f>
        <v/>
      </c>
      <c r="AB1982">
        <f>IF(U1982=0,"",IF(Y1982=1,MAX(0,Q1982-G1982),IF(L1982=1,MAX(0,R1982-G1982),MAX(0,Assumptions!$C$6-G1982))))</f>
        <v/>
      </c>
      <c r="AC1982">
        <f>IF(Y1982=1,Q1982-F1982,"")</f>
        <v/>
      </c>
      <c r="AD1982">
        <f>IF(Y1982=1,AC1982^2,"")</f>
        <v/>
      </c>
      <c r="AE1982" s="19">
        <f>IF(Z1982=1,(H1982-M1982)*I1982,0)</f>
        <v/>
      </c>
      <c r="AF1982">
        <f>IF(G1982&lt;EDATE(Assumptions!$C$6,-12)+1,"prior_12m","last_12m")</f>
        <v/>
      </c>
      <c r="AG1982" s="21">
        <f>DATE(YEAR(G1982),MONTH(G1982),1)</f>
        <v/>
      </c>
    </row>
    <row r="1983">
      <c r="A1983" t="inlineStr">
        <is>
          <t>SPO-01073-1</t>
        </is>
      </c>
      <c r="B1983" t="inlineStr">
        <is>
          <t>SPO-01073</t>
        </is>
      </c>
      <c r="C1983" t="inlineStr">
        <is>
          <t>SUP-02</t>
        </is>
      </c>
      <c r="D1983" t="inlineStr">
        <is>
          <t>ELEC</t>
        </is>
      </c>
      <c r="E1983" t="inlineStr">
        <is>
          <t>ELEC-02</t>
        </is>
      </c>
      <c r="F1983" s="17" t="n">
        <v>45866</v>
      </c>
      <c r="G1983" s="17" t="n">
        <v>45882</v>
      </c>
      <c r="H1983" s="18" t="n">
        <v>485</v>
      </c>
      <c r="I1983" s="19" t="n">
        <v>4.24</v>
      </c>
      <c r="J1983" s="19" t="n">
        <v>4.2</v>
      </c>
      <c r="K1983" s="20" t="n">
        <v>0</v>
      </c>
      <c r="L1983" s="20" t="n">
        <v>0</v>
      </c>
      <c r="M1983" s="18" t="n">
        <v>485</v>
      </c>
      <c r="N1983" s="18" t="n">
        <v>485</v>
      </c>
      <c r="O1983" s="18" t="n">
        <v>0</v>
      </c>
      <c r="P1983" s="17" t="n">
        <v>45880</v>
      </c>
      <c r="Q1983" s="17" t="n">
        <v>45880</v>
      </c>
      <c r="R1983" s="17" t="n">
        <v>45880</v>
      </c>
      <c r="S1983" s="19">
        <f>H1983*I1983</f>
        <v/>
      </c>
      <c r="T1983" s="19">
        <f>H1983*J1983</f>
        <v/>
      </c>
      <c r="U1983">
        <f>IF(AND(K1983=0,G1983&lt;=Assumptions!$C$6),1,0)</f>
        <v/>
      </c>
      <c r="V1983">
        <f>IF(U1983=1,IF(M1983&gt;0,IF(P1983&lt;=G1983+Assumptions!$C$7,1,0),0),0)</f>
        <v/>
      </c>
      <c r="W1983">
        <f>IF(AND(U1983=1,M1983&gt;=H1983*(1-Assumptions!$C$8)),1,0)</f>
        <v/>
      </c>
      <c r="X1983">
        <f>IF(AND(U1983=1,N1983&gt;=H1983*(1-Assumptions!$C$8)),1,0)</f>
        <v/>
      </c>
      <c r="Y1983">
        <f>IF(ISNUMBER(Q1983),1,0)</f>
        <v/>
      </c>
      <c r="Z1983">
        <f>IF(AND(K1983=0,L1983=0,Y1983=0),1,0)</f>
        <v/>
      </c>
      <c r="AA1983">
        <f>IF(AND(Z1983=1,G1983&lt;Assumptions!$C$6),1,0)</f>
        <v/>
      </c>
      <c r="AB1983">
        <f>IF(U1983=0,"",IF(Y1983=1,MAX(0,Q1983-G1983),IF(L1983=1,MAX(0,R1983-G1983),MAX(0,Assumptions!$C$6-G1983))))</f>
        <v/>
      </c>
      <c r="AC1983">
        <f>IF(Y1983=1,Q1983-F1983,"")</f>
        <v/>
      </c>
      <c r="AD1983">
        <f>IF(Y1983=1,AC1983^2,"")</f>
        <v/>
      </c>
      <c r="AE1983" s="19">
        <f>IF(Z1983=1,(H1983-M1983)*I1983,0)</f>
        <v/>
      </c>
      <c r="AF1983">
        <f>IF(G1983&lt;EDATE(Assumptions!$C$6,-12)+1,"prior_12m","last_12m")</f>
        <v/>
      </c>
      <c r="AG1983" s="21">
        <f>DATE(YEAR(G1983),MONTH(G1983),1)</f>
        <v/>
      </c>
    </row>
    <row r="1984">
      <c r="A1984" t="inlineStr">
        <is>
          <t>SPO-01074-1</t>
        </is>
      </c>
      <c r="B1984" t="inlineStr">
        <is>
          <t>SPO-01074</t>
        </is>
      </c>
      <c r="C1984" t="inlineStr">
        <is>
          <t>SUP-08</t>
        </is>
      </c>
      <c r="D1984" t="inlineStr">
        <is>
          <t>PPE</t>
        </is>
      </c>
      <c r="E1984" t="inlineStr">
        <is>
          <t>PPE-04</t>
        </is>
      </c>
      <c r="F1984" s="17" t="n">
        <v>45866</v>
      </c>
      <c r="G1984" s="17" t="n">
        <v>45877</v>
      </c>
      <c r="H1984" s="18" t="n">
        <v>51</v>
      </c>
      <c r="I1984" s="19" t="n">
        <v>26.02</v>
      </c>
      <c r="J1984" s="19" t="n">
        <v>26</v>
      </c>
      <c r="K1984" s="20" t="n">
        <v>0</v>
      </c>
      <c r="L1984" s="20" t="n">
        <v>0</v>
      </c>
      <c r="M1984" s="18" t="n">
        <v>51</v>
      </c>
      <c r="N1984" s="18" t="n">
        <v>51</v>
      </c>
      <c r="O1984" s="18" t="n">
        <v>0</v>
      </c>
      <c r="P1984" s="17" t="n">
        <v>45873</v>
      </c>
      <c r="Q1984" s="17" t="n">
        <v>45873</v>
      </c>
      <c r="R1984" s="17" t="n">
        <v>45873</v>
      </c>
      <c r="S1984" s="19">
        <f>H1984*I1984</f>
        <v/>
      </c>
      <c r="T1984" s="19">
        <f>H1984*J1984</f>
        <v/>
      </c>
      <c r="U1984">
        <f>IF(AND(K1984=0,G1984&lt;=Assumptions!$C$6),1,0)</f>
        <v/>
      </c>
      <c r="V1984">
        <f>IF(U1984=1,IF(M1984&gt;0,IF(P1984&lt;=G1984+Assumptions!$C$7,1,0),0),0)</f>
        <v/>
      </c>
      <c r="W1984">
        <f>IF(AND(U1984=1,M1984&gt;=H1984*(1-Assumptions!$C$8)),1,0)</f>
        <v/>
      </c>
      <c r="X1984">
        <f>IF(AND(U1984=1,N1984&gt;=H1984*(1-Assumptions!$C$8)),1,0)</f>
        <v/>
      </c>
      <c r="Y1984">
        <f>IF(ISNUMBER(Q1984),1,0)</f>
        <v/>
      </c>
      <c r="Z1984">
        <f>IF(AND(K1984=0,L1984=0,Y1984=0),1,0)</f>
        <v/>
      </c>
      <c r="AA1984">
        <f>IF(AND(Z1984=1,G1984&lt;Assumptions!$C$6),1,0)</f>
        <v/>
      </c>
      <c r="AB1984">
        <f>IF(U1984=0,"",IF(Y1984=1,MAX(0,Q1984-G1984),IF(L1984=1,MAX(0,R1984-G1984),MAX(0,Assumptions!$C$6-G1984))))</f>
        <v/>
      </c>
      <c r="AC1984">
        <f>IF(Y1984=1,Q1984-F1984,"")</f>
        <v/>
      </c>
      <c r="AD1984">
        <f>IF(Y1984=1,AC1984^2,"")</f>
        <v/>
      </c>
      <c r="AE1984" s="19">
        <f>IF(Z1984=1,(H1984-M1984)*I1984,0)</f>
        <v/>
      </c>
      <c r="AF1984">
        <f>IF(G1984&lt;EDATE(Assumptions!$C$6,-12)+1,"prior_12m","last_12m")</f>
        <v/>
      </c>
      <c r="AG1984" s="21">
        <f>DATE(YEAR(G1984),MONTH(G1984),1)</f>
        <v/>
      </c>
    </row>
    <row r="1985">
      <c r="A1985" t="inlineStr">
        <is>
          <t>SPO-01074-2</t>
        </is>
      </c>
      <c r="B1985" t="inlineStr">
        <is>
          <t>SPO-01074</t>
        </is>
      </c>
      <c r="C1985" t="inlineStr">
        <is>
          <t>SUP-08</t>
        </is>
      </c>
      <c r="D1985" t="inlineStr">
        <is>
          <t>PPE</t>
        </is>
      </c>
      <c r="E1985" t="inlineStr">
        <is>
          <t>PPE-05</t>
        </is>
      </c>
      <c r="F1985" s="17" t="n">
        <v>45866</v>
      </c>
      <c r="G1985" s="17" t="n">
        <v>45877</v>
      </c>
      <c r="H1985" s="18" t="n">
        <v>73</v>
      </c>
      <c r="I1985" s="19" t="n">
        <v>10.79</v>
      </c>
      <c r="J1985" s="19" t="n">
        <v>11</v>
      </c>
      <c r="K1985" s="20" t="n">
        <v>0</v>
      </c>
      <c r="L1985" s="20" t="n">
        <v>0</v>
      </c>
      <c r="M1985" s="18" t="n">
        <v>73</v>
      </c>
      <c r="N1985" s="18" t="n">
        <v>73</v>
      </c>
      <c r="O1985" s="18" t="n">
        <v>0</v>
      </c>
      <c r="P1985" s="17" t="n">
        <v>45874</v>
      </c>
      <c r="Q1985" s="17" t="n">
        <v>45874</v>
      </c>
      <c r="R1985" s="17" t="n">
        <v>45874</v>
      </c>
      <c r="S1985" s="19">
        <f>H1985*I1985</f>
        <v/>
      </c>
      <c r="T1985" s="19">
        <f>H1985*J1985</f>
        <v/>
      </c>
      <c r="U1985">
        <f>IF(AND(K1985=0,G1985&lt;=Assumptions!$C$6),1,0)</f>
        <v/>
      </c>
      <c r="V1985">
        <f>IF(U1985=1,IF(M1985&gt;0,IF(P1985&lt;=G1985+Assumptions!$C$7,1,0),0),0)</f>
        <v/>
      </c>
      <c r="W1985">
        <f>IF(AND(U1985=1,M1985&gt;=H1985*(1-Assumptions!$C$8)),1,0)</f>
        <v/>
      </c>
      <c r="X1985">
        <f>IF(AND(U1985=1,N1985&gt;=H1985*(1-Assumptions!$C$8)),1,0)</f>
        <v/>
      </c>
      <c r="Y1985">
        <f>IF(ISNUMBER(Q1985),1,0)</f>
        <v/>
      </c>
      <c r="Z1985">
        <f>IF(AND(K1985=0,L1985=0,Y1985=0),1,0)</f>
        <v/>
      </c>
      <c r="AA1985">
        <f>IF(AND(Z1985=1,G1985&lt;Assumptions!$C$6),1,0)</f>
        <v/>
      </c>
      <c r="AB1985">
        <f>IF(U1985=0,"",IF(Y1985=1,MAX(0,Q1985-G1985),IF(L1985=1,MAX(0,R1985-G1985),MAX(0,Assumptions!$C$6-G1985))))</f>
        <v/>
      </c>
      <c r="AC1985">
        <f>IF(Y1985=1,Q1985-F1985,"")</f>
        <v/>
      </c>
      <c r="AD1985">
        <f>IF(Y1985=1,AC1985^2,"")</f>
        <v/>
      </c>
      <c r="AE1985" s="19">
        <f>IF(Z1985=1,(H1985-M1985)*I1985,0)</f>
        <v/>
      </c>
      <c r="AF1985">
        <f>IF(G1985&lt;EDATE(Assumptions!$C$6,-12)+1,"prior_12m","last_12m")</f>
        <v/>
      </c>
      <c r="AG1985" s="21">
        <f>DATE(YEAR(G1985),MONTH(G1985),1)</f>
        <v/>
      </c>
    </row>
    <row r="1986">
      <c r="A1986" t="inlineStr">
        <is>
          <t>SPO-01074-3</t>
        </is>
      </c>
      <c r="B1986" t="inlineStr">
        <is>
          <t>SPO-01074</t>
        </is>
      </c>
      <c r="C1986" t="inlineStr">
        <is>
          <t>SUP-08</t>
        </is>
      </c>
      <c r="D1986" t="inlineStr">
        <is>
          <t>PPE</t>
        </is>
      </c>
      <c r="E1986" t="inlineStr">
        <is>
          <t>PPE-08</t>
        </is>
      </c>
      <c r="F1986" s="17" t="n">
        <v>45866</v>
      </c>
      <c r="G1986" s="17" t="n">
        <v>45877</v>
      </c>
      <c r="H1986" s="18" t="n">
        <v>8</v>
      </c>
      <c r="I1986" s="19" t="n">
        <v>64.28</v>
      </c>
      <c r="J1986" s="19" t="n">
        <v>64</v>
      </c>
      <c r="K1986" s="20" t="n">
        <v>0</v>
      </c>
      <c r="L1986" s="20" t="n">
        <v>0</v>
      </c>
      <c r="M1986" s="18" t="n">
        <v>8</v>
      </c>
      <c r="N1986" s="18" t="n">
        <v>0</v>
      </c>
      <c r="O1986" s="18" t="n">
        <v>0</v>
      </c>
      <c r="P1986" s="17" t="n">
        <v>45878</v>
      </c>
      <c r="Q1986" s="17" t="n">
        <v>45878</v>
      </c>
      <c r="R1986" s="17" t="n">
        <v>45878</v>
      </c>
      <c r="S1986" s="19">
        <f>H1986*I1986</f>
        <v/>
      </c>
      <c r="T1986" s="19">
        <f>H1986*J1986</f>
        <v/>
      </c>
      <c r="U1986">
        <f>IF(AND(K1986=0,G1986&lt;=Assumptions!$C$6),1,0)</f>
        <v/>
      </c>
      <c r="V1986">
        <f>IF(U1986=1,IF(M1986&gt;0,IF(P1986&lt;=G1986+Assumptions!$C$7,1,0),0),0)</f>
        <v/>
      </c>
      <c r="W1986">
        <f>IF(AND(U1986=1,M1986&gt;=H1986*(1-Assumptions!$C$8)),1,0)</f>
        <v/>
      </c>
      <c r="X1986">
        <f>IF(AND(U1986=1,N1986&gt;=H1986*(1-Assumptions!$C$8)),1,0)</f>
        <v/>
      </c>
      <c r="Y1986">
        <f>IF(ISNUMBER(Q1986),1,0)</f>
        <v/>
      </c>
      <c r="Z1986">
        <f>IF(AND(K1986=0,L1986=0,Y1986=0),1,0)</f>
        <v/>
      </c>
      <c r="AA1986">
        <f>IF(AND(Z1986=1,G1986&lt;Assumptions!$C$6),1,0)</f>
        <v/>
      </c>
      <c r="AB1986">
        <f>IF(U1986=0,"",IF(Y1986=1,MAX(0,Q1986-G1986),IF(L1986=1,MAX(0,R1986-G1986),MAX(0,Assumptions!$C$6-G1986))))</f>
        <v/>
      </c>
      <c r="AC1986">
        <f>IF(Y1986=1,Q1986-F1986,"")</f>
        <v/>
      </c>
      <c r="AD1986">
        <f>IF(Y1986=1,AC1986^2,"")</f>
        <v/>
      </c>
      <c r="AE1986" s="19">
        <f>IF(Z1986=1,(H1986-M1986)*I1986,0)</f>
        <v/>
      </c>
      <c r="AF1986">
        <f>IF(G1986&lt;EDATE(Assumptions!$C$6,-12)+1,"prior_12m","last_12m")</f>
        <v/>
      </c>
      <c r="AG1986" s="21">
        <f>DATE(YEAR(G1986),MONTH(G1986),1)</f>
        <v/>
      </c>
    </row>
    <row r="1987">
      <c r="A1987" t="inlineStr">
        <is>
          <t>SPO-01074-4</t>
        </is>
      </c>
      <c r="B1987" t="inlineStr">
        <is>
          <t>SPO-01074</t>
        </is>
      </c>
      <c r="C1987" t="inlineStr">
        <is>
          <t>SUP-08</t>
        </is>
      </c>
      <c r="D1987" t="inlineStr">
        <is>
          <t>PPE</t>
        </is>
      </c>
      <c r="E1987" t="inlineStr">
        <is>
          <t>PPE-07</t>
        </is>
      </c>
      <c r="F1987" s="17" t="n">
        <v>45866</v>
      </c>
      <c r="G1987" s="17" t="n">
        <v>45877</v>
      </c>
      <c r="H1987" s="18" t="n">
        <v>103</v>
      </c>
      <c r="I1987" s="19" t="n">
        <v>29.36</v>
      </c>
      <c r="J1987" s="19" t="n">
        <v>31</v>
      </c>
      <c r="K1987" s="20" t="n">
        <v>0</v>
      </c>
      <c r="L1987" s="20" t="n">
        <v>0</v>
      </c>
      <c r="M1987" s="18" t="n">
        <v>103</v>
      </c>
      <c r="N1987" s="18" t="n">
        <v>103</v>
      </c>
      <c r="O1987" s="18" t="n">
        <v>0</v>
      </c>
      <c r="P1987" s="17" t="n">
        <v>45873</v>
      </c>
      <c r="Q1987" s="17" t="n">
        <v>45873</v>
      </c>
      <c r="R1987" s="17" t="n">
        <v>45873</v>
      </c>
      <c r="S1987" s="19">
        <f>H1987*I1987</f>
        <v/>
      </c>
      <c r="T1987" s="19">
        <f>H1987*J1987</f>
        <v/>
      </c>
      <c r="U1987">
        <f>IF(AND(K1987=0,G1987&lt;=Assumptions!$C$6),1,0)</f>
        <v/>
      </c>
      <c r="V1987">
        <f>IF(U1987=1,IF(M1987&gt;0,IF(P1987&lt;=G1987+Assumptions!$C$7,1,0),0),0)</f>
        <v/>
      </c>
      <c r="W1987">
        <f>IF(AND(U1987=1,M1987&gt;=H1987*(1-Assumptions!$C$8)),1,0)</f>
        <v/>
      </c>
      <c r="X1987">
        <f>IF(AND(U1987=1,N1987&gt;=H1987*(1-Assumptions!$C$8)),1,0)</f>
        <v/>
      </c>
      <c r="Y1987">
        <f>IF(ISNUMBER(Q1987),1,0)</f>
        <v/>
      </c>
      <c r="Z1987">
        <f>IF(AND(K1987=0,L1987=0,Y1987=0),1,0)</f>
        <v/>
      </c>
      <c r="AA1987">
        <f>IF(AND(Z1987=1,G1987&lt;Assumptions!$C$6),1,0)</f>
        <v/>
      </c>
      <c r="AB1987">
        <f>IF(U1987=0,"",IF(Y1987=1,MAX(0,Q1987-G1987),IF(L1987=1,MAX(0,R1987-G1987),MAX(0,Assumptions!$C$6-G1987))))</f>
        <v/>
      </c>
      <c r="AC1987">
        <f>IF(Y1987=1,Q1987-F1987,"")</f>
        <v/>
      </c>
      <c r="AD1987">
        <f>IF(Y1987=1,AC1987^2,"")</f>
        <v/>
      </c>
      <c r="AE1987" s="19">
        <f>IF(Z1987=1,(H1987-M1987)*I1987,0)</f>
        <v/>
      </c>
      <c r="AF1987">
        <f>IF(G1987&lt;EDATE(Assumptions!$C$6,-12)+1,"prior_12m","last_12m")</f>
        <v/>
      </c>
      <c r="AG1987" s="21">
        <f>DATE(YEAR(G1987),MONTH(G1987),1)</f>
        <v/>
      </c>
    </row>
    <row r="1988">
      <c r="A1988" t="inlineStr">
        <is>
          <t>SPO-01075-1</t>
        </is>
      </c>
      <c r="B1988" t="inlineStr">
        <is>
          <t>SPO-01075</t>
        </is>
      </c>
      <c r="C1988" t="inlineStr">
        <is>
          <t>SUP-09</t>
        </is>
      </c>
      <c r="D1988" t="inlineStr">
        <is>
          <t>CHEM</t>
        </is>
      </c>
      <c r="E1988" t="inlineStr">
        <is>
          <t>CHEM-02</t>
        </is>
      </c>
      <c r="F1988" s="17" t="n">
        <v>45867</v>
      </c>
      <c r="G1988" s="17" t="n">
        <v>45881</v>
      </c>
      <c r="H1988" s="18" t="n">
        <v>3</v>
      </c>
      <c r="I1988" s="19" t="n">
        <v>415.95</v>
      </c>
      <c r="J1988" s="19" t="n">
        <v>410</v>
      </c>
      <c r="K1988" s="20" t="n">
        <v>0</v>
      </c>
      <c r="L1988" s="20" t="n">
        <v>0</v>
      </c>
      <c r="M1988" s="18" t="n">
        <v>3</v>
      </c>
      <c r="N1988" s="18" t="n">
        <v>3</v>
      </c>
      <c r="O1988" s="18" t="n">
        <v>0</v>
      </c>
      <c r="P1988" s="17" t="n">
        <v>45880</v>
      </c>
      <c r="Q1988" s="17" t="n">
        <v>45880</v>
      </c>
      <c r="R1988" s="17" t="n">
        <v>45880</v>
      </c>
      <c r="S1988" s="19">
        <f>H1988*I1988</f>
        <v/>
      </c>
      <c r="T1988" s="19">
        <f>H1988*J1988</f>
        <v/>
      </c>
      <c r="U1988">
        <f>IF(AND(K1988=0,G1988&lt;=Assumptions!$C$6),1,0)</f>
        <v/>
      </c>
      <c r="V1988">
        <f>IF(U1988=1,IF(M1988&gt;0,IF(P1988&lt;=G1988+Assumptions!$C$7,1,0),0),0)</f>
        <v/>
      </c>
      <c r="W1988">
        <f>IF(AND(U1988=1,M1988&gt;=H1988*(1-Assumptions!$C$8)),1,0)</f>
        <v/>
      </c>
      <c r="X1988">
        <f>IF(AND(U1988=1,N1988&gt;=H1988*(1-Assumptions!$C$8)),1,0)</f>
        <v/>
      </c>
      <c r="Y1988">
        <f>IF(ISNUMBER(Q1988),1,0)</f>
        <v/>
      </c>
      <c r="Z1988">
        <f>IF(AND(K1988=0,L1988=0,Y1988=0),1,0)</f>
        <v/>
      </c>
      <c r="AA1988">
        <f>IF(AND(Z1988=1,G1988&lt;Assumptions!$C$6),1,0)</f>
        <v/>
      </c>
      <c r="AB1988">
        <f>IF(U1988=0,"",IF(Y1988=1,MAX(0,Q1988-G1988),IF(L1988=1,MAX(0,R1988-G1988),MAX(0,Assumptions!$C$6-G1988))))</f>
        <v/>
      </c>
      <c r="AC1988">
        <f>IF(Y1988=1,Q1988-F1988,"")</f>
        <v/>
      </c>
      <c r="AD1988">
        <f>IF(Y1988=1,AC1988^2,"")</f>
        <v/>
      </c>
      <c r="AE1988" s="19">
        <f>IF(Z1988=1,(H1988-M1988)*I1988,0)</f>
        <v/>
      </c>
      <c r="AF1988">
        <f>IF(G1988&lt;EDATE(Assumptions!$C$6,-12)+1,"prior_12m","last_12m")</f>
        <v/>
      </c>
      <c r="AG1988" s="21">
        <f>DATE(YEAR(G1988),MONTH(G1988),1)</f>
        <v/>
      </c>
    </row>
    <row r="1989">
      <c r="A1989" t="inlineStr">
        <is>
          <t>SPO-01076-1</t>
        </is>
      </c>
      <c r="B1989" t="inlineStr">
        <is>
          <t>SPO-01076</t>
        </is>
      </c>
      <c r="C1989" t="inlineStr">
        <is>
          <t>SUP-02</t>
        </is>
      </c>
      <c r="D1989" t="inlineStr">
        <is>
          <t>ELEC</t>
        </is>
      </c>
      <c r="E1989" t="inlineStr">
        <is>
          <t>ELEC-04</t>
        </is>
      </c>
      <c r="F1989" s="17" t="n">
        <v>45867</v>
      </c>
      <c r="G1989" s="17" t="n">
        <v>45883</v>
      </c>
      <c r="H1989" s="18" t="n">
        <v>10</v>
      </c>
      <c r="I1989" s="19" t="n">
        <v>75.95</v>
      </c>
      <c r="J1989" s="19" t="n">
        <v>72</v>
      </c>
      <c r="K1989" s="20" t="n">
        <v>0</v>
      </c>
      <c r="L1989" s="20" t="n">
        <v>0</v>
      </c>
      <c r="M1989" s="18" t="n">
        <v>10</v>
      </c>
      <c r="N1989" s="18" t="n">
        <v>10</v>
      </c>
      <c r="O1989" s="18" t="n">
        <v>0</v>
      </c>
      <c r="P1989" s="17" t="n">
        <v>45881</v>
      </c>
      <c r="Q1989" s="17" t="n">
        <v>45881</v>
      </c>
      <c r="R1989" s="17" t="n">
        <v>45881</v>
      </c>
      <c r="S1989" s="19">
        <f>H1989*I1989</f>
        <v/>
      </c>
      <c r="T1989" s="19">
        <f>H1989*J1989</f>
        <v/>
      </c>
      <c r="U1989">
        <f>IF(AND(K1989=0,G1989&lt;=Assumptions!$C$6),1,0)</f>
        <v/>
      </c>
      <c r="V1989">
        <f>IF(U1989=1,IF(M1989&gt;0,IF(P1989&lt;=G1989+Assumptions!$C$7,1,0),0),0)</f>
        <v/>
      </c>
      <c r="W1989">
        <f>IF(AND(U1989=1,M1989&gt;=H1989*(1-Assumptions!$C$8)),1,0)</f>
        <v/>
      </c>
      <c r="X1989">
        <f>IF(AND(U1989=1,N1989&gt;=H1989*(1-Assumptions!$C$8)),1,0)</f>
        <v/>
      </c>
      <c r="Y1989">
        <f>IF(ISNUMBER(Q1989),1,0)</f>
        <v/>
      </c>
      <c r="Z1989">
        <f>IF(AND(K1989=0,L1989=0,Y1989=0),1,0)</f>
        <v/>
      </c>
      <c r="AA1989">
        <f>IF(AND(Z1989=1,G1989&lt;Assumptions!$C$6),1,0)</f>
        <v/>
      </c>
      <c r="AB1989">
        <f>IF(U1989=0,"",IF(Y1989=1,MAX(0,Q1989-G1989),IF(L1989=1,MAX(0,R1989-G1989),MAX(0,Assumptions!$C$6-G1989))))</f>
        <v/>
      </c>
      <c r="AC1989">
        <f>IF(Y1989=1,Q1989-F1989,"")</f>
        <v/>
      </c>
      <c r="AD1989">
        <f>IF(Y1989=1,AC1989^2,"")</f>
        <v/>
      </c>
      <c r="AE1989" s="19">
        <f>IF(Z1989=1,(H1989-M1989)*I1989,0)</f>
        <v/>
      </c>
      <c r="AF1989">
        <f>IF(G1989&lt;EDATE(Assumptions!$C$6,-12)+1,"prior_12m","last_12m")</f>
        <v/>
      </c>
      <c r="AG1989" s="21">
        <f>DATE(YEAR(G1989),MONTH(G1989),1)</f>
        <v/>
      </c>
    </row>
    <row r="1990">
      <c r="A1990" t="inlineStr">
        <is>
          <t>SPO-01077-1</t>
        </is>
      </c>
      <c r="B1990" t="inlineStr">
        <is>
          <t>SPO-01077</t>
        </is>
      </c>
      <c r="C1990" t="inlineStr">
        <is>
          <t>SUP-12</t>
        </is>
      </c>
      <c r="D1990" t="inlineStr">
        <is>
          <t>IT</t>
        </is>
      </c>
      <c r="E1990" t="inlineStr">
        <is>
          <t>IT-03</t>
        </is>
      </c>
      <c r="F1990" s="17" t="n">
        <v>45867</v>
      </c>
      <c r="G1990" s="17" t="n">
        <v>45877</v>
      </c>
      <c r="H1990" s="18" t="n">
        <v>21</v>
      </c>
      <c r="I1990" s="19" t="n">
        <v>42.8</v>
      </c>
      <c r="J1990" s="19" t="n">
        <v>38</v>
      </c>
      <c r="K1990" s="20" t="n">
        <v>0</v>
      </c>
      <c r="L1990" s="20" t="n">
        <v>0</v>
      </c>
      <c r="M1990" s="18" t="n">
        <v>21</v>
      </c>
      <c r="N1990" s="18" t="n">
        <v>21</v>
      </c>
      <c r="O1990" s="18" t="n">
        <v>0</v>
      </c>
      <c r="P1990" s="17" t="n">
        <v>45875</v>
      </c>
      <c r="Q1990" s="17" t="n">
        <v>45875</v>
      </c>
      <c r="R1990" s="17" t="n">
        <v>45875</v>
      </c>
      <c r="S1990" s="19">
        <f>H1990*I1990</f>
        <v/>
      </c>
      <c r="T1990" s="19">
        <f>H1990*J1990</f>
        <v/>
      </c>
      <c r="U1990">
        <f>IF(AND(K1990=0,G1990&lt;=Assumptions!$C$6),1,0)</f>
        <v/>
      </c>
      <c r="V1990">
        <f>IF(U1990=1,IF(M1990&gt;0,IF(P1990&lt;=G1990+Assumptions!$C$7,1,0),0),0)</f>
        <v/>
      </c>
      <c r="W1990">
        <f>IF(AND(U1990=1,M1990&gt;=H1990*(1-Assumptions!$C$8)),1,0)</f>
        <v/>
      </c>
      <c r="X1990">
        <f>IF(AND(U1990=1,N1990&gt;=H1990*(1-Assumptions!$C$8)),1,0)</f>
        <v/>
      </c>
      <c r="Y1990">
        <f>IF(ISNUMBER(Q1990),1,0)</f>
        <v/>
      </c>
      <c r="Z1990">
        <f>IF(AND(K1990=0,L1990=0,Y1990=0),1,0)</f>
        <v/>
      </c>
      <c r="AA1990">
        <f>IF(AND(Z1990=1,G1990&lt;Assumptions!$C$6),1,0)</f>
        <v/>
      </c>
      <c r="AB1990">
        <f>IF(U1990=0,"",IF(Y1990=1,MAX(0,Q1990-G1990),IF(L1990=1,MAX(0,R1990-G1990),MAX(0,Assumptions!$C$6-G1990))))</f>
        <v/>
      </c>
      <c r="AC1990">
        <f>IF(Y1990=1,Q1990-F1990,"")</f>
        <v/>
      </c>
      <c r="AD1990">
        <f>IF(Y1990=1,AC1990^2,"")</f>
        <v/>
      </c>
      <c r="AE1990" s="19">
        <f>IF(Z1990=1,(H1990-M1990)*I1990,0)</f>
        <v/>
      </c>
      <c r="AF1990">
        <f>IF(G1990&lt;EDATE(Assumptions!$C$6,-12)+1,"prior_12m","last_12m")</f>
        <v/>
      </c>
      <c r="AG1990" s="21">
        <f>DATE(YEAR(G1990),MONTH(G1990),1)</f>
        <v/>
      </c>
    </row>
    <row r="1991">
      <c r="A1991" t="inlineStr">
        <is>
          <t>SPO-01077-2</t>
        </is>
      </c>
      <c r="B1991" t="inlineStr">
        <is>
          <t>SPO-01077</t>
        </is>
      </c>
      <c r="C1991" t="inlineStr">
        <is>
          <t>SUP-12</t>
        </is>
      </c>
      <c r="D1991" t="inlineStr">
        <is>
          <t>IT</t>
        </is>
      </c>
      <c r="E1991" t="inlineStr">
        <is>
          <t>IT-08</t>
        </is>
      </c>
      <c r="F1991" s="17" t="n">
        <v>45867</v>
      </c>
      <c r="G1991" s="17" t="n">
        <v>45877</v>
      </c>
      <c r="H1991" s="18" t="n">
        <v>3</v>
      </c>
      <c r="I1991" s="19" t="n">
        <v>279.8</v>
      </c>
      <c r="J1991" s="19" t="n">
        <v>245</v>
      </c>
      <c r="K1991" s="20" t="n">
        <v>0</v>
      </c>
      <c r="L1991" s="20" t="n">
        <v>0</v>
      </c>
      <c r="M1991" s="18" t="n">
        <v>3</v>
      </c>
      <c r="N1991" s="18" t="n">
        <v>3</v>
      </c>
      <c r="O1991" s="18" t="n">
        <v>0</v>
      </c>
      <c r="P1991" s="17" t="n">
        <v>45876</v>
      </c>
      <c r="Q1991" s="17" t="n">
        <v>45876</v>
      </c>
      <c r="R1991" s="17" t="n">
        <v>45876</v>
      </c>
      <c r="S1991" s="19">
        <f>H1991*I1991</f>
        <v/>
      </c>
      <c r="T1991" s="19">
        <f>H1991*J1991</f>
        <v/>
      </c>
      <c r="U1991">
        <f>IF(AND(K1991=0,G1991&lt;=Assumptions!$C$6),1,0)</f>
        <v/>
      </c>
      <c r="V1991">
        <f>IF(U1991=1,IF(M1991&gt;0,IF(P1991&lt;=G1991+Assumptions!$C$7,1,0),0),0)</f>
        <v/>
      </c>
      <c r="W1991">
        <f>IF(AND(U1991=1,M1991&gt;=H1991*(1-Assumptions!$C$8)),1,0)</f>
        <v/>
      </c>
      <c r="X1991">
        <f>IF(AND(U1991=1,N1991&gt;=H1991*(1-Assumptions!$C$8)),1,0)</f>
        <v/>
      </c>
      <c r="Y1991">
        <f>IF(ISNUMBER(Q1991),1,0)</f>
        <v/>
      </c>
      <c r="Z1991">
        <f>IF(AND(K1991=0,L1991=0,Y1991=0),1,0)</f>
        <v/>
      </c>
      <c r="AA1991">
        <f>IF(AND(Z1991=1,G1991&lt;Assumptions!$C$6),1,0)</f>
        <v/>
      </c>
      <c r="AB1991">
        <f>IF(U1991=0,"",IF(Y1991=1,MAX(0,Q1991-G1991),IF(L1991=1,MAX(0,R1991-G1991),MAX(0,Assumptions!$C$6-G1991))))</f>
        <v/>
      </c>
      <c r="AC1991">
        <f>IF(Y1991=1,Q1991-F1991,"")</f>
        <v/>
      </c>
      <c r="AD1991">
        <f>IF(Y1991=1,AC1991^2,"")</f>
        <v/>
      </c>
      <c r="AE1991" s="19">
        <f>IF(Z1991=1,(H1991-M1991)*I1991,0)</f>
        <v/>
      </c>
      <c r="AF1991">
        <f>IF(G1991&lt;EDATE(Assumptions!$C$6,-12)+1,"prior_12m","last_12m")</f>
        <v/>
      </c>
      <c r="AG1991" s="21">
        <f>DATE(YEAR(G1991),MONTH(G1991),1)</f>
        <v/>
      </c>
    </row>
    <row r="1992">
      <c r="A1992" t="inlineStr">
        <is>
          <t>SPO-01077-3</t>
        </is>
      </c>
      <c r="B1992" t="inlineStr">
        <is>
          <t>SPO-01077</t>
        </is>
      </c>
      <c r="C1992" t="inlineStr">
        <is>
          <t>SUP-12</t>
        </is>
      </c>
      <c r="D1992" t="inlineStr">
        <is>
          <t>IT</t>
        </is>
      </c>
      <c r="E1992" t="inlineStr">
        <is>
          <t>IT-07</t>
        </is>
      </c>
      <c r="F1992" s="17" t="n">
        <v>45867</v>
      </c>
      <c r="G1992" s="17" t="n">
        <v>45877</v>
      </c>
      <c r="H1992" s="18" t="n">
        <v>33</v>
      </c>
      <c r="I1992" s="19" t="n">
        <v>83.37</v>
      </c>
      <c r="J1992" s="19" t="n">
        <v>74</v>
      </c>
      <c r="K1992" s="20" t="n">
        <v>0</v>
      </c>
      <c r="L1992" s="20" t="n">
        <v>0</v>
      </c>
      <c r="M1992" s="18" t="n">
        <v>33</v>
      </c>
      <c r="N1992" s="18" t="n">
        <v>33</v>
      </c>
      <c r="O1992" s="18" t="n">
        <v>0</v>
      </c>
      <c r="P1992" s="17" t="n">
        <v>45875</v>
      </c>
      <c r="Q1992" s="17" t="n">
        <v>45875</v>
      </c>
      <c r="R1992" s="17" t="n">
        <v>45875</v>
      </c>
      <c r="S1992" s="19">
        <f>H1992*I1992</f>
        <v/>
      </c>
      <c r="T1992" s="19">
        <f>H1992*J1992</f>
        <v/>
      </c>
      <c r="U1992">
        <f>IF(AND(K1992=0,G1992&lt;=Assumptions!$C$6),1,0)</f>
        <v/>
      </c>
      <c r="V1992">
        <f>IF(U1992=1,IF(M1992&gt;0,IF(P1992&lt;=G1992+Assumptions!$C$7,1,0),0),0)</f>
        <v/>
      </c>
      <c r="W1992">
        <f>IF(AND(U1992=1,M1992&gt;=H1992*(1-Assumptions!$C$8)),1,0)</f>
        <v/>
      </c>
      <c r="X1992">
        <f>IF(AND(U1992=1,N1992&gt;=H1992*(1-Assumptions!$C$8)),1,0)</f>
        <v/>
      </c>
      <c r="Y1992">
        <f>IF(ISNUMBER(Q1992),1,0)</f>
        <v/>
      </c>
      <c r="Z1992">
        <f>IF(AND(K1992=0,L1992=0,Y1992=0),1,0)</f>
        <v/>
      </c>
      <c r="AA1992">
        <f>IF(AND(Z1992=1,G1992&lt;Assumptions!$C$6),1,0)</f>
        <v/>
      </c>
      <c r="AB1992">
        <f>IF(U1992=0,"",IF(Y1992=1,MAX(0,Q1992-G1992),IF(L1992=1,MAX(0,R1992-G1992),MAX(0,Assumptions!$C$6-G1992))))</f>
        <v/>
      </c>
      <c r="AC1992">
        <f>IF(Y1992=1,Q1992-F1992,"")</f>
        <v/>
      </c>
      <c r="AD1992">
        <f>IF(Y1992=1,AC1992^2,"")</f>
        <v/>
      </c>
      <c r="AE1992" s="19">
        <f>IF(Z1992=1,(H1992-M1992)*I1992,0)</f>
        <v/>
      </c>
      <c r="AF1992">
        <f>IF(G1992&lt;EDATE(Assumptions!$C$6,-12)+1,"prior_12m","last_12m")</f>
        <v/>
      </c>
      <c r="AG1992" s="21">
        <f>DATE(YEAR(G1992),MONTH(G1992),1)</f>
        <v/>
      </c>
    </row>
    <row r="1993">
      <c r="A1993" t="inlineStr">
        <is>
          <t>SPO-01078-1</t>
        </is>
      </c>
      <c r="B1993" t="inlineStr">
        <is>
          <t>SPO-01078</t>
        </is>
      </c>
      <c r="C1993" t="inlineStr">
        <is>
          <t>SUP-06</t>
        </is>
      </c>
      <c r="D1993" t="inlineStr">
        <is>
          <t>MRO</t>
        </is>
      </c>
      <c r="E1993" t="inlineStr">
        <is>
          <t>MRO-06</t>
        </is>
      </c>
      <c r="F1993" s="17" t="n">
        <v>45867</v>
      </c>
      <c r="G1993" s="17" t="n">
        <v>45875</v>
      </c>
      <c r="H1993" s="18" t="n">
        <v>329</v>
      </c>
      <c r="I1993" s="19" t="n">
        <v>6.39</v>
      </c>
      <c r="J1993" s="19" t="n">
        <v>6.1</v>
      </c>
      <c r="K1993" s="20" t="n">
        <v>0</v>
      </c>
      <c r="L1993" s="20" t="n">
        <v>0</v>
      </c>
      <c r="M1993" s="18" t="n">
        <v>329</v>
      </c>
      <c r="N1993" s="18" t="n">
        <v>329</v>
      </c>
      <c r="O1993" s="18" t="n">
        <v>0</v>
      </c>
      <c r="P1993" s="17" t="n">
        <v>45873</v>
      </c>
      <c r="Q1993" s="17" t="n">
        <v>45873</v>
      </c>
      <c r="R1993" s="17" t="n">
        <v>45873</v>
      </c>
      <c r="S1993" s="19">
        <f>H1993*I1993</f>
        <v/>
      </c>
      <c r="T1993" s="19">
        <f>H1993*J1993</f>
        <v/>
      </c>
      <c r="U1993">
        <f>IF(AND(K1993=0,G1993&lt;=Assumptions!$C$6),1,0)</f>
        <v/>
      </c>
      <c r="V1993">
        <f>IF(U1993=1,IF(M1993&gt;0,IF(P1993&lt;=G1993+Assumptions!$C$7,1,0),0),0)</f>
        <v/>
      </c>
      <c r="W1993">
        <f>IF(AND(U1993=1,M1993&gt;=H1993*(1-Assumptions!$C$8)),1,0)</f>
        <v/>
      </c>
      <c r="X1993">
        <f>IF(AND(U1993=1,N1993&gt;=H1993*(1-Assumptions!$C$8)),1,0)</f>
        <v/>
      </c>
      <c r="Y1993">
        <f>IF(ISNUMBER(Q1993),1,0)</f>
        <v/>
      </c>
      <c r="Z1993">
        <f>IF(AND(K1993=0,L1993=0,Y1993=0),1,0)</f>
        <v/>
      </c>
      <c r="AA1993">
        <f>IF(AND(Z1993=1,G1993&lt;Assumptions!$C$6),1,0)</f>
        <v/>
      </c>
      <c r="AB1993">
        <f>IF(U1993=0,"",IF(Y1993=1,MAX(0,Q1993-G1993),IF(L1993=1,MAX(0,R1993-G1993),MAX(0,Assumptions!$C$6-G1993))))</f>
        <v/>
      </c>
      <c r="AC1993">
        <f>IF(Y1993=1,Q1993-F1993,"")</f>
        <v/>
      </c>
      <c r="AD1993">
        <f>IF(Y1993=1,AC1993^2,"")</f>
        <v/>
      </c>
      <c r="AE1993" s="19">
        <f>IF(Z1993=1,(H1993-M1993)*I1993,0)</f>
        <v/>
      </c>
      <c r="AF1993">
        <f>IF(G1993&lt;EDATE(Assumptions!$C$6,-12)+1,"prior_12m","last_12m")</f>
        <v/>
      </c>
      <c r="AG1993" s="21">
        <f>DATE(YEAR(G1993),MONTH(G1993),1)</f>
        <v/>
      </c>
    </row>
    <row r="1994">
      <c r="A1994" t="inlineStr">
        <is>
          <t>SPO-01078-2</t>
        </is>
      </c>
      <c r="B1994" t="inlineStr">
        <is>
          <t>SPO-01078</t>
        </is>
      </c>
      <c r="C1994" t="inlineStr">
        <is>
          <t>SUP-06</t>
        </is>
      </c>
      <c r="D1994" t="inlineStr">
        <is>
          <t>MRO</t>
        </is>
      </c>
      <c r="E1994" t="inlineStr">
        <is>
          <t>MRO-03</t>
        </is>
      </c>
      <c r="F1994" s="17" t="n">
        <v>45867</v>
      </c>
      <c r="G1994" s="17" t="n">
        <v>45875</v>
      </c>
      <c r="H1994" s="18" t="n">
        <v>108</v>
      </c>
      <c r="I1994" s="19" t="n">
        <v>8.56</v>
      </c>
      <c r="J1994" s="19" t="n">
        <v>8.9</v>
      </c>
      <c r="K1994" s="20" t="n">
        <v>0</v>
      </c>
      <c r="L1994" s="20" t="n">
        <v>0</v>
      </c>
      <c r="M1994" s="18" t="n">
        <v>108</v>
      </c>
      <c r="N1994" s="18" t="n">
        <v>108</v>
      </c>
      <c r="O1994" s="18" t="n">
        <v>0</v>
      </c>
      <c r="P1994" s="17" t="n">
        <v>45872</v>
      </c>
      <c r="Q1994" s="17" t="n">
        <v>45872</v>
      </c>
      <c r="R1994" s="17" t="n">
        <v>45872</v>
      </c>
      <c r="S1994" s="19">
        <f>H1994*I1994</f>
        <v/>
      </c>
      <c r="T1994" s="19">
        <f>H1994*J1994</f>
        <v/>
      </c>
      <c r="U1994">
        <f>IF(AND(K1994=0,G1994&lt;=Assumptions!$C$6),1,0)</f>
        <v/>
      </c>
      <c r="V1994">
        <f>IF(U1994=1,IF(M1994&gt;0,IF(P1994&lt;=G1994+Assumptions!$C$7,1,0),0),0)</f>
        <v/>
      </c>
      <c r="W1994">
        <f>IF(AND(U1994=1,M1994&gt;=H1994*(1-Assumptions!$C$8)),1,0)</f>
        <v/>
      </c>
      <c r="X1994">
        <f>IF(AND(U1994=1,N1994&gt;=H1994*(1-Assumptions!$C$8)),1,0)</f>
        <v/>
      </c>
      <c r="Y1994">
        <f>IF(ISNUMBER(Q1994),1,0)</f>
        <v/>
      </c>
      <c r="Z1994">
        <f>IF(AND(K1994=0,L1994=0,Y1994=0),1,0)</f>
        <v/>
      </c>
      <c r="AA1994">
        <f>IF(AND(Z1994=1,G1994&lt;Assumptions!$C$6),1,0)</f>
        <v/>
      </c>
      <c r="AB1994">
        <f>IF(U1994=0,"",IF(Y1994=1,MAX(0,Q1994-G1994),IF(L1994=1,MAX(0,R1994-G1994),MAX(0,Assumptions!$C$6-G1994))))</f>
        <v/>
      </c>
      <c r="AC1994">
        <f>IF(Y1994=1,Q1994-F1994,"")</f>
        <v/>
      </c>
      <c r="AD1994">
        <f>IF(Y1994=1,AC1994^2,"")</f>
        <v/>
      </c>
      <c r="AE1994" s="19">
        <f>IF(Z1994=1,(H1994-M1994)*I1994,0)</f>
        <v/>
      </c>
      <c r="AF1994">
        <f>IF(G1994&lt;EDATE(Assumptions!$C$6,-12)+1,"prior_12m","last_12m")</f>
        <v/>
      </c>
      <c r="AG1994" s="21">
        <f>DATE(YEAR(G1994),MONTH(G1994),1)</f>
        <v/>
      </c>
    </row>
    <row r="1995">
      <c r="A1995" t="inlineStr">
        <is>
          <t>SPO-01079-1</t>
        </is>
      </c>
      <c r="B1995" t="inlineStr">
        <is>
          <t>SPO-01079</t>
        </is>
      </c>
      <c r="C1995" t="inlineStr">
        <is>
          <t>SUP-02</t>
        </is>
      </c>
      <c r="D1995" t="inlineStr">
        <is>
          <t>ELEC</t>
        </is>
      </c>
      <c r="E1995" t="inlineStr">
        <is>
          <t>ELEC-04</t>
        </is>
      </c>
      <c r="F1995" s="17" t="n">
        <v>45867</v>
      </c>
      <c r="G1995" s="17" t="n">
        <v>45883</v>
      </c>
      <c r="H1995" s="18" t="n">
        <v>15</v>
      </c>
      <c r="I1995" s="19" t="n">
        <v>73.08</v>
      </c>
      <c r="J1995" s="19" t="n">
        <v>72</v>
      </c>
      <c r="K1995" s="20" t="n">
        <v>0</v>
      </c>
      <c r="L1995" s="20" t="n">
        <v>0</v>
      </c>
      <c r="M1995" s="18" t="n">
        <v>15</v>
      </c>
      <c r="N1995" s="18" t="n">
        <v>15</v>
      </c>
      <c r="O1995" s="18" t="n">
        <v>0</v>
      </c>
      <c r="P1995" s="17" t="n">
        <v>45877</v>
      </c>
      <c r="Q1995" s="17" t="n">
        <v>45877</v>
      </c>
      <c r="R1995" s="17" t="n">
        <v>45877</v>
      </c>
      <c r="S1995" s="19">
        <f>H1995*I1995</f>
        <v/>
      </c>
      <c r="T1995" s="19">
        <f>H1995*J1995</f>
        <v/>
      </c>
      <c r="U1995">
        <f>IF(AND(K1995=0,G1995&lt;=Assumptions!$C$6),1,0)</f>
        <v/>
      </c>
      <c r="V1995">
        <f>IF(U1995=1,IF(M1995&gt;0,IF(P1995&lt;=G1995+Assumptions!$C$7,1,0),0),0)</f>
        <v/>
      </c>
      <c r="W1995">
        <f>IF(AND(U1995=1,M1995&gt;=H1995*(1-Assumptions!$C$8)),1,0)</f>
        <v/>
      </c>
      <c r="X1995">
        <f>IF(AND(U1995=1,N1995&gt;=H1995*(1-Assumptions!$C$8)),1,0)</f>
        <v/>
      </c>
      <c r="Y1995">
        <f>IF(ISNUMBER(Q1995),1,0)</f>
        <v/>
      </c>
      <c r="Z1995">
        <f>IF(AND(K1995=0,L1995=0,Y1995=0),1,0)</f>
        <v/>
      </c>
      <c r="AA1995">
        <f>IF(AND(Z1995=1,G1995&lt;Assumptions!$C$6),1,0)</f>
        <v/>
      </c>
      <c r="AB1995">
        <f>IF(U1995=0,"",IF(Y1995=1,MAX(0,Q1995-G1995),IF(L1995=1,MAX(0,R1995-G1995),MAX(0,Assumptions!$C$6-G1995))))</f>
        <v/>
      </c>
      <c r="AC1995">
        <f>IF(Y1995=1,Q1995-F1995,"")</f>
        <v/>
      </c>
      <c r="AD1995">
        <f>IF(Y1995=1,AC1995^2,"")</f>
        <v/>
      </c>
      <c r="AE1995" s="19">
        <f>IF(Z1995=1,(H1995-M1995)*I1995,0)</f>
        <v/>
      </c>
      <c r="AF1995">
        <f>IF(G1995&lt;EDATE(Assumptions!$C$6,-12)+1,"prior_12m","last_12m")</f>
        <v/>
      </c>
      <c r="AG1995" s="21">
        <f>DATE(YEAR(G1995),MONTH(G1995),1)</f>
        <v/>
      </c>
    </row>
    <row r="1996">
      <c r="A1996" t="inlineStr">
        <is>
          <t>SPO-01080-1</t>
        </is>
      </c>
      <c r="B1996" t="inlineStr">
        <is>
          <t>SPO-01080</t>
        </is>
      </c>
      <c r="C1996" t="inlineStr">
        <is>
          <t>SUP-05</t>
        </is>
      </c>
      <c r="D1996" t="inlineStr">
        <is>
          <t>FLEET</t>
        </is>
      </c>
      <c r="E1996" t="inlineStr">
        <is>
          <t>FLEET-01</t>
        </is>
      </c>
      <c r="F1996" s="17" t="n">
        <v>45868</v>
      </c>
      <c r="G1996" s="17" t="n">
        <v>45882</v>
      </c>
      <c r="H1996" s="18" t="n">
        <v>20</v>
      </c>
      <c r="I1996" s="19" t="n">
        <v>65.09</v>
      </c>
      <c r="J1996" s="19" t="n">
        <v>64</v>
      </c>
      <c r="K1996" s="20" t="n">
        <v>0</v>
      </c>
      <c r="L1996" s="20" t="n">
        <v>0</v>
      </c>
      <c r="M1996" s="18" t="n">
        <v>20</v>
      </c>
      <c r="N1996" s="18" t="n">
        <v>20</v>
      </c>
      <c r="O1996" s="18" t="n">
        <v>0</v>
      </c>
      <c r="P1996" s="17" t="n">
        <v>45879</v>
      </c>
      <c r="Q1996" s="17" t="n">
        <v>45879</v>
      </c>
      <c r="R1996" s="17" t="n">
        <v>45879</v>
      </c>
      <c r="S1996" s="19">
        <f>H1996*I1996</f>
        <v/>
      </c>
      <c r="T1996" s="19">
        <f>H1996*J1996</f>
        <v/>
      </c>
      <c r="U1996">
        <f>IF(AND(K1996=0,G1996&lt;=Assumptions!$C$6),1,0)</f>
        <v/>
      </c>
      <c r="V1996">
        <f>IF(U1996=1,IF(M1996&gt;0,IF(P1996&lt;=G1996+Assumptions!$C$7,1,0),0),0)</f>
        <v/>
      </c>
      <c r="W1996">
        <f>IF(AND(U1996=1,M1996&gt;=H1996*(1-Assumptions!$C$8)),1,0)</f>
        <v/>
      </c>
      <c r="X1996">
        <f>IF(AND(U1996=1,N1996&gt;=H1996*(1-Assumptions!$C$8)),1,0)</f>
        <v/>
      </c>
      <c r="Y1996">
        <f>IF(ISNUMBER(Q1996),1,0)</f>
        <v/>
      </c>
      <c r="Z1996">
        <f>IF(AND(K1996=0,L1996=0,Y1996=0),1,0)</f>
        <v/>
      </c>
      <c r="AA1996">
        <f>IF(AND(Z1996=1,G1996&lt;Assumptions!$C$6),1,0)</f>
        <v/>
      </c>
      <c r="AB1996">
        <f>IF(U1996=0,"",IF(Y1996=1,MAX(0,Q1996-G1996),IF(L1996=1,MAX(0,R1996-G1996),MAX(0,Assumptions!$C$6-G1996))))</f>
        <v/>
      </c>
      <c r="AC1996">
        <f>IF(Y1996=1,Q1996-F1996,"")</f>
        <v/>
      </c>
      <c r="AD1996">
        <f>IF(Y1996=1,AC1996^2,"")</f>
        <v/>
      </c>
      <c r="AE1996" s="19">
        <f>IF(Z1996=1,(H1996-M1996)*I1996,0)</f>
        <v/>
      </c>
      <c r="AF1996">
        <f>IF(G1996&lt;EDATE(Assumptions!$C$6,-12)+1,"prior_12m","last_12m")</f>
        <v/>
      </c>
      <c r="AG1996" s="21">
        <f>DATE(YEAR(G1996),MONTH(G1996),1)</f>
        <v/>
      </c>
    </row>
    <row r="1997">
      <c r="A1997" t="inlineStr">
        <is>
          <t>SPO-01081-1</t>
        </is>
      </c>
      <c r="B1997" t="inlineStr">
        <is>
          <t>SPO-01081</t>
        </is>
      </c>
      <c r="C1997" t="inlineStr">
        <is>
          <t>SUP-01</t>
        </is>
      </c>
      <c r="D1997" t="inlineStr">
        <is>
          <t>ELEC</t>
        </is>
      </c>
      <c r="E1997" t="inlineStr">
        <is>
          <t>ELEC-04</t>
        </is>
      </c>
      <c r="F1997" s="17" t="n">
        <v>45868</v>
      </c>
      <c r="G1997" s="17" t="n">
        <v>45886</v>
      </c>
      <c r="H1997" s="18" t="n">
        <v>33</v>
      </c>
      <c r="I1997" s="19" t="n">
        <v>74.08</v>
      </c>
      <c r="J1997" s="19" t="n">
        <v>72</v>
      </c>
      <c r="K1997" s="20" t="n">
        <v>0</v>
      </c>
      <c r="L1997" s="20" t="n">
        <v>0</v>
      </c>
      <c r="M1997" s="18" t="n">
        <v>33</v>
      </c>
      <c r="N1997" s="18" t="n">
        <v>33</v>
      </c>
      <c r="O1997" s="18" t="n">
        <v>0</v>
      </c>
      <c r="P1997" s="17" t="n">
        <v>45885</v>
      </c>
      <c r="Q1997" s="17" t="n">
        <v>45885</v>
      </c>
      <c r="R1997" s="17" t="n">
        <v>45885</v>
      </c>
      <c r="S1997" s="19">
        <f>H1997*I1997</f>
        <v/>
      </c>
      <c r="T1997" s="19">
        <f>H1997*J1997</f>
        <v/>
      </c>
      <c r="U1997">
        <f>IF(AND(K1997=0,G1997&lt;=Assumptions!$C$6),1,0)</f>
        <v/>
      </c>
      <c r="V1997">
        <f>IF(U1997=1,IF(M1997&gt;0,IF(P1997&lt;=G1997+Assumptions!$C$7,1,0),0),0)</f>
        <v/>
      </c>
      <c r="W1997">
        <f>IF(AND(U1997=1,M1997&gt;=H1997*(1-Assumptions!$C$8)),1,0)</f>
        <v/>
      </c>
      <c r="X1997">
        <f>IF(AND(U1997=1,N1997&gt;=H1997*(1-Assumptions!$C$8)),1,0)</f>
        <v/>
      </c>
      <c r="Y1997">
        <f>IF(ISNUMBER(Q1997),1,0)</f>
        <v/>
      </c>
      <c r="Z1997">
        <f>IF(AND(K1997=0,L1997=0,Y1997=0),1,0)</f>
        <v/>
      </c>
      <c r="AA1997">
        <f>IF(AND(Z1997=1,G1997&lt;Assumptions!$C$6),1,0)</f>
        <v/>
      </c>
      <c r="AB1997">
        <f>IF(U1997=0,"",IF(Y1997=1,MAX(0,Q1997-G1997),IF(L1997=1,MAX(0,R1997-G1997),MAX(0,Assumptions!$C$6-G1997))))</f>
        <v/>
      </c>
      <c r="AC1997">
        <f>IF(Y1997=1,Q1997-F1997,"")</f>
        <v/>
      </c>
      <c r="AD1997">
        <f>IF(Y1997=1,AC1997^2,"")</f>
        <v/>
      </c>
      <c r="AE1997" s="19">
        <f>IF(Z1997=1,(H1997-M1997)*I1997,0)</f>
        <v/>
      </c>
      <c r="AF1997">
        <f>IF(G1997&lt;EDATE(Assumptions!$C$6,-12)+1,"prior_12m","last_12m")</f>
        <v/>
      </c>
      <c r="AG1997" s="21">
        <f>DATE(YEAR(G1997),MONTH(G1997),1)</f>
        <v/>
      </c>
    </row>
    <row r="1998">
      <c r="A1998" t="inlineStr">
        <is>
          <t>SPO-01081-2</t>
        </is>
      </c>
      <c r="B1998" t="inlineStr">
        <is>
          <t>SPO-01081</t>
        </is>
      </c>
      <c r="C1998" t="inlineStr">
        <is>
          <t>SUP-01</t>
        </is>
      </c>
      <c r="D1998" t="inlineStr">
        <is>
          <t>ELEC</t>
        </is>
      </c>
      <c r="E1998" t="inlineStr">
        <is>
          <t>ELEC-02</t>
        </is>
      </c>
      <c r="F1998" s="17" t="n">
        <v>45868</v>
      </c>
      <c r="G1998" s="17" t="n">
        <v>45886</v>
      </c>
      <c r="H1998" s="18" t="n">
        <v>351</v>
      </c>
      <c r="I1998" s="19" t="n">
        <v>4.35</v>
      </c>
      <c r="J1998" s="19" t="n">
        <v>4.2</v>
      </c>
      <c r="K1998" s="20" t="n">
        <v>0</v>
      </c>
      <c r="L1998" s="20" t="n">
        <v>0</v>
      </c>
      <c r="M1998" s="18" t="n">
        <v>351</v>
      </c>
      <c r="N1998" s="18" t="n">
        <v>351</v>
      </c>
      <c r="O1998" s="18" t="n">
        <v>0</v>
      </c>
      <c r="P1998" s="17" t="n">
        <v>45886</v>
      </c>
      <c r="Q1998" s="17" t="n">
        <v>45886</v>
      </c>
      <c r="R1998" s="17" t="n">
        <v>45886</v>
      </c>
      <c r="S1998" s="19">
        <f>H1998*I1998</f>
        <v/>
      </c>
      <c r="T1998" s="19">
        <f>H1998*J1998</f>
        <v/>
      </c>
      <c r="U1998">
        <f>IF(AND(K1998=0,G1998&lt;=Assumptions!$C$6),1,0)</f>
        <v/>
      </c>
      <c r="V1998">
        <f>IF(U1998=1,IF(M1998&gt;0,IF(P1998&lt;=G1998+Assumptions!$C$7,1,0),0),0)</f>
        <v/>
      </c>
      <c r="W1998">
        <f>IF(AND(U1998=1,M1998&gt;=H1998*(1-Assumptions!$C$8)),1,0)</f>
        <v/>
      </c>
      <c r="X1998">
        <f>IF(AND(U1998=1,N1998&gt;=H1998*(1-Assumptions!$C$8)),1,0)</f>
        <v/>
      </c>
      <c r="Y1998">
        <f>IF(ISNUMBER(Q1998),1,0)</f>
        <v/>
      </c>
      <c r="Z1998">
        <f>IF(AND(K1998=0,L1998=0,Y1998=0),1,0)</f>
        <v/>
      </c>
      <c r="AA1998">
        <f>IF(AND(Z1998=1,G1998&lt;Assumptions!$C$6),1,0)</f>
        <v/>
      </c>
      <c r="AB1998">
        <f>IF(U1998=0,"",IF(Y1998=1,MAX(0,Q1998-G1998),IF(L1998=1,MAX(0,R1998-G1998),MAX(0,Assumptions!$C$6-G1998))))</f>
        <v/>
      </c>
      <c r="AC1998">
        <f>IF(Y1998=1,Q1998-F1998,"")</f>
        <v/>
      </c>
      <c r="AD1998">
        <f>IF(Y1998=1,AC1998^2,"")</f>
        <v/>
      </c>
      <c r="AE1998" s="19">
        <f>IF(Z1998=1,(H1998-M1998)*I1998,0)</f>
        <v/>
      </c>
      <c r="AF1998">
        <f>IF(G1998&lt;EDATE(Assumptions!$C$6,-12)+1,"prior_12m","last_12m")</f>
        <v/>
      </c>
      <c r="AG1998" s="21">
        <f>DATE(YEAR(G1998),MONTH(G1998),1)</f>
        <v/>
      </c>
    </row>
    <row r="1999">
      <c r="A1999" t="inlineStr">
        <is>
          <t>SPO-01081-3</t>
        </is>
      </c>
      <c r="B1999" t="inlineStr">
        <is>
          <t>SPO-01081</t>
        </is>
      </c>
      <c r="C1999" t="inlineStr">
        <is>
          <t>SUP-01</t>
        </is>
      </c>
      <c r="D1999" t="inlineStr">
        <is>
          <t>ELEC</t>
        </is>
      </c>
      <c r="E1999" t="inlineStr">
        <is>
          <t>ELEC-07</t>
        </is>
      </c>
      <c r="F1999" s="17" t="n">
        <v>45868</v>
      </c>
      <c r="G1999" s="17" t="n">
        <v>45886</v>
      </c>
      <c r="H1999" s="18" t="n">
        <v>78</v>
      </c>
      <c r="I1999" s="19" t="n">
        <v>10.11</v>
      </c>
      <c r="J1999" s="19" t="n">
        <v>9.800000000000001</v>
      </c>
      <c r="K1999" s="20" t="n">
        <v>0</v>
      </c>
      <c r="L1999" s="20" t="n">
        <v>0</v>
      </c>
      <c r="M1999" s="18" t="n">
        <v>78</v>
      </c>
      <c r="N1999" s="18" t="n">
        <v>78</v>
      </c>
      <c r="O1999" s="18" t="n">
        <v>0</v>
      </c>
      <c r="P1999" s="17" t="n">
        <v>45884</v>
      </c>
      <c r="Q1999" s="17" t="n">
        <v>45884</v>
      </c>
      <c r="R1999" s="17" t="n">
        <v>45884</v>
      </c>
      <c r="S1999" s="19">
        <f>H1999*I1999</f>
        <v/>
      </c>
      <c r="T1999" s="19">
        <f>H1999*J1999</f>
        <v/>
      </c>
      <c r="U1999">
        <f>IF(AND(K1999=0,G1999&lt;=Assumptions!$C$6),1,0)</f>
        <v/>
      </c>
      <c r="V1999">
        <f>IF(U1999=1,IF(M1999&gt;0,IF(P1999&lt;=G1999+Assumptions!$C$7,1,0),0),0)</f>
        <v/>
      </c>
      <c r="W1999">
        <f>IF(AND(U1999=1,M1999&gt;=H1999*(1-Assumptions!$C$8)),1,0)</f>
        <v/>
      </c>
      <c r="X1999">
        <f>IF(AND(U1999=1,N1999&gt;=H1999*(1-Assumptions!$C$8)),1,0)</f>
        <v/>
      </c>
      <c r="Y1999">
        <f>IF(ISNUMBER(Q1999),1,0)</f>
        <v/>
      </c>
      <c r="Z1999">
        <f>IF(AND(K1999=0,L1999=0,Y1999=0),1,0)</f>
        <v/>
      </c>
      <c r="AA1999">
        <f>IF(AND(Z1999=1,G1999&lt;Assumptions!$C$6),1,0)</f>
        <v/>
      </c>
      <c r="AB1999">
        <f>IF(U1999=0,"",IF(Y1999=1,MAX(0,Q1999-G1999),IF(L1999=1,MAX(0,R1999-G1999),MAX(0,Assumptions!$C$6-G1999))))</f>
        <v/>
      </c>
      <c r="AC1999">
        <f>IF(Y1999=1,Q1999-F1999,"")</f>
        <v/>
      </c>
      <c r="AD1999">
        <f>IF(Y1999=1,AC1999^2,"")</f>
        <v/>
      </c>
      <c r="AE1999" s="19">
        <f>IF(Z1999=1,(H1999-M1999)*I1999,0)</f>
        <v/>
      </c>
      <c r="AF1999">
        <f>IF(G1999&lt;EDATE(Assumptions!$C$6,-12)+1,"prior_12m","last_12m")</f>
        <v/>
      </c>
      <c r="AG1999" s="21">
        <f>DATE(YEAR(G1999),MONTH(G1999),1)</f>
        <v/>
      </c>
    </row>
    <row r="2000">
      <c r="A2000" t="inlineStr">
        <is>
          <t>SPO-01082-1</t>
        </is>
      </c>
      <c r="B2000" t="inlineStr">
        <is>
          <t>SPO-01082</t>
        </is>
      </c>
      <c r="C2000" t="inlineStr">
        <is>
          <t>SUP-02</t>
        </is>
      </c>
      <c r="D2000" t="inlineStr">
        <is>
          <t>ELEC</t>
        </is>
      </c>
      <c r="E2000" t="inlineStr">
        <is>
          <t>ELEC-03</t>
        </is>
      </c>
      <c r="F2000" s="17" t="n">
        <v>45868</v>
      </c>
      <c r="G2000" s="17" t="n">
        <v>45884</v>
      </c>
      <c r="H2000" s="18" t="n">
        <v>15</v>
      </c>
      <c r="I2000" s="19" t="n">
        <v>94.68000000000001</v>
      </c>
      <c r="J2000" s="19" t="n">
        <v>96</v>
      </c>
      <c r="K2000" s="20" t="n">
        <v>0</v>
      </c>
      <c r="L2000" s="20" t="n">
        <v>0</v>
      </c>
      <c r="M2000" s="18" t="n">
        <v>15</v>
      </c>
      <c r="N2000" s="18" t="n">
        <v>15</v>
      </c>
      <c r="O2000" s="18" t="n">
        <v>0</v>
      </c>
      <c r="P2000" s="17" t="n">
        <v>45883</v>
      </c>
      <c r="Q2000" s="17" t="n">
        <v>45883</v>
      </c>
      <c r="R2000" s="17" t="n">
        <v>45883</v>
      </c>
      <c r="S2000" s="19">
        <f>H2000*I2000</f>
        <v/>
      </c>
      <c r="T2000" s="19">
        <f>H2000*J2000</f>
        <v/>
      </c>
      <c r="U2000">
        <f>IF(AND(K2000=0,G2000&lt;=Assumptions!$C$6),1,0)</f>
        <v/>
      </c>
      <c r="V2000">
        <f>IF(U2000=1,IF(M2000&gt;0,IF(P2000&lt;=G2000+Assumptions!$C$7,1,0),0),0)</f>
        <v/>
      </c>
      <c r="W2000">
        <f>IF(AND(U2000=1,M2000&gt;=H2000*(1-Assumptions!$C$8)),1,0)</f>
        <v/>
      </c>
      <c r="X2000">
        <f>IF(AND(U2000=1,N2000&gt;=H2000*(1-Assumptions!$C$8)),1,0)</f>
        <v/>
      </c>
      <c r="Y2000">
        <f>IF(ISNUMBER(Q2000),1,0)</f>
        <v/>
      </c>
      <c r="Z2000">
        <f>IF(AND(K2000=0,L2000=0,Y2000=0),1,0)</f>
        <v/>
      </c>
      <c r="AA2000">
        <f>IF(AND(Z2000=1,G2000&lt;Assumptions!$C$6),1,0)</f>
        <v/>
      </c>
      <c r="AB2000">
        <f>IF(U2000=0,"",IF(Y2000=1,MAX(0,Q2000-G2000),IF(L2000=1,MAX(0,R2000-G2000),MAX(0,Assumptions!$C$6-G2000))))</f>
        <v/>
      </c>
      <c r="AC2000">
        <f>IF(Y2000=1,Q2000-F2000,"")</f>
        <v/>
      </c>
      <c r="AD2000">
        <f>IF(Y2000=1,AC2000^2,"")</f>
        <v/>
      </c>
      <c r="AE2000" s="19">
        <f>IF(Z2000=1,(H2000-M2000)*I2000,0)</f>
        <v/>
      </c>
      <c r="AF2000">
        <f>IF(G2000&lt;EDATE(Assumptions!$C$6,-12)+1,"prior_12m","last_12m")</f>
        <v/>
      </c>
      <c r="AG2000" s="21">
        <f>DATE(YEAR(G2000),MONTH(G2000),1)</f>
        <v/>
      </c>
    </row>
    <row r="2001">
      <c r="A2001" t="inlineStr">
        <is>
          <t>SPO-01082-2</t>
        </is>
      </c>
      <c r="B2001" t="inlineStr">
        <is>
          <t>SPO-01082</t>
        </is>
      </c>
      <c r="C2001" t="inlineStr">
        <is>
          <t>SUP-02</t>
        </is>
      </c>
      <c r="D2001" t="inlineStr">
        <is>
          <t>ELEC</t>
        </is>
      </c>
      <c r="E2001" t="inlineStr">
        <is>
          <t>ELEC-07</t>
        </is>
      </c>
      <c r="F2001" s="17" t="n">
        <v>45868</v>
      </c>
      <c r="G2001" s="17" t="n">
        <v>45884</v>
      </c>
      <c r="H2001" s="18" t="n">
        <v>198</v>
      </c>
      <c r="I2001" s="19" t="n">
        <v>9.890000000000001</v>
      </c>
      <c r="J2001" s="19" t="n">
        <v>9.800000000000001</v>
      </c>
      <c r="K2001" s="20" t="n">
        <v>0</v>
      </c>
      <c r="L2001" s="20" t="n">
        <v>0</v>
      </c>
      <c r="M2001" s="18" t="n">
        <v>198</v>
      </c>
      <c r="N2001" s="18" t="n">
        <v>198</v>
      </c>
      <c r="O2001" s="18" t="n">
        <v>0</v>
      </c>
      <c r="P2001" s="17" t="n">
        <v>45883</v>
      </c>
      <c r="Q2001" s="17" t="n">
        <v>45883</v>
      </c>
      <c r="R2001" s="17" t="n">
        <v>45883</v>
      </c>
      <c r="S2001" s="19">
        <f>H2001*I2001</f>
        <v/>
      </c>
      <c r="T2001" s="19">
        <f>H2001*J2001</f>
        <v/>
      </c>
      <c r="U2001">
        <f>IF(AND(K2001=0,G2001&lt;=Assumptions!$C$6),1,0)</f>
        <v/>
      </c>
      <c r="V2001">
        <f>IF(U2001=1,IF(M2001&gt;0,IF(P2001&lt;=G2001+Assumptions!$C$7,1,0),0),0)</f>
        <v/>
      </c>
      <c r="W2001">
        <f>IF(AND(U2001=1,M2001&gt;=H2001*(1-Assumptions!$C$8)),1,0)</f>
        <v/>
      </c>
      <c r="X2001">
        <f>IF(AND(U2001=1,N2001&gt;=H2001*(1-Assumptions!$C$8)),1,0)</f>
        <v/>
      </c>
      <c r="Y2001">
        <f>IF(ISNUMBER(Q2001),1,0)</f>
        <v/>
      </c>
      <c r="Z2001">
        <f>IF(AND(K2001=0,L2001=0,Y2001=0),1,0)</f>
        <v/>
      </c>
      <c r="AA2001">
        <f>IF(AND(Z2001=1,G2001&lt;Assumptions!$C$6),1,0)</f>
        <v/>
      </c>
      <c r="AB2001">
        <f>IF(U2001=0,"",IF(Y2001=1,MAX(0,Q2001-G2001),IF(L2001=1,MAX(0,R2001-G2001),MAX(0,Assumptions!$C$6-G2001))))</f>
        <v/>
      </c>
      <c r="AC2001">
        <f>IF(Y2001=1,Q2001-F2001,"")</f>
        <v/>
      </c>
      <c r="AD2001">
        <f>IF(Y2001=1,AC2001^2,"")</f>
        <v/>
      </c>
      <c r="AE2001" s="19">
        <f>IF(Z2001=1,(H2001-M2001)*I2001,0)</f>
        <v/>
      </c>
      <c r="AF2001">
        <f>IF(G2001&lt;EDATE(Assumptions!$C$6,-12)+1,"prior_12m","last_12m")</f>
        <v/>
      </c>
      <c r="AG2001" s="21">
        <f>DATE(YEAR(G2001),MONTH(G2001),1)</f>
        <v/>
      </c>
    </row>
    <row r="2002">
      <c r="A2002" t="inlineStr">
        <is>
          <t>SPO-01083-1</t>
        </is>
      </c>
      <c r="B2002" t="inlineStr">
        <is>
          <t>SPO-01083</t>
        </is>
      </c>
      <c r="C2002" t="inlineStr">
        <is>
          <t>SUP-01</t>
        </is>
      </c>
      <c r="D2002" t="inlineStr">
        <is>
          <t>ELEC</t>
        </is>
      </c>
      <c r="E2002" t="inlineStr">
        <is>
          <t>ELEC-06</t>
        </is>
      </c>
      <c r="F2002" s="17" t="n">
        <v>45869</v>
      </c>
      <c r="G2002" s="17" t="n">
        <v>45887</v>
      </c>
      <c r="H2002" s="18" t="n">
        <v>9</v>
      </c>
      <c r="I2002" s="19" t="n">
        <v>148.06</v>
      </c>
      <c r="J2002" s="19" t="n">
        <v>145</v>
      </c>
      <c r="K2002" s="20" t="n">
        <v>0</v>
      </c>
      <c r="L2002" s="20" t="n">
        <v>0</v>
      </c>
      <c r="M2002" s="18" t="n">
        <v>9</v>
      </c>
      <c r="N2002" s="18" t="n">
        <v>9</v>
      </c>
      <c r="O2002" s="18" t="n">
        <v>0</v>
      </c>
      <c r="P2002" s="17" t="n">
        <v>45883</v>
      </c>
      <c r="Q2002" s="17" t="n">
        <v>45883</v>
      </c>
      <c r="R2002" s="17" t="n">
        <v>45883</v>
      </c>
      <c r="S2002" s="19">
        <f>H2002*I2002</f>
        <v/>
      </c>
      <c r="T2002" s="19">
        <f>H2002*J2002</f>
        <v/>
      </c>
      <c r="U2002">
        <f>IF(AND(K2002=0,G2002&lt;=Assumptions!$C$6),1,0)</f>
        <v/>
      </c>
      <c r="V2002">
        <f>IF(U2002=1,IF(M2002&gt;0,IF(P2002&lt;=G2002+Assumptions!$C$7,1,0),0),0)</f>
        <v/>
      </c>
      <c r="W2002">
        <f>IF(AND(U2002=1,M2002&gt;=H2002*(1-Assumptions!$C$8)),1,0)</f>
        <v/>
      </c>
      <c r="X2002">
        <f>IF(AND(U2002=1,N2002&gt;=H2002*(1-Assumptions!$C$8)),1,0)</f>
        <v/>
      </c>
      <c r="Y2002">
        <f>IF(ISNUMBER(Q2002),1,0)</f>
        <v/>
      </c>
      <c r="Z2002">
        <f>IF(AND(K2002=0,L2002=0,Y2002=0),1,0)</f>
        <v/>
      </c>
      <c r="AA2002">
        <f>IF(AND(Z2002=1,G2002&lt;Assumptions!$C$6),1,0)</f>
        <v/>
      </c>
      <c r="AB2002">
        <f>IF(U2002=0,"",IF(Y2002=1,MAX(0,Q2002-G2002),IF(L2002=1,MAX(0,R2002-G2002),MAX(0,Assumptions!$C$6-G2002))))</f>
        <v/>
      </c>
      <c r="AC2002">
        <f>IF(Y2002=1,Q2002-F2002,"")</f>
        <v/>
      </c>
      <c r="AD2002">
        <f>IF(Y2002=1,AC2002^2,"")</f>
        <v/>
      </c>
      <c r="AE2002" s="19">
        <f>IF(Z2002=1,(H2002-M2002)*I2002,0)</f>
        <v/>
      </c>
      <c r="AF2002">
        <f>IF(G2002&lt;EDATE(Assumptions!$C$6,-12)+1,"prior_12m","last_12m")</f>
        <v/>
      </c>
      <c r="AG2002" s="21">
        <f>DATE(YEAR(G2002),MONTH(G2002),1)</f>
        <v/>
      </c>
    </row>
    <row r="2003">
      <c r="A2003" t="inlineStr">
        <is>
          <t>SPO-01083-2</t>
        </is>
      </c>
      <c r="B2003" t="inlineStr">
        <is>
          <t>SPO-01083</t>
        </is>
      </c>
      <c r="C2003" t="inlineStr">
        <is>
          <t>SUP-01</t>
        </is>
      </c>
      <c r="D2003" t="inlineStr">
        <is>
          <t>ELEC</t>
        </is>
      </c>
      <c r="E2003" t="inlineStr">
        <is>
          <t>ELEC-01</t>
        </is>
      </c>
      <c r="F2003" s="17" t="n">
        <v>45869</v>
      </c>
      <c r="G2003" s="17" t="n">
        <v>45887</v>
      </c>
      <c r="H2003" s="18" t="n">
        <v>77</v>
      </c>
      <c r="I2003" s="19" t="n">
        <v>37.34</v>
      </c>
      <c r="J2003" s="19" t="n">
        <v>38</v>
      </c>
      <c r="K2003" s="20" t="n">
        <v>0</v>
      </c>
      <c r="L2003" s="20" t="n">
        <v>0</v>
      </c>
      <c r="M2003" s="18" t="n">
        <v>77</v>
      </c>
      <c r="N2003" s="18" t="n">
        <v>77</v>
      </c>
      <c r="O2003" s="18" t="n">
        <v>0</v>
      </c>
      <c r="P2003" s="17" t="n">
        <v>45885</v>
      </c>
      <c r="Q2003" s="17" t="n">
        <v>45885</v>
      </c>
      <c r="R2003" s="17" t="n">
        <v>45885</v>
      </c>
      <c r="S2003" s="19">
        <f>H2003*I2003</f>
        <v/>
      </c>
      <c r="T2003" s="19">
        <f>H2003*J2003</f>
        <v/>
      </c>
      <c r="U2003">
        <f>IF(AND(K2003=0,G2003&lt;=Assumptions!$C$6),1,0)</f>
        <v/>
      </c>
      <c r="V2003">
        <f>IF(U2003=1,IF(M2003&gt;0,IF(P2003&lt;=G2003+Assumptions!$C$7,1,0),0),0)</f>
        <v/>
      </c>
      <c r="W2003">
        <f>IF(AND(U2003=1,M2003&gt;=H2003*(1-Assumptions!$C$8)),1,0)</f>
        <v/>
      </c>
      <c r="X2003">
        <f>IF(AND(U2003=1,N2003&gt;=H2003*(1-Assumptions!$C$8)),1,0)</f>
        <v/>
      </c>
      <c r="Y2003">
        <f>IF(ISNUMBER(Q2003),1,0)</f>
        <v/>
      </c>
      <c r="Z2003">
        <f>IF(AND(K2003=0,L2003=0,Y2003=0),1,0)</f>
        <v/>
      </c>
      <c r="AA2003">
        <f>IF(AND(Z2003=1,G2003&lt;Assumptions!$C$6),1,0)</f>
        <v/>
      </c>
      <c r="AB2003">
        <f>IF(U2003=0,"",IF(Y2003=1,MAX(0,Q2003-G2003),IF(L2003=1,MAX(0,R2003-G2003),MAX(0,Assumptions!$C$6-G2003))))</f>
        <v/>
      </c>
      <c r="AC2003">
        <f>IF(Y2003=1,Q2003-F2003,"")</f>
        <v/>
      </c>
      <c r="AD2003">
        <f>IF(Y2003=1,AC2003^2,"")</f>
        <v/>
      </c>
      <c r="AE2003" s="19">
        <f>IF(Z2003=1,(H2003-M2003)*I2003,0)</f>
        <v/>
      </c>
      <c r="AF2003">
        <f>IF(G2003&lt;EDATE(Assumptions!$C$6,-12)+1,"prior_12m","last_12m")</f>
        <v/>
      </c>
      <c r="AG2003" s="21">
        <f>DATE(YEAR(G2003),MONTH(G2003),1)</f>
        <v/>
      </c>
    </row>
    <row r="2004">
      <c r="A2004" t="inlineStr">
        <is>
          <t>SPO-01084-1</t>
        </is>
      </c>
      <c r="B2004" t="inlineStr">
        <is>
          <t>SPO-01084</t>
        </is>
      </c>
      <c r="C2004" t="inlineStr">
        <is>
          <t>SUP-08</t>
        </is>
      </c>
      <c r="D2004" t="inlineStr">
        <is>
          <t>PPE</t>
        </is>
      </c>
      <c r="E2004" t="inlineStr">
        <is>
          <t>PPE-08</t>
        </is>
      </c>
      <c r="F2004" s="17" t="n">
        <v>45869</v>
      </c>
      <c r="G2004" s="17" t="n">
        <v>45880</v>
      </c>
      <c r="H2004" s="18" t="n">
        <v>19</v>
      </c>
      <c r="I2004" s="19" t="n">
        <v>64.61</v>
      </c>
      <c r="J2004" s="19" t="n">
        <v>64</v>
      </c>
      <c r="K2004" s="20" t="n">
        <v>0</v>
      </c>
      <c r="L2004" s="20" t="n">
        <v>0</v>
      </c>
      <c r="M2004" s="18" t="n">
        <v>19</v>
      </c>
      <c r="N2004" s="18" t="n">
        <v>19</v>
      </c>
      <c r="O2004" s="18" t="n">
        <v>0</v>
      </c>
      <c r="P2004" s="17" t="n">
        <v>45877</v>
      </c>
      <c r="Q2004" s="17" t="n">
        <v>45877</v>
      </c>
      <c r="R2004" s="17" t="n">
        <v>45877</v>
      </c>
      <c r="S2004" s="19">
        <f>H2004*I2004</f>
        <v/>
      </c>
      <c r="T2004" s="19">
        <f>H2004*J2004</f>
        <v/>
      </c>
      <c r="U2004">
        <f>IF(AND(K2004=0,G2004&lt;=Assumptions!$C$6),1,0)</f>
        <v/>
      </c>
      <c r="V2004">
        <f>IF(U2004=1,IF(M2004&gt;0,IF(P2004&lt;=G2004+Assumptions!$C$7,1,0),0),0)</f>
        <v/>
      </c>
      <c r="W2004">
        <f>IF(AND(U2004=1,M2004&gt;=H2004*(1-Assumptions!$C$8)),1,0)</f>
        <v/>
      </c>
      <c r="X2004">
        <f>IF(AND(U2004=1,N2004&gt;=H2004*(1-Assumptions!$C$8)),1,0)</f>
        <v/>
      </c>
      <c r="Y2004">
        <f>IF(ISNUMBER(Q2004),1,0)</f>
        <v/>
      </c>
      <c r="Z2004">
        <f>IF(AND(K2004=0,L2004=0,Y2004=0),1,0)</f>
        <v/>
      </c>
      <c r="AA2004">
        <f>IF(AND(Z2004=1,G2004&lt;Assumptions!$C$6),1,0)</f>
        <v/>
      </c>
      <c r="AB2004">
        <f>IF(U2004=0,"",IF(Y2004=1,MAX(0,Q2004-G2004),IF(L2004=1,MAX(0,R2004-G2004),MAX(0,Assumptions!$C$6-G2004))))</f>
        <v/>
      </c>
      <c r="AC2004">
        <f>IF(Y2004=1,Q2004-F2004,"")</f>
        <v/>
      </c>
      <c r="AD2004">
        <f>IF(Y2004=1,AC2004^2,"")</f>
        <v/>
      </c>
      <c r="AE2004" s="19">
        <f>IF(Z2004=1,(H2004-M2004)*I2004,0)</f>
        <v/>
      </c>
      <c r="AF2004">
        <f>IF(G2004&lt;EDATE(Assumptions!$C$6,-12)+1,"prior_12m","last_12m")</f>
        <v/>
      </c>
      <c r="AG2004" s="21">
        <f>DATE(YEAR(G2004),MONTH(G2004),1)</f>
        <v/>
      </c>
    </row>
    <row r="2005">
      <c r="A2005" t="inlineStr">
        <is>
          <t>SPO-01085-1</t>
        </is>
      </c>
      <c r="B2005" t="inlineStr">
        <is>
          <t>SPO-01085</t>
        </is>
      </c>
      <c r="C2005" t="inlineStr">
        <is>
          <t>SUP-10</t>
        </is>
      </c>
      <c r="D2005" t="inlineStr">
        <is>
          <t>PPE</t>
        </is>
      </c>
      <c r="E2005" t="inlineStr">
        <is>
          <t>PPE-01</t>
        </is>
      </c>
      <c r="F2005" s="17" t="n">
        <v>45870</v>
      </c>
      <c r="G2005" s="17" t="n">
        <v>45883</v>
      </c>
      <c r="H2005" s="18" t="n">
        <v>238</v>
      </c>
      <c r="I2005" s="19" t="n">
        <v>4.72</v>
      </c>
      <c r="J2005" s="19" t="n">
        <v>4.8</v>
      </c>
      <c r="K2005" s="20" t="n">
        <v>0</v>
      </c>
      <c r="L2005" s="20" t="n">
        <v>0</v>
      </c>
      <c r="M2005" s="18" t="n">
        <v>238</v>
      </c>
      <c r="N2005" s="18" t="n">
        <v>238</v>
      </c>
      <c r="O2005" s="18" t="n">
        <v>0</v>
      </c>
      <c r="P2005" s="17" t="n">
        <v>45882</v>
      </c>
      <c r="Q2005" s="17" t="n">
        <v>45882</v>
      </c>
      <c r="R2005" s="17" t="n">
        <v>45882</v>
      </c>
      <c r="S2005" s="19">
        <f>H2005*I2005</f>
        <v/>
      </c>
      <c r="T2005" s="19">
        <f>H2005*J2005</f>
        <v/>
      </c>
      <c r="U2005">
        <f>IF(AND(K2005=0,G2005&lt;=Assumptions!$C$6),1,0)</f>
        <v/>
      </c>
      <c r="V2005">
        <f>IF(U2005=1,IF(M2005&gt;0,IF(P2005&lt;=G2005+Assumptions!$C$7,1,0),0),0)</f>
        <v/>
      </c>
      <c r="W2005">
        <f>IF(AND(U2005=1,M2005&gt;=H2005*(1-Assumptions!$C$8)),1,0)</f>
        <v/>
      </c>
      <c r="X2005">
        <f>IF(AND(U2005=1,N2005&gt;=H2005*(1-Assumptions!$C$8)),1,0)</f>
        <v/>
      </c>
      <c r="Y2005">
        <f>IF(ISNUMBER(Q2005),1,0)</f>
        <v/>
      </c>
      <c r="Z2005">
        <f>IF(AND(K2005=0,L2005=0,Y2005=0),1,0)</f>
        <v/>
      </c>
      <c r="AA2005">
        <f>IF(AND(Z2005=1,G2005&lt;Assumptions!$C$6),1,0)</f>
        <v/>
      </c>
      <c r="AB2005">
        <f>IF(U2005=0,"",IF(Y2005=1,MAX(0,Q2005-G2005),IF(L2005=1,MAX(0,R2005-G2005),MAX(0,Assumptions!$C$6-G2005))))</f>
        <v/>
      </c>
      <c r="AC2005">
        <f>IF(Y2005=1,Q2005-F2005,"")</f>
        <v/>
      </c>
      <c r="AD2005">
        <f>IF(Y2005=1,AC2005^2,"")</f>
        <v/>
      </c>
      <c r="AE2005" s="19">
        <f>IF(Z2005=1,(H2005-M2005)*I2005,0)</f>
        <v/>
      </c>
      <c r="AF2005">
        <f>IF(G2005&lt;EDATE(Assumptions!$C$6,-12)+1,"prior_12m","last_12m")</f>
        <v/>
      </c>
      <c r="AG2005" s="21">
        <f>DATE(YEAR(G2005),MONTH(G2005),1)</f>
        <v/>
      </c>
    </row>
    <row r="2006">
      <c r="A2006" t="inlineStr">
        <is>
          <t>SPO-01085-2</t>
        </is>
      </c>
      <c r="B2006" t="inlineStr">
        <is>
          <t>SPO-01085</t>
        </is>
      </c>
      <c r="C2006" t="inlineStr">
        <is>
          <t>SUP-10</t>
        </is>
      </c>
      <c r="D2006" t="inlineStr">
        <is>
          <t>PPE</t>
        </is>
      </c>
      <c r="E2006" t="inlineStr">
        <is>
          <t>PPE-05</t>
        </is>
      </c>
      <c r="F2006" s="17" t="n">
        <v>45870</v>
      </c>
      <c r="G2006" s="17" t="n">
        <v>45883</v>
      </c>
      <c r="H2006" s="18" t="n">
        <v>92</v>
      </c>
      <c r="I2006" s="19" t="n">
        <v>10.88</v>
      </c>
      <c r="J2006" s="19" t="n">
        <v>11</v>
      </c>
      <c r="K2006" s="20" t="n">
        <v>0</v>
      </c>
      <c r="L2006" s="20" t="n">
        <v>0</v>
      </c>
      <c r="M2006" s="18" t="n">
        <v>92</v>
      </c>
      <c r="N2006" s="18" t="n">
        <v>92</v>
      </c>
      <c r="O2006" s="18" t="n">
        <v>0</v>
      </c>
      <c r="P2006" s="17" t="n">
        <v>45882</v>
      </c>
      <c r="Q2006" s="17" t="n">
        <v>45882</v>
      </c>
      <c r="R2006" s="17" t="n">
        <v>45882</v>
      </c>
      <c r="S2006" s="19">
        <f>H2006*I2006</f>
        <v/>
      </c>
      <c r="T2006" s="19">
        <f>H2006*J2006</f>
        <v/>
      </c>
      <c r="U2006">
        <f>IF(AND(K2006=0,G2006&lt;=Assumptions!$C$6),1,0)</f>
        <v/>
      </c>
      <c r="V2006">
        <f>IF(U2006=1,IF(M2006&gt;0,IF(P2006&lt;=G2006+Assumptions!$C$7,1,0),0),0)</f>
        <v/>
      </c>
      <c r="W2006">
        <f>IF(AND(U2006=1,M2006&gt;=H2006*(1-Assumptions!$C$8)),1,0)</f>
        <v/>
      </c>
      <c r="X2006">
        <f>IF(AND(U2006=1,N2006&gt;=H2006*(1-Assumptions!$C$8)),1,0)</f>
        <v/>
      </c>
      <c r="Y2006">
        <f>IF(ISNUMBER(Q2006),1,0)</f>
        <v/>
      </c>
      <c r="Z2006">
        <f>IF(AND(K2006=0,L2006=0,Y2006=0),1,0)</f>
        <v/>
      </c>
      <c r="AA2006">
        <f>IF(AND(Z2006=1,G2006&lt;Assumptions!$C$6),1,0)</f>
        <v/>
      </c>
      <c r="AB2006">
        <f>IF(U2006=0,"",IF(Y2006=1,MAX(0,Q2006-G2006),IF(L2006=1,MAX(0,R2006-G2006),MAX(0,Assumptions!$C$6-G2006))))</f>
        <v/>
      </c>
      <c r="AC2006">
        <f>IF(Y2006=1,Q2006-F2006,"")</f>
        <v/>
      </c>
      <c r="AD2006">
        <f>IF(Y2006=1,AC2006^2,"")</f>
        <v/>
      </c>
      <c r="AE2006" s="19">
        <f>IF(Z2006=1,(H2006-M2006)*I2006,0)</f>
        <v/>
      </c>
      <c r="AF2006">
        <f>IF(G2006&lt;EDATE(Assumptions!$C$6,-12)+1,"prior_12m","last_12m")</f>
        <v/>
      </c>
      <c r="AG2006" s="21">
        <f>DATE(YEAR(G2006),MONTH(G2006),1)</f>
        <v/>
      </c>
    </row>
    <row r="2007">
      <c r="A2007" t="inlineStr">
        <is>
          <t>SPO-01086-1</t>
        </is>
      </c>
      <c r="B2007" t="inlineStr">
        <is>
          <t>SPO-01086</t>
        </is>
      </c>
      <c r="C2007" t="inlineStr">
        <is>
          <t>SUP-02</t>
        </is>
      </c>
      <c r="D2007" t="inlineStr">
        <is>
          <t>ELEC</t>
        </is>
      </c>
      <c r="E2007" t="inlineStr">
        <is>
          <t>ELEC-07</t>
        </is>
      </c>
      <c r="F2007" s="17" t="n">
        <v>45870</v>
      </c>
      <c r="G2007" s="17" t="n">
        <v>45886</v>
      </c>
      <c r="H2007" s="18" t="n">
        <v>204</v>
      </c>
      <c r="I2007" s="19" t="n">
        <v>9.960000000000001</v>
      </c>
      <c r="J2007" s="19" t="n">
        <v>9.800000000000001</v>
      </c>
      <c r="K2007" s="20" t="n">
        <v>0</v>
      </c>
      <c r="L2007" s="20" t="n">
        <v>0</v>
      </c>
      <c r="M2007" s="18" t="n">
        <v>204</v>
      </c>
      <c r="N2007" s="18" t="n">
        <v>0</v>
      </c>
      <c r="O2007" s="18" t="n">
        <v>0</v>
      </c>
      <c r="P2007" s="17" t="n">
        <v>45887</v>
      </c>
      <c r="Q2007" s="17" t="n">
        <v>45887</v>
      </c>
      <c r="R2007" s="17" t="n">
        <v>45887</v>
      </c>
      <c r="S2007" s="19">
        <f>H2007*I2007</f>
        <v/>
      </c>
      <c r="T2007" s="19">
        <f>H2007*J2007</f>
        <v/>
      </c>
      <c r="U2007">
        <f>IF(AND(K2007=0,G2007&lt;=Assumptions!$C$6),1,0)</f>
        <v/>
      </c>
      <c r="V2007">
        <f>IF(U2007=1,IF(M2007&gt;0,IF(P2007&lt;=G2007+Assumptions!$C$7,1,0),0),0)</f>
        <v/>
      </c>
      <c r="W2007">
        <f>IF(AND(U2007=1,M2007&gt;=H2007*(1-Assumptions!$C$8)),1,0)</f>
        <v/>
      </c>
      <c r="X2007">
        <f>IF(AND(U2007=1,N2007&gt;=H2007*(1-Assumptions!$C$8)),1,0)</f>
        <v/>
      </c>
      <c r="Y2007">
        <f>IF(ISNUMBER(Q2007),1,0)</f>
        <v/>
      </c>
      <c r="Z2007">
        <f>IF(AND(K2007=0,L2007=0,Y2007=0),1,0)</f>
        <v/>
      </c>
      <c r="AA2007">
        <f>IF(AND(Z2007=1,G2007&lt;Assumptions!$C$6),1,0)</f>
        <v/>
      </c>
      <c r="AB2007">
        <f>IF(U2007=0,"",IF(Y2007=1,MAX(0,Q2007-G2007),IF(L2007=1,MAX(0,R2007-G2007),MAX(0,Assumptions!$C$6-G2007))))</f>
        <v/>
      </c>
      <c r="AC2007">
        <f>IF(Y2007=1,Q2007-F2007,"")</f>
        <v/>
      </c>
      <c r="AD2007">
        <f>IF(Y2007=1,AC2007^2,"")</f>
        <v/>
      </c>
      <c r="AE2007" s="19">
        <f>IF(Z2007=1,(H2007-M2007)*I2007,0)</f>
        <v/>
      </c>
      <c r="AF2007">
        <f>IF(G2007&lt;EDATE(Assumptions!$C$6,-12)+1,"prior_12m","last_12m")</f>
        <v/>
      </c>
      <c r="AG2007" s="21">
        <f>DATE(YEAR(G2007),MONTH(G2007),1)</f>
        <v/>
      </c>
    </row>
    <row r="2008">
      <c r="A2008" t="inlineStr">
        <is>
          <t>SPO-01087-1</t>
        </is>
      </c>
      <c r="B2008" t="inlineStr">
        <is>
          <t>SPO-01087</t>
        </is>
      </c>
      <c r="C2008" t="inlineStr">
        <is>
          <t>SUP-02</t>
        </is>
      </c>
      <c r="D2008" t="inlineStr">
        <is>
          <t>ELEC</t>
        </is>
      </c>
      <c r="E2008" t="inlineStr">
        <is>
          <t>ELEC-08</t>
        </is>
      </c>
      <c r="F2008" s="17" t="n">
        <v>45870</v>
      </c>
      <c r="G2008" s="17" t="n">
        <v>45886</v>
      </c>
      <c r="H2008" s="18" t="n">
        <v>67</v>
      </c>
      <c r="I2008" s="19" t="n">
        <v>19.11</v>
      </c>
      <c r="J2008" s="19" t="n">
        <v>18</v>
      </c>
      <c r="K2008" s="20" t="n">
        <v>0</v>
      </c>
      <c r="L2008" s="20" t="n">
        <v>0</v>
      </c>
      <c r="M2008" s="18" t="n">
        <v>67</v>
      </c>
      <c r="N2008" s="18" t="n">
        <v>67</v>
      </c>
      <c r="O2008" s="18" t="n">
        <v>0</v>
      </c>
      <c r="P2008" s="17" t="n">
        <v>45884</v>
      </c>
      <c r="Q2008" s="17" t="n">
        <v>45884</v>
      </c>
      <c r="R2008" s="17" t="n">
        <v>45884</v>
      </c>
      <c r="S2008" s="19">
        <f>H2008*I2008</f>
        <v/>
      </c>
      <c r="T2008" s="19">
        <f>H2008*J2008</f>
        <v/>
      </c>
      <c r="U2008">
        <f>IF(AND(K2008=0,G2008&lt;=Assumptions!$C$6),1,0)</f>
        <v/>
      </c>
      <c r="V2008">
        <f>IF(U2008=1,IF(M2008&gt;0,IF(P2008&lt;=G2008+Assumptions!$C$7,1,0),0),0)</f>
        <v/>
      </c>
      <c r="W2008">
        <f>IF(AND(U2008=1,M2008&gt;=H2008*(1-Assumptions!$C$8)),1,0)</f>
        <v/>
      </c>
      <c r="X2008">
        <f>IF(AND(U2008=1,N2008&gt;=H2008*(1-Assumptions!$C$8)),1,0)</f>
        <v/>
      </c>
      <c r="Y2008">
        <f>IF(ISNUMBER(Q2008),1,0)</f>
        <v/>
      </c>
      <c r="Z2008">
        <f>IF(AND(K2008=0,L2008=0,Y2008=0),1,0)</f>
        <v/>
      </c>
      <c r="AA2008">
        <f>IF(AND(Z2008=1,G2008&lt;Assumptions!$C$6),1,0)</f>
        <v/>
      </c>
      <c r="AB2008">
        <f>IF(U2008=0,"",IF(Y2008=1,MAX(0,Q2008-G2008),IF(L2008=1,MAX(0,R2008-G2008),MAX(0,Assumptions!$C$6-G2008))))</f>
        <v/>
      </c>
      <c r="AC2008">
        <f>IF(Y2008=1,Q2008-F2008,"")</f>
        <v/>
      </c>
      <c r="AD2008">
        <f>IF(Y2008=1,AC2008^2,"")</f>
        <v/>
      </c>
      <c r="AE2008" s="19">
        <f>IF(Z2008=1,(H2008-M2008)*I2008,0)</f>
        <v/>
      </c>
      <c r="AF2008">
        <f>IF(G2008&lt;EDATE(Assumptions!$C$6,-12)+1,"prior_12m","last_12m")</f>
        <v/>
      </c>
      <c r="AG2008" s="21">
        <f>DATE(YEAR(G2008),MONTH(G2008),1)</f>
        <v/>
      </c>
    </row>
    <row r="2009">
      <c r="A2009" t="inlineStr">
        <is>
          <t>SPO-01087-2</t>
        </is>
      </c>
      <c r="B2009" t="inlineStr">
        <is>
          <t>SPO-01087</t>
        </is>
      </c>
      <c r="C2009" t="inlineStr">
        <is>
          <t>SUP-02</t>
        </is>
      </c>
      <c r="D2009" t="inlineStr">
        <is>
          <t>ELEC</t>
        </is>
      </c>
      <c r="E2009" t="inlineStr">
        <is>
          <t>ELEC-06</t>
        </is>
      </c>
      <c r="F2009" s="17" t="n">
        <v>45870</v>
      </c>
      <c r="G2009" s="17" t="n">
        <v>45886</v>
      </c>
      <c r="H2009" s="18" t="n">
        <v>16</v>
      </c>
      <c r="I2009" s="19" t="n">
        <v>143.37</v>
      </c>
      <c r="J2009" s="19" t="n">
        <v>145</v>
      </c>
      <c r="K2009" s="20" t="n">
        <v>0</v>
      </c>
      <c r="L2009" s="20" t="n">
        <v>0</v>
      </c>
      <c r="M2009" s="18" t="n">
        <v>16</v>
      </c>
      <c r="N2009" s="18" t="n">
        <v>16</v>
      </c>
      <c r="O2009" s="18" t="n">
        <v>0</v>
      </c>
      <c r="P2009" s="17" t="n">
        <v>45880</v>
      </c>
      <c r="Q2009" s="17" t="n">
        <v>45880</v>
      </c>
      <c r="R2009" s="17" t="n">
        <v>45880</v>
      </c>
      <c r="S2009" s="19">
        <f>H2009*I2009</f>
        <v/>
      </c>
      <c r="T2009" s="19">
        <f>H2009*J2009</f>
        <v/>
      </c>
      <c r="U2009">
        <f>IF(AND(K2009=0,G2009&lt;=Assumptions!$C$6),1,0)</f>
        <v/>
      </c>
      <c r="V2009">
        <f>IF(U2009=1,IF(M2009&gt;0,IF(P2009&lt;=G2009+Assumptions!$C$7,1,0),0),0)</f>
        <v/>
      </c>
      <c r="W2009">
        <f>IF(AND(U2009=1,M2009&gt;=H2009*(1-Assumptions!$C$8)),1,0)</f>
        <v/>
      </c>
      <c r="X2009">
        <f>IF(AND(U2009=1,N2009&gt;=H2009*(1-Assumptions!$C$8)),1,0)</f>
        <v/>
      </c>
      <c r="Y2009">
        <f>IF(ISNUMBER(Q2009),1,0)</f>
        <v/>
      </c>
      <c r="Z2009">
        <f>IF(AND(K2009=0,L2009=0,Y2009=0),1,0)</f>
        <v/>
      </c>
      <c r="AA2009">
        <f>IF(AND(Z2009=1,G2009&lt;Assumptions!$C$6),1,0)</f>
        <v/>
      </c>
      <c r="AB2009">
        <f>IF(U2009=0,"",IF(Y2009=1,MAX(0,Q2009-G2009),IF(L2009=1,MAX(0,R2009-G2009),MAX(0,Assumptions!$C$6-G2009))))</f>
        <v/>
      </c>
      <c r="AC2009">
        <f>IF(Y2009=1,Q2009-F2009,"")</f>
        <v/>
      </c>
      <c r="AD2009">
        <f>IF(Y2009=1,AC2009^2,"")</f>
        <v/>
      </c>
      <c r="AE2009" s="19">
        <f>IF(Z2009=1,(H2009-M2009)*I2009,0)</f>
        <v/>
      </c>
      <c r="AF2009">
        <f>IF(G2009&lt;EDATE(Assumptions!$C$6,-12)+1,"prior_12m","last_12m")</f>
        <v/>
      </c>
      <c r="AG2009" s="21">
        <f>DATE(YEAR(G2009),MONTH(G2009),1)</f>
        <v/>
      </c>
    </row>
    <row r="2010">
      <c r="A2010" t="inlineStr">
        <is>
          <t>SPO-01087-3</t>
        </is>
      </c>
      <c r="B2010" t="inlineStr">
        <is>
          <t>SPO-01087</t>
        </is>
      </c>
      <c r="C2010" t="inlineStr">
        <is>
          <t>SUP-02</t>
        </is>
      </c>
      <c r="D2010" t="inlineStr">
        <is>
          <t>ELEC</t>
        </is>
      </c>
      <c r="E2010" t="inlineStr">
        <is>
          <t>ELEC-01</t>
        </is>
      </c>
      <c r="F2010" s="17" t="n">
        <v>45870</v>
      </c>
      <c r="G2010" s="17" t="n">
        <v>45886</v>
      </c>
      <c r="H2010" s="18" t="n">
        <v>90</v>
      </c>
      <c r="I2010" s="19" t="n">
        <v>36.96</v>
      </c>
      <c r="J2010" s="19" t="n">
        <v>38</v>
      </c>
      <c r="K2010" s="20" t="n">
        <v>0</v>
      </c>
      <c r="L2010" s="20" t="n">
        <v>0</v>
      </c>
      <c r="M2010" s="18" t="n">
        <v>90</v>
      </c>
      <c r="N2010" s="18" t="n">
        <v>90</v>
      </c>
      <c r="O2010" s="18" t="n">
        <v>0</v>
      </c>
      <c r="P2010" s="17" t="n">
        <v>45884</v>
      </c>
      <c r="Q2010" s="17" t="n">
        <v>45884</v>
      </c>
      <c r="R2010" s="17" t="n">
        <v>45884</v>
      </c>
      <c r="S2010" s="19">
        <f>H2010*I2010</f>
        <v/>
      </c>
      <c r="T2010" s="19">
        <f>H2010*J2010</f>
        <v/>
      </c>
      <c r="U2010">
        <f>IF(AND(K2010=0,G2010&lt;=Assumptions!$C$6),1,0)</f>
        <v/>
      </c>
      <c r="V2010">
        <f>IF(U2010=1,IF(M2010&gt;0,IF(P2010&lt;=G2010+Assumptions!$C$7,1,0),0),0)</f>
        <v/>
      </c>
      <c r="W2010">
        <f>IF(AND(U2010=1,M2010&gt;=H2010*(1-Assumptions!$C$8)),1,0)</f>
        <v/>
      </c>
      <c r="X2010">
        <f>IF(AND(U2010=1,N2010&gt;=H2010*(1-Assumptions!$C$8)),1,0)</f>
        <v/>
      </c>
      <c r="Y2010">
        <f>IF(ISNUMBER(Q2010),1,0)</f>
        <v/>
      </c>
      <c r="Z2010">
        <f>IF(AND(K2010=0,L2010=0,Y2010=0),1,0)</f>
        <v/>
      </c>
      <c r="AA2010">
        <f>IF(AND(Z2010=1,G2010&lt;Assumptions!$C$6),1,0)</f>
        <v/>
      </c>
      <c r="AB2010">
        <f>IF(U2010=0,"",IF(Y2010=1,MAX(0,Q2010-G2010),IF(L2010=1,MAX(0,R2010-G2010),MAX(0,Assumptions!$C$6-G2010))))</f>
        <v/>
      </c>
      <c r="AC2010">
        <f>IF(Y2010=1,Q2010-F2010,"")</f>
        <v/>
      </c>
      <c r="AD2010">
        <f>IF(Y2010=1,AC2010^2,"")</f>
        <v/>
      </c>
      <c r="AE2010" s="19">
        <f>IF(Z2010=1,(H2010-M2010)*I2010,0)</f>
        <v/>
      </c>
      <c r="AF2010">
        <f>IF(G2010&lt;EDATE(Assumptions!$C$6,-12)+1,"prior_12m","last_12m")</f>
        <v/>
      </c>
      <c r="AG2010" s="21">
        <f>DATE(YEAR(G2010),MONTH(G2010),1)</f>
        <v/>
      </c>
    </row>
    <row r="2011">
      <c r="A2011" t="inlineStr">
        <is>
          <t>SPO-01088-1</t>
        </is>
      </c>
      <c r="B2011" t="inlineStr">
        <is>
          <t>SPO-01088</t>
        </is>
      </c>
      <c r="C2011" t="inlineStr">
        <is>
          <t>SUP-01</t>
        </is>
      </c>
      <c r="D2011" t="inlineStr">
        <is>
          <t>ELEC</t>
        </is>
      </c>
      <c r="E2011" t="inlineStr">
        <is>
          <t>ELEC-01</t>
        </is>
      </c>
      <c r="F2011" s="17" t="n">
        <v>45870</v>
      </c>
      <c r="G2011" s="17" t="n">
        <v>45888</v>
      </c>
      <c r="H2011" s="18" t="n">
        <v>117</v>
      </c>
      <c r="I2011" s="19" t="n">
        <v>37.47</v>
      </c>
      <c r="J2011" s="19" t="n">
        <v>38</v>
      </c>
      <c r="K2011" s="20" t="n">
        <v>0</v>
      </c>
      <c r="L2011" s="20" t="n">
        <v>0</v>
      </c>
      <c r="M2011" s="18" t="n">
        <v>117</v>
      </c>
      <c r="N2011" s="18" t="n">
        <v>117</v>
      </c>
      <c r="O2011" s="18" t="n">
        <v>0</v>
      </c>
      <c r="P2011" s="17" t="n">
        <v>45884</v>
      </c>
      <c r="Q2011" s="17" t="n">
        <v>45884</v>
      </c>
      <c r="R2011" s="17" t="n">
        <v>45884</v>
      </c>
      <c r="S2011" s="19">
        <f>H2011*I2011</f>
        <v/>
      </c>
      <c r="T2011" s="19">
        <f>H2011*J2011</f>
        <v/>
      </c>
      <c r="U2011">
        <f>IF(AND(K2011=0,G2011&lt;=Assumptions!$C$6),1,0)</f>
        <v/>
      </c>
      <c r="V2011">
        <f>IF(U2011=1,IF(M2011&gt;0,IF(P2011&lt;=G2011+Assumptions!$C$7,1,0),0),0)</f>
        <v/>
      </c>
      <c r="W2011">
        <f>IF(AND(U2011=1,M2011&gt;=H2011*(1-Assumptions!$C$8)),1,0)</f>
        <v/>
      </c>
      <c r="X2011">
        <f>IF(AND(U2011=1,N2011&gt;=H2011*(1-Assumptions!$C$8)),1,0)</f>
        <v/>
      </c>
      <c r="Y2011">
        <f>IF(ISNUMBER(Q2011),1,0)</f>
        <v/>
      </c>
      <c r="Z2011">
        <f>IF(AND(K2011=0,L2011=0,Y2011=0),1,0)</f>
        <v/>
      </c>
      <c r="AA2011">
        <f>IF(AND(Z2011=1,G2011&lt;Assumptions!$C$6),1,0)</f>
        <v/>
      </c>
      <c r="AB2011">
        <f>IF(U2011=0,"",IF(Y2011=1,MAX(0,Q2011-G2011),IF(L2011=1,MAX(0,R2011-G2011),MAX(0,Assumptions!$C$6-G2011))))</f>
        <v/>
      </c>
      <c r="AC2011">
        <f>IF(Y2011=1,Q2011-F2011,"")</f>
        <v/>
      </c>
      <c r="AD2011">
        <f>IF(Y2011=1,AC2011^2,"")</f>
        <v/>
      </c>
      <c r="AE2011" s="19">
        <f>IF(Z2011=1,(H2011-M2011)*I2011,0)</f>
        <v/>
      </c>
      <c r="AF2011">
        <f>IF(G2011&lt;EDATE(Assumptions!$C$6,-12)+1,"prior_12m","last_12m")</f>
        <v/>
      </c>
      <c r="AG2011" s="21">
        <f>DATE(YEAR(G2011),MONTH(G2011),1)</f>
        <v/>
      </c>
    </row>
    <row r="2012">
      <c r="A2012" t="inlineStr">
        <is>
          <t>SPO-01089-1</t>
        </is>
      </c>
      <c r="B2012" t="inlineStr">
        <is>
          <t>SPO-01089</t>
        </is>
      </c>
      <c r="C2012" t="inlineStr">
        <is>
          <t>SUP-06</t>
        </is>
      </c>
      <c r="D2012" t="inlineStr">
        <is>
          <t>MRO</t>
        </is>
      </c>
      <c r="E2012" t="inlineStr">
        <is>
          <t>MRO-05</t>
        </is>
      </c>
      <c r="F2012" s="17" t="n">
        <v>45870</v>
      </c>
      <c r="G2012" s="17" t="n">
        <v>45878</v>
      </c>
      <c r="H2012" s="18" t="n">
        <v>70</v>
      </c>
      <c r="I2012" s="19" t="n">
        <v>35.57</v>
      </c>
      <c r="J2012" s="19" t="n">
        <v>36</v>
      </c>
      <c r="K2012" s="20" t="n">
        <v>0</v>
      </c>
      <c r="L2012" s="20" t="n">
        <v>0</v>
      </c>
      <c r="M2012" s="18" t="n">
        <v>70</v>
      </c>
      <c r="N2012" s="18" t="n">
        <v>70</v>
      </c>
      <c r="O2012" s="18" t="n">
        <v>0</v>
      </c>
      <c r="P2012" s="17" t="n">
        <v>45875</v>
      </c>
      <c r="Q2012" s="17" t="n">
        <v>45875</v>
      </c>
      <c r="R2012" s="17" t="n">
        <v>45875</v>
      </c>
      <c r="S2012" s="19">
        <f>H2012*I2012</f>
        <v/>
      </c>
      <c r="T2012" s="19">
        <f>H2012*J2012</f>
        <v/>
      </c>
      <c r="U2012">
        <f>IF(AND(K2012=0,G2012&lt;=Assumptions!$C$6),1,0)</f>
        <v/>
      </c>
      <c r="V2012">
        <f>IF(U2012=1,IF(M2012&gt;0,IF(P2012&lt;=G2012+Assumptions!$C$7,1,0),0),0)</f>
        <v/>
      </c>
      <c r="W2012">
        <f>IF(AND(U2012=1,M2012&gt;=H2012*(1-Assumptions!$C$8)),1,0)</f>
        <v/>
      </c>
      <c r="X2012">
        <f>IF(AND(U2012=1,N2012&gt;=H2012*(1-Assumptions!$C$8)),1,0)</f>
        <v/>
      </c>
      <c r="Y2012">
        <f>IF(ISNUMBER(Q2012),1,0)</f>
        <v/>
      </c>
      <c r="Z2012">
        <f>IF(AND(K2012=0,L2012=0,Y2012=0),1,0)</f>
        <v/>
      </c>
      <c r="AA2012">
        <f>IF(AND(Z2012=1,G2012&lt;Assumptions!$C$6),1,0)</f>
        <v/>
      </c>
      <c r="AB2012">
        <f>IF(U2012=0,"",IF(Y2012=1,MAX(0,Q2012-G2012),IF(L2012=1,MAX(0,R2012-G2012),MAX(0,Assumptions!$C$6-G2012))))</f>
        <v/>
      </c>
      <c r="AC2012">
        <f>IF(Y2012=1,Q2012-F2012,"")</f>
        <v/>
      </c>
      <c r="AD2012">
        <f>IF(Y2012=1,AC2012^2,"")</f>
        <v/>
      </c>
      <c r="AE2012" s="19">
        <f>IF(Z2012=1,(H2012-M2012)*I2012,0)</f>
        <v/>
      </c>
      <c r="AF2012">
        <f>IF(G2012&lt;EDATE(Assumptions!$C$6,-12)+1,"prior_12m","last_12m")</f>
        <v/>
      </c>
      <c r="AG2012" s="21">
        <f>DATE(YEAR(G2012),MONTH(G2012),1)</f>
        <v/>
      </c>
    </row>
    <row r="2013">
      <c r="A2013" t="inlineStr">
        <is>
          <t>SPO-01089-2</t>
        </is>
      </c>
      <c r="B2013" t="inlineStr">
        <is>
          <t>SPO-01089</t>
        </is>
      </c>
      <c r="C2013" t="inlineStr">
        <is>
          <t>SUP-06</t>
        </is>
      </c>
      <c r="D2013" t="inlineStr">
        <is>
          <t>MRO</t>
        </is>
      </c>
      <c r="E2013" t="inlineStr">
        <is>
          <t>MRO-02</t>
        </is>
      </c>
      <c r="F2013" s="17" t="n">
        <v>45870</v>
      </c>
      <c r="G2013" s="17" t="n">
        <v>45878</v>
      </c>
      <c r="H2013" s="18" t="n">
        <v>21</v>
      </c>
      <c r="I2013" s="19" t="n">
        <v>38.79</v>
      </c>
      <c r="J2013" s="19" t="n">
        <v>41</v>
      </c>
      <c r="K2013" s="20" t="n">
        <v>0</v>
      </c>
      <c r="L2013" s="20" t="n">
        <v>0</v>
      </c>
      <c r="M2013" s="18" t="n">
        <v>21</v>
      </c>
      <c r="N2013" s="18" t="n">
        <v>21</v>
      </c>
      <c r="O2013" s="18" t="n">
        <v>0</v>
      </c>
      <c r="P2013" s="17" t="n">
        <v>45876</v>
      </c>
      <c r="Q2013" s="17" t="n">
        <v>45876</v>
      </c>
      <c r="R2013" s="17" t="n">
        <v>45876</v>
      </c>
      <c r="S2013" s="19">
        <f>H2013*I2013</f>
        <v/>
      </c>
      <c r="T2013" s="19">
        <f>H2013*J2013</f>
        <v/>
      </c>
      <c r="U2013">
        <f>IF(AND(K2013=0,G2013&lt;=Assumptions!$C$6),1,0)</f>
        <v/>
      </c>
      <c r="V2013">
        <f>IF(U2013=1,IF(M2013&gt;0,IF(P2013&lt;=G2013+Assumptions!$C$7,1,0),0),0)</f>
        <v/>
      </c>
      <c r="W2013">
        <f>IF(AND(U2013=1,M2013&gt;=H2013*(1-Assumptions!$C$8)),1,0)</f>
        <v/>
      </c>
      <c r="X2013">
        <f>IF(AND(U2013=1,N2013&gt;=H2013*(1-Assumptions!$C$8)),1,0)</f>
        <v/>
      </c>
      <c r="Y2013">
        <f>IF(ISNUMBER(Q2013),1,0)</f>
        <v/>
      </c>
      <c r="Z2013">
        <f>IF(AND(K2013=0,L2013=0,Y2013=0),1,0)</f>
        <v/>
      </c>
      <c r="AA2013">
        <f>IF(AND(Z2013=1,G2013&lt;Assumptions!$C$6),1,0)</f>
        <v/>
      </c>
      <c r="AB2013">
        <f>IF(U2013=0,"",IF(Y2013=1,MAX(0,Q2013-G2013),IF(L2013=1,MAX(0,R2013-G2013),MAX(0,Assumptions!$C$6-G2013))))</f>
        <v/>
      </c>
      <c r="AC2013">
        <f>IF(Y2013=1,Q2013-F2013,"")</f>
        <v/>
      </c>
      <c r="AD2013">
        <f>IF(Y2013=1,AC2013^2,"")</f>
        <v/>
      </c>
      <c r="AE2013" s="19">
        <f>IF(Z2013=1,(H2013-M2013)*I2013,0)</f>
        <v/>
      </c>
      <c r="AF2013">
        <f>IF(G2013&lt;EDATE(Assumptions!$C$6,-12)+1,"prior_12m","last_12m")</f>
        <v/>
      </c>
      <c r="AG2013" s="21">
        <f>DATE(YEAR(G2013),MONTH(G2013),1)</f>
        <v/>
      </c>
    </row>
    <row r="2014">
      <c r="A2014" t="inlineStr">
        <is>
          <t>SPO-01090-1</t>
        </is>
      </c>
      <c r="B2014" t="inlineStr">
        <is>
          <t>SPO-01090</t>
        </is>
      </c>
      <c r="C2014" t="inlineStr">
        <is>
          <t>SUP-09</t>
        </is>
      </c>
      <c r="D2014" t="inlineStr">
        <is>
          <t>CHEM</t>
        </is>
      </c>
      <c r="E2014" t="inlineStr">
        <is>
          <t>CHEM-05</t>
        </is>
      </c>
      <c r="F2014" s="17" t="n">
        <v>45870</v>
      </c>
      <c r="G2014" s="17" t="n">
        <v>45884</v>
      </c>
      <c r="H2014" s="18" t="n">
        <v>2</v>
      </c>
      <c r="I2014" s="19" t="n">
        <v>987.3099999999999</v>
      </c>
      <c r="J2014" s="19" t="n">
        <v>930</v>
      </c>
      <c r="K2014" s="20" t="n">
        <v>0</v>
      </c>
      <c r="L2014" s="20" t="n">
        <v>0</v>
      </c>
      <c r="M2014" s="18" t="n">
        <v>2</v>
      </c>
      <c r="N2014" s="18" t="n">
        <v>2</v>
      </c>
      <c r="O2014" s="18" t="n">
        <v>0</v>
      </c>
      <c r="P2014" s="17" t="n">
        <v>45882</v>
      </c>
      <c r="Q2014" s="17" t="n">
        <v>45882</v>
      </c>
      <c r="R2014" s="17" t="n">
        <v>45882</v>
      </c>
      <c r="S2014" s="19">
        <f>H2014*I2014</f>
        <v/>
      </c>
      <c r="T2014" s="19">
        <f>H2014*J2014</f>
        <v/>
      </c>
      <c r="U2014">
        <f>IF(AND(K2014=0,G2014&lt;=Assumptions!$C$6),1,0)</f>
        <v/>
      </c>
      <c r="V2014">
        <f>IF(U2014=1,IF(M2014&gt;0,IF(P2014&lt;=G2014+Assumptions!$C$7,1,0),0),0)</f>
        <v/>
      </c>
      <c r="W2014">
        <f>IF(AND(U2014=1,M2014&gt;=H2014*(1-Assumptions!$C$8)),1,0)</f>
        <v/>
      </c>
      <c r="X2014">
        <f>IF(AND(U2014=1,N2014&gt;=H2014*(1-Assumptions!$C$8)),1,0)</f>
        <v/>
      </c>
      <c r="Y2014">
        <f>IF(ISNUMBER(Q2014),1,0)</f>
        <v/>
      </c>
      <c r="Z2014">
        <f>IF(AND(K2014=0,L2014=0,Y2014=0),1,0)</f>
        <v/>
      </c>
      <c r="AA2014">
        <f>IF(AND(Z2014=1,G2014&lt;Assumptions!$C$6),1,0)</f>
        <v/>
      </c>
      <c r="AB2014">
        <f>IF(U2014=0,"",IF(Y2014=1,MAX(0,Q2014-G2014),IF(L2014=1,MAX(0,R2014-G2014),MAX(0,Assumptions!$C$6-G2014))))</f>
        <v/>
      </c>
      <c r="AC2014">
        <f>IF(Y2014=1,Q2014-F2014,"")</f>
        <v/>
      </c>
      <c r="AD2014">
        <f>IF(Y2014=1,AC2014^2,"")</f>
        <v/>
      </c>
      <c r="AE2014" s="19">
        <f>IF(Z2014=1,(H2014-M2014)*I2014,0)</f>
        <v/>
      </c>
      <c r="AF2014">
        <f>IF(G2014&lt;EDATE(Assumptions!$C$6,-12)+1,"prior_12m","last_12m")</f>
        <v/>
      </c>
      <c r="AG2014" s="21">
        <f>DATE(YEAR(G2014),MONTH(G2014),1)</f>
        <v/>
      </c>
    </row>
    <row r="2015">
      <c r="A2015" t="inlineStr">
        <is>
          <t>SPO-01090-2</t>
        </is>
      </c>
      <c r="B2015" t="inlineStr">
        <is>
          <t>SPO-01090</t>
        </is>
      </c>
      <c r="C2015" t="inlineStr">
        <is>
          <t>SUP-09</t>
        </is>
      </c>
      <c r="D2015" t="inlineStr">
        <is>
          <t>CHEM</t>
        </is>
      </c>
      <c r="E2015" t="inlineStr">
        <is>
          <t>CHEM-02</t>
        </is>
      </c>
      <c r="F2015" s="17" t="n">
        <v>45870</v>
      </c>
      <c r="G2015" s="17" t="n">
        <v>45884</v>
      </c>
      <c r="H2015" s="18" t="n">
        <v>4</v>
      </c>
      <c r="I2015" s="19" t="n">
        <v>405.1</v>
      </c>
      <c r="J2015" s="19" t="n">
        <v>410</v>
      </c>
      <c r="K2015" s="20" t="n">
        <v>0</v>
      </c>
      <c r="L2015" s="20" t="n">
        <v>0</v>
      </c>
      <c r="M2015" s="18" t="n">
        <v>4</v>
      </c>
      <c r="N2015" s="18" t="n">
        <v>4</v>
      </c>
      <c r="O2015" s="18" t="n">
        <v>0</v>
      </c>
      <c r="P2015" s="17" t="n">
        <v>45884</v>
      </c>
      <c r="Q2015" s="17" t="n">
        <v>45884</v>
      </c>
      <c r="R2015" s="17" t="n">
        <v>45884</v>
      </c>
      <c r="S2015" s="19">
        <f>H2015*I2015</f>
        <v/>
      </c>
      <c r="T2015" s="19">
        <f>H2015*J2015</f>
        <v/>
      </c>
      <c r="U2015">
        <f>IF(AND(K2015=0,G2015&lt;=Assumptions!$C$6),1,0)</f>
        <v/>
      </c>
      <c r="V2015">
        <f>IF(U2015=1,IF(M2015&gt;0,IF(P2015&lt;=G2015+Assumptions!$C$7,1,0),0),0)</f>
        <v/>
      </c>
      <c r="W2015">
        <f>IF(AND(U2015=1,M2015&gt;=H2015*(1-Assumptions!$C$8)),1,0)</f>
        <v/>
      </c>
      <c r="X2015">
        <f>IF(AND(U2015=1,N2015&gt;=H2015*(1-Assumptions!$C$8)),1,0)</f>
        <v/>
      </c>
      <c r="Y2015">
        <f>IF(ISNUMBER(Q2015),1,0)</f>
        <v/>
      </c>
      <c r="Z2015">
        <f>IF(AND(K2015=0,L2015=0,Y2015=0),1,0)</f>
        <v/>
      </c>
      <c r="AA2015">
        <f>IF(AND(Z2015=1,G2015&lt;Assumptions!$C$6),1,0)</f>
        <v/>
      </c>
      <c r="AB2015">
        <f>IF(U2015=0,"",IF(Y2015=1,MAX(0,Q2015-G2015),IF(L2015=1,MAX(0,R2015-G2015),MAX(0,Assumptions!$C$6-G2015))))</f>
        <v/>
      </c>
      <c r="AC2015">
        <f>IF(Y2015=1,Q2015-F2015,"")</f>
        <v/>
      </c>
      <c r="AD2015">
        <f>IF(Y2015=1,AC2015^2,"")</f>
        <v/>
      </c>
      <c r="AE2015" s="19">
        <f>IF(Z2015=1,(H2015-M2015)*I2015,0)</f>
        <v/>
      </c>
      <c r="AF2015">
        <f>IF(G2015&lt;EDATE(Assumptions!$C$6,-12)+1,"prior_12m","last_12m")</f>
        <v/>
      </c>
      <c r="AG2015" s="21">
        <f>DATE(YEAR(G2015),MONTH(G2015),1)</f>
        <v/>
      </c>
    </row>
    <row r="2016">
      <c r="A2016" t="inlineStr">
        <is>
          <t>SPO-01091-1</t>
        </is>
      </c>
      <c r="B2016" t="inlineStr">
        <is>
          <t>SPO-01091</t>
        </is>
      </c>
      <c r="C2016" t="inlineStr">
        <is>
          <t>SUP-10</t>
        </is>
      </c>
      <c r="D2016" t="inlineStr">
        <is>
          <t>PPE</t>
        </is>
      </c>
      <c r="E2016" t="inlineStr">
        <is>
          <t>PPE-06</t>
        </is>
      </c>
      <c r="F2016" s="17" t="n">
        <v>45870</v>
      </c>
      <c r="G2016" s="17" t="n">
        <v>45883</v>
      </c>
      <c r="H2016" s="18" t="n">
        <v>8</v>
      </c>
      <c r="I2016" s="19" t="n">
        <v>113.56</v>
      </c>
      <c r="J2016" s="19" t="n">
        <v>115</v>
      </c>
      <c r="K2016" s="20" t="n">
        <v>0</v>
      </c>
      <c r="L2016" s="20" t="n">
        <v>0</v>
      </c>
      <c r="M2016" s="18" t="n">
        <v>8</v>
      </c>
      <c r="N2016" s="18" t="n">
        <v>8</v>
      </c>
      <c r="O2016" s="18" t="n">
        <v>0</v>
      </c>
      <c r="P2016" s="17" t="n">
        <v>45878</v>
      </c>
      <c r="Q2016" s="17" t="n">
        <v>45878</v>
      </c>
      <c r="R2016" s="17" t="n">
        <v>45878</v>
      </c>
      <c r="S2016" s="19">
        <f>H2016*I2016</f>
        <v/>
      </c>
      <c r="T2016" s="19">
        <f>H2016*J2016</f>
        <v/>
      </c>
      <c r="U2016">
        <f>IF(AND(K2016=0,G2016&lt;=Assumptions!$C$6),1,0)</f>
        <v/>
      </c>
      <c r="V2016">
        <f>IF(U2016=1,IF(M2016&gt;0,IF(P2016&lt;=G2016+Assumptions!$C$7,1,0),0),0)</f>
        <v/>
      </c>
      <c r="W2016">
        <f>IF(AND(U2016=1,M2016&gt;=H2016*(1-Assumptions!$C$8)),1,0)</f>
        <v/>
      </c>
      <c r="X2016">
        <f>IF(AND(U2016=1,N2016&gt;=H2016*(1-Assumptions!$C$8)),1,0)</f>
        <v/>
      </c>
      <c r="Y2016">
        <f>IF(ISNUMBER(Q2016),1,0)</f>
        <v/>
      </c>
      <c r="Z2016">
        <f>IF(AND(K2016=0,L2016=0,Y2016=0),1,0)</f>
        <v/>
      </c>
      <c r="AA2016">
        <f>IF(AND(Z2016=1,G2016&lt;Assumptions!$C$6),1,0)</f>
        <v/>
      </c>
      <c r="AB2016">
        <f>IF(U2016=0,"",IF(Y2016=1,MAX(0,Q2016-G2016),IF(L2016=1,MAX(0,R2016-G2016),MAX(0,Assumptions!$C$6-G2016))))</f>
        <v/>
      </c>
      <c r="AC2016">
        <f>IF(Y2016=1,Q2016-F2016,"")</f>
        <v/>
      </c>
      <c r="AD2016">
        <f>IF(Y2016=1,AC2016^2,"")</f>
        <v/>
      </c>
      <c r="AE2016" s="19">
        <f>IF(Z2016=1,(H2016-M2016)*I2016,0)</f>
        <v/>
      </c>
      <c r="AF2016">
        <f>IF(G2016&lt;EDATE(Assumptions!$C$6,-12)+1,"prior_12m","last_12m")</f>
        <v/>
      </c>
      <c r="AG2016" s="21">
        <f>DATE(YEAR(G2016),MONTH(G2016),1)</f>
        <v/>
      </c>
    </row>
    <row r="2017">
      <c r="A2017" t="inlineStr">
        <is>
          <t>SPO-01092-1</t>
        </is>
      </c>
      <c r="B2017" t="inlineStr">
        <is>
          <t>SPO-01092</t>
        </is>
      </c>
      <c r="C2017" t="inlineStr">
        <is>
          <t>SUP-05</t>
        </is>
      </c>
      <c r="D2017" t="inlineStr">
        <is>
          <t>FLEET</t>
        </is>
      </c>
      <c r="E2017" t="inlineStr">
        <is>
          <t>FLEET-04</t>
        </is>
      </c>
      <c r="F2017" s="17" t="n">
        <v>45870</v>
      </c>
      <c r="G2017" s="17" t="n">
        <v>45884</v>
      </c>
      <c r="H2017" s="18" t="n">
        <v>319</v>
      </c>
      <c r="I2017" s="19" t="n">
        <v>9.609999999999999</v>
      </c>
      <c r="J2017" s="19" t="n">
        <v>9</v>
      </c>
      <c r="K2017" s="20" t="n">
        <v>0</v>
      </c>
      <c r="L2017" s="20" t="n">
        <v>0</v>
      </c>
      <c r="M2017" s="18" t="n">
        <v>319</v>
      </c>
      <c r="N2017" s="18" t="n">
        <v>319</v>
      </c>
      <c r="O2017" s="18" t="n">
        <v>0</v>
      </c>
      <c r="P2017" s="17" t="n">
        <v>45879</v>
      </c>
      <c r="Q2017" s="17" t="n">
        <v>45879</v>
      </c>
      <c r="R2017" s="17" t="n">
        <v>45879</v>
      </c>
      <c r="S2017" s="19">
        <f>H2017*I2017</f>
        <v/>
      </c>
      <c r="T2017" s="19">
        <f>H2017*J2017</f>
        <v/>
      </c>
      <c r="U2017">
        <f>IF(AND(K2017=0,G2017&lt;=Assumptions!$C$6),1,0)</f>
        <v/>
      </c>
      <c r="V2017">
        <f>IF(U2017=1,IF(M2017&gt;0,IF(P2017&lt;=G2017+Assumptions!$C$7,1,0),0),0)</f>
        <v/>
      </c>
      <c r="W2017">
        <f>IF(AND(U2017=1,M2017&gt;=H2017*(1-Assumptions!$C$8)),1,0)</f>
        <v/>
      </c>
      <c r="X2017">
        <f>IF(AND(U2017=1,N2017&gt;=H2017*(1-Assumptions!$C$8)),1,0)</f>
        <v/>
      </c>
      <c r="Y2017">
        <f>IF(ISNUMBER(Q2017),1,0)</f>
        <v/>
      </c>
      <c r="Z2017">
        <f>IF(AND(K2017=0,L2017=0,Y2017=0),1,0)</f>
        <v/>
      </c>
      <c r="AA2017">
        <f>IF(AND(Z2017=1,G2017&lt;Assumptions!$C$6),1,0)</f>
        <v/>
      </c>
      <c r="AB2017">
        <f>IF(U2017=0,"",IF(Y2017=1,MAX(0,Q2017-G2017),IF(L2017=1,MAX(0,R2017-G2017),MAX(0,Assumptions!$C$6-G2017))))</f>
        <v/>
      </c>
      <c r="AC2017">
        <f>IF(Y2017=1,Q2017-F2017,"")</f>
        <v/>
      </c>
      <c r="AD2017">
        <f>IF(Y2017=1,AC2017^2,"")</f>
        <v/>
      </c>
      <c r="AE2017" s="19">
        <f>IF(Z2017=1,(H2017-M2017)*I2017,0)</f>
        <v/>
      </c>
      <c r="AF2017">
        <f>IF(G2017&lt;EDATE(Assumptions!$C$6,-12)+1,"prior_12m","last_12m")</f>
        <v/>
      </c>
      <c r="AG2017" s="21">
        <f>DATE(YEAR(G2017),MONTH(G2017),1)</f>
        <v/>
      </c>
    </row>
    <row r="2018">
      <c r="A2018" t="inlineStr">
        <is>
          <t>SPO-01093-1</t>
        </is>
      </c>
      <c r="B2018" t="inlineStr">
        <is>
          <t>SPO-01093</t>
        </is>
      </c>
      <c r="C2018" t="inlineStr">
        <is>
          <t>SUP-04</t>
        </is>
      </c>
      <c r="D2018" t="inlineStr">
        <is>
          <t>FLEET</t>
        </is>
      </c>
      <c r="E2018" t="inlineStr">
        <is>
          <t>FLEET-05</t>
        </is>
      </c>
      <c r="F2018" s="17" t="n">
        <v>45871</v>
      </c>
      <c r="G2018" s="17" t="n">
        <v>45884</v>
      </c>
      <c r="H2018" s="18" t="n">
        <v>7</v>
      </c>
      <c r="I2018" s="19" t="n">
        <v>166.5</v>
      </c>
      <c r="J2018" s="19" t="n">
        <v>168</v>
      </c>
      <c r="K2018" s="20" t="n">
        <v>0</v>
      </c>
      <c r="L2018" s="20" t="n">
        <v>0</v>
      </c>
      <c r="M2018" s="18" t="n">
        <v>7</v>
      </c>
      <c r="N2018" s="18" t="n">
        <v>7</v>
      </c>
      <c r="O2018" s="18" t="n">
        <v>0</v>
      </c>
      <c r="P2018" s="17" t="n">
        <v>45872</v>
      </c>
      <c r="Q2018" s="17" t="n">
        <v>45872</v>
      </c>
      <c r="R2018" s="17" t="n">
        <v>45872</v>
      </c>
      <c r="S2018" s="19">
        <f>H2018*I2018</f>
        <v/>
      </c>
      <c r="T2018" s="19">
        <f>H2018*J2018</f>
        <v/>
      </c>
      <c r="U2018">
        <f>IF(AND(K2018=0,G2018&lt;=Assumptions!$C$6),1,0)</f>
        <v/>
      </c>
      <c r="V2018">
        <f>IF(U2018=1,IF(M2018&gt;0,IF(P2018&lt;=G2018+Assumptions!$C$7,1,0),0),0)</f>
        <v/>
      </c>
      <c r="W2018">
        <f>IF(AND(U2018=1,M2018&gt;=H2018*(1-Assumptions!$C$8)),1,0)</f>
        <v/>
      </c>
      <c r="X2018">
        <f>IF(AND(U2018=1,N2018&gt;=H2018*(1-Assumptions!$C$8)),1,0)</f>
        <v/>
      </c>
      <c r="Y2018">
        <f>IF(ISNUMBER(Q2018),1,0)</f>
        <v/>
      </c>
      <c r="Z2018">
        <f>IF(AND(K2018=0,L2018=0,Y2018=0),1,0)</f>
        <v/>
      </c>
      <c r="AA2018">
        <f>IF(AND(Z2018=1,G2018&lt;Assumptions!$C$6),1,0)</f>
        <v/>
      </c>
      <c r="AB2018">
        <f>IF(U2018=0,"",IF(Y2018=1,MAX(0,Q2018-G2018),IF(L2018=1,MAX(0,R2018-G2018),MAX(0,Assumptions!$C$6-G2018))))</f>
        <v/>
      </c>
      <c r="AC2018">
        <f>IF(Y2018=1,Q2018-F2018,"")</f>
        <v/>
      </c>
      <c r="AD2018">
        <f>IF(Y2018=1,AC2018^2,"")</f>
        <v/>
      </c>
      <c r="AE2018" s="19">
        <f>IF(Z2018=1,(H2018-M2018)*I2018,0)</f>
        <v/>
      </c>
      <c r="AF2018">
        <f>IF(G2018&lt;EDATE(Assumptions!$C$6,-12)+1,"prior_12m","last_12m")</f>
        <v/>
      </c>
      <c r="AG2018" s="21">
        <f>DATE(YEAR(G2018),MONTH(G2018),1)</f>
        <v/>
      </c>
    </row>
    <row r="2019">
      <c r="A2019" t="inlineStr">
        <is>
          <t>SPO-01093-2</t>
        </is>
      </c>
      <c r="B2019" t="inlineStr">
        <is>
          <t>SPO-01093</t>
        </is>
      </c>
      <c r="C2019" t="inlineStr">
        <is>
          <t>SUP-04</t>
        </is>
      </c>
      <c r="D2019" t="inlineStr">
        <is>
          <t>FLEET</t>
        </is>
      </c>
      <c r="E2019" t="inlineStr">
        <is>
          <t>FLEET-08</t>
        </is>
      </c>
      <c r="F2019" s="17" t="n">
        <v>45871</v>
      </c>
      <c r="G2019" s="17" t="n">
        <v>45884</v>
      </c>
      <c r="H2019" s="18" t="n">
        <v>89</v>
      </c>
      <c r="I2019" s="19" t="n">
        <v>6.63</v>
      </c>
      <c r="J2019" s="19" t="n">
        <v>6.4</v>
      </c>
      <c r="K2019" s="20" t="n">
        <v>0</v>
      </c>
      <c r="L2019" s="20" t="n">
        <v>0</v>
      </c>
      <c r="M2019" s="18" t="n">
        <v>89</v>
      </c>
      <c r="N2019" s="18" t="n">
        <v>89</v>
      </c>
      <c r="O2019" s="18" t="n">
        <v>0</v>
      </c>
      <c r="P2019" s="17" t="n">
        <v>45879</v>
      </c>
      <c r="Q2019" s="17" t="n">
        <v>45879</v>
      </c>
      <c r="R2019" s="17" t="n">
        <v>45879</v>
      </c>
      <c r="S2019" s="19">
        <f>H2019*I2019</f>
        <v/>
      </c>
      <c r="T2019" s="19">
        <f>H2019*J2019</f>
        <v/>
      </c>
      <c r="U2019">
        <f>IF(AND(K2019=0,G2019&lt;=Assumptions!$C$6),1,0)</f>
        <v/>
      </c>
      <c r="V2019">
        <f>IF(U2019=1,IF(M2019&gt;0,IF(P2019&lt;=G2019+Assumptions!$C$7,1,0),0),0)</f>
        <v/>
      </c>
      <c r="W2019">
        <f>IF(AND(U2019=1,M2019&gt;=H2019*(1-Assumptions!$C$8)),1,0)</f>
        <v/>
      </c>
      <c r="X2019">
        <f>IF(AND(U2019=1,N2019&gt;=H2019*(1-Assumptions!$C$8)),1,0)</f>
        <v/>
      </c>
      <c r="Y2019">
        <f>IF(ISNUMBER(Q2019),1,0)</f>
        <v/>
      </c>
      <c r="Z2019">
        <f>IF(AND(K2019=0,L2019=0,Y2019=0),1,0)</f>
        <v/>
      </c>
      <c r="AA2019">
        <f>IF(AND(Z2019=1,G2019&lt;Assumptions!$C$6),1,0)</f>
        <v/>
      </c>
      <c r="AB2019">
        <f>IF(U2019=0,"",IF(Y2019=1,MAX(0,Q2019-G2019),IF(L2019=1,MAX(0,R2019-G2019),MAX(0,Assumptions!$C$6-G2019))))</f>
        <v/>
      </c>
      <c r="AC2019">
        <f>IF(Y2019=1,Q2019-F2019,"")</f>
        <v/>
      </c>
      <c r="AD2019">
        <f>IF(Y2019=1,AC2019^2,"")</f>
        <v/>
      </c>
      <c r="AE2019" s="19">
        <f>IF(Z2019=1,(H2019-M2019)*I2019,0)</f>
        <v/>
      </c>
      <c r="AF2019">
        <f>IF(G2019&lt;EDATE(Assumptions!$C$6,-12)+1,"prior_12m","last_12m")</f>
        <v/>
      </c>
      <c r="AG2019" s="21">
        <f>DATE(YEAR(G2019),MONTH(G2019),1)</f>
        <v/>
      </c>
    </row>
    <row r="2020">
      <c r="A2020" t="inlineStr">
        <is>
          <t>SPO-01094-1</t>
        </is>
      </c>
      <c r="B2020" t="inlineStr">
        <is>
          <t>SPO-01094</t>
        </is>
      </c>
      <c r="C2020" t="inlineStr">
        <is>
          <t>SUP-10</t>
        </is>
      </c>
      <c r="D2020" t="inlineStr">
        <is>
          <t>PPE</t>
        </is>
      </c>
      <c r="E2020" t="inlineStr">
        <is>
          <t>PPE-02</t>
        </is>
      </c>
      <c r="F2020" s="17" t="n">
        <v>45871</v>
      </c>
      <c r="G2020" s="17" t="n">
        <v>45884</v>
      </c>
      <c r="H2020" s="18" t="n">
        <v>91</v>
      </c>
      <c r="I2020" s="19" t="n">
        <v>12.5</v>
      </c>
      <c r="J2020" s="19" t="n">
        <v>12.5</v>
      </c>
      <c r="K2020" s="20" t="n">
        <v>0</v>
      </c>
      <c r="L2020" s="20" t="n">
        <v>0</v>
      </c>
      <c r="M2020" s="18" t="n">
        <v>91</v>
      </c>
      <c r="N2020" s="18" t="n">
        <v>91</v>
      </c>
      <c r="O2020" s="18" t="n">
        <v>0</v>
      </c>
      <c r="P2020" s="17" t="n">
        <v>45883</v>
      </c>
      <c r="Q2020" s="17" t="n">
        <v>45883</v>
      </c>
      <c r="R2020" s="17" t="n">
        <v>45883</v>
      </c>
      <c r="S2020" s="19">
        <f>H2020*I2020</f>
        <v/>
      </c>
      <c r="T2020" s="19">
        <f>H2020*J2020</f>
        <v/>
      </c>
      <c r="U2020">
        <f>IF(AND(K2020=0,G2020&lt;=Assumptions!$C$6),1,0)</f>
        <v/>
      </c>
      <c r="V2020">
        <f>IF(U2020=1,IF(M2020&gt;0,IF(P2020&lt;=G2020+Assumptions!$C$7,1,0),0),0)</f>
        <v/>
      </c>
      <c r="W2020">
        <f>IF(AND(U2020=1,M2020&gt;=H2020*(1-Assumptions!$C$8)),1,0)</f>
        <v/>
      </c>
      <c r="X2020">
        <f>IF(AND(U2020=1,N2020&gt;=H2020*(1-Assumptions!$C$8)),1,0)</f>
        <v/>
      </c>
      <c r="Y2020">
        <f>IF(ISNUMBER(Q2020),1,0)</f>
        <v/>
      </c>
      <c r="Z2020">
        <f>IF(AND(K2020=0,L2020=0,Y2020=0),1,0)</f>
        <v/>
      </c>
      <c r="AA2020">
        <f>IF(AND(Z2020=1,G2020&lt;Assumptions!$C$6),1,0)</f>
        <v/>
      </c>
      <c r="AB2020">
        <f>IF(U2020=0,"",IF(Y2020=1,MAX(0,Q2020-G2020),IF(L2020=1,MAX(0,R2020-G2020),MAX(0,Assumptions!$C$6-G2020))))</f>
        <v/>
      </c>
      <c r="AC2020">
        <f>IF(Y2020=1,Q2020-F2020,"")</f>
        <v/>
      </c>
      <c r="AD2020">
        <f>IF(Y2020=1,AC2020^2,"")</f>
        <v/>
      </c>
      <c r="AE2020" s="19">
        <f>IF(Z2020=1,(H2020-M2020)*I2020,0)</f>
        <v/>
      </c>
      <c r="AF2020">
        <f>IF(G2020&lt;EDATE(Assumptions!$C$6,-12)+1,"prior_12m","last_12m")</f>
        <v/>
      </c>
      <c r="AG2020" s="21">
        <f>DATE(YEAR(G2020),MONTH(G2020),1)</f>
        <v/>
      </c>
    </row>
    <row r="2021">
      <c r="A2021" t="inlineStr">
        <is>
          <t>SPO-01095-1</t>
        </is>
      </c>
      <c r="B2021" t="inlineStr">
        <is>
          <t>SPO-01095</t>
        </is>
      </c>
      <c r="C2021" t="inlineStr">
        <is>
          <t>SUP-02</t>
        </is>
      </c>
      <c r="D2021" t="inlineStr">
        <is>
          <t>ELEC</t>
        </is>
      </c>
      <c r="E2021" t="inlineStr">
        <is>
          <t>ELEC-01</t>
        </is>
      </c>
      <c r="F2021" s="17" t="n">
        <v>45871</v>
      </c>
      <c r="G2021" s="17" t="n">
        <v>45887</v>
      </c>
      <c r="H2021" s="18" t="n">
        <v>34</v>
      </c>
      <c r="I2021" s="19" t="n">
        <v>38.34</v>
      </c>
      <c r="J2021" s="19" t="n">
        <v>38</v>
      </c>
      <c r="K2021" s="20" t="n">
        <v>0</v>
      </c>
      <c r="L2021" s="20" t="n">
        <v>0</v>
      </c>
      <c r="M2021" s="18" t="n">
        <v>34</v>
      </c>
      <c r="N2021" s="18" t="n">
        <v>34</v>
      </c>
      <c r="O2021" s="18" t="n">
        <v>0</v>
      </c>
      <c r="P2021" s="17" t="n">
        <v>45884</v>
      </c>
      <c r="Q2021" s="17" t="n">
        <v>45884</v>
      </c>
      <c r="R2021" s="17" t="n">
        <v>45884</v>
      </c>
      <c r="S2021" s="19">
        <f>H2021*I2021</f>
        <v/>
      </c>
      <c r="T2021" s="19">
        <f>H2021*J2021</f>
        <v/>
      </c>
      <c r="U2021">
        <f>IF(AND(K2021=0,G2021&lt;=Assumptions!$C$6),1,0)</f>
        <v/>
      </c>
      <c r="V2021">
        <f>IF(U2021=1,IF(M2021&gt;0,IF(P2021&lt;=G2021+Assumptions!$C$7,1,0),0),0)</f>
        <v/>
      </c>
      <c r="W2021">
        <f>IF(AND(U2021=1,M2021&gt;=H2021*(1-Assumptions!$C$8)),1,0)</f>
        <v/>
      </c>
      <c r="X2021">
        <f>IF(AND(U2021=1,N2021&gt;=H2021*(1-Assumptions!$C$8)),1,0)</f>
        <v/>
      </c>
      <c r="Y2021">
        <f>IF(ISNUMBER(Q2021),1,0)</f>
        <v/>
      </c>
      <c r="Z2021">
        <f>IF(AND(K2021=0,L2021=0,Y2021=0),1,0)</f>
        <v/>
      </c>
      <c r="AA2021">
        <f>IF(AND(Z2021=1,G2021&lt;Assumptions!$C$6),1,0)</f>
        <v/>
      </c>
      <c r="AB2021">
        <f>IF(U2021=0,"",IF(Y2021=1,MAX(0,Q2021-G2021),IF(L2021=1,MAX(0,R2021-G2021),MAX(0,Assumptions!$C$6-G2021))))</f>
        <v/>
      </c>
      <c r="AC2021">
        <f>IF(Y2021=1,Q2021-F2021,"")</f>
        <v/>
      </c>
      <c r="AD2021">
        <f>IF(Y2021=1,AC2021^2,"")</f>
        <v/>
      </c>
      <c r="AE2021" s="19">
        <f>IF(Z2021=1,(H2021-M2021)*I2021,0)</f>
        <v/>
      </c>
      <c r="AF2021">
        <f>IF(G2021&lt;EDATE(Assumptions!$C$6,-12)+1,"prior_12m","last_12m")</f>
        <v/>
      </c>
      <c r="AG2021" s="21">
        <f>DATE(YEAR(G2021),MONTH(G2021),1)</f>
        <v/>
      </c>
    </row>
    <row r="2022">
      <c r="A2022" t="inlineStr">
        <is>
          <t>SPO-01095-2</t>
        </is>
      </c>
      <c r="B2022" t="inlineStr">
        <is>
          <t>SPO-01095</t>
        </is>
      </c>
      <c r="C2022" t="inlineStr">
        <is>
          <t>SUP-02</t>
        </is>
      </c>
      <c r="D2022" t="inlineStr">
        <is>
          <t>ELEC</t>
        </is>
      </c>
      <c r="E2022" t="inlineStr">
        <is>
          <t>ELEC-08</t>
        </is>
      </c>
      <c r="F2022" s="17" t="n">
        <v>45871</v>
      </c>
      <c r="G2022" s="17" t="n">
        <v>45887</v>
      </c>
      <c r="H2022" s="18" t="n">
        <v>214</v>
      </c>
      <c r="I2022" s="19" t="n">
        <v>17.53</v>
      </c>
      <c r="J2022" s="19" t="n">
        <v>18</v>
      </c>
      <c r="K2022" s="20" t="n">
        <v>0</v>
      </c>
      <c r="L2022" s="20" t="n">
        <v>0</v>
      </c>
      <c r="M2022" s="18" t="n">
        <v>214</v>
      </c>
      <c r="N2022" s="18" t="n">
        <v>214</v>
      </c>
      <c r="O2022" s="18" t="n">
        <v>0</v>
      </c>
      <c r="P2022" s="17" t="n">
        <v>45884</v>
      </c>
      <c r="Q2022" s="17" t="n">
        <v>45884</v>
      </c>
      <c r="R2022" s="17" t="n">
        <v>45884</v>
      </c>
      <c r="S2022" s="19">
        <f>H2022*I2022</f>
        <v/>
      </c>
      <c r="T2022" s="19">
        <f>H2022*J2022</f>
        <v/>
      </c>
      <c r="U2022">
        <f>IF(AND(K2022=0,G2022&lt;=Assumptions!$C$6),1,0)</f>
        <v/>
      </c>
      <c r="V2022">
        <f>IF(U2022=1,IF(M2022&gt;0,IF(P2022&lt;=G2022+Assumptions!$C$7,1,0),0),0)</f>
        <v/>
      </c>
      <c r="W2022">
        <f>IF(AND(U2022=1,M2022&gt;=H2022*(1-Assumptions!$C$8)),1,0)</f>
        <v/>
      </c>
      <c r="X2022">
        <f>IF(AND(U2022=1,N2022&gt;=H2022*(1-Assumptions!$C$8)),1,0)</f>
        <v/>
      </c>
      <c r="Y2022">
        <f>IF(ISNUMBER(Q2022),1,0)</f>
        <v/>
      </c>
      <c r="Z2022">
        <f>IF(AND(K2022=0,L2022=0,Y2022=0),1,0)</f>
        <v/>
      </c>
      <c r="AA2022">
        <f>IF(AND(Z2022=1,G2022&lt;Assumptions!$C$6),1,0)</f>
        <v/>
      </c>
      <c r="AB2022">
        <f>IF(U2022=0,"",IF(Y2022=1,MAX(0,Q2022-G2022),IF(L2022=1,MAX(0,R2022-G2022),MAX(0,Assumptions!$C$6-G2022))))</f>
        <v/>
      </c>
      <c r="AC2022">
        <f>IF(Y2022=1,Q2022-F2022,"")</f>
        <v/>
      </c>
      <c r="AD2022">
        <f>IF(Y2022=1,AC2022^2,"")</f>
        <v/>
      </c>
      <c r="AE2022" s="19">
        <f>IF(Z2022=1,(H2022-M2022)*I2022,0)</f>
        <v/>
      </c>
      <c r="AF2022">
        <f>IF(G2022&lt;EDATE(Assumptions!$C$6,-12)+1,"prior_12m","last_12m")</f>
        <v/>
      </c>
      <c r="AG2022" s="21">
        <f>DATE(YEAR(G2022),MONTH(G2022),1)</f>
        <v/>
      </c>
    </row>
    <row r="2023">
      <c r="A2023" t="inlineStr">
        <is>
          <t>SPO-01095-3</t>
        </is>
      </c>
      <c r="B2023" t="inlineStr">
        <is>
          <t>SPO-01095</t>
        </is>
      </c>
      <c r="C2023" t="inlineStr">
        <is>
          <t>SUP-02</t>
        </is>
      </c>
      <c r="D2023" t="inlineStr">
        <is>
          <t>ELEC</t>
        </is>
      </c>
      <c r="E2023" t="inlineStr">
        <is>
          <t>ELEC-03</t>
        </is>
      </c>
      <c r="F2023" s="17" t="n">
        <v>45871</v>
      </c>
      <c r="G2023" s="17" t="n">
        <v>45887</v>
      </c>
      <c r="H2023" s="18" t="n">
        <v>7</v>
      </c>
      <c r="I2023" s="19" t="n">
        <v>97.92</v>
      </c>
      <c r="J2023" s="19" t="n">
        <v>96</v>
      </c>
      <c r="K2023" s="20" t="n">
        <v>0</v>
      </c>
      <c r="L2023" s="20" t="n">
        <v>0</v>
      </c>
      <c r="M2023" s="18" t="n">
        <v>7</v>
      </c>
      <c r="N2023" s="18" t="n">
        <v>7</v>
      </c>
      <c r="O2023" s="18" t="n">
        <v>0</v>
      </c>
      <c r="P2023" s="17" t="n">
        <v>45883</v>
      </c>
      <c r="Q2023" s="17" t="n">
        <v>45883</v>
      </c>
      <c r="R2023" s="17" t="n">
        <v>45883</v>
      </c>
      <c r="S2023" s="19">
        <f>H2023*I2023</f>
        <v/>
      </c>
      <c r="T2023" s="19">
        <f>H2023*J2023</f>
        <v/>
      </c>
      <c r="U2023">
        <f>IF(AND(K2023=0,G2023&lt;=Assumptions!$C$6),1,0)</f>
        <v/>
      </c>
      <c r="V2023">
        <f>IF(U2023=1,IF(M2023&gt;0,IF(P2023&lt;=G2023+Assumptions!$C$7,1,0),0),0)</f>
        <v/>
      </c>
      <c r="W2023">
        <f>IF(AND(U2023=1,M2023&gt;=H2023*(1-Assumptions!$C$8)),1,0)</f>
        <v/>
      </c>
      <c r="X2023">
        <f>IF(AND(U2023=1,N2023&gt;=H2023*(1-Assumptions!$C$8)),1,0)</f>
        <v/>
      </c>
      <c r="Y2023">
        <f>IF(ISNUMBER(Q2023),1,0)</f>
        <v/>
      </c>
      <c r="Z2023">
        <f>IF(AND(K2023=0,L2023=0,Y2023=0),1,0)</f>
        <v/>
      </c>
      <c r="AA2023">
        <f>IF(AND(Z2023=1,G2023&lt;Assumptions!$C$6),1,0)</f>
        <v/>
      </c>
      <c r="AB2023">
        <f>IF(U2023=0,"",IF(Y2023=1,MAX(0,Q2023-G2023),IF(L2023=1,MAX(0,R2023-G2023),MAX(0,Assumptions!$C$6-G2023))))</f>
        <v/>
      </c>
      <c r="AC2023">
        <f>IF(Y2023=1,Q2023-F2023,"")</f>
        <v/>
      </c>
      <c r="AD2023">
        <f>IF(Y2023=1,AC2023^2,"")</f>
        <v/>
      </c>
      <c r="AE2023" s="19">
        <f>IF(Z2023=1,(H2023-M2023)*I2023,0)</f>
        <v/>
      </c>
      <c r="AF2023">
        <f>IF(G2023&lt;EDATE(Assumptions!$C$6,-12)+1,"prior_12m","last_12m")</f>
        <v/>
      </c>
      <c r="AG2023" s="21">
        <f>DATE(YEAR(G2023),MONTH(G2023),1)</f>
        <v/>
      </c>
    </row>
    <row r="2024">
      <c r="A2024" t="inlineStr">
        <is>
          <t>SPO-01096-1</t>
        </is>
      </c>
      <c r="B2024" t="inlineStr">
        <is>
          <t>SPO-01096</t>
        </is>
      </c>
      <c r="C2024" t="inlineStr">
        <is>
          <t>SUP-10</t>
        </is>
      </c>
      <c r="D2024" t="inlineStr">
        <is>
          <t>PPE</t>
        </is>
      </c>
      <c r="E2024" t="inlineStr">
        <is>
          <t>PPE-04</t>
        </is>
      </c>
      <c r="F2024" s="17" t="n">
        <v>45871</v>
      </c>
      <c r="G2024" s="17" t="n">
        <v>45884</v>
      </c>
      <c r="H2024" s="18" t="n">
        <v>36</v>
      </c>
      <c r="I2024" s="19" t="n">
        <v>24.71</v>
      </c>
      <c r="J2024" s="19" t="n">
        <v>26</v>
      </c>
      <c r="K2024" s="20" t="n">
        <v>0</v>
      </c>
      <c r="L2024" s="20" t="n">
        <v>0</v>
      </c>
      <c r="M2024" s="18" t="n">
        <v>36</v>
      </c>
      <c r="N2024" s="18" t="n">
        <v>36</v>
      </c>
      <c r="O2024" s="18" t="n">
        <v>0</v>
      </c>
      <c r="P2024" s="17" t="n">
        <v>45881</v>
      </c>
      <c r="Q2024" s="17" t="n">
        <v>45881</v>
      </c>
      <c r="R2024" s="17" t="n">
        <v>45881</v>
      </c>
      <c r="S2024" s="19">
        <f>H2024*I2024</f>
        <v/>
      </c>
      <c r="T2024" s="19">
        <f>H2024*J2024</f>
        <v/>
      </c>
      <c r="U2024">
        <f>IF(AND(K2024=0,G2024&lt;=Assumptions!$C$6),1,0)</f>
        <v/>
      </c>
      <c r="V2024">
        <f>IF(U2024=1,IF(M2024&gt;0,IF(P2024&lt;=G2024+Assumptions!$C$7,1,0),0),0)</f>
        <v/>
      </c>
      <c r="W2024">
        <f>IF(AND(U2024=1,M2024&gt;=H2024*(1-Assumptions!$C$8)),1,0)</f>
        <v/>
      </c>
      <c r="X2024">
        <f>IF(AND(U2024=1,N2024&gt;=H2024*(1-Assumptions!$C$8)),1,0)</f>
        <v/>
      </c>
      <c r="Y2024">
        <f>IF(ISNUMBER(Q2024),1,0)</f>
        <v/>
      </c>
      <c r="Z2024">
        <f>IF(AND(K2024=0,L2024=0,Y2024=0),1,0)</f>
        <v/>
      </c>
      <c r="AA2024">
        <f>IF(AND(Z2024=1,G2024&lt;Assumptions!$C$6),1,0)</f>
        <v/>
      </c>
      <c r="AB2024">
        <f>IF(U2024=0,"",IF(Y2024=1,MAX(0,Q2024-G2024),IF(L2024=1,MAX(0,R2024-G2024),MAX(0,Assumptions!$C$6-G2024))))</f>
        <v/>
      </c>
      <c r="AC2024">
        <f>IF(Y2024=1,Q2024-F2024,"")</f>
        <v/>
      </c>
      <c r="AD2024">
        <f>IF(Y2024=1,AC2024^2,"")</f>
        <v/>
      </c>
      <c r="AE2024" s="19">
        <f>IF(Z2024=1,(H2024-M2024)*I2024,0)</f>
        <v/>
      </c>
      <c r="AF2024">
        <f>IF(G2024&lt;EDATE(Assumptions!$C$6,-12)+1,"prior_12m","last_12m")</f>
        <v/>
      </c>
      <c r="AG2024" s="21">
        <f>DATE(YEAR(G2024),MONTH(G2024),1)</f>
        <v/>
      </c>
    </row>
    <row r="2025">
      <c r="A2025" t="inlineStr">
        <is>
          <t>SPO-01097-1</t>
        </is>
      </c>
      <c r="B2025" t="inlineStr">
        <is>
          <t>SPO-01097</t>
        </is>
      </c>
      <c r="C2025" t="inlineStr">
        <is>
          <t>SUP-05</t>
        </is>
      </c>
      <c r="D2025" t="inlineStr">
        <is>
          <t>FLEET</t>
        </is>
      </c>
      <c r="E2025" t="inlineStr">
        <is>
          <t>FLEET-04</t>
        </is>
      </c>
      <c r="F2025" s="17" t="n">
        <v>45872</v>
      </c>
      <c r="G2025" s="17" t="n">
        <v>45886</v>
      </c>
      <c r="H2025" s="18" t="n">
        <v>413</v>
      </c>
      <c r="I2025" s="19" t="n">
        <v>9.02</v>
      </c>
      <c r="J2025" s="19" t="n">
        <v>9</v>
      </c>
      <c r="K2025" s="20" t="n">
        <v>0</v>
      </c>
      <c r="L2025" s="20" t="n">
        <v>0</v>
      </c>
      <c r="M2025" s="18" t="n">
        <v>413</v>
      </c>
      <c r="N2025" s="18" t="n">
        <v>413</v>
      </c>
      <c r="O2025" s="18" t="n">
        <v>0</v>
      </c>
      <c r="P2025" s="17" t="n">
        <v>45883</v>
      </c>
      <c r="Q2025" s="17" t="n">
        <v>45883</v>
      </c>
      <c r="R2025" s="17" t="n">
        <v>45883</v>
      </c>
      <c r="S2025" s="19">
        <f>H2025*I2025</f>
        <v/>
      </c>
      <c r="T2025" s="19">
        <f>H2025*J2025</f>
        <v/>
      </c>
      <c r="U2025">
        <f>IF(AND(K2025=0,G2025&lt;=Assumptions!$C$6),1,0)</f>
        <v/>
      </c>
      <c r="V2025">
        <f>IF(U2025=1,IF(M2025&gt;0,IF(P2025&lt;=G2025+Assumptions!$C$7,1,0),0),0)</f>
        <v/>
      </c>
      <c r="W2025">
        <f>IF(AND(U2025=1,M2025&gt;=H2025*(1-Assumptions!$C$8)),1,0)</f>
        <v/>
      </c>
      <c r="X2025">
        <f>IF(AND(U2025=1,N2025&gt;=H2025*(1-Assumptions!$C$8)),1,0)</f>
        <v/>
      </c>
      <c r="Y2025">
        <f>IF(ISNUMBER(Q2025),1,0)</f>
        <v/>
      </c>
      <c r="Z2025">
        <f>IF(AND(K2025=0,L2025=0,Y2025=0),1,0)</f>
        <v/>
      </c>
      <c r="AA2025">
        <f>IF(AND(Z2025=1,G2025&lt;Assumptions!$C$6),1,0)</f>
        <v/>
      </c>
      <c r="AB2025">
        <f>IF(U2025=0,"",IF(Y2025=1,MAX(0,Q2025-G2025),IF(L2025=1,MAX(0,R2025-G2025),MAX(0,Assumptions!$C$6-G2025))))</f>
        <v/>
      </c>
      <c r="AC2025">
        <f>IF(Y2025=1,Q2025-F2025,"")</f>
        <v/>
      </c>
      <c r="AD2025">
        <f>IF(Y2025=1,AC2025^2,"")</f>
        <v/>
      </c>
      <c r="AE2025" s="19">
        <f>IF(Z2025=1,(H2025-M2025)*I2025,0)</f>
        <v/>
      </c>
      <c r="AF2025">
        <f>IF(G2025&lt;EDATE(Assumptions!$C$6,-12)+1,"prior_12m","last_12m")</f>
        <v/>
      </c>
      <c r="AG2025" s="21">
        <f>DATE(YEAR(G2025),MONTH(G2025),1)</f>
        <v/>
      </c>
    </row>
    <row r="2026">
      <c r="A2026" t="inlineStr">
        <is>
          <t>SPO-01097-2</t>
        </is>
      </c>
      <c r="B2026" t="inlineStr">
        <is>
          <t>SPO-01097</t>
        </is>
      </c>
      <c r="C2026" t="inlineStr">
        <is>
          <t>SUP-05</t>
        </is>
      </c>
      <c r="D2026" t="inlineStr">
        <is>
          <t>FLEET</t>
        </is>
      </c>
      <c r="E2026" t="inlineStr">
        <is>
          <t>FLEET-07</t>
        </is>
      </c>
      <c r="F2026" s="17" t="n">
        <v>45872</v>
      </c>
      <c r="G2026" s="17" t="n">
        <v>45886</v>
      </c>
      <c r="H2026" s="18" t="n">
        <v>28</v>
      </c>
      <c r="I2026" s="19" t="n">
        <v>120.91</v>
      </c>
      <c r="J2026" s="19" t="n">
        <v>118</v>
      </c>
      <c r="K2026" s="20" t="n">
        <v>0</v>
      </c>
      <c r="L2026" s="20" t="n">
        <v>0</v>
      </c>
      <c r="M2026" s="18" t="n">
        <v>28</v>
      </c>
      <c r="N2026" s="18" t="n">
        <v>28</v>
      </c>
      <c r="O2026" s="18" t="n">
        <v>0</v>
      </c>
      <c r="P2026" s="17" t="n">
        <v>45882</v>
      </c>
      <c r="Q2026" s="17" t="n">
        <v>45882</v>
      </c>
      <c r="R2026" s="17" t="n">
        <v>45882</v>
      </c>
      <c r="S2026" s="19">
        <f>H2026*I2026</f>
        <v/>
      </c>
      <c r="T2026" s="19">
        <f>H2026*J2026</f>
        <v/>
      </c>
      <c r="U2026">
        <f>IF(AND(K2026=0,G2026&lt;=Assumptions!$C$6),1,0)</f>
        <v/>
      </c>
      <c r="V2026">
        <f>IF(U2026=1,IF(M2026&gt;0,IF(P2026&lt;=G2026+Assumptions!$C$7,1,0),0),0)</f>
        <v/>
      </c>
      <c r="W2026">
        <f>IF(AND(U2026=1,M2026&gt;=H2026*(1-Assumptions!$C$8)),1,0)</f>
        <v/>
      </c>
      <c r="X2026">
        <f>IF(AND(U2026=1,N2026&gt;=H2026*(1-Assumptions!$C$8)),1,0)</f>
        <v/>
      </c>
      <c r="Y2026">
        <f>IF(ISNUMBER(Q2026),1,0)</f>
        <v/>
      </c>
      <c r="Z2026">
        <f>IF(AND(K2026=0,L2026=0,Y2026=0),1,0)</f>
        <v/>
      </c>
      <c r="AA2026">
        <f>IF(AND(Z2026=1,G2026&lt;Assumptions!$C$6),1,0)</f>
        <v/>
      </c>
      <c r="AB2026">
        <f>IF(U2026=0,"",IF(Y2026=1,MAX(0,Q2026-G2026),IF(L2026=1,MAX(0,R2026-G2026),MAX(0,Assumptions!$C$6-G2026))))</f>
        <v/>
      </c>
      <c r="AC2026">
        <f>IF(Y2026=1,Q2026-F2026,"")</f>
        <v/>
      </c>
      <c r="AD2026">
        <f>IF(Y2026=1,AC2026^2,"")</f>
        <v/>
      </c>
      <c r="AE2026" s="19">
        <f>IF(Z2026=1,(H2026-M2026)*I2026,0)</f>
        <v/>
      </c>
      <c r="AF2026">
        <f>IF(G2026&lt;EDATE(Assumptions!$C$6,-12)+1,"prior_12m","last_12m")</f>
        <v/>
      </c>
      <c r="AG2026" s="21">
        <f>DATE(YEAR(G2026),MONTH(G2026),1)</f>
        <v/>
      </c>
    </row>
    <row r="2027">
      <c r="A2027" t="inlineStr">
        <is>
          <t>SPO-01098-1</t>
        </is>
      </c>
      <c r="B2027" t="inlineStr">
        <is>
          <t>SPO-01098</t>
        </is>
      </c>
      <c r="C2027" t="inlineStr">
        <is>
          <t>SUP-01</t>
        </is>
      </c>
      <c r="D2027" t="inlineStr">
        <is>
          <t>ELEC</t>
        </is>
      </c>
      <c r="E2027" t="inlineStr">
        <is>
          <t>ELEC-06</t>
        </is>
      </c>
      <c r="F2027" s="17" t="n">
        <v>45873</v>
      </c>
      <c r="G2027" s="17" t="n">
        <v>45891</v>
      </c>
      <c r="H2027" s="18" t="n">
        <v>17</v>
      </c>
      <c r="I2027" s="19" t="n">
        <v>152.51</v>
      </c>
      <c r="J2027" s="19" t="n">
        <v>145</v>
      </c>
      <c r="K2027" s="20" t="n">
        <v>0</v>
      </c>
      <c r="L2027" s="20" t="n">
        <v>0</v>
      </c>
      <c r="M2027" s="18" t="n">
        <v>17</v>
      </c>
      <c r="N2027" s="18" t="n">
        <v>17</v>
      </c>
      <c r="O2027" s="18" t="n">
        <v>0</v>
      </c>
      <c r="P2027" s="17" t="n">
        <v>45889</v>
      </c>
      <c r="Q2027" s="17" t="n">
        <v>45889</v>
      </c>
      <c r="R2027" s="17" t="n">
        <v>45889</v>
      </c>
      <c r="S2027" s="19">
        <f>H2027*I2027</f>
        <v/>
      </c>
      <c r="T2027" s="19">
        <f>H2027*J2027</f>
        <v/>
      </c>
      <c r="U2027">
        <f>IF(AND(K2027=0,G2027&lt;=Assumptions!$C$6),1,0)</f>
        <v/>
      </c>
      <c r="V2027">
        <f>IF(U2027=1,IF(M2027&gt;0,IF(P2027&lt;=G2027+Assumptions!$C$7,1,0),0),0)</f>
        <v/>
      </c>
      <c r="W2027">
        <f>IF(AND(U2027=1,M2027&gt;=H2027*(1-Assumptions!$C$8)),1,0)</f>
        <v/>
      </c>
      <c r="X2027">
        <f>IF(AND(U2027=1,N2027&gt;=H2027*(1-Assumptions!$C$8)),1,0)</f>
        <v/>
      </c>
      <c r="Y2027">
        <f>IF(ISNUMBER(Q2027),1,0)</f>
        <v/>
      </c>
      <c r="Z2027">
        <f>IF(AND(K2027=0,L2027=0,Y2027=0),1,0)</f>
        <v/>
      </c>
      <c r="AA2027">
        <f>IF(AND(Z2027=1,G2027&lt;Assumptions!$C$6),1,0)</f>
        <v/>
      </c>
      <c r="AB2027">
        <f>IF(U2027=0,"",IF(Y2027=1,MAX(0,Q2027-G2027),IF(L2027=1,MAX(0,R2027-G2027),MAX(0,Assumptions!$C$6-G2027))))</f>
        <v/>
      </c>
      <c r="AC2027">
        <f>IF(Y2027=1,Q2027-F2027,"")</f>
        <v/>
      </c>
      <c r="AD2027">
        <f>IF(Y2027=1,AC2027^2,"")</f>
        <v/>
      </c>
      <c r="AE2027" s="19">
        <f>IF(Z2027=1,(H2027-M2027)*I2027,0)</f>
        <v/>
      </c>
      <c r="AF2027">
        <f>IF(G2027&lt;EDATE(Assumptions!$C$6,-12)+1,"prior_12m","last_12m")</f>
        <v/>
      </c>
      <c r="AG2027" s="21">
        <f>DATE(YEAR(G2027),MONTH(G2027),1)</f>
        <v/>
      </c>
    </row>
    <row r="2028">
      <c r="A2028" t="inlineStr">
        <is>
          <t>SPO-01099-1</t>
        </is>
      </c>
      <c r="B2028" t="inlineStr">
        <is>
          <t>SPO-01099</t>
        </is>
      </c>
      <c r="C2028" t="inlineStr">
        <is>
          <t>SUP-12</t>
        </is>
      </c>
      <c r="D2028" t="inlineStr">
        <is>
          <t>IT</t>
        </is>
      </c>
      <c r="E2028" t="inlineStr">
        <is>
          <t>IT-07</t>
        </is>
      </c>
      <c r="F2028" s="17" t="n">
        <v>45873</v>
      </c>
      <c r="G2028" s="17" t="n">
        <v>45883</v>
      </c>
      <c r="H2028" s="18" t="n">
        <v>15</v>
      </c>
      <c r="I2028" s="19" t="n">
        <v>85.58</v>
      </c>
      <c r="J2028" s="19" t="n">
        <v>74</v>
      </c>
      <c r="K2028" s="20" t="n">
        <v>0</v>
      </c>
      <c r="L2028" s="20" t="n">
        <v>0</v>
      </c>
      <c r="M2028" s="18" t="n">
        <v>15</v>
      </c>
      <c r="N2028" s="18" t="n">
        <v>15</v>
      </c>
      <c r="O2028" s="18" t="n">
        <v>0</v>
      </c>
      <c r="P2028" s="17" t="n">
        <v>45875</v>
      </c>
      <c r="Q2028" s="17" t="n">
        <v>45875</v>
      </c>
      <c r="R2028" s="17" t="n">
        <v>45875</v>
      </c>
      <c r="S2028" s="19">
        <f>H2028*I2028</f>
        <v/>
      </c>
      <c r="T2028" s="19">
        <f>H2028*J2028</f>
        <v/>
      </c>
      <c r="U2028">
        <f>IF(AND(K2028=0,G2028&lt;=Assumptions!$C$6),1,0)</f>
        <v/>
      </c>
      <c r="V2028">
        <f>IF(U2028=1,IF(M2028&gt;0,IF(P2028&lt;=G2028+Assumptions!$C$7,1,0),0),0)</f>
        <v/>
      </c>
      <c r="W2028">
        <f>IF(AND(U2028=1,M2028&gt;=H2028*(1-Assumptions!$C$8)),1,0)</f>
        <v/>
      </c>
      <c r="X2028">
        <f>IF(AND(U2028=1,N2028&gt;=H2028*(1-Assumptions!$C$8)),1,0)</f>
        <v/>
      </c>
      <c r="Y2028">
        <f>IF(ISNUMBER(Q2028),1,0)</f>
        <v/>
      </c>
      <c r="Z2028">
        <f>IF(AND(K2028=0,L2028=0,Y2028=0),1,0)</f>
        <v/>
      </c>
      <c r="AA2028">
        <f>IF(AND(Z2028=1,G2028&lt;Assumptions!$C$6),1,0)</f>
        <v/>
      </c>
      <c r="AB2028">
        <f>IF(U2028=0,"",IF(Y2028=1,MAX(0,Q2028-G2028),IF(L2028=1,MAX(0,R2028-G2028),MAX(0,Assumptions!$C$6-G2028))))</f>
        <v/>
      </c>
      <c r="AC2028">
        <f>IF(Y2028=1,Q2028-F2028,"")</f>
        <v/>
      </c>
      <c r="AD2028">
        <f>IF(Y2028=1,AC2028^2,"")</f>
        <v/>
      </c>
      <c r="AE2028" s="19">
        <f>IF(Z2028=1,(H2028-M2028)*I2028,0)</f>
        <v/>
      </c>
      <c r="AF2028">
        <f>IF(G2028&lt;EDATE(Assumptions!$C$6,-12)+1,"prior_12m","last_12m")</f>
        <v/>
      </c>
      <c r="AG2028" s="21">
        <f>DATE(YEAR(G2028),MONTH(G2028),1)</f>
        <v/>
      </c>
    </row>
    <row r="2029">
      <c r="A2029" t="inlineStr">
        <is>
          <t>SPO-01100-1</t>
        </is>
      </c>
      <c r="B2029" t="inlineStr">
        <is>
          <t>SPO-01100</t>
        </is>
      </c>
      <c r="C2029" t="inlineStr">
        <is>
          <t>SUP-06</t>
        </is>
      </c>
      <c r="D2029" t="inlineStr">
        <is>
          <t>MRO</t>
        </is>
      </c>
      <c r="E2029" t="inlineStr">
        <is>
          <t>MRO-01</t>
        </is>
      </c>
      <c r="F2029" s="17" t="n">
        <v>45874</v>
      </c>
      <c r="G2029" s="17" t="n">
        <v>45882</v>
      </c>
      <c r="H2029" s="18" t="n">
        <v>8</v>
      </c>
      <c r="I2029" s="19" t="n">
        <v>53.4</v>
      </c>
      <c r="J2029" s="19" t="n">
        <v>52</v>
      </c>
      <c r="K2029" s="20" t="n">
        <v>0</v>
      </c>
      <c r="L2029" s="20" t="n">
        <v>0</v>
      </c>
      <c r="M2029" s="18" t="n">
        <v>8</v>
      </c>
      <c r="N2029" s="18" t="n">
        <v>8</v>
      </c>
      <c r="O2029" s="18" t="n">
        <v>0</v>
      </c>
      <c r="P2029" s="17" t="n">
        <v>45879</v>
      </c>
      <c r="Q2029" s="17" t="n">
        <v>45879</v>
      </c>
      <c r="R2029" s="17" t="n">
        <v>45879</v>
      </c>
      <c r="S2029" s="19">
        <f>H2029*I2029</f>
        <v/>
      </c>
      <c r="T2029" s="19">
        <f>H2029*J2029</f>
        <v/>
      </c>
      <c r="U2029">
        <f>IF(AND(K2029=0,G2029&lt;=Assumptions!$C$6),1,0)</f>
        <v/>
      </c>
      <c r="V2029">
        <f>IF(U2029=1,IF(M2029&gt;0,IF(P2029&lt;=G2029+Assumptions!$C$7,1,0),0),0)</f>
        <v/>
      </c>
      <c r="W2029">
        <f>IF(AND(U2029=1,M2029&gt;=H2029*(1-Assumptions!$C$8)),1,0)</f>
        <v/>
      </c>
      <c r="X2029">
        <f>IF(AND(U2029=1,N2029&gt;=H2029*(1-Assumptions!$C$8)),1,0)</f>
        <v/>
      </c>
      <c r="Y2029">
        <f>IF(ISNUMBER(Q2029),1,0)</f>
        <v/>
      </c>
      <c r="Z2029">
        <f>IF(AND(K2029=0,L2029=0,Y2029=0),1,0)</f>
        <v/>
      </c>
      <c r="AA2029">
        <f>IF(AND(Z2029=1,G2029&lt;Assumptions!$C$6),1,0)</f>
        <v/>
      </c>
      <c r="AB2029">
        <f>IF(U2029=0,"",IF(Y2029=1,MAX(0,Q2029-G2029),IF(L2029=1,MAX(0,R2029-G2029),MAX(0,Assumptions!$C$6-G2029))))</f>
        <v/>
      </c>
      <c r="AC2029">
        <f>IF(Y2029=1,Q2029-F2029,"")</f>
        <v/>
      </c>
      <c r="AD2029">
        <f>IF(Y2029=1,AC2029^2,"")</f>
        <v/>
      </c>
      <c r="AE2029" s="19">
        <f>IF(Z2029=1,(H2029-M2029)*I2029,0)</f>
        <v/>
      </c>
      <c r="AF2029">
        <f>IF(G2029&lt;EDATE(Assumptions!$C$6,-12)+1,"prior_12m","last_12m")</f>
        <v/>
      </c>
      <c r="AG2029" s="21">
        <f>DATE(YEAR(G2029),MONTH(G2029),1)</f>
        <v/>
      </c>
    </row>
    <row r="2030">
      <c r="A2030" t="inlineStr">
        <is>
          <t>SPO-01100-2</t>
        </is>
      </c>
      <c r="B2030" t="inlineStr">
        <is>
          <t>SPO-01100</t>
        </is>
      </c>
      <c r="C2030" t="inlineStr">
        <is>
          <t>SUP-06</t>
        </is>
      </c>
      <c r="D2030" t="inlineStr">
        <is>
          <t>MRO</t>
        </is>
      </c>
      <c r="E2030" t="inlineStr">
        <is>
          <t>MRO-04</t>
        </is>
      </c>
      <c r="F2030" s="17" t="n">
        <v>45874</v>
      </c>
      <c r="G2030" s="17" t="n">
        <v>45882</v>
      </c>
      <c r="H2030" s="18" t="n">
        <v>30</v>
      </c>
      <c r="I2030" s="19" t="n">
        <v>56.64</v>
      </c>
      <c r="J2030" s="19" t="n">
        <v>58</v>
      </c>
      <c r="K2030" s="20" t="n">
        <v>0</v>
      </c>
      <c r="L2030" s="20" t="n">
        <v>0</v>
      </c>
      <c r="M2030" s="18" t="n">
        <v>30</v>
      </c>
      <c r="N2030" s="18" t="n">
        <v>30</v>
      </c>
      <c r="O2030" s="18" t="n">
        <v>0</v>
      </c>
      <c r="P2030" s="17" t="n">
        <v>45881</v>
      </c>
      <c r="Q2030" s="17" t="n">
        <v>45881</v>
      </c>
      <c r="R2030" s="17" t="n">
        <v>45881</v>
      </c>
      <c r="S2030" s="19">
        <f>H2030*I2030</f>
        <v/>
      </c>
      <c r="T2030" s="19">
        <f>H2030*J2030</f>
        <v/>
      </c>
      <c r="U2030">
        <f>IF(AND(K2030=0,G2030&lt;=Assumptions!$C$6),1,0)</f>
        <v/>
      </c>
      <c r="V2030">
        <f>IF(U2030=1,IF(M2030&gt;0,IF(P2030&lt;=G2030+Assumptions!$C$7,1,0),0),0)</f>
        <v/>
      </c>
      <c r="W2030">
        <f>IF(AND(U2030=1,M2030&gt;=H2030*(1-Assumptions!$C$8)),1,0)</f>
        <v/>
      </c>
      <c r="X2030">
        <f>IF(AND(U2030=1,N2030&gt;=H2030*(1-Assumptions!$C$8)),1,0)</f>
        <v/>
      </c>
      <c r="Y2030">
        <f>IF(ISNUMBER(Q2030),1,0)</f>
        <v/>
      </c>
      <c r="Z2030">
        <f>IF(AND(K2030=0,L2030=0,Y2030=0),1,0)</f>
        <v/>
      </c>
      <c r="AA2030">
        <f>IF(AND(Z2030=1,G2030&lt;Assumptions!$C$6),1,0)</f>
        <v/>
      </c>
      <c r="AB2030">
        <f>IF(U2030=0,"",IF(Y2030=1,MAX(0,Q2030-G2030),IF(L2030=1,MAX(0,R2030-G2030),MAX(0,Assumptions!$C$6-G2030))))</f>
        <v/>
      </c>
      <c r="AC2030">
        <f>IF(Y2030=1,Q2030-F2030,"")</f>
        <v/>
      </c>
      <c r="AD2030">
        <f>IF(Y2030=1,AC2030^2,"")</f>
        <v/>
      </c>
      <c r="AE2030" s="19">
        <f>IF(Z2030=1,(H2030-M2030)*I2030,0)</f>
        <v/>
      </c>
      <c r="AF2030">
        <f>IF(G2030&lt;EDATE(Assumptions!$C$6,-12)+1,"prior_12m","last_12m")</f>
        <v/>
      </c>
      <c r="AG2030" s="21">
        <f>DATE(YEAR(G2030),MONTH(G2030),1)</f>
        <v/>
      </c>
    </row>
    <row r="2031">
      <c r="A2031" t="inlineStr">
        <is>
          <t>SPO-01101-1</t>
        </is>
      </c>
      <c r="B2031" t="inlineStr">
        <is>
          <t>SPO-01101</t>
        </is>
      </c>
      <c r="C2031" t="inlineStr">
        <is>
          <t>SUP-01</t>
        </is>
      </c>
      <c r="D2031" t="inlineStr">
        <is>
          <t>ELEC</t>
        </is>
      </c>
      <c r="E2031" t="inlineStr">
        <is>
          <t>ELEC-03</t>
        </is>
      </c>
      <c r="F2031" s="17" t="n">
        <v>45874</v>
      </c>
      <c r="G2031" s="17" t="n">
        <v>45892</v>
      </c>
      <c r="H2031" s="18" t="n">
        <v>35</v>
      </c>
      <c r="I2031" s="19" t="n">
        <v>100.04</v>
      </c>
      <c r="J2031" s="19" t="n">
        <v>96</v>
      </c>
      <c r="K2031" s="20" t="n">
        <v>0</v>
      </c>
      <c r="L2031" s="20" t="n">
        <v>0</v>
      </c>
      <c r="M2031" s="18" t="n">
        <v>35</v>
      </c>
      <c r="N2031" s="18" t="n">
        <v>35</v>
      </c>
      <c r="O2031" s="18" t="n">
        <v>0</v>
      </c>
      <c r="P2031" s="17" t="n">
        <v>45890</v>
      </c>
      <c r="Q2031" s="17" t="n">
        <v>45890</v>
      </c>
      <c r="R2031" s="17" t="n">
        <v>45890</v>
      </c>
      <c r="S2031" s="19">
        <f>H2031*I2031</f>
        <v/>
      </c>
      <c r="T2031" s="19">
        <f>H2031*J2031</f>
        <v/>
      </c>
      <c r="U2031">
        <f>IF(AND(K2031=0,G2031&lt;=Assumptions!$C$6),1,0)</f>
        <v/>
      </c>
      <c r="V2031">
        <f>IF(U2031=1,IF(M2031&gt;0,IF(P2031&lt;=G2031+Assumptions!$C$7,1,0),0),0)</f>
        <v/>
      </c>
      <c r="W2031">
        <f>IF(AND(U2031=1,M2031&gt;=H2031*(1-Assumptions!$C$8)),1,0)</f>
        <v/>
      </c>
      <c r="X2031">
        <f>IF(AND(U2031=1,N2031&gt;=H2031*(1-Assumptions!$C$8)),1,0)</f>
        <v/>
      </c>
      <c r="Y2031">
        <f>IF(ISNUMBER(Q2031),1,0)</f>
        <v/>
      </c>
      <c r="Z2031">
        <f>IF(AND(K2031=0,L2031=0,Y2031=0),1,0)</f>
        <v/>
      </c>
      <c r="AA2031">
        <f>IF(AND(Z2031=1,G2031&lt;Assumptions!$C$6),1,0)</f>
        <v/>
      </c>
      <c r="AB2031">
        <f>IF(U2031=0,"",IF(Y2031=1,MAX(0,Q2031-G2031),IF(L2031=1,MAX(0,R2031-G2031),MAX(0,Assumptions!$C$6-G2031))))</f>
        <v/>
      </c>
      <c r="AC2031">
        <f>IF(Y2031=1,Q2031-F2031,"")</f>
        <v/>
      </c>
      <c r="AD2031">
        <f>IF(Y2031=1,AC2031^2,"")</f>
        <v/>
      </c>
      <c r="AE2031" s="19">
        <f>IF(Z2031=1,(H2031-M2031)*I2031,0)</f>
        <v/>
      </c>
      <c r="AF2031">
        <f>IF(G2031&lt;EDATE(Assumptions!$C$6,-12)+1,"prior_12m","last_12m")</f>
        <v/>
      </c>
      <c r="AG2031" s="21">
        <f>DATE(YEAR(G2031),MONTH(G2031),1)</f>
        <v/>
      </c>
    </row>
    <row r="2032">
      <c r="A2032" t="inlineStr">
        <is>
          <t>SPO-01101-2</t>
        </is>
      </c>
      <c r="B2032" t="inlineStr">
        <is>
          <t>SPO-01101</t>
        </is>
      </c>
      <c r="C2032" t="inlineStr">
        <is>
          <t>SUP-01</t>
        </is>
      </c>
      <c r="D2032" t="inlineStr">
        <is>
          <t>ELEC</t>
        </is>
      </c>
      <c r="E2032" t="inlineStr">
        <is>
          <t>ELEC-05</t>
        </is>
      </c>
      <c r="F2032" s="17" t="n">
        <v>45874</v>
      </c>
      <c r="G2032" s="17" t="n">
        <v>45892</v>
      </c>
      <c r="H2032" s="18" t="n">
        <v>416</v>
      </c>
      <c r="I2032" s="19" t="n">
        <v>11.32</v>
      </c>
      <c r="J2032" s="19" t="n">
        <v>11.5</v>
      </c>
      <c r="K2032" s="20" t="n">
        <v>0</v>
      </c>
      <c r="L2032" s="20" t="n">
        <v>0</v>
      </c>
      <c r="M2032" s="18" t="n">
        <v>416</v>
      </c>
      <c r="N2032" s="18" t="n">
        <v>416</v>
      </c>
      <c r="O2032" s="18" t="n">
        <v>0</v>
      </c>
      <c r="P2032" s="17" t="n">
        <v>45891</v>
      </c>
      <c r="Q2032" s="17" t="n">
        <v>45891</v>
      </c>
      <c r="R2032" s="17" t="n">
        <v>45891</v>
      </c>
      <c r="S2032" s="19">
        <f>H2032*I2032</f>
        <v/>
      </c>
      <c r="T2032" s="19">
        <f>H2032*J2032</f>
        <v/>
      </c>
      <c r="U2032">
        <f>IF(AND(K2032=0,G2032&lt;=Assumptions!$C$6),1,0)</f>
        <v/>
      </c>
      <c r="V2032">
        <f>IF(U2032=1,IF(M2032&gt;0,IF(P2032&lt;=G2032+Assumptions!$C$7,1,0),0),0)</f>
        <v/>
      </c>
      <c r="W2032">
        <f>IF(AND(U2032=1,M2032&gt;=H2032*(1-Assumptions!$C$8)),1,0)</f>
        <v/>
      </c>
      <c r="X2032">
        <f>IF(AND(U2032=1,N2032&gt;=H2032*(1-Assumptions!$C$8)),1,0)</f>
        <v/>
      </c>
      <c r="Y2032">
        <f>IF(ISNUMBER(Q2032),1,0)</f>
        <v/>
      </c>
      <c r="Z2032">
        <f>IF(AND(K2032=0,L2032=0,Y2032=0),1,0)</f>
        <v/>
      </c>
      <c r="AA2032">
        <f>IF(AND(Z2032=1,G2032&lt;Assumptions!$C$6),1,0)</f>
        <v/>
      </c>
      <c r="AB2032">
        <f>IF(U2032=0,"",IF(Y2032=1,MAX(0,Q2032-G2032),IF(L2032=1,MAX(0,R2032-G2032),MAX(0,Assumptions!$C$6-G2032))))</f>
        <v/>
      </c>
      <c r="AC2032">
        <f>IF(Y2032=1,Q2032-F2032,"")</f>
        <v/>
      </c>
      <c r="AD2032">
        <f>IF(Y2032=1,AC2032^2,"")</f>
        <v/>
      </c>
      <c r="AE2032" s="19">
        <f>IF(Z2032=1,(H2032-M2032)*I2032,0)</f>
        <v/>
      </c>
      <c r="AF2032">
        <f>IF(G2032&lt;EDATE(Assumptions!$C$6,-12)+1,"prior_12m","last_12m")</f>
        <v/>
      </c>
      <c r="AG2032" s="21">
        <f>DATE(YEAR(G2032),MONTH(G2032),1)</f>
        <v/>
      </c>
    </row>
    <row r="2033">
      <c r="A2033" t="inlineStr">
        <is>
          <t>SPO-01101-3</t>
        </is>
      </c>
      <c r="B2033" t="inlineStr">
        <is>
          <t>SPO-01101</t>
        </is>
      </c>
      <c r="C2033" t="inlineStr">
        <is>
          <t>SUP-01</t>
        </is>
      </c>
      <c r="D2033" t="inlineStr">
        <is>
          <t>ELEC</t>
        </is>
      </c>
      <c r="E2033" t="inlineStr">
        <is>
          <t>ELEC-06</t>
        </is>
      </c>
      <c r="F2033" s="17" t="n">
        <v>45874</v>
      </c>
      <c r="G2033" s="17" t="n">
        <v>45892</v>
      </c>
      <c r="H2033" s="18" t="n">
        <v>36</v>
      </c>
      <c r="I2033" s="19" t="n">
        <v>143.36</v>
      </c>
      <c r="J2033" s="19" t="n">
        <v>145</v>
      </c>
      <c r="K2033" s="20" t="n">
        <v>0</v>
      </c>
      <c r="L2033" s="20" t="n">
        <v>0</v>
      </c>
      <c r="M2033" s="18" t="n">
        <v>36</v>
      </c>
      <c r="N2033" s="18" t="n">
        <v>36</v>
      </c>
      <c r="O2033" s="18" t="n">
        <v>0</v>
      </c>
      <c r="P2033" s="17" t="n">
        <v>45888</v>
      </c>
      <c r="Q2033" s="17" t="n">
        <v>45888</v>
      </c>
      <c r="R2033" s="17" t="n">
        <v>45888</v>
      </c>
      <c r="S2033" s="19">
        <f>H2033*I2033</f>
        <v/>
      </c>
      <c r="T2033" s="19">
        <f>H2033*J2033</f>
        <v/>
      </c>
      <c r="U2033">
        <f>IF(AND(K2033=0,G2033&lt;=Assumptions!$C$6),1,0)</f>
        <v/>
      </c>
      <c r="V2033">
        <f>IF(U2033=1,IF(M2033&gt;0,IF(P2033&lt;=G2033+Assumptions!$C$7,1,0),0),0)</f>
        <v/>
      </c>
      <c r="W2033">
        <f>IF(AND(U2033=1,M2033&gt;=H2033*(1-Assumptions!$C$8)),1,0)</f>
        <v/>
      </c>
      <c r="X2033">
        <f>IF(AND(U2033=1,N2033&gt;=H2033*(1-Assumptions!$C$8)),1,0)</f>
        <v/>
      </c>
      <c r="Y2033">
        <f>IF(ISNUMBER(Q2033),1,0)</f>
        <v/>
      </c>
      <c r="Z2033">
        <f>IF(AND(K2033=0,L2033=0,Y2033=0),1,0)</f>
        <v/>
      </c>
      <c r="AA2033">
        <f>IF(AND(Z2033=1,G2033&lt;Assumptions!$C$6),1,0)</f>
        <v/>
      </c>
      <c r="AB2033">
        <f>IF(U2033=0,"",IF(Y2033=1,MAX(0,Q2033-G2033),IF(L2033=1,MAX(0,R2033-G2033),MAX(0,Assumptions!$C$6-G2033))))</f>
        <v/>
      </c>
      <c r="AC2033">
        <f>IF(Y2033=1,Q2033-F2033,"")</f>
        <v/>
      </c>
      <c r="AD2033">
        <f>IF(Y2033=1,AC2033^2,"")</f>
        <v/>
      </c>
      <c r="AE2033" s="19">
        <f>IF(Z2033=1,(H2033-M2033)*I2033,0)</f>
        <v/>
      </c>
      <c r="AF2033">
        <f>IF(G2033&lt;EDATE(Assumptions!$C$6,-12)+1,"prior_12m","last_12m")</f>
        <v/>
      </c>
      <c r="AG2033" s="21">
        <f>DATE(YEAR(G2033),MONTH(G2033),1)</f>
        <v/>
      </c>
    </row>
    <row r="2034">
      <c r="A2034" t="inlineStr">
        <is>
          <t>SPO-01102-1</t>
        </is>
      </c>
      <c r="B2034" t="inlineStr">
        <is>
          <t>SPO-01102</t>
        </is>
      </c>
      <c r="C2034" t="inlineStr">
        <is>
          <t>SUP-06</t>
        </is>
      </c>
      <c r="D2034" t="inlineStr">
        <is>
          <t>MRO</t>
        </is>
      </c>
      <c r="E2034" t="inlineStr">
        <is>
          <t>MRO-01</t>
        </is>
      </c>
      <c r="F2034" s="17" t="n">
        <v>45874</v>
      </c>
      <c r="G2034" s="17" t="n">
        <v>45882</v>
      </c>
      <c r="H2034" s="18" t="n">
        <v>27</v>
      </c>
      <c r="I2034" s="19" t="n">
        <v>52.5</v>
      </c>
      <c r="J2034" s="19" t="n">
        <v>52</v>
      </c>
      <c r="K2034" s="20" t="n">
        <v>0</v>
      </c>
      <c r="L2034" s="20" t="n">
        <v>0</v>
      </c>
      <c r="M2034" s="18" t="n">
        <v>27</v>
      </c>
      <c r="N2034" s="18" t="n">
        <v>27</v>
      </c>
      <c r="O2034" s="18" t="n">
        <v>0</v>
      </c>
      <c r="P2034" s="17" t="n">
        <v>45880</v>
      </c>
      <c r="Q2034" s="17" t="n">
        <v>45880</v>
      </c>
      <c r="R2034" s="17" t="n">
        <v>45880</v>
      </c>
      <c r="S2034" s="19">
        <f>H2034*I2034</f>
        <v/>
      </c>
      <c r="T2034" s="19">
        <f>H2034*J2034</f>
        <v/>
      </c>
      <c r="U2034">
        <f>IF(AND(K2034=0,G2034&lt;=Assumptions!$C$6),1,0)</f>
        <v/>
      </c>
      <c r="V2034">
        <f>IF(U2034=1,IF(M2034&gt;0,IF(P2034&lt;=G2034+Assumptions!$C$7,1,0),0),0)</f>
        <v/>
      </c>
      <c r="W2034">
        <f>IF(AND(U2034=1,M2034&gt;=H2034*(1-Assumptions!$C$8)),1,0)</f>
        <v/>
      </c>
      <c r="X2034">
        <f>IF(AND(U2034=1,N2034&gt;=H2034*(1-Assumptions!$C$8)),1,0)</f>
        <v/>
      </c>
      <c r="Y2034">
        <f>IF(ISNUMBER(Q2034),1,0)</f>
        <v/>
      </c>
      <c r="Z2034">
        <f>IF(AND(K2034=0,L2034=0,Y2034=0),1,0)</f>
        <v/>
      </c>
      <c r="AA2034">
        <f>IF(AND(Z2034=1,G2034&lt;Assumptions!$C$6),1,0)</f>
        <v/>
      </c>
      <c r="AB2034">
        <f>IF(U2034=0,"",IF(Y2034=1,MAX(0,Q2034-G2034),IF(L2034=1,MAX(0,R2034-G2034),MAX(0,Assumptions!$C$6-G2034))))</f>
        <v/>
      </c>
      <c r="AC2034">
        <f>IF(Y2034=1,Q2034-F2034,"")</f>
        <v/>
      </c>
      <c r="AD2034">
        <f>IF(Y2034=1,AC2034^2,"")</f>
        <v/>
      </c>
      <c r="AE2034" s="19">
        <f>IF(Z2034=1,(H2034-M2034)*I2034,0)</f>
        <v/>
      </c>
      <c r="AF2034">
        <f>IF(G2034&lt;EDATE(Assumptions!$C$6,-12)+1,"prior_12m","last_12m")</f>
        <v/>
      </c>
      <c r="AG2034" s="21">
        <f>DATE(YEAR(G2034),MONTH(G2034),1)</f>
        <v/>
      </c>
    </row>
    <row r="2035">
      <c r="A2035" t="inlineStr">
        <is>
          <t>SPO-01102-2</t>
        </is>
      </c>
      <c r="B2035" t="inlineStr">
        <is>
          <t>SPO-01102</t>
        </is>
      </c>
      <c r="C2035" t="inlineStr">
        <is>
          <t>SUP-06</t>
        </is>
      </c>
      <c r="D2035" t="inlineStr">
        <is>
          <t>MRO</t>
        </is>
      </c>
      <c r="E2035" t="inlineStr">
        <is>
          <t>MRO-06</t>
        </is>
      </c>
      <c r="F2035" s="17" t="n">
        <v>45874</v>
      </c>
      <c r="G2035" s="17" t="n">
        <v>45882</v>
      </c>
      <c r="H2035" s="18" t="n">
        <v>100</v>
      </c>
      <c r="I2035" s="19" t="n">
        <v>6.15</v>
      </c>
      <c r="J2035" s="19" t="n">
        <v>6.1</v>
      </c>
      <c r="K2035" s="20" t="n">
        <v>0</v>
      </c>
      <c r="L2035" s="20" t="n">
        <v>0</v>
      </c>
      <c r="M2035" s="18" t="n">
        <v>100</v>
      </c>
      <c r="N2035" s="18" t="n">
        <v>100</v>
      </c>
      <c r="O2035" s="18" t="n">
        <v>0</v>
      </c>
      <c r="P2035" s="17" t="n">
        <v>45878</v>
      </c>
      <c r="Q2035" s="17" t="n">
        <v>45878</v>
      </c>
      <c r="R2035" s="17" t="n">
        <v>45878</v>
      </c>
      <c r="S2035" s="19">
        <f>H2035*I2035</f>
        <v/>
      </c>
      <c r="T2035" s="19">
        <f>H2035*J2035</f>
        <v/>
      </c>
      <c r="U2035">
        <f>IF(AND(K2035=0,G2035&lt;=Assumptions!$C$6),1,0)</f>
        <v/>
      </c>
      <c r="V2035">
        <f>IF(U2035=1,IF(M2035&gt;0,IF(P2035&lt;=G2035+Assumptions!$C$7,1,0),0),0)</f>
        <v/>
      </c>
      <c r="W2035">
        <f>IF(AND(U2035=1,M2035&gt;=H2035*(1-Assumptions!$C$8)),1,0)</f>
        <v/>
      </c>
      <c r="X2035">
        <f>IF(AND(U2035=1,N2035&gt;=H2035*(1-Assumptions!$C$8)),1,0)</f>
        <v/>
      </c>
      <c r="Y2035">
        <f>IF(ISNUMBER(Q2035),1,0)</f>
        <v/>
      </c>
      <c r="Z2035">
        <f>IF(AND(K2035=0,L2035=0,Y2035=0),1,0)</f>
        <v/>
      </c>
      <c r="AA2035">
        <f>IF(AND(Z2035=1,G2035&lt;Assumptions!$C$6),1,0)</f>
        <v/>
      </c>
      <c r="AB2035">
        <f>IF(U2035=0,"",IF(Y2035=1,MAX(0,Q2035-G2035),IF(L2035=1,MAX(0,R2035-G2035),MAX(0,Assumptions!$C$6-G2035))))</f>
        <v/>
      </c>
      <c r="AC2035">
        <f>IF(Y2035=1,Q2035-F2035,"")</f>
        <v/>
      </c>
      <c r="AD2035">
        <f>IF(Y2035=1,AC2035^2,"")</f>
        <v/>
      </c>
      <c r="AE2035" s="19">
        <f>IF(Z2035=1,(H2035-M2035)*I2035,0)</f>
        <v/>
      </c>
      <c r="AF2035">
        <f>IF(G2035&lt;EDATE(Assumptions!$C$6,-12)+1,"prior_12m","last_12m")</f>
        <v/>
      </c>
      <c r="AG2035" s="21">
        <f>DATE(YEAR(G2035),MONTH(G2035),1)</f>
        <v/>
      </c>
    </row>
    <row r="2036">
      <c r="A2036" t="inlineStr">
        <is>
          <t>SPO-01103-1</t>
        </is>
      </c>
      <c r="B2036" t="inlineStr">
        <is>
          <t>SPO-01103</t>
        </is>
      </c>
      <c r="C2036" t="inlineStr">
        <is>
          <t>SUP-04</t>
        </is>
      </c>
      <c r="D2036" t="inlineStr">
        <is>
          <t>FLEET</t>
        </is>
      </c>
      <c r="E2036" t="inlineStr">
        <is>
          <t>FLEET-01</t>
        </is>
      </c>
      <c r="F2036" s="17" t="n">
        <v>45875</v>
      </c>
      <c r="G2036" s="17" t="n">
        <v>45888</v>
      </c>
      <c r="H2036" s="18" t="n">
        <v>18</v>
      </c>
      <c r="I2036" s="19" t="n">
        <v>63.24</v>
      </c>
      <c r="J2036" s="19" t="n">
        <v>64</v>
      </c>
      <c r="K2036" s="20" t="n">
        <v>0</v>
      </c>
      <c r="L2036" s="20" t="n">
        <v>0</v>
      </c>
      <c r="M2036" s="18" t="n">
        <v>18</v>
      </c>
      <c r="N2036" s="18" t="n">
        <v>0</v>
      </c>
      <c r="O2036" s="18" t="n">
        <v>0</v>
      </c>
      <c r="P2036" s="17" t="n">
        <v>45892</v>
      </c>
      <c r="Q2036" s="17" t="n">
        <v>45892</v>
      </c>
      <c r="R2036" s="17" t="n">
        <v>45892</v>
      </c>
      <c r="S2036" s="19">
        <f>H2036*I2036</f>
        <v/>
      </c>
      <c r="T2036" s="19">
        <f>H2036*J2036</f>
        <v/>
      </c>
      <c r="U2036">
        <f>IF(AND(K2036=0,G2036&lt;=Assumptions!$C$6),1,0)</f>
        <v/>
      </c>
      <c r="V2036">
        <f>IF(U2036=1,IF(M2036&gt;0,IF(P2036&lt;=G2036+Assumptions!$C$7,1,0),0),0)</f>
        <v/>
      </c>
      <c r="W2036">
        <f>IF(AND(U2036=1,M2036&gt;=H2036*(1-Assumptions!$C$8)),1,0)</f>
        <v/>
      </c>
      <c r="X2036">
        <f>IF(AND(U2036=1,N2036&gt;=H2036*(1-Assumptions!$C$8)),1,0)</f>
        <v/>
      </c>
      <c r="Y2036">
        <f>IF(ISNUMBER(Q2036),1,0)</f>
        <v/>
      </c>
      <c r="Z2036">
        <f>IF(AND(K2036=0,L2036=0,Y2036=0),1,0)</f>
        <v/>
      </c>
      <c r="AA2036">
        <f>IF(AND(Z2036=1,G2036&lt;Assumptions!$C$6),1,0)</f>
        <v/>
      </c>
      <c r="AB2036">
        <f>IF(U2036=0,"",IF(Y2036=1,MAX(0,Q2036-G2036),IF(L2036=1,MAX(0,R2036-G2036),MAX(0,Assumptions!$C$6-G2036))))</f>
        <v/>
      </c>
      <c r="AC2036">
        <f>IF(Y2036=1,Q2036-F2036,"")</f>
        <v/>
      </c>
      <c r="AD2036">
        <f>IF(Y2036=1,AC2036^2,"")</f>
        <v/>
      </c>
      <c r="AE2036" s="19">
        <f>IF(Z2036=1,(H2036-M2036)*I2036,0)</f>
        <v/>
      </c>
      <c r="AF2036">
        <f>IF(G2036&lt;EDATE(Assumptions!$C$6,-12)+1,"prior_12m","last_12m")</f>
        <v/>
      </c>
      <c r="AG2036" s="21">
        <f>DATE(YEAR(G2036),MONTH(G2036),1)</f>
        <v/>
      </c>
    </row>
    <row r="2037">
      <c r="A2037" t="inlineStr">
        <is>
          <t>SPO-01103-2</t>
        </is>
      </c>
      <c r="B2037" t="inlineStr">
        <is>
          <t>SPO-01103</t>
        </is>
      </c>
      <c r="C2037" t="inlineStr">
        <is>
          <t>SUP-04</t>
        </is>
      </c>
      <c r="D2037" t="inlineStr">
        <is>
          <t>FLEET</t>
        </is>
      </c>
      <c r="E2037" t="inlineStr">
        <is>
          <t>FLEET-06</t>
        </is>
      </c>
      <c r="F2037" s="17" t="n">
        <v>45875</v>
      </c>
      <c r="G2037" s="17" t="n">
        <v>45888</v>
      </c>
      <c r="H2037" s="18" t="n">
        <v>58</v>
      </c>
      <c r="I2037" s="19" t="n">
        <v>31.71</v>
      </c>
      <c r="J2037" s="19" t="n">
        <v>33</v>
      </c>
      <c r="K2037" s="20" t="n">
        <v>0</v>
      </c>
      <c r="L2037" s="20" t="n">
        <v>0</v>
      </c>
      <c r="M2037" s="18" t="n">
        <v>58</v>
      </c>
      <c r="N2037" s="18" t="n">
        <v>58</v>
      </c>
      <c r="O2037" s="18" t="n">
        <v>0</v>
      </c>
      <c r="P2037" s="17" t="n">
        <v>45876</v>
      </c>
      <c r="Q2037" s="17" t="n">
        <v>45876</v>
      </c>
      <c r="R2037" s="17" t="n">
        <v>45876</v>
      </c>
      <c r="S2037" s="19">
        <f>H2037*I2037</f>
        <v/>
      </c>
      <c r="T2037" s="19">
        <f>H2037*J2037</f>
        <v/>
      </c>
      <c r="U2037">
        <f>IF(AND(K2037=0,G2037&lt;=Assumptions!$C$6),1,0)</f>
        <v/>
      </c>
      <c r="V2037">
        <f>IF(U2037=1,IF(M2037&gt;0,IF(P2037&lt;=G2037+Assumptions!$C$7,1,0),0),0)</f>
        <v/>
      </c>
      <c r="W2037">
        <f>IF(AND(U2037=1,M2037&gt;=H2037*(1-Assumptions!$C$8)),1,0)</f>
        <v/>
      </c>
      <c r="X2037">
        <f>IF(AND(U2037=1,N2037&gt;=H2037*(1-Assumptions!$C$8)),1,0)</f>
        <v/>
      </c>
      <c r="Y2037">
        <f>IF(ISNUMBER(Q2037),1,0)</f>
        <v/>
      </c>
      <c r="Z2037">
        <f>IF(AND(K2037=0,L2037=0,Y2037=0),1,0)</f>
        <v/>
      </c>
      <c r="AA2037">
        <f>IF(AND(Z2037=1,G2037&lt;Assumptions!$C$6),1,0)</f>
        <v/>
      </c>
      <c r="AB2037">
        <f>IF(U2037=0,"",IF(Y2037=1,MAX(0,Q2037-G2037),IF(L2037=1,MAX(0,R2037-G2037),MAX(0,Assumptions!$C$6-G2037))))</f>
        <v/>
      </c>
      <c r="AC2037">
        <f>IF(Y2037=1,Q2037-F2037,"")</f>
        <v/>
      </c>
      <c r="AD2037">
        <f>IF(Y2037=1,AC2037^2,"")</f>
        <v/>
      </c>
      <c r="AE2037" s="19">
        <f>IF(Z2037=1,(H2037-M2037)*I2037,0)</f>
        <v/>
      </c>
      <c r="AF2037">
        <f>IF(G2037&lt;EDATE(Assumptions!$C$6,-12)+1,"prior_12m","last_12m")</f>
        <v/>
      </c>
      <c r="AG2037" s="21">
        <f>DATE(YEAR(G2037),MONTH(G2037),1)</f>
        <v/>
      </c>
    </row>
    <row r="2038">
      <c r="A2038" t="inlineStr">
        <is>
          <t>SPO-01103-3</t>
        </is>
      </c>
      <c r="B2038" t="inlineStr">
        <is>
          <t>SPO-01103</t>
        </is>
      </c>
      <c r="C2038" t="inlineStr">
        <is>
          <t>SUP-04</t>
        </is>
      </c>
      <c r="D2038" t="inlineStr">
        <is>
          <t>FLEET</t>
        </is>
      </c>
      <c r="E2038" t="inlineStr">
        <is>
          <t>FLEET-05</t>
        </is>
      </c>
      <c r="F2038" s="17" t="n">
        <v>45875</v>
      </c>
      <c r="G2038" s="17" t="n">
        <v>45888</v>
      </c>
      <c r="H2038" s="18" t="n">
        <v>9</v>
      </c>
      <c r="I2038" s="19" t="n">
        <v>174.4</v>
      </c>
      <c r="J2038" s="19" t="n">
        <v>168</v>
      </c>
      <c r="K2038" s="20" t="n">
        <v>0</v>
      </c>
      <c r="L2038" s="20" t="n">
        <v>0</v>
      </c>
      <c r="M2038" s="18" t="n">
        <v>9</v>
      </c>
      <c r="N2038" s="18" t="n">
        <v>9</v>
      </c>
      <c r="O2038" s="18" t="n">
        <v>0</v>
      </c>
      <c r="P2038" s="17" t="n">
        <v>45876</v>
      </c>
      <c r="Q2038" s="17" t="n">
        <v>45876</v>
      </c>
      <c r="R2038" s="17" t="n">
        <v>45876</v>
      </c>
      <c r="S2038" s="19">
        <f>H2038*I2038</f>
        <v/>
      </c>
      <c r="T2038" s="19">
        <f>H2038*J2038</f>
        <v/>
      </c>
      <c r="U2038">
        <f>IF(AND(K2038=0,G2038&lt;=Assumptions!$C$6),1,0)</f>
        <v/>
      </c>
      <c r="V2038">
        <f>IF(U2038=1,IF(M2038&gt;0,IF(P2038&lt;=G2038+Assumptions!$C$7,1,0),0),0)</f>
        <v/>
      </c>
      <c r="W2038">
        <f>IF(AND(U2038=1,M2038&gt;=H2038*(1-Assumptions!$C$8)),1,0)</f>
        <v/>
      </c>
      <c r="X2038">
        <f>IF(AND(U2038=1,N2038&gt;=H2038*(1-Assumptions!$C$8)),1,0)</f>
        <v/>
      </c>
      <c r="Y2038">
        <f>IF(ISNUMBER(Q2038),1,0)</f>
        <v/>
      </c>
      <c r="Z2038">
        <f>IF(AND(K2038=0,L2038=0,Y2038=0),1,0)</f>
        <v/>
      </c>
      <c r="AA2038">
        <f>IF(AND(Z2038=1,G2038&lt;Assumptions!$C$6),1,0)</f>
        <v/>
      </c>
      <c r="AB2038">
        <f>IF(U2038=0,"",IF(Y2038=1,MAX(0,Q2038-G2038),IF(L2038=1,MAX(0,R2038-G2038),MAX(0,Assumptions!$C$6-G2038))))</f>
        <v/>
      </c>
      <c r="AC2038">
        <f>IF(Y2038=1,Q2038-F2038,"")</f>
        <v/>
      </c>
      <c r="AD2038">
        <f>IF(Y2038=1,AC2038^2,"")</f>
        <v/>
      </c>
      <c r="AE2038" s="19">
        <f>IF(Z2038=1,(H2038-M2038)*I2038,0)</f>
        <v/>
      </c>
      <c r="AF2038">
        <f>IF(G2038&lt;EDATE(Assumptions!$C$6,-12)+1,"prior_12m","last_12m")</f>
        <v/>
      </c>
      <c r="AG2038" s="21">
        <f>DATE(YEAR(G2038),MONTH(G2038),1)</f>
        <v/>
      </c>
    </row>
    <row r="2039">
      <c r="A2039" t="inlineStr">
        <is>
          <t>SPO-01104-1</t>
        </is>
      </c>
      <c r="B2039" t="inlineStr">
        <is>
          <t>SPO-01104</t>
        </is>
      </c>
      <c r="C2039" t="inlineStr">
        <is>
          <t>SUP-04</t>
        </is>
      </c>
      <c r="D2039" t="inlineStr">
        <is>
          <t>FLEET</t>
        </is>
      </c>
      <c r="E2039" t="inlineStr">
        <is>
          <t>FLEET-05</t>
        </is>
      </c>
      <c r="F2039" s="17" t="n">
        <v>45875</v>
      </c>
      <c r="G2039" s="17" t="n">
        <v>45888</v>
      </c>
      <c r="H2039" s="18" t="n">
        <v>13</v>
      </c>
      <c r="I2039" s="19" t="n">
        <v>162</v>
      </c>
      <c r="J2039" s="19" t="n">
        <v>168</v>
      </c>
      <c r="K2039" s="20" t="n">
        <v>0</v>
      </c>
      <c r="L2039" s="20" t="n">
        <v>0</v>
      </c>
      <c r="M2039" s="18" t="n">
        <v>13</v>
      </c>
      <c r="N2039" s="18" t="n">
        <v>0</v>
      </c>
      <c r="O2039" s="18" t="n">
        <v>3</v>
      </c>
      <c r="P2039" s="17" t="n">
        <v>45891</v>
      </c>
      <c r="Q2039" s="17" t="n">
        <v>45891</v>
      </c>
      <c r="R2039" s="17" t="n">
        <v>45891</v>
      </c>
      <c r="S2039" s="19">
        <f>H2039*I2039</f>
        <v/>
      </c>
      <c r="T2039" s="19">
        <f>H2039*J2039</f>
        <v/>
      </c>
      <c r="U2039">
        <f>IF(AND(K2039=0,G2039&lt;=Assumptions!$C$6),1,0)</f>
        <v/>
      </c>
      <c r="V2039">
        <f>IF(U2039=1,IF(M2039&gt;0,IF(P2039&lt;=G2039+Assumptions!$C$7,1,0),0),0)</f>
        <v/>
      </c>
      <c r="W2039">
        <f>IF(AND(U2039=1,M2039&gt;=H2039*(1-Assumptions!$C$8)),1,0)</f>
        <v/>
      </c>
      <c r="X2039">
        <f>IF(AND(U2039=1,N2039&gt;=H2039*(1-Assumptions!$C$8)),1,0)</f>
        <v/>
      </c>
      <c r="Y2039">
        <f>IF(ISNUMBER(Q2039),1,0)</f>
        <v/>
      </c>
      <c r="Z2039">
        <f>IF(AND(K2039=0,L2039=0,Y2039=0),1,0)</f>
        <v/>
      </c>
      <c r="AA2039">
        <f>IF(AND(Z2039=1,G2039&lt;Assumptions!$C$6),1,0)</f>
        <v/>
      </c>
      <c r="AB2039">
        <f>IF(U2039=0,"",IF(Y2039=1,MAX(0,Q2039-G2039),IF(L2039=1,MAX(0,R2039-G2039),MAX(0,Assumptions!$C$6-G2039))))</f>
        <v/>
      </c>
      <c r="AC2039">
        <f>IF(Y2039=1,Q2039-F2039,"")</f>
        <v/>
      </c>
      <c r="AD2039">
        <f>IF(Y2039=1,AC2039^2,"")</f>
        <v/>
      </c>
      <c r="AE2039" s="19">
        <f>IF(Z2039=1,(H2039-M2039)*I2039,0)</f>
        <v/>
      </c>
      <c r="AF2039">
        <f>IF(G2039&lt;EDATE(Assumptions!$C$6,-12)+1,"prior_12m","last_12m")</f>
        <v/>
      </c>
      <c r="AG2039" s="21">
        <f>DATE(YEAR(G2039),MONTH(G2039),1)</f>
        <v/>
      </c>
    </row>
    <row r="2040">
      <c r="A2040" t="inlineStr">
        <is>
          <t>SPO-01104-2</t>
        </is>
      </c>
      <c r="B2040" t="inlineStr">
        <is>
          <t>SPO-01104</t>
        </is>
      </c>
      <c r="C2040" t="inlineStr">
        <is>
          <t>SUP-04</t>
        </is>
      </c>
      <c r="D2040" t="inlineStr">
        <is>
          <t>FLEET</t>
        </is>
      </c>
      <c r="E2040" t="inlineStr">
        <is>
          <t>FLEET-07</t>
        </is>
      </c>
      <c r="F2040" s="17" t="n">
        <v>45875</v>
      </c>
      <c r="G2040" s="17" t="n">
        <v>45888</v>
      </c>
      <c r="H2040" s="18" t="n">
        <v>9</v>
      </c>
      <c r="I2040" s="19" t="n">
        <v>111.73</v>
      </c>
      <c r="J2040" s="19" t="n">
        <v>118</v>
      </c>
      <c r="K2040" s="20" t="n">
        <v>0</v>
      </c>
      <c r="L2040" s="20" t="n">
        <v>0</v>
      </c>
      <c r="M2040" s="18" t="n">
        <v>9</v>
      </c>
      <c r="N2040" s="18" t="n">
        <v>9</v>
      </c>
      <c r="O2040" s="18" t="n">
        <v>0</v>
      </c>
      <c r="P2040" s="17" t="n">
        <v>45884</v>
      </c>
      <c r="Q2040" s="17" t="n">
        <v>45884</v>
      </c>
      <c r="R2040" s="17" t="n">
        <v>45884</v>
      </c>
      <c r="S2040" s="19">
        <f>H2040*I2040</f>
        <v/>
      </c>
      <c r="T2040" s="19">
        <f>H2040*J2040</f>
        <v/>
      </c>
      <c r="U2040">
        <f>IF(AND(K2040=0,G2040&lt;=Assumptions!$C$6),1,0)</f>
        <v/>
      </c>
      <c r="V2040">
        <f>IF(U2040=1,IF(M2040&gt;0,IF(P2040&lt;=G2040+Assumptions!$C$7,1,0),0),0)</f>
        <v/>
      </c>
      <c r="W2040">
        <f>IF(AND(U2040=1,M2040&gt;=H2040*(1-Assumptions!$C$8)),1,0)</f>
        <v/>
      </c>
      <c r="X2040">
        <f>IF(AND(U2040=1,N2040&gt;=H2040*(1-Assumptions!$C$8)),1,0)</f>
        <v/>
      </c>
      <c r="Y2040">
        <f>IF(ISNUMBER(Q2040),1,0)</f>
        <v/>
      </c>
      <c r="Z2040">
        <f>IF(AND(K2040=0,L2040=0,Y2040=0),1,0)</f>
        <v/>
      </c>
      <c r="AA2040">
        <f>IF(AND(Z2040=1,G2040&lt;Assumptions!$C$6),1,0)</f>
        <v/>
      </c>
      <c r="AB2040">
        <f>IF(U2040=0,"",IF(Y2040=1,MAX(0,Q2040-G2040),IF(L2040=1,MAX(0,R2040-G2040),MAX(0,Assumptions!$C$6-G2040))))</f>
        <v/>
      </c>
      <c r="AC2040">
        <f>IF(Y2040=1,Q2040-F2040,"")</f>
        <v/>
      </c>
      <c r="AD2040">
        <f>IF(Y2040=1,AC2040^2,"")</f>
        <v/>
      </c>
      <c r="AE2040" s="19">
        <f>IF(Z2040=1,(H2040-M2040)*I2040,0)</f>
        <v/>
      </c>
      <c r="AF2040">
        <f>IF(G2040&lt;EDATE(Assumptions!$C$6,-12)+1,"prior_12m","last_12m")</f>
        <v/>
      </c>
      <c r="AG2040" s="21">
        <f>DATE(YEAR(G2040),MONTH(G2040),1)</f>
        <v/>
      </c>
    </row>
    <row r="2041">
      <c r="A2041" t="inlineStr">
        <is>
          <t>SPO-01105-1</t>
        </is>
      </c>
      <c r="B2041" t="inlineStr">
        <is>
          <t>SPO-01105</t>
        </is>
      </c>
      <c r="C2041" t="inlineStr">
        <is>
          <t>SUP-08</t>
        </is>
      </c>
      <c r="D2041" t="inlineStr">
        <is>
          <t>MRO</t>
        </is>
      </c>
      <c r="E2041" t="inlineStr">
        <is>
          <t>MRO-06</t>
        </is>
      </c>
      <c r="F2041" s="17" t="n">
        <v>45875</v>
      </c>
      <c r="G2041" s="17" t="n">
        <v>45886</v>
      </c>
      <c r="H2041" s="18" t="n">
        <v>381</v>
      </c>
      <c r="I2041" s="19" t="n">
        <v>6.07</v>
      </c>
      <c r="J2041" s="19" t="n">
        <v>6.1</v>
      </c>
      <c r="K2041" s="20" t="n">
        <v>0</v>
      </c>
      <c r="L2041" s="20" t="n">
        <v>0</v>
      </c>
      <c r="M2041" s="18" t="n">
        <v>381</v>
      </c>
      <c r="N2041" s="18" t="n">
        <v>381</v>
      </c>
      <c r="O2041" s="18" t="n">
        <v>0</v>
      </c>
      <c r="P2041" s="17" t="n">
        <v>45879</v>
      </c>
      <c r="Q2041" s="17" t="n">
        <v>45879</v>
      </c>
      <c r="R2041" s="17" t="n">
        <v>45879</v>
      </c>
      <c r="S2041" s="19">
        <f>H2041*I2041</f>
        <v/>
      </c>
      <c r="T2041" s="19">
        <f>H2041*J2041</f>
        <v/>
      </c>
      <c r="U2041">
        <f>IF(AND(K2041=0,G2041&lt;=Assumptions!$C$6),1,0)</f>
        <v/>
      </c>
      <c r="V2041">
        <f>IF(U2041=1,IF(M2041&gt;0,IF(P2041&lt;=G2041+Assumptions!$C$7,1,0),0),0)</f>
        <v/>
      </c>
      <c r="W2041">
        <f>IF(AND(U2041=1,M2041&gt;=H2041*(1-Assumptions!$C$8)),1,0)</f>
        <v/>
      </c>
      <c r="X2041">
        <f>IF(AND(U2041=1,N2041&gt;=H2041*(1-Assumptions!$C$8)),1,0)</f>
        <v/>
      </c>
      <c r="Y2041">
        <f>IF(ISNUMBER(Q2041),1,0)</f>
        <v/>
      </c>
      <c r="Z2041">
        <f>IF(AND(K2041=0,L2041=0,Y2041=0),1,0)</f>
        <v/>
      </c>
      <c r="AA2041">
        <f>IF(AND(Z2041=1,G2041&lt;Assumptions!$C$6),1,0)</f>
        <v/>
      </c>
      <c r="AB2041">
        <f>IF(U2041=0,"",IF(Y2041=1,MAX(0,Q2041-G2041),IF(L2041=1,MAX(0,R2041-G2041),MAX(0,Assumptions!$C$6-G2041))))</f>
        <v/>
      </c>
      <c r="AC2041">
        <f>IF(Y2041=1,Q2041-F2041,"")</f>
        <v/>
      </c>
      <c r="AD2041">
        <f>IF(Y2041=1,AC2041^2,"")</f>
        <v/>
      </c>
      <c r="AE2041" s="19">
        <f>IF(Z2041=1,(H2041-M2041)*I2041,0)</f>
        <v/>
      </c>
      <c r="AF2041">
        <f>IF(G2041&lt;EDATE(Assumptions!$C$6,-12)+1,"prior_12m","last_12m")</f>
        <v/>
      </c>
      <c r="AG2041" s="21">
        <f>DATE(YEAR(G2041),MONTH(G2041),1)</f>
        <v/>
      </c>
    </row>
    <row r="2042">
      <c r="A2042" t="inlineStr">
        <is>
          <t>SPO-01105-2</t>
        </is>
      </c>
      <c r="B2042" t="inlineStr">
        <is>
          <t>SPO-01105</t>
        </is>
      </c>
      <c r="C2042" t="inlineStr">
        <is>
          <t>SUP-08</t>
        </is>
      </c>
      <c r="D2042" t="inlineStr">
        <is>
          <t>MRO</t>
        </is>
      </c>
      <c r="E2042" t="inlineStr">
        <is>
          <t>MRO-04</t>
        </is>
      </c>
      <c r="F2042" s="17" t="n">
        <v>45875</v>
      </c>
      <c r="G2042" s="17" t="n">
        <v>45886</v>
      </c>
      <c r="H2042" s="18" t="n">
        <v>39</v>
      </c>
      <c r="I2042" s="19" t="n">
        <v>59.26</v>
      </c>
      <c r="J2042" s="19" t="n">
        <v>58</v>
      </c>
      <c r="K2042" s="20" t="n">
        <v>0</v>
      </c>
      <c r="L2042" s="20" t="n">
        <v>0</v>
      </c>
      <c r="M2042" s="18" t="n">
        <v>39</v>
      </c>
      <c r="N2042" s="18" t="n">
        <v>39</v>
      </c>
      <c r="O2042" s="18" t="n">
        <v>0</v>
      </c>
      <c r="P2042" s="17" t="n">
        <v>45882</v>
      </c>
      <c r="Q2042" s="17" t="n">
        <v>45882</v>
      </c>
      <c r="R2042" s="17" t="n">
        <v>45882</v>
      </c>
      <c r="S2042" s="19">
        <f>H2042*I2042</f>
        <v/>
      </c>
      <c r="T2042" s="19">
        <f>H2042*J2042</f>
        <v/>
      </c>
      <c r="U2042">
        <f>IF(AND(K2042=0,G2042&lt;=Assumptions!$C$6),1,0)</f>
        <v/>
      </c>
      <c r="V2042">
        <f>IF(U2042=1,IF(M2042&gt;0,IF(P2042&lt;=G2042+Assumptions!$C$7,1,0),0),0)</f>
        <v/>
      </c>
      <c r="W2042">
        <f>IF(AND(U2042=1,M2042&gt;=H2042*(1-Assumptions!$C$8)),1,0)</f>
        <v/>
      </c>
      <c r="X2042">
        <f>IF(AND(U2042=1,N2042&gt;=H2042*(1-Assumptions!$C$8)),1,0)</f>
        <v/>
      </c>
      <c r="Y2042">
        <f>IF(ISNUMBER(Q2042),1,0)</f>
        <v/>
      </c>
      <c r="Z2042">
        <f>IF(AND(K2042=0,L2042=0,Y2042=0),1,0)</f>
        <v/>
      </c>
      <c r="AA2042">
        <f>IF(AND(Z2042=1,G2042&lt;Assumptions!$C$6),1,0)</f>
        <v/>
      </c>
      <c r="AB2042">
        <f>IF(U2042=0,"",IF(Y2042=1,MAX(0,Q2042-G2042),IF(L2042=1,MAX(0,R2042-G2042),MAX(0,Assumptions!$C$6-G2042))))</f>
        <v/>
      </c>
      <c r="AC2042">
        <f>IF(Y2042=1,Q2042-F2042,"")</f>
        <v/>
      </c>
      <c r="AD2042">
        <f>IF(Y2042=1,AC2042^2,"")</f>
        <v/>
      </c>
      <c r="AE2042" s="19">
        <f>IF(Z2042=1,(H2042-M2042)*I2042,0)</f>
        <v/>
      </c>
      <c r="AF2042">
        <f>IF(G2042&lt;EDATE(Assumptions!$C$6,-12)+1,"prior_12m","last_12m")</f>
        <v/>
      </c>
      <c r="AG2042" s="21">
        <f>DATE(YEAR(G2042),MONTH(G2042),1)</f>
        <v/>
      </c>
    </row>
    <row r="2043">
      <c r="A2043" t="inlineStr">
        <is>
          <t>SPO-01105-3</t>
        </is>
      </c>
      <c r="B2043" t="inlineStr">
        <is>
          <t>SPO-01105</t>
        </is>
      </c>
      <c r="C2043" t="inlineStr">
        <is>
          <t>SUP-08</t>
        </is>
      </c>
      <c r="D2043" t="inlineStr">
        <is>
          <t>MRO</t>
        </is>
      </c>
      <c r="E2043" t="inlineStr">
        <is>
          <t>MRO-03</t>
        </is>
      </c>
      <c r="F2043" s="17" t="n">
        <v>45875</v>
      </c>
      <c r="G2043" s="17" t="n">
        <v>45886</v>
      </c>
      <c r="H2043" s="18" t="n">
        <v>264</v>
      </c>
      <c r="I2043" s="19" t="n">
        <v>8.710000000000001</v>
      </c>
      <c r="J2043" s="19" t="n">
        <v>8.9</v>
      </c>
      <c r="K2043" s="20" t="n">
        <v>0</v>
      </c>
      <c r="L2043" s="20" t="n">
        <v>0</v>
      </c>
      <c r="M2043" s="18" t="n">
        <v>264</v>
      </c>
      <c r="N2043" s="18" t="n">
        <v>264</v>
      </c>
      <c r="O2043" s="18" t="n">
        <v>0</v>
      </c>
      <c r="P2043" s="17" t="n">
        <v>45882</v>
      </c>
      <c r="Q2043" s="17" t="n">
        <v>45882</v>
      </c>
      <c r="R2043" s="17" t="n">
        <v>45882</v>
      </c>
      <c r="S2043" s="19">
        <f>H2043*I2043</f>
        <v/>
      </c>
      <c r="T2043" s="19">
        <f>H2043*J2043</f>
        <v/>
      </c>
      <c r="U2043">
        <f>IF(AND(K2043=0,G2043&lt;=Assumptions!$C$6),1,0)</f>
        <v/>
      </c>
      <c r="V2043">
        <f>IF(U2043=1,IF(M2043&gt;0,IF(P2043&lt;=G2043+Assumptions!$C$7,1,0),0),0)</f>
        <v/>
      </c>
      <c r="W2043">
        <f>IF(AND(U2043=1,M2043&gt;=H2043*(1-Assumptions!$C$8)),1,0)</f>
        <v/>
      </c>
      <c r="X2043">
        <f>IF(AND(U2043=1,N2043&gt;=H2043*(1-Assumptions!$C$8)),1,0)</f>
        <v/>
      </c>
      <c r="Y2043">
        <f>IF(ISNUMBER(Q2043),1,0)</f>
        <v/>
      </c>
      <c r="Z2043">
        <f>IF(AND(K2043=0,L2043=0,Y2043=0),1,0)</f>
        <v/>
      </c>
      <c r="AA2043">
        <f>IF(AND(Z2043=1,G2043&lt;Assumptions!$C$6),1,0)</f>
        <v/>
      </c>
      <c r="AB2043">
        <f>IF(U2043=0,"",IF(Y2043=1,MAX(0,Q2043-G2043),IF(L2043=1,MAX(0,R2043-G2043),MAX(0,Assumptions!$C$6-G2043))))</f>
        <v/>
      </c>
      <c r="AC2043">
        <f>IF(Y2043=1,Q2043-F2043,"")</f>
        <v/>
      </c>
      <c r="AD2043">
        <f>IF(Y2043=1,AC2043^2,"")</f>
        <v/>
      </c>
      <c r="AE2043" s="19">
        <f>IF(Z2043=1,(H2043-M2043)*I2043,0)</f>
        <v/>
      </c>
      <c r="AF2043">
        <f>IF(G2043&lt;EDATE(Assumptions!$C$6,-12)+1,"prior_12m","last_12m")</f>
        <v/>
      </c>
      <c r="AG2043" s="21">
        <f>DATE(YEAR(G2043),MONTH(G2043),1)</f>
        <v/>
      </c>
    </row>
    <row r="2044">
      <c r="A2044" t="inlineStr">
        <is>
          <t>SPO-01106-1</t>
        </is>
      </c>
      <c r="B2044" t="inlineStr">
        <is>
          <t>SPO-01106</t>
        </is>
      </c>
      <c r="C2044" t="inlineStr">
        <is>
          <t>SUP-09</t>
        </is>
      </c>
      <c r="D2044" t="inlineStr">
        <is>
          <t>CHEM</t>
        </is>
      </c>
      <c r="E2044" t="inlineStr">
        <is>
          <t>CHEM-02</t>
        </is>
      </c>
      <c r="F2044" s="17" t="n">
        <v>45876</v>
      </c>
      <c r="G2044" s="17" t="n">
        <v>45890</v>
      </c>
      <c r="H2044" s="18" t="n">
        <v>5</v>
      </c>
      <c r="I2044" s="19" t="n">
        <v>418.04</v>
      </c>
      <c r="J2044" s="19" t="n">
        <v>410</v>
      </c>
      <c r="K2044" s="20" t="n">
        <v>0</v>
      </c>
      <c r="L2044" s="20" t="n">
        <v>0</v>
      </c>
      <c r="M2044" s="18" t="n">
        <v>5</v>
      </c>
      <c r="N2044" s="18" t="n">
        <v>5</v>
      </c>
      <c r="O2044" s="18" t="n">
        <v>0</v>
      </c>
      <c r="P2044" s="17" t="n">
        <v>45886</v>
      </c>
      <c r="Q2044" s="17" t="n">
        <v>45886</v>
      </c>
      <c r="R2044" s="17" t="n">
        <v>45886</v>
      </c>
      <c r="S2044" s="19">
        <f>H2044*I2044</f>
        <v/>
      </c>
      <c r="T2044" s="19">
        <f>H2044*J2044</f>
        <v/>
      </c>
      <c r="U2044">
        <f>IF(AND(K2044=0,G2044&lt;=Assumptions!$C$6),1,0)</f>
        <v/>
      </c>
      <c r="V2044">
        <f>IF(U2044=1,IF(M2044&gt;0,IF(P2044&lt;=G2044+Assumptions!$C$7,1,0),0),0)</f>
        <v/>
      </c>
      <c r="W2044">
        <f>IF(AND(U2044=1,M2044&gt;=H2044*(1-Assumptions!$C$8)),1,0)</f>
        <v/>
      </c>
      <c r="X2044">
        <f>IF(AND(U2044=1,N2044&gt;=H2044*(1-Assumptions!$C$8)),1,0)</f>
        <v/>
      </c>
      <c r="Y2044">
        <f>IF(ISNUMBER(Q2044),1,0)</f>
        <v/>
      </c>
      <c r="Z2044">
        <f>IF(AND(K2044=0,L2044=0,Y2044=0),1,0)</f>
        <v/>
      </c>
      <c r="AA2044">
        <f>IF(AND(Z2044=1,G2044&lt;Assumptions!$C$6),1,0)</f>
        <v/>
      </c>
      <c r="AB2044">
        <f>IF(U2044=0,"",IF(Y2044=1,MAX(0,Q2044-G2044),IF(L2044=1,MAX(0,R2044-G2044),MAX(0,Assumptions!$C$6-G2044))))</f>
        <v/>
      </c>
      <c r="AC2044">
        <f>IF(Y2044=1,Q2044-F2044,"")</f>
        <v/>
      </c>
      <c r="AD2044">
        <f>IF(Y2044=1,AC2044^2,"")</f>
        <v/>
      </c>
      <c r="AE2044" s="19">
        <f>IF(Z2044=1,(H2044-M2044)*I2044,0)</f>
        <v/>
      </c>
      <c r="AF2044">
        <f>IF(G2044&lt;EDATE(Assumptions!$C$6,-12)+1,"prior_12m","last_12m")</f>
        <v/>
      </c>
      <c r="AG2044" s="21">
        <f>DATE(YEAR(G2044),MONTH(G2044),1)</f>
        <v/>
      </c>
    </row>
    <row r="2045">
      <c r="A2045" t="inlineStr">
        <is>
          <t>SPO-01107-1</t>
        </is>
      </c>
      <c r="B2045" t="inlineStr">
        <is>
          <t>SPO-01107</t>
        </is>
      </c>
      <c r="C2045" t="inlineStr">
        <is>
          <t>SUP-01</t>
        </is>
      </c>
      <c r="D2045" t="inlineStr">
        <is>
          <t>ELEC</t>
        </is>
      </c>
      <c r="E2045" t="inlineStr">
        <is>
          <t>ELEC-01</t>
        </is>
      </c>
      <c r="F2045" s="17" t="n">
        <v>45876</v>
      </c>
      <c r="G2045" s="17" t="n">
        <v>45894</v>
      </c>
      <c r="H2045" s="18" t="n">
        <v>39</v>
      </c>
      <c r="I2045" s="19" t="n">
        <v>37.02</v>
      </c>
      <c r="J2045" s="19" t="n">
        <v>38</v>
      </c>
      <c r="K2045" s="20" t="n">
        <v>0</v>
      </c>
      <c r="L2045" s="20" t="n">
        <v>0</v>
      </c>
      <c r="M2045" s="18" t="n">
        <v>39</v>
      </c>
      <c r="N2045" s="18" t="n">
        <v>39</v>
      </c>
      <c r="O2045" s="18" t="n">
        <v>0</v>
      </c>
      <c r="P2045" s="17" t="n">
        <v>45892</v>
      </c>
      <c r="Q2045" s="17" t="n">
        <v>45892</v>
      </c>
      <c r="R2045" s="17" t="n">
        <v>45892</v>
      </c>
      <c r="S2045" s="19">
        <f>H2045*I2045</f>
        <v/>
      </c>
      <c r="T2045" s="19">
        <f>H2045*J2045</f>
        <v/>
      </c>
      <c r="U2045">
        <f>IF(AND(K2045=0,G2045&lt;=Assumptions!$C$6),1,0)</f>
        <v/>
      </c>
      <c r="V2045">
        <f>IF(U2045=1,IF(M2045&gt;0,IF(P2045&lt;=G2045+Assumptions!$C$7,1,0),0),0)</f>
        <v/>
      </c>
      <c r="W2045">
        <f>IF(AND(U2045=1,M2045&gt;=H2045*(1-Assumptions!$C$8)),1,0)</f>
        <v/>
      </c>
      <c r="X2045">
        <f>IF(AND(U2045=1,N2045&gt;=H2045*(1-Assumptions!$C$8)),1,0)</f>
        <v/>
      </c>
      <c r="Y2045">
        <f>IF(ISNUMBER(Q2045),1,0)</f>
        <v/>
      </c>
      <c r="Z2045">
        <f>IF(AND(K2045=0,L2045=0,Y2045=0),1,0)</f>
        <v/>
      </c>
      <c r="AA2045">
        <f>IF(AND(Z2045=1,G2045&lt;Assumptions!$C$6),1,0)</f>
        <v/>
      </c>
      <c r="AB2045">
        <f>IF(U2045=0,"",IF(Y2045=1,MAX(0,Q2045-G2045),IF(L2045=1,MAX(0,R2045-G2045),MAX(0,Assumptions!$C$6-G2045))))</f>
        <v/>
      </c>
      <c r="AC2045">
        <f>IF(Y2045=1,Q2045-F2045,"")</f>
        <v/>
      </c>
      <c r="AD2045">
        <f>IF(Y2045=1,AC2045^2,"")</f>
        <v/>
      </c>
      <c r="AE2045" s="19">
        <f>IF(Z2045=1,(H2045-M2045)*I2045,0)</f>
        <v/>
      </c>
      <c r="AF2045">
        <f>IF(G2045&lt;EDATE(Assumptions!$C$6,-12)+1,"prior_12m","last_12m")</f>
        <v/>
      </c>
      <c r="AG2045" s="21">
        <f>DATE(YEAR(G2045),MONTH(G2045),1)</f>
        <v/>
      </c>
    </row>
    <row r="2046">
      <c r="A2046" t="inlineStr">
        <is>
          <t>SPO-01107-2</t>
        </is>
      </c>
      <c r="B2046" t="inlineStr">
        <is>
          <t>SPO-01107</t>
        </is>
      </c>
      <c r="C2046" t="inlineStr">
        <is>
          <t>SUP-01</t>
        </is>
      </c>
      <c r="D2046" t="inlineStr">
        <is>
          <t>ELEC</t>
        </is>
      </c>
      <c r="E2046" t="inlineStr">
        <is>
          <t>ELEC-03</t>
        </is>
      </c>
      <c r="F2046" s="17" t="n">
        <v>45876</v>
      </c>
      <c r="G2046" s="17" t="n">
        <v>45894</v>
      </c>
      <c r="H2046" s="18" t="n">
        <v>35</v>
      </c>
      <c r="I2046" s="19" t="n">
        <v>94.09</v>
      </c>
      <c r="J2046" s="19" t="n">
        <v>96</v>
      </c>
      <c r="K2046" s="20" t="n">
        <v>0</v>
      </c>
      <c r="L2046" s="20" t="n">
        <v>0</v>
      </c>
      <c r="M2046" s="18" t="n">
        <v>35</v>
      </c>
      <c r="N2046" s="18" t="n">
        <v>35</v>
      </c>
      <c r="O2046" s="18" t="n">
        <v>0</v>
      </c>
      <c r="P2046" s="17" t="n">
        <v>45890</v>
      </c>
      <c r="Q2046" s="17" t="n">
        <v>45890</v>
      </c>
      <c r="R2046" s="17" t="n">
        <v>45890</v>
      </c>
      <c r="S2046" s="19">
        <f>H2046*I2046</f>
        <v/>
      </c>
      <c r="T2046" s="19">
        <f>H2046*J2046</f>
        <v/>
      </c>
      <c r="U2046">
        <f>IF(AND(K2046=0,G2046&lt;=Assumptions!$C$6),1,0)</f>
        <v/>
      </c>
      <c r="V2046">
        <f>IF(U2046=1,IF(M2046&gt;0,IF(P2046&lt;=G2046+Assumptions!$C$7,1,0),0),0)</f>
        <v/>
      </c>
      <c r="W2046">
        <f>IF(AND(U2046=1,M2046&gt;=H2046*(1-Assumptions!$C$8)),1,0)</f>
        <v/>
      </c>
      <c r="X2046">
        <f>IF(AND(U2046=1,N2046&gt;=H2046*(1-Assumptions!$C$8)),1,0)</f>
        <v/>
      </c>
      <c r="Y2046">
        <f>IF(ISNUMBER(Q2046),1,0)</f>
        <v/>
      </c>
      <c r="Z2046">
        <f>IF(AND(K2046=0,L2046=0,Y2046=0),1,0)</f>
        <v/>
      </c>
      <c r="AA2046">
        <f>IF(AND(Z2046=1,G2046&lt;Assumptions!$C$6),1,0)</f>
        <v/>
      </c>
      <c r="AB2046">
        <f>IF(U2046=0,"",IF(Y2046=1,MAX(0,Q2046-G2046),IF(L2046=1,MAX(0,R2046-G2046),MAX(0,Assumptions!$C$6-G2046))))</f>
        <v/>
      </c>
      <c r="AC2046">
        <f>IF(Y2046=1,Q2046-F2046,"")</f>
        <v/>
      </c>
      <c r="AD2046">
        <f>IF(Y2046=1,AC2046^2,"")</f>
        <v/>
      </c>
      <c r="AE2046" s="19">
        <f>IF(Z2046=1,(H2046-M2046)*I2046,0)</f>
        <v/>
      </c>
      <c r="AF2046">
        <f>IF(G2046&lt;EDATE(Assumptions!$C$6,-12)+1,"prior_12m","last_12m")</f>
        <v/>
      </c>
      <c r="AG2046" s="21">
        <f>DATE(YEAR(G2046),MONTH(G2046),1)</f>
        <v/>
      </c>
    </row>
    <row r="2047">
      <c r="A2047" t="inlineStr">
        <is>
          <t>SPO-01107-3</t>
        </is>
      </c>
      <c r="B2047" t="inlineStr">
        <is>
          <t>SPO-01107</t>
        </is>
      </c>
      <c r="C2047" t="inlineStr">
        <is>
          <t>SUP-01</t>
        </is>
      </c>
      <c r="D2047" t="inlineStr">
        <is>
          <t>ELEC</t>
        </is>
      </c>
      <c r="E2047" t="inlineStr">
        <is>
          <t>ELEC-08</t>
        </is>
      </c>
      <c r="F2047" s="17" t="n">
        <v>45876</v>
      </c>
      <c r="G2047" s="17" t="n">
        <v>45894</v>
      </c>
      <c r="H2047" s="18" t="n">
        <v>233</v>
      </c>
      <c r="I2047" s="19" t="n">
        <v>17.87</v>
      </c>
      <c r="J2047" s="19" t="n">
        <v>18</v>
      </c>
      <c r="K2047" s="20" t="n">
        <v>0</v>
      </c>
      <c r="L2047" s="20" t="n">
        <v>0</v>
      </c>
      <c r="M2047" s="18" t="n">
        <v>233</v>
      </c>
      <c r="N2047" s="18" t="n">
        <v>233</v>
      </c>
      <c r="O2047" s="18" t="n">
        <v>0</v>
      </c>
      <c r="P2047" s="17" t="n">
        <v>45888</v>
      </c>
      <c r="Q2047" s="17" t="n">
        <v>45888</v>
      </c>
      <c r="R2047" s="17" t="n">
        <v>45888</v>
      </c>
      <c r="S2047" s="19">
        <f>H2047*I2047</f>
        <v/>
      </c>
      <c r="T2047" s="19">
        <f>H2047*J2047</f>
        <v/>
      </c>
      <c r="U2047">
        <f>IF(AND(K2047=0,G2047&lt;=Assumptions!$C$6),1,0)</f>
        <v/>
      </c>
      <c r="V2047">
        <f>IF(U2047=1,IF(M2047&gt;0,IF(P2047&lt;=G2047+Assumptions!$C$7,1,0),0),0)</f>
        <v/>
      </c>
      <c r="W2047">
        <f>IF(AND(U2047=1,M2047&gt;=H2047*(1-Assumptions!$C$8)),1,0)</f>
        <v/>
      </c>
      <c r="X2047">
        <f>IF(AND(U2047=1,N2047&gt;=H2047*(1-Assumptions!$C$8)),1,0)</f>
        <v/>
      </c>
      <c r="Y2047">
        <f>IF(ISNUMBER(Q2047),1,0)</f>
        <v/>
      </c>
      <c r="Z2047">
        <f>IF(AND(K2047=0,L2047=0,Y2047=0),1,0)</f>
        <v/>
      </c>
      <c r="AA2047">
        <f>IF(AND(Z2047=1,G2047&lt;Assumptions!$C$6),1,0)</f>
        <v/>
      </c>
      <c r="AB2047">
        <f>IF(U2047=0,"",IF(Y2047=1,MAX(0,Q2047-G2047),IF(L2047=1,MAX(0,R2047-G2047),MAX(0,Assumptions!$C$6-G2047))))</f>
        <v/>
      </c>
      <c r="AC2047">
        <f>IF(Y2047=1,Q2047-F2047,"")</f>
        <v/>
      </c>
      <c r="AD2047">
        <f>IF(Y2047=1,AC2047^2,"")</f>
        <v/>
      </c>
      <c r="AE2047" s="19">
        <f>IF(Z2047=1,(H2047-M2047)*I2047,0)</f>
        <v/>
      </c>
      <c r="AF2047">
        <f>IF(G2047&lt;EDATE(Assumptions!$C$6,-12)+1,"prior_12m","last_12m")</f>
        <v/>
      </c>
      <c r="AG2047" s="21">
        <f>DATE(YEAR(G2047),MONTH(G2047),1)</f>
        <v/>
      </c>
    </row>
    <row r="2048">
      <c r="A2048" t="inlineStr">
        <is>
          <t>SPO-01108-1</t>
        </is>
      </c>
      <c r="B2048" t="inlineStr">
        <is>
          <t>SPO-01108</t>
        </is>
      </c>
      <c r="C2048" t="inlineStr">
        <is>
          <t>SUP-04</t>
        </is>
      </c>
      <c r="D2048" t="inlineStr">
        <is>
          <t>FLEET</t>
        </is>
      </c>
      <c r="E2048" t="inlineStr">
        <is>
          <t>FLEET-08</t>
        </is>
      </c>
      <c r="F2048" s="17" t="n">
        <v>45877</v>
      </c>
      <c r="G2048" s="17" t="n">
        <v>45890</v>
      </c>
      <c r="H2048" s="18" t="n">
        <v>218</v>
      </c>
      <c r="I2048" s="19" t="n">
        <v>6.47</v>
      </c>
      <c r="J2048" s="19" t="n">
        <v>6.4</v>
      </c>
      <c r="K2048" s="20" t="n">
        <v>0</v>
      </c>
      <c r="L2048" s="20" t="n">
        <v>0</v>
      </c>
      <c r="M2048" s="18" t="n">
        <v>218</v>
      </c>
      <c r="N2048" s="18" t="n">
        <v>0</v>
      </c>
      <c r="O2048" s="18" t="n">
        <v>0</v>
      </c>
      <c r="P2048" s="17" t="n">
        <v>45895</v>
      </c>
      <c r="Q2048" s="17" t="n">
        <v>45895</v>
      </c>
      <c r="R2048" s="17" t="n">
        <v>45895</v>
      </c>
      <c r="S2048" s="19">
        <f>H2048*I2048</f>
        <v/>
      </c>
      <c r="T2048" s="19">
        <f>H2048*J2048</f>
        <v/>
      </c>
      <c r="U2048">
        <f>IF(AND(K2048=0,G2048&lt;=Assumptions!$C$6),1,0)</f>
        <v/>
      </c>
      <c r="V2048">
        <f>IF(U2048=1,IF(M2048&gt;0,IF(P2048&lt;=G2048+Assumptions!$C$7,1,0),0),0)</f>
        <v/>
      </c>
      <c r="W2048">
        <f>IF(AND(U2048=1,M2048&gt;=H2048*(1-Assumptions!$C$8)),1,0)</f>
        <v/>
      </c>
      <c r="X2048">
        <f>IF(AND(U2048=1,N2048&gt;=H2048*(1-Assumptions!$C$8)),1,0)</f>
        <v/>
      </c>
      <c r="Y2048">
        <f>IF(ISNUMBER(Q2048),1,0)</f>
        <v/>
      </c>
      <c r="Z2048">
        <f>IF(AND(K2048=0,L2048=0,Y2048=0),1,0)</f>
        <v/>
      </c>
      <c r="AA2048">
        <f>IF(AND(Z2048=1,G2048&lt;Assumptions!$C$6),1,0)</f>
        <v/>
      </c>
      <c r="AB2048">
        <f>IF(U2048=0,"",IF(Y2048=1,MAX(0,Q2048-G2048),IF(L2048=1,MAX(0,R2048-G2048),MAX(0,Assumptions!$C$6-G2048))))</f>
        <v/>
      </c>
      <c r="AC2048">
        <f>IF(Y2048=1,Q2048-F2048,"")</f>
        <v/>
      </c>
      <c r="AD2048">
        <f>IF(Y2048=1,AC2048^2,"")</f>
        <v/>
      </c>
      <c r="AE2048" s="19">
        <f>IF(Z2048=1,(H2048-M2048)*I2048,0)</f>
        <v/>
      </c>
      <c r="AF2048">
        <f>IF(G2048&lt;EDATE(Assumptions!$C$6,-12)+1,"prior_12m","last_12m")</f>
        <v/>
      </c>
      <c r="AG2048" s="21">
        <f>DATE(YEAR(G2048),MONTH(G2048),1)</f>
        <v/>
      </c>
    </row>
    <row r="2049">
      <c r="A2049" t="inlineStr">
        <is>
          <t>SPO-01109-1</t>
        </is>
      </c>
      <c r="B2049" t="inlineStr">
        <is>
          <t>SPO-01109</t>
        </is>
      </c>
      <c r="C2049" t="inlineStr">
        <is>
          <t>SUP-14</t>
        </is>
      </c>
      <c r="D2049" t="inlineStr">
        <is>
          <t>FLEET</t>
        </is>
      </c>
      <c r="E2049" t="inlineStr">
        <is>
          <t>FLEET-03</t>
        </is>
      </c>
      <c r="F2049" s="17" t="n">
        <v>45877</v>
      </c>
      <c r="G2049" s="17" t="n">
        <v>45891</v>
      </c>
      <c r="H2049" s="18" t="n">
        <v>106</v>
      </c>
      <c r="I2049" s="19" t="n">
        <v>20.01</v>
      </c>
      <c r="J2049" s="19" t="n">
        <v>21</v>
      </c>
      <c r="K2049" s="20" t="n">
        <v>0</v>
      </c>
      <c r="L2049" s="20" t="n">
        <v>0</v>
      </c>
      <c r="M2049" s="18" t="n">
        <v>106</v>
      </c>
      <c r="N2049" s="18" t="n">
        <v>106</v>
      </c>
      <c r="O2049" s="18" t="n">
        <v>0</v>
      </c>
      <c r="P2049" s="17" t="n">
        <v>45884</v>
      </c>
      <c r="Q2049" s="17" t="n">
        <v>45884</v>
      </c>
      <c r="R2049" s="17" t="n">
        <v>45884</v>
      </c>
      <c r="S2049" s="19">
        <f>H2049*I2049</f>
        <v/>
      </c>
      <c r="T2049" s="19">
        <f>H2049*J2049</f>
        <v/>
      </c>
      <c r="U2049">
        <f>IF(AND(K2049=0,G2049&lt;=Assumptions!$C$6),1,0)</f>
        <v/>
      </c>
      <c r="V2049">
        <f>IF(U2049=1,IF(M2049&gt;0,IF(P2049&lt;=G2049+Assumptions!$C$7,1,0),0),0)</f>
        <v/>
      </c>
      <c r="W2049">
        <f>IF(AND(U2049=1,M2049&gt;=H2049*(1-Assumptions!$C$8)),1,0)</f>
        <v/>
      </c>
      <c r="X2049">
        <f>IF(AND(U2049=1,N2049&gt;=H2049*(1-Assumptions!$C$8)),1,0)</f>
        <v/>
      </c>
      <c r="Y2049">
        <f>IF(ISNUMBER(Q2049),1,0)</f>
        <v/>
      </c>
      <c r="Z2049">
        <f>IF(AND(K2049=0,L2049=0,Y2049=0),1,0)</f>
        <v/>
      </c>
      <c r="AA2049">
        <f>IF(AND(Z2049=1,G2049&lt;Assumptions!$C$6),1,0)</f>
        <v/>
      </c>
      <c r="AB2049">
        <f>IF(U2049=0,"",IF(Y2049=1,MAX(0,Q2049-G2049),IF(L2049=1,MAX(0,R2049-G2049),MAX(0,Assumptions!$C$6-G2049))))</f>
        <v/>
      </c>
      <c r="AC2049">
        <f>IF(Y2049=1,Q2049-F2049,"")</f>
        <v/>
      </c>
      <c r="AD2049">
        <f>IF(Y2049=1,AC2049^2,"")</f>
        <v/>
      </c>
      <c r="AE2049" s="19">
        <f>IF(Z2049=1,(H2049-M2049)*I2049,0)</f>
        <v/>
      </c>
      <c r="AF2049">
        <f>IF(G2049&lt;EDATE(Assumptions!$C$6,-12)+1,"prior_12m","last_12m")</f>
        <v/>
      </c>
      <c r="AG2049" s="21">
        <f>DATE(YEAR(G2049),MONTH(G2049),1)</f>
        <v/>
      </c>
    </row>
    <row r="2050">
      <c r="A2050" t="inlineStr">
        <is>
          <t>SPO-01109-2</t>
        </is>
      </c>
      <c r="B2050" t="inlineStr">
        <is>
          <t>SPO-01109</t>
        </is>
      </c>
      <c r="C2050" t="inlineStr">
        <is>
          <t>SUP-14</t>
        </is>
      </c>
      <c r="D2050" t="inlineStr">
        <is>
          <t>FLEET</t>
        </is>
      </c>
      <c r="E2050" t="inlineStr">
        <is>
          <t>FLEET-04</t>
        </is>
      </c>
      <c r="F2050" s="17" t="n">
        <v>45877</v>
      </c>
      <c r="G2050" s="17" t="n">
        <v>45891</v>
      </c>
      <c r="H2050" s="18" t="n">
        <v>109</v>
      </c>
      <c r="I2050" s="19" t="n">
        <v>9.109999999999999</v>
      </c>
      <c r="J2050" s="19" t="n">
        <v>9</v>
      </c>
      <c r="K2050" s="20" t="n">
        <v>0</v>
      </c>
      <c r="L2050" s="20" t="n">
        <v>0</v>
      </c>
      <c r="M2050" s="18" t="n">
        <v>109</v>
      </c>
      <c r="N2050" s="18" t="n">
        <v>109</v>
      </c>
      <c r="O2050" s="18" t="n">
        <v>0</v>
      </c>
      <c r="P2050" s="17" t="n">
        <v>45889</v>
      </c>
      <c r="Q2050" s="17" t="n">
        <v>45889</v>
      </c>
      <c r="R2050" s="17" t="n">
        <v>45889</v>
      </c>
      <c r="S2050" s="19">
        <f>H2050*I2050</f>
        <v/>
      </c>
      <c r="T2050" s="19">
        <f>H2050*J2050</f>
        <v/>
      </c>
      <c r="U2050">
        <f>IF(AND(K2050=0,G2050&lt;=Assumptions!$C$6),1,0)</f>
        <v/>
      </c>
      <c r="V2050">
        <f>IF(U2050=1,IF(M2050&gt;0,IF(P2050&lt;=G2050+Assumptions!$C$7,1,0),0),0)</f>
        <v/>
      </c>
      <c r="W2050">
        <f>IF(AND(U2050=1,M2050&gt;=H2050*(1-Assumptions!$C$8)),1,0)</f>
        <v/>
      </c>
      <c r="X2050">
        <f>IF(AND(U2050=1,N2050&gt;=H2050*(1-Assumptions!$C$8)),1,0)</f>
        <v/>
      </c>
      <c r="Y2050">
        <f>IF(ISNUMBER(Q2050),1,0)</f>
        <v/>
      </c>
      <c r="Z2050">
        <f>IF(AND(K2050=0,L2050=0,Y2050=0),1,0)</f>
        <v/>
      </c>
      <c r="AA2050">
        <f>IF(AND(Z2050=1,G2050&lt;Assumptions!$C$6),1,0)</f>
        <v/>
      </c>
      <c r="AB2050">
        <f>IF(U2050=0,"",IF(Y2050=1,MAX(0,Q2050-G2050),IF(L2050=1,MAX(0,R2050-G2050),MAX(0,Assumptions!$C$6-G2050))))</f>
        <v/>
      </c>
      <c r="AC2050">
        <f>IF(Y2050=1,Q2050-F2050,"")</f>
        <v/>
      </c>
      <c r="AD2050">
        <f>IF(Y2050=1,AC2050^2,"")</f>
        <v/>
      </c>
      <c r="AE2050" s="19">
        <f>IF(Z2050=1,(H2050-M2050)*I2050,0)</f>
        <v/>
      </c>
      <c r="AF2050">
        <f>IF(G2050&lt;EDATE(Assumptions!$C$6,-12)+1,"prior_12m","last_12m")</f>
        <v/>
      </c>
      <c r="AG2050" s="21">
        <f>DATE(YEAR(G2050),MONTH(G2050),1)</f>
        <v/>
      </c>
    </row>
    <row r="2051">
      <c r="A2051" t="inlineStr">
        <is>
          <t>SPO-01110-1</t>
        </is>
      </c>
      <c r="B2051" t="inlineStr">
        <is>
          <t>SPO-01110</t>
        </is>
      </c>
      <c r="C2051" t="inlineStr">
        <is>
          <t>SUP-09</t>
        </is>
      </c>
      <c r="D2051" t="inlineStr">
        <is>
          <t>CHEM</t>
        </is>
      </c>
      <c r="E2051" t="inlineStr">
        <is>
          <t>CHEM-02</t>
        </is>
      </c>
      <c r="F2051" s="17" t="n">
        <v>45877</v>
      </c>
      <c r="G2051" s="17" t="n">
        <v>45891</v>
      </c>
      <c r="H2051" s="18" t="n">
        <v>4</v>
      </c>
      <c r="I2051" s="19" t="n">
        <v>410.58</v>
      </c>
      <c r="J2051" s="19" t="n">
        <v>410</v>
      </c>
      <c r="K2051" s="20" t="n">
        <v>1</v>
      </c>
      <c r="L2051" s="20" t="n">
        <v>0</v>
      </c>
      <c r="M2051" s="18" t="n">
        <v>0</v>
      </c>
      <c r="N2051" s="18" t="n">
        <v>0</v>
      </c>
      <c r="O2051" s="18" t="n">
        <v>0</v>
      </c>
      <c r="P2051" s="17" t="n"/>
      <c r="Q2051" s="17" t="n"/>
      <c r="R2051" s="17" t="n"/>
      <c r="S2051" s="19">
        <f>H2051*I2051</f>
        <v/>
      </c>
      <c r="T2051" s="19">
        <f>H2051*J2051</f>
        <v/>
      </c>
      <c r="U2051">
        <f>IF(AND(K2051=0,G2051&lt;=Assumptions!$C$6),1,0)</f>
        <v/>
      </c>
      <c r="V2051">
        <f>IF(U2051=1,IF(M2051&gt;0,IF(P2051&lt;=G2051+Assumptions!$C$7,1,0),0),0)</f>
        <v/>
      </c>
      <c r="W2051">
        <f>IF(AND(U2051=1,M2051&gt;=H2051*(1-Assumptions!$C$8)),1,0)</f>
        <v/>
      </c>
      <c r="X2051">
        <f>IF(AND(U2051=1,N2051&gt;=H2051*(1-Assumptions!$C$8)),1,0)</f>
        <v/>
      </c>
      <c r="Y2051">
        <f>IF(ISNUMBER(Q2051),1,0)</f>
        <v/>
      </c>
      <c r="Z2051">
        <f>IF(AND(K2051=0,L2051=0,Y2051=0),1,0)</f>
        <v/>
      </c>
      <c r="AA2051">
        <f>IF(AND(Z2051=1,G2051&lt;Assumptions!$C$6),1,0)</f>
        <v/>
      </c>
      <c r="AB2051">
        <f>IF(U2051=0,"",IF(Y2051=1,MAX(0,Q2051-G2051),IF(L2051=1,MAX(0,R2051-G2051),MAX(0,Assumptions!$C$6-G2051))))</f>
        <v/>
      </c>
      <c r="AC2051">
        <f>IF(Y2051=1,Q2051-F2051,"")</f>
        <v/>
      </c>
      <c r="AD2051">
        <f>IF(Y2051=1,AC2051^2,"")</f>
        <v/>
      </c>
      <c r="AE2051" s="19">
        <f>IF(Z2051=1,(H2051-M2051)*I2051,0)</f>
        <v/>
      </c>
      <c r="AF2051">
        <f>IF(G2051&lt;EDATE(Assumptions!$C$6,-12)+1,"prior_12m","last_12m")</f>
        <v/>
      </c>
      <c r="AG2051" s="21">
        <f>DATE(YEAR(G2051),MONTH(G2051),1)</f>
        <v/>
      </c>
    </row>
    <row r="2052">
      <c r="A2052" t="inlineStr">
        <is>
          <t>SPO-01111-1</t>
        </is>
      </c>
      <c r="B2052" t="inlineStr">
        <is>
          <t>SPO-01111</t>
        </is>
      </c>
      <c r="C2052" t="inlineStr">
        <is>
          <t>SUP-07</t>
        </is>
      </c>
      <c r="D2052" t="inlineStr">
        <is>
          <t>MRO</t>
        </is>
      </c>
      <c r="E2052" t="inlineStr">
        <is>
          <t>MRO-07</t>
        </is>
      </c>
      <c r="F2052" s="17" t="n">
        <v>45877</v>
      </c>
      <c r="G2052" s="17" t="n">
        <v>45887</v>
      </c>
      <c r="H2052" s="18" t="n">
        <v>63</v>
      </c>
      <c r="I2052" s="19" t="n">
        <v>13.01</v>
      </c>
      <c r="J2052" s="19" t="n">
        <v>14</v>
      </c>
      <c r="K2052" s="20" t="n">
        <v>0</v>
      </c>
      <c r="L2052" s="20" t="n">
        <v>1</v>
      </c>
      <c r="M2052" s="18" t="n">
        <v>36</v>
      </c>
      <c r="N2052" s="18" t="n">
        <v>36</v>
      </c>
      <c r="O2052" s="18" t="n">
        <v>0</v>
      </c>
      <c r="P2052" s="17" t="n">
        <v>45883</v>
      </c>
      <c r="Q2052" s="17" t="n"/>
      <c r="R2052" s="17" t="n">
        <v>45883</v>
      </c>
      <c r="S2052" s="19">
        <f>H2052*I2052</f>
        <v/>
      </c>
      <c r="T2052" s="19">
        <f>H2052*J2052</f>
        <v/>
      </c>
      <c r="U2052">
        <f>IF(AND(K2052=0,G2052&lt;=Assumptions!$C$6),1,0)</f>
        <v/>
      </c>
      <c r="V2052">
        <f>IF(U2052=1,IF(M2052&gt;0,IF(P2052&lt;=G2052+Assumptions!$C$7,1,0),0),0)</f>
        <v/>
      </c>
      <c r="W2052">
        <f>IF(AND(U2052=1,M2052&gt;=H2052*(1-Assumptions!$C$8)),1,0)</f>
        <v/>
      </c>
      <c r="X2052">
        <f>IF(AND(U2052=1,N2052&gt;=H2052*(1-Assumptions!$C$8)),1,0)</f>
        <v/>
      </c>
      <c r="Y2052">
        <f>IF(ISNUMBER(Q2052),1,0)</f>
        <v/>
      </c>
      <c r="Z2052">
        <f>IF(AND(K2052=0,L2052=0,Y2052=0),1,0)</f>
        <v/>
      </c>
      <c r="AA2052">
        <f>IF(AND(Z2052=1,G2052&lt;Assumptions!$C$6),1,0)</f>
        <v/>
      </c>
      <c r="AB2052">
        <f>IF(U2052=0,"",IF(Y2052=1,MAX(0,Q2052-G2052),IF(L2052=1,MAX(0,R2052-G2052),MAX(0,Assumptions!$C$6-G2052))))</f>
        <v/>
      </c>
      <c r="AC2052">
        <f>IF(Y2052=1,Q2052-F2052,"")</f>
        <v/>
      </c>
      <c r="AD2052">
        <f>IF(Y2052=1,AC2052^2,"")</f>
        <v/>
      </c>
      <c r="AE2052" s="19">
        <f>IF(Z2052=1,(H2052-M2052)*I2052,0)</f>
        <v/>
      </c>
      <c r="AF2052">
        <f>IF(G2052&lt;EDATE(Assumptions!$C$6,-12)+1,"prior_12m","last_12m")</f>
        <v/>
      </c>
      <c r="AG2052" s="21">
        <f>DATE(YEAR(G2052),MONTH(G2052),1)</f>
        <v/>
      </c>
    </row>
    <row r="2053">
      <c r="A2053" t="inlineStr">
        <is>
          <t>SPO-01111-2</t>
        </is>
      </c>
      <c r="B2053" t="inlineStr">
        <is>
          <t>SPO-01111</t>
        </is>
      </c>
      <c r="C2053" t="inlineStr">
        <is>
          <t>SUP-07</t>
        </is>
      </c>
      <c r="D2053" t="inlineStr">
        <is>
          <t>MRO</t>
        </is>
      </c>
      <c r="E2053" t="inlineStr">
        <is>
          <t>MRO-04</t>
        </is>
      </c>
      <c r="F2053" s="17" t="n">
        <v>45877</v>
      </c>
      <c r="G2053" s="17" t="n">
        <v>45887</v>
      </c>
      <c r="H2053" s="18" t="n">
        <v>30</v>
      </c>
      <c r="I2053" s="19" t="n">
        <v>58.5</v>
      </c>
      <c r="J2053" s="19" t="n">
        <v>58</v>
      </c>
      <c r="K2053" s="20" t="n">
        <v>0</v>
      </c>
      <c r="L2053" s="20" t="n">
        <v>1</v>
      </c>
      <c r="M2053" s="18" t="n">
        <v>17</v>
      </c>
      <c r="N2053" s="18" t="n">
        <v>17</v>
      </c>
      <c r="O2053" s="18" t="n">
        <v>0</v>
      </c>
      <c r="P2053" s="17" t="n">
        <v>45882</v>
      </c>
      <c r="Q2053" s="17" t="n"/>
      <c r="R2053" s="17" t="n">
        <v>45882</v>
      </c>
      <c r="S2053" s="19">
        <f>H2053*I2053</f>
        <v/>
      </c>
      <c r="T2053" s="19">
        <f>H2053*J2053</f>
        <v/>
      </c>
      <c r="U2053">
        <f>IF(AND(K2053=0,G2053&lt;=Assumptions!$C$6),1,0)</f>
        <v/>
      </c>
      <c r="V2053">
        <f>IF(U2053=1,IF(M2053&gt;0,IF(P2053&lt;=G2053+Assumptions!$C$7,1,0),0),0)</f>
        <v/>
      </c>
      <c r="W2053">
        <f>IF(AND(U2053=1,M2053&gt;=H2053*(1-Assumptions!$C$8)),1,0)</f>
        <v/>
      </c>
      <c r="X2053">
        <f>IF(AND(U2053=1,N2053&gt;=H2053*(1-Assumptions!$C$8)),1,0)</f>
        <v/>
      </c>
      <c r="Y2053">
        <f>IF(ISNUMBER(Q2053),1,0)</f>
        <v/>
      </c>
      <c r="Z2053">
        <f>IF(AND(K2053=0,L2053=0,Y2053=0),1,0)</f>
        <v/>
      </c>
      <c r="AA2053">
        <f>IF(AND(Z2053=1,G2053&lt;Assumptions!$C$6),1,0)</f>
        <v/>
      </c>
      <c r="AB2053">
        <f>IF(U2053=0,"",IF(Y2053=1,MAX(0,Q2053-G2053),IF(L2053=1,MAX(0,R2053-G2053),MAX(0,Assumptions!$C$6-G2053))))</f>
        <v/>
      </c>
      <c r="AC2053">
        <f>IF(Y2053=1,Q2053-F2053,"")</f>
        <v/>
      </c>
      <c r="AD2053">
        <f>IF(Y2053=1,AC2053^2,"")</f>
        <v/>
      </c>
      <c r="AE2053" s="19">
        <f>IF(Z2053=1,(H2053-M2053)*I2053,0)</f>
        <v/>
      </c>
      <c r="AF2053">
        <f>IF(G2053&lt;EDATE(Assumptions!$C$6,-12)+1,"prior_12m","last_12m")</f>
        <v/>
      </c>
      <c r="AG2053" s="21">
        <f>DATE(YEAR(G2053),MONTH(G2053),1)</f>
        <v/>
      </c>
    </row>
    <row r="2054">
      <c r="A2054" t="inlineStr">
        <is>
          <t>SPO-01112-1</t>
        </is>
      </c>
      <c r="B2054" t="inlineStr">
        <is>
          <t>SPO-01112</t>
        </is>
      </c>
      <c r="C2054" t="inlineStr">
        <is>
          <t>SUP-01</t>
        </is>
      </c>
      <c r="D2054" t="inlineStr">
        <is>
          <t>ELEC</t>
        </is>
      </c>
      <c r="E2054" t="inlineStr">
        <is>
          <t>ELEC-08</t>
        </is>
      </c>
      <c r="F2054" s="17" t="n">
        <v>45877</v>
      </c>
      <c r="G2054" s="17" t="n">
        <v>45895</v>
      </c>
      <c r="H2054" s="18" t="n">
        <v>92</v>
      </c>
      <c r="I2054" s="19" t="n">
        <v>18.4</v>
      </c>
      <c r="J2054" s="19" t="n">
        <v>18</v>
      </c>
      <c r="K2054" s="20" t="n">
        <v>0</v>
      </c>
      <c r="L2054" s="20" t="n">
        <v>0</v>
      </c>
      <c r="M2054" s="18" t="n">
        <v>92</v>
      </c>
      <c r="N2054" s="18" t="n">
        <v>92</v>
      </c>
      <c r="O2054" s="18" t="n">
        <v>0</v>
      </c>
      <c r="P2054" s="17" t="n">
        <v>45895</v>
      </c>
      <c r="Q2054" s="17" t="n">
        <v>45895</v>
      </c>
      <c r="R2054" s="17" t="n">
        <v>45895</v>
      </c>
      <c r="S2054" s="19">
        <f>H2054*I2054</f>
        <v/>
      </c>
      <c r="T2054" s="19">
        <f>H2054*J2054</f>
        <v/>
      </c>
      <c r="U2054">
        <f>IF(AND(K2054=0,G2054&lt;=Assumptions!$C$6),1,0)</f>
        <v/>
      </c>
      <c r="V2054">
        <f>IF(U2054=1,IF(M2054&gt;0,IF(P2054&lt;=G2054+Assumptions!$C$7,1,0),0),0)</f>
        <v/>
      </c>
      <c r="W2054">
        <f>IF(AND(U2054=1,M2054&gt;=H2054*(1-Assumptions!$C$8)),1,0)</f>
        <v/>
      </c>
      <c r="X2054">
        <f>IF(AND(U2054=1,N2054&gt;=H2054*(1-Assumptions!$C$8)),1,0)</f>
        <v/>
      </c>
      <c r="Y2054">
        <f>IF(ISNUMBER(Q2054),1,0)</f>
        <v/>
      </c>
      <c r="Z2054">
        <f>IF(AND(K2054=0,L2054=0,Y2054=0),1,0)</f>
        <v/>
      </c>
      <c r="AA2054">
        <f>IF(AND(Z2054=1,G2054&lt;Assumptions!$C$6),1,0)</f>
        <v/>
      </c>
      <c r="AB2054">
        <f>IF(U2054=0,"",IF(Y2054=1,MAX(0,Q2054-G2054),IF(L2054=1,MAX(0,R2054-G2054),MAX(0,Assumptions!$C$6-G2054))))</f>
        <v/>
      </c>
      <c r="AC2054">
        <f>IF(Y2054=1,Q2054-F2054,"")</f>
        <v/>
      </c>
      <c r="AD2054">
        <f>IF(Y2054=1,AC2054^2,"")</f>
        <v/>
      </c>
      <c r="AE2054" s="19">
        <f>IF(Z2054=1,(H2054-M2054)*I2054,0)</f>
        <v/>
      </c>
      <c r="AF2054">
        <f>IF(G2054&lt;EDATE(Assumptions!$C$6,-12)+1,"prior_12m","last_12m")</f>
        <v/>
      </c>
      <c r="AG2054" s="21">
        <f>DATE(YEAR(G2054),MONTH(G2054),1)</f>
        <v/>
      </c>
    </row>
    <row r="2055">
      <c r="A2055" t="inlineStr">
        <is>
          <t>SPO-01112-2</t>
        </is>
      </c>
      <c r="B2055" t="inlineStr">
        <is>
          <t>SPO-01112</t>
        </is>
      </c>
      <c r="C2055" t="inlineStr">
        <is>
          <t>SUP-01</t>
        </is>
      </c>
      <c r="D2055" t="inlineStr">
        <is>
          <t>ELEC</t>
        </is>
      </c>
      <c r="E2055" t="inlineStr">
        <is>
          <t>ELEC-02</t>
        </is>
      </c>
      <c r="F2055" s="17" t="n">
        <v>45877</v>
      </c>
      <c r="G2055" s="17" t="n">
        <v>45895</v>
      </c>
      <c r="H2055" s="18" t="n">
        <v>1210</v>
      </c>
      <c r="I2055" s="19" t="n">
        <v>4.26</v>
      </c>
      <c r="J2055" s="19" t="n">
        <v>4.2</v>
      </c>
      <c r="K2055" s="20" t="n">
        <v>0</v>
      </c>
      <c r="L2055" s="20" t="n">
        <v>0</v>
      </c>
      <c r="M2055" s="18" t="n">
        <v>1210</v>
      </c>
      <c r="N2055" s="18" t="n">
        <v>1210</v>
      </c>
      <c r="O2055" s="18" t="n">
        <v>0</v>
      </c>
      <c r="P2055" s="17" t="n">
        <v>45893</v>
      </c>
      <c r="Q2055" s="17" t="n">
        <v>45893</v>
      </c>
      <c r="R2055" s="17" t="n">
        <v>45893</v>
      </c>
      <c r="S2055" s="19">
        <f>H2055*I2055</f>
        <v/>
      </c>
      <c r="T2055" s="19">
        <f>H2055*J2055</f>
        <v/>
      </c>
      <c r="U2055">
        <f>IF(AND(K2055=0,G2055&lt;=Assumptions!$C$6),1,0)</f>
        <v/>
      </c>
      <c r="V2055">
        <f>IF(U2055=1,IF(M2055&gt;0,IF(P2055&lt;=G2055+Assumptions!$C$7,1,0),0),0)</f>
        <v/>
      </c>
      <c r="W2055">
        <f>IF(AND(U2055=1,M2055&gt;=H2055*(1-Assumptions!$C$8)),1,0)</f>
        <v/>
      </c>
      <c r="X2055">
        <f>IF(AND(U2055=1,N2055&gt;=H2055*(1-Assumptions!$C$8)),1,0)</f>
        <v/>
      </c>
      <c r="Y2055">
        <f>IF(ISNUMBER(Q2055),1,0)</f>
        <v/>
      </c>
      <c r="Z2055">
        <f>IF(AND(K2055=0,L2055=0,Y2055=0),1,0)</f>
        <v/>
      </c>
      <c r="AA2055">
        <f>IF(AND(Z2055=1,G2055&lt;Assumptions!$C$6),1,0)</f>
        <v/>
      </c>
      <c r="AB2055">
        <f>IF(U2055=0,"",IF(Y2055=1,MAX(0,Q2055-G2055),IF(L2055=1,MAX(0,R2055-G2055),MAX(0,Assumptions!$C$6-G2055))))</f>
        <v/>
      </c>
      <c r="AC2055">
        <f>IF(Y2055=1,Q2055-F2055,"")</f>
        <v/>
      </c>
      <c r="AD2055">
        <f>IF(Y2055=1,AC2055^2,"")</f>
        <v/>
      </c>
      <c r="AE2055" s="19">
        <f>IF(Z2055=1,(H2055-M2055)*I2055,0)</f>
        <v/>
      </c>
      <c r="AF2055">
        <f>IF(G2055&lt;EDATE(Assumptions!$C$6,-12)+1,"prior_12m","last_12m")</f>
        <v/>
      </c>
      <c r="AG2055" s="21">
        <f>DATE(YEAR(G2055),MONTH(G2055),1)</f>
        <v/>
      </c>
    </row>
    <row r="2056">
      <c r="A2056" t="inlineStr">
        <is>
          <t>SPO-01112-3</t>
        </is>
      </c>
      <c r="B2056" t="inlineStr">
        <is>
          <t>SPO-01112</t>
        </is>
      </c>
      <c r="C2056" t="inlineStr">
        <is>
          <t>SUP-01</t>
        </is>
      </c>
      <c r="D2056" t="inlineStr">
        <is>
          <t>ELEC</t>
        </is>
      </c>
      <c r="E2056" t="inlineStr">
        <is>
          <t>ELEC-05</t>
        </is>
      </c>
      <c r="F2056" s="17" t="n">
        <v>45877</v>
      </c>
      <c r="G2056" s="17" t="n">
        <v>45895</v>
      </c>
      <c r="H2056" s="18" t="n">
        <v>341</v>
      </c>
      <c r="I2056" s="19" t="n">
        <v>11.39</v>
      </c>
      <c r="J2056" s="19" t="n">
        <v>11.5</v>
      </c>
      <c r="K2056" s="20" t="n">
        <v>0</v>
      </c>
      <c r="L2056" s="20" t="n">
        <v>0</v>
      </c>
      <c r="M2056" s="18" t="n">
        <v>341</v>
      </c>
      <c r="N2056" s="18" t="n">
        <v>341</v>
      </c>
      <c r="O2056" s="18" t="n">
        <v>0</v>
      </c>
      <c r="P2056" s="17" t="n">
        <v>45892</v>
      </c>
      <c r="Q2056" s="17" t="n">
        <v>45892</v>
      </c>
      <c r="R2056" s="17" t="n">
        <v>45892</v>
      </c>
      <c r="S2056" s="19">
        <f>H2056*I2056</f>
        <v/>
      </c>
      <c r="T2056" s="19">
        <f>H2056*J2056</f>
        <v/>
      </c>
      <c r="U2056">
        <f>IF(AND(K2056=0,G2056&lt;=Assumptions!$C$6),1,0)</f>
        <v/>
      </c>
      <c r="V2056">
        <f>IF(U2056=1,IF(M2056&gt;0,IF(P2056&lt;=G2056+Assumptions!$C$7,1,0),0),0)</f>
        <v/>
      </c>
      <c r="W2056">
        <f>IF(AND(U2056=1,M2056&gt;=H2056*(1-Assumptions!$C$8)),1,0)</f>
        <v/>
      </c>
      <c r="X2056">
        <f>IF(AND(U2056=1,N2056&gt;=H2056*(1-Assumptions!$C$8)),1,0)</f>
        <v/>
      </c>
      <c r="Y2056">
        <f>IF(ISNUMBER(Q2056),1,0)</f>
        <v/>
      </c>
      <c r="Z2056">
        <f>IF(AND(K2056=0,L2056=0,Y2056=0),1,0)</f>
        <v/>
      </c>
      <c r="AA2056">
        <f>IF(AND(Z2056=1,G2056&lt;Assumptions!$C$6),1,0)</f>
        <v/>
      </c>
      <c r="AB2056">
        <f>IF(U2056=0,"",IF(Y2056=1,MAX(0,Q2056-G2056),IF(L2056=1,MAX(0,R2056-G2056),MAX(0,Assumptions!$C$6-G2056))))</f>
        <v/>
      </c>
      <c r="AC2056">
        <f>IF(Y2056=1,Q2056-F2056,"")</f>
        <v/>
      </c>
      <c r="AD2056">
        <f>IF(Y2056=1,AC2056^2,"")</f>
        <v/>
      </c>
      <c r="AE2056" s="19">
        <f>IF(Z2056=1,(H2056-M2056)*I2056,0)</f>
        <v/>
      </c>
      <c r="AF2056">
        <f>IF(G2056&lt;EDATE(Assumptions!$C$6,-12)+1,"prior_12m","last_12m")</f>
        <v/>
      </c>
      <c r="AG2056" s="21">
        <f>DATE(YEAR(G2056),MONTH(G2056),1)</f>
        <v/>
      </c>
    </row>
    <row r="2057">
      <c r="A2057" t="inlineStr">
        <is>
          <t>SPO-01113-1</t>
        </is>
      </c>
      <c r="B2057" t="inlineStr">
        <is>
          <t>SPO-01113</t>
        </is>
      </c>
      <c r="C2057" t="inlineStr">
        <is>
          <t>SUP-02</t>
        </is>
      </c>
      <c r="D2057" t="inlineStr">
        <is>
          <t>ELEC</t>
        </is>
      </c>
      <c r="E2057" t="inlineStr">
        <is>
          <t>ELEC-02</t>
        </is>
      </c>
      <c r="F2057" s="17" t="n">
        <v>45878</v>
      </c>
      <c r="G2057" s="17" t="n">
        <v>45894</v>
      </c>
      <c r="H2057" s="18" t="n">
        <v>430</v>
      </c>
      <c r="I2057" s="19" t="n">
        <v>4.21</v>
      </c>
      <c r="J2057" s="19" t="n">
        <v>4.2</v>
      </c>
      <c r="K2057" s="20" t="n">
        <v>0</v>
      </c>
      <c r="L2057" s="20" t="n">
        <v>0</v>
      </c>
      <c r="M2057" s="18" t="n">
        <v>430</v>
      </c>
      <c r="N2057" s="18" t="n">
        <v>0</v>
      </c>
      <c r="O2057" s="18" t="n">
        <v>0</v>
      </c>
      <c r="P2057" s="17" t="n">
        <v>45896</v>
      </c>
      <c r="Q2057" s="17" t="n">
        <v>45896</v>
      </c>
      <c r="R2057" s="17" t="n">
        <v>45896</v>
      </c>
      <c r="S2057" s="19">
        <f>H2057*I2057</f>
        <v/>
      </c>
      <c r="T2057" s="19">
        <f>H2057*J2057</f>
        <v/>
      </c>
      <c r="U2057">
        <f>IF(AND(K2057=0,G2057&lt;=Assumptions!$C$6),1,0)</f>
        <v/>
      </c>
      <c r="V2057">
        <f>IF(U2057=1,IF(M2057&gt;0,IF(P2057&lt;=G2057+Assumptions!$C$7,1,0),0),0)</f>
        <v/>
      </c>
      <c r="W2057">
        <f>IF(AND(U2057=1,M2057&gt;=H2057*(1-Assumptions!$C$8)),1,0)</f>
        <v/>
      </c>
      <c r="X2057">
        <f>IF(AND(U2057=1,N2057&gt;=H2057*(1-Assumptions!$C$8)),1,0)</f>
        <v/>
      </c>
      <c r="Y2057">
        <f>IF(ISNUMBER(Q2057),1,0)</f>
        <v/>
      </c>
      <c r="Z2057">
        <f>IF(AND(K2057=0,L2057=0,Y2057=0),1,0)</f>
        <v/>
      </c>
      <c r="AA2057">
        <f>IF(AND(Z2057=1,G2057&lt;Assumptions!$C$6),1,0)</f>
        <v/>
      </c>
      <c r="AB2057">
        <f>IF(U2057=0,"",IF(Y2057=1,MAX(0,Q2057-G2057),IF(L2057=1,MAX(0,R2057-G2057),MAX(0,Assumptions!$C$6-G2057))))</f>
        <v/>
      </c>
      <c r="AC2057">
        <f>IF(Y2057=1,Q2057-F2057,"")</f>
        <v/>
      </c>
      <c r="AD2057">
        <f>IF(Y2057=1,AC2057^2,"")</f>
        <v/>
      </c>
      <c r="AE2057" s="19">
        <f>IF(Z2057=1,(H2057-M2057)*I2057,0)</f>
        <v/>
      </c>
      <c r="AF2057">
        <f>IF(G2057&lt;EDATE(Assumptions!$C$6,-12)+1,"prior_12m","last_12m")</f>
        <v/>
      </c>
      <c r="AG2057" s="21">
        <f>DATE(YEAR(G2057),MONTH(G2057),1)</f>
        <v/>
      </c>
    </row>
    <row r="2058">
      <c r="A2058" t="inlineStr">
        <is>
          <t>SPO-01113-2</t>
        </is>
      </c>
      <c r="B2058" t="inlineStr">
        <is>
          <t>SPO-01113</t>
        </is>
      </c>
      <c r="C2058" t="inlineStr">
        <is>
          <t>SUP-02</t>
        </is>
      </c>
      <c r="D2058" t="inlineStr">
        <is>
          <t>ELEC</t>
        </is>
      </c>
      <c r="E2058" t="inlineStr">
        <is>
          <t>ELEC-08</t>
        </is>
      </c>
      <c r="F2058" s="17" t="n">
        <v>45878</v>
      </c>
      <c r="G2058" s="17" t="n">
        <v>45894</v>
      </c>
      <c r="H2058" s="18" t="n">
        <v>31</v>
      </c>
      <c r="I2058" s="19" t="n">
        <v>17.77</v>
      </c>
      <c r="J2058" s="19" t="n">
        <v>18</v>
      </c>
      <c r="K2058" s="20" t="n">
        <v>0</v>
      </c>
      <c r="L2058" s="20" t="n">
        <v>0</v>
      </c>
      <c r="M2058" s="18" t="n">
        <v>31</v>
      </c>
      <c r="N2058" s="18" t="n">
        <v>31</v>
      </c>
      <c r="O2058" s="18" t="n">
        <v>0</v>
      </c>
      <c r="P2058" s="17" t="n">
        <v>45891</v>
      </c>
      <c r="Q2058" s="17" t="n">
        <v>45891</v>
      </c>
      <c r="R2058" s="17" t="n">
        <v>45891</v>
      </c>
      <c r="S2058" s="19">
        <f>H2058*I2058</f>
        <v/>
      </c>
      <c r="T2058" s="19">
        <f>H2058*J2058</f>
        <v/>
      </c>
      <c r="U2058">
        <f>IF(AND(K2058=0,G2058&lt;=Assumptions!$C$6),1,0)</f>
        <v/>
      </c>
      <c r="V2058">
        <f>IF(U2058=1,IF(M2058&gt;0,IF(P2058&lt;=G2058+Assumptions!$C$7,1,0),0),0)</f>
        <v/>
      </c>
      <c r="W2058">
        <f>IF(AND(U2058=1,M2058&gt;=H2058*(1-Assumptions!$C$8)),1,0)</f>
        <v/>
      </c>
      <c r="X2058">
        <f>IF(AND(U2058=1,N2058&gt;=H2058*(1-Assumptions!$C$8)),1,0)</f>
        <v/>
      </c>
      <c r="Y2058">
        <f>IF(ISNUMBER(Q2058),1,0)</f>
        <v/>
      </c>
      <c r="Z2058">
        <f>IF(AND(K2058=0,L2058=0,Y2058=0),1,0)</f>
        <v/>
      </c>
      <c r="AA2058">
        <f>IF(AND(Z2058=1,G2058&lt;Assumptions!$C$6),1,0)</f>
        <v/>
      </c>
      <c r="AB2058">
        <f>IF(U2058=0,"",IF(Y2058=1,MAX(0,Q2058-G2058),IF(L2058=1,MAX(0,R2058-G2058),MAX(0,Assumptions!$C$6-G2058))))</f>
        <v/>
      </c>
      <c r="AC2058">
        <f>IF(Y2058=1,Q2058-F2058,"")</f>
        <v/>
      </c>
      <c r="AD2058">
        <f>IF(Y2058=1,AC2058^2,"")</f>
        <v/>
      </c>
      <c r="AE2058" s="19">
        <f>IF(Z2058=1,(H2058-M2058)*I2058,0)</f>
        <v/>
      </c>
      <c r="AF2058">
        <f>IF(G2058&lt;EDATE(Assumptions!$C$6,-12)+1,"prior_12m","last_12m")</f>
        <v/>
      </c>
      <c r="AG2058" s="21">
        <f>DATE(YEAR(G2058),MONTH(G2058),1)</f>
        <v/>
      </c>
    </row>
    <row r="2059">
      <c r="A2059" t="inlineStr">
        <is>
          <t>SPO-01113-3</t>
        </is>
      </c>
      <c r="B2059" t="inlineStr">
        <is>
          <t>SPO-01113</t>
        </is>
      </c>
      <c r="C2059" t="inlineStr">
        <is>
          <t>SUP-02</t>
        </is>
      </c>
      <c r="D2059" t="inlineStr">
        <is>
          <t>ELEC</t>
        </is>
      </c>
      <c r="E2059" t="inlineStr">
        <is>
          <t>ELEC-03</t>
        </is>
      </c>
      <c r="F2059" s="17" t="n">
        <v>45878</v>
      </c>
      <c r="G2059" s="17" t="n">
        <v>45894</v>
      </c>
      <c r="H2059" s="18" t="n">
        <v>11</v>
      </c>
      <c r="I2059" s="19" t="n">
        <v>96.79000000000001</v>
      </c>
      <c r="J2059" s="19" t="n">
        <v>96</v>
      </c>
      <c r="K2059" s="20" t="n">
        <v>0</v>
      </c>
      <c r="L2059" s="20" t="n">
        <v>0</v>
      </c>
      <c r="M2059" s="18" t="n">
        <v>11</v>
      </c>
      <c r="N2059" s="18" t="n">
        <v>11</v>
      </c>
      <c r="O2059" s="18" t="n">
        <v>0</v>
      </c>
      <c r="P2059" s="17" t="n">
        <v>45891</v>
      </c>
      <c r="Q2059" s="17" t="n">
        <v>45891</v>
      </c>
      <c r="R2059" s="17" t="n">
        <v>45891</v>
      </c>
      <c r="S2059" s="19">
        <f>H2059*I2059</f>
        <v/>
      </c>
      <c r="T2059" s="19">
        <f>H2059*J2059</f>
        <v/>
      </c>
      <c r="U2059">
        <f>IF(AND(K2059=0,G2059&lt;=Assumptions!$C$6),1,0)</f>
        <v/>
      </c>
      <c r="V2059">
        <f>IF(U2059=1,IF(M2059&gt;0,IF(P2059&lt;=G2059+Assumptions!$C$7,1,0),0),0)</f>
        <v/>
      </c>
      <c r="W2059">
        <f>IF(AND(U2059=1,M2059&gt;=H2059*(1-Assumptions!$C$8)),1,0)</f>
        <v/>
      </c>
      <c r="X2059">
        <f>IF(AND(U2059=1,N2059&gt;=H2059*(1-Assumptions!$C$8)),1,0)</f>
        <v/>
      </c>
      <c r="Y2059">
        <f>IF(ISNUMBER(Q2059),1,0)</f>
        <v/>
      </c>
      <c r="Z2059">
        <f>IF(AND(K2059=0,L2059=0,Y2059=0),1,0)</f>
        <v/>
      </c>
      <c r="AA2059">
        <f>IF(AND(Z2059=1,G2059&lt;Assumptions!$C$6),1,0)</f>
        <v/>
      </c>
      <c r="AB2059">
        <f>IF(U2059=0,"",IF(Y2059=1,MAX(0,Q2059-G2059),IF(L2059=1,MAX(0,R2059-G2059),MAX(0,Assumptions!$C$6-G2059))))</f>
        <v/>
      </c>
      <c r="AC2059">
        <f>IF(Y2059=1,Q2059-F2059,"")</f>
        <v/>
      </c>
      <c r="AD2059">
        <f>IF(Y2059=1,AC2059^2,"")</f>
        <v/>
      </c>
      <c r="AE2059" s="19">
        <f>IF(Z2059=1,(H2059-M2059)*I2059,0)</f>
        <v/>
      </c>
      <c r="AF2059">
        <f>IF(G2059&lt;EDATE(Assumptions!$C$6,-12)+1,"prior_12m","last_12m")</f>
        <v/>
      </c>
      <c r="AG2059" s="21">
        <f>DATE(YEAR(G2059),MONTH(G2059),1)</f>
        <v/>
      </c>
    </row>
    <row r="2060">
      <c r="A2060" t="inlineStr">
        <is>
          <t>SPO-01114-1</t>
        </is>
      </c>
      <c r="B2060" t="inlineStr">
        <is>
          <t>SPO-01114</t>
        </is>
      </c>
      <c r="C2060" t="inlineStr">
        <is>
          <t>SUP-06</t>
        </is>
      </c>
      <c r="D2060" t="inlineStr">
        <is>
          <t>MRO</t>
        </is>
      </c>
      <c r="E2060" t="inlineStr">
        <is>
          <t>MRO-05</t>
        </is>
      </c>
      <c r="F2060" s="17" t="n">
        <v>45878</v>
      </c>
      <c r="G2060" s="17" t="n">
        <v>45886</v>
      </c>
      <c r="H2060" s="18" t="n">
        <v>64</v>
      </c>
      <c r="I2060" s="19" t="n">
        <v>37.61</v>
      </c>
      <c r="J2060" s="19" t="n">
        <v>36</v>
      </c>
      <c r="K2060" s="20" t="n">
        <v>0</v>
      </c>
      <c r="L2060" s="20" t="n">
        <v>0</v>
      </c>
      <c r="M2060" s="18" t="n">
        <v>64</v>
      </c>
      <c r="N2060" s="18" t="n">
        <v>64</v>
      </c>
      <c r="O2060" s="18" t="n">
        <v>0</v>
      </c>
      <c r="P2060" s="17" t="n">
        <v>45882</v>
      </c>
      <c r="Q2060" s="17" t="n">
        <v>45882</v>
      </c>
      <c r="R2060" s="17" t="n">
        <v>45882</v>
      </c>
      <c r="S2060" s="19">
        <f>H2060*I2060</f>
        <v/>
      </c>
      <c r="T2060" s="19">
        <f>H2060*J2060</f>
        <v/>
      </c>
      <c r="U2060">
        <f>IF(AND(K2060=0,G2060&lt;=Assumptions!$C$6),1,0)</f>
        <v/>
      </c>
      <c r="V2060">
        <f>IF(U2060=1,IF(M2060&gt;0,IF(P2060&lt;=G2060+Assumptions!$C$7,1,0),0),0)</f>
        <v/>
      </c>
      <c r="W2060">
        <f>IF(AND(U2060=1,M2060&gt;=H2060*(1-Assumptions!$C$8)),1,0)</f>
        <v/>
      </c>
      <c r="X2060">
        <f>IF(AND(U2060=1,N2060&gt;=H2060*(1-Assumptions!$C$8)),1,0)</f>
        <v/>
      </c>
      <c r="Y2060">
        <f>IF(ISNUMBER(Q2060),1,0)</f>
        <v/>
      </c>
      <c r="Z2060">
        <f>IF(AND(K2060=0,L2060=0,Y2060=0),1,0)</f>
        <v/>
      </c>
      <c r="AA2060">
        <f>IF(AND(Z2060=1,G2060&lt;Assumptions!$C$6),1,0)</f>
        <v/>
      </c>
      <c r="AB2060">
        <f>IF(U2060=0,"",IF(Y2060=1,MAX(0,Q2060-G2060),IF(L2060=1,MAX(0,R2060-G2060),MAX(0,Assumptions!$C$6-G2060))))</f>
        <v/>
      </c>
      <c r="AC2060">
        <f>IF(Y2060=1,Q2060-F2060,"")</f>
        <v/>
      </c>
      <c r="AD2060">
        <f>IF(Y2060=1,AC2060^2,"")</f>
        <v/>
      </c>
      <c r="AE2060" s="19">
        <f>IF(Z2060=1,(H2060-M2060)*I2060,0)</f>
        <v/>
      </c>
      <c r="AF2060">
        <f>IF(G2060&lt;EDATE(Assumptions!$C$6,-12)+1,"prior_12m","last_12m")</f>
        <v/>
      </c>
      <c r="AG2060" s="21">
        <f>DATE(YEAR(G2060),MONTH(G2060),1)</f>
        <v/>
      </c>
    </row>
    <row r="2061">
      <c r="A2061" t="inlineStr">
        <is>
          <t>SPO-01115-1</t>
        </is>
      </c>
      <c r="B2061" t="inlineStr">
        <is>
          <t>SPO-01115</t>
        </is>
      </c>
      <c r="C2061" t="inlineStr">
        <is>
          <t>SUP-12</t>
        </is>
      </c>
      <c r="D2061" t="inlineStr">
        <is>
          <t>IT</t>
        </is>
      </c>
      <c r="E2061" t="inlineStr">
        <is>
          <t>IT-04</t>
        </is>
      </c>
      <c r="F2061" s="17" t="n">
        <v>45878</v>
      </c>
      <c r="G2061" s="17" t="n">
        <v>45888</v>
      </c>
      <c r="H2061" s="18" t="n">
        <v>127</v>
      </c>
      <c r="I2061" s="19" t="n">
        <v>13.46</v>
      </c>
      <c r="J2061" s="19" t="n">
        <v>12</v>
      </c>
      <c r="K2061" s="20" t="n">
        <v>0</v>
      </c>
      <c r="L2061" s="20" t="n">
        <v>0</v>
      </c>
      <c r="M2061" s="18" t="n">
        <v>127</v>
      </c>
      <c r="N2061" s="18" t="n">
        <v>127</v>
      </c>
      <c r="O2061" s="18" t="n">
        <v>0</v>
      </c>
      <c r="P2061" s="17" t="n">
        <v>45885</v>
      </c>
      <c r="Q2061" s="17" t="n">
        <v>45885</v>
      </c>
      <c r="R2061" s="17" t="n">
        <v>45885</v>
      </c>
      <c r="S2061" s="19">
        <f>H2061*I2061</f>
        <v/>
      </c>
      <c r="T2061" s="19">
        <f>H2061*J2061</f>
        <v/>
      </c>
      <c r="U2061">
        <f>IF(AND(K2061=0,G2061&lt;=Assumptions!$C$6),1,0)</f>
        <v/>
      </c>
      <c r="V2061">
        <f>IF(U2061=1,IF(M2061&gt;0,IF(P2061&lt;=G2061+Assumptions!$C$7,1,0),0),0)</f>
        <v/>
      </c>
      <c r="W2061">
        <f>IF(AND(U2061=1,M2061&gt;=H2061*(1-Assumptions!$C$8)),1,0)</f>
        <v/>
      </c>
      <c r="X2061">
        <f>IF(AND(U2061=1,N2061&gt;=H2061*(1-Assumptions!$C$8)),1,0)</f>
        <v/>
      </c>
      <c r="Y2061">
        <f>IF(ISNUMBER(Q2061),1,0)</f>
        <v/>
      </c>
      <c r="Z2061">
        <f>IF(AND(K2061=0,L2061=0,Y2061=0),1,0)</f>
        <v/>
      </c>
      <c r="AA2061">
        <f>IF(AND(Z2061=1,G2061&lt;Assumptions!$C$6),1,0)</f>
        <v/>
      </c>
      <c r="AB2061">
        <f>IF(U2061=0,"",IF(Y2061=1,MAX(0,Q2061-G2061),IF(L2061=1,MAX(0,R2061-G2061),MAX(0,Assumptions!$C$6-G2061))))</f>
        <v/>
      </c>
      <c r="AC2061">
        <f>IF(Y2061=1,Q2061-F2061,"")</f>
        <v/>
      </c>
      <c r="AD2061">
        <f>IF(Y2061=1,AC2061^2,"")</f>
        <v/>
      </c>
      <c r="AE2061" s="19">
        <f>IF(Z2061=1,(H2061-M2061)*I2061,0)</f>
        <v/>
      </c>
      <c r="AF2061">
        <f>IF(G2061&lt;EDATE(Assumptions!$C$6,-12)+1,"prior_12m","last_12m")</f>
        <v/>
      </c>
      <c r="AG2061" s="21">
        <f>DATE(YEAR(G2061),MONTH(G2061),1)</f>
        <v/>
      </c>
    </row>
    <row r="2062">
      <c r="A2062" t="inlineStr">
        <is>
          <t>SPO-01116-1</t>
        </is>
      </c>
      <c r="B2062" t="inlineStr">
        <is>
          <t>SPO-01116</t>
        </is>
      </c>
      <c r="C2062" t="inlineStr">
        <is>
          <t>SUP-02</t>
        </is>
      </c>
      <c r="D2062" t="inlineStr">
        <is>
          <t>ELEC</t>
        </is>
      </c>
      <c r="E2062" t="inlineStr">
        <is>
          <t>ELEC-01</t>
        </is>
      </c>
      <c r="F2062" s="17" t="n">
        <v>45878</v>
      </c>
      <c r="G2062" s="17" t="n">
        <v>45894</v>
      </c>
      <c r="H2062" s="18" t="n">
        <v>46</v>
      </c>
      <c r="I2062" s="19" t="n">
        <v>37.04</v>
      </c>
      <c r="J2062" s="19" t="n">
        <v>38</v>
      </c>
      <c r="K2062" s="20" t="n">
        <v>0</v>
      </c>
      <c r="L2062" s="20" t="n">
        <v>0</v>
      </c>
      <c r="M2062" s="18" t="n">
        <v>46</v>
      </c>
      <c r="N2062" s="18" t="n">
        <v>46</v>
      </c>
      <c r="O2062" s="18" t="n">
        <v>0</v>
      </c>
      <c r="P2062" s="17" t="n">
        <v>45890</v>
      </c>
      <c r="Q2062" s="17" t="n">
        <v>45890</v>
      </c>
      <c r="R2062" s="17" t="n">
        <v>45890</v>
      </c>
      <c r="S2062" s="19">
        <f>H2062*I2062</f>
        <v/>
      </c>
      <c r="T2062" s="19">
        <f>H2062*J2062</f>
        <v/>
      </c>
      <c r="U2062">
        <f>IF(AND(K2062=0,G2062&lt;=Assumptions!$C$6),1,0)</f>
        <v/>
      </c>
      <c r="V2062">
        <f>IF(U2062=1,IF(M2062&gt;0,IF(P2062&lt;=G2062+Assumptions!$C$7,1,0),0),0)</f>
        <v/>
      </c>
      <c r="W2062">
        <f>IF(AND(U2062=1,M2062&gt;=H2062*(1-Assumptions!$C$8)),1,0)</f>
        <v/>
      </c>
      <c r="X2062">
        <f>IF(AND(U2062=1,N2062&gt;=H2062*(1-Assumptions!$C$8)),1,0)</f>
        <v/>
      </c>
      <c r="Y2062">
        <f>IF(ISNUMBER(Q2062),1,0)</f>
        <v/>
      </c>
      <c r="Z2062">
        <f>IF(AND(K2062=0,L2062=0,Y2062=0),1,0)</f>
        <v/>
      </c>
      <c r="AA2062">
        <f>IF(AND(Z2062=1,G2062&lt;Assumptions!$C$6),1,0)</f>
        <v/>
      </c>
      <c r="AB2062">
        <f>IF(U2062=0,"",IF(Y2062=1,MAX(0,Q2062-G2062),IF(L2062=1,MAX(0,R2062-G2062),MAX(0,Assumptions!$C$6-G2062))))</f>
        <v/>
      </c>
      <c r="AC2062">
        <f>IF(Y2062=1,Q2062-F2062,"")</f>
        <v/>
      </c>
      <c r="AD2062">
        <f>IF(Y2062=1,AC2062^2,"")</f>
        <v/>
      </c>
      <c r="AE2062" s="19">
        <f>IF(Z2062=1,(H2062-M2062)*I2062,0)</f>
        <v/>
      </c>
      <c r="AF2062">
        <f>IF(G2062&lt;EDATE(Assumptions!$C$6,-12)+1,"prior_12m","last_12m")</f>
        <v/>
      </c>
      <c r="AG2062" s="21">
        <f>DATE(YEAR(G2062),MONTH(G2062),1)</f>
        <v/>
      </c>
    </row>
    <row r="2063">
      <c r="A2063" t="inlineStr">
        <is>
          <t>SPO-01116-2</t>
        </is>
      </c>
      <c r="B2063" t="inlineStr">
        <is>
          <t>SPO-01116</t>
        </is>
      </c>
      <c r="C2063" t="inlineStr">
        <is>
          <t>SUP-02</t>
        </is>
      </c>
      <c r="D2063" t="inlineStr">
        <is>
          <t>ELEC</t>
        </is>
      </c>
      <c r="E2063" t="inlineStr">
        <is>
          <t>ELEC-04</t>
        </is>
      </c>
      <c r="F2063" s="17" t="n">
        <v>45878</v>
      </c>
      <c r="G2063" s="17" t="n">
        <v>45894</v>
      </c>
      <c r="H2063" s="18" t="n">
        <v>13</v>
      </c>
      <c r="I2063" s="19" t="n">
        <v>70.31999999999999</v>
      </c>
      <c r="J2063" s="19" t="n">
        <v>72</v>
      </c>
      <c r="K2063" s="20" t="n">
        <v>0</v>
      </c>
      <c r="L2063" s="20" t="n">
        <v>0</v>
      </c>
      <c r="M2063" s="18" t="n">
        <v>13</v>
      </c>
      <c r="N2063" s="18" t="n">
        <v>13</v>
      </c>
      <c r="O2063" s="18" t="n">
        <v>0</v>
      </c>
      <c r="P2063" s="17" t="n">
        <v>45892</v>
      </c>
      <c r="Q2063" s="17" t="n">
        <v>45892</v>
      </c>
      <c r="R2063" s="17" t="n">
        <v>45892</v>
      </c>
      <c r="S2063" s="19">
        <f>H2063*I2063</f>
        <v/>
      </c>
      <c r="T2063" s="19">
        <f>H2063*J2063</f>
        <v/>
      </c>
      <c r="U2063">
        <f>IF(AND(K2063=0,G2063&lt;=Assumptions!$C$6),1,0)</f>
        <v/>
      </c>
      <c r="V2063">
        <f>IF(U2063=1,IF(M2063&gt;0,IF(P2063&lt;=G2063+Assumptions!$C$7,1,0),0),0)</f>
        <v/>
      </c>
      <c r="W2063">
        <f>IF(AND(U2063=1,M2063&gt;=H2063*(1-Assumptions!$C$8)),1,0)</f>
        <v/>
      </c>
      <c r="X2063">
        <f>IF(AND(U2063=1,N2063&gt;=H2063*(1-Assumptions!$C$8)),1,0)</f>
        <v/>
      </c>
      <c r="Y2063">
        <f>IF(ISNUMBER(Q2063),1,0)</f>
        <v/>
      </c>
      <c r="Z2063">
        <f>IF(AND(K2063=0,L2063=0,Y2063=0),1,0)</f>
        <v/>
      </c>
      <c r="AA2063">
        <f>IF(AND(Z2063=1,G2063&lt;Assumptions!$C$6),1,0)</f>
        <v/>
      </c>
      <c r="AB2063">
        <f>IF(U2063=0,"",IF(Y2063=1,MAX(0,Q2063-G2063),IF(L2063=1,MAX(0,R2063-G2063),MAX(0,Assumptions!$C$6-G2063))))</f>
        <v/>
      </c>
      <c r="AC2063">
        <f>IF(Y2063=1,Q2063-F2063,"")</f>
        <v/>
      </c>
      <c r="AD2063">
        <f>IF(Y2063=1,AC2063^2,"")</f>
        <v/>
      </c>
      <c r="AE2063" s="19">
        <f>IF(Z2063=1,(H2063-M2063)*I2063,0)</f>
        <v/>
      </c>
      <c r="AF2063">
        <f>IF(G2063&lt;EDATE(Assumptions!$C$6,-12)+1,"prior_12m","last_12m")</f>
        <v/>
      </c>
      <c r="AG2063" s="21">
        <f>DATE(YEAR(G2063),MONTH(G2063),1)</f>
        <v/>
      </c>
    </row>
    <row r="2064">
      <c r="A2064" t="inlineStr">
        <is>
          <t>SPO-01117-1</t>
        </is>
      </c>
      <c r="B2064" t="inlineStr">
        <is>
          <t>SPO-01117</t>
        </is>
      </c>
      <c r="C2064" t="inlineStr">
        <is>
          <t>SUP-02</t>
        </is>
      </c>
      <c r="D2064" t="inlineStr">
        <is>
          <t>ELEC</t>
        </is>
      </c>
      <c r="E2064" t="inlineStr">
        <is>
          <t>ELEC-03</t>
        </is>
      </c>
      <c r="F2064" s="17" t="n">
        <v>45878</v>
      </c>
      <c r="G2064" s="17" t="n">
        <v>45894</v>
      </c>
      <c r="H2064" s="18" t="n">
        <v>26</v>
      </c>
      <c r="I2064" s="19" t="n">
        <v>97.11</v>
      </c>
      <c r="J2064" s="19" t="n">
        <v>96</v>
      </c>
      <c r="K2064" s="20" t="n">
        <v>0</v>
      </c>
      <c r="L2064" s="20" t="n">
        <v>0</v>
      </c>
      <c r="M2064" s="18" t="n">
        <v>26</v>
      </c>
      <c r="N2064" s="18" t="n">
        <v>26</v>
      </c>
      <c r="O2064" s="18" t="n">
        <v>0</v>
      </c>
      <c r="P2064" s="17" t="n">
        <v>45888</v>
      </c>
      <c r="Q2064" s="17" t="n">
        <v>45888</v>
      </c>
      <c r="R2064" s="17" t="n">
        <v>45888</v>
      </c>
      <c r="S2064" s="19">
        <f>H2064*I2064</f>
        <v/>
      </c>
      <c r="T2064" s="19">
        <f>H2064*J2064</f>
        <v/>
      </c>
      <c r="U2064">
        <f>IF(AND(K2064=0,G2064&lt;=Assumptions!$C$6),1,0)</f>
        <v/>
      </c>
      <c r="V2064">
        <f>IF(U2064=1,IF(M2064&gt;0,IF(P2064&lt;=G2064+Assumptions!$C$7,1,0),0),0)</f>
        <v/>
      </c>
      <c r="W2064">
        <f>IF(AND(U2064=1,M2064&gt;=H2064*(1-Assumptions!$C$8)),1,0)</f>
        <v/>
      </c>
      <c r="X2064">
        <f>IF(AND(U2064=1,N2064&gt;=H2064*(1-Assumptions!$C$8)),1,0)</f>
        <v/>
      </c>
      <c r="Y2064">
        <f>IF(ISNUMBER(Q2064),1,0)</f>
        <v/>
      </c>
      <c r="Z2064">
        <f>IF(AND(K2064=0,L2064=0,Y2064=0),1,0)</f>
        <v/>
      </c>
      <c r="AA2064">
        <f>IF(AND(Z2064=1,G2064&lt;Assumptions!$C$6),1,0)</f>
        <v/>
      </c>
      <c r="AB2064">
        <f>IF(U2064=0,"",IF(Y2064=1,MAX(0,Q2064-G2064),IF(L2064=1,MAX(0,R2064-G2064),MAX(0,Assumptions!$C$6-G2064))))</f>
        <v/>
      </c>
      <c r="AC2064">
        <f>IF(Y2064=1,Q2064-F2064,"")</f>
        <v/>
      </c>
      <c r="AD2064">
        <f>IF(Y2064=1,AC2064^2,"")</f>
        <v/>
      </c>
      <c r="AE2064" s="19">
        <f>IF(Z2064=1,(H2064-M2064)*I2064,0)</f>
        <v/>
      </c>
      <c r="AF2064">
        <f>IF(G2064&lt;EDATE(Assumptions!$C$6,-12)+1,"prior_12m","last_12m")</f>
        <v/>
      </c>
      <c r="AG2064" s="21">
        <f>DATE(YEAR(G2064),MONTH(G2064),1)</f>
        <v/>
      </c>
    </row>
    <row r="2065">
      <c r="A2065" t="inlineStr">
        <is>
          <t>SPO-01118-1</t>
        </is>
      </c>
      <c r="B2065" t="inlineStr">
        <is>
          <t>SPO-01118</t>
        </is>
      </c>
      <c r="C2065" t="inlineStr">
        <is>
          <t>SUP-06</t>
        </is>
      </c>
      <c r="D2065" t="inlineStr">
        <is>
          <t>MRO</t>
        </is>
      </c>
      <c r="E2065" t="inlineStr">
        <is>
          <t>MRO-04</t>
        </is>
      </c>
      <c r="F2065" s="17" t="n">
        <v>45879</v>
      </c>
      <c r="G2065" s="17" t="n">
        <v>45887</v>
      </c>
      <c r="H2065" s="18" t="n">
        <v>17</v>
      </c>
      <c r="I2065" s="19" t="n">
        <v>60.55</v>
      </c>
      <c r="J2065" s="19" t="n">
        <v>58</v>
      </c>
      <c r="K2065" s="20" t="n">
        <v>0</v>
      </c>
      <c r="L2065" s="20" t="n">
        <v>0</v>
      </c>
      <c r="M2065" s="18" t="n">
        <v>17</v>
      </c>
      <c r="N2065" s="18" t="n">
        <v>17</v>
      </c>
      <c r="O2065" s="18" t="n">
        <v>0</v>
      </c>
      <c r="P2065" s="17" t="n">
        <v>45885</v>
      </c>
      <c r="Q2065" s="17" t="n">
        <v>45885</v>
      </c>
      <c r="R2065" s="17" t="n">
        <v>45885</v>
      </c>
      <c r="S2065" s="19">
        <f>H2065*I2065</f>
        <v/>
      </c>
      <c r="T2065" s="19">
        <f>H2065*J2065</f>
        <v/>
      </c>
      <c r="U2065">
        <f>IF(AND(K2065=0,G2065&lt;=Assumptions!$C$6),1,0)</f>
        <v/>
      </c>
      <c r="V2065">
        <f>IF(U2065=1,IF(M2065&gt;0,IF(P2065&lt;=G2065+Assumptions!$C$7,1,0),0),0)</f>
        <v/>
      </c>
      <c r="W2065">
        <f>IF(AND(U2065=1,M2065&gt;=H2065*(1-Assumptions!$C$8)),1,0)</f>
        <v/>
      </c>
      <c r="X2065">
        <f>IF(AND(U2065=1,N2065&gt;=H2065*(1-Assumptions!$C$8)),1,0)</f>
        <v/>
      </c>
      <c r="Y2065">
        <f>IF(ISNUMBER(Q2065),1,0)</f>
        <v/>
      </c>
      <c r="Z2065">
        <f>IF(AND(K2065=0,L2065=0,Y2065=0),1,0)</f>
        <v/>
      </c>
      <c r="AA2065">
        <f>IF(AND(Z2065=1,G2065&lt;Assumptions!$C$6),1,0)</f>
        <v/>
      </c>
      <c r="AB2065">
        <f>IF(U2065=0,"",IF(Y2065=1,MAX(0,Q2065-G2065),IF(L2065=1,MAX(0,R2065-G2065),MAX(0,Assumptions!$C$6-G2065))))</f>
        <v/>
      </c>
      <c r="AC2065">
        <f>IF(Y2065=1,Q2065-F2065,"")</f>
        <v/>
      </c>
      <c r="AD2065">
        <f>IF(Y2065=1,AC2065^2,"")</f>
        <v/>
      </c>
      <c r="AE2065" s="19">
        <f>IF(Z2065=1,(H2065-M2065)*I2065,0)</f>
        <v/>
      </c>
      <c r="AF2065">
        <f>IF(G2065&lt;EDATE(Assumptions!$C$6,-12)+1,"prior_12m","last_12m")</f>
        <v/>
      </c>
      <c r="AG2065" s="21">
        <f>DATE(YEAR(G2065),MONTH(G2065),1)</f>
        <v/>
      </c>
    </row>
    <row r="2066">
      <c r="A2066" t="inlineStr">
        <is>
          <t>SPO-01119-1</t>
        </is>
      </c>
      <c r="B2066" t="inlineStr">
        <is>
          <t>SPO-01119</t>
        </is>
      </c>
      <c r="C2066" t="inlineStr">
        <is>
          <t>SUP-05</t>
        </is>
      </c>
      <c r="D2066" t="inlineStr">
        <is>
          <t>FLEET</t>
        </is>
      </c>
      <c r="E2066" t="inlineStr">
        <is>
          <t>FLEET-02</t>
        </is>
      </c>
      <c r="F2066" s="17" t="n">
        <v>45879</v>
      </c>
      <c r="G2066" s="17" t="n">
        <v>45893</v>
      </c>
      <c r="H2066" s="18" t="n">
        <v>232</v>
      </c>
      <c r="I2066" s="19" t="n">
        <v>8</v>
      </c>
      <c r="J2066" s="19" t="n">
        <v>7.5</v>
      </c>
      <c r="K2066" s="20" t="n">
        <v>0</v>
      </c>
      <c r="L2066" s="20" t="n">
        <v>0</v>
      </c>
      <c r="M2066" s="18" t="n">
        <v>232</v>
      </c>
      <c r="N2066" s="18" t="n">
        <v>232</v>
      </c>
      <c r="O2066" s="18" t="n">
        <v>0</v>
      </c>
      <c r="P2066" s="17" t="n">
        <v>45890</v>
      </c>
      <c r="Q2066" s="17" t="n">
        <v>45890</v>
      </c>
      <c r="R2066" s="17" t="n">
        <v>45890</v>
      </c>
      <c r="S2066" s="19">
        <f>H2066*I2066</f>
        <v/>
      </c>
      <c r="T2066" s="19">
        <f>H2066*J2066</f>
        <v/>
      </c>
      <c r="U2066">
        <f>IF(AND(K2066=0,G2066&lt;=Assumptions!$C$6),1,0)</f>
        <v/>
      </c>
      <c r="V2066">
        <f>IF(U2066=1,IF(M2066&gt;0,IF(P2066&lt;=G2066+Assumptions!$C$7,1,0),0),0)</f>
        <v/>
      </c>
      <c r="W2066">
        <f>IF(AND(U2066=1,M2066&gt;=H2066*(1-Assumptions!$C$8)),1,0)</f>
        <v/>
      </c>
      <c r="X2066">
        <f>IF(AND(U2066=1,N2066&gt;=H2066*(1-Assumptions!$C$8)),1,0)</f>
        <v/>
      </c>
      <c r="Y2066">
        <f>IF(ISNUMBER(Q2066),1,0)</f>
        <v/>
      </c>
      <c r="Z2066">
        <f>IF(AND(K2066=0,L2066=0,Y2066=0),1,0)</f>
        <v/>
      </c>
      <c r="AA2066">
        <f>IF(AND(Z2066=1,G2066&lt;Assumptions!$C$6),1,0)</f>
        <v/>
      </c>
      <c r="AB2066">
        <f>IF(U2066=0,"",IF(Y2066=1,MAX(0,Q2066-G2066),IF(L2066=1,MAX(0,R2066-G2066),MAX(0,Assumptions!$C$6-G2066))))</f>
        <v/>
      </c>
      <c r="AC2066">
        <f>IF(Y2066=1,Q2066-F2066,"")</f>
        <v/>
      </c>
      <c r="AD2066">
        <f>IF(Y2066=1,AC2066^2,"")</f>
        <v/>
      </c>
      <c r="AE2066" s="19">
        <f>IF(Z2066=1,(H2066-M2066)*I2066,0)</f>
        <v/>
      </c>
      <c r="AF2066">
        <f>IF(G2066&lt;EDATE(Assumptions!$C$6,-12)+1,"prior_12m","last_12m")</f>
        <v/>
      </c>
      <c r="AG2066" s="21">
        <f>DATE(YEAR(G2066),MONTH(G2066),1)</f>
        <v/>
      </c>
    </row>
    <row r="2067">
      <c r="A2067" t="inlineStr">
        <is>
          <t>SPO-01120-1</t>
        </is>
      </c>
      <c r="B2067" t="inlineStr">
        <is>
          <t>SPO-01120</t>
        </is>
      </c>
      <c r="C2067" t="inlineStr">
        <is>
          <t>SUP-06</t>
        </is>
      </c>
      <c r="D2067" t="inlineStr">
        <is>
          <t>MRO</t>
        </is>
      </c>
      <c r="E2067" t="inlineStr">
        <is>
          <t>MRO-02</t>
        </is>
      </c>
      <c r="F2067" s="17" t="n">
        <v>45880</v>
      </c>
      <c r="G2067" s="17" t="n">
        <v>45888</v>
      </c>
      <c r="H2067" s="18" t="n">
        <v>39</v>
      </c>
      <c r="I2067" s="19" t="n">
        <v>41.37</v>
      </c>
      <c r="J2067" s="19" t="n">
        <v>41</v>
      </c>
      <c r="K2067" s="20" t="n">
        <v>0</v>
      </c>
      <c r="L2067" s="20" t="n">
        <v>0</v>
      </c>
      <c r="M2067" s="18" t="n">
        <v>39</v>
      </c>
      <c r="N2067" s="18" t="n">
        <v>39</v>
      </c>
      <c r="O2067" s="18" t="n">
        <v>0</v>
      </c>
      <c r="P2067" s="17" t="n">
        <v>45886</v>
      </c>
      <c r="Q2067" s="17" t="n">
        <v>45886</v>
      </c>
      <c r="R2067" s="17" t="n">
        <v>45886</v>
      </c>
      <c r="S2067" s="19">
        <f>H2067*I2067</f>
        <v/>
      </c>
      <c r="T2067" s="19">
        <f>H2067*J2067</f>
        <v/>
      </c>
      <c r="U2067">
        <f>IF(AND(K2067=0,G2067&lt;=Assumptions!$C$6),1,0)</f>
        <v/>
      </c>
      <c r="V2067">
        <f>IF(U2067=1,IF(M2067&gt;0,IF(P2067&lt;=G2067+Assumptions!$C$7,1,0),0),0)</f>
        <v/>
      </c>
      <c r="W2067">
        <f>IF(AND(U2067=1,M2067&gt;=H2067*(1-Assumptions!$C$8)),1,0)</f>
        <v/>
      </c>
      <c r="X2067">
        <f>IF(AND(U2067=1,N2067&gt;=H2067*(1-Assumptions!$C$8)),1,0)</f>
        <v/>
      </c>
      <c r="Y2067">
        <f>IF(ISNUMBER(Q2067),1,0)</f>
        <v/>
      </c>
      <c r="Z2067">
        <f>IF(AND(K2067=0,L2067=0,Y2067=0),1,0)</f>
        <v/>
      </c>
      <c r="AA2067">
        <f>IF(AND(Z2067=1,G2067&lt;Assumptions!$C$6),1,0)</f>
        <v/>
      </c>
      <c r="AB2067">
        <f>IF(U2067=0,"",IF(Y2067=1,MAX(0,Q2067-G2067),IF(L2067=1,MAX(0,R2067-G2067),MAX(0,Assumptions!$C$6-G2067))))</f>
        <v/>
      </c>
      <c r="AC2067">
        <f>IF(Y2067=1,Q2067-F2067,"")</f>
        <v/>
      </c>
      <c r="AD2067">
        <f>IF(Y2067=1,AC2067^2,"")</f>
        <v/>
      </c>
      <c r="AE2067" s="19">
        <f>IF(Z2067=1,(H2067-M2067)*I2067,0)</f>
        <v/>
      </c>
      <c r="AF2067">
        <f>IF(G2067&lt;EDATE(Assumptions!$C$6,-12)+1,"prior_12m","last_12m")</f>
        <v/>
      </c>
      <c r="AG2067" s="21">
        <f>DATE(YEAR(G2067),MONTH(G2067),1)</f>
        <v/>
      </c>
    </row>
    <row r="2068">
      <c r="A2068" t="inlineStr">
        <is>
          <t>SPO-01121-1</t>
        </is>
      </c>
      <c r="B2068" t="inlineStr">
        <is>
          <t>SPO-01121</t>
        </is>
      </c>
      <c r="C2068" t="inlineStr">
        <is>
          <t>SUP-04</t>
        </is>
      </c>
      <c r="D2068" t="inlineStr">
        <is>
          <t>FLEET</t>
        </is>
      </c>
      <c r="E2068" t="inlineStr">
        <is>
          <t>FLEET-08</t>
        </is>
      </c>
      <c r="F2068" s="17" t="n">
        <v>45880</v>
      </c>
      <c r="G2068" s="17" t="n">
        <v>45893</v>
      </c>
      <c r="H2068" s="18" t="n">
        <v>312</v>
      </c>
      <c r="I2068" s="19" t="n">
        <v>6.03</v>
      </c>
      <c r="J2068" s="19" t="n">
        <v>6.4</v>
      </c>
      <c r="K2068" s="20" t="n">
        <v>0</v>
      </c>
      <c r="L2068" s="20" t="n">
        <v>0</v>
      </c>
      <c r="M2068" s="18" t="n">
        <v>312</v>
      </c>
      <c r="N2068" s="18" t="n">
        <v>0</v>
      </c>
      <c r="O2068" s="18" t="n">
        <v>0</v>
      </c>
      <c r="P2068" s="17" t="n">
        <v>45895</v>
      </c>
      <c r="Q2068" s="17" t="n">
        <v>45895</v>
      </c>
      <c r="R2068" s="17" t="n">
        <v>45895</v>
      </c>
      <c r="S2068" s="19">
        <f>H2068*I2068</f>
        <v/>
      </c>
      <c r="T2068" s="19">
        <f>H2068*J2068</f>
        <v/>
      </c>
      <c r="U2068">
        <f>IF(AND(K2068=0,G2068&lt;=Assumptions!$C$6),1,0)</f>
        <v/>
      </c>
      <c r="V2068">
        <f>IF(U2068=1,IF(M2068&gt;0,IF(P2068&lt;=G2068+Assumptions!$C$7,1,0),0),0)</f>
        <v/>
      </c>
      <c r="W2068">
        <f>IF(AND(U2068=1,M2068&gt;=H2068*(1-Assumptions!$C$8)),1,0)</f>
        <v/>
      </c>
      <c r="X2068">
        <f>IF(AND(U2068=1,N2068&gt;=H2068*(1-Assumptions!$C$8)),1,0)</f>
        <v/>
      </c>
      <c r="Y2068">
        <f>IF(ISNUMBER(Q2068),1,0)</f>
        <v/>
      </c>
      <c r="Z2068">
        <f>IF(AND(K2068=0,L2068=0,Y2068=0),1,0)</f>
        <v/>
      </c>
      <c r="AA2068">
        <f>IF(AND(Z2068=1,G2068&lt;Assumptions!$C$6),1,0)</f>
        <v/>
      </c>
      <c r="AB2068">
        <f>IF(U2068=0,"",IF(Y2068=1,MAX(0,Q2068-G2068),IF(L2068=1,MAX(0,R2068-G2068),MAX(0,Assumptions!$C$6-G2068))))</f>
        <v/>
      </c>
      <c r="AC2068">
        <f>IF(Y2068=1,Q2068-F2068,"")</f>
        <v/>
      </c>
      <c r="AD2068">
        <f>IF(Y2068=1,AC2068^2,"")</f>
        <v/>
      </c>
      <c r="AE2068" s="19">
        <f>IF(Z2068=1,(H2068-M2068)*I2068,0)</f>
        <v/>
      </c>
      <c r="AF2068">
        <f>IF(G2068&lt;EDATE(Assumptions!$C$6,-12)+1,"prior_12m","last_12m")</f>
        <v/>
      </c>
      <c r="AG2068" s="21">
        <f>DATE(YEAR(G2068),MONTH(G2068),1)</f>
        <v/>
      </c>
    </row>
    <row r="2069">
      <c r="A2069" t="inlineStr">
        <is>
          <t>SPO-01121-2</t>
        </is>
      </c>
      <c r="B2069" t="inlineStr">
        <is>
          <t>SPO-01121</t>
        </is>
      </c>
      <c r="C2069" t="inlineStr">
        <is>
          <t>SUP-04</t>
        </is>
      </c>
      <c r="D2069" t="inlineStr">
        <is>
          <t>FLEET</t>
        </is>
      </c>
      <c r="E2069" t="inlineStr">
        <is>
          <t>FLEET-05</t>
        </is>
      </c>
      <c r="F2069" s="17" t="n">
        <v>45880</v>
      </c>
      <c r="G2069" s="17" t="n">
        <v>45893</v>
      </c>
      <c r="H2069" s="18" t="n">
        <v>5</v>
      </c>
      <c r="I2069" s="19" t="n">
        <v>168.38</v>
      </c>
      <c r="J2069" s="19" t="n">
        <v>168</v>
      </c>
      <c r="K2069" s="20" t="n">
        <v>0</v>
      </c>
      <c r="L2069" s="20" t="n">
        <v>0</v>
      </c>
      <c r="M2069" s="18" t="n">
        <v>5</v>
      </c>
      <c r="N2069" s="18" t="n">
        <v>5</v>
      </c>
      <c r="O2069" s="18" t="n">
        <v>0</v>
      </c>
      <c r="P2069" s="17" t="n">
        <v>45886</v>
      </c>
      <c r="Q2069" s="17" t="n">
        <v>45886</v>
      </c>
      <c r="R2069" s="17" t="n">
        <v>45886</v>
      </c>
      <c r="S2069" s="19">
        <f>H2069*I2069</f>
        <v/>
      </c>
      <c r="T2069" s="19">
        <f>H2069*J2069</f>
        <v/>
      </c>
      <c r="U2069">
        <f>IF(AND(K2069=0,G2069&lt;=Assumptions!$C$6),1,0)</f>
        <v/>
      </c>
      <c r="V2069">
        <f>IF(U2069=1,IF(M2069&gt;0,IF(P2069&lt;=G2069+Assumptions!$C$7,1,0),0),0)</f>
        <v/>
      </c>
      <c r="W2069">
        <f>IF(AND(U2069=1,M2069&gt;=H2069*(1-Assumptions!$C$8)),1,0)</f>
        <v/>
      </c>
      <c r="X2069">
        <f>IF(AND(U2069=1,N2069&gt;=H2069*(1-Assumptions!$C$8)),1,0)</f>
        <v/>
      </c>
      <c r="Y2069">
        <f>IF(ISNUMBER(Q2069),1,0)</f>
        <v/>
      </c>
      <c r="Z2069">
        <f>IF(AND(K2069=0,L2069=0,Y2069=0),1,0)</f>
        <v/>
      </c>
      <c r="AA2069">
        <f>IF(AND(Z2069=1,G2069&lt;Assumptions!$C$6),1,0)</f>
        <v/>
      </c>
      <c r="AB2069">
        <f>IF(U2069=0,"",IF(Y2069=1,MAX(0,Q2069-G2069),IF(L2069=1,MAX(0,R2069-G2069),MAX(0,Assumptions!$C$6-G2069))))</f>
        <v/>
      </c>
      <c r="AC2069">
        <f>IF(Y2069=1,Q2069-F2069,"")</f>
        <v/>
      </c>
      <c r="AD2069">
        <f>IF(Y2069=1,AC2069^2,"")</f>
        <v/>
      </c>
      <c r="AE2069" s="19">
        <f>IF(Z2069=1,(H2069-M2069)*I2069,0)</f>
        <v/>
      </c>
      <c r="AF2069">
        <f>IF(G2069&lt;EDATE(Assumptions!$C$6,-12)+1,"prior_12m","last_12m")</f>
        <v/>
      </c>
      <c r="AG2069" s="21">
        <f>DATE(YEAR(G2069),MONTH(G2069),1)</f>
        <v/>
      </c>
    </row>
    <row r="2070">
      <c r="A2070" t="inlineStr">
        <is>
          <t>SPO-01122-1</t>
        </is>
      </c>
      <c r="B2070" t="inlineStr">
        <is>
          <t>SPO-01122</t>
        </is>
      </c>
      <c r="C2070" t="inlineStr">
        <is>
          <t>SUP-08</t>
        </is>
      </c>
      <c r="D2070" t="inlineStr">
        <is>
          <t>PPE</t>
        </is>
      </c>
      <c r="E2070" t="inlineStr">
        <is>
          <t>PPE-07</t>
        </is>
      </c>
      <c r="F2070" s="17" t="n">
        <v>45881</v>
      </c>
      <c r="G2070" s="17" t="n">
        <v>45892</v>
      </c>
      <c r="H2070" s="18" t="n">
        <v>33</v>
      </c>
      <c r="I2070" s="19" t="n">
        <v>31.78</v>
      </c>
      <c r="J2070" s="19" t="n">
        <v>31</v>
      </c>
      <c r="K2070" s="20" t="n">
        <v>0</v>
      </c>
      <c r="L2070" s="20" t="n">
        <v>0</v>
      </c>
      <c r="M2070" s="18" t="n">
        <v>33</v>
      </c>
      <c r="N2070" s="18" t="n">
        <v>33</v>
      </c>
      <c r="O2070" s="18" t="n">
        <v>0</v>
      </c>
      <c r="P2070" s="17" t="n">
        <v>45891</v>
      </c>
      <c r="Q2070" s="17" t="n">
        <v>45891</v>
      </c>
      <c r="R2070" s="17" t="n">
        <v>45891</v>
      </c>
      <c r="S2070" s="19">
        <f>H2070*I2070</f>
        <v/>
      </c>
      <c r="T2070" s="19">
        <f>H2070*J2070</f>
        <v/>
      </c>
      <c r="U2070">
        <f>IF(AND(K2070=0,G2070&lt;=Assumptions!$C$6),1,0)</f>
        <v/>
      </c>
      <c r="V2070">
        <f>IF(U2070=1,IF(M2070&gt;0,IF(P2070&lt;=G2070+Assumptions!$C$7,1,0),0),0)</f>
        <v/>
      </c>
      <c r="W2070">
        <f>IF(AND(U2070=1,M2070&gt;=H2070*(1-Assumptions!$C$8)),1,0)</f>
        <v/>
      </c>
      <c r="X2070">
        <f>IF(AND(U2070=1,N2070&gt;=H2070*(1-Assumptions!$C$8)),1,0)</f>
        <v/>
      </c>
      <c r="Y2070">
        <f>IF(ISNUMBER(Q2070),1,0)</f>
        <v/>
      </c>
      <c r="Z2070">
        <f>IF(AND(K2070=0,L2070=0,Y2070=0),1,0)</f>
        <v/>
      </c>
      <c r="AA2070">
        <f>IF(AND(Z2070=1,G2070&lt;Assumptions!$C$6),1,0)</f>
        <v/>
      </c>
      <c r="AB2070">
        <f>IF(U2070=0,"",IF(Y2070=1,MAX(0,Q2070-G2070),IF(L2070=1,MAX(0,R2070-G2070),MAX(0,Assumptions!$C$6-G2070))))</f>
        <v/>
      </c>
      <c r="AC2070">
        <f>IF(Y2070=1,Q2070-F2070,"")</f>
        <v/>
      </c>
      <c r="AD2070">
        <f>IF(Y2070=1,AC2070^2,"")</f>
        <v/>
      </c>
      <c r="AE2070" s="19">
        <f>IF(Z2070=1,(H2070-M2070)*I2070,0)</f>
        <v/>
      </c>
      <c r="AF2070">
        <f>IF(G2070&lt;EDATE(Assumptions!$C$6,-12)+1,"prior_12m","last_12m")</f>
        <v/>
      </c>
      <c r="AG2070" s="21">
        <f>DATE(YEAR(G2070),MONTH(G2070),1)</f>
        <v/>
      </c>
    </row>
    <row r="2071">
      <c r="A2071" t="inlineStr">
        <is>
          <t>SPO-01123-1</t>
        </is>
      </c>
      <c r="B2071" t="inlineStr">
        <is>
          <t>SPO-01123</t>
        </is>
      </c>
      <c r="C2071" t="inlineStr">
        <is>
          <t>SUP-10</t>
        </is>
      </c>
      <c r="D2071" t="inlineStr">
        <is>
          <t>PPE</t>
        </is>
      </c>
      <c r="E2071" t="inlineStr">
        <is>
          <t>PPE-02</t>
        </is>
      </c>
      <c r="F2071" s="17" t="n">
        <v>45881</v>
      </c>
      <c r="G2071" s="17" t="n">
        <v>45894</v>
      </c>
      <c r="H2071" s="18" t="n">
        <v>140</v>
      </c>
      <c r="I2071" s="19" t="n">
        <v>12.07</v>
      </c>
      <c r="J2071" s="19" t="n">
        <v>12.5</v>
      </c>
      <c r="K2071" s="20" t="n">
        <v>0</v>
      </c>
      <c r="L2071" s="20" t="n">
        <v>0</v>
      </c>
      <c r="M2071" s="18" t="n">
        <v>140</v>
      </c>
      <c r="N2071" s="18" t="n">
        <v>140</v>
      </c>
      <c r="O2071" s="18" t="n">
        <v>0</v>
      </c>
      <c r="P2071" s="17" t="n">
        <v>45889</v>
      </c>
      <c r="Q2071" s="17" t="n">
        <v>45889</v>
      </c>
      <c r="R2071" s="17" t="n">
        <v>45889</v>
      </c>
      <c r="S2071" s="19">
        <f>H2071*I2071</f>
        <v/>
      </c>
      <c r="T2071" s="19">
        <f>H2071*J2071</f>
        <v/>
      </c>
      <c r="U2071">
        <f>IF(AND(K2071=0,G2071&lt;=Assumptions!$C$6),1,0)</f>
        <v/>
      </c>
      <c r="V2071">
        <f>IF(U2071=1,IF(M2071&gt;0,IF(P2071&lt;=G2071+Assumptions!$C$7,1,0),0),0)</f>
        <v/>
      </c>
      <c r="W2071">
        <f>IF(AND(U2071=1,M2071&gt;=H2071*(1-Assumptions!$C$8)),1,0)</f>
        <v/>
      </c>
      <c r="X2071">
        <f>IF(AND(U2071=1,N2071&gt;=H2071*(1-Assumptions!$C$8)),1,0)</f>
        <v/>
      </c>
      <c r="Y2071">
        <f>IF(ISNUMBER(Q2071),1,0)</f>
        <v/>
      </c>
      <c r="Z2071">
        <f>IF(AND(K2071=0,L2071=0,Y2071=0),1,0)</f>
        <v/>
      </c>
      <c r="AA2071">
        <f>IF(AND(Z2071=1,G2071&lt;Assumptions!$C$6),1,0)</f>
        <v/>
      </c>
      <c r="AB2071">
        <f>IF(U2071=0,"",IF(Y2071=1,MAX(0,Q2071-G2071),IF(L2071=1,MAX(0,R2071-G2071),MAX(0,Assumptions!$C$6-G2071))))</f>
        <v/>
      </c>
      <c r="AC2071">
        <f>IF(Y2071=1,Q2071-F2071,"")</f>
        <v/>
      </c>
      <c r="AD2071">
        <f>IF(Y2071=1,AC2071^2,"")</f>
        <v/>
      </c>
      <c r="AE2071" s="19">
        <f>IF(Z2071=1,(H2071-M2071)*I2071,0)</f>
        <v/>
      </c>
      <c r="AF2071">
        <f>IF(G2071&lt;EDATE(Assumptions!$C$6,-12)+1,"prior_12m","last_12m")</f>
        <v/>
      </c>
      <c r="AG2071" s="21">
        <f>DATE(YEAR(G2071),MONTH(G2071),1)</f>
        <v/>
      </c>
    </row>
    <row r="2072">
      <c r="A2072" t="inlineStr">
        <is>
          <t>SPO-01123-2</t>
        </is>
      </c>
      <c r="B2072" t="inlineStr">
        <is>
          <t>SPO-01123</t>
        </is>
      </c>
      <c r="C2072" t="inlineStr">
        <is>
          <t>SUP-10</t>
        </is>
      </c>
      <c r="D2072" t="inlineStr">
        <is>
          <t>PPE</t>
        </is>
      </c>
      <c r="E2072" t="inlineStr">
        <is>
          <t>PPE-06</t>
        </is>
      </c>
      <c r="F2072" s="17" t="n">
        <v>45881</v>
      </c>
      <c r="G2072" s="17" t="n">
        <v>45894</v>
      </c>
      <c r="H2072" s="18" t="n">
        <v>18</v>
      </c>
      <c r="I2072" s="19" t="n">
        <v>115.56</v>
      </c>
      <c r="J2072" s="19" t="n">
        <v>115</v>
      </c>
      <c r="K2072" s="20" t="n">
        <v>0</v>
      </c>
      <c r="L2072" s="20" t="n">
        <v>0</v>
      </c>
      <c r="M2072" s="18" t="n">
        <v>18</v>
      </c>
      <c r="N2072" s="18" t="n">
        <v>18</v>
      </c>
      <c r="O2072" s="18" t="n">
        <v>0</v>
      </c>
      <c r="P2072" s="17" t="n">
        <v>45889</v>
      </c>
      <c r="Q2072" s="17" t="n">
        <v>45889</v>
      </c>
      <c r="R2072" s="17" t="n">
        <v>45889</v>
      </c>
      <c r="S2072" s="19">
        <f>H2072*I2072</f>
        <v/>
      </c>
      <c r="T2072" s="19">
        <f>H2072*J2072</f>
        <v/>
      </c>
      <c r="U2072">
        <f>IF(AND(K2072=0,G2072&lt;=Assumptions!$C$6),1,0)</f>
        <v/>
      </c>
      <c r="V2072">
        <f>IF(U2072=1,IF(M2072&gt;0,IF(P2072&lt;=G2072+Assumptions!$C$7,1,0),0),0)</f>
        <v/>
      </c>
      <c r="W2072">
        <f>IF(AND(U2072=1,M2072&gt;=H2072*(1-Assumptions!$C$8)),1,0)</f>
        <v/>
      </c>
      <c r="X2072">
        <f>IF(AND(U2072=1,N2072&gt;=H2072*(1-Assumptions!$C$8)),1,0)</f>
        <v/>
      </c>
      <c r="Y2072">
        <f>IF(ISNUMBER(Q2072),1,0)</f>
        <v/>
      </c>
      <c r="Z2072">
        <f>IF(AND(K2072=0,L2072=0,Y2072=0),1,0)</f>
        <v/>
      </c>
      <c r="AA2072">
        <f>IF(AND(Z2072=1,G2072&lt;Assumptions!$C$6),1,0)</f>
        <v/>
      </c>
      <c r="AB2072">
        <f>IF(U2072=0,"",IF(Y2072=1,MAX(0,Q2072-G2072),IF(L2072=1,MAX(0,R2072-G2072),MAX(0,Assumptions!$C$6-G2072))))</f>
        <v/>
      </c>
      <c r="AC2072">
        <f>IF(Y2072=1,Q2072-F2072,"")</f>
        <v/>
      </c>
      <c r="AD2072">
        <f>IF(Y2072=1,AC2072^2,"")</f>
        <v/>
      </c>
      <c r="AE2072" s="19">
        <f>IF(Z2072=1,(H2072-M2072)*I2072,0)</f>
        <v/>
      </c>
      <c r="AF2072">
        <f>IF(G2072&lt;EDATE(Assumptions!$C$6,-12)+1,"prior_12m","last_12m")</f>
        <v/>
      </c>
      <c r="AG2072" s="21">
        <f>DATE(YEAR(G2072),MONTH(G2072),1)</f>
        <v/>
      </c>
    </row>
    <row r="2073">
      <c r="A2073" t="inlineStr">
        <is>
          <t>SPO-01124-1</t>
        </is>
      </c>
      <c r="B2073" t="inlineStr">
        <is>
          <t>SPO-01124</t>
        </is>
      </c>
      <c r="C2073" t="inlineStr">
        <is>
          <t>SUP-05</t>
        </is>
      </c>
      <c r="D2073" t="inlineStr">
        <is>
          <t>FLEET</t>
        </is>
      </c>
      <c r="E2073" t="inlineStr">
        <is>
          <t>FLEET-04</t>
        </is>
      </c>
      <c r="F2073" s="17" t="n">
        <v>45882</v>
      </c>
      <c r="G2073" s="17" t="n">
        <v>45896</v>
      </c>
      <c r="H2073" s="18" t="n">
        <v>291</v>
      </c>
      <c r="I2073" s="19" t="n">
        <v>8.94</v>
      </c>
      <c r="J2073" s="19" t="n">
        <v>9</v>
      </c>
      <c r="K2073" s="20" t="n">
        <v>0</v>
      </c>
      <c r="L2073" s="20" t="n">
        <v>0</v>
      </c>
      <c r="M2073" s="18" t="n">
        <v>291</v>
      </c>
      <c r="N2073" s="18" t="n">
        <v>291</v>
      </c>
      <c r="O2073" s="18" t="n">
        <v>0</v>
      </c>
      <c r="P2073" s="17" t="n">
        <v>45892</v>
      </c>
      <c r="Q2073" s="17" t="n">
        <v>45892</v>
      </c>
      <c r="R2073" s="17" t="n">
        <v>45892</v>
      </c>
      <c r="S2073" s="19">
        <f>H2073*I2073</f>
        <v/>
      </c>
      <c r="T2073" s="19">
        <f>H2073*J2073</f>
        <v/>
      </c>
      <c r="U2073">
        <f>IF(AND(K2073=0,G2073&lt;=Assumptions!$C$6),1,0)</f>
        <v/>
      </c>
      <c r="V2073">
        <f>IF(U2073=1,IF(M2073&gt;0,IF(P2073&lt;=G2073+Assumptions!$C$7,1,0),0),0)</f>
        <v/>
      </c>
      <c r="W2073">
        <f>IF(AND(U2073=1,M2073&gt;=H2073*(1-Assumptions!$C$8)),1,0)</f>
        <v/>
      </c>
      <c r="X2073">
        <f>IF(AND(U2073=1,N2073&gt;=H2073*(1-Assumptions!$C$8)),1,0)</f>
        <v/>
      </c>
      <c r="Y2073">
        <f>IF(ISNUMBER(Q2073),1,0)</f>
        <v/>
      </c>
      <c r="Z2073">
        <f>IF(AND(K2073=0,L2073=0,Y2073=0),1,0)</f>
        <v/>
      </c>
      <c r="AA2073">
        <f>IF(AND(Z2073=1,G2073&lt;Assumptions!$C$6),1,0)</f>
        <v/>
      </c>
      <c r="AB2073">
        <f>IF(U2073=0,"",IF(Y2073=1,MAX(0,Q2073-G2073),IF(L2073=1,MAX(0,R2073-G2073),MAX(0,Assumptions!$C$6-G2073))))</f>
        <v/>
      </c>
      <c r="AC2073">
        <f>IF(Y2073=1,Q2073-F2073,"")</f>
        <v/>
      </c>
      <c r="AD2073">
        <f>IF(Y2073=1,AC2073^2,"")</f>
        <v/>
      </c>
      <c r="AE2073" s="19">
        <f>IF(Z2073=1,(H2073-M2073)*I2073,0)</f>
        <v/>
      </c>
      <c r="AF2073">
        <f>IF(G2073&lt;EDATE(Assumptions!$C$6,-12)+1,"prior_12m","last_12m")</f>
        <v/>
      </c>
      <c r="AG2073" s="21">
        <f>DATE(YEAR(G2073),MONTH(G2073),1)</f>
        <v/>
      </c>
    </row>
    <row r="2074">
      <c r="A2074" t="inlineStr">
        <is>
          <t>SPO-01124-2</t>
        </is>
      </c>
      <c r="B2074" t="inlineStr">
        <is>
          <t>SPO-01124</t>
        </is>
      </c>
      <c r="C2074" t="inlineStr">
        <is>
          <t>SUP-05</t>
        </is>
      </c>
      <c r="D2074" t="inlineStr">
        <is>
          <t>FLEET</t>
        </is>
      </c>
      <c r="E2074" t="inlineStr">
        <is>
          <t>FLEET-03</t>
        </is>
      </c>
      <c r="F2074" s="17" t="n">
        <v>45882</v>
      </c>
      <c r="G2074" s="17" t="n">
        <v>45896</v>
      </c>
      <c r="H2074" s="18" t="n">
        <v>107</v>
      </c>
      <c r="I2074" s="19" t="n">
        <v>20.63</v>
      </c>
      <c r="J2074" s="19" t="n">
        <v>21</v>
      </c>
      <c r="K2074" s="20" t="n">
        <v>0</v>
      </c>
      <c r="L2074" s="20" t="n">
        <v>0</v>
      </c>
      <c r="M2074" s="18" t="n">
        <v>107</v>
      </c>
      <c r="N2074" s="18" t="n">
        <v>107</v>
      </c>
      <c r="O2074" s="18" t="n">
        <v>0</v>
      </c>
      <c r="P2074" s="17" t="n">
        <v>45892</v>
      </c>
      <c r="Q2074" s="17" t="n">
        <v>45892</v>
      </c>
      <c r="R2074" s="17" t="n">
        <v>45892</v>
      </c>
      <c r="S2074" s="19">
        <f>H2074*I2074</f>
        <v/>
      </c>
      <c r="T2074" s="19">
        <f>H2074*J2074</f>
        <v/>
      </c>
      <c r="U2074">
        <f>IF(AND(K2074=0,G2074&lt;=Assumptions!$C$6),1,0)</f>
        <v/>
      </c>
      <c r="V2074">
        <f>IF(U2074=1,IF(M2074&gt;0,IF(P2074&lt;=G2074+Assumptions!$C$7,1,0),0),0)</f>
        <v/>
      </c>
      <c r="W2074">
        <f>IF(AND(U2074=1,M2074&gt;=H2074*(1-Assumptions!$C$8)),1,0)</f>
        <v/>
      </c>
      <c r="X2074">
        <f>IF(AND(U2074=1,N2074&gt;=H2074*(1-Assumptions!$C$8)),1,0)</f>
        <v/>
      </c>
      <c r="Y2074">
        <f>IF(ISNUMBER(Q2074),1,0)</f>
        <v/>
      </c>
      <c r="Z2074">
        <f>IF(AND(K2074=0,L2074=0,Y2074=0),1,0)</f>
        <v/>
      </c>
      <c r="AA2074">
        <f>IF(AND(Z2074=1,G2074&lt;Assumptions!$C$6),1,0)</f>
        <v/>
      </c>
      <c r="AB2074">
        <f>IF(U2074=0,"",IF(Y2074=1,MAX(0,Q2074-G2074),IF(L2074=1,MAX(0,R2074-G2074),MAX(0,Assumptions!$C$6-G2074))))</f>
        <v/>
      </c>
      <c r="AC2074">
        <f>IF(Y2074=1,Q2074-F2074,"")</f>
        <v/>
      </c>
      <c r="AD2074">
        <f>IF(Y2074=1,AC2074^2,"")</f>
        <v/>
      </c>
      <c r="AE2074" s="19">
        <f>IF(Z2074=1,(H2074-M2074)*I2074,0)</f>
        <v/>
      </c>
      <c r="AF2074">
        <f>IF(G2074&lt;EDATE(Assumptions!$C$6,-12)+1,"prior_12m","last_12m")</f>
        <v/>
      </c>
      <c r="AG2074" s="21">
        <f>DATE(YEAR(G2074),MONTH(G2074),1)</f>
        <v/>
      </c>
    </row>
    <row r="2075">
      <c r="A2075" t="inlineStr">
        <is>
          <t>SPO-01124-3</t>
        </is>
      </c>
      <c r="B2075" t="inlineStr">
        <is>
          <t>SPO-01124</t>
        </is>
      </c>
      <c r="C2075" t="inlineStr">
        <is>
          <t>SUP-05</t>
        </is>
      </c>
      <c r="D2075" t="inlineStr">
        <is>
          <t>FLEET</t>
        </is>
      </c>
      <c r="E2075" t="inlineStr">
        <is>
          <t>FLEET-02</t>
        </is>
      </c>
      <c r="F2075" s="17" t="n">
        <v>45882</v>
      </c>
      <c r="G2075" s="17" t="n">
        <v>45896</v>
      </c>
      <c r="H2075" s="18" t="n">
        <v>395</v>
      </c>
      <c r="I2075" s="19" t="n">
        <v>7.53</v>
      </c>
      <c r="J2075" s="19" t="n">
        <v>7.5</v>
      </c>
      <c r="K2075" s="20" t="n">
        <v>0</v>
      </c>
      <c r="L2075" s="20" t="n">
        <v>0</v>
      </c>
      <c r="M2075" s="18" t="n">
        <v>395</v>
      </c>
      <c r="N2075" s="18" t="n">
        <v>395</v>
      </c>
      <c r="O2075" s="18" t="n">
        <v>0</v>
      </c>
      <c r="P2075" s="17" t="n">
        <v>45895</v>
      </c>
      <c r="Q2075" s="17" t="n">
        <v>45895</v>
      </c>
      <c r="R2075" s="17" t="n">
        <v>45895</v>
      </c>
      <c r="S2075" s="19">
        <f>H2075*I2075</f>
        <v/>
      </c>
      <c r="T2075" s="19">
        <f>H2075*J2075</f>
        <v/>
      </c>
      <c r="U2075">
        <f>IF(AND(K2075=0,G2075&lt;=Assumptions!$C$6),1,0)</f>
        <v/>
      </c>
      <c r="V2075">
        <f>IF(U2075=1,IF(M2075&gt;0,IF(P2075&lt;=G2075+Assumptions!$C$7,1,0),0),0)</f>
        <v/>
      </c>
      <c r="W2075">
        <f>IF(AND(U2075=1,M2075&gt;=H2075*(1-Assumptions!$C$8)),1,0)</f>
        <v/>
      </c>
      <c r="X2075">
        <f>IF(AND(U2075=1,N2075&gt;=H2075*(1-Assumptions!$C$8)),1,0)</f>
        <v/>
      </c>
      <c r="Y2075">
        <f>IF(ISNUMBER(Q2075),1,0)</f>
        <v/>
      </c>
      <c r="Z2075">
        <f>IF(AND(K2075=0,L2075=0,Y2075=0),1,0)</f>
        <v/>
      </c>
      <c r="AA2075">
        <f>IF(AND(Z2075=1,G2075&lt;Assumptions!$C$6),1,0)</f>
        <v/>
      </c>
      <c r="AB2075">
        <f>IF(U2075=0,"",IF(Y2075=1,MAX(0,Q2075-G2075),IF(L2075=1,MAX(0,R2075-G2075),MAX(0,Assumptions!$C$6-G2075))))</f>
        <v/>
      </c>
      <c r="AC2075">
        <f>IF(Y2075=1,Q2075-F2075,"")</f>
        <v/>
      </c>
      <c r="AD2075">
        <f>IF(Y2075=1,AC2075^2,"")</f>
        <v/>
      </c>
      <c r="AE2075" s="19">
        <f>IF(Z2075=1,(H2075-M2075)*I2075,0)</f>
        <v/>
      </c>
      <c r="AF2075">
        <f>IF(G2075&lt;EDATE(Assumptions!$C$6,-12)+1,"prior_12m","last_12m")</f>
        <v/>
      </c>
      <c r="AG2075" s="21">
        <f>DATE(YEAR(G2075),MONTH(G2075),1)</f>
        <v/>
      </c>
    </row>
    <row r="2076">
      <c r="A2076" t="inlineStr">
        <is>
          <t>SPO-01125-1</t>
        </is>
      </c>
      <c r="B2076" t="inlineStr">
        <is>
          <t>SPO-01125</t>
        </is>
      </c>
      <c r="C2076" t="inlineStr">
        <is>
          <t>SUP-14</t>
        </is>
      </c>
      <c r="D2076" t="inlineStr">
        <is>
          <t>FLEET</t>
        </is>
      </c>
      <c r="E2076" t="inlineStr">
        <is>
          <t>FLEET-06</t>
        </is>
      </c>
      <c r="F2076" s="17" t="n">
        <v>45882</v>
      </c>
      <c r="G2076" s="17" t="n">
        <v>45896</v>
      </c>
      <c r="H2076" s="18" t="n">
        <v>36</v>
      </c>
      <c r="I2076" s="19" t="n">
        <v>30.78</v>
      </c>
      <c r="J2076" s="19" t="n">
        <v>33</v>
      </c>
      <c r="K2076" s="20" t="n">
        <v>0</v>
      </c>
      <c r="L2076" s="20" t="n">
        <v>0</v>
      </c>
      <c r="M2076" s="18" t="n">
        <v>36</v>
      </c>
      <c r="N2076" s="18" t="n">
        <v>36</v>
      </c>
      <c r="O2076" s="18" t="n">
        <v>0</v>
      </c>
      <c r="P2076" s="17" t="n">
        <v>45891</v>
      </c>
      <c r="Q2076" s="17" t="n">
        <v>45891</v>
      </c>
      <c r="R2076" s="17" t="n">
        <v>45891</v>
      </c>
      <c r="S2076" s="19">
        <f>H2076*I2076</f>
        <v/>
      </c>
      <c r="T2076" s="19">
        <f>H2076*J2076</f>
        <v/>
      </c>
      <c r="U2076">
        <f>IF(AND(K2076=0,G2076&lt;=Assumptions!$C$6),1,0)</f>
        <v/>
      </c>
      <c r="V2076">
        <f>IF(U2076=1,IF(M2076&gt;0,IF(P2076&lt;=G2076+Assumptions!$C$7,1,0),0),0)</f>
        <v/>
      </c>
      <c r="W2076">
        <f>IF(AND(U2076=1,M2076&gt;=H2076*(1-Assumptions!$C$8)),1,0)</f>
        <v/>
      </c>
      <c r="X2076">
        <f>IF(AND(U2076=1,N2076&gt;=H2076*(1-Assumptions!$C$8)),1,0)</f>
        <v/>
      </c>
      <c r="Y2076">
        <f>IF(ISNUMBER(Q2076),1,0)</f>
        <v/>
      </c>
      <c r="Z2076">
        <f>IF(AND(K2076=0,L2076=0,Y2076=0),1,0)</f>
        <v/>
      </c>
      <c r="AA2076">
        <f>IF(AND(Z2076=1,G2076&lt;Assumptions!$C$6),1,0)</f>
        <v/>
      </c>
      <c r="AB2076">
        <f>IF(U2076=0,"",IF(Y2076=1,MAX(0,Q2076-G2076),IF(L2076=1,MAX(0,R2076-G2076),MAX(0,Assumptions!$C$6-G2076))))</f>
        <v/>
      </c>
      <c r="AC2076">
        <f>IF(Y2076=1,Q2076-F2076,"")</f>
        <v/>
      </c>
      <c r="AD2076">
        <f>IF(Y2076=1,AC2076^2,"")</f>
        <v/>
      </c>
      <c r="AE2076" s="19">
        <f>IF(Z2076=1,(H2076-M2076)*I2076,0)</f>
        <v/>
      </c>
      <c r="AF2076">
        <f>IF(G2076&lt;EDATE(Assumptions!$C$6,-12)+1,"prior_12m","last_12m")</f>
        <v/>
      </c>
      <c r="AG2076" s="21">
        <f>DATE(YEAR(G2076),MONTH(G2076),1)</f>
        <v/>
      </c>
    </row>
    <row r="2077">
      <c r="A2077" t="inlineStr">
        <is>
          <t>SPO-01126-1</t>
        </is>
      </c>
      <c r="B2077" t="inlineStr">
        <is>
          <t>SPO-01126</t>
        </is>
      </c>
      <c r="C2077" t="inlineStr">
        <is>
          <t>SUP-01</t>
        </is>
      </c>
      <c r="D2077" t="inlineStr">
        <is>
          <t>ELEC</t>
        </is>
      </c>
      <c r="E2077" t="inlineStr">
        <is>
          <t>ELEC-04</t>
        </is>
      </c>
      <c r="F2077" s="17" t="n">
        <v>45882</v>
      </c>
      <c r="G2077" s="17" t="n">
        <v>45900</v>
      </c>
      <c r="H2077" s="18" t="n">
        <v>51</v>
      </c>
      <c r="I2077" s="19" t="n">
        <v>72.83</v>
      </c>
      <c r="J2077" s="19" t="n">
        <v>72</v>
      </c>
      <c r="K2077" s="20" t="n">
        <v>0</v>
      </c>
      <c r="L2077" s="20" t="n">
        <v>0</v>
      </c>
      <c r="M2077" s="18" t="n">
        <v>51</v>
      </c>
      <c r="N2077" s="18" t="n">
        <v>51</v>
      </c>
      <c r="O2077" s="18" t="n">
        <v>0</v>
      </c>
      <c r="P2077" s="17" t="n">
        <v>45896</v>
      </c>
      <c r="Q2077" s="17" t="n">
        <v>45896</v>
      </c>
      <c r="R2077" s="17" t="n">
        <v>45896</v>
      </c>
      <c r="S2077" s="19">
        <f>H2077*I2077</f>
        <v/>
      </c>
      <c r="T2077" s="19">
        <f>H2077*J2077</f>
        <v/>
      </c>
      <c r="U2077">
        <f>IF(AND(K2077=0,G2077&lt;=Assumptions!$C$6),1,0)</f>
        <v/>
      </c>
      <c r="V2077">
        <f>IF(U2077=1,IF(M2077&gt;0,IF(P2077&lt;=G2077+Assumptions!$C$7,1,0),0),0)</f>
        <v/>
      </c>
      <c r="W2077">
        <f>IF(AND(U2077=1,M2077&gt;=H2077*(1-Assumptions!$C$8)),1,0)</f>
        <v/>
      </c>
      <c r="X2077">
        <f>IF(AND(U2077=1,N2077&gt;=H2077*(1-Assumptions!$C$8)),1,0)</f>
        <v/>
      </c>
      <c r="Y2077">
        <f>IF(ISNUMBER(Q2077),1,0)</f>
        <v/>
      </c>
      <c r="Z2077">
        <f>IF(AND(K2077=0,L2077=0,Y2077=0),1,0)</f>
        <v/>
      </c>
      <c r="AA2077">
        <f>IF(AND(Z2077=1,G2077&lt;Assumptions!$C$6),1,0)</f>
        <v/>
      </c>
      <c r="AB2077">
        <f>IF(U2077=0,"",IF(Y2077=1,MAX(0,Q2077-G2077),IF(L2077=1,MAX(0,R2077-G2077),MAX(0,Assumptions!$C$6-G2077))))</f>
        <v/>
      </c>
      <c r="AC2077">
        <f>IF(Y2077=1,Q2077-F2077,"")</f>
        <v/>
      </c>
      <c r="AD2077">
        <f>IF(Y2077=1,AC2077^2,"")</f>
        <v/>
      </c>
      <c r="AE2077" s="19">
        <f>IF(Z2077=1,(H2077-M2077)*I2077,0)</f>
        <v/>
      </c>
      <c r="AF2077">
        <f>IF(G2077&lt;EDATE(Assumptions!$C$6,-12)+1,"prior_12m","last_12m")</f>
        <v/>
      </c>
      <c r="AG2077" s="21">
        <f>DATE(YEAR(G2077),MONTH(G2077),1)</f>
        <v/>
      </c>
    </row>
    <row r="2078">
      <c r="A2078" t="inlineStr">
        <is>
          <t>SPO-01127-1</t>
        </is>
      </c>
      <c r="B2078" t="inlineStr">
        <is>
          <t>SPO-01127</t>
        </is>
      </c>
      <c r="C2078" t="inlineStr">
        <is>
          <t>SUP-01</t>
        </is>
      </c>
      <c r="D2078" t="inlineStr">
        <is>
          <t>ELEC</t>
        </is>
      </c>
      <c r="E2078" t="inlineStr">
        <is>
          <t>ELEC-01</t>
        </is>
      </c>
      <c r="F2078" s="17" t="n">
        <v>45883</v>
      </c>
      <c r="G2078" s="17" t="n">
        <v>45901</v>
      </c>
      <c r="H2078" s="18" t="n">
        <v>124</v>
      </c>
      <c r="I2078" s="19" t="n">
        <v>36.17</v>
      </c>
      <c r="J2078" s="19" t="n">
        <v>38</v>
      </c>
      <c r="K2078" s="20" t="n">
        <v>0</v>
      </c>
      <c r="L2078" s="20" t="n">
        <v>0</v>
      </c>
      <c r="M2078" s="18" t="n">
        <v>124</v>
      </c>
      <c r="N2078" s="18" t="n">
        <v>124</v>
      </c>
      <c r="O2078" s="18" t="n">
        <v>0</v>
      </c>
      <c r="P2078" s="17" t="n">
        <v>45897</v>
      </c>
      <c r="Q2078" s="17" t="n">
        <v>45897</v>
      </c>
      <c r="R2078" s="17" t="n">
        <v>45897</v>
      </c>
      <c r="S2078" s="19">
        <f>H2078*I2078</f>
        <v/>
      </c>
      <c r="T2078" s="19">
        <f>H2078*J2078</f>
        <v/>
      </c>
      <c r="U2078">
        <f>IF(AND(K2078=0,G2078&lt;=Assumptions!$C$6),1,0)</f>
        <v/>
      </c>
      <c r="V2078">
        <f>IF(U2078=1,IF(M2078&gt;0,IF(P2078&lt;=G2078+Assumptions!$C$7,1,0),0),0)</f>
        <v/>
      </c>
      <c r="W2078">
        <f>IF(AND(U2078=1,M2078&gt;=H2078*(1-Assumptions!$C$8)),1,0)</f>
        <v/>
      </c>
      <c r="X2078">
        <f>IF(AND(U2078=1,N2078&gt;=H2078*(1-Assumptions!$C$8)),1,0)</f>
        <v/>
      </c>
      <c r="Y2078">
        <f>IF(ISNUMBER(Q2078),1,0)</f>
        <v/>
      </c>
      <c r="Z2078">
        <f>IF(AND(K2078=0,L2078=0,Y2078=0),1,0)</f>
        <v/>
      </c>
      <c r="AA2078">
        <f>IF(AND(Z2078=1,G2078&lt;Assumptions!$C$6),1,0)</f>
        <v/>
      </c>
      <c r="AB2078">
        <f>IF(U2078=0,"",IF(Y2078=1,MAX(0,Q2078-G2078),IF(L2078=1,MAX(0,R2078-G2078),MAX(0,Assumptions!$C$6-G2078))))</f>
        <v/>
      </c>
      <c r="AC2078">
        <f>IF(Y2078=1,Q2078-F2078,"")</f>
        <v/>
      </c>
      <c r="AD2078">
        <f>IF(Y2078=1,AC2078^2,"")</f>
        <v/>
      </c>
      <c r="AE2078" s="19">
        <f>IF(Z2078=1,(H2078-M2078)*I2078,0)</f>
        <v/>
      </c>
      <c r="AF2078">
        <f>IF(G2078&lt;EDATE(Assumptions!$C$6,-12)+1,"prior_12m","last_12m")</f>
        <v/>
      </c>
      <c r="AG2078" s="21">
        <f>DATE(YEAR(G2078),MONTH(G2078),1)</f>
        <v/>
      </c>
    </row>
    <row r="2079">
      <c r="A2079" t="inlineStr">
        <is>
          <t>SPO-01127-2</t>
        </is>
      </c>
      <c r="B2079" t="inlineStr">
        <is>
          <t>SPO-01127</t>
        </is>
      </c>
      <c r="C2079" t="inlineStr">
        <is>
          <t>SUP-01</t>
        </is>
      </c>
      <c r="D2079" t="inlineStr">
        <is>
          <t>ELEC</t>
        </is>
      </c>
      <c r="E2079" t="inlineStr">
        <is>
          <t>ELEC-02</t>
        </is>
      </c>
      <c r="F2079" s="17" t="n">
        <v>45883</v>
      </c>
      <c r="G2079" s="17" t="n">
        <v>45901</v>
      </c>
      <c r="H2079" s="18" t="n">
        <v>749</v>
      </c>
      <c r="I2079" s="19" t="n">
        <v>4.35</v>
      </c>
      <c r="J2079" s="19" t="n">
        <v>4.2</v>
      </c>
      <c r="K2079" s="20" t="n">
        <v>0</v>
      </c>
      <c r="L2079" s="20" t="n">
        <v>0</v>
      </c>
      <c r="M2079" s="18" t="n">
        <v>749</v>
      </c>
      <c r="N2079" s="18" t="n">
        <v>749</v>
      </c>
      <c r="O2079" s="18" t="n">
        <v>0</v>
      </c>
      <c r="P2079" s="17" t="n">
        <v>45900</v>
      </c>
      <c r="Q2079" s="17" t="n">
        <v>45900</v>
      </c>
      <c r="R2079" s="17" t="n">
        <v>45900</v>
      </c>
      <c r="S2079" s="19">
        <f>H2079*I2079</f>
        <v/>
      </c>
      <c r="T2079" s="19">
        <f>H2079*J2079</f>
        <v/>
      </c>
      <c r="U2079">
        <f>IF(AND(K2079=0,G2079&lt;=Assumptions!$C$6),1,0)</f>
        <v/>
      </c>
      <c r="V2079">
        <f>IF(U2079=1,IF(M2079&gt;0,IF(P2079&lt;=G2079+Assumptions!$C$7,1,0),0),0)</f>
        <v/>
      </c>
      <c r="W2079">
        <f>IF(AND(U2079=1,M2079&gt;=H2079*(1-Assumptions!$C$8)),1,0)</f>
        <v/>
      </c>
      <c r="X2079">
        <f>IF(AND(U2079=1,N2079&gt;=H2079*(1-Assumptions!$C$8)),1,0)</f>
        <v/>
      </c>
      <c r="Y2079">
        <f>IF(ISNUMBER(Q2079),1,0)</f>
        <v/>
      </c>
      <c r="Z2079">
        <f>IF(AND(K2079=0,L2079=0,Y2079=0),1,0)</f>
        <v/>
      </c>
      <c r="AA2079">
        <f>IF(AND(Z2079=1,G2079&lt;Assumptions!$C$6),1,0)</f>
        <v/>
      </c>
      <c r="AB2079">
        <f>IF(U2079=0,"",IF(Y2079=1,MAX(0,Q2079-G2079),IF(L2079=1,MAX(0,R2079-G2079),MAX(0,Assumptions!$C$6-G2079))))</f>
        <v/>
      </c>
      <c r="AC2079">
        <f>IF(Y2079=1,Q2079-F2079,"")</f>
        <v/>
      </c>
      <c r="AD2079">
        <f>IF(Y2079=1,AC2079^2,"")</f>
        <v/>
      </c>
      <c r="AE2079" s="19">
        <f>IF(Z2079=1,(H2079-M2079)*I2079,0)</f>
        <v/>
      </c>
      <c r="AF2079">
        <f>IF(G2079&lt;EDATE(Assumptions!$C$6,-12)+1,"prior_12m","last_12m")</f>
        <v/>
      </c>
      <c r="AG2079" s="21">
        <f>DATE(YEAR(G2079),MONTH(G2079),1)</f>
        <v/>
      </c>
    </row>
    <row r="2080">
      <c r="A2080" t="inlineStr">
        <is>
          <t>SPO-01127-3</t>
        </is>
      </c>
      <c r="B2080" t="inlineStr">
        <is>
          <t>SPO-01127</t>
        </is>
      </c>
      <c r="C2080" t="inlineStr">
        <is>
          <t>SUP-01</t>
        </is>
      </c>
      <c r="D2080" t="inlineStr">
        <is>
          <t>ELEC</t>
        </is>
      </c>
      <c r="E2080" t="inlineStr">
        <is>
          <t>ELEC-04</t>
        </is>
      </c>
      <c r="F2080" s="17" t="n">
        <v>45883</v>
      </c>
      <c r="G2080" s="17" t="n">
        <v>45901</v>
      </c>
      <c r="H2080" s="18" t="n">
        <v>28</v>
      </c>
      <c r="I2080" s="19" t="n">
        <v>73.06</v>
      </c>
      <c r="J2080" s="19" t="n">
        <v>72</v>
      </c>
      <c r="K2080" s="20" t="n">
        <v>0</v>
      </c>
      <c r="L2080" s="20" t="n">
        <v>0</v>
      </c>
      <c r="M2080" s="18" t="n">
        <v>28</v>
      </c>
      <c r="N2080" s="18" t="n">
        <v>28</v>
      </c>
      <c r="O2080" s="18" t="n">
        <v>0</v>
      </c>
      <c r="P2080" s="17" t="n">
        <v>45899</v>
      </c>
      <c r="Q2080" s="17" t="n">
        <v>45899</v>
      </c>
      <c r="R2080" s="17" t="n">
        <v>45899</v>
      </c>
      <c r="S2080" s="19">
        <f>H2080*I2080</f>
        <v/>
      </c>
      <c r="T2080" s="19">
        <f>H2080*J2080</f>
        <v/>
      </c>
      <c r="U2080">
        <f>IF(AND(K2080=0,G2080&lt;=Assumptions!$C$6),1,0)</f>
        <v/>
      </c>
      <c r="V2080">
        <f>IF(U2080=1,IF(M2080&gt;0,IF(P2080&lt;=G2080+Assumptions!$C$7,1,0),0),0)</f>
        <v/>
      </c>
      <c r="W2080">
        <f>IF(AND(U2080=1,M2080&gt;=H2080*(1-Assumptions!$C$8)),1,0)</f>
        <v/>
      </c>
      <c r="X2080">
        <f>IF(AND(U2080=1,N2080&gt;=H2080*(1-Assumptions!$C$8)),1,0)</f>
        <v/>
      </c>
      <c r="Y2080">
        <f>IF(ISNUMBER(Q2080),1,0)</f>
        <v/>
      </c>
      <c r="Z2080">
        <f>IF(AND(K2080=0,L2080=0,Y2080=0),1,0)</f>
        <v/>
      </c>
      <c r="AA2080">
        <f>IF(AND(Z2080=1,G2080&lt;Assumptions!$C$6),1,0)</f>
        <v/>
      </c>
      <c r="AB2080">
        <f>IF(U2080=0,"",IF(Y2080=1,MAX(0,Q2080-G2080),IF(L2080=1,MAX(0,R2080-G2080),MAX(0,Assumptions!$C$6-G2080))))</f>
        <v/>
      </c>
      <c r="AC2080">
        <f>IF(Y2080=1,Q2080-F2080,"")</f>
        <v/>
      </c>
      <c r="AD2080">
        <f>IF(Y2080=1,AC2080^2,"")</f>
        <v/>
      </c>
      <c r="AE2080" s="19">
        <f>IF(Z2080=1,(H2080-M2080)*I2080,0)</f>
        <v/>
      </c>
      <c r="AF2080">
        <f>IF(G2080&lt;EDATE(Assumptions!$C$6,-12)+1,"prior_12m","last_12m")</f>
        <v/>
      </c>
      <c r="AG2080" s="21">
        <f>DATE(YEAR(G2080),MONTH(G2080),1)</f>
        <v/>
      </c>
    </row>
    <row r="2081">
      <c r="A2081" t="inlineStr">
        <is>
          <t>SPO-01128-1</t>
        </is>
      </c>
      <c r="B2081" t="inlineStr">
        <is>
          <t>SPO-01128</t>
        </is>
      </c>
      <c r="C2081" t="inlineStr">
        <is>
          <t>SUP-06</t>
        </is>
      </c>
      <c r="D2081" t="inlineStr">
        <is>
          <t>MRO</t>
        </is>
      </c>
      <c r="E2081" t="inlineStr">
        <is>
          <t>MRO-01</t>
        </is>
      </c>
      <c r="F2081" s="17" t="n">
        <v>45883</v>
      </c>
      <c r="G2081" s="17" t="n">
        <v>45891</v>
      </c>
      <c r="H2081" s="18" t="n">
        <v>19</v>
      </c>
      <c r="I2081" s="19" t="n">
        <v>50.1</v>
      </c>
      <c r="J2081" s="19" t="n">
        <v>52</v>
      </c>
      <c r="K2081" s="20" t="n">
        <v>0</v>
      </c>
      <c r="L2081" s="20" t="n">
        <v>0</v>
      </c>
      <c r="M2081" s="18" t="n">
        <v>19</v>
      </c>
      <c r="N2081" s="18" t="n">
        <v>19</v>
      </c>
      <c r="O2081" s="18" t="n">
        <v>0</v>
      </c>
      <c r="P2081" s="17" t="n">
        <v>45887</v>
      </c>
      <c r="Q2081" s="17" t="n">
        <v>45887</v>
      </c>
      <c r="R2081" s="17" t="n">
        <v>45887</v>
      </c>
      <c r="S2081" s="19">
        <f>H2081*I2081</f>
        <v/>
      </c>
      <c r="T2081" s="19">
        <f>H2081*J2081</f>
        <v/>
      </c>
      <c r="U2081">
        <f>IF(AND(K2081=0,G2081&lt;=Assumptions!$C$6),1,0)</f>
        <v/>
      </c>
      <c r="V2081">
        <f>IF(U2081=1,IF(M2081&gt;0,IF(P2081&lt;=G2081+Assumptions!$C$7,1,0),0),0)</f>
        <v/>
      </c>
      <c r="W2081">
        <f>IF(AND(U2081=1,M2081&gt;=H2081*(1-Assumptions!$C$8)),1,0)</f>
        <v/>
      </c>
      <c r="X2081">
        <f>IF(AND(U2081=1,N2081&gt;=H2081*(1-Assumptions!$C$8)),1,0)</f>
        <v/>
      </c>
      <c r="Y2081">
        <f>IF(ISNUMBER(Q2081),1,0)</f>
        <v/>
      </c>
      <c r="Z2081">
        <f>IF(AND(K2081=0,L2081=0,Y2081=0),1,0)</f>
        <v/>
      </c>
      <c r="AA2081">
        <f>IF(AND(Z2081=1,G2081&lt;Assumptions!$C$6),1,0)</f>
        <v/>
      </c>
      <c r="AB2081">
        <f>IF(U2081=0,"",IF(Y2081=1,MAX(0,Q2081-G2081),IF(L2081=1,MAX(0,R2081-G2081),MAX(0,Assumptions!$C$6-G2081))))</f>
        <v/>
      </c>
      <c r="AC2081">
        <f>IF(Y2081=1,Q2081-F2081,"")</f>
        <v/>
      </c>
      <c r="AD2081">
        <f>IF(Y2081=1,AC2081^2,"")</f>
        <v/>
      </c>
      <c r="AE2081" s="19">
        <f>IF(Z2081=1,(H2081-M2081)*I2081,0)</f>
        <v/>
      </c>
      <c r="AF2081">
        <f>IF(G2081&lt;EDATE(Assumptions!$C$6,-12)+1,"prior_12m","last_12m")</f>
        <v/>
      </c>
      <c r="AG2081" s="21">
        <f>DATE(YEAR(G2081),MONTH(G2081),1)</f>
        <v/>
      </c>
    </row>
    <row r="2082">
      <c r="A2082" t="inlineStr">
        <is>
          <t>SPO-01128-2</t>
        </is>
      </c>
      <c r="B2082" t="inlineStr">
        <is>
          <t>SPO-01128</t>
        </is>
      </c>
      <c r="C2082" t="inlineStr">
        <is>
          <t>SUP-06</t>
        </is>
      </c>
      <c r="D2082" t="inlineStr">
        <is>
          <t>MRO</t>
        </is>
      </c>
      <c r="E2082" t="inlineStr">
        <is>
          <t>MRO-02</t>
        </is>
      </c>
      <c r="F2082" s="17" t="n">
        <v>45883</v>
      </c>
      <c r="G2082" s="17" t="n">
        <v>45891</v>
      </c>
      <c r="H2082" s="18" t="n">
        <v>66</v>
      </c>
      <c r="I2082" s="19" t="n">
        <v>43.57</v>
      </c>
      <c r="J2082" s="19" t="n">
        <v>41</v>
      </c>
      <c r="K2082" s="20" t="n">
        <v>0</v>
      </c>
      <c r="L2082" s="20" t="n">
        <v>0</v>
      </c>
      <c r="M2082" s="18" t="n">
        <v>66</v>
      </c>
      <c r="N2082" s="18" t="n">
        <v>66</v>
      </c>
      <c r="O2082" s="18" t="n">
        <v>0</v>
      </c>
      <c r="P2082" s="17" t="n">
        <v>45888</v>
      </c>
      <c r="Q2082" s="17" t="n">
        <v>45888</v>
      </c>
      <c r="R2082" s="17" t="n">
        <v>45888</v>
      </c>
      <c r="S2082" s="19">
        <f>H2082*I2082</f>
        <v/>
      </c>
      <c r="T2082" s="19">
        <f>H2082*J2082</f>
        <v/>
      </c>
      <c r="U2082">
        <f>IF(AND(K2082=0,G2082&lt;=Assumptions!$C$6),1,0)</f>
        <v/>
      </c>
      <c r="V2082">
        <f>IF(U2082=1,IF(M2082&gt;0,IF(P2082&lt;=G2082+Assumptions!$C$7,1,0),0),0)</f>
        <v/>
      </c>
      <c r="W2082">
        <f>IF(AND(U2082=1,M2082&gt;=H2082*(1-Assumptions!$C$8)),1,0)</f>
        <v/>
      </c>
      <c r="X2082">
        <f>IF(AND(U2082=1,N2082&gt;=H2082*(1-Assumptions!$C$8)),1,0)</f>
        <v/>
      </c>
      <c r="Y2082">
        <f>IF(ISNUMBER(Q2082),1,0)</f>
        <v/>
      </c>
      <c r="Z2082">
        <f>IF(AND(K2082=0,L2082=0,Y2082=0),1,0)</f>
        <v/>
      </c>
      <c r="AA2082">
        <f>IF(AND(Z2082=1,G2082&lt;Assumptions!$C$6),1,0)</f>
        <v/>
      </c>
      <c r="AB2082">
        <f>IF(U2082=0,"",IF(Y2082=1,MAX(0,Q2082-G2082),IF(L2082=1,MAX(0,R2082-G2082),MAX(0,Assumptions!$C$6-G2082))))</f>
        <v/>
      </c>
      <c r="AC2082">
        <f>IF(Y2082=1,Q2082-F2082,"")</f>
        <v/>
      </c>
      <c r="AD2082">
        <f>IF(Y2082=1,AC2082^2,"")</f>
        <v/>
      </c>
      <c r="AE2082" s="19">
        <f>IF(Z2082=1,(H2082-M2082)*I2082,0)</f>
        <v/>
      </c>
      <c r="AF2082">
        <f>IF(G2082&lt;EDATE(Assumptions!$C$6,-12)+1,"prior_12m","last_12m")</f>
        <v/>
      </c>
      <c r="AG2082" s="21">
        <f>DATE(YEAR(G2082),MONTH(G2082),1)</f>
        <v/>
      </c>
    </row>
    <row r="2083">
      <c r="A2083" t="inlineStr">
        <is>
          <t>SPO-01128-3</t>
        </is>
      </c>
      <c r="B2083" t="inlineStr">
        <is>
          <t>SPO-01128</t>
        </is>
      </c>
      <c r="C2083" t="inlineStr">
        <is>
          <t>SUP-06</t>
        </is>
      </c>
      <c r="D2083" t="inlineStr">
        <is>
          <t>MRO</t>
        </is>
      </c>
      <c r="E2083" t="inlineStr">
        <is>
          <t>MRO-08</t>
        </is>
      </c>
      <c r="F2083" s="17" t="n">
        <v>45883</v>
      </c>
      <c r="G2083" s="17" t="n">
        <v>45891</v>
      </c>
      <c r="H2083" s="18" t="n">
        <v>193</v>
      </c>
      <c r="I2083" s="19" t="n">
        <v>7.08</v>
      </c>
      <c r="J2083" s="19" t="n">
        <v>7.2</v>
      </c>
      <c r="K2083" s="20" t="n">
        <v>0</v>
      </c>
      <c r="L2083" s="20" t="n">
        <v>0</v>
      </c>
      <c r="M2083" s="18" t="n">
        <v>193</v>
      </c>
      <c r="N2083" s="18" t="n">
        <v>193</v>
      </c>
      <c r="O2083" s="18" t="n">
        <v>0</v>
      </c>
      <c r="P2083" s="17" t="n">
        <v>45889</v>
      </c>
      <c r="Q2083" s="17" t="n">
        <v>45889</v>
      </c>
      <c r="R2083" s="17" t="n">
        <v>45889</v>
      </c>
      <c r="S2083" s="19">
        <f>H2083*I2083</f>
        <v/>
      </c>
      <c r="T2083" s="19">
        <f>H2083*J2083</f>
        <v/>
      </c>
      <c r="U2083">
        <f>IF(AND(K2083=0,G2083&lt;=Assumptions!$C$6),1,0)</f>
        <v/>
      </c>
      <c r="V2083">
        <f>IF(U2083=1,IF(M2083&gt;0,IF(P2083&lt;=G2083+Assumptions!$C$7,1,0),0),0)</f>
        <v/>
      </c>
      <c r="W2083">
        <f>IF(AND(U2083=1,M2083&gt;=H2083*(1-Assumptions!$C$8)),1,0)</f>
        <v/>
      </c>
      <c r="X2083">
        <f>IF(AND(U2083=1,N2083&gt;=H2083*(1-Assumptions!$C$8)),1,0)</f>
        <v/>
      </c>
      <c r="Y2083">
        <f>IF(ISNUMBER(Q2083),1,0)</f>
        <v/>
      </c>
      <c r="Z2083">
        <f>IF(AND(K2083=0,L2083=0,Y2083=0),1,0)</f>
        <v/>
      </c>
      <c r="AA2083">
        <f>IF(AND(Z2083=1,G2083&lt;Assumptions!$C$6),1,0)</f>
        <v/>
      </c>
      <c r="AB2083">
        <f>IF(U2083=0,"",IF(Y2083=1,MAX(0,Q2083-G2083),IF(L2083=1,MAX(0,R2083-G2083),MAX(0,Assumptions!$C$6-G2083))))</f>
        <v/>
      </c>
      <c r="AC2083">
        <f>IF(Y2083=1,Q2083-F2083,"")</f>
        <v/>
      </c>
      <c r="AD2083">
        <f>IF(Y2083=1,AC2083^2,"")</f>
        <v/>
      </c>
      <c r="AE2083" s="19">
        <f>IF(Z2083=1,(H2083-M2083)*I2083,0)</f>
        <v/>
      </c>
      <c r="AF2083">
        <f>IF(G2083&lt;EDATE(Assumptions!$C$6,-12)+1,"prior_12m","last_12m")</f>
        <v/>
      </c>
      <c r="AG2083" s="21">
        <f>DATE(YEAR(G2083),MONTH(G2083),1)</f>
        <v/>
      </c>
    </row>
    <row r="2084">
      <c r="A2084" t="inlineStr">
        <is>
          <t>SPO-01129-1</t>
        </is>
      </c>
      <c r="B2084" t="inlineStr">
        <is>
          <t>SPO-01129</t>
        </is>
      </c>
      <c r="C2084" t="inlineStr">
        <is>
          <t>SUP-12</t>
        </is>
      </c>
      <c r="D2084" t="inlineStr">
        <is>
          <t>IT</t>
        </is>
      </c>
      <c r="E2084" t="inlineStr">
        <is>
          <t>IT-07</t>
        </is>
      </c>
      <c r="F2084" s="17" t="n">
        <v>45883</v>
      </c>
      <c r="G2084" s="17" t="n">
        <v>45893</v>
      </c>
      <c r="H2084" s="18" t="n">
        <v>16</v>
      </c>
      <c r="I2084" s="19" t="n">
        <v>84.90000000000001</v>
      </c>
      <c r="J2084" s="19" t="n">
        <v>74</v>
      </c>
      <c r="K2084" s="20" t="n">
        <v>0</v>
      </c>
      <c r="L2084" s="20" t="n">
        <v>0</v>
      </c>
      <c r="M2084" s="18" t="n">
        <v>16</v>
      </c>
      <c r="N2084" s="18" t="n">
        <v>16</v>
      </c>
      <c r="O2084" s="18" t="n">
        <v>0</v>
      </c>
      <c r="P2084" s="17" t="n">
        <v>45891</v>
      </c>
      <c r="Q2084" s="17" t="n">
        <v>45891</v>
      </c>
      <c r="R2084" s="17" t="n">
        <v>45891</v>
      </c>
      <c r="S2084" s="19">
        <f>H2084*I2084</f>
        <v/>
      </c>
      <c r="T2084" s="19">
        <f>H2084*J2084</f>
        <v/>
      </c>
      <c r="U2084">
        <f>IF(AND(K2084=0,G2084&lt;=Assumptions!$C$6),1,0)</f>
        <v/>
      </c>
      <c r="V2084">
        <f>IF(U2084=1,IF(M2084&gt;0,IF(P2084&lt;=G2084+Assumptions!$C$7,1,0),0),0)</f>
        <v/>
      </c>
      <c r="W2084">
        <f>IF(AND(U2084=1,M2084&gt;=H2084*(1-Assumptions!$C$8)),1,0)</f>
        <v/>
      </c>
      <c r="X2084">
        <f>IF(AND(U2084=1,N2084&gt;=H2084*(1-Assumptions!$C$8)),1,0)</f>
        <v/>
      </c>
      <c r="Y2084">
        <f>IF(ISNUMBER(Q2084),1,0)</f>
        <v/>
      </c>
      <c r="Z2084">
        <f>IF(AND(K2084=0,L2084=0,Y2084=0),1,0)</f>
        <v/>
      </c>
      <c r="AA2084">
        <f>IF(AND(Z2084=1,G2084&lt;Assumptions!$C$6),1,0)</f>
        <v/>
      </c>
      <c r="AB2084">
        <f>IF(U2084=0,"",IF(Y2084=1,MAX(0,Q2084-G2084),IF(L2084=1,MAX(0,R2084-G2084),MAX(0,Assumptions!$C$6-G2084))))</f>
        <v/>
      </c>
      <c r="AC2084">
        <f>IF(Y2084=1,Q2084-F2084,"")</f>
        <v/>
      </c>
      <c r="AD2084">
        <f>IF(Y2084=1,AC2084^2,"")</f>
        <v/>
      </c>
      <c r="AE2084" s="19">
        <f>IF(Z2084=1,(H2084-M2084)*I2084,0)</f>
        <v/>
      </c>
      <c r="AF2084">
        <f>IF(G2084&lt;EDATE(Assumptions!$C$6,-12)+1,"prior_12m","last_12m")</f>
        <v/>
      </c>
      <c r="AG2084" s="21">
        <f>DATE(YEAR(G2084),MONTH(G2084),1)</f>
        <v/>
      </c>
    </row>
    <row r="2085">
      <c r="A2085" t="inlineStr">
        <is>
          <t>SPO-01129-2</t>
        </is>
      </c>
      <c r="B2085" t="inlineStr">
        <is>
          <t>SPO-01129</t>
        </is>
      </c>
      <c r="C2085" t="inlineStr">
        <is>
          <t>SUP-12</t>
        </is>
      </c>
      <c r="D2085" t="inlineStr">
        <is>
          <t>IT</t>
        </is>
      </c>
      <c r="E2085" t="inlineStr">
        <is>
          <t>IT-04</t>
        </is>
      </c>
      <c r="F2085" s="17" t="n">
        <v>45883</v>
      </c>
      <c r="G2085" s="17" t="n">
        <v>45893</v>
      </c>
      <c r="H2085" s="18" t="n">
        <v>76</v>
      </c>
      <c r="I2085" s="19" t="n">
        <v>13.7</v>
      </c>
      <c r="J2085" s="19" t="n">
        <v>12</v>
      </c>
      <c r="K2085" s="20" t="n">
        <v>0</v>
      </c>
      <c r="L2085" s="20" t="n">
        <v>0</v>
      </c>
      <c r="M2085" s="18" t="n">
        <v>76</v>
      </c>
      <c r="N2085" s="18" t="n">
        <v>76</v>
      </c>
      <c r="O2085" s="18" t="n">
        <v>0</v>
      </c>
      <c r="P2085" s="17" t="n">
        <v>45890</v>
      </c>
      <c r="Q2085" s="17" t="n">
        <v>45890</v>
      </c>
      <c r="R2085" s="17" t="n">
        <v>45890</v>
      </c>
      <c r="S2085" s="19">
        <f>H2085*I2085</f>
        <v/>
      </c>
      <c r="T2085" s="19">
        <f>H2085*J2085</f>
        <v/>
      </c>
      <c r="U2085">
        <f>IF(AND(K2085=0,G2085&lt;=Assumptions!$C$6),1,0)</f>
        <v/>
      </c>
      <c r="V2085">
        <f>IF(U2085=1,IF(M2085&gt;0,IF(P2085&lt;=G2085+Assumptions!$C$7,1,0),0),0)</f>
        <v/>
      </c>
      <c r="W2085">
        <f>IF(AND(U2085=1,M2085&gt;=H2085*(1-Assumptions!$C$8)),1,0)</f>
        <v/>
      </c>
      <c r="X2085">
        <f>IF(AND(U2085=1,N2085&gt;=H2085*(1-Assumptions!$C$8)),1,0)</f>
        <v/>
      </c>
      <c r="Y2085">
        <f>IF(ISNUMBER(Q2085),1,0)</f>
        <v/>
      </c>
      <c r="Z2085">
        <f>IF(AND(K2085=0,L2085=0,Y2085=0),1,0)</f>
        <v/>
      </c>
      <c r="AA2085">
        <f>IF(AND(Z2085=1,G2085&lt;Assumptions!$C$6),1,0)</f>
        <v/>
      </c>
      <c r="AB2085">
        <f>IF(U2085=0,"",IF(Y2085=1,MAX(0,Q2085-G2085),IF(L2085=1,MAX(0,R2085-G2085),MAX(0,Assumptions!$C$6-G2085))))</f>
        <v/>
      </c>
      <c r="AC2085">
        <f>IF(Y2085=1,Q2085-F2085,"")</f>
        <v/>
      </c>
      <c r="AD2085">
        <f>IF(Y2085=1,AC2085^2,"")</f>
        <v/>
      </c>
      <c r="AE2085" s="19">
        <f>IF(Z2085=1,(H2085-M2085)*I2085,0)</f>
        <v/>
      </c>
      <c r="AF2085">
        <f>IF(G2085&lt;EDATE(Assumptions!$C$6,-12)+1,"prior_12m","last_12m")</f>
        <v/>
      </c>
      <c r="AG2085" s="21">
        <f>DATE(YEAR(G2085),MONTH(G2085),1)</f>
        <v/>
      </c>
    </row>
    <row r="2086">
      <c r="A2086" t="inlineStr">
        <is>
          <t>SPO-01130-1</t>
        </is>
      </c>
      <c r="B2086" t="inlineStr">
        <is>
          <t>SPO-01130</t>
        </is>
      </c>
      <c r="C2086" t="inlineStr">
        <is>
          <t>SUP-01</t>
        </is>
      </c>
      <c r="D2086" t="inlineStr">
        <is>
          <t>ELEC</t>
        </is>
      </c>
      <c r="E2086" t="inlineStr">
        <is>
          <t>ELEC-07</t>
        </is>
      </c>
      <c r="F2086" s="17" t="n">
        <v>45883</v>
      </c>
      <c r="G2086" s="17" t="n">
        <v>45901</v>
      </c>
      <c r="H2086" s="18" t="n">
        <v>442</v>
      </c>
      <c r="I2086" s="19" t="n">
        <v>9.859999999999999</v>
      </c>
      <c r="J2086" s="19" t="n">
        <v>9.800000000000001</v>
      </c>
      <c r="K2086" s="20" t="n">
        <v>0</v>
      </c>
      <c r="L2086" s="20" t="n">
        <v>0</v>
      </c>
      <c r="M2086" s="18" t="n">
        <v>442</v>
      </c>
      <c r="N2086" s="18" t="n">
        <v>442</v>
      </c>
      <c r="O2086" s="18" t="n">
        <v>0</v>
      </c>
      <c r="P2086" s="17" t="n">
        <v>45897</v>
      </c>
      <c r="Q2086" s="17" t="n">
        <v>45897</v>
      </c>
      <c r="R2086" s="17" t="n">
        <v>45897</v>
      </c>
      <c r="S2086" s="19">
        <f>H2086*I2086</f>
        <v/>
      </c>
      <c r="T2086" s="19">
        <f>H2086*J2086</f>
        <v/>
      </c>
      <c r="U2086">
        <f>IF(AND(K2086=0,G2086&lt;=Assumptions!$C$6),1,0)</f>
        <v/>
      </c>
      <c r="V2086">
        <f>IF(U2086=1,IF(M2086&gt;0,IF(P2086&lt;=G2086+Assumptions!$C$7,1,0),0),0)</f>
        <v/>
      </c>
      <c r="W2086">
        <f>IF(AND(U2086=1,M2086&gt;=H2086*(1-Assumptions!$C$8)),1,0)</f>
        <v/>
      </c>
      <c r="X2086">
        <f>IF(AND(U2086=1,N2086&gt;=H2086*(1-Assumptions!$C$8)),1,0)</f>
        <v/>
      </c>
      <c r="Y2086">
        <f>IF(ISNUMBER(Q2086),1,0)</f>
        <v/>
      </c>
      <c r="Z2086">
        <f>IF(AND(K2086=0,L2086=0,Y2086=0),1,0)</f>
        <v/>
      </c>
      <c r="AA2086">
        <f>IF(AND(Z2086=1,G2086&lt;Assumptions!$C$6),1,0)</f>
        <v/>
      </c>
      <c r="AB2086">
        <f>IF(U2086=0,"",IF(Y2086=1,MAX(0,Q2086-G2086),IF(L2086=1,MAX(0,R2086-G2086),MAX(0,Assumptions!$C$6-G2086))))</f>
        <v/>
      </c>
      <c r="AC2086">
        <f>IF(Y2086=1,Q2086-F2086,"")</f>
        <v/>
      </c>
      <c r="AD2086">
        <f>IF(Y2086=1,AC2086^2,"")</f>
        <v/>
      </c>
      <c r="AE2086" s="19">
        <f>IF(Z2086=1,(H2086-M2086)*I2086,0)</f>
        <v/>
      </c>
      <c r="AF2086">
        <f>IF(G2086&lt;EDATE(Assumptions!$C$6,-12)+1,"prior_12m","last_12m")</f>
        <v/>
      </c>
      <c r="AG2086" s="21">
        <f>DATE(YEAR(G2086),MONTH(G2086),1)</f>
        <v/>
      </c>
    </row>
    <row r="2087">
      <c r="A2087" t="inlineStr">
        <is>
          <t>SPO-01130-2</t>
        </is>
      </c>
      <c r="B2087" t="inlineStr">
        <is>
          <t>SPO-01130</t>
        </is>
      </c>
      <c r="C2087" t="inlineStr">
        <is>
          <t>SUP-01</t>
        </is>
      </c>
      <c r="D2087" t="inlineStr">
        <is>
          <t>ELEC</t>
        </is>
      </c>
      <c r="E2087" t="inlineStr">
        <is>
          <t>ELEC-01</t>
        </is>
      </c>
      <c r="F2087" s="17" t="n">
        <v>45883</v>
      </c>
      <c r="G2087" s="17" t="n">
        <v>45901</v>
      </c>
      <c r="H2087" s="18" t="n">
        <v>54</v>
      </c>
      <c r="I2087" s="19" t="n">
        <v>40.81</v>
      </c>
      <c r="J2087" s="19" t="n">
        <v>38</v>
      </c>
      <c r="K2087" s="20" t="n">
        <v>0</v>
      </c>
      <c r="L2087" s="20" t="n">
        <v>0</v>
      </c>
      <c r="M2087" s="18" t="n">
        <v>54</v>
      </c>
      <c r="N2087" s="18" t="n">
        <v>54</v>
      </c>
      <c r="O2087" s="18" t="n">
        <v>0</v>
      </c>
      <c r="P2087" s="17" t="n">
        <v>45897</v>
      </c>
      <c r="Q2087" s="17" t="n">
        <v>45897</v>
      </c>
      <c r="R2087" s="17" t="n">
        <v>45897</v>
      </c>
      <c r="S2087" s="19">
        <f>H2087*I2087</f>
        <v/>
      </c>
      <c r="T2087" s="19">
        <f>H2087*J2087</f>
        <v/>
      </c>
      <c r="U2087">
        <f>IF(AND(K2087=0,G2087&lt;=Assumptions!$C$6),1,0)</f>
        <v/>
      </c>
      <c r="V2087">
        <f>IF(U2087=1,IF(M2087&gt;0,IF(P2087&lt;=G2087+Assumptions!$C$7,1,0),0),0)</f>
        <v/>
      </c>
      <c r="W2087">
        <f>IF(AND(U2087=1,M2087&gt;=H2087*(1-Assumptions!$C$8)),1,0)</f>
        <v/>
      </c>
      <c r="X2087">
        <f>IF(AND(U2087=1,N2087&gt;=H2087*(1-Assumptions!$C$8)),1,0)</f>
        <v/>
      </c>
      <c r="Y2087">
        <f>IF(ISNUMBER(Q2087),1,0)</f>
        <v/>
      </c>
      <c r="Z2087">
        <f>IF(AND(K2087=0,L2087=0,Y2087=0),1,0)</f>
        <v/>
      </c>
      <c r="AA2087">
        <f>IF(AND(Z2087=1,G2087&lt;Assumptions!$C$6),1,0)</f>
        <v/>
      </c>
      <c r="AB2087">
        <f>IF(U2087=0,"",IF(Y2087=1,MAX(0,Q2087-G2087),IF(L2087=1,MAX(0,R2087-G2087),MAX(0,Assumptions!$C$6-G2087))))</f>
        <v/>
      </c>
      <c r="AC2087">
        <f>IF(Y2087=1,Q2087-F2087,"")</f>
        <v/>
      </c>
      <c r="AD2087">
        <f>IF(Y2087=1,AC2087^2,"")</f>
        <v/>
      </c>
      <c r="AE2087" s="19">
        <f>IF(Z2087=1,(H2087-M2087)*I2087,0)</f>
        <v/>
      </c>
      <c r="AF2087">
        <f>IF(G2087&lt;EDATE(Assumptions!$C$6,-12)+1,"prior_12m","last_12m")</f>
        <v/>
      </c>
      <c r="AG2087" s="21">
        <f>DATE(YEAR(G2087),MONTH(G2087),1)</f>
        <v/>
      </c>
    </row>
    <row r="2088">
      <c r="A2088" t="inlineStr">
        <is>
          <t>SPO-01131-1</t>
        </is>
      </c>
      <c r="B2088" t="inlineStr">
        <is>
          <t>SPO-01131</t>
        </is>
      </c>
      <c r="C2088" t="inlineStr">
        <is>
          <t>SUP-01</t>
        </is>
      </c>
      <c r="D2088" t="inlineStr">
        <is>
          <t>ELEC</t>
        </is>
      </c>
      <c r="E2088" t="inlineStr">
        <is>
          <t>ELEC-05</t>
        </is>
      </c>
      <c r="F2088" s="17" t="n">
        <v>45884</v>
      </c>
      <c r="G2088" s="17" t="n">
        <v>45902</v>
      </c>
      <c r="H2088" s="18" t="n">
        <v>200</v>
      </c>
      <c r="I2088" s="19" t="n">
        <v>11.38</v>
      </c>
      <c r="J2088" s="19" t="n">
        <v>11.5</v>
      </c>
      <c r="K2088" s="20" t="n">
        <v>0</v>
      </c>
      <c r="L2088" s="20" t="n">
        <v>0</v>
      </c>
      <c r="M2088" s="18" t="n">
        <v>200</v>
      </c>
      <c r="N2088" s="18" t="n">
        <v>200</v>
      </c>
      <c r="O2088" s="18" t="n">
        <v>0</v>
      </c>
      <c r="P2088" s="17" t="n">
        <v>45898</v>
      </c>
      <c r="Q2088" s="17" t="n">
        <v>45898</v>
      </c>
      <c r="R2088" s="17" t="n">
        <v>45898</v>
      </c>
      <c r="S2088" s="19">
        <f>H2088*I2088</f>
        <v/>
      </c>
      <c r="T2088" s="19">
        <f>H2088*J2088</f>
        <v/>
      </c>
      <c r="U2088">
        <f>IF(AND(K2088=0,G2088&lt;=Assumptions!$C$6),1,0)</f>
        <v/>
      </c>
      <c r="V2088">
        <f>IF(U2088=1,IF(M2088&gt;0,IF(P2088&lt;=G2088+Assumptions!$C$7,1,0),0),0)</f>
        <v/>
      </c>
      <c r="W2088">
        <f>IF(AND(U2088=1,M2088&gt;=H2088*(1-Assumptions!$C$8)),1,0)</f>
        <v/>
      </c>
      <c r="X2088">
        <f>IF(AND(U2088=1,N2088&gt;=H2088*(1-Assumptions!$C$8)),1,0)</f>
        <v/>
      </c>
      <c r="Y2088">
        <f>IF(ISNUMBER(Q2088),1,0)</f>
        <v/>
      </c>
      <c r="Z2088">
        <f>IF(AND(K2088=0,L2088=0,Y2088=0),1,0)</f>
        <v/>
      </c>
      <c r="AA2088">
        <f>IF(AND(Z2088=1,G2088&lt;Assumptions!$C$6),1,0)</f>
        <v/>
      </c>
      <c r="AB2088">
        <f>IF(U2088=0,"",IF(Y2088=1,MAX(0,Q2088-G2088),IF(L2088=1,MAX(0,R2088-G2088),MAX(0,Assumptions!$C$6-G2088))))</f>
        <v/>
      </c>
      <c r="AC2088">
        <f>IF(Y2088=1,Q2088-F2088,"")</f>
        <v/>
      </c>
      <c r="AD2088">
        <f>IF(Y2088=1,AC2088^2,"")</f>
        <v/>
      </c>
      <c r="AE2088" s="19">
        <f>IF(Z2088=1,(H2088-M2088)*I2088,0)</f>
        <v/>
      </c>
      <c r="AF2088">
        <f>IF(G2088&lt;EDATE(Assumptions!$C$6,-12)+1,"prior_12m","last_12m")</f>
        <v/>
      </c>
      <c r="AG2088" s="21">
        <f>DATE(YEAR(G2088),MONTH(G2088),1)</f>
        <v/>
      </c>
    </row>
    <row r="2089">
      <c r="A2089" t="inlineStr">
        <is>
          <t>SPO-01132-1</t>
        </is>
      </c>
      <c r="B2089" t="inlineStr">
        <is>
          <t>SPO-01132</t>
        </is>
      </c>
      <c r="C2089" t="inlineStr">
        <is>
          <t>SUP-12</t>
        </is>
      </c>
      <c r="D2089" t="inlineStr">
        <is>
          <t>IT</t>
        </is>
      </c>
      <c r="E2089" t="inlineStr">
        <is>
          <t>IT-02</t>
        </is>
      </c>
      <c r="F2089" s="17" t="n">
        <v>45884</v>
      </c>
      <c r="G2089" s="17" t="n">
        <v>45894</v>
      </c>
      <c r="H2089" s="18" t="n">
        <v>7</v>
      </c>
      <c r="I2089" s="19" t="n">
        <v>180.18</v>
      </c>
      <c r="J2089" s="19" t="n">
        <v>162</v>
      </c>
      <c r="K2089" s="20" t="n">
        <v>0</v>
      </c>
      <c r="L2089" s="20" t="n">
        <v>0</v>
      </c>
      <c r="M2089" s="18" t="n">
        <v>7</v>
      </c>
      <c r="N2089" s="18" t="n">
        <v>7</v>
      </c>
      <c r="O2089" s="18" t="n">
        <v>0</v>
      </c>
      <c r="P2089" s="17" t="n">
        <v>45890</v>
      </c>
      <c r="Q2089" s="17" t="n">
        <v>45890</v>
      </c>
      <c r="R2089" s="17" t="n">
        <v>45890</v>
      </c>
      <c r="S2089" s="19">
        <f>H2089*I2089</f>
        <v/>
      </c>
      <c r="T2089" s="19">
        <f>H2089*J2089</f>
        <v/>
      </c>
      <c r="U2089">
        <f>IF(AND(K2089=0,G2089&lt;=Assumptions!$C$6),1,0)</f>
        <v/>
      </c>
      <c r="V2089">
        <f>IF(U2089=1,IF(M2089&gt;0,IF(P2089&lt;=G2089+Assumptions!$C$7,1,0),0),0)</f>
        <v/>
      </c>
      <c r="W2089">
        <f>IF(AND(U2089=1,M2089&gt;=H2089*(1-Assumptions!$C$8)),1,0)</f>
        <v/>
      </c>
      <c r="X2089">
        <f>IF(AND(U2089=1,N2089&gt;=H2089*(1-Assumptions!$C$8)),1,0)</f>
        <v/>
      </c>
      <c r="Y2089">
        <f>IF(ISNUMBER(Q2089),1,0)</f>
        <v/>
      </c>
      <c r="Z2089">
        <f>IF(AND(K2089=0,L2089=0,Y2089=0),1,0)</f>
        <v/>
      </c>
      <c r="AA2089">
        <f>IF(AND(Z2089=1,G2089&lt;Assumptions!$C$6),1,0)</f>
        <v/>
      </c>
      <c r="AB2089">
        <f>IF(U2089=0,"",IF(Y2089=1,MAX(0,Q2089-G2089),IF(L2089=1,MAX(0,R2089-G2089),MAX(0,Assumptions!$C$6-G2089))))</f>
        <v/>
      </c>
      <c r="AC2089">
        <f>IF(Y2089=1,Q2089-F2089,"")</f>
        <v/>
      </c>
      <c r="AD2089">
        <f>IF(Y2089=1,AC2089^2,"")</f>
        <v/>
      </c>
      <c r="AE2089" s="19">
        <f>IF(Z2089=1,(H2089-M2089)*I2089,0)</f>
        <v/>
      </c>
      <c r="AF2089">
        <f>IF(G2089&lt;EDATE(Assumptions!$C$6,-12)+1,"prior_12m","last_12m")</f>
        <v/>
      </c>
      <c r="AG2089" s="21">
        <f>DATE(YEAR(G2089),MONTH(G2089),1)</f>
        <v/>
      </c>
    </row>
    <row r="2090">
      <c r="A2090" t="inlineStr">
        <is>
          <t>SPO-01133-1</t>
        </is>
      </c>
      <c r="B2090" t="inlineStr">
        <is>
          <t>SPO-01133</t>
        </is>
      </c>
      <c r="C2090" t="inlineStr">
        <is>
          <t>SUP-01</t>
        </is>
      </c>
      <c r="D2090" t="inlineStr">
        <is>
          <t>ELEC</t>
        </is>
      </c>
      <c r="E2090" t="inlineStr">
        <is>
          <t>ELEC-08</t>
        </is>
      </c>
      <c r="F2090" s="17" t="n">
        <v>45884</v>
      </c>
      <c r="G2090" s="17" t="n">
        <v>45902</v>
      </c>
      <c r="H2090" s="18" t="n">
        <v>155</v>
      </c>
      <c r="I2090" s="19" t="n">
        <v>18.06</v>
      </c>
      <c r="J2090" s="19" t="n">
        <v>18</v>
      </c>
      <c r="K2090" s="20" t="n">
        <v>0</v>
      </c>
      <c r="L2090" s="20" t="n">
        <v>0</v>
      </c>
      <c r="M2090" s="18" t="n">
        <v>155</v>
      </c>
      <c r="N2090" s="18" t="n">
        <v>155</v>
      </c>
      <c r="O2090" s="18" t="n">
        <v>0</v>
      </c>
      <c r="P2090" s="17" t="n">
        <v>45898</v>
      </c>
      <c r="Q2090" s="17" t="n">
        <v>45898</v>
      </c>
      <c r="R2090" s="17" t="n">
        <v>45898</v>
      </c>
      <c r="S2090" s="19">
        <f>H2090*I2090</f>
        <v/>
      </c>
      <c r="T2090" s="19">
        <f>H2090*J2090</f>
        <v/>
      </c>
      <c r="U2090">
        <f>IF(AND(K2090=0,G2090&lt;=Assumptions!$C$6),1,0)</f>
        <v/>
      </c>
      <c r="V2090">
        <f>IF(U2090=1,IF(M2090&gt;0,IF(P2090&lt;=G2090+Assumptions!$C$7,1,0),0),0)</f>
        <v/>
      </c>
      <c r="W2090">
        <f>IF(AND(U2090=1,M2090&gt;=H2090*(1-Assumptions!$C$8)),1,0)</f>
        <v/>
      </c>
      <c r="X2090">
        <f>IF(AND(U2090=1,N2090&gt;=H2090*(1-Assumptions!$C$8)),1,0)</f>
        <v/>
      </c>
      <c r="Y2090">
        <f>IF(ISNUMBER(Q2090),1,0)</f>
        <v/>
      </c>
      <c r="Z2090">
        <f>IF(AND(K2090=0,L2090=0,Y2090=0),1,0)</f>
        <v/>
      </c>
      <c r="AA2090">
        <f>IF(AND(Z2090=1,G2090&lt;Assumptions!$C$6),1,0)</f>
        <v/>
      </c>
      <c r="AB2090">
        <f>IF(U2090=0,"",IF(Y2090=1,MAX(0,Q2090-G2090),IF(L2090=1,MAX(0,R2090-G2090),MAX(0,Assumptions!$C$6-G2090))))</f>
        <v/>
      </c>
      <c r="AC2090">
        <f>IF(Y2090=1,Q2090-F2090,"")</f>
        <v/>
      </c>
      <c r="AD2090">
        <f>IF(Y2090=1,AC2090^2,"")</f>
        <v/>
      </c>
      <c r="AE2090" s="19">
        <f>IF(Z2090=1,(H2090-M2090)*I2090,0)</f>
        <v/>
      </c>
      <c r="AF2090">
        <f>IF(G2090&lt;EDATE(Assumptions!$C$6,-12)+1,"prior_12m","last_12m")</f>
        <v/>
      </c>
      <c r="AG2090" s="21">
        <f>DATE(YEAR(G2090),MONTH(G2090),1)</f>
        <v/>
      </c>
    </row>
    <row r="2091">
      <c r="A2091" t="inlineStr">
        <is>
          <t>SPO-01134-1</t>
        </is>
      </c>
      <c r="B2091" t="inlineStr">
        <is>
          <t>SPO-01134</t>
        </is>
      </c>
      <c r="C2091" t="inlineStr">
        <is>
          <t>SUP-01</t>
        </is>
      </c>
      <c r="D2091" t="inlineStr">
        <is>
          <t>ELEC</t>
        </is>
      </c>
      <c r="E2091" t="inlineStr">
        <is>
          <t>ELEC-08</t>
        </is>
      </c>
      <c r="F2091" s="17" t="n">
        <v>45884</v>
      </c>
      <c r="G2091" s="17" t="n">
        <v>45902</v>
      </c>
      <c r="H2091" s="18" t="n">
        <v>144</v>
      </c>
      <c r="I2091" s="19" t="n">
        <v>18.46</v>
      </c>
      <c r="J2091" s="19" t="n">
        <v>18</v>
      </c>
      <c r="K2091" s="20" t="n">
        <v>0</v>
      </c>
      <c r="L2091" s="20" t="n">
        <v>0</v>
      </c>
      <c r="M2091" s="18" t="n">
        <v>144</v>
      </c>
      <c r="N2091" s="18" t="n">
        <v>144</v>
      </c>
      <c r="O2091" s="18" t="n">
        <v>0</v>
      </c>
      <c r="P2091" s="17" t="n">
        <v>45898</v>
      </c>
      <c r="Q2091" s="17" t="n">
        <v>45898</v>
      </c>
      <c r="R2091" s="17" t="n">
        <v>45898</v>
      </c>
      <c r="S2091" s="19">
        <f>H2091*I2091</f>
        <v/>
      </c>
      <c r="T2091" s="19">
        <f>H2091*J2091</f>
        <v/>
      </c>
      <c r="U2091">
        <f>IF(AND(K2091=0,G2091&lt;=Assumptions!$C$6),1,0)</f>
        <v/>
      </c>
      <c r="V2091">
        <f>IF(U2091=1,IF(M2091&gt;0,IF(P2091&lt;=G2091+Assumptions!$C$7,1,0),0),0)</f>
        <v/>
      </c>
      <c r="W2091">
        <f>IF(AND(U2091=1,M2091&gt;=H2091*(1-Assumptions!$C$8)),1,0)</f>
        <v/>
      </c>
      <c r="X2091">
        <f>IF(AND(U2091=1,N2091&gt;=H2091*(1-Assumptions!$C$8)),1,0)</f>
        <v/>
      </c>
      <c r="Y2091">
        <f>IF(ISNUMBER(Q2091),1,0)</f>
        <v/>
      </c>
      <c r="Z2091">
        <f>IF(AND(K2091=0,L2091=0,Y2091=0),1,0)</f>
        <v/>
      </c>
      <c r="AA2091">
        <f>IF(AND(Z2091=1,G2091&lt;Assumptions!$C$6),1,0)</f>
        <v/>
      </c>
      <c r="AB2091">
        <f>IF(U2091=0,"",IF(Y2091=1,MAX(0,Q2091-G2091),IF(L2091=1,MAX(0,R2091-G2091),MAX(0,Assumptions!$C$6-G2091))))</f>
        <v/>
      </c>
      <c r="AC2091">
        <f>IF(Y2091=1,Q2091-F2091,"")</f>
        <v/>
      </c>
      <c r="AD2091">
        <f>IF(Y2091=1,AC2091^2,"")</f>
        <v/>
      </c>
      <c r="AE2091" s="19">
        <f>IF(Z2091=1,(H2091-M2091)*I2091,0)</f>
        <v/>
      </c>
      <c r="AF2091">
        <f>IF(G2091&lt;EDATE(Assumptions!$C$6,-12)+1,"prior_12m","last_12m")</f>
        <v/>
      </c>
      <c r="AG2091" s="21">
        <f>DATE(YEAR(G2091),MONTH(G2091),1)</f>
        <v/>
      </c>
    </row>
    <row r="2092">
      <c r="A2092" t="inlineStr">
        <is>
          <t>SPO-01134-2</t>
        </is>
      </c>
      <c r="B2092" t="inlineStr">
        <is>
          <t>SPO-01134</t>
        </is>
      </c>
      <c r="C2092" t="inlineStr">
        <is>
          <t>SUP-01</t>
        </is>
      </c>
      <c r="D2092" t="inlineStr">
        <is>
          <t>ELEC</t>
        </is>
      </c>
      <c r="E2092" t="inlineStr">
        <is>
          <t>ELEC-01</t>
        </is>
      </c>
      <c r="F2092" s="17" t="n">
        <v>45884</v>
      </c>
      <c r="G2092" s="17" t="n">
        <v>45902</v>
      </c>
      <c r="H2092" s="18" t="n">
        <v>76</v>
      </c>
      <c r="I2092" s="19" t="n">
        <v>36.15</v>
      </c>
      <c r="J2092" s="19" t="n">
        <v>38</v>
      </c>
      <c r="K2092" s="20" t="n">
        <v>0</v>
      </c>
      <c r="L2092" s="20" t="n">
        <v>0</v>
      </c>
      <c r="M2092" s="18" t="n">
        <v>76</v>
      </c>
      <c r="N2092" s="18" t="n">
        <v>76</v>
      </c>
      <c r="O2092" s="18" t="n">
        <v>0</v>
      </c>
      <c r="P2092" s="17" t="n">
        <v>45898</v>
      </c>
      <c r="Q2092" s="17" t="n">
        <v>45898</v>
      </c>
      <c r="R2092" s="17" t="n">
        <v>45898</v>
      </c>
      <c r="S2092" s="19">
        <f>H2092*I2092</f>
        <v/>
      </c>
      <c r="T2092" s="19">
        <f>H2092*J2092</f>
        <v/>
      </c>
      <c r="U2092">
        <f>IF(AND(K2092=0,G2092&lt;=Assumptions!$C$6),1,0)</f>
        <v/>
      </c>
      <c r="V2092">
        <f>IF(U2092=1,IF(M2092&gt;0,IF(P2092&lt;=G2092+Assumptions!$C$7,1,0),0),0)</f>
        <v/>
      </c>
      <c r="W2092">
        <f>IF(AND(U2092=1,M2092&gt;=H2092*(1-Assumptions!$C$8)),1,0)</f>
        <v/>
      </c>
      <c r="X2092">
        <f>IF(AND(U2092=1,N2092&gt;=H2092*(1-Assumptions!$C$8)),1,0)</f>
        <v/>
      </c>
      <c r="Y2092">
        <f>IF(ISNUMBER(Q2092),1,0)</f>
        <v/>
      </c>
      <c r="Z2092">
        <f>IF(AND(K2092=0,L2092=0,Y2092=0),1,0)</f>
        <v/>
      </c>
      <c r="AA2092">
        <f>IF(AND(Z2092=1,G2092&lt;Assumptions!$C$6),1,0)</f>
        <v/>
      </c>
      <c r="AB2092">
        <f>IF(U2092=0,"",IF(Y2092=1,MAX(0,Q2092-G2092),IF(L2092=1,MAX(0,R2092-G2092),MAX(0,Assumptions!$C$6-G2092))))</f>
        <v/>
      </c>
      <c r="AC2092">
        <f>IF(Y2092=1,Q2092-F2092,"")</f>
        <v/>
      </c>
      <c r="AD2092">
        <f>IF(Y2092=1,AC2092^2,"")</f>
        <v/>
      </c>
      <c r="AE2092" s="19">
        <f>IF(Z2092=1,(H2092-M2092)*I2092,0)</f>
        <v/>
      </c>
      <c r="AF2092">
        <f>IF(G2092&lt;EDATE(Assumptions!$C$6,-12)+1,"prior_12m","last_12m")</f>
        <v/>
      </c>
      <c r="AG2092" s="21">
        <f>DATE(YEAR(G2092),MONTH(G2092),1)</f>
        <v/>
      </c>
    </row>
    <row r="2093">
      <c r="A2093" t="inlineStr">
        <is>
          <t>SPO-01135-1</t>
        </is>
      </c>
      <c r="B2093" t="inlineStr">
        <is>
          <t>SPO-01135</t>
        </is>
      </c>
      <c r="C2093" t="inlineStr">
        <is>
          <t>SUP-10</t>
        </is>
      </c>
      <c r="D2093" t="inlineStr">
        <is>
          <t>PPE</t>
        </is>
      </c>
      <c r="E2093" t="inlineStr">
        <is>
          <t>PPE-01</t>
        </is>
      </c>
      <c r="F2093" s="17" t="n">
        <v>45884</v>
      </c>
      <c r="G2093" s="17" t="n">
        <v>45897</v>
      </c>
      <c r="H2093" s="18" t="n">
        <v>456</v>
      </c>
      <c r="I2093" s="19" t="n">
        <v>4.67</v>
      </c>
      <c r="J2093" s="19" t="n">
        <v>4.8</v>
      </c>
      <c r="K2093" s="20" t="n">
        <v>0</v>
      </c>
      <c r="L2093" s="20" t="n">
        <v>0</v>
      </c>
      <c r="M2093" s="18" t="n">
        <v>456</v>
      </c>
      <c r="N2093" s="18" t="n">
        <v>456</v>
      </c>
      <c r="O2093" s="18" t="n">
        <v>0</v>
      </c>
      <c r="P2093" s="17" t="n">
        <v>45894</v>
      </c>
      <c r="Q2093" s="17" t="n">
        <v>45894</v>
      </c>
      <c r="R2093" s="17" t="n">
        <v>45894</v>
      </c>
      <c r="S2093" s="19">
        <f>H2093*I2093</f>
        <v/>
      </c>
      <c r="T2093" s="19">
        <f>H2093*J2093</f>
        <v/>
      </c>
      <c r="U2093">
        <f>IF(AND(K2093=0,G2093&lt;=Assumptions!$C$6),1,0)</f>
        <v/>
      </c>
      <c r="V2093">
        <f>IF(U2093=1,IF(M2093&gt;0,IF(P2093&lt;=G2093+Assumptions!$C$7,1,0),0),0)</f>
        <v/>
      </c>
      <c r="W2093">
        <f>IF(AND(U2093=1,M2093&gt;=H2093*(1-Assumptions!$C$8)),1,0)</f>
        <v/>
      </c>
      <c r="X2093">
        <f>IF(AND(U2093=1,N2093&gt;=H2093*(1-Assumptions!$C$8)),1,0)</f>
        <v/>
      </c>
      <c r="Y2093">
        <f>IF(ISNUMBER(Q2093),1,0)</f>
        <v/>
      </c>
      <c r="Z2093">
        <f>IF(AND(K2093=0,L2093=0,Y2093=0),1,0)</f>
        <v/>
      </c>
      <c r="AA2093">
        <f>IF(AND(Z2093=1,G2093&lt;Assumptions!$C$6),1,0)</f>
        <v/>
      </c>
      <c r="AB2093">
        <f>IF(U2093=0,"",IF(Y2093=1,MAX(0,Q2093-G2093),IF(L2093=1,MAX(0,R2093-G2093),MAX(0,Assumptions!$C$6-G2093))))</f>
        <v/>
      </c>
      <c r="AC2093">
        <f>IF(Y2093=1,Q2093-F2093,"")</f>
        <v/>
      </c>
      <c r="AD2093">
        <f>IF(Y2093=1,AC2093^2,"")</f>
        <v/>
      </c>
      <c r="AE2093" s="19">
        <f>IF(Z2093=1,(H2093-M2093)*I2093,0)</f>
        <v/>
      </c>
      <c r="AF2093">
        <f>IF(G2093&lt;EDATE(Assumptions!$C$6,-12)+1,"prior_12m","last_12m")</f>
        <v/>
      </c>
      <c r="AG2093" s="21">
        <f>DATE(YEAR(G2093),MONTH(G2093),1)</f>
        <v/>
      </c>
    </row>
    <row r="2094">
      <c r="A2094" t="inlineStr">
        <is>
          <t>SPO-01135-2</t>
        </is>
      </c>
      <c r="B2094" t="inlineStr">
        <is>
          <t>SPO-01135</t>
        </is>
      </c>
      <c r="C2094" t="inlineStr">
        <is>
          <t>SUP-10</t>
        </is>
      </c>
      <c r="D2094" t="inlineStr">
        <is>
          <t>PPE</t>
        </is>
      </c>
      <c r="E2094" t="inlineStr">
        <is>
          <t>PPE-04</t>
        </is>
      </c>
      <c r="F2094" s="17" t="n">
        <v>45884</v>
      </c>
      <c r="G2094" s="17" t="n">
        <v>45897</v>
      </c>
      <c r="H2094" s="18" t="n">
        <v>28</v>
      </c>
      <c r="I2094" s="19" t="n">
        <v>25.3</v>
      </c>
      <c r="J2094" s="19" t="n">
        <v>26</v>
      </c>
      <c r="K2094" s="20" t="n">
        <v>0</v>
      </c>
      <c r="L2094" s="20" t="n">
        <v>0</v>
      </c>
      <c r="M2094" s="18" t="n">
        <v>28</v>
      </c>
      <c r="N2094" s="18" t="n">
        <v>28</v>
      </c>
      <c r="O2094" s="18" t="n">
        <v>0</v>
      </c>
      <c r="P2094" s="17" t="n">
        <v>45892</v>
      </c>
      <c r="Q2094" s="17" t="n">
        <v>45892</v>
      </c>
      <c r="R2094" s="17" t="n">
        <v>45892</v>
      </c>
      <c r="S2094" s="19">
        <f>H2094*I2094</f>
        <v/>
      </c>
      <c r="T2094" s="19">
        <f>H2094*J2094</f>
        <v/>
      </c>
      <c r="U2094">
        <f>IF(AND(K2094=0,G2094&lt;=Assumptions!$C$6),1,0)</f>
        <v/>
      </c>
      <c r="V2094">
        <f>IF(U2094=1,IF(M2094&gt;0,IF(P2094&lt;=G2094+Assumptions!$C$7,1,0),0),0)</f>
        <v/>
      </c>
      <c r="W2094">
        <f>IF(AND(U2094=1,M2094&gt;=H2094*(1-Assumptions!$C$8)),1,0)</f>
        <v/>
      </c>
      <c r="X2094">
        <f>IF(AND(U2094=1,N2094&gt;=H2094*(1-Assumptions!$C$8)),1,0)</f>
        <v/>
      </c>
      <c r="Y2094">
        <f>IF(ISNUMBER(Q2094),1,0)</f>
        <v/>
      </c>
      <c r="Z2094">
        <f>IF(AND(K2094=0,L2094=0,Y2094=0),1,0)</f>
        <v/>
      </c>
      <c r="AA2094">
        <f>IF(AND(Z2094=1,G2094&lt;Assumptions!$C$6),1,0)</f>
        <v/>
      </c>
      <c r="AB2094">
        <f>IF(U2094=0,"",IF(Y2094=1,MAX(0,Q2094-G2094),IF(L2094=1,MAX(0,R2094-G2094),MAX(0,Assumptions!$C$6-G2094))))</f>
        <v/>
      </c>
      <c r="AC2094">
        <f>IF(Y2094=1,Q2094-F2094,"")</f>
        <v/>
      </c>
      <c r="AD2094">
        <f>IF(Y2094=1,AC2094^2,"")</f>
        <v/>
      </c>
      <c r="AE2094" s="19">
        <f>IF(Z2094=1,(H2094-M2094)*I2094,0)</f>
        <v/>
      </c>
      <c r="AF2094">
        <f>IF(G2094&lt;EDATE(Assumptions!$C$6,-12)+1,"prior_12m","last_12m")</f>
        <v/>
      </c>
      <c r="AG2094" s="21">
        <f>DATE(YEAR(G2094),MONTH(G2094),1)</f>
        <v/>
      </c>
    </row>
    <row r="2095">
      <c r="A2095" t="inlineStr">
        <is>
          <t>SPO-01135-3</t>
        </is>
      </c>
      <c r="B2095" t="inlineStr">
        <is>
          <t>SPO-01135</t>
        </is>
      </c>
      <c r="C2095" t="inlineStr">
        <is>
          <t>SUP-10</t>
        </is>
      </c>
      <c r="D2095" t="inlineStr">
        <is>
          <t>PPE</t>
        </is>
      </c>
      <c r="E2095" t="inlineStr">
        <is>
          <t>PPE-05</t>
        </is>
      </c>
      <c r="F2095" s="17" t="n">
        <v>45884</v>
      </c>
      <c r="G2095" s="17" t="n">
        <v>45897</v>
      </c>
      <c r="H2095" s="18" t="n">
        <v>123</v>
      </c>
      <c r="I2095" s="19" t="n">
        <v>10.72</v>
      </c>
      <c r="J2095" s="19" t="n">
        <v>11</v>
      </c>
      <c r="K2095" s="20" t="n">
        <v>0</v>
      </c>
      <c r="L2095" s="20" t="n">
        <v>0</v>
      </c>
      <c r="M2095" s="18" t="n">
        <v>123</v>
      </c>
      <c r="N2095" s="18" t="n">
        <v>123</v>
      </c>
      <c r="O2095" s="18" t="n">
        <v>0</v>
      </c>
      <c r="P2095" s="17" t="n">
        <v>45894</v>
      </c>
      <c r="Q2095" s="17" t="n">
        <v>45894</v>
      </c>
      <c r="R2095" s="17" t="n">
        <v>45894</v>
      </c>
      <c r="S2095" s="19">
        <f>H2095*I2095</f>
        <v/>
      </c>
      <c r="T2095" s="19">
        <f>H2095*J2095</f>
        <v/>
      </c>
      <c r="U2095">
        <f>IF(AND(K2095=0,G2095&lt;=Assumptions!$C$6),1,0)</f>
        <v/>
      </c>
      <c r="V2095">
        <f>IF(U2095=1,IF(M2095&gt;0,IF(P2095&lt;=G2095+Assumptions!$C$7,1,0),0),0)</f>
        <v/>
      </c>
      <c r="W2095">
        <f>IF(AND(U2095=1,M2095&gt;=H2095*(1-Assumptions!$C$8)),1,0)</f>
        <v/>
      </c>
      <c r="X2095">
        <f>IF(AND(U2095=1,N2095&gt;=H2095*(1-Assumptions!$C$8)),1,0)</f>
        <v/>
      </c>
      <c r="Y2095">
        <f>IF(ISNUMBER(Q2095),1,0)</f>
        <v/>
      </c>
      <c r="Z2095">
        <f>IF(AND(K2095=0,L2095=0,Y2095=0),1,0)</f>
        <v/>
      </c>
      <c r="AA2095">
        <f>IF(AND(Z2095=1,G2095&lt;Assumptions!$C$6),1,0)</f>
        <v/>
      </c>
      <c r="AB2095">
        <f>IF(U2095=0,"",IF(Y2095=1,MAX(0,Q2095-G2095),IF(L2095=1,MAX(0,R2095-G2095),MAX(0,Assumptions!$C$6-G2095))))</f>
        <v/>
      </c>
      <c r="AC2095">
        <f>IF(Y2095=1,Q2095-F2095,"")</f>
        <v/>
      </c>
      <c r="AD2095">
        <f>IF(Y2095=1,AC2095^2,"")</f>
        <v/>
      </c>
      <c r="AE2095" s="19">
        <f>IF(Z2095=1,(H2095-M2095)*I2095,0)</f>
        <v/>
      </c>
      <c r="AF2095">
        <f>IF(G2095&lt;EDATE(Assumptions!$C$6,-12)+1,"prior_12m","last_12m")</f>
        <v/>
      </c>
      <c r="AG2095" s="21">
        <f>DATE(YEAR(G2095),MONTH(G2095),1)</f>
        <v/>
      </c>
    </row>
    <row r="2096">
      <c r="A2096" t="inlineStr">
        <is>
          <t>SPO-01135-4</t>
        </is>
      </c>
      <c r="B2096" t="inlineStr">
        <is>
          <t>SPO-01135</t>
        </is>
      </c>
      <c r="C2096" t="inlineStr">
        <is>
          <t>SUP-10</t>
        </is>
      </c>
      <c r="D2096" t="inlineStr">
        <is>
          <t>PPE</t>
        </is>
      </c>
      <c r="E2096" t="inlineStr">
        <is>
          <t>PPE-07</t>
        </is>
      </c>
      <c r="F2096" s="17" t="n">
        <v>45884</v>
      </c>
      <c r="G2096" s="17" t="n">
        <v>45897</v>
      </c>
      <c r="H2096" s="18" t="n">
        <v>34</v>
      </c>
      <c r="I2096" s="19" t="n">
        <v>29.72</v>
      </c>
      <c r="J2096" s="19" t="n">
        <v>31</v>
      </c>
      <c r="K2096" s="20" t="n">
        <v>0</v>
      </c>
      <c r="L2096" s="20" t="n">
        <v>0</v>
      </c>
      <c r="M2096" s="18" t="n">
        <v>34</v>
      </c>
      <c r="N2096" s="18" t="n">
        <v>34</v>
      </c>
      <c r="O2096" s="18" t="n">
        <v>10</v>
      </c>
      <c r="P2096" s="17" t="n">
        <v>45891</v>
      </c>
      <c r="Q2096" s="17" t="n">
        <v>45891</v>
      </c>
      <c r="R2096" s="17" t="n">
        <v>45891</v>
      </c>
      <c r="S2096" s="19">
        <f>H2096*I2096</f>
        <v/>
      </c>
      <c r="T2096" s="19">
        <f>H2096*J2096</f>
        <v/>
      </c>
      <c r="U2096">
        <f>IF(AND(K2096=0,G2096&lt;=Assumptions!$C$6),1,0)</f>
        <v/>
      </c>
      <c r="V2096">
        <f>IF(U2096=1,IF(M2096&gt;0,IF(P2096&lt;=G2096+Assumptions!$C$7,1,0),0),0)</f>
        <v/>
      </c>
      <c r="W2096">
        <f>IF(AND(U2096=1,M2096&gt;=H2096*(1-Assumptions!$C$8)),1,0)</f>
        <v/>
      </c>
      <c r="X2096">
        <f>IF(AND(U2096=1,N2096&gt;=H2096*(1-Assumptions!$C$8)),1,0)</f>
        <v/>
      </c>
      <c r="Y2096">
        <f>IF(ISNUMBER(Q2096),1,0)</f>
        <v/>
      </c>
      <c r="Z2096">
        <f>IF(AND(K2096=0,L2096=0,Y2096=0),1,0)</f>
        <v/>
      </c>
      <c r="AA2096">
        <f>IF(AND(Z2096=1,G2096&lt;Assumptions!$C$6),1,0)</f>
        <v/>
      </c>
      <c r="AB2096">
        <f>IF(U2096=0,"",IF(Y2096=1,MAX(0,Q2096-G2096),IF(L2096=1,MAX(0,R2096-G2096),MAX(0,Assumptions!$C$6-G2096))))</f>
        <v/>
      </c>
      <c r="AC2096">
        <f>IF(Y2096=1,Q2096-F2096,"")</f>
        <v/>
      </c>
      <c r="AD2096">
        <f>IF(Y2096=1,AC2096^2,"")</f>
        <v/>
      </c>
      <c r="AE2096" s="19">
        <f>IF(Z2096=1,(H2096-M2096)*I2096,0)</f>
        <v/>
      </c>
      <c r="AF2096">
        <f>IF(G2096&lt;EDATE(Assumptions!$C$6,-12)+1,"prior_12m","last_12m")</f>
        <v/>
      </c>
      <c r="AG2096" s="21">
        <f>DATE(YEAR(G2096),MONTH(G2096),1)</f>
        <v/>
      </c>
    </row>
    <row r="2097">
      <c r="A2097" t="inlineStr">
        <is>
          <t>SPO-01136-1</t>
        </is>
      </c>
      <c r="B2097" t="inlineStr">
        <is>
          <t>SPO-01136</t>
        </is>
      </c>
      <c r="C2097" t="inlineStr">
        <is>
          <t>SUP-08</t>
        </is>
      </c>
      <c r="D2097" t="inlineStr">
        <is>
          <t>MRO</t>
        </is>
      </c>
      <c r="E2097" t="inlineStr">
        <is>
          <t>MRO-08</t>
        </is>
      </c>
      <c r="F2097" s="17" t="n">
        <v>45884</v>
      </c>
      <c r="G2097" s="17" t="n">
        <v>45895</v>
      </c>
      <c r="H2097" s="18" t="n">
        <v>81</v>
      </c>
      <c r="I2097" s="19" t="n">
        <v>7</v>
      </c>
      <c r="J2097" s="19" t="n">
        <v>7.2</v>
      </c>
      <c r="K2097" s="20" t="n">
        <v>0</v>
      </c>
      <c r="L2097" s="20" t="n">
        <v>0</v>
      </c>
      <c r="M2097" s="18" t="n">
        <v>81</v>
      </c>
      <c r="N2097" s="18" t="n">
        <v>81</v>
      </c>
      <c r="O2097" s="18" t="n">
        <v>0</v>
      </c>
      <c r="P2097" s="17" t="n">
        <v>45888</v>
      </c>
      <c r="Q2097" s="17" t="n">
        <v>45888</v>
      </c>
      <c r="R2097" s="17" t="n">
        <v>45888</v>
      </c>
      <c r="S2097" s="19">
        <f>H2097*I2097</f>
        <v/>
      </c>
      <c r="T2097" s="19">
        <f>H2097*J2097</f>
        <v/>
      </c>
      <c r="U2097">
        <f>IF(AND(K2097=0,G2097&lt;=Assumptions!$C$6),1,0)</f>
        <v/>
      </c>
      <c r="V2097">
        <f>IF(U2097=1,IF(M2097&gt;0,IF(P2097&lt;=G2097+Assumptions!$C$7,1,0),0),0)</f>
        <v/>
      </c>
      <c r="W2097">
        <f>IF(AND(U2097=1,M2097&gt;=H2097*(1-Assumptions!$C$8)),1,0)</f>
        <v/>
      </c>
      <c r="X2097">
        <f>IF(AND(U2097=1,N2097&gt;=H2097*(1-Assumptions!$C$8)),1,0)</f>
        <v/>
      </c>
      <c r="Y2097">
        <f>IF(ISNUMBER(Q2097),1,0)</f>
        <v/>
      </c>
      <c r="Z2097">
        <f>IF(AND(K2097=0,L2097=0,Y2097=0),1,0)</f>
        <v/>
      </c>
      <c r="AA2097">
        <f>IF(AND(Z2097=1,G2097&lt;Assumptions!$C$6),1,0)</f>
        <v/>
      </c>
      <c r="AB2097">
        <f>IF(U2097=0,"",IF(Y2097=1,MAX(0,Q2097-G2097),IF(L2097=1,MAX(0,R2097-G2097),MAX(0,Assumptions!$C$6-G2097))))</f>
        <v/>
      </c>
      <c r="AC2097">
        <f>IF(Y2097=1,Q2097-F2097,"")</f>
        <v/>
      </c>
      <c r="AD2097">
        <f>IF(Y2097=1,AC2097^2,"")</f>
        <v/>
      </c>
      <c r="AE2097" s="19">
        <f>IF(Z2097=1,(H2097-M2097)*I2097,0)</f>
        <v/>
      </c>
      <c r="AF2097">
        <f>IF(G2097&lt;EDATE(Assumptions!$C$6,-12)+1,"prior_12m","last_12m")</f>
        <v/>
      </c>
      <c r="AG2097" s="21">
        <f>DATE(YEAR(G2097),MONTH(G2097),1)</f>
        <v/>
      </c>
    </row>
    <row r="2098">
      <c r="A2098" t="inlineStr">
        <is>
          <t>SPO-01136-2</t>
        </is>
      </c>
      <c r="B2098" t="inlineStr">
        <is>
          <t>SPO-01136</t>
        </is>
      </c>
      <c r="C2098" t="inlineStr">
        <is>
          <t>SUP-08</t>
        </is>
      </c>
      <c r="D2098" t="inlineStr">
        <is>
          <t>MRO</t>
        </is>
      </c>
      <c r="E2098" t="inlineStr">
        <is>
          <t>MRO-05</t>
        </is>
      </c>
      <c r="F2098" s="17" t="n">
        <v>45884</v>
      </c>
      <c r="G2098" s="17" t="n">
        <v>45895</v>
      </c>
      <c r="H2098" s="18" t="n">
        <v>50</v>
      </c>
      <c r="I2098" s="19" t="n">
        <v>36.52</v>
      </c>
      <c r="J2098" s="19" t="n">
        <v>36</v>
      </c>
      <c r="K2098" s="20" t="n">
        <v>0</v>
      </c>
      <c r="L2098" s="20" t="n">
        <v>0</v>
      </c>
      <c r="M2098" s="18" t="n">
        <v>50</v>
      </c>
      <c r="N2098" s="18" t="n">
        <v>50</v>
      </c>
      <c r="O2098" s="18" t="n">
        <v>0</v>
      </c>
      <c r="P2098" s="17" t="n">
        <v>45891</v>
      </c>
      <c r="Q2098" s="17" t="n">
        <v>45891</v>
      </c>
      <c r="R2098" s="17" t="n">
        <v>45891</v>
      </c>
      <c r="S2098" s="19">
        <f>H2098*I2098</f>
        <v/>
      </c>
      <c r="T2098" s="19">
        <f>H2098*J2098</f>
        <v/>
      </c>
      <c r="U2098">
        <f>IF(AND(K2098=0,G2098&lt;=Assumptions!$C$6),1,0)</f>
        <v/>
      </c>
      <c r="V2098">
        <f>IF(U2098=1,IF(M2098&gt;0,IF(P2098&lt;=G2098+Assumptions!$C$7,1,0),0),0)</f>
        <v/>
      </c>
      <c r="W2098">
        <f>IF(AND(U2098=1,M2098&gt;=H2098*(1-Assumptions!$C$8)),1,0)</f>
        <v/>
      </c>
      <c r="X2098">
        <f>IF(AND(U2098=1,N2098&gt;=H2098*(1-Assumptions!$C$8)),1,0)</f>
        <v/>
      </c>
      <c r="Y2098">
        <f>IF(ISNUMBER(Q2098),1,0)</f>
        <v/>
      </c>
      <c r="Z2098">
        <f>IF(AND(K2098=0,L2098=0,Y2098=0),1,0)</f>
        <v/>
      </c>
      <c r="AA2098">
        <f>IF(AND(Z2098=1,G2098&lt;Assumptions!$C$6),1,0)</f>
        <v/>
      </c>
      <c r="AB2098">
        <f>IF(U2098=0,"",IF(Y2098=1,MAX(0,Q2098-G2098),IF(L2098=1,MAX(0,R2098-G2098),MAX(0,Assumptions!$C$6-G2098))))</f>
        <v/>
      </c>
      <c r="AC2098">
        <f>IF(Y2098=1,Q2098-F2098,"")</f>
        <v/>
      </c>
      <c r="AD2098">
        <f>IF(Y2098=1,AC2098^2,"")</f>
        <v/>
      </c>
      <c r="AE2098" s="19">
        <f>IF(Z2098=1,(H2098-M2098)*I2098,0)</f>
        <v/>
      </c>
      <c r="AF2098">
        <f>IF(G2098&lt;EDATE(Assumptions!$C$6,-12)+1,"prior_12m","last_12m")</f>
        <v/>
      </c>
      <c r="AG2098" s="21">
        <f>DATE(YEAR(G2098),MONTH(G2098),1)</f>
        <v/>
      </c>
    </row>
    <row r="2099">
      <c r="A2099" t="inlineStr">
        <is>
          <t>SPO-01137-1</t>
        </is>
      </c>
      <c r="B2099" t="inlineStr">
        <is>
          <t>SPO-01137</t>
        </is>
      </c>
      <c r="C2099" t="inlineStr">
        <is>
          <t>SUP-02</t>
        </is>
      </c>
      <c r="D2099" t="inlineStr">
        <is>
          <t>ELEC</t>
        </is>
      </c>
      <c r="E2099" t="inlineStr">
        <is>
          <t>ELEC-06</t>
        </is>
      </c>
      <c r="F2099" s="17" t="n">
        <v>45884</v>
      </c>
      <c r="G2099" s="17" t="n">
        <v>45900</v>
      </c>
      <c r="H2099" s="18" t="n">
        <v>14</v>
      </c>
      <c r="I2099" s="19" t="n">
        <v>139.34</v>
      </c>
      <c r="J2099" s="19" t="n">
        <v>145</v>
      </c>
      <c r="K2099" s="20" t="n">
        <v>0</v>
      </c>
      <c r="L2099" s="20" t="n">
        <v>0</v>
      </c>
      <c r="M2099" s="18" t="n">
        <v>14</v>
      </c>
      <c r="N2099" s="18" t="n">
        <v>14</v>
      </c>
      <c r="O2099" s="18" t="n">
        <v>0</v>
      </c>
      <c r="P2099" s="17" t="n">
        <v>45899</v>
      </c>
      <c r="Q2099" s="17" t="n">
        <v>45899</v>
      </c>
      <c r="R2099" s="17" t="n">
        <v>45899</v>
      </c>
      <c r="S2099" s="19">
        <f>H2099*I2099</f>
        <v/>
      </c>
      <c r="T2099" s="19">
        <f>H2099*J2099</f>
        <v/>
      </c>
      <c r="U2099">
        <f>IF(AND(K2099=0,G2099&lt;=Assumptions!$C$6),1,0)</f>
        <v/>
      </c>
      <c r="V2099">
        <f>IF(U2099=1,IF(M2099&gt;0,IF(P2099&lt;=G2099+Assumptions!$C$7,1,0),0),0)</f>
        <v/>
      </c>
      <c r="W2099">
        <f>IF(AND(U2099=1,M2099&gt;=H2099*(1-Assumptions!$C$8)),1,0)</f>
        <v/>
      </c>
      <c r="X2099">
        <f>IF(AND(U2099=1,N2099&gt;=H2099*(1-Assumptions!$C$8)),1,0)</f>
        <v/>
      </c>
      <c r="Y2099">
        <f>IF(ISNUMBER(Q2099),1,0)</f>
        <v/>
      </c>
      <c r="Z2099">
        <f>IF(AND(K2099=0,L2099=0,Y2099=0),1,0)</f>
        <v/>
      </c>
      <c r="AA2099">
        <f>IF(AND(Z2099=1,G2099&lt;Assumptions!$C$6),1,0)</f>
        <v/>
      </c>
      <c r="AB2099">
        <f>IF(U2099=0,"",IF(Y2099=1,MAX(0,Q2099-G2099),IF(L2099=1,MAX(0,R2099-G2099),MAX(0,Assumptions!$C$6-G2099))))</f>
        <v/>
      </c>
      <c r="AC2099">
        <f>IF(Y2099=1,Q2099-F2099,"")</f>
        <v/>
      </c>
      <c r="AD2099">
        <f>IF(Y2099=1,AC2099^2,"")</f>
        <v/>
      </c>
      <c r="AE2099" s="19">
        <f>IF(Z2099=1,(H2099-M2099)*I2099,0)</f>
        <v/>
      </c>
      <c r="AF2099">
        <f>IF(G2099&lt;EDATE(Assumptions!$C$6,-12)+1,"prior_12m","last_12m")</f>
        <v/>
      </c>
      <c r="AG2099" s="21">
        <f>DATE(YEAR(G2099),MONTH(G2099),1)</f>
        <v/>
      </c>
    </row>
    <row r="2100">
      <c r="A2100" t="inlineStr">
        <is>
          <t>SPO-01137-2</t>
        </is>
      </c>
      <c r="B2100" t="inlineStr">
        <is>
          <t>SPO-01137</t>
        </is>
      </c>
      <c r="C2100" t="inlineStr">
        <is>
          <t>SUP-02</t>
        </is>
      </c>
      <c r="D2100" t="inlineStr">
        <is>
          <t>ELEC</t>
        </is>
      </c>
      <c r="E2100" t="inlineStr">
        <is>
          <t>ELEC-03</t>
        </is>
      </c>
      <c r="F2100" s="17" t="n">
        <v>45884</v>
      </c>
      <c r="G2100" s="17" t="n">
        <v>45900</v>
      </c>
      <c r="H2100" s="18" t="n">
        <v>11</v>
      </c>
      <c r="I2100" s="19" t="n">
        <v>97.01000000000001</v>
      </c>
      <c r="J2100" s="19" t="n">
        <v>96</v>
      </c>
      <c r="K2100" s="20" t="n">
        <v>1</v>
      </c>
      <c r="L2100" s="20" t="n">
        <v>0</v>
      </c>
      <c r="M2100" s="18" t="n">
        <v>0</v>
      </c>
      <c r="N2100" s="18" t="n">
        <v>0</v>
      </c>
      <c r="O2100" s="18" t="n">
        <v>0</v>
      </c>
      <c r="P2100" s="17" t="n"/>
      <c r="Q2100" s="17" t="n"/>
      <c r="R2100" s="17" t="n"/>
      <c r="S2100" s="19">
        <f>H2100*I2100</f>
        <v/>
      </c>
      <c r="T2100" s="19">
        <f>H2100*J2100</f>
        <v/>
      </c>
      <c r="U2100">
        <f>IF(AND(K2100=0,G2100&lt;=Assumptions!$C$6),1,0)</f>
        <v/>
      </c>
      <c r="V2100">
        <f>IF(U2100=1,IF(M2100&gt;0,IF(P2100&lt;=G2100+Assumptions!$C$7,1,0),0),0)</f>
        <v/>
      </c>
      <c r="W2100">
        <f>IF(AND(U2100=1,M2100&gt;=H2100*(1-Assumptions!$C$8)),1,0)</f>
        <v/>
      </c>
      <c r="X2100">
        <f>IF(AND(U2100=1,N2100&gt;=H2100*(1-Assumptions!$C$8)),1,0)</f>
        <v/>
      </c>
      <c r="Y2100">
        <f>IF(ISNUMBER(Q2100),1,0)</f>
        <v/>
      </c>
      <c r="Z2100">
        <f>IF(AND(K2100=0,L2100=0,Y2100=0),1,0)</f>
        <v/>
      </c>
      <c r="AA2100">
        <f>IF(AND(Z2100=1,G2100&lt;Assumptions!$C$6),1,0)</f>
        <v/>
      </c>
      <c r="AB2100">
        <f>IF(U2100=0,"",IF(Y2100=1,MAX(0,Q2100-G2100),IF(L2100=1,MAX(0,R2100-G2100),MAX(0,Assumptions!$C$6-G2100))))</f>
        <v/>
      </c>
      <c r="AC2100">
        <f>IF(Y2100=1,Q2100-F2100,"")</f>
        <v/>
      </c>
      <c r="AD2100">
        <f>IF(Y2100=1,AC2100^2,"")</f>
        <v/>
      </c>
      <c r="AE2100" s="19">
        <f>IF(Z2100=1,(H2100-M2100)*I2100,0)</f>
        <v/>
      </c>
      <c r="AF2100">
        <f>IF(G2100&lt;EDATE(Assumptions!$C$6,-12)+1,"prior_12m","last_12m")</f>
        <v/>
      </c>
      <c r="AG2100" s="21">
        <f>DATE(YEAR(G2100),MONTH(G2100),1)</f>
        <v/>
      </c>
    </row>
    <row r="2101">
      <c r="A2101" t="inlineStr">
        <is>
          <t>SPO-01137-3</t>
        </is>
      </c>
      <c r="B2101" t="inlineStr">
        <is>
          <t>SPO-01137</t>
        </is>
      </c>
      <c r="C2101" t="inlineStr">
        <is>
          <t>SUP-02</t>
        </is>
      </c>
      <c r="D2101" t="inlineStr">
        <is>
          <t>ELEC</t>
        </is>
      </c>
      <c r="E2101" t="inlineStr">
        <is>
          <t>ELEC-05</t>
        </is>
      </c>
      <c r="F2101" s="17" t="n">
        <v>45884</v>
      </c>
      <c r="G2101" s="17" t="n">
        <v>45900</v>
      </c>
      <c r="H2101" s="18" t="n">
        <v>100</v>
      </c>
      <c r="I2101" s="19" t="n">
        <v>11.87</v>
      </c>
      <c r="J2101" s="19" t="n">
        <v>11.5</v>
      </c>
      <c r="K2101" s="20" t="n">
        <v>0</v>
      </c>
      <c r="L2101" s="20" t="n">
        <v>0</v>
      </c>
      <c r="M2101" s="18" t="n">
        <v>100</v>
      </c>
      <c r="N2101" s="18" t="n">
        <v>0</v>
      </c>
      <c r="O2101" s="18" t="n">
        <v>0</v>
      </c>
      <c r="P2101" s="17" t="n">
        <v>45901</v>
      </c>
      <c r="Q2101" s="17" t="n">
        <v>45911</v>
      </c>
      <c r="R2101" s="17" t="n">
        <v>45911</v>
      </c>
      <c r="S2101" s="19">
        <f>H2101*I2101</f>
        <v/>
      </c>
      <c r="T2101" s="19">
        <f>H2101*J2101</f>
        <v/>
      </c>
      <c r="U2101">
        <f>IF(AND(K2101=0,G2101&lt;=Assumptions!$C$6),1,0)</f>
        <v/>
      </c>
      <c r="V2101">
        <f>IF(U2101=1,IF(M2101&gt;0,IF(P2101&lt;=G2101+Assumptions!$C$7,1,0),0),0)</f>
        <v/>
      </c>
      <c r="W2101">
        <f>IF(AND(U2101=1,M2101&gt;=H2101*(1-Assumptions!$C$8)),1,0)</f>
        <v/>
      </c>
      <c r="X2101">
        <f>IF(AND(U2101=1,N2101&gt;=H2101*(1-Assumptions!$C$8)),1,0)</f>
        <v/>
      </c>
      <c r="Y2101">
        <f>IF(ISNUMBER(Q2101),1,0)</f>
        <v/>
      </c>
      <c r="Z2101">
        <f>IF(AND(K2101=0,L2101=0,Y2101=0),1,0)</f>
        <v/>
      </c>
      <c r="AA2101">
        <f>IF(AND(Z2101=1,G2101&lt;Assumptions!$C$6),1,0)</f>
        <v/>
      </c>
      <c r="AB2101">
        <f>IF(U2101=0,"",IF(Y2101=1,MAX(0,Q2101-G2101),IF(L2101=1,MAX(0,R2101-G2101),MAX(0,Assumptions!$C$6-G2101))))</f>
        <v/>
      </c>
      <c r="AC2101">
        <f>IF(Y2101=1,Q2101-F2101,"")</f>
        <v/>
      </c>
      <c r="AD2101">
        <f>IF(Y2101=1,AC2101^2,"")</f>
        <v/>
      </c>
      <c r="AE2101" s="19">
        <f>IF(Z2101=1,(H2101-M2101)*I2101,0)</f>
        <v/>
      </c>
      <c r="AF2101">
        <f>IF(G2101&lt;EDATE(Assumptions!$C$6,-12)+1,"prior_12m","last_12m")</f>
        <v/>
      </c>
      <c r="AG2101" s="21">
        <f>DATE(YEAR(G2101),MONTH(G2101),1)</f>
        <v/>
      </c>
    </row>
    <row r="2102">
      <c r="A2102" t="inlineStr">
        <is>
          <t>SPO-01138-1</t>
        </is>
      </c>
      <c r="B2102" t="inlineStr">
        <is>
          <t>SPO-01138</t>
        </is>
      </c>
      <c r="C2102" t="inlineStr">
        <is>
          <t>SUP-05</t>
        </is>
      </c>
      <c r="D2102" t="inlineStr">
        <is>
          <t>FLEET</t>
        </is>
      </c>
      <c r="E2102" t="inlineStr">
        <is>
          <t>FLEET-01</t>
        </is>
      </c>
      <c r="F2102" s="17" t="n">
        <v>45884</v>
      </c>
      <c r="G2102" s="17" t="n">
        <v>45898</v>
      </c>
      <c r="H2102" s="18" t="n">
        <v>19</v>
      </c>
      <c r="I2102" s="19" t="n">
        <v>67.52</v>
      </c>
      <c r="J2102" s="19" t="n">
        <v>64</v>
      </c>
      <c r="K2102" s="20" t="n">
        <v>0</v>
      </c>
      <c r="L2102" s="20" t="n">
        <v>0</v>
      </c>
      <c r="M2102" s="18" t="n">
        <v>19</v>
      </c>
      <c r="N2102" s="18" t="n">
        <v>19</v>
      </c>
      <c r="O2102" s="18" t="n">
        <v>0</v>
      </c>
      <c r="P2102" s="17" t="n">
        <v>45895</v>
      </c>
      <c r="Q2102" s="17" t="n">
        <v>45895</v>
      </c>
      <c r="R2102" s="17" t="n">
        <v>45895</v>
      </c>
      <c r="S2102" s="19">
        <f>H2102*I2102</f>
        <v/>
      </c>
      <c r="T2102" s="19">
        <f>H2102*J2102</f>
        <v/>
      </c>
      <c r="U2102">
        <f>IF(AND(K2102=0,G2102&lt;=Assumptions!$C$6),1,0)</f>
        <v/>
      </c>
      <c r="V2102">
        <f>IF(U2102=1,IF(M2102&gt;0,IF(P2102&lt;=G2102+Assumptions!$C$7,1,0),0),0)</f>
        <v/>
      </c>
      <c r="W2102">
        <f>IF(AND(U2102=1,M2102&gt;=H2102*(1-Assumptions!$C$8)),1,0)</f>
        <v/>
      </c>
      <c r="X2102">
        <f>IF(AND(U2102=1,N2102&gt;=H2102*(1-Assumptions!$C$8)),1,0)</f>
        <v/>
      </c>
      <c r="Y2102">
        <f>IF(ISNUMBER(Q2102),1,0)</f>
        <v/>
      </c>
      <c r="Z2102">
        <f>IF(AND(K2102=0,L2102=0,Y2102=0),1,0)</f>
        <v/>
      </c>
      <c r="AA2102">
        <f>IF(AND(Z2102=1,G2102&lt;Assumptions!$C$6),1,0)</f>
        <v/>
      </c>
      <c r="AB2102">
        <f>IF(U2102=0,"",IF(Y2102=1,MAX(0,Q2102-G2102),IF(L2102=1,MAX(0,R2102-G2102),MAX(0,Assumptions!$C$6-G2102))))</f>
        <v/>
      </c>
      <c r="AC2102">
        <f>IF(Y2102=1,Q2102-F2102,"")</f>
        <v/>
      </c>
      <c r="AD2102">
        <f>IF(Y2102=1,AC2102^2,"")</f>
        <v/>
      </c>
      <c r="AE2102" s="19">
        <f>IF(Z2102=1,(H2102-M2102)*I2102,0)</f>
        <v/>
      </c>
      <c r="AF2102">
        <f>IF(G2102&lt;EDATE(Assumptions!$C$6,-12)+1,"prior_12m","last_12m")</f>
        <v/>
      </c>
      <c r="AG2102" s="21">
        <f>DATE(YEAR(G2102),MONTH(G2102),1)</f>
        <v/>
      </c>
    </row>
    <row r="2103">
      <c r="A2103" t="inlineStr">
        <is>
          <t>SPO-01138-2</t>
        </is>
      </c>
      <c r="B2103" t="inlineStr">
        <is>
          <t>SPO-01138</t>
        </is>
      </c>
      <c r="C2103" t="inlineStr">
        <is>
          <t>SUP-05</t>
        </is>
      </c>
      <c r="D2103" t="inlineStr">
        <is>
          <t>FLEET</t>
        </is>
      </c>
      <c r="E2103" t="inlineStr">
        <is>
          <t>FLEET-04</t>
        </is>
      </c>
      <c r="F2103" s="17" t="n">
        <v>45884</v>
      </c>
      <c r="G2103" s="17" t="n">
        <v>45898</v>
      </c>
      <c r="H2103" s="18" t="n">
        <v>96</v>
      </c>
      <c r="I2103" s="19" t="n">
        <v>9.17</v>
      </c>
      <c r="J2103" s="19" t="n">
        <v>9</v>
      </c>
      <c r="K2103" s="20" t="n">
        <v>0</v>
      </c>
      <c r="L2103" s="20" t="n">
        <v>0</v>
      </c>
      <c r="M2103" s="18" t="n">
        <v>96</v>
      </c>
      <c r="N2103" s="18" t="n">
        <v>96</v>
      </c>
      <c r="O2103" s="18" t="n">
        <v>0</v>
      </c>
      <c r="P2103" s="17" t="n">
        <v>45896</v>
      </c>
      <c r="Q2103" s="17" t="n">
        <v>45896</v>
      </c>
      <c r="R2103" s="17" t="n">
        <v>45896</v>
      </c>
      <c r="S2103" s="19">
        <f>H2103*I2103</f>
        <v/>
      </c>
      <c r="T2103" s="19">
        <f>H2103*J2103</f>
        <v/>
      </c>
      <c r="U2103">
        <f>IF(AND(K2103=0,G2103&lt;=Assumptions!$C$6),1,0)</f>
        <v/>
      </c>
      <c r="V2103">
        <f>IF(U2103=1,IF(M2103&gt;0,IF(P2103&lt;=G2103+Assumptions!$C$7,1,0),0),0)</f>
        <v/>
      </c>
      <c r="W2103">
        <f>IF(AND(U2103=1,M2103&gt;=H2103*(1-Assumptions!$C$8)),1,0)</f>
        <v/>
      </c>
      <c r="X2103">
        <f>IF(AND(U2103=1,N2103&gt;=H2103*(1-Assumptions!$C$8)),1,0)</f>
        <v/>
      </c>
      <c r="Y2103">
        <f>IF(ISNUMBER(Q2103),1,0)</f>
        <v/>
      </c>
      <c r="Z2103">
        <f>IF(AND(K2103=0,L2103=0,Y2103=0),1,0)</f>
        <v/>
      </c>
      <c r="AA2103">
        <f>IF(AND(Z2103=1,G2103&lt;Assumptions!$C$6),1,0)</f>
        <v/>
      </c>
      <c r="AB2103">
        <f>IF(U2103=0,"",IF(Y2103=1,MAX(0,Q2103-G2103),IF(L2103=1,MAX(0,R2103-G2103),MAX(0,Assumptions!$C$6-G2103))))</f>
        <v/>
      </c>
      <c r="AC2103">
        <f>IF(Y2103=1,Q2103-F2103,"")</f>
        <v/>
      </c>
      <c r="AD2103">
        <f>IF(Y2103=1,AC2103^2,"")</f>
        <v/>
      </c>
      <c r="AE2103" s="19">
        <f>IF(Z2103=1,(H2103-M2103)*I2103,0)</f>
        <v/>
      </c>
      <c r="AF2103">
        <f>IF(G2103&lt;EDATE(Assumptions!$C$6,-12)+1,"prior_12m","last_12m")</f>
        <v/>
      </c>
      <c r="AG2103" s="21">
        <f>DATE(YEAR(G2103),MONTH(G2103),1)</f>
        <v/>
      </c>
    </row>
    <row r="2104">
      <c r="A2104" t="inlineStr">
        <is>
          <t>SPO-01138-3</t>
        </is>
      </c>
      <c r="B2104" t="inlineStr">
        <is>
          <t>SPO-01138</t>
        </is>
      </c>
      <c r="C2104" t="inlineStr">
        <is>
          <t>SUP-05</t>
        </is>
      </c>
      <c r="D2104" t="inlineStr">
        <is>
          <t>FLEET</t>
        </is>
      </c>
      <c r="E2104" t="inlineStr">
        <is>
          <t>FLEET-03</t>
        </is>
      </c>
      <c r="F2104" s="17" t="n">
        <v>45884</v>
      </c>
      <c r="G2104" s="17" t="n">
        <v>45898</v>
      </c>
      <c r="H2104" s="18" t="n">
        <v>103</v>
      </c>
      <c r="I2104" s="19" t="n">
        <v>20.1</v>
      </c>
      <c r="J2104" s="19" t="n">
        <v>21</v>
      </c>
      <c r="K2104" s="20" t="n">
        <v>0</v>
      </c>
      <c r="L2104" s="20" t="n">
        <v>0</v>
      </c>
      <c r="M2104" s="18" t="n">
        <v>103</v>
      </c>
      <c r="N2104" s="18" t="n">
        <v>103</v>
      </c>
      <c r="O2104" s="18" t="n">
        <v>0</v>
      </c>
      <c r="P2104" s="17" t="n">
        <v>45898</v>
      </c>
      <c r="Q2104" s="17" t="n">
        <v>45898</v>
      </c>
      <c r="R2104" s="17" t="n">
        <v>45898</v>
      </c>
      <c r="S2104" s="19">
        <f>H2104*I2104</f>
        <v/>
      </c>
      <c r="T2104" s="19">
        <f>H2104*J2104</f>
        <v/>
      </c>
      <c r="U2104">
        <f>IF(AND(K2104=0,G2104&lt;=Assumptions!$C$6),1,0)</f>
        <v/>
      </c>
      <c r="V2104">
        <f>IF(U2104=1,IF(M2104&gt;0,IF(P2104&lt;=G2104+Assumptions!$C$7,1,0),0),0)</f>
        <v/>
      </c>
      <c r="W2104">
        <f>IF(AND(U2104=1,M2104&gt;=H2104*(1-Assumptions!$C$8)),1,0)</f>
        <v/>
      </c>
      <c r="X2104">
        <f>IF(AND(U2104=1,N2104&gt;=H2104*(1-Assumptions!$C$8)),1,0)</f>
        <v/>
      </c>
      <c r="Y2104">
        <f>IF(ISNUMBER(Q2104),1,0)</f>
        <v/>
      </c>
      <c r="Z2104">
        <f>IF(AND(K2104=0,L2104=0,Y2104=0),1,0)</f>
        <v/>
      </c>
      <c r="AA2104">
        <f>IF(AND(Z2104=1,G2104&lt;Assumptions!$C$6),1,0)</f>
        <v/>
      </c>
      <c r="AB2104">
        <f>IF(U2104=0,"",IF(Y2104=1,MAX(0,Q2104-G2104),IF(L2104=1,MAX(0,R2104-G2104),MAX(0,Assumptions!$C$6-G2104))))</f>
        <v/>
      </c>
      <c r="AC2104">
        <f>IF(Y2104=1,Q2104-F2104,"")</f>
        <v/>
      </c>
      <c r="AD2104">
        <f>IF(Y2104=1,AC2104^2,"")</f>
        <v/>
      </c>
      <c r="AE2104" s="19">
        <f>IF(Z2104=1,(H2104-M2104)*I2104,0)</f>
        <v/>
      </c>
      <c r="AF2104">
        <f>IF(G2104&lt;EDATE(Assumptions!$C$6,-12)+1,"prior_12m","last_12m")</f>
        <v/>
      </c>
      <c r="AG2104" s="21">
        <f>DATE(YEAR(G2104),MONTH(G2104),1)</f>
        <v/>
      </c>
    </row>
    <row r="2105">
      <c r="A2105" t="inlineStr">
        <is>
          <t>SPO-01139-1</t>
        </is>
      </c>
      <c r="B2105" t="inlineStr">
        <is>
          <t>SPO-01139</t>
        </is>
      </c>
      <c r="C2105" t="inlineStr">
        <is>
          <t>SUP-10</t>
        </is>
      </c>
      <c r="D2105" t="inlineStr">
        <is>
          <t>PPE</t>
        </is>
      </c>
      <c r="E2105" t="inlineStr">
        <is>
          <t>PPE-04</t>
        </is>
      </c>
      <c r="F2105" s="17" t="n">
        <v>45885</v>
      </c>
      <c r="G2105" s="17" t="n">
        <v>45898</v>
      </c>
      <c r="H2105" s="18" t="n">
        <v>40</v>
      </c>
      <c r="I2105" s="19" t="n">
        <v>25.71</v>
      </c>
      <c r="J2105" s="19" t="n">
        <v>26</v>
      </c>
      <c r="K2105" s="20" t="n">
        <v>0</v>
      </c>
      <c r="L2105" s="20" t="n">
        <v>0</v>
      </c>
      <c r="M2105" s="18" t="n">
        <v>40</v>
      </c>
      <c r="N2105" s="18" t="n">
        <v>40</v>
      </c>
      <c r="O2105" s="18" t="n">
        <v>0</v>
      </c>
      <c r="P2105" s="17" t="n">
        <v>45894</v>
      </c>
      <c r="Q2105" s="17" t="n">
        <v>45894</v>
      </c>
      <c r="R2105" s="17" t="n">
        <v>45894</v>
      </c>
      <c r="S2105" s="19">
        <f>H2105*I2105</f>
        <v/>
      </c>
      <c r="T2105" s="19">
        <f>H2105*J2105</f>
        <v/>
      </c>
      <c r="U2105">
        <f>IF(AND(K2105=0,G2105&lt;=Assumptions!$C$6),1,0)</f>
        <v/>
      </c>
      <c r="V2105">
        <f>IF(U2105=1,IF(M2105&gt;0,IF(P2105&lt;=G2105+Assumptions!$C$7,1,0),0),0)</f>
        <v/>
      </c>
      <c r="W2105">
        <f>IF(AND(U2105=1,M2105&gt;=H2105*(1-Assumptions!$C$8)),1,0)</f>
        <v/>
      </c>
      <c r="X2105">
        <f>IF(AND(U2105=1,N2105&gt;=H2105*(1-Assumptions!$C$8)),1,0)</f>
        <v/>
      </c>
      <c r="Y2105">
        <f>IF(ISNUMBER(Q2105),1,0)</f>
        <v/>
      </c>
      <c r="Z2105">
        <f>IF(AND(K2105=0,L2105=0,Y2105=0),1,0)</f>
        <v/>
      </c>
      <c r="AA2105">
        <f>IF(AND(Z2105=1,G2105&lt;Assumptions!$C$6),1,0)</f>
        <v/>
      </c>
      <c r="AB2105">
        <f>IF(U2105=0,"",IF(Y2105=1,MAX(0,Q2105-G2105),IF(L2105=1,MAX(0,R2105-G2105),MAX(0,Assumptions!$C$6-G2105))))</f>
        <v/>
      </c>
      <c r="AC2105">
        <f>IF(Y2105=1,Q2105-F2105,"")</f>
        <v/>
      </c>
      <c r="AD2105">
        <f>IF(Y2105=1,AC2105^2,"")</f>
        <v/>
      </c>
      <c r="AE2105" s="19">
        <f>IF(Z2105=1,(H2105-M2105)*I2105,0)</f>
        <v/>
      </c>
      <c r="AF2105">
        <f>IF(G2105&lt;EDATE(Assumptions!$C$6,-12)+1,"prior_12m","last_12m")</f>
        <v/>
      </c>
      <c r="AG2105" s="21">
        <f>DATE(YEAR(G2105),MONTH(G2105),1)</f>
        <v/>
      </c>
    </row>
    <row r="2106">
      <c r="A2106" t="inlineStr">
        <is>
          <t>SPO-01140-1</t>
        </is>
      </c>
      <c r="B2106" t="inlineStr">
        <is>
          <t>SPO-01140</t>
        </is>
      </c>
      <c r="C2106" t="inlineStr">
        <is>
          <t>SUP-08</t>
        </is>
      </c>
      <c r="D2106" t="inlineStr">
        <is>
          <t>MRO</t>
        </is>
      </c>
      <c r="E2106" t="inlineStr">
        <is>
          <t>MRO-01</t>
        </is>
      </c>
      <c r="F2106" s="17" t="n">
        <v>45885</v>
      </c>
      <c r="G2106" s="17" t="n">
        <v>45896</v>
      </c>
      <c r="H2106" s="18" t="n">
        <v>48</v>
      </c>
      <c r="I2106" s="19" t="n">
        <v>53.77</v>
      </c>
      <c r="J2106" s="19" t="n">
        <v>52</v>
      </c>
      <c r="K2106" s="20" t="n">
        <v>0</v>
      </c>
      <c r="L2106" s="20" t="n">
        <v>0</v>
      </c>
      <c r="M2106" s="18" t="n">
        <v>48</v>
      </c>
      <c r="N2106" s="18" t="n">
        <v>48</v>
      </c>
      <c r="O2106" s="18" t="n">
        <v>0</v>
      </c>
      <c r="P2106" s="17" t="n">
        <v>45894</v>
      </c>
      <c r="Q2106" s="17" t="n">
        <v>45894</v>
      </c>
      <c r="R2106" s="17" t="n">
        <v>45894</v>
      </c>
      <c r="S2106" s="19">
        <f>H2106*I2106</f>
        <v/>
      </c>
      <c r="T2106" s="19">
        <f>H2106*J2106</f>
        <v/>
      </c>
      <c r="U2106">
        <f>IF(AND(K2106=0,G2106&lt;=Assumptions!$C$6),1,0)</f>
        <v/>
      </c>
      <c r="V2106">
        <f>IF(U2106=1,IF(M2106&gt;0,IF(P2106&lt;=G2106+Assumptions!$C$7,1,0),0),0)</f>
        <v/>
      </c>
      <c r="W2106">
        <f>IF(AND(U2106=1,M2106&gt;=H2106*(1-Assumptions!$C$8)),1,0)</f>
        <v/>
      </c>
      <c r="X2106">
        <f>IF(AND(U2106=1,N2106&gt;=H2106*(1-Assumptions!$C$8)),1,0)</f>
        <v/>
      </c>
      <c r="Y2106">
        <f>IF(ISNUMBER(Q2106),1,0)</f>
        <v/>
      </c>
      <c r="Z2106">
        <f>IF(AND(K2106=0,L2106=0,Y2106=0),1,0)</f>
        <v/>
      </c>
      <c r="AA2106">
        <f>IF(AND(Z2106=1,G2106&lt;Assumptions!$C$6),1,0)</f>
        <v/>
      </c>
      <c r="AB2106">
        <f>IF(U2106=0,"",IF(Y2106=1,MAX(0,Q2106-G2106),IF(L2106=1,MAX(0,R2106-G2106),MAX(0,Assumptions!$C$6-G2106))))</f>
        <v/>
      </c>
      <c r="AC2106">
        <f>IF(Y2106=1,Q2106-F2106,"")</f>
        <v/>
      </c>
      <c r="AD2106">
        <f>IF(Y2106=1,AC2106^2,"")</f>
        <v/>
      </c>
      <c r="AE2106" s="19">
        <f>IF(Z2106=1,(H2106-M2106)*I2106,0)</f>
        <v/>
      </c>
      <c r="AF2106">
        <f>IF(G2106&lt;EDATE(Assumptions!$C$6,-12)+1,"prior_12m","last_12m")</f>
        <v/>
      </c>
      <c r="AG2106" s="21">
        <f>DATE(YEAR(G2106),MONTH(G2106),1)</f>
        <v/>
      </c>
    </row>
    <row r="2107">
      <c r="A2107" t="inlineStr">
        <is>
          <t>SPO-01140-2</t>
        </is>
      </c>
      <c r="B2107" t="inlineStr">
        <is>
          <t>SPO-01140</t>
        </is>
      </c>
      <c r="C2107" t="inlineStr">
        <is>
          <t>SUP-08</t>
        </is>
      </c>
      <c r="D2107" t="inlineStr">
        <is>
          <t>MRO</t>
        </is>
      </c>
      <c r="E2107" t="inlineStr">
        <is>
          <t>MRO-07</t>
        </is>
      </c>
      <c r="F2107" s="17" t="n">
        <v>45885</v>
      </c>
      <c r="G2107" s="17" t="n">
        <v>45896</v>
      </c>
      <c r="H2107" s="18" t="n">
        <v>90</v>
      </c>
      <c r="I2107" s="19" t="n">
        <v>14.19</v>
      </c>
      <c r="J2107" s="19" t="n">
        <v>14</v>
      </c>
      <c r="K2107" s="20" t="n">
        <v>0</v>
      </c>
      <c r="L2107" s="20" t="n">
        <v>0</v>
      </c>
      <c r="M2107" s="18" t="n">
        <v>90</v>
      </c>
      <c r="N2107" s="18" t="n">
        <v>90</v>
      </c>
      <c r="O2107" s="18" t="n">
        <v>0</v>
      </c>
      <c r="P2107" s="17" t="n">
        <v>45895</v>
      </c>
      <c r="Q2107" s="17" t="n">
        <v>45895</v>
      </c>
      <c r="R2107" s="17" t="n">
        <v>45895</v>
      </c>
      <c r="S2107" s="19">
        <f>H2107*I2107</f>
        <v/>
      </c>
      <c r="T2107" s="19">
        <f>H2107*J2107</f>
        <v/>
      </c>
      <c r="U2107">
        <f>IF(AND(K2107=0,G2107&lt;=Assumptions!$C$6),1,0)</f>
        <v/>
      </c>
      <c r="V2107">
        <f>IF(U2107=1,IF(M2107&gt;0,IF(P2107&lt;=G2107+Assumptions!$C$7,1,0),0),0)</f>
        <v/>
      </c>
      <c r="W2107">
        <f>IF(AND(U2107=1,M2107&gt;=H2107*(1-Assumptions!$C$8)),1,0)</f>
        <v/>
      </c>
      <c r="X2107">
        <f>IF(AND(U2107=1,N2107&gt;=H2107*(1-Assumptions!$C$8)),1,0)</f>
        <v/>
      </c>
      <c r="Y2107">
        <f>IF(ISNUMBER(Q2107),1,0)</f>
        <v/>
      </c>
      <c r="Z2107">
        <f>IF(AND(K2107=0,L2107=0,Y2107=0),1,0)</f>
        <v/>
      </c>
      <c r="AA2107">
        <f>IF(AND(Z2107=1,G2107&lt;Assumptions!$C$6),1,0)</f>
        <v/>
      </c>
      <c r="AB2107">
        <f>IF(U2107=0,"",IF(Y2107=1,MAX(0,Q2107-G2107),IF(L2107=1,MAX(0,R2107-G2107),MAX(0,Assumptions!$C$6-G2107))))</f>
        <v/>
      </c>
      <c r="AC2107">
        <f>IF(Y2107=1,Q2107-F2107,"")</f>
        <v/>
      </c>
      <c r="AD2107">
        <f>IF(Y2107=1,AC2107^2,"")</f>
        <v/>
      </c>
      <c r="AE2107" s="19">
        <f>IF(Z2107=1,(H2107-M2107)*I2107,0)</f>
        <v/>
      </c>
      <c r="AF2107">
        <f>IF(G2107&lt;EDATE(Assumptions!$C$6,-12)+1,"prior_12m","last_12m")</f>
        <v/>
      </c>
      <c r="AG2107" s="21">
        <f>DATE(YEAR(G2107),MONTH(G2107),1)</f>
        <v/>
      </c>
    </row>
    <row r="2108">
      <c r="A2108" t="inlineStr">
        <is>
          <t>SPO-01141-1</t>
        </is>
      </c>
      <c r="B2108" t="inlineStr">
        <is>
          <t>SPO-01141</t>
        </is>
      </c>
      <c r="C2108" t="inlineStr">
        <is>
          <t>SUP-12</t>
        </is>
      </c>
      <c r="D2108" t="inlineStr">
        <is>
          <t>IT</t>
        </is>
      </c>
      <c r="E2108" t="inlineStr">
        <is>
          <t>IT-02</t>
        </is>
      </c>
      <c r="F2108" s="17" t="n">
        <v>45885</v>
      </c>
      <c r="G2108" s="17" t="n">
        <v>45895</v>
      </c>
      <c r="H2108" s="18" t="n">
        <v>8</v>
      </c>
      <c r="I2108" s="19" t="n">
        <v>184.21</v>
      </c>
      <c r="J2108" s="19" t="n">
        <v>162</v>
      </c>
      <c r="K2108" s="20" t="n">
        <v>0</v>
      </c>
      <c r="L2108" s="20" t="n">
        <v>0</v>
      </c>
      <c r="M2108" s="18" t="n">
        <v>8</v>
      </c>
      <c r="N2108" s="18" t="n">
        <v>8</v>
      </c>
      <c r="O2108" s="18" t="n">
        <v>0</v>
      </c>
      <c r="P2108" s="17" t="n">
        <v>45894</v>
      </c>
      <c r="Q2108" s="17" t="n">
        <v>45894</v>
      </c>
      <c r="R2108" s="17" t="n">
        <v>45894</v>
      </c>
      <c r="S2108" s="19">
        <f>H2108*I2108</f>
        <v/>
      </c>
      <c r="T2108" s="19">
        <f>H2108*J2108</f>
        <v/>
      </c>
      <c r="U2108">
        <f>IF(AND(K2108=0,G2108&lt;=Assumptions!$C$6),1,0)</f>
        <v/>
      </c>
      <c r="V2108">
        <f>IF(U2108=1,IF(M2108&gt;0,IF(P2108&lt;=G2108+Assumptions!$C$7,1,0),0),0)</f>
        <v/>
      </c>
      <c r="W2108">
        <f>IF(AND(U2108=1,M2108&gt;=H2108*(1-Assumptions!$C$8)),1,0)</f>
        <v/>
      </c>
      <c r="X2108">
        <f>IF(AND(U2108=1,N2108&gt;=H2108*(1-Assumptions!$C$8)),1,0)</f>
        <v/>
      </c>
      <c r="Y2108">
        <f>IF(ISNUMBER(Q2108),1,0)</f>
        <v/>
      </c>
      <c r="Z2108">
        <f>IF(AND(K2108=0,L2108=0,Y2108=0),1,0)</f>
        <v/>
      </c>
      <c r="AA2108">
        <f>IF(AND(Z2108=1,G2108&lt;Assumptions!$C$6),1,0)</f>
        <v/>
      </c>
      <c r="AB2108">
        <f>IF(U2108=0,"",IF(Y2108=1,MAX(0,Q2108-G2108),IF(L2108=1,MAX(0,R2108-G2108),MAX(0,Assumptions!$C$6-G2108))))</f>
        <v/>
      </c>
      <c r="AC2108">
        <f>IF(Y2108=1,Q2108-F2108,"")</f>
        <v/>
      </c>
      <c r="AD2108">
        <f>IF(Y2108=1,AC2108^2,"")</f>
        <v/>
      </c>
      <c r="AE2108" s="19">
        <f>IF(Z2108=1,(H2108-M2108)*I2108,0)</f>
        <v/>
      </c>
      <c r="AF2108">
        <f>IF(G2108&lt;EDATE(Assumptions!$C$6,-12)+1,"prior_12m","last_12m")</f>
        <v/>
      </c>
      <c r="AG2108" s="21">
        <f>DATE(YEAR(G2108),MONTH(G2108),1)</f>
        <v/>
      </c>
    </row>
    <row r="2109">
      <c r="A2109" t="inlineStr">
        <is>
          <t>SPO-01142-1</t>
        </is>
      </c>
      <c r="B2109" t="inlineStr">
        <is>
          <t>SPO-01142</t>
        </is>
      </c>
      <c r="C2109" t="inlineStr">
        <is>
          <t>SUP-08</t>
        </is>
      </c>
      <c r="D2109" t="inlineStr">
        <is>
          <t>MRO</t>
        </is>
      </c>
      <c r="E2109" t="inlineStr">
        <is>
          <t>MRO-06</t>
        </is>
      </c>
      <c r="F2109" s="17" t="n">
        <v>45885</v>
      </c>
      <c r="G2109" s="17" t="n">
        <v>45896</v>
      </c>
      <c r="H2109" s="18" t="n">
        <v>240</v>
      </c>
      <c r="I2109" s="19" t="n">
        <v>6.35</v>
      </c>
      <c r="J2109" s="19" t="n">
        <v>6.1</v>
      </c>
      <c r="K2109" s="20" t="n">
        <v>0</v>
      </c>
      <c r="L2109" s="20" t="n">
        <v>0</v>
      </c>
      <c r="M2109" s="18" t="n">
        <v>240</v>
      </c>
      <c r="N2109" s="18" t="n">
        <v>240</v>
      </c>
      <c r="O2109" s="18" t="n">
        <v>0</v>
      </c>
      <c r="P2109" s="17" t="n">
        <v>45894</v>
      </c>
      <c r="Q2109" s="17" t="n">
        <v>45894</v>
      </c>
      <c r="R2109" s="17" t="n">
        <v>45894</v>
      </c>
      <c r="S2109" s="19">
        <f>H2109*I2109</f>
        <v/>
      </c>
      <c r="T2109" s="19">
        <f>H2109*J2109</f>
        <v/>
      </c>
      <c r="U2109">
        <f>IF(AND(K2109=0,G2109&lt;=Assumptions!$C$6),1,0)</f>
        <v/>
      </c>
      <c r="V2109">
        <f>IF(U2109=1,IF(M2109&gt;0,IF(P2109&lt;=G2109+Assumptions!$C$7,1,0),0),0)</f>
        <v/>
      </c>
      <c r="W2109">
        <f>IF(AND(U2109=1,M2109&gt;=H2109*(1-Assumptions!$C$8)),1,0)</f>
        <v/>
      </c>
      <c r="X2109">
        <f>IF(AND(U2109=1,N2109&gt;=H2109*(1-Assumptions!$C$8)),1,0)</f>
        <v/>
      </c>
      <c r="Y2109">
        <f>IF(ISNUMBER(Q2109),1,0)</f>
        <v/>
      </c>
      <c r="Z2109">
        <f>IF(AND(K2109=0,L2109=0,Y2109=0),1,0)</f>
        <v/>
      </c>
      <c r="AA2109">
        <f>IF(AND(Z2109=1,G2109&lt;Assumptions!$C$6),1,0)</f>
        <v/>
      </c>
      <c r="AB2109">
        <f>IF(U2109=0,"",IF(Y2109=1,MAX(0,Q2109-G2109),IF(L2109=1,MAX(0,R2109-G2109),MAX(0,Assumptions!$C$6-G2109))))</f>
        <v/>
      </c>
      <c r="AC2109">
        <f>IF(Y2109=1,Q2109-F2109,"")</f>
        <v/>
      </c>
      <c r="AD2109">
        <f>IF(Y2109=1,AC2109^2,"")</f>
        <v/>
      </c>
      <c r="AE2109" s="19">
        <f>IF(Z2109=1,(H2109-M2109)*I2109,0)</f>
        <v/>
      </c>
      <c r="AF2109">
        <f>IF(G2109&lt;EDATE(Assumptions!$C$6,-12)+1,"prior_12m","last_12m")</f>
        <v/>
      </c>
      <c r="AG2109" s="21">
        <f>DATE(YEAR(G2109),MONTH(G2109),1)</f>
        <v/>
      </c>
    </row>
    <row r="2110">
      <c r="A2110" t="inlineStr">
        <is>
          <t>SPO-01143-1</t>
        </is>
      </c>
      <c r="B2110" t="inlineStr">
        <is>
          <t>SPO-01143</t>
        </is>
      </c>
      <c r="C2110" t="inlineStr">
        <is>
          <t>SUP-12</t>
        </is>
      </c>
      <c r="D2110" t="inlineStr">
        <is>
          <t>IT</t>
        </is>
      </c>
      <c r="E2110" t="inlineStr">
        <is>
          <t>IT-04</t>
        </is>
      </c>
      <c r="F2110" s="17" t="n">
        <v>45885</v>
      </c>
      <c r="G2110" s="17" t="n">
        <v>45895</v>
      </c>
      <c r="H2110" s="18" t="n">
        <v>85</v>
      </c>
      <c r="I2110" s="19" t="n">
        <v>13.05</v>
      </c>
      <c r="J2110" s="19" t="n">
        <v>12</v>
      </c>
      <c r="K2110" s="20" t="n">
        <v>0</v>
      </c>
      <c r="L2110" s="20" t="n">
        <v>0</v>
      </c>
      <c r="M2110" s="18" t="n">
        <v>85</v>
      </c>
      <c r="N2110" s="18" t="n">
        <v>0</v>
      </c>
      <c r="O2110" s="18" t="n">
        <v>0</v>
      </c>
      <c r="P2110" s="17" t="n">
        <v>45898</v>
      </c>
      <c r="Q2110" s="17" t="n">
        <v>45898</v>
      </c>
      <c r="R2110" s="17" t="n">
        <v>45898</v>
      </c>
      <c r="S2110" s="19">
        <f>H2110*I2110</f>
        <v/>
      </c>
      <c r="T2110" s="19">
        <f>H2110*J2110</f>
        <v/>
      </c>
      <c r="U2110">
        <f>IF(AND(K2110=0,G2110&lt;=Assumptions!$C$6),1,0)</f>
        <v/>
      </c>
      <c r="V2110">
        <f>IF(U2110=1,IF(M2110&gt;0,IF(P2110&lt;=G2110+Assumptions!$C$7,1,0),0),0)</f>
        <v/>
      </c>
      <c r="W2110">
        <f>IF(AND(U2110=1,M2110&gt;=H2110*(1-Assumptions!$C$8)),1,0)</f>
        <v/>
      </c>
      <c r="X2110">
        <f>IF(AND(U2110=1,N2110&gt;=H2110*(1-Assumptions!$C$8)),1,0)</f>
        <v/>
      </c>
      <c r="Y2110">
        <f>IF(ISNUMBER(Q2110),1,0)</f>
        <v/>
      </c>
      <c r="Z2110">
        <f>IF(AND(K2110=0,L2110=0,Y2110=0),1,0)</f>
        <v/>
      </c>
      <c r="AA2110">
        <f>IF(AND(Z2110=1,G2110&lt;Assumptions!$C$6),1,0)</f>
        <v/>
      </c>
      <c r="AB2110">
        <f>IF(U2110=0,"",IF(Y2110=1,MAX(0,Q2110-G2110),IF(L2110=1,MAX(0,R2110-G2110),MAX(0,Assumptions!$C$6-G2110))))</f>
        <v/>
      </c>
      <c r="AC2110">
        <f>IF(Y2110=1,Q2110-F2110,"")</f>
        <v/>
      </c>
      <c r="AD2110">
        <f>IF(Y2110=1,AC2110^2,"")</f>
        <v/>
      </c>
      <c r="AE2110" s="19">
        <f>IF(Z2110=1,(H2110-M2110)*I2110,0)</f>
        <v/>
      </c>
      <c r="AF2110">
        <f>IF(G2110&lt;EDATE(Assumptions!$C$6,-12)+1,"prior_12m","last_12m")</f>
        <v/>
      </c>
      <c r="AG2110" s="21">
        <f>DATE(YEAR(G2110),MONTH(G2110),1)</f>
        <v/>
      </c>
    </row>
    <row r="2111">
      <c r="A2111" t="inlineStr">
        <is>
          <t>SPO-01143-2</t>
        </is>
      </c>
      <c r="B2111" t="inlineStr">
        <is>
          <t>SPO-01143</t>
        </is>
      </c>
      <c r="C2111" t="inlineStr">
        <is>
          <t>SUP-12</t>
        </is>
      </c>
      <c r="D2111" t="inlineStr">
        <is>
          <t>IT</t>
        </is>
      </c>
      <c r="E2111" t="inlineStr">
        <is>
          <t>IT-02</t>
        </is>
      </c>
      <c r="F2111" s="17" t="n">
        <v>45885</v>
      </c>
      <c r="G2111" s="17" t="n">
        <v>45895</v>
      </c>
      <c r="H2111" s="18" t="n">
        <v>14</v>
      </c>
      <c r="I2111" s="19" t="n">
        <v>178.34</v>
      </c>
      <c r="J2111" s="19" t="n">
        <v>162</v>
      </c>
      <c r="K2111" s="20" t="n">
        <v>0</v>
      </c>
      <c r="L2111" s="20" t="n">
        <v>0</v>
      </c>
      <c r="M2111" s="18" t="n">
        <v>14</v>
      </c>
      <c r="N2111" s="18" t="n">
        <v>14</v>
      </c>
      <c r="O2111" s="18" t="n">
        <v>0</v>
      </c>
      <c r="P2111" s="17" t="n">
        <v>45887</v>
      </c>
      <c r="Q2111" s="17" t="n">
        <v>45887</v>
      </c>
      <c r="R2111" s="17" t="n">
        <v>45887</v>
      </c>
      <c r="S2111" s="19">
        <f>H2111*I2111</f>
        <v/>
      </c>
      <c r="T2111" s="19">
        <f>H2111*J2111</f>
        <v/>
      </c>
      <c r="U2111">
        <f>IF(AND(K2111=0,G2111&lt;=Assumptions!$C$6),1,0)</f>
        <v/>
      </c>
      <c r="V2111">
        <f>IF(U2111=1,IF(M2111&gt;0,IF(P2111&lt;=G2111+Assumptions!$C$7,1,0),0),0)</f>
        <v/>
      </c>
      <c r="W2111">
        <f>IF(AND(U2111=1,M2111&gt;=H2111*(1-Assumptions!$C$8)),1,0)</f>
        <v/>
      </c>
      <c r="X2111">
        <f>IF(AND(U2111=1,N2111&gt;=H2111*(1-Assumptions!$C$8)),1,0)</f>
        <v/>
      </c>
      <c r="Y2111">
        <f>IF(ISNUMBER(Q2111),1,0)</f>
        <v/>
      </c>
      <c r="Z2111">
        <f>IF(AND(K2111=0,L2111=0,Y2111=0),1,0)</f>
        <v/>
      </c>
      <c r="AA2111">
        <f>IF(AND(Z2111=1,G2111&lt;Assumptions!$C$6),1,0)</f>
        <v/>
      </c>
      <c r="AB2111">
        <f>IF(U2111=0,"",IF(Y2111=1,MAX(0,Q2111-G2111),IF(L2111=1,MAX(0,R2111-G2111),MAX(0,Assumptions!$C$6-G2111))))</f>
        <v/>
      </c>
      <c r="AC2111">
        <f>IF(Y2111=1,Q2111-F2111,"")</f>
        <v/>
      </c>
      <c r="AD2111">
        <f>IF(Y2111=1,AC2111^2,"")</f>
        <v/>
      </c>
      <c r="AE2111" s="19">
        <f>IF(Z2111=1,(H2111-M2111)*I2111,0)</f>
        <v/>
      </c>
      <c r="AF2111">
        <f>IF(G2111&lt;EDATE(Assumptions!$C$6,-12)+1,"prior_12m","last_12m")</f>
        <v/>
      </c>
      <c r="AG2111" s="21">
        <f>DATE(YEAR(G2111),MONTH(G2111),1)</f>
        <v/>
      </c>
    </row>
    <row r="2112">
      <c r="A2112" t="inlineStr">
        <is>
          <t>SPO-01143-3</t>
        </is>
      </c>
      <c r="B2112" t="inlineStr">
        <is>
          <t>SPO-01143</t>
        </is>
      </c>
      <c r="C2112" t="inlineStr">
        <is>
          <t>SUP-12</t>
        </is>
      </c>
      <c r="D2112" t="inlineStr">
        <is>
          <t>IT</t>
        </is>
      </c>
      <c r="E2112" t="inlineStr">
        <is>
          <t>IT-05</t>
        </is>
      </c>
      <c r="F2112" s="17" t="n">
        <v>45885</v>
      </c>
      <c r="G2112" s="17" t="n">
        <v>45895</v>
      </c>
      <c r="H2112" s="18" t="n">
        <v>1</v>
      </c>
      <c r="I2112" s="19" t="n">
        <v>735.1799999999999</v>
      </c>
      <c r="J2112" s="19" t="n">
        <v>640</v>
      </c>
      <c r="K2112" s="20" t="n">
        <v>0</v>
      </c>
      <c r="L2112" s="20" t="n">
        <v>0</v>
      </c>
      <c r="M2112" s="18" t="n">
        <v>1</v>
      </c>
      <c r="N2112" s="18" t="n">
        <v>1</v>
      </c>
      <c r="O2112" s="18" t="n">
        <v>0</v>
      </c>
      <c r="P2112" s="17" t="n">
        <v>45894</v>
      </c>
      <c r="Q2112" s="17" t="n">
        <v>45894</v>
      </c>
      <c r="R2112" s="17" t="n">
        <v>45894</v>
      </c>
      <c r="S2112" s="19">
        <f>H2112*I2112</f>
        <v/>
      </c>
      <c r="T2112" s="19">
        <f>H2112*J2112</f>
        <v/>
      </c>
      <c r="U2112">
        <f>IF(AND(K2112=0,G2112&lt;=Assumptions!$C$6),1,0)</f>
        <v/>
      </c>
      <c r="V2112">
        <f>IF(U2112=1,IF(M2112&gt;0,IF(P2112&lt;=G2112+Assumptions!$C$7,1,0),0),0)</f>
        <v/>
      </c>
      <c r="W2112">
        <f>IF(AND(U2112=1,M2112&gt;=H2112*(1-Assumptions!$C$8)),1,0)</f>
        <v/>
      </c>
      <c r="X2112">
        <f>IF(AND(U2112=1,N2112&gt;=H2112*(1-Assumptions!$C$8)),1,0)</f>
        <v/>
      </c>
      <c r="Y2112">
        <f>IF(ISNUMBER(Q2112),1,0)</f>
        <v/>
      </c>
      <c r="Z2112">
        <f>IF(AND(K2112=0,L2112=0,Y2112=0),1,0)</f>
        <v/>
      </c>
      <c r="AA2112">
        <f>IF(AND(Z2112=1,G2112&lt;Assumptions!$C$6),1,0)</f>
        <v/>
      </c>
      <c r="AB2112">
        <f>IF(U2112=0,"",IF(Y2112=1,MAX(0,Q2112-G2112),IF(L2112=1,MAX(0,R2112-G2112),MAX(0,Assumptions!$C$6-G2112))))</f>
        <v/>
      </c>
      <c r="AC2112">
        <f>IF(Y2112=1,Q2112-F2112,"")</f>
        <v/>
      </c>
      <c r="AD2112">
        <f>IF(Y2112=1,AC2112^2,"")</f>
        <v/>
      </c>
      <c r="AE2112" s="19">
        <f>IF(Z2112=1,(H2112-M2112)*I2112,0)</f>
        <v/>
      </c>
      <c r="AF2112">
        <f>IF(G2112&lt;EDATE(Assumptions!$C$6,-12)+1,"prior_12m","last_12m")</f>
        <v/>
      </c>
      <c r="AG2112" s="21">
        <f>DATE(YEAR(G2112),MONTH(G2112),1)</f>
        <v/>
      </c>
    </row>
    <row r="2113">
      <c r="A2113" t="inlineStr">
        <is>
          <t>SPO-01144-1</t>
        </is>
      </c>
      <c r="B2113" t="inlineStr">
        <is>
          <t>SPO-01144</t>
        </is>
      </c>
      <c r="C2113" t="inlineStr">
        <is>
          <t>SUP-11</t>
        </is>
      </c>
      <c r="D2113" t="inlineStr">
        <is>
          <t>PPE</t>
        </is>
      </c>
      <c r="E2113" t="inlineStr">
        <is>
          <t>PPE-02</t>
        </is>
      </c>
      <c r="F2113" s="17" t="n">
        <v>45885</v>
      </c>
      <c r="G2113" s="17" t="n">
        <v>45897</v>
      </c>
      <c r="H2113" s="18" t="n">
        <v>167</v>
      </c>
      <c r="I2113" s="19" t="n">
        <v>13.01</v>
      </c>
      <c r="J2113" s="19" t="n">
        <v>12.5</v>
      </c>
      <c r="K2113" s="20" t="n">
        <v>0</v>
      </c>
      <c r="L2113" s="20" t="n">
        <v>0</v>
      </c>
      <c r="M2113" s="18" t="n">
        <v>167</v>
      </c>
      <c r="N2113" s="18" t="n">
        <v>167</v>
      </c>
      <c r="O2113" s="18" t="n">
        <v>0</v>
      </c>
      <c r="P2113" s="17" t="n">
        <v>45895</v>
      </c>
      <c r="Q2113" s="17" t="n">
        <v>45895</v>
      </c>
      <c r="R2113" s="17" t="n">
        <v>45895</v>
      </c>
      <c r="S2113" s="19">
        <f>H2113*I2113</f>
        <v/>
      </c>
      <c r="T2113" s="19">
        <f>H2113*J2113</f>
        <v/>
      </c>
      <c r="U2113">
        <f>IF(AND(K2113=0,G2113&lt;=Assumptions!$C$6),1,0)</f>
        <v/>
      </c>
      <c r="V2113">
        <f>IF(U2113=1,IF(M2113&gt;0,IF(P2113&lt;=G2113+Assumptions!$C$7,1,0),0),0)</f>
        <v/>
      </c>
      <c r="W2113">
        <f>IF(AND(U2113=1,M2113&gt;=H2113*(1-Assumptions!$C$8)),1,0)</f>
        <v/>
      </c>
      <c r="X2113">
        <f>IF(AND(U2113=1,N2113&gt;=H2113*(1-Assumptions!$C$8)),1,0)</f>
        <v/>
      </c>
      <c r="Y2113">
        <f>IF(ISNUMBER(Q2113),1,0)</f>
        <v/>
      </c>
      <c r="Z2113">
        <f>IF(AND(K2113=0,L2113=0,Y2113=0),1,0)</f>
        <v/>
      </c>
      <c r="AA2113">
        <f>IF(AND(Z2113=1,G2113&lt;Assumptions!$C$6),1,0)</f>
        <v/>
      </c>
      <c r="AB2113">
        <f>IF(U2113=0,"",IF(Y2113=1,MAX(0,Q2113-G2113),IF(L2113=1,MAX(0,R2113-G2113),MAX(0,Assumptions!$C$6-G2113))))</f>
        <v/>
      </c>
      <c r="AC2113">
        <f>IF(Y2113=1,Q2113-F2113,"")</f>
        <v/>
      </c>
      <c r="AD2113">
        <f>IF(Y2113=1,AC2113^2,"")</f>
        <v/>
      </c>
      <c r="AE2113" s="19">
        <f>IF(Z2113=1,(H2113-M2113)*I2113,0)</f>
        <v/>
      </c>
      <c r="AF2113">
        <f>IF(G2113&lt;EDATE(Assumptions!$C$6,-12)+1,"prior_12m","last_12m")</f>
        <v/>
      </c>
      <c r="AG2113" s="21">
        <f>DATE(YEAR(G2113),MONTH(G2113),1)</f>
        <v/>
      </c>
    </row>
    <row r="2114">
      <c r="A2114" t="inlineStr">
        <is>
          <t>SPO-01145-1</t>
        </is>
      </c>
      <c r="B2114" t="inlineStr">
        <is>
          <t>SPO-01145</t>
        </is>
      </c>
      <c r="C2114" t="inlineStr">
        <is>
          <t>SUP-05</t>
        </is>
      </c>
      <c r="D2114" t="inlineStr">
        <is>
          <t>FLEET</t>
        </is>
      </c>
      <c r="E2114" t="inlineStr">
        <is>
          <t>FLEET-08</t>
        </is>
      </c>
      <c r="F2114" s="17" t="n">
        <v>45885</v>
      </c>
      <c r="G2114" s="17" t="n">
        <v>45899</v>
      </c>
      <c r="H2114" s="18" t="n">
        <v>299</v>
      </c>
      <c r="I2114" s="19" t="n">
        <v>6.5</v>
      </c>
      <c r="J2114" s="19" t="n">
        <v>6.4</v>
      </c>
      <c r="K2114" s="20" t="n">
        <v>0</v>
      </c>
      <c r="L2114" s="20" t="n">
        <v>0</v>
      </c>
      <c r="M2114" s="18" t="n">
        <v>299</v>
      </c>
      <c r="N2114" s="18" t="n">
        <v>299</v>
      </c>
      <c r="O2114" s="18" t="n">
        <v>0</v>
      </c>
      <c r="P2114" s="17" t="n">
        <v>45897</v>
      </c>
      <c r="Q2114" s="17" t="n">
        <v>45897</v>
      </c>
      <c r="R2114" s="17" t="n">
        <v>45897</v>
      </c>
      <c r="S2114" s="19">
        <f>H2114*I2114</f>
        <v/>
      </c>
      <c r="T2114" s="19">
        <f>H2114*J2114</f>
        <v/>
      </c>
      <c r="U2114">
        <f>IF(AND(K2114=0,G2114&lt;=Assumptions!$C$6),1,0)</f>
        <v/>
      </c>
      <c r="V2114">
        <f>IF(U2114=1,IF(M2114&gt;0,IF(P2114&lt;=G2114+Assumptions!$C$7,1,0),0),0)</f>
        <v/>
      </c>
      <c r="W2114">
        <f>IF(AND(U2114=1,M2114&gt;=H2114*(1-Assumptions!$C$8)),1,0)</f>
        <v/>
      </c>
      <c r="X2114">
        <f>IF(AND(U2114=1,N2114&gt;=H2114*(1-Assumptions!$C$8)),1,0)</f>
        <v/>
      </c>
      <c r="Y2114">
        <f>IF(ISNUMBER(Q2114),1,0)</f>
        <v/>
      </c>
      <c r="Z2114">
        <f>IF(AND(K2114=0,L2114=0,Y2114=0),1,0)</f>
        <v/>
      </c>
      <c r="AA2114">
        <f>IF(AND(Z2114=1,G2114&lt;Assumptions!$C$6),1,0)</f>
        <v/>
      </c>
      <c r="AB2114">
        <f>IF(U2114=0,"",IF(Y2114=1,MAX(0,Q2114-G2114),IF(L2114=1,MAX(0,R2114-G2114),MAX(0,Assumptions!$C$6-G2114))))</f>
        <v/>
      </c>
      <c r="AC2114">
        <f>IF(Y2114=1,Q2114-F2114,"")</f>
        <v/>
      </c>
      <c r="AD2114">
        <f>IF(Y2114=1,AC2114^2,"")</f>
        <v/>
      </c>
      <c r="AE2114" s="19">
        <f>IF(Z2114=1,(H2114-M2114)*I2114,0)</f>
        <v/>
      </c>
      <c r="AF2114">
        <f>IF(G2114&lt;EDATE(Assumptions!$C$6,-12)+1,"prior_12m","last_12m")</f>
        <v/>
      </c>
      <c r="AG2114" s="21">
        <f>DATE(YEAR(G2114),MONTH(G2114),1)</f>
        <v/>
      </c>
    </row>
    <row r="2115">
      <c r="A2115" t="inlineStr">
        <is>
          <t>SPO-01145-2</t>
        </is>
      </c>
      <c r="B2115" t="inlineStr">
        <is>
          <t>SPO-01145</t>
        </is>
      </c>
      <c r="C2115" t="inlineStr">
        <is>
          <t>SUP-05</t>
        </is>
      </c>
      <c r="D2115" t="inlineStr">
        <is>
          <t>FLEET</t>
        </is>
      </c>
      <c r="E2115" t="inlineStr">
        <is>
          <t>FLEET-03</t>
        </is>
      </c>
      <c r="F2115" s="17" t="n">
        <v>45885</v>
      </c>
      <c r="G2115" s="17" t="n">
        <v>45899</v>
      </c>
      <c r="H2115" s="18" t="n">
        <v>53</v>
      </c>
      <c r="I2115" s="19" t="n">
        <v>21.12</v>
      </c>
      <c r="J2115" s="19" t="n">
        <v>21</v>
      </c>
      <c r="K2115" s="20" t="n">
        <v>0</v>
      </c>
      <c r="L2115" s="20" t="n">
        <v>0</v>
      </c>
      <c r="M2115" s="18" t="n">
        <v>53</v>
      </c>
      <c r="N2115" s="18" t="n">
        <v>53</v>
      </c>
      <c r="O2115" s="18" t="n">
        <v>0</v>
      </c>
      <c r="P2115" s="17" t="n">
        <v>45898</v>
      </c>
      <c r="Q2115" s="17" t="n">
        <v>45898</v>
      </c>
      <c r="R2115" s="17" t="n">
        <v>45898</v>
      </c>
      <c r="S2115" s="19">
        <f>H2115*I2115</f>
        <v/>
      </c>
      <c r="T2115" s="19">
        <f>H2115*J2115</f>
        <v/>
      </c>
      <c r="U2115">
        <f>IF(AND(K2115=0,G2115&lt;=Assumptions!$C$6),1,0)</f>
        <v/>
      </c>
      <c r="V2115">
        <f>IF(U2115=1,IF(M2115&gt;0,IF(P2115&lt;=G2115+Assumptions!$C$7,1,0),0),0)</f>
        <v/>
      </c>
      <c r="W2115">
        <f>IF(AND(U2115=1,M2115&gt;=H2115*(1-Assumptions!$C$8)),1,0)</f>
        <v/>
      </c>
      <c r="X2115">
        <f>IF(AND(U2115=1,N2115&gt;=H2115*(1-Assumptions!$C$8)),1,0)</f>
        <v/>
      </c>
      <c r="Y2115">
        <f>IF(ISNUMBER(Q2115),1,0)</f>
        <v/>
      </c>
      <c r="Z2115">
        <f>IF(AND(K2115=0,L2115=0,Y2115=0),1,0)</f>
        <v/>
      </c>
      <c r="AA2115">
        <f>IF(AND(Z2115=1,G2115&lt;Assumptions!$C$6),1,0)</f>
        <v/>
      </c>
      <c r="AB2115">
        <f>IF(U2115=0,"",IF(Y2115=1,MAX(0,Q2115-G2115),IF(L2115=1,MAX(0,R2115-G2115),MAX(0,Assumptions!$C$6-G2115))))</f>
        <v/>
      </c>
      <c r="AC2115">
        <f>IF(Y2115=1,Q2115-F2115,"")</f>
        <v/>
      </c>
      <c r="AD2115">
        <f>IF(Y2115=1,AC2115^2,"")</f>
        <v/>
      </c>
      <c r="AE2115" s="19">
        <f>IF(Z2115=1,(H2115-M2115)*I2115,0)</f>
        <v/>
      </c>
      <c r="AF2115">
        <f>IF(G2115&lt;EDATE(Assumptions!$C$6,-12)+1,"prior_12m","last_12m")</f>
        <v/>
      </c>
      <c r="AG2115" s="21">
        <f>DATE(YEAR(G2115),MONTH(G2115),1)</f>
        <v/>
      </c>
    </row>
    <row r="2116">
      <c r="A2116" t="inlineStr">
        <is>
          <t>SPO-01145-3</t>
        </is>
      </c>
      <c r="B2116" t="inlineStr">
        <is>
          <t>SPO-01145</t>
        </is>
      </c>
      <c r="C2116" t="inlineStr">
        <is>
          <t>SUP-05</t>
        </is>
      </c>
      <c r="D2116" t="inlineStr">
        <is>
          <t>FLEET</t>
        </is>
      </c>
      <c r="E2116" t="inlineStr">
        <is>
          <t>FLEET-07</t>
        </is>
      </c>
      <c r="F2116" s="17" t="n">
        <v>45885</v>
      </c>
      <c r="G2116" s="17" t="n">
        <v>45899</v>
      </c>
      <c r="H2116" s="18" t="n">
        <v>8</v>
      </c>
      <c r="I2116" s="19" t="n">
        <v>118.6</v>
      </c>
      <c r="J2116" s="19" t="n">
        <v>118</v>
      </c>
      <c r="K2116" s="20" t="n">
        <v>0</v>
      </c>
      <c r="L2116" s="20" t="n">
        <v>0</v>
      </c>
      <c r="M2116" s="18" t="n">
        <v>8</v>
      </c>
      <c r="N2116" s="18" t="n">
        <v>0</v>
      </c>
      <c r="O2116" s="18" t="n">
        <v>0</v>
      </c>
      <c r="P2116" s="17" t="n">
        <v>45901</v>
      </c>
      <c r="Q2116" s="17" t="n">
        <v>45901</v>
      </c>
      <c r="R2116" s="17" t="n">
        <v>45901</v>
      </c>
      <c r="S2116" s="19">
        <f>H2116*I2116</f>
        <v/>
      </c>
      <c r="T2116" s="19">
        <f>H2116*J2116</f>
        <v/>
      </c>
      <c r="U2116">
        <f>IF(AND(K2116=0,G2116&lt;=Assumptions!$C$6),1,0)</f>
        <v/>
      </c>
      <c r="V2116">
        <f>IF(U2116=1,IF(M2116&gt;0,IF(P2116&lt;=G2116+Assumptions!$C$7,1,0),0),0)</f>
        <v/>
      </c>
      <c r="W2116">
        <f>IF(AND(U2116=1,M2116&gt;=H2116*(1-Assumptions!$C$8)),1,0)</f>
        <v/>
      </c>
      <c r="X2116">
        <f>IF(AND(U2116=1,N2116&gt;=H2116*(1-Assumptions!$C$8)),1,0)</f>
        <v/>
      </c>
      <c r="Y2116">
        <f>IF(ISNUMBER(Q2116),1,0)</f>
        <v/>
      </c>
      <c r="Z2116">
        <f>IF(AND(K2116=0,L2116=0,Y2116=0),1,0)</f>
        <v/>
      </c>
      <c r="AA2116">
        <f>IF(AND(Z2116=1,G2116&lt;Assumptions!$C$6),1,0)</f>
        <v/>
      </c>
      <c r="AB2116">
        <f>IF(U2116=0,"",IF(Y2116=1,MAX(0,Q2116-G2116),IF(L2116=1,MAX(0,R2116-G2116),MAX(0,Assumptions!$C$6-G2116))))</f>
        <v/>
      </c>
      <c r="AC2116">
        <f>IF(Y2116=1,Q2116-F2116,"")</f>
        <v/>
      </c>
      <c r="AD2116">
        <f>IF(Y2116=1,AC2116^2,"")</f>
        <v/>
      </c>
      <c r="AE2116" s="19">
        <f>IF(Z2116=1,(H2116-M2116)*I2116,0)</f>
        <v/>
      </c>
      <c r="AF2116">
        <f>IF(G2116&lt;EDATE(Assumptions!$C$6,-12)+1,"prior_12m","last_12m")</f>
        <v/>
      </c>
      <c r="AG2116" s="21">
        <f>DATE(YEAR(G2116),MONTH(G2116),1)</f>
        <v/>
      </c>
    </row>
    <row r="2117">
      <c r="A2117" t="inlineStr">
        <is>
          <t>SPO-01146-1</t>
        </is>
      </c>
      <c r="B2117" t="inlineStr">
        <is>
          <t>SPO-01146</t>
        </is>
      </c>
      <c r="C2117" t="inlineStr">
        <is>
          <t>SUP-06</t>
        </is>
      </c>
      <c r="D2117" t="inlineStr">
        <is>
          <t>MRO</t>
        </is>
      </c>
      <c r="E2117" t="inlineStr">
        <is>
          <t>MRO-06</t>
        </is>
      </c>
      <c r="F2117" s="17" t="n">
        <v>45886</v>
      </c>
      <c r="G2117" s="17" t="n">
        <v>45894</v>
      </c>
      <c r="H2117" s="18" t="n">
        <v>221</v>
      </c>
      <c r="I2117" s="19" t="n">
        <v>5.88</v>
      </c>
      <c r="J2117" s="19" t="n">
        <v>6.1</v>
      </c>
      <c r="K2117" s="20" t="n">
        <v>0</v>
      </c>
      <c r="L2117" s="20" t="n">
        <v>0</v>
      </c>
      <c r="M2117" s="18" t="n">
        <v>221</v>
      </c>
      <c r="N2117" s="18" t="n">
        <v>221</v>
      </c>
      <c r="O2117" s="18" t="n">
        <v>0</v>
      </c>
      <c r="P2117" s="17" t="n">
        <v>45893</v>
      </c>
      <c r="Q2117" s="17" t="n">
        <v>45893</v>
      </c>
      <c r="R2117" s="17" t="n">
        <v>45893</v>
      </c>
      <c r="S2117" s="19">
        <f>H2117*I2117</f>
        <v/>
      </c>
      <c r="T2117" s="19">
        <f>H2117*J2117</f>
        <v/>
      </c>
      <c r="U2117">
        <f>IF(AND(K2117=0,G2117&lt;=Assumptions!$C$6),1,0)</f>
        <v/>
      </c>
      <c r="V2117">
        <f>IF(U2117=1,IF(M2117&gt;0,IF(P2117&lt;=G2117+Assumptions!$C$7,1,0),0),0)</f>
        <v/>
      </c>
      <c r="W2117">
        <f>IF(AND(U2117=1,M2117&gt;=H2117*(1-Assumptions!$C$8)),1,0)</f>
        <v/>
      </c>
      <c r="X2117">
        <f>IF(AND(U2117=1,N2117&gt;=H2117*(1-Assumptions!$C$8)),1,0)</f>
        <v/>
      </c>
      <c r="Y2117">
        <f>IF(ISNUMBER(Q2117),1,0)</f>
        <v/>
      </c>
      <c r="Z2117">
        <f>IF(AND(K2117=0,L2117=0,Y2117=0),1,0)</f>
        <v/>
      </c>
      <c r="AA2117">
        <f>IF(AND(Z2117=1,G2117&lt;Assumptions!$C$6),1,0)</f>
        <v/>
      </c>
      <c r="AB2117">
        <f>IF(U2117=0,"",IF(Y2117=1,MAX(0,Q2117-G2117),IF(L2117=1,MAX(0,R2117-G2117),MAX(0,Assumptions!$C$6-G2117))))</f>
        <v/>
      </c>
      <c r="AC2117">
        <f>IF(Y2117=1,Q2117-F2117,"")</f>
        <v/>
      </c>
      <c r="AD2117">
        <f>IF(Y2117=1,AC2117^2,"")</f>
        <v/>
      </c>
      <c r="AE2117" s="19">
        <f>IF(Z2117=1,(H2117-M2117)*I2117,0)</f>
        <v/>
      </c>
      <c r="AF2117">
        <f>IF(G2117&lt;EDATE(Assumptions!$C$6,-12)+1,"prior_12m","last_12m")</f>
        <v/>
      </c>
      <c r="AG2117" s="21">
        <f>DATE(YEAR(G2117),MONTH(G2117),1)</f>
        <v/>
      </c>
    </row>
    <row r="2118">
      <c r="A2118" t="inlineStr">
        <is>
          <t>SPO-01147-1</t>
        </is>
      </c>
      <c r="B2118" t="inlineStr">
        <is>
          <t>SPO-01147</t>
        </is>
      </c>
      <c r="C2118" t="inlineStr">
        <is>
          <t>SUP-02</t>
        </is>
      </c>
      <c r="D2118" t="inlineStr">
        <is>
          <t>ELEC</t>
        </is>
      </c>
      <c r="E2118" t="inlineStr">
        <is>
          <t>ELEC-02</t>
        </is>
      </c>
      <c r="F2118" s="17" t="n">
        <v>45886</v>
      </c>
      <c r="G2118" s="17" t="n">
        <v>45902</v>
      </c>
      <c r="H2118" s="18" t="n">
        <v>224</v>
      </c>
      <c r="I2118" s="19" t="n">
        <v>4.32</v>
      </c>
      <c r="J2118" s="19" t="n">
        <v>4.2</v>
      </c>
      <c r="K2118" s="20" t="n">
        <v>0</v>
      </c>
      <c r="L2118" s="20" t="n">
        <v>0</v>
      </c>
      <c r="M2118" s="18" t="n">
        <v>224</v>
      </c>
      <c r="N2118" s="18" t="n">
        <v>224</v>
      </c>
      <c r="O2118" s="18" t="n">
        <v>0</v>
      </c>
      <c r="P2118" s="17" t="n">
        <v>45899</v>
      </c>
      <c r="Q2118" s="17" t="n">
        <v>45899</v>
      </c>
      <c r="R2118" s="17" t="n">
        <v>45899</v>
      </c>
      <c r="S2118" s="19">
        <f>H2118*I2118</f>
        <v/>
      </c>
      <c r="T2118" s="19">
        <f>H2118*J2118</f>
        <v/>
      </c>
      <c r="U2118">
        <f>IF(AND(K2118=0,G2118&lt;=Assumptions!$C$6),1,0)</f>
        <v/>
      </c>
      <c r="V2118">
        <f>IF(U2118=1,IF(M2118&gt;0,IF(P2118&lt;=G2118+Assumptions!$C$7,1,0),0),0)</f>
        <v/>
      </c>
      <c r="W2118">
        <f>IF(AND(U2118=1,M2118&gt;=H2118*(1-Assumptions!$C$8)),1,0)</f>
        <v/>
      </c>
      <c r="X2118">
        <f>IF(AND(U2118=1,N2118&gt;=H2118*(1-Assumptions!$C$8)),1,0)</f>
        <v/>
      </c>
      <c r="Y2118">
        <f>IF(ISNUMBER(Q2118),1,0)</f>
        <v/>
      </c>
      <c r="Z2118">
        <f>IF(AND(K2118=0,L2118=0,Y2118=0),1,0)</f>
        <v/>
      </c>
      <c r="AA2118">
        <f>IF(AND(Z2118=1,G2118&lt;Assumptions!$C$6),1,0)</f>
        <v/>
      </c>
      <c r="AB2118">
        <f>IF(U2118=0,"",IF(Y2118=1,MAX(0,Q2118-G2118),IF(L2118=1,MAX(0,R2118-G2118),MAX(0,Assumptions!$C$6-G2118))))</f>
        <v/>
      </c>
      <c r="AC2118">
        <f>IF(Y2118=1,Q2118-F2118,"")</f>
        <v/>
      </c>
      <c r="AD2118">
        <f>IF(Y2118=1,AC2118^2,"")</f>
        <v/>
      </c>
      <c r="AE2118" s="19">
        <f>IF(Z2118=1,(H2118-M2118)*I2118,0)</f>
        <v/>
      </c>
      <c r="AF2118">
        <f>IF(G2118&lt;EDATE(Assumptions!$C$6,-12)+1,"prior_12m","last_12m")</f>
        <v/>
      </c>
      <c r="AG2118" s="21">
        <f>DATE(YEAR(G2118),MONTH(G2118),1)</f>
        <v/>
      </c>
    </row>
    <row r="2119">
      <c r="A2119" t="inlineStr">
        <is>
          <t>SPO-01148-1</t>
        </is>
      </c>
      <c r="B2119" t="inlineStr">
        <is>
          <t>SPO-01148</t>
        </is>
      </c>
      <c r="C2119" t="inlineStr">
        <is>
          <t>SUP-01</t>
        </is>
      </c>
      <c r="D2119" t="inlineStr">
        <is>
          <t>ELEC</t>
        </is>
      </c>
      <c r="E2119" t="inlineStr">
        <is>
          <t>ELEC-02</t>
        </is>
      </c>
      <c r="F2119" s="17" t="n">
        <v>45886</v>
      </c>
      <c r="G2119" s="17" t="n">
        <v>45904</v>
      </c>
      <c r="H2119" s="18" t="n">
        <v>1213</v>
      </c>
      <c r="I2119" s="19" t="n">
        <v>4.47</v>
      </c>
      <c r="J2119" s="19" t="n">
        <v>4.2</v>
      </c>
      <c r="K2119" s="20" t="n">
        <v>0</v>
      </c>
      <c r="L2119" s="20" t="n">
        <v>0</v>
      </c>
      <c r="M2119" s="18" t="n">
        <v>1213</v>
      </c>
      <c r="N2119" s="18" t="n">
        <v>1213</v>
      </c>
      <c r="O2119" s="18" t="n">
        <v>0</v>
      </c>
      <c r="P2119" s="17" t="n">
        <v>45899</v>
      </c>
      <c r="Q2119" s="17" t="n">
        <v>45899</v>
      </c>
      <c r="R2119" s="17" t="n">
        <v>45899</v>
      </c>
      <c r="S2119" s="19">
        <f>H2119*I2119</f>
        <v/>
      </c>
      <c r="T2119" s="19">
        <f>H2119*J2119</f>
        <v/>
      </c>
      <c r="U2119">
        <f>IF(AND(K2119=0,G2119&lt;=Assumptions!$C$6),1,0)</f>
        <v/>
      </c>
      <c r="V2119">
        <f>IF(U2119=1,IF(M2119&gt;0,IF(P2119&lt;=G2119+Assumptions!$C$7,1,0),0),0)</f>
        <v/>
      </c>
      <c r="W2119">
        <f>IF(AND(U2119=1,M2119&gt;=H2119*(1-Assumptions!$C$8)),1,0)</f>
        <v/>
      </c>
      <c r="X2119">
        <f>IF(AND(U2119=1,N2119&gt;=H2119*(1-Assumptions!$C$8)),1,0)</f>
        <v/>
      </c>
      <c r="Y2119">
        <f>IF(ISNUMBER(Q2119),1,0)</f>
        <v/>
      </c>
      <c r="Z2119">
        <f>IF(AND(K2119=0,L2119=0,Y2119=0),1,0)</f>
        <v/>
      </c>
      <c r="AA2119">
        <f>IF(AND(Z2119=1,G2119&lt;Assumptions!$C$6),1,0)</f>
        <v/>
      </c>
      <c r="AB2119">
        <f>IF(U2119=0,"",IF(Y2119=1,MAX(0,Q2119-G2119),IF(L2119=1,MAX(0,R2119-G2119),MAX(0,Assumptions!$C$6-G2119))))</f>
        <v/>
      </c>
      <c r="AC2119">
        <f>IF(Y2119=1,Q2119-F2119,"")</f>
        <v/>
      </c>
      <c r="AD2119">
        <f>IF(Y2119=1,AC2119^2,"")</f>
        <v/>
      </c>
      <c r="AE2119" s="19">
        <f>IF(Z2119=1,(H2119-M2119)*I2119,0)</f>
        <v/>
      </c>
      <c r="AF2119">
        <f>IF(G2119&lt;EDATE(Assumptions!$C$6,-12)+1,"prior_12m","last_12m")</f>
        <v/>
      </c>
      <c r="AG2119" s="21">
        <f>DATE(YEAR(G2119),MONTH(G2119),1)</f>
        <v/>
      </c>
    </row>
    <row r="2120">
      <c r="A2120" t="inlineStr">
        <is>
          <t>SPO-01149-1</t>
        </is>
      </c>
      <c r="B2120" t="inlineStr">
        <is>
          <t>SPO-01149</t>
        </is>
      </c>
      <c r="C2120" t="inlineStr">
        <is>
          <t>SUP-09</t>
        </is>
      </c>
      <c r="D2120" t="inlineStr">
        <is>
          <t>CHEM</t>
        </is>
      </c>
      <c r="E2120" t="inlineStr">
        <is>
          <t>CHEM-05</t>
        </is>
      </c>
      <c r="F2120" s="17" t="n">
        <v>45886</v>
      </c>
      <c r="G2120" s="17" t="n">
        <v>45900</v>
      </c>
      <c r="H2120" s="18" t="n">
        <v>3</v>
      </c>
      <c r="I2120" s="19" t="n">
        <v>953.53</v>
      </c>
      <c r="J2120" s="19" t="n">
        <v>930</v>
      </c>
      <c r="K2120" s="20" t="n">
        <v>0</v>
      </c>
      <c r="L2120" s="20" t="n">
        <v>0</v>
      </c>
      <c r="M2120" s="18" t="n">
        <v>3</v>
      </c>
      <c r="N2120" s="18" t="n">
        <v>3</v>
      </c>
      <c r="O2120" s="18" t="n">
        <v>0</v>
      </c>
      <c r="P2120" s="17" t="n">
        <v>45899</v>
      </c>
      <c r="Q2120" s="17" t="n">
        <v>45899</v>
      </c>
      <c r="R2120" s="17" t="n">
        <v>45899</v>
      </c>
      <c r="S2120" s="19">
        <f>H2120*I2120</f>
        <v/>
      </c>
      <c r="T2120" s="19">
        <f>H2120*J2120</f>
        <v/>
      </c>
      <c r="U2120">
        <f>IF(AND(K2120=0,G2120&lt;=Assumptions!$C$6),1,0)</f>
        <v/>
      </c>
      <c r="V2120">
        <f>IF(U2120=1,IF(M2120&gt;0,IF(P2120&lt;=G2120+Assumptions!$C$7,1,0),0),0)</f>
        <v/>
      </c>
      <c r="W2120">
        <f>IF(AND(U2120=1,M2120&gt;=H2120*(1-Assumptions!$C$8)),1,0)</f>
        <v/>
      </c>
      <c r="X2120">
        <f>IF(AND(U2120=1,N2120&gt;=H2120*(1-Assumptions!$C$8)),1,0)</f>
        <v/>
      </c>
      <c r="Y2120">
        <f>IF(ISNUMBER(Q2120),1,0)</f>
        <v/>
      </c>
      <c r="Z2120">
        <f>IF(AND(K2120=0,L2120=0,Y2120=0),1,0)</f>
        <v/>
      </c>
      <c r="AA2120">
        <f>IF(AND(Z2120=1,G2120&lt;Assumptions!$C$6),1,0)</f>
        <v/>
      </c>
      <c r="AB2120">
        <f>IF(U2120=0,"",IF(Y2120=1,MAX(0,Q2120-G2120),IF(L2120=1,MAX(0,R2120-G2120),MAX(0,Assumptions!$C$6-G2120))))</f>
        <v/>
      </c>
      <c r="AC2120">
        <f>IF(Y2120=1,Q2120-F2120,"")</f>
        <v/>
      </c>
      <c r="AD2120">
        <f>IF(Y2120=1,AC2120^2,"")</f>
        <v/>
      </c>
      <c r="AE2120" s="19">
        <f>IF(Z2120=1,(H2120-M2120)*I2120,0)</f>
        <v/>
      </c>
      <c r="AF2120">
        <f>IF(G2120&lt;EDATE(Assumptions!$C$6,-12)+1,"prior_12m","last_12m")</f>
        <v/>
      </c>
      <c r="AG2120" s="21">
        <f>DATE(YEAR(G2120),MONTH(G2120),1)</f>
        <v/>
      </c>
    </row>
    <row r="2121">
      <c r="A2121" t="inlineStr">
        <is>
          <t>SPO-01150-1</t>
        </is>
      </c>
      <c r="B2121" t="inlineStr">
        <is>
          <t>SPO-01150</t>
        </is>
      </c>
      <c r="C2121" t="inlineStr">
        <is>
          <t>SUP-01</t>
        </is>
      </c>
      <c r="D2121" t="inlineStr">
        <is>
          <t>ELEC</t>
        </is>
      </c>
      <c r="E2121" t="inlineStr">
        <is>
          <t>ELEC-05</t>
        </is>
      </c>
      <c r="F2121" s="17" t="n">
        <v>45887</v>
      </c>
      <c r="G2121" s="17" t="n">
        <v>45905</v>
      </c>
      <c r="H2121" s="18" t="n">
        <v>479</v>
      </c>
      <c r="I2121" s="19" t="n">
        <v>11.8</v>
      </c>
      <c r="J2121" s="19" t="n">
        <v>11.5</v>
      </c>
      <c r="K2121" s="20" t="n">
        <v>0</v>
      </c>
      <c r="L2121" s="20" t="n">
        <v>0</v>
      </c>
      <c r="M2121" s="18" t="n">
        <v>479</v>
      </c>
      <c r="N2121" s="18" t="n">
        <v>479</v>
      </c>
      <c r="O2121" s="18" t="n">
        <v>0</v>
      </c>
      <c r="P2121" s="17" t="n">
        <v>45902</v>
      </c>
      <c r="Q2121" s="17" t="n">
        <v>45902</v>
      </c>
      <c r="R2121" s="17" t="n">
        <v>45902</v>
      </c>
      <c r="S2121" s="19">
        <f>H2121*I2121</f>
        <v/>
      </c>
      <c r="T2121" s="19">
        <f>H2121*J2121</f>
        <v/>
      </c>
      <c r="U2121">
        <f>IF(AND(K2121=0,G2121&lt;=Assumptions!$C$6),1,0)</f>
        <v/>
      </c>
      <c r="V2121">
        <f>IF(U2121=1,IF(M2121&gt;0,IF(P2121&lt;=G2121+Assumptions!$C$7,1,0),0),0)</f>
        <v/>
      </c>
      <c r="W2121">
        <f>IF(AND(U2121=1,M2121&gt;=H2121*(1-Assumptions!$C$8)),1,0)</f>
        <v/>
      </c>
      <c r="X2121">
        <f>IF(AND(U2121=1,N2121&gt;=H2121*(1-Assumptions!$C$8)),1,0)</f>
        <v/>
      </c>
      <c r="Y2121">
        <f>IF(ISNUMBER(Q2121),1,0)</f>
        <v/>
      </c>
      <c r="Z2121">
        <f>IF(AND(K2121=0,L2121=0,Y2121=0),1,0)</f>
        <v/>
      </c>
      <c r="AA2121">
        <f>IF(AND(Z2121=1,G2121&lt;Assumptions!$C$6),1,0)</f>
        <v/>
      </c>
      <c r="AB2121">
        <f>IF(U2121=0,"",IF(Y2121=1,MAX(0,Q2121-G2121),IF(L2121=1,MAX(0,R2121-G2121),MAX(0,Assumptions!$C$6-G2121))))</f>
        <v/>
      </c>
      <c r="AC2121">
        <f>IF(Y2121=1,Q2121-F2121,"")</f>
        <v/>
      </c>
      <c r="AD2121">
        <f>IF(Y2121=1,AC2121^2,"")</f>
        <v/>
      </c>
      <c r="AE2121" s="19">
        <f>IF(Z2121=1,(H2121-M2121)*I2121,0)</f>
        <v/>
      </c>
      <c r="AF2121">
        <f>IF(G2121&lt;EDATE(Assumptions!$C$6,-12)+1,"prior_12m","last_12m")</f>
        <v/>
      </c>
      <c r="AG2121" s="21">
        <f>DATE(YEAR(G2121),MONTH(G2121),1)</f>
        <v/>
      </c>
    </row>
    <row r="2122">
      <c r="A2122" t="inlineStr">
        <is>
          <t>SPO-01151-1</t>
        </is>
      </c>
      <c r="B2122" t="inlineStr">
        <is>
          <t>SPO-01151</t>
        </is>
      </c>
      <c r="C2122" t="inlineStr">
        <is>
          <t>SUP-02</t>
        </is>
      </c>
      <c r="D2122" t="inlineStr">
        <is>
          <t>ELEC</t>
        </is>
      </c>
      <c r="E2122" t="inlineStr">
        <is>
          <t>ELEC-05</t>
        </is>
      </c>
      <c r="F2122" s="17" t="n">
        <v>45887</v>
      </c>
      <c r="G2122" s="17" t="n">
        <v>45903</v>
      </c>
      <c r="H2122" s="18" t="n">
        <v>118</v>
      </c>
      <c r="I2122" s="19" t="n">
        <v>11.82</v>
      </c>
      <c r="J2122" s="19" t="n">
        <v>11.5</v>
      </c>
      <c r="K2122" s="20" t="n">
        <v>0</v>
      </c>
      <c r="L2122" s="20" t="n">
        <v>0</v>
      </c>
      <c r="M2122" s="18" t="n">
        <v>118</v>
      </c>
      <c r="N2122" s="18" t="n">
        <v>118</v>
      </c>
      <c r="O2122" s="18" t="n">
        <v>0</v>
      </c>
      <c r="P2122" s="17" t="n">
        <v>45903</v>
      </c>
      <c r="Q2122" s="17" t="n">
        <v>45903</v>
      </c>
      <c r="R2122" s="17" t="n">
        <v>45903</v>
      </c>
      <c r="S2122" s="19">
        <f>H2122*I2122</f>
        <v/>
      </c>
      <c r="T2122" s="19">
        <f>H2122*J2122</f>
        <v/>
      </c>
      <c r="U2122">
        <f>IF(AND(K2122=0,G2122&lt;=Assumptions!$C$6),1,0)</f>
        <v/>
      </c>
      <c r="V2122">
        <f>IF(U2122=1,IF(M2122&gt;0,IF(P2122&lt;=G2122+Assumptions!$C$7,1,0),0),0)</f>
        <v/>
      </c>
      <c r="W2122">
        <f>IF(AND(U2122=1,M2122&gt;=H2122*(1-Assumptions!$C$8)),1,0)</f>
        <v/>
      </c>
      <c r="X2122">
        <f>IF(AND(U2122=1,N2122&gt;=H2122*(1-Assumptions!$C$8)),1,0)</f>
        <v/>
      </c>
      <c r="Y2122">
        <f>IF(ISNUMBER(Q2122),1,0)</f>
        <v/>
      </c>
      <c r="Z2122">
        <f>IF(AND(K2122=0,L2122=0,Y2122=0),1,0)</f>
        <v/>
      </c>
      <c r="AA2122">
        <f>IF(AND(Z2122=1,G2122&lt;Assumptions!$C$6),1,0)</f>
        <v/>
      </c>
      <c r="AB2122">
        <f>IF(U2122=0,"",IF(Y2122=1,MAX(0,Q2122-G2122),IF(L2122=1,MAX(0,R2122-G2122),MAX(0,Assumptions!$C$6-G2122))))</f>
        <v/>
      </c>
      <c r="AC2122">
        <f>IF(Y2122=1,Q2122-F2122,"")</f>
        <v/>
      </c>
      <c r="AD2122">
        <f>IF(Y2122=1,AC2122^2,"")</f>
        <v/>
      </c>
      <c r="AE2122" s="19">
        <f>IF(Z2122=1,(H2122-M2122)*I2122,0)</f>
        <v/>
      </c>
      <c r="AF2122">
        <f>IF(G2122&lt;EDATE(Assumptions!$C$6,-12)+1,"prior_12m","last_12m")</f>
        <v/>
      </c>
      <c r="AG2122" s="21">
        <f>DATE(YEAR(G2122),MONTH(G2122),1)</f>
        <v/>
      </c>
    </row>
    <row r="2123">
      <c r="A2123" t="inlineStr">
        <is>
          <t>SPO-01152-1</t>
        </is>
      </c>
      <c r="B2123" t="inlineStr">
        <is>
          <t>SPO-01152</t>
        </is>
      </c>
      <c r="C2123" t="inlineStr">
        <is>
          <t>SUP-10</t>
        </is>
      </c>
      <c r="D2123" t="inlineStr">
        <is>
          <t>PPE</t>
        </is>
      </c>
      <c r="E2123" t="inlineStr">
        <is>
          <t>PPE-04</t>
        </is>
      </c>
      <c r="F2123" s="17" t="n">
        <v>45887</v>
      </c>
      <c r="G2123" s="17" t="n">
        <v>45900</v>
      </c>
      <c r="H2123" s="18" t="n">
        <v>28</v>
      </c>
      <c r="I2123" s="19" t="n">
        <v>25.83</v>
      </c>
      <c r="J2123" s="19" t="n">
        <v>26</v>
      </c>
      <c r="K2123" s="20" t="n">
        <v>1</v>
      </c>
      <c r="L2123" s="20" t="n">
        <v>0</v>
      </c>
      <c r="M2123" s="18" t="n">
        <v>0</v>
      </c>
      <c r="N2123" s="18" t="n">
        <v>0</v>
      </c>
      <c r="O2123" s="18" t="n">
        <v>0</v>
      </c>
      <c r="P2123" s="17" t="n"/>
      <c r="Q2123" s="17" t="n"/>
      <c r="R2123" s="17" t="n"/>
      <c r="S2123" s="19">
        <f>H2123*I2123</f>
        <v/>
      </c>
      <c r="T2123" s="19">
        <f>H2123*J2123</f>
        <v/>
      </c>
      <c r="U2123">
        <f>IF(AND(K2123=0,G2123&lt;=Assumptions!$C$6),1,0)</f>
        <v/>
      </c>
      <c r="V2123">
        <f>IF(U2123=1,IF(M2123&gt;0,IF(P2123&lt;=G2123+Assumptions!$C$7,1,0),0),0)</f>
        <v/>
      </c>
      <c r="W2123">
        <f>IF(AND(U2123=1,M2123&gt;=H2123*(1-Assumptions!$C$8)),1,0)</f>
        <v/>
      </c>
      <c r="X2123">
        <f>IF(AND(U2123=1,N2123&gt;=H2123*(1-Assumptions!$C$8)),1,0)</f>
        <v/>
      </c>
      <c r="Y2123">
        <f>IF(ISNUMBER(Q2123),1,0)</f>
        <v/>
      </c>
      <c r="Z2123">
        <f>IF(AND(K2123=0,L2123=0,Y2123=0),1,0)</f>
        <v/>
      </c>
      <c r="AA2123">
        <f>IF(AND(Z2123=1,G2123&lt;Assumptions!$C$6),1,0)</f>
        <v/>
      </c>
      <c r="AB2123">
        <f>IF(U2123=0,"",IF(Y2123=1,MAX(0,Q2123-G2123),IF(L2123=1,MAX(0,R2123-G2123),MAX(0,Assumptions!$C$6-G2123))))</f>
        <v/>
      </c>
      <c r="AC2123">
        <f>IF(Y2123=1,Q2123-F2123,"")</f>
        <v/>
      </c>
      <c r="AD2123">
        <f>IF(Y2123=1,AC2123^2,"")</f>
        <v/>
      </c>
      <c r="AE2123" s="19">
        <f>IF(Z2123=1,(H2123-M2123)*I2123,0)</f>
        <v/>
      </c>
      <c r="AF2123">
        <f>IF(G2123&lt;EDATE(Assumptions!$C$6,-12)+1,"prior_12m","last_12m")</f>
        <v/>
      </c>
      <c r="AG2123" s="21">
        <f>DATE(YEAR(G2123),MONTH(G2123),1)</f>
        <v/>
      </c>
    </row>
    <row r="2124">
      <c r="A2124" t="inlineStr">
        <is>
          <t>SPO-01153-1</t>
        </is>
      </c>
      <c r="B2124" t="inlineStr">
        <is>
          <t>SPO-01153</t>
        </is>
      </c>
      <c r="C2124" t="inlineStr">
        <is>
          <t>SUP-14</t>
        </is>
      </c>
      <c r="D2124" t="inlineStr">
        <is>
          <t>FLEET</t>
        </is>
      </c>
      <c r="E2124" t="inlineStr">
        <is>
          <t>FLEET-03</t>
        </is>
      </c>
      <c r="F2124" s="17" t="n">
        <v>45887</v>
      </c>
      <c r="G2124" s="17" t="n">
        <v>45901</v>
      </c>
      <c r="H2124" s="18" t="n">
        <v>29</v>
      </c>
      <c r="I2124" s="19" t="n">
        <v>20.79</v>
      </c>
      <c r="J2124" s="19" t="n">
        <v>21</v>
      </c>
      <c r="K2124" s="20" t="n">
        <v>0</v>
      </c>
      <c r="L2124" s="20" t="n">
        <v>0</v>
      </c>
      <c r="M2124" s="18" t="n">
        <v>29</v>
      </c>
      <c r="N2124" s="18" t="n">
        <v>29</v>
      </c>
      <c r="O2124" s="18" t="n">
        <v>0</v>
      </c>
      <c r="P2124" s="17" t="n">
        <v>45897</v>
      </c>
      <c r="Q2124" s="17" t="n">
        <v>45897</v>
      </c>
      <c r="R2124" s="17" t="n">
        <v>45897</v>
      </c>
      <c r="S2124" s="19">
        <f>H2124*I2124</f>
        <v/>
      </c>
      <c r="T2124" s="19">
        <f>H2124*J2124</f>
        <v/>
      </c>
      <c r="U2124">
        <f>IF(AND(K2124=0,G2124&lt;=Assumptions!$C$6),1,0)</f>
        <v/>
      </c>
      <c r="V2124">
        <f>IF(U2124=1,IF(M2124&gt;0,IF(P2124&lt;=G2124+Assumptions!$C$7,1,0),0),0)</f>
        <v/>
      </c>
      <c r="W2124">
        <f>IF(AND(U2124=1,M2124&gt;=H2124*(1-Assumptions!$C$8)),1,0)</f>
        <v/>
      </c>
      <c r="X2124">
        <f>IF(AND(U2124=1,N2124&gt;=H2124*(1-Assumptions!$C$8)),1,0)</f>
        <v/>
      </c>
      <c r="Y2124">
        <f>IF(ISNUMBER(Q2124),1,0)</f>
        <v/>
      </c>
      <c r="Z2124">
        <f>IF(AND(K2124=0,L2124=0,Y2124=0),1,0)</f>
        <v/>
      </c>
      <c r="AA2124">
        <f>IF(AND(Z2124=1,G2124&lt;Assumptions!$C$6),1,0)</f>
        <v/>
      </c>
      <c r="AB2124">
        <f>IF(U2124=0,"",IF(Y2124=1,MAX(0,Q2124-G2124),IF(L2124=1,MAX(0,R2124-G2124),MAX(0,Assumptions!$C$6-G2124))))</f>
        <v/>
      </c>
      <c r="AC2124">
        <f>IF(Y2124=1,Q2124-F2124,"")</f>
        <v/>
      </c>
      <c r="AD2124">
        <f>IF(Y2124=1,AC2124^2,"")</f>
        <v/>
      </c>
      <c r="AE2124" s="19">
        <f>IF(Z2124=1,(H2124-M2124)*I2124,0)</f>
        <v/>
      </c>
      <c r="AF2124">
        <f>IF(G2124&lt;EDATE(Assumptions!$C$6,-12)+1,"prior_12m","last_12m")</f>
        <v/>
      </c>
      <c r="AG2124" s="21">
        <f>DATE(YEAR(G2124),MONTH(G2124),1)</f>
        <v/>
      </c>
    </row>
    <row r="2125">
      <c r="A2125" t="inlineStr">
        <is>
          <t>SPO-01154-1</t>
        </is>
      </c>
      <c r="B2125" t="inlineStr">
        <is>
          <t>SPO-01154</t>
        </is>
      </c>
      <c r="C2125" t="inlineStr">
        <is>
          <t>SUP-09</t>
        </is>
      </c>
      <c r="D2125" t="inlineStr">
        <is>
          <t>CHEM</t>
        </is>
      </c>
      <c r="E2125" t="inlineStr">
        <is>
          <t>CHEM-03</t>
        </is>
      </c>
      <c r="F2125" s="17" t="n">
        <v>45887</v>
      </c>
      <c r="G2125" s="17" t="n">
        <v>45901</v>
      </c>
      <c r="H2125" s="18" t="n">
        <v>4</v>
      </c>
      <c r="I2125" s="19" t="n">
        <v>265.96</v>
      </c>
      <c r="J2125" s="19" t="n">
        <v>265</v>
      </c>
      <c r="K2125" s="20" t="n">
        <v>0</v>
      </c>
      <c r="L2125" s="20" t="n">
        <v>0</v>
      </c>
      <c r="M2125" s="18" t="n">
        <v>4</v>
      </c>
      <c r="N2125" s="18" t="n">
        <v>4</v>
      </c>
      <c r="O2125" s="18" t="n">
        <v>0</v>
      </c>
      <c r="P2125" s="17" t="n">
        <v>45900</v>
      </c>
      <c r="Q2125" s="17" t="n">
        <v>45900</v>
      </c>
      <c r="R2125" s="17" t="n">
        <v>45900</v>
      </c>
      <c r="S2125" s="19">
        <f>H2125*I2125</f>
        <v/>
      </c>
      <c r="T2125" s="19">
        <f>H2125*J2125</f>
        <v/>
      </c>
      <c r="U2125">
        <f>IF(AND(K2125=0,G2125&lt;=Assumptions!$C$6),1,0)</f>
        <v/>
      </c>
      <c r="V2125">
        <f>IF(U2125=1,IF(M2125&gt;0,IF(P2125&lt;=G2125+Assumptions!$C$7,1,0),0),0)</f>
        <v/>
      </c>
      <c r="W2125">
        <f>IF(AND(U2125=1,M2125&gt;=H2125*(1-Assumptions!$C$8)),1,0)</f>
        <v/>
      </c>
      <c r="X2125">
        <f>IF(AND(U2125=1,N2125&gt;=H2125*(1-Assumptions!$C$8)),1,0)</f>
        <v/>
      </c>
      <c r="Y2125">
        <f>IF(ISNUMBER(Q2125),1,0)</f>
        <v/>
      </c>
      <c r="Z2125">
        <f>IF(AND(K2125=0,L2125=0,Y2125=0),1,0)</f>
        <v/>
      </c>
      <c r="AA2125">
        <f>IF(AND(Z2125=1,G2125&lt;Assumptions!$C$6),1,0)</f>
        <v/>
      </c>
      <c r="AB2125">
        <f>IF(U2125=0,"",IF(Y2125=1,MAX(0,Q2125-G2125),IF(L2125=1,MAX(0,R2125-G2125),MAX(0,Assumptions!$C$6-G2125))))</f>
        <v/>
      </c>
      <c r="AC2125">
        <f>IF(Y2125=1,Q2125-F2125,"")</f>
        <v/>
      </c>
      <c r="AD2125">
        <f>IF(Y2125=1,AC2125^2,"")</f>
        <v/>
      </c>
      <c r="AE2125" s="19">
        <f>IF(Z2125=1,(H2125-M2125)*I2125,0)</f>
        <v/>
      </c>
      <c r="AF2125">
        <f>IF(G2125&lt;EDATE(Assumptions!$C$6,-12)+1,"prior_12m","last_12m")</f>
        <v/>
      </c>
      <c r="AG2125" s="21">
        <f>DATE(YEAR(G2125),MONTH(G2125),1)</f>
        <v/>
      </c>
    </row>
    <row r="2126">
      <c r="A2126" t="inlineStr">
        <is>
          <t>SPO-01154-2</t>
        </is>
      </c>
      <c r="B2126" t="inlineStr">
        <is>
          <t>SPO-01154</t>
        </is>
      </c>
      <c r="C2126" t="inlineStr">
        <is>
          <t>SUP-09</t>
        </is>
      </c>
      <c r="D2126" t="inlineStr">
        <is>
          <t>CHEM</t>
        </is>
      </c>
      <c r="E2126" t="inlineStr">
        <is>
          <t>CHEM-05</t>
        </is>
      </c>
      <c r="F2126" s="17" t="n">
        <v>45887</v>
      </c>
      <c r="G2126" s="17" t="n">
        <v>45901</v>
      </c>
      <c r="H2126" s="18" t="n">
        <v>2</v>
      </c>
      <c r="I2126" s="19" t="n">
        <v>955.74</v>
      </c>
      <c r="J2126" s="19" t="n">
        <v>930</v>
      </c>
      <c r="K2126" s="20" t="n">
        <v>0</v>
      </c>
      <c r="L2126" s="20" t="n">
        <v>0</v>
      </c>
      <c r="M2126" s="18" t="n">
        <v>2</v>
      </c>
      <c r="N2126" s="18" t="n">
        <v>1</v>
      </c>
      <c r="O2126" s="18" t="n">
        <v>0</v>
      </c>
      <c r="P2126" s="17" t="n">
        <v>45899</v>
      </c>
      <c r="Q2126" s="17" t="n">
        <v>45904</v>
      </c>
      <c r="R2126" s="17" t="n">
        <v>45904</v>
      </c>
      <c r="S2126" s="19">
        <f>H2126*I2126</f>
        <v/>
      </c>
      <c r="T2126" s="19">
        <f>H2126*J2126</f>
        <v/>
      </c>
      <c r="U2126">
        <f>IF(AND(K2126=0,G2126&lt;=Assumptions!$C$6),1,0)</f>
        <v/>
      </c>
      <c r="V2126">
        <f>IF(U2126=1,IF(M2126&gt;0,IF(P2126&lt;=G2126+Assumptions!$C$7,1,0),0),0)</f>
        <v/>
      </c>
      <c r="W2126">
        <f>IF(AND(U2126=1,M2126&gt;=H2126*(1-Assumptions!$C$8)),1,0)</f>
        <v/>
      </c>
      <c r="X2126">
        <f>IF(AND(U2126=1,N2126&gt;=H2126*(1-Assumptions!$C$8)),1,0)</f>
        <v/>
      </c>
      <c r="Y2126">
        <f>IF(ISNUMBER(Q2126),1,0)</f>
        <v/>
      </c>
      <c r="Z2126">
        <f>IF(AND(K2126=0,L2126=0,Y2126=0),1,0)</f>
        <v/>
      </c>
      <c r="AA2126">
        <f>IF(AND(Z2126=1,G2126&lt;Assumptions!$C$6),1,0)</f>
        <v/>
      </c>
      <c r="AB2126">
        <f>IF(U2126=0,"",IF(Y2126=1,MAX(0,Q2126-G2126),IF(L2126=1,MAX(0,R2126-G2126),MAX(0,Assumptions!$C$6-G2126))))</f>
        <v/>
      </c>
      <c r="AC2126">
        <f>IF(Y2126=1,Q2126-F2126,"")</f>
        <v/>
      </c>
      <c r="AD2126">
        <f>IF(Y2126=1,AC2126^2,"")</f>
        <v/>
      </c>
      <c r="AE2126" s="19">
        <f>IF(Z2126=1,(H2126-M2126)*I2126,0)</f>
        <v/>
      </c>
      <c r="AF2126">
        <f>IF(G2126&lt;EDATE(Assumptions!$C$6,-12)+1,"prior_12m","last_12m")</f>
        <v/>
      </c>
      <c r="AG2126" s="21">
        <f>DATE(YEAR(G2126),MONTH(G2126),1)</f>
        <v/>
      </c>
    </row>
    <row r="2127">
      <c r="A2127" t="inlineStr">
        <is>
          <t>SPO-01155-1</t>
        </is>
      </c>
      <c r="B2127" t="inlineStr">
        <is>
          <t>SPO-01155</t>
        </is>
      </c>
      <c r="C2127" t="inlineStr">
        <is>
          <t>SUP-11</t>
        </is>
      </c>
      <c r="D2127" t="inlineStr">
        <is>
          <t>PPE</t>
        </is>
      </c>
      <c r="E2127" t="inlineStr">
        <is>
          <t>PPE-06</t>
        </is>
      </c>
      <c r="F2127" s="17" t="n">
        <v>45888</v>
      </c>
      <c r="G2127" s="17" t="n">
        <v>45900</v>
      </c>
      <c r="H2127" s="18" t="n">
        <v>6</v>
      </c>
      <c r="I2127" s="19" t="n">
        <v>118.97</v>
      </c>
      <c r="J2127" s="19" t="n">
        <v>115</v>
      </c>
      <c r="K2127" s="20" t="n">
        <v>0</v>
      </c>
      <c r="L2127" s="20" t="n">
        <v>0</v>
      </c>
      <c r="M2127" s="18" t="n">
        <v>6</v>
      </c>
      <c r="N2127" s="18" t="n">
        <v>6</v>
      </c>
      <c r="O2127" s="18" t="n">
        <v>0</v>
      </c>
      <c r="P2127" s="17" t="n">
        <v>45898</v>
      </c>
      <c r="Q2127" s="17" t="n">
        <v>45898</v>
      </c>
      <c r="R2127" s="17" t="n">
        <v>45898</v>
      </c>
      <c r="S2127" s="19">
        <f>H2127*I2127</f>
        <v/>
      </c>
      <c r="T2127" s="19">
        <f>H2127*J2127</f>
        <v/>
      </c>
      <c r="U2127">
        <f>IF(AND(K2127=0,G2127&lt;=Assumptions!$C$6),1,0)</f>
        <v/>
      </c>
      <c r="V2127">
        <f>IF(U2127=1,IF(M2127&gt;0,IF(P2127&lt;=G2127+Assumptions!$C$7,1,0),0),0)</f>
        <v/>
      </c>
      <c r="W2127">
        <f>IF(AND(U2127=1,M2127&gt;=H2127*(1-Assumptions!$C$8)),1,0)</f>
        <v/>
      </c>
      <c r="X2127">
        <f>IF(AND(U2127=1,N2127&gt;=H2127*(1-Assumptions!$C$8)),1,0)</f>
        <v/>
      </c>
      <c r="Y2127">
        <f>IF(ISNUMBER(Q2127),1,0)</f>
        <v/>
      </c>
      <c r="Z2127">
        <f>IF(AND(K2127=0,L2127=0,Y2127=0),1,0)</f>
        <v/>
      </c>
      <c r="AA2127">
        <f>IF(AND(Z2127=1,G2127&lt;Assumptions!$C$6),1,0)</f>
        <v/>
      </c>
      <c r="AB2127">
        <f>IF(U2127=0,"",IF(Y2127=1,MAX(0,Q2127-G2127),IF(L2127=1,MAX(0,R2127-G2127),MAX(0,Assumptions!$C$6-G2127))))</f>
        <v/>
      </c>
      <c r="AC2127">
        <f>IF(Y2127=1,Q2127-F2127,"")</f>
        <v/>
      </c>
      <c r="AD2127">
        <f>IF(Y2127=1,AC2127^2,"")</f>
        <v/>
      </c>
      <c r="AE2127" s="19">
        <f>IF(Z2127=1,(H2127-M2127)*I2127,0)</f>
        <v/>
      </c>
      <c r="AF2127">
        <f>IF(G2127&lt;EDATE(Assumptions!$C$6,-12)+1,"prior_12m","last_12m")</f>
        <v/>
      </c>
      <c r="AG2127" s="21">
        <f>DATE(YEAR(G2127),MONTH(G2127),1)</f>
        <v/>
      </c>
    </row>
    <row r="2128">
      <c r="A2128" t="inlineStr">
        <is>
          <t>SPO-01155-2</t>
        </is>
      </c>
      <c r="B2128" t="inlineStr">
        <is>
          <t>SPO-01155</t>
        </is>
      </c>
      <c r="C2128" t="inlineStr">
        <is>
          <t>SUP-11</t>
        </is>
      </c>
      <c r="D2128" t="inlineStr">
        <is>
          <t>PPE</t>
        </is>
      </c>
      <c r="E2128" t="inlineStr">
        <is>
          <t>PPE-07</t>
        </is>
      </c>
      <c r="F2128" s="17" t="n">
        <v>45888</v>
      </c>
      <c r="G2128" s="17" t="n">
        <v>45900</v>
      </c>
      <c r="H2128" s="18" t="n">
        <v>33</v>
      </c>
      <c r="I2128" s="19" t="n">
        <v>29.82</v>
      </c>
      <c r="J2128" s="19" t="n">
        <v>31</v>
      </c>
      <c r="K2128" s="20" t="n">
        <v>0</v>
      </c>
      <c r="L2128" s="20" t="n">
        <v>0</v>
      </c>
      <c r="M2128" s="18" t="n">
        <v>33</v>
      </c>
      <c r="N2128" s="18" t="n">
        <v>33</v>
      </c>
      <c r="O2128" s="18" t="n">
        <v>0</v>
      </c>
      <c r="P2128" s="17" t="n">
        <v>45899</v>
      </c>
      <c r="Q2128" s="17" t="n">
        <v>45899</v>
      </c>
      <c r="R2128" s="17" t="n">
        <v>45899</v>
      </c>
      <c r="S2128" s="19">
        <f>H2128*I2128</f>
        <v/>
      </c>
      <c r="T2128" s="19">
        <f>H2128*J2128</f>
        <v/>
      </c>
      <c r="U2128">
        <f>IF(AND(K2128=0,G2128&lt;=Assumptions!$C$6),1,0)</f>
        <v/>
      </c>
      <c r="V2128">
        <f>IF(U2128=1,IF(M2128&gt;0,IF(P2128&lt;=G2128+Assumptions!$C$7,1,0),0),0)</f>
        <v/>
      </c>
      <c r="W2128">
        <f>IF(AND(U2128=1,M2128&gt;=H2128*(1-Assumptions!$C$8)),1,0)</f>
        <v/>
      </c>
      <c r="X2128">
        <f>IF(AND(U2128=1,N2128&gt;=H2128*(1-Assumptions!$C$8)),1,0)</f>
        <v/>
      </c>
      <c r="Y2128">
        <f>IF(ISNUMBER(Q2128),1,0)</f>
        <v/>
      </c>
      <c r="Z2128">
        <f>IF(AND(K2128=0,L2128=0,Y2128=0),1,0)</f>
        <v/>
      </c>
      <c r="AA2128">
        <f>IF(AND(Z2128=1,G2128&lt;Assumptions!$C$6),1,0)</f>
        <v/>
      </c>
      <c r="AB2128">
        <f>IF(U2128=0,"",IF(Y2128=1,MAX(0,Q2128-G2128),IF(L2128=1,MAX(0,R2128-G2128),MAX(0,Assumptions!$C$6-G2128))))</f>
        <v/>
      </c>
      <c r="AC2128">
        <f>IF(Y2128=1,Q2128-F2128,"")</f>
        <v/>
      </c>
      <c r="AD2128">
        <f>IF(Y2128=1,AC2128^2,"")</f>
        <v/>
      </c>
      <c r="AE2128" s="19">
        <f>IF(Z2128=1,(H2128-M2128)*I2128,0)</f>
        <v/>
      </c>
      <c r="AF2128">
        <f>IF(G2128&lt;EDATE(Assumptions!$C$6,-12)+1,"prior_12m","last_12m")</f>
        <v/>
      </c>
      <c r="AG2128" s="21">
        <f>DATE(YEAR(G2128),MONTH(G2128),1)</f>
        <v/>
      </c>
    </row>
    <row r="2129">
      <c r="A2129" t="inlineStr">
        <is>
          <t>SPO-01156-1</t>
        </is>
      </c>
      <c r="B2129" t="inlineStr">
        <is>
          <t>SPO-01156</t>
        </is>
      </c>
      <c r="C2129" t="inlineStr">
        <is>
          <t>SUP-06</t>
        </is>
      </c>
      <c r="D2129" t="inlineStr">
        <is>
          <t>MRO</t>
        </is>
      </c>
      <c r="E2129" t="inlineStr">
        <is>
          <t>MRO-05</t>
        </is>
      </c>
      <c r="F2129" s="17" t="n">
        <v>45888</v>
      </c>
      <c r="G2129" s="17" t="n">
        <v>45896</v>
      </c>
      <c r="H2129" s="18" t="n">
        <v>79</v>
      </c>
      <c r="I2129" s="19" t="n">
        <v>34.5</v>
      </c>
      <c r="J2129" s="19" t="n">
        <v>36</v>
      </c>
      <c r="K2129" s="20" t="n">
        <v>0</v>
      </c>
      <c r="L2129" s="20" t="n">
        <v>0</v>
      </c>
      <c r="M2129" s="18" t="n">
        <v>79</v>
      </c>
      <c r="N2129" s="18" t="n">
        <v>79</v>
      </c>
      <c r="O2129" s="18" t="n">
        <v>0</v>
      </c>
      <c r="P2129" s="17" t="n">
        <v>45892</v>
      </c>
      <c r="Q2129" s="17" t="n">
        <v>45892</v>
      </c>
      <c r="R2129" s="17" t="n">
        <v>45892</v>
      </c>
      <c r="S2129" s="19">
        <f>H2129*I2129</f>
        <v/>
      </c>
      <c r="T2129" s="19">
        <f>H2129*J2129</f>
        <v/>
      </c>
      <c r="U2129">
        <f>IF(AND(K2129=0,G2129&lt;=Assumptions!$C$6),1,0)</f>
        <v/>
      </c>
      <c r="V2129">
        <f>IF(U2129=1,IF(M2129&gt;0,IF(P2129&lt;=G2129+Assumptions!$C$7,1,0),0),0)</f>
        <v/>
      </c>
      <c r="W2129">
        <f>IF(AND(U2129=1,M2129&gt;=H2129*(1-Assumptions!$C$8)),1,0)</f>
        <v/>
      </c>
      <c r="X2129">
        <f>IF(AND(U2129=1,N2129&gt;=H2129*(1-Assumptions!$C$8)),1,0)</f>
        <v/>
      </c>
      <c r="Y2129">
        <f>IF(ISNUMBER(Q2129),1,0)</f>
        <v/>
      </c>
      <c r="Z2129">
        <f>IF(AND(K2129=0,L2129=0,Y2129=0),1,0)</f>
        <v/>
      </c>
      <c r="AA2129">
        <f>IF(AND(Z2129=1,G2129&lt;Assumptions!$C$6),1,0)</f>
        <v/>
      </c>
      <c r="AB2129">
        <f>IF(U2129=0,"",IF(Y2129=1,MAX(0,Q2129-G2129),IF(L2129=1,MAX(0,R2129-G2129),MAX(0,Assumptions!$C$6-G2129))))</f>
        <v/>
      </c>
      <c r="AC2129">
        <f>IF(Y2129=1,Q2129-F2129,"")</f>
        <v/>
      </c>
      <c r="AD2129">
        <f>IF(Y2129=1,AC2129^2,"")</f>
        <v/>
      </c>
      <c r="AE2129" s="19">
        <f>IF(Z2129=1,(H2129-M2129)*I2129,0)</f>
        <v/>
      </c>
      <c r="AF2129">
        <f>IF(G2129&lt;EDATE(Assumptions!$C$6,-12)+1,"prior_12m","last_12m")</f>
        <v/>
      </c>
      <c r="AG2129" s="21">
        <f>DATE(YEAR(G2129),MONTH(G2129),1)</f>
        <v/>
      </c>
    </row>
    <row r="2130">
      <c r="A2130" t="inlineStr">
        <is>
          <t>SPO-01156-2</t>
        </is>
      </c>
      <c r="B2130" t="inlineStr">
        <is>
          <t>SPO-01156</t>
        </is>
      </c>
      <c r="C2130" t="inlineStr">
        <is>
          <t>SUP-06</t>
        </is>
      </c>
      <c r="D2130" t="inlineStr">
        <is>
          <t>MRO</t>
        </is>
      </c>
      <c r="E2130" t="inlineStr">
        <is>
          <t>MRO-08</t>
        </is>
      </c>
      <c r="F2130" s="17" t="n">
        <v>45888</v>
      </c>
      <c r="G2130" s="17" t="n">
        <v>45896</v>
      </c>
      <c r="H2130" s="18" t="n">
        <v>156</v>
      </c>
      <c r="I2130" s="19" t="n">
        <v>7.03</v>
      </c>
      <c r="J2130" s="19" t="n">
        <v>7.2</v>
      </c>
      <c r="K2130" s="20" t="n">
        <v>0</v>
      </c>
      <c r="L2130" s="20" t="n">
        <v>0</v>
      </c>
      <c r="M2130" s="18" t="n">
        <v>156</v>
      </c>
      <c r="N2130" s="18" t="n">
        <v>108</v>
      </c>
      <c r="O2130" s="18" t="n">
        <v>0</v>
      </c>
      <c r="P2130" s="17" t="n">
        <v>45894</v>
      </c>
      <c r="Q2130" s="17" t="n">
        <v>45906</v>
      </c>
      <c r="R2130" s="17" t="n">
        <v>45906</v>
      </c>
      <c r="S2130" s="19">
        <f>H2130*I2130</f>
        <v/>
      </c>
      <c r="T2130" s="19">
        <f>H2130*J2130</f>
        <v/>
      </c>
      <c r="U2130">
        <f>IF(AND(K2130=0,G2130&lt;=Assumptions!$C$6),1,0)</f>
        <v/>
      </c>
      <c r="V2130">
        <f>IF(U2130=1,IF(M2130&gt;0,IF(P2130&lt;=G2130+Assumptions!$C$7,1,0),0),0)</f>
        <v/>
      </c>
      <c r="W2130">
        <f>IF(AND(U2130=1,M2130&gt;=H2130*(1-Assumptions!$C$8)),1,0)</f>
        <v/>
      </c>
      <c r="X2130">
        <f>IF(AND(U2130=1,N2130&gt;=H2130*(1-Assumptions!$C$8)),1,0)</f>
        <v/>
      </c>
      <c r="Y2130">
        <f>IF(ISNUMBER(Q2130),1,0)</f>
        <v/>
      </c>
      <c r="Z2130">
        <f>IF(AND(K2130=0,L2130=0,Y2130=0),1,0)</f>
        <v/>
      </c>
      <c r="AA2130">
        <f>IF(AND(Z2130=1,G2130&lt;Assumptions!$C$6),1,0)</f>
        <v/>
      </c>
      <c r="AB2130">
        <f>IF(U2130=0,"",IF(Y2130=1,MAX(0,Q2130-G2130),IF(L2130=1,MAX(0,R2130-G2130),MAX(0,Assumptions!$C$6-G2130))))</f>
        <v/>
      </c>
      <c r="AC2130">
        <f>IF(Y2130=1,Q2130-F2130,"")</f>
        <v/>
      </c>
      <c r="AD2130">
        <f>IF(Y2130=1,AC2130^2,"")</f>
        <v/>
      </c>
      <c r="AE2130" s="19">
        <f>IF(Z2130=1,(H2130-M2130)*I2130,0)</f>
        <v/>
      </c>
      <c r="AF2130">
        <f>IF(G2130&lt;EDATE(Assumptions!$C$6,-12)+1,"prior_12m","last_12m")</f>
        <v/>
      </c>
      <c r="AG2130" s="21">
        <f>DATE(YEAR(G2130),MONTH(G2130),1)</f>
        <v/>
      </c>
    </row>
    <row r="2131">
      <c r="A2131" t="inlineStr">
        <is>
          <t>SPO-01157-1</t>
        </is>
      </c>
      <c r="B2131" t="inlineStr">
        <is>
          <t>SPO-01157</t>
        </is>
      </c>
      <c r="C2131" t="inlineStr">
        <is>
          <t>SUP-12</t>
        </is>
      </c>
      <c r="D2131" t="inlineStr">
        <is>
          <t>IT</t>
        </is>
      </c>
      <c r="E2131" t="inlineStr">
        <is>
          <t>IT-03</t>
        </is>
      </c>
      <c r="F2131" s="17" t="n">
        <v>45888</v>
      </c>
      <c r="G2131" s="17" t="n">
        <v>45898</v>
      </c>
      <c r="H2131" s="18" t="n">
        <v>60</v>
      </c>
      <c r="I2131" s="19" t="n">
        <v>43.58</v>
      </c>
      <c r="J2131" s="19" t="n">
        <v>38</v>
      </c>
      <c r="K2131" s="20" t="n">
        <v>0</v>
      </c>
      <c r="L2131" s="20" t="n">
        <v>0</v>
      </c>
      <c r="M2131" s="18" t="n">
        <v>60</v>
      </c>
      <c r="N2131" s="18" t="n">
        <v>60</v>
      </c>
      <c r="O2131" s="18" t="n">
        <v>0</v>
      </c>
      <c r="P2131" s="17" t="n">
        <v>45895</v>
      </c>
      <c r="Q2131" s="17" t="n">
        <v>45895</v>
      </c>
      <c r="R2131" s="17" t="n">
        <v>45895</v>
      </c>
      <c r="S2131" s="19">
        <f>H2131*I2131</f>
        <v/>
      </c>
      <c r="T2131" s="19">
        <f>H2131*J2131</f>
        <v/>
      </c>
      <c r="U2131">
        <f>IF(AND(K2131=0,G2131&lt;=Assumptions!$C$6),1,0)</f>
        <v/>
      </c>
      <c r="V2131">
        <f>IF(U2131=1,IF(M2131&gt;0,IF(P2131&lt;=G2131+Assumptions!$C$7,1,0),0),0)</f>
        <v/>
      </c>
      <c r="W2131">
        <f>IF(AND(U2131=1,M2131&gt;=H2131*(1-Assumptions!$C$8)),1,0)</f>
        <v/>
      </c>
      <c r="X2131">
        <f>IF(AND(U2131=1,N2131&gt;=H2131*(1-Assumptions!$C$8)),1,0)</f>
        <v/>
      </c>
      <c r="Y2131">
        <f>IF(ISNUMBER(Q2131),1,0)</f>
        <v/>
      </c>
      <c r="Z2131">
        <f>IF(AND(K2131=0,L2131=0,Y2131=0),1,0)</f>
        <v/>
      </c>
      <c r="AA2131">
        <f>IF(AND(Z2131=1,G2131&lt;Assumptions!$C$6),1,0)</f>
        <v/>
      </c>
      <c r="AB2131">
        <f>IF(U2131=0,"",IF(Y2131=1,MAX(0,Q2131-G2131),IF(L2131=1,MAX(0,R2131-G2131),MAX(0,Assumptions!$C$6-G2131))))</f>
        <v/>
      </c>
      <c r="AC2131">
        <f>IF(Y2131=1,Q2131-F2131,"")</f>
        <v/>
      </c>
      <c r="AD2131">
        <f>IF(Y2131=1,AC2131^2,"")</f>
        <v/>
      </c>
      <c r="AE2131" s="19">
        <f>IF(Z2131=1,(H2131-M2131)*I2131,0)</f>
        <v/>
      </c>
      <c r="AF2131">
        <f>IF(G2131&lt;EDATE(Assumptions!$C$6,-12)+1,"prior_12m","last_12m")</f>
        <v/>
      </c>
      <c r="AG2131" s="21">
        <f>DATE(YEAR(G2131),MONTH(G2131),1)</f>
        <v/>
      </c>
    </row>
    <row r="2132">
      <c r="A2132" t="inlineStr">
        <is>
          <t>SPO-01157-2</t>
        </is>
      </c>
      <c r="B2132" t="inlineStr">
        <is>
          <t>SPO-01157</t>
        </is>
      </c>
      <c r="C2132" t="inlineStr">
        <is>
          <t>SUP-12</t>
        </is>
      </c>
      <c r="D2132" t="inlineStr">
        <is>
          <t>IT</t>
        </is>
      </c>
      <c r="E2132" t="inlineStr">
        <is>
          <t>IT-04</t>
        </is>
      </c>
      <c r="F2132" s="17" t="n">
        <v>45888</v>
      </c>
      <c r="G2132" s="17" t="n">
        <v>45898</v>
      </c>
      <c r="H2132" s="18" t="n">
        <v>95</v>
      </c>
      <c r="I2132" s="19" t="n">
        <v>12.8</v>
      </c>
      <c r="J2132" s="19" t="n">
        <v>12</v>
      </c>
      <c r="K2132" s="20" t="n">
        <v>0</v>
      </c>
      <c r="L2132" s="20" t="n">
        <v>0</v>
      </c>
      <c r="M2132" s="18" t="n">
        <v>95</v>
      </c>
      <c r="N2132" s="18" t="n">
        <v>95</v>
      </c>
      <c r="O2132" s="18" t="n">
        <v>0</v>
      </c>
      <c r="P2132" s="17" t="n">
        <v>45895</v>
      </c>
      <c r="Q2132" s="17" t="n">
        <v>45895</v>
      </c>
      <c r="R2132" s="17" t="n">
        <v>45895</v>
      </c>
      <c r="S2132" s="19">
        <f>H2132*I2132</f>
        <v/>
      </c>
      <c r="T2132" s="19">
        <f>H2132*J2132</f>
        <v/>
      </c>
      <c r="U2132">
        <f>IF(AND(K2132=0,G2132&lt;=Assumptions!$C$6),1,0)</f>
        <v/>
      </c>
      <c r="V2132">
        <f>IF(U2132=1,IF(M2132&gt;0,IF(P2132&lt;=G2132+Assumptions!$C$7,1,0),0),0)</f>
        <v/>
      </c>
      <c r="W2132">
        <f>IF(AND(U2132=1,M2132&gt;=H2132*(1-Assumptions!$C$8)),1,0)</f>
        <v/>
      </c>
      <c r="X2132">
        <f>IF(AND(U2132=1,N2132&gt;=H2132*(1-Assumptions!$C$8)),1,0)</f>
        <v/>
      </c>
      <c r="Y2132">
        <f>IF(ISNUMBER(Q2132),1,0)</f>
        <v/>
      </c>
      <c r="Z2132">
        <f>IF(AND(K2132=0,L2132=0,Y2132=0),1,0)</f>
        <v/>
      </c>
      <c r="AA2132">
        <f>IF(AND(Z2132=1,G2132&lt;Assumptions!$C$6),1,0)</f>
        <v/>
      </c>
      <c r="AB2132">
        <f>IF(U2132=0,"",IF(Y2132=1,MAX(0,Q2132-G2132),IF(L2132=1,MAX(0,R2132-G2132),MAX(0,Assumptions!$C$6-G2132))))</f>
        <v/>
      </c>
      <c r="AC2132">
        <f>IF(Y2132=1,Q2132-F2132,"")</f>
        <v/>
      </c>
      <c r="AD2132">
        <f>IF(Y2132=1,AC2132^2,"")</f>
        <v/>
      </c>
      <c r="AE2132" s="19">
        <f>IF(Z2132=1,(H2132-M2132)*I2132,0)</f>
        <v/>
      </c>
      <c r="AF2132">
        <f>IF(G2132&lt;EDATE(Assumptions!$C$6,-12)+1,"prior_12m","last_12m")</f>
        <v/>
      </c>
      <c r="AG2132" s="21">
        <f>DATE(YEAR(G2132),MONTH(G2132),1)</f>
        <v/>
      </c>
    </row>
    <row r="2133">
      <c r="A2133" t="inlineStr">
        <is>
          <t>SPO-01158-1</t>
        </is>
      </c>
      <c r="B2133" t="inlineStr">
        <is>
          <t>SPO-01158</t>
        </is>
      </c>
      <c r="C2133" t="inlineStr">
        <is>
          <t>SUP-11</t>
        </is>
      </c>
      <c r="D2133" t="inlineStr">
        <is>
          <t>PPE</t>
        </is>
      </c>
      <c r="E2133" t="inlineStr">
        <is>
          <t>PPE-02</t>
        </is>
      </c>
      <c r="F2133" s="17" t="n">
        <v>45888</v>
      </c>
      <c r="G2133" s="17" t="n">
        <v>45900</v>
      </c>
      <c r="H2133" s="18" t="n">
        <v>301</v>
      </c>
      <c r="I2133" s="19" t="n">
        <v>13.29</v>
      </c>
      <c r="J2133" s="19" t="n">
        <v>12.5</v>
      </c>
      <c r="K2133" s="20" t="n">
        <v>0</v>
      </c>
      <c r="L2133" s="20" t="n">
        <v>0</v>
      </c>
      <c r="M2133" s="18" t="n">
        <v>301</v>
      </c>
      <c r="N2133" s="18" t="n">
        <v>301</v>
      </c>
      <c r="O2133" s="18" t="n">
        <v>0</v>
      </c>
      <c r="P2133" s="17" t="n">
        <v>45900</v>
      </c>
      <c r="Q2133" s="17" t="n">
        <v>45900</v>
      </c>
      <c r="R2133" s="17" t="n">
        <v>45900</v>
      </c>
      <c r="S2133" s="19">
        <f>H2133*I2133</f>
        <v/>
      </c>
      <c r="T2133" s="19">
        <f>H2133*J2133</f>
        <v/>
      </c>
      <c r="U2133">
        <f>IF(AND(K2133=0,G2133&lt;=Assumptions!$C$6),1,0)</f>
        <v/>
      </c>
      <c r="V2133">
        <f>IF(U2133=1,IF(M2133&gt;0,IF(P2133&lt;=G2133+Assumptions!$C$7,1,0),0),0)</f>
        <v/>
      </c>
      <c r="W2133">
        <f>IF(AND(U2133=1,M2133&gt;=H2133*(1-Assumptions!$C$8)),1,0)</f>
        <v/>
      </c>
      <c r="X2133">
        <f>IF(AND(U2133=1,N2133&gt;=H2133*(1-Assumptions!$C$8)),1,0)</f>
        <v/>
      </c>
      <c r="Y2133">
        <f>IF(ISNUMBER(Q2133),1,0)</f>
        <v/>
      </c>
      <c r="Z2133">
        <f>IF(AND(K2133=0,L2133=0,Y2133=0),1,0)</f>
        <v/>
      </c>
      <c r="AA2133">
        <f>IF(AND(Z2133=1,G2133&lt;Assumptions!$C$6),1,0)</f>
        <v/>
      </c>
      <c r="AB2133">
        <f>IF(U2133=0,"",IF(Y2133=1,MAX(0,Q2133-G2133),IF(L2133=1,MAX(0,R2133-G2133),MAX(0,Assumptions!$C$6-G2133))))</f>
        <v/>
      </c>
      <c r="AC2133">
        <f>IF(Y2133=1,Q2133-F2133,"")</f>
        <v/>
      </c>
      <c r="AD2133">
        <f>IF(Y2133=1,AC2133^2,"")</f>
        <v/>
      </c>
      <c r="AE2133" s="19">
        <f>IF(Z2133=1,(H2133-M2133)*I2133,0)</f>
        <v/>
      </c>
      <c r="AF2133">
        <f>IF(G2133&lt;EDATE(Assumptions!$C$6,-12)+1,"prior_12m","last_12m")</f>
        <v/>
      </c>
      <c r="AG2133" s="21">
        <f>DATE(YEAR(G2133),MONTH(G2133),1)</f>
        <v/>
      </c>
    </row>
    <row r="2134">
      <c r="A2134" t="inlineStr">
        <is>
          <t>SPO-01158-2</t>
        </is>
      </c>
      <c r="B2134" t="inlineStr">
        <is>
          <t>SPO-01158</t>
        </is>
      </c>
      <c r="C2134" t="inlineStr">
        <is>
          <t>SUP-11</t>
        </is>
      </c>
      <c r="D2134" t="inlineStr">
        <is>
          <t>PPE</t>
        </is>
      </c>
      <c r="E2134" t="inlineStr">
        <is>
          <t>PPE-03</t>
        </is>
      </c>
      <c r="F2134" s="17" t="n">
        <v>45888</v>
      </c>
      <c r="G2134" s="17" t="n">
        <v>45900</v>
      </c>
      <c r="H2134" s="18" t="n">
        <v>192</v>
      </c>
      <c r="I2134" s="19" t="n">
        <v>20.84</v>
      </c>
      <c r="J2134" s="19" t="n">
        <v>21</v>
      </c>
      <c r="K2134" s="20" t="n">
        <v>0</v>
      </c>
      <c r="L2134" s="20" t="n">
        <v>0</v>
      </c>
      <c r="M2134" s="18" t="n">
        <v>192</v>
      </c>
      <c r="N2134" s="18" t="n">
        <v>192</v>
      </c>
      <c r="O2134" s="18" t="n">
        <v>0</v>
      </c>
      <c r="P2134" s="17" t="n">
        <v>45900</v>
      </c>
      <c r="Q2134" s="17" t="n">
        <v>45900</v>
      </c>
      <c r="R2134" s="17" t="n">
        <v>45900</v>
      </c>
      <c r="S2134" s="19">
        <f>H2134*I2134</f>
        <v/>
      </c>
      <c r="T2134" s="19">
        <f>H2134*J2134</f>
        <v/>
      </c>
      <c r="U2134">
        <f>IF(AND(K2134=0,G2134&lt;=Assumptions!$C$6),1,0)</f>
        <v/>
      </c>
      <c r="V2134">
        <f>IF(U2134=1,IF(M2134&gt;0,IF(P2134&lt;=G2134+Assumptions!$C$7,1,0),0),0)</f>
        <v/>
      </c>
      <c r="W2134">
        <f>IF(AND(U2134=1,M2134&gt;=H2134*(1-Assumptions!$C$8)),1,0)</f>
        <v/>
      </c>
      <c r="X2134">
        <f>IF(AND(U2134=1,N2134&gt;=H2134*(1-Assumptions!$C$8)),1,0)</f>
        <v/>
      </c>
      <c r="Y2134">
        <f>IF(ISNUMBER(Q2134),1,0)</f>
        <v/>
      </c>
      <c r="Z2134">
        <f>IF(AND(K2134=0,L2134=0,Y2134=0),1,0)</f>
        <v/>
      </c>
      <c r="AA2134">
        <f>IF(AND(Z2134=1,G2134&lt;Assumptions!$C$6),1,0)</f>
        <v/>
      </c>
      <c r="AB2134">
        <f>IF(U2134=0,"",IF(Y2134=1,MAX(0,Q2134-G2134),IF(L2134=1,MAX(0,R2134-G2134),MAX(0,Assumptions!$C$6-G2134))))</f>
        <v/>
      </c>
      <c r="AC2134">
        <f>IF(Y2134=1,Q2134-F2134,"")</f>
        <v/>
      </c>
      <c r="AD2134">
        <f>IF(Y2134=1,AC2134^2,"")</f>
        <v/>
      </c>
      <c r="AE2134" s="19">
        <f>IF(Z2134=1,(H2134-M2134)*I2134,0)</f>
        <v/>
      </c>
      <c r="AF2134">
        <f>IF(G2134&lt;EDATE(Assumptions!$C$6,-12)+1,"prior_12m","last_12m")</f>
        <v/>
      </c>
      <c r="AG2134" s="21">
        <f>DATE(YEAR(G2134),MONTH(G2134),1)</f>
        <v/>
      </c>
    </row>
    <row r="2135">
      <c r="A2135" t="inlineStr">
        <is>
          <t>SPO-01159-1</t>
        </is>
      </c>
      <c r="B2135" t="inlineStr">
        <is>
          <t>SPO-01159</t>
        </is>
      </c>
      <c r="C2135" t="inlineStr">
        <is>
          <t>SUP-09</t>
        </is>
      </c>
      <c r="D2135" t="inlineStr">
        <is>
          <t>CHEM</t>
        </is>
      </c>
      <c r="E2135" t="inlineStr">
        <is>
          <t>CHEM-03</t>
        </is>
      </c>
      <c r="F2135" s="17" t="n">
        <v>45888</v>
      </c>
      <c r="G2135" s="17" t="n">
        <v>45902</v>
      </c>
      <c r="H2135" s="18" t="n">
        <v>5</v>
      </c>
      <c r="I2135" s="19" t="n">
        <v>264.44</v>
      </c>
      <c r="J2135" s="19" t="n">
        <v>265</v>
      </c>
      <c r="K2135" s="20" t="n">
        <v>0</v>
      </c>
      <c r="L2135" s="20" t="n">
        <v>0</v>
      </c>
      <c r="M2135" s="18" t="n">
        <v>5</v>
      </c>
      <c r="N2135" s="18" t="n">
        <v>5</v>
      </c>
      <c r="O2135" s="18" t="n">
        <v>0</v>
      </c>
      <c r="P2135" s="17" t="n">
        <v>45897</v>
      </c>
      <c r="Q2135" s="17" t="n">
        <v>45897</v>
      </c>
      <c r="R2135" s="17" t="n">
        <v>45897</v>
      </c>
      <c r="S2135" s="19">
        <f>H2135*I2135</f>
        <v/>
      </c>
      <c r="T2135" s="19">
        <f>H2135*J2135</f>
        <v/>
      </c>
      <c r="U2135">
        <f>IF(AND(K2135=0,G2135&lt;=Assumptions!$C$6),1,0)</f>
        <v/>
      </c>
      <c r="V2135">
        <f>IF(U2135=1,IF(M2135&gt;0,IF(P2135&lt;=G2135+Assumptions!$C$7,1,0),0),0)</f>
        <v/>
      </c>
      <c r="W2135">
        <f>IF(AND(U2135=1,M2135&gt;=H2135*(1-Assumptions!$C$8)),1,0)</f>
        <v/>
      </c>
      <c r="X2135">
        <f>IF(AND(U2135=1,N2135&gt;=H2135*(1-Assumptions!$C$8)),1,0)</f>
        <v/>
      </c>
      <c r="Y2135">
        <f>IF(ISNUMBER(Q2135),1,0)</f>
        <v/>
      </c>
      <c r="Z2135">
        <f>IF(AND(K2135=0,L2135=0,Y2135=0),1,0)</f>
        <v/>
      </c>
      <c r="AA2135">
        <f>IF(AND(Z2135=1,G2135&lt;Assumptions!$C$6),1,0)</f>
        <v/>
      </c>
      <c r="AB2135">
        <f>IF(U2135=0,"",IF(Y2135=1,MAX(0,Q2135-G2135),IF(L2135=1,MAX(0,R2135-G2135),MAX(0,Assumptions!$C$6-G2135))))</f>
        <v/>
      </c>
      <c r="AC2135">
        <f>IF(Y2135=1,Q2135-F2135,"")</f>
        <v/>
      </c>
      <c r="AD2135">
        <f>IF(Y2135=1,AC2135^2,"")</f>
        <v/>
      </c>
      <c r="AE2135" s="19">
        <f>IF(Z2135=1,(H2135-M2135)*I2135,0)</f>
        <v/>
      </c>
      <c r="AF2135">
        <f>IF(G2135&lt;EDATE(Assumptions!$C$6,-12)+1,"prior_12m","last_12m")</f>
        <v/>
      </c>
      <c r="AG2135" s="21">
        <f>DATE(YEAR(G2135),MONTH(G2135),1)</f>
        <v/>
      </c>
    </row>
    <row r="2136">
      <c r="A2136" t="inlineStr">
        <is>
          <t>SPO-01159-2</t>
        </is>
      </c>
      <c r="B2136" t="inlineStr">
        <is>
          <t>SPO-01159</t>
        </is>
      </c>
      <c r="C2136" t="inlineStr">
        <is>
          <t>SUP-09</t>
        </is>
      </c>
      <c r="D2136" t="inlineStr">
        <is>
          <t>CHEM</t>
        </is>
      </c>
      <c r="E2136" t="inlineStr">
        <is>
          <t>CHEM-04</t>
        </is>
      </c>
      <c r="F2136" s="17" t="n">
        <v>45888</v>
      </c>
      <c r="G2136" s="17" t="n">
        <v>45902</v>
      </c>
      <c r="H2136" s="18" t="n">
        <v>1</v>
      </c>
      <c r="I2136" s="19" t="n">
        <v>855.95</v>
      </c>
      <c r="J2136" s="19" t="n">
        <v>820</v>
      </c>
      <c r="K2136" s="20" t="n">
        <v>0</v>
      </c>
      <c r="L2136" s="20" t="n">
        <v>0</v>
      </c>
      <c r="M2136" s="18" t="n">
        <v>1</v>
      </c>
      <c r="N2136" s="18" t="n">
        <v>0</v>
      </c>
      <c r="O2136" s="18" t="n">
        <v>0</v>
      </c>
      <c r="P2136" s="17" t="n">
        <v>45903</v>
      </c>
      <c r="Q2136" s="17" t="n">
        <v>45903</v>
      </c>
      <c r="R2136" s="17" t="n">
        <v>45903</v>
      </c>
      <c r="S2136" s="19">
        <f>H2136*I2136</f>
        <v/>
      </c>
      <c r="T2136" s="19">
        <f>H2136*J2136</f>
        <v/>
      </c>
      <c r="U2136">
        <f>IF(AND(K2136=0,G2136&lt;=Assumptions!$C$6),1,0)</f>
        <v/>
      </c>
      <c r="V2136">
        <f>IF(U2136=1,IF(M2136&gt;0,IF(P2136&lt;=G2136+Assumptions!$C$7,1,0),0),0)</f>
        <v/>
      </c>
      <c r="W2136">
        <f>IF(AND(U2136=1,M2136&gt;=H2136*(1-Assumptions!$C$8)),1,0)</f>
        <v/>
      </c>
      <c r="X2136">
        <f>IF(AND(U2136=1,N2136&gt;=H2136*(1-Assumptions!$C$8)),1,0)</f>
        <v/>
      </c>
      <c r="Y2136">
        <f>IF(ISNUMBER(Q2136),1,0)</f>
        <v/>
      </c>
      <c r="Z2136">
        <f>IF(AND(K2136=0,L2136=0,Y2136=0),1,0)</f>
        <v/>
      </c>
      <c r="AA2136">
        <f>IF(AND(Z2136=1,G2136&lt;Assumptions!$C$6),1,0)</f>
        <v/>
      </c>
      <c r="AB2136">
        <f>IF(U2136=0,"",IF(Y2136=1,MAX(0,Q2136-G2136),IF(L2136=1,MAX(0,R2136-G2136),MAX(0,Assumptions!$C$6-G2136))))</f>
        <v/>
      </c>
      <c r="AC2136">
        <f>IF(Y2136=1,Q2136-F2136,"")</f>
        <v/>
      </c>
      <c r="AD2136">
        <f>IF(Y2136=1,AC2136^2,"")</f>
        <v/>
      </c>
      <c r="AE2136" s="19">
        <f>IF(Z2136=1,(H2136-M2136)*I2136,0)</f>
        <v/>
      </c>
      <c r="AF2136">
        <f>IF(G2136&lt;EDATE(Assumptions!$C$6,-12)+1,"prior_12m","last_12m")</f>
        <v/>
      </c>
      <c r="AG2136" s="21">
        <f>DATE(YEAR(G2136),MONTH(G2136),1)</f>
        <v/>
      </c>
    </row>
    <row r="2137">
      <c r="A2137" t="inlineStr">
        <is>
          <t>SPO-01159-3</t>
        </is>
      </c>
      <c r="B2137" t="inlineStr">
        <is>
          <t>SPO-01159</t>
        </is>
      </c>
      <c r="C2137" t="inlineStr">
        <is>
          <t>SUP-09</t>
        </is>
      </c>
      <c r="D2137" t="inlineStr">
        <is>
          <t>CHEM</t>
        </is>
      </c>
      <c r="E2137" t="inlineStr">
        <is>
          <t>CHEM-06</t>
        </is>
      </c>
      <c r="F2137" s="17" t="n">
        <v>45888</v>
      </c>
      <c r="G2137" s="17" t="n">
        <v>45902</v>
      </c>
      <c r="H2137" s="18" t="n">
        <v>1</v>
      </c>
      <c r="I2137" s="19" t="n">
        <v>390.6</v>
      </c>
      <c r="J2137" s="19" t="n">
        <v>380</v>
      </c>
      <c r="K2137" s="20" t="n">
        <v>0</v>
      </c>
      <c r="L2137" s="20" t="n">
        <v>0</v>
      </c>
      <c r="M2137" s="18" t="n">
        <v>1</v>
      </c>
      <c r="N2137" s="18" t="n">
        <v>1</v>
      </c>
      <c r="O2137" s="18" t="n">
        <v>0</v>
      </c>
      <c r="P2137" s="17" t="n">
        <v>45902</v>
      </c>
      <c r="Q2137" s="17" t="n">
        <v>45902</v>
      </c>
      <c r="R2137" s="17" t="n">
        <v>45902</v>
      </c>
      <c r="S2137" s="19">
        <f>H2137*I2137</f>
        <v/>
      </c>
      <c r="T2137" s="19">
        <f>H2137*J2137</f>
        <v/>
      </c>
      <c r="U2137">
        <f>IF(AND(K2137=0,G2137&lt;=Assumptions!$C$6),1,0)</f>
        <v/>
      </c>
      <c r="V2137">
        <f>IF(U2137=1,IF(M2137&gt;0,IF(P2137&lt;=G2137+Assumptions!$C$7,1,0),0),0)</f>
        <v/>
      </c>
      <c r="W2137">
        <f>IF(AND(U2137=1,M2137&gt;=H2137*(1-Assumptions!$C$8)),1,0)</f>
        <v/>
      </c>
      <c r="X2137">
        <f>IF(AND(U2137=1,N2137&gt;=H2137*(1-Assumptions!$C$8)),1,0)</f>
        <v/>
      </c>
      <c r="Y2137">
        <f>IF(ISNUMBER(Q2137),1,0)</f>
        <v/>
      </c>
      <c r="Z2137">
        <f>IF(AND(K2137=0,L2137=0,Y2137=0),1,0)</f>
        <v/>
      </c>
      <c r="AA2137">
        <f>IF(AND(Z2137=1,G2137&lt;Assumptions!$C$6),1,0)</f>
        <v/>
      </c>
      <c r="AB2137">
        <f>IF(U2137=0,"",IF(Y2137=1,MAX(0,Q2137-G2137),IF(L2137=1,MAX(0,R2137-G2137),MAX(0,Assumptions!$C$6-G2137))))</f>
        <v/>
      </c>
      <c r="AC2137">
        <f>IF(Y2137=1,Q2137-F2137,"")</f>
        <v/>
      </c>
      <c r="AD2137">
        <f>IF(Y2137=1,AC2137^2,"")</f>
        <v/>
      </c>
      <c r="AE2137" s="19">
        <f>IF(Z2137=1,(H2137-M2137)*I2137,0)</f>
        <v/>
      </c>
      <c r="AF2137">
        <f>IF(G2137&lt;EDATE(Assumptions!$C$6,-12)+1,"prior_12m","last_12m")</f>
        <v/>
      </c>
      <c r="AG2137" s="21">
        <f>DATE(YEAR(G2137),MONTH(G2137),1)</f>
        <v/>
      </c>
    </row>
    <row r="2138">
      <c r="A2138" t="inlineStr">
        <is>
          <t>SPO-01160-1</t>
        </is>
      </c>
      <c r="B2138" t="inlineStr">
        <is>
          <t>SPO-01160</t>
        </is>
      </c>
      <c r="C2138" t="inlineStr">
        <is>
          <t>SUP-01</t>
        </is>
      </c>
      <c r="D2138" t="inlineStr">
        <is>
          <t>ELEC</t>
        </is>
      </c>
      <c r="E2138" t="inlineStr">
        <is>
          <t>ELEC-08</t>
        </is>
      </c>
      <c r="F2138" s="17" t="n">
        <v>45889</v>
      </c>
      <c r="G2138" s="17" t="n">
        <v>45907</v>
      </c>
      <c r="H2138" s="18" t="n">
        <v>178</v>
      </c>
      <c r="I2138" s="19" t="n">
        <v>17.99</v>
      </c>
      <c r="J2138" s="19" t="n">
        <v>18</v>
      </c>
      <c r="K2138" s="20" t="n">
        <v>0</v>
      </c>
      <c r="L2138" s="20" t="n">
        <v>0</v>
      </c>
      <c r="M2138" s="18" t="n">
        <v>178</v>
      </c>
      <c r="N2138" s="18" t="n">
        <v>178</v>
      </c>
      <c r="O2138" s="18" t="n">
        <v>0</v>
      </c>
      <c r="P2138" s="17" t="n">
        <v>45904</v>
      </c>
      <c r="Q2138" s="17" t="n">
        <v>45904</v>
      </c>
      <c r="R2138" s="17" t="n">
        <v>45904</v>
      </c>
      <c r="S2138" s="19">
        <f>H2138*I2138</f>
        <v/>
      </c>
      <c r="T2138" s="19">
        <f>H2138*J2138</f>
        <v/>
      </c>
      <c r="U2138">
        <f>IF(AND(K2138=0,G2138&lt;=Assumptions!$C$6),1,0)</f>
        <v/>
      </c>
      <c r="V2138">
        <f>IF(U2138=1,IF(M2138&gt;0,IF(P2138&lt;=G2138+Assumptions!$C$7,1,0),0),0)</f>
        <v/>
      </c>
      <c r="W2138">
        <f>IF(AND(U2138=1,M2138&gt;=H2138*(1-Assumptions!$C$8)),1,0)</f>
        <v/>
      </c>
      <c r="X2138">
        <f>IF(AND(U2138=1,N2138&gt;=H2138*(1-Assumptions!$C$8)),1,0)</f>
        <v/>
      </c>
      <c r="Y2138">
        <f>IF(ISNUMBER(Q2138),1,0)</f>
        <v/>
      </c>
      <c r="Z2138">
        <f>IF(AND(K2138=0,L2138=0,Y2138=0),1,0)</f>
        <v/>
      </c>
      <c r="AA2138">
        <f>IF(AND(Z2138=1,G2138&lt;Assumptions!$C$6),1,0)</f>
        <v/>
      </c>
      <c r="AB2138">
        <f>IF(U2138=0,"",IF(Y2138=1,MAX(0,Q2138-G2138),IF(L2138=1,MAX(0,R2138-G2138),MAX(0,Assumptions!$C$6-G2138))))</f>
        <v/>
      </c>
      <c r="AC2138">
        <f>IF(Y2138=1,Q2138-F2138,"")</f>
        <v/>
      </c>
      <c r="AD2138">
        <f>IF(Y2138=1,AC2138^2,"")</f>
        <v/>
      </c>
      <c r="AE2138" s="19">
        <f>IF(Z2138=1,(H2138-M2138)*I2138,0)</f>
        <v/>
      </c>
      <c r="AF2138">
        <f>IF(G2138&lt;EDATE(Assumptions!$C$6,-12)+1,"prior_12m","last_12m")</f>
        <v/>
      </c>
      <c r="AG2138" s="21">
        <f>DATE(YEAR(G2138),MONTH(G2138),1)</f>
        <v/>
      </c>
    </row>
    <row r="2139">
      <c r="A2139" t="inlineStr">
        <is>
          <t>SPO-01160-2</t>
        </is>
      </c>
      <c r="B2139" t="inlineStr">
        <is>
          <t>SPO-01160</t>
        </is>
      </c>
      <c r="C2139" t="inlineStr">
        <is>
          <t>SUP-01</t>
        </is>
      </c>
      <c r="D2139" t="inlineStr">
        <is>
          <t>ELEC</t>
        </is>
      </c>
      <c r="E2139" t="inlineStr">
        <is>
          <t>ELEC-01</t>
        </is>
      </c>
      <c r="F2139" s="17" t="n">
        <v>45889</v>
      </c>
      <c r="G2139" s="17" t="n">
        <v>45907</v>
      </c>
      <c r="H2139" s="18" t="n">
        <v>104</v>
      </c>
      <c r="I2139" s="19" t="n">
        <v>38.38</v>
      </c>
      <c r="J2139" s="19" t="n">
        <v>38</v>
      </c>
      <c r="K2139" s="20" t="n">
        <v>0</v>
      </c>
      <c r="L2139" s="20" t="n">
        <v>0</v>
      </c>
      <c r="M2139" s="18" t="n">
        <v>104</v>
      </c>
      <c r="N2139" s="18" t="n">
        <v>104</v>
      </c>
      <c r="O2139" s="18" t="n">
        <v>0</v>
      </c>
      <c r="P2139" s="17" t="n">
        <v>45907</v>
      </c>
      <c r="Q2139" s="17" t="n">
        <v>45907</v>
      </c>
      <c r="R2139" s="17" t="n">
        <v>45907</v>
      </c>
      <c r="S2139" s="19">
        <f>H2139*I2139</f>
        <v/>
      </c>
      <c r="T2139" s="19">
        <f>H2139*J2139</f>
        <v/>
      </c>
      <c r="U2139">
        <f>IF(AND(K2139=0,G2139&lt;=Assumptions!$C$6),1,0)</f>
        <v/>
      </c>
      <c r="V2139">
        <f>IF(U2139=1,IF(M2139&gt;0,IF(P2139&lt;=G2139+Assumptions!$C$7,1,0),0),0)</f>
        <v/>
      </c>
      <c r="W2139">
        <f>IF(AND(U2139=1,M2139&gt;=H2139*(1-Assumptions!$C$8)),1,0)</f>
        <v/>
      </c>
      <c r="X2139">
        <f>IF(AND(U2139=1,N2139&gt;=H2139*(1-Assumptions!$C$8)),1,0)</f>
        <v/>
      </c>
      <c r="Y2139">
        <f>IF(ISNUMBER(Q2139),1,0)</f>
        <v/>
      </c>
      <c r="Z2139">
        <f>IF(AND(K2139=0,L2139=0,Y2139=0),1,0)</f>
        <v/>
      </c>
      <c r="AA2139">
        <f>IF(AND(Z2139=1,G2139&lt;Assumptions!$C$6),1,0)</f>
        <v/>
      </c>
      <c r="AB2139">
        <f>IF(U2139=0,"",IF(Y2139=1,MAX(0,Q2139-G2139),IF(L2139=1,MAX(0,R2139-G2139),MAX(0,Assumptions!$C$6-G2139))))</f>
        <v/>
      </c>
      <c r="AC2139">
        <f>IF(Y2139=1,Q2139-F2139,"")</f>
        <v/>
      </c>
      <c r="AD2139">
        <f>IF(Y2139=1,AC2139^2,"")</f>
        <v/>
      </c>
      <c r="AE2139" s="19">
        <f>IF(Z2139=1,(H2139-M2139)*I2139,0)</f>
        <v/>
      </c>
      <c r="AF2139">
        <f>IF(G2139&lt;EDATE(Assumptions!$C$6,-12)+1,"prior_12m","last_12m")</f>
        <v/>
      </c>
      <c r="AG2139" s="21">
        <f>DATE(YEAR(G2139),MONTH(G2139),1)</f>
        <v/>
      </c>
    </row>
    <row r="2140">
      <c r="A2140" t="inlineStr">
        <is>
          <t>SPO-01160-3</t>
        </is>
      </c>
      <c r="B2140" t="inlineStr">
        <is>
          <t>SPO-01160</t>
        </is>
      </c>
      <c r="C2140" t="inlineStr">
        <is>
          <t>SUP-01</t>
        </is>
      </c>
      <c r="D2140" t="inlineStr">
        <is>
          <t>ELEC</t>
        </is>
      </c>
      <c r="E2140" t="inlineStr">
        <is>
          <t>ELEC-06</t>
        </is>
      </c>
      <c r="F2140" s="17" t="n">
        <v>45889</v>
      </c>
      <c r="G2140" s="17" t="n">
        <v>45907</v>
      </c>
      <c r="H2140" s="18" t="n">
        <v>32</v>
      </c>
      <c r="I2140" s="19" t="n">
        <v>146.27</v>
      </c>
      <c r="J2140" s="19" t="n">
        <v>145</v>
      </c>
      <c r="K2140" s="20" t="n">
        <v>0</v>
      </c>
      <c r="L2140" s="20" t="n">
        <v>0</v>
      </c>
      <c r="M2140" s="18" t="n">
        <v>32</v>
      </c>
      <c r="N2140" s="18" t="n">
        <v>32</v>
      </c>
      <c r="O2140" s="18" t="n">
        <v>0</v>
      </c>
      <c r="P2140" s="17" t="n">
        <v>45904</v>
      </c>
      <c r="Q2140" s="17" t="n">
        <v>45904</v>
      </c>
      <c r="R2140" s="17" t="n">
        <v>45904</v>
      </c>
      <c r="S2140" s="19">
        <f>H2140*I2140</f>
        <v/>
      </c>
      <c r="T2140" s="19">
        <f>H2140*J2140</f>
        <v/>
      </c>
      <c r="U2140">
        <f>IF(AND(K2140=0,G2140&lt;=Assumptions!$C$6),1,0)</f>
        <v/>
      </c>
      <c r="V2140">
        <f>IF(U2140=1,IF(M2140&gt;0,IF(P2140&lt;=G2140+Assumptions!$C$7,1,0),0),0)</f>
        <v/>
      </c>
      <c r="W2140">
        <f>IF(AND(U2140=1,M2140&gt;=H2140*(1-Assumptions!$C$8)),1,0)</f>
        <v/>
      </c>
      <c r="X2140">
        <f>IF(AND(U2140=1,N2140&gt;=H2140*(1-Assumptions!$C$8)),1,0)</f>
        <v/>
      </c>
      <c r="Y2140">
        <f>IF(ISNUMBER(Q2140),1,0)</f>
        <v/>
      </c>
      <c r="Z2140">
        <f>IF(AND(K2140=0,L2140=0,Y2140=0),1,0)</f>
        <v/>
      </c>
      <c r="AA2140">
        <f>IF(AND(Z2140=1,G2140&lt;Assumptions!$C$6),1,0)</f>
        <v/>
      </c>
      <c r="AB2140">
        <f>IF(U2140=0,"",IF(Y2140=1,MAX(0,Q2140-G2140),IF(L2140=1,MAX(0,R2140-G2140),MAX(0,Assumptions!$C$6-G2140))))</f>
        <v/>
      </c>
      <c r="AC2140">
        <f>IF(Y2140=1,Q2140-F2140,"")</f>
        <v/>
      </c>
      <c r="AD2140">
        <f>IF(Y2140=1,AC2140^2,"")</f>
        <v/>
      </c>
      <c r="AE2140" s="19">
        <f>IF(Z2140=1,(H2140-M2140)*I2140,0)</f>
        <v/>
      </c>
      <c r="AF2140">
        <f>IF(G2140&lt;EDATE(Assumptions!$C$6,-12)+1,"prior_12m","last_12m")</f>
        <v/>
      </c>
      <c r="AG2140" s="21">
        <f>DATE(YEAR(G2140),MONTH(G2140),1)</f>
        <v/>
      </c>
    </row>
    <row r="2141">
      <c r="A2141" t="inlineStr">
        <is>
          <t>SPO-01161-1</t>
        </is>
      </c>
      <c r="B2141" t="inlineStr">
        <is>
          <t>SPO-01161</t>
        </is>
      </c>
      <c r="C2141" t="inlineStr">
        <is>
          <t>SUP-09</t>
        </is>
      </c>
      <c r="D2141" t="inlineStr">
        <is>
          <t>CHEM</t>
        </is>
      </c>
      <c r="E2141" t="inlineStr">
        <is>
          <t>CHEM-01</t>
        </is>
      </c>
      <c r="F2141" s="17" t="n">
        <v>45889</v>
      </c>
      <c r="G2141" s="17" t="n">
        <v>45903</v>
      </c>
      <c r="H2141" s="18" t="n">
        <v>1</v>
      </c>
      <c r="I2141" s="19" t="n">
        <v>645.62</v>
      </c>
      <c r="J2141" s="19" t="n">
        <v>640</v>
      </c>
      <c r="K2141" s="20" t="n">
        <v>0</v>
      </c>
      <c r="L2141" s="20" t="n">
        <v>0</v>
      </c>
      <c r="M2141" s="18" t="n">
        <v>1</v>
      </c>
      <c r="N2141" s="18" t="n">
        <v>1</v>
      </c>
      <c r="O2141" s="18" t="n">
        <v>0</v>
      </c>
      <c r="P2141" s="17" t="n">
        <v>45898</v>
      </c>
      <c r="Q2141" s="17" t="n">
        <v>45898</v>
      </c>
      <c r="R2141" s="17" t="n">
        <v>45898</v>
      </c>
      <c r="S2141" s="19">
        <f>H2141*I2141</f>
        <v/>
      </c>
      <c r="T2141" s="19">
        <f>H2141*J2141</f>
        <v/>
      </c>
      <c r="U2141">
        <f>IF(AND(K2141=0,G2141&lt;=Assumptions!$C$6),1,0)</f>
        <v/>
      </c>
      <c r="V2141">
        <f>IF(U2141=1,IF(M2141&gt;0,IF(P2141&lt;=G2141+Assumptions!$C$7,1,0),0),0)</f>
        <v/>
      </c>
      <c r="W2141">
        <f>IF(AND(U2141=1,M2141&gt;=H2141*(1-Assumptions!$C$8)),1,0)</f>
        <v/>
      </c>
      <c r="X2141">
        <f>IF(AND(U2141=1,N2141&gt;=H2141*(1-Assumptions!$C$8)),1,0)</f>
        <v/>
      </c>
      <c r="Y2141">
        <f>IF(ISNUMBER(Q2141),1,0)</f>
        <v/>
      </c>
      <c r="Z2141">
        <f>IF(AND(K2141=0,L2141=0,Y2141=0),1,0)</f>
        <v/>
      </c>
      <c r="AA2141">
        <f>IF(AND(Z2141=1,G2141&lt;Assumptions!$C$6),1,0)</f>
        <v/>
      </c>
      <c r="AB2141">
        <f>IF(U2141=0,"",IF(Y2141=1,MAX(0,Q2141-G2141),IF(L2141=1,MAX(0,R2141-G2141),MAX(0,Assumptions!$C$6-G2141))))</f>
        <v/>
      </c>
      <c r="AC2141">
        <f>IF(Y2141=1,Q2141-F2141,"")</f>
        <v/>
      </c>
      <c r="AD2141">
        <f>IF(Y2141=1,AC2141^2,"")</f>
        <v/>
      </c>
      <c r="AE2141" s="19">
        <f>IF(Z2141=1,(H2141-M2141)*I2141,0)</f>
        <v/>
      </c>
      <c r="AF2141">
        <f>IF(G2141&lt;EDATE(Assumptions!$C$6,-12)+1,"prior_12m","last_12m")</f>
        <v/>
      </c>
      <c r="AG2141" s="21">
        <f>DATE(YEAR(G2141),MONTH(G2141),1)</f>
        <v/>
      </c>
    </row>
    <row r="2142">
      <c r="A2142" t="inlineStr">
        <is>
          <t>SPO-01161-2</t>
        </is>
      </c>
      <c r="B2142" t="inlineStr">
        <is>
          <t>SPO-01161</t>
        </is>
      </c>
      <c r="C2142" t="inlineStr">
        <is>
          <t>SUP-09</t>
        </is>
      </c>
      <c r="D2142" t="inlineStr">
        <is>
          <t>CHEM</t>
        </is>
      </c>
      <c r="E2142" t="inlineStr">
        <is>
          <t>CHEM-02</t>
        </is>
      </c>
      <c r="F2142" s="17" t="n">
        <v>45889</v>
      </c>
      <c r="G2142" s="17" t="n">
        <v>45903</v>
      </c>
      <c r="H2142" s="18" t="n">
        <v>3</v>
      </c>
      <c r="I2142" s="19" t="n">
        <v>429.19</v>
      </c>
      <c r="J2142" s="19" t="n">
        <v>410</v>
      </c>
      <c r="K2142" s="20" t="n">
        <v>0</v>
      </c>
      <c r="L2142" s="20" t="n">
        <v>0</v>
      </c>
      <c r="M2142" s="18" t="n">
        <v>3</v>
      </c>
      <c r="N2142" s="18" t="n">
        <v>3</v>
      </c>
      <c r="O2142" s="18" t="n">
        <v>0</v>
      </c>
      <c r="P2142" s="17" t="n">
        <v>45900</v>
      </c>
      <c r="Q2142" s="17" t="n">
        <v>45900</v>
      </c>
      <c r="R2142" s="17" t="n">
        <v>45900</v>
      </c>
      <c r="S2142" s="19">
        <f>H2142*I2142</f>
        <v/>
      </c>
      <c r="T2142" s="19">
        <f>H2142*J2142</f>
        <v/>
      </c>
      <c r="U2142">
        <f>IF(AND(K2142=0,G2142&lt;=Assumptions!$C$6),1,0)</f>
        <v/>
      </c>
      <c r="V2142">
        <f>IF(U2142=1,IF(M2142&gt;0,IF(P2142&lt;=G2142+Assumptions!$C$7,1,0),0),0)</f>
        <v/>
      </c>
      <c r="W2142">
        <f>IF(AND(U2142=1,M2142&gt;=H2142*(1-Assumptions!$C$8)),1,0)</f>
        <v/>
      </c>
      <c r="X2142">
        <f>IF(AND(U2142=1,N2142&gt;=H2142*(1-Assumptions!$C$8)),1,0)</f>
        <v/>
      </c>
      <c r="Y2142">
        <f>IF(ISNUMBER(Q2142),1,0)</f>
        <v/>
      </c>
      <c r="Z2142">
        <f>IF(AND(K2142=0,L2142=0,Y2142=0),1,0)</f>
        <v/>
      </c>
      <c r="AA2142">
        <f>IF(AND(Z2142=1,G2142&lt;Assumptions!$C$6),1,0)</f>
        <v/>
      </c>
      <c r="AB2142">
        <f>IF(U2142=0,"",IF(Y2142=1,MAX(0,Q2142-G2142),IF(L2142=1,MAX(0,R2142-G2142),MAX(0,Assumptions!$C$6-G2142))))</f>
        <v/>
      </c>
      <c r="AC2142">
        <f>IF(Y2142=1,Q2142-F2142,"")</f>
        <v/>
      </c>
      <c r="AD2142">
        <f>IF(Y2142=1,AC2142^2,"")</f>
        <v/>
      </c>
      <c r="AE2142" s="19">
        <f>IF(Z2142=1,(H2142-M2142)*I2142,0)</f>
        <v/>
      </c>
      <c r="AF2142">
        <f>IF(G2142&lt;EDATE(Assumptions!$C$6,-12)+1,"prior_12m","last_12m")</f>
        <v/>
      </c>
      <c r="AG2142" s="21">
        <f>DATE(YEAR(G2142),MONTH(G2142),1)</f>
        <v/>
      </c>
    </row>
    <row r="2143">
      <c r="A2143" t="inlineStr">
        <is>
          <t>SPO-01161-3</t>
        </is>
      </c>
      <c r="B2143" t="inlineStr">
        <is>
          <t>SPO-01161</t>
        </is>
      </c>
      <c r="C2143" t="inlineStr">
        <is>
          <t>SUP-09</t>
        </is>
      </c>
      <c r="D2143" t="inlineStr">
        <is>
          <t>CHEM</t>
        </is>
      </c>
      <c r="E2143" t="inlineStr">
        <is>
          <t>CHEM-06</t>
        </is>
      </c>
      <c r="F2143" s="17" t="n">
        <v>45889</v>
      </c>
      <c r="G2143" s="17" t="n">
        <v>45903</v>
      </c>
      <c r="H2143" s="18" t="n">
        <v>6</v>
      </c>
      <c r="I2143" s="19" t="n">
        <v>391.46</v>
      </c>
      <c r="J2143" s="19" t="n">
        <v>380</v>
      </c>
      <c r="K2143" s="20" t="n">
        <v>0</v>
      </c>
      <c r="L2143" s="20" t="n">
        <v>0</v>
      </c>
      <c r="M2143" s="18" t="n">
        <v>6</v>
      </c>
      <c r="N2143" s="18" t="n">
        <v>6</v>
      </c>
      <c r="O2143" s="18" t="n">
        <v>0</v>
      </c>
      <c r="P2143" s="17" t="n">
        <v>45902</v>
      </c>
      <c r="Q2143" s="17" t="n">
        <v>45902</v>
      </c>
      <c r="R2143" s="17" t="n">
        <v>45902</v>
      </c>
      <c r="S2143" s="19">
        <f>H2143*I2143</f>
        <v/>
      </c>
      <c r="T2143" s="19">
        <f>H2143*J2143</f>
        <v/>
      </c>
      <c r="U2143">
        <f>IF(AND(K2143=0,G2143&lt;=Assumptions!$C$6),1,0)</f>
        <v/>
      </c>
      <c r="V2143">
        <f>IF(U2143=1,IF(M2143&gt;0,IF(P2143&lt;=G2143+Assumptions!$C$7,1,0),0),0)</f>
        <v/>
      </c>
      <c r="W2143">
        <f>IF(AND(U2143=1,M2143&gt;=H2143*(1-Assumptions!$C$8)),1,0)</f>
        <v/>
      </c>
      <c r="X2143">
        <f>IF(AND(U2143=1,N2143&gt;=H2143*(1-Assumptions!$C$8)),1,0)</f>
        <v/>
      </c>
      <c r="Y2143">
        <f>IF(ISNUMBER(Q2143),1,0)</f>
        <v/>
      </c>
      <c r="Z2143">
        <f>IF(AND(K2143=0,L2143=0,Y2143=0),1,0)</f>
        <v/>
      </c>
      <c r="AA2143">
        <f>IF(AND(Z2143=1,G2143&lt;Assumptions!$C$6),1,0)</f>
        <v/>
      </c>
      <c r="AB2143">
        <f>IF(U2143=0,"",IF(Y2143=1,MAX(0,Q2143-G2143),IF(L2143=1,MAX(0,R2143-G2143),MAX(0,Assumptions!$C$6-G2143))))</f>
        <v/>
      </c>
      <c r="AC2143">
        <f>IF(Y2143=1,Q2143-F2143,"")</f>
        <v/>
      </c>
      <c r="AD2143">
        <f>IF(Y2143=1,AC2143^2,"")</f>
        <v/>
      </c>
      <c r="AE2143" s="19">
        <f>IF(Z2143=1,(H2143-M2143)*I2143,0)</f>
        <v/>
      </c>
      <c r="AF2143">
        <f>IF(G2143&lt;EDATE(Assumptions!$C$6,-12)+1,"prior_12m","last_12m")</f>
        <v/>
      </c>
      <c r="AG2143" s="21">
        <f>DATE(YEAR(G2143),MONTH(G2143),1)</f>
        <v/>
      </c>
    </row>
    <row r="2144">
      <c r="A2144" t="inlineStr">
        <is>
          <t>SPO-01162-1</t>
        </is>
      </c>
      <c r="B2144" t="inlineStr">
        <is>
          <t>SPO-01162</t>
        </is>
      </c>
      <c r="C2144" t="inlineStr">
        <is>
          <t>SUP-11</t>
        </is>
      </c>
      <c r="D2144" t="inlineStr">
        <is>
          <t>PPE</t>
        </is>
      </c>
      <c r="E2144" t="inlineStr">
        <is>
          <t>PPE-02</t>
        </is>
      </c>
      <c r="F2144" s="17" t="n">
        <v>45890</v>
      </c>
      <c r="G2144" s="17" t="n">
        <v>45902</v>
      </c>
      <c r="H2144" s="18" t="n">
        <v>181</v>
      </c>
      <c r="I2144" s="19" t="n">
        <v>12.61</v>
      </c>
      <c r="J2144" s="19" t="n">
        <v>12.5</v>
      </c>
      <c r="K2144" s="20" t="n">
        <v>0</v>
      </c>
      <c r="L2144" s="20" t="n">
        <v>0</v>
      </c>
      <c r="M2144" s="18" t="n">
        <v>181</v>
      </c>
      <c r="N2144" s="18" t="n">
        <v>181</v>
      </c>
      <c r="O2144" s="18" t="n">
        <v>0</v>
      </c>
      <c r="P2144" s="17" t="n">
        <v>45899</v>
      </c>
      <c r="Q2144" s="17" t="n">
        <v>45899</v>
      </c>
      <c r="R2144" s="17" t="n">
        <v>45899</v>
      </c>
      <c r="S2144" s="19">
        <f>H2144*I2144</f>
        <v/>
      </c>
      <c r="T2144" s="19">
        <f>H2144*J2144</f>
        <v/>
      </c>
      <c r="U2144">
        <f>IF(AND(K2144=0,G2144&lt;=Assumptions!$C$6),1,0)</f>
        <v/>
      </c>
      <c r="V2144">
        <f>IF(U2144=1,IF(M2144&gt;0,IF(P2144&lt;=G2144+Assumptions!$C$7,1,0),0),0)</f>
        <v/>
      </c>
      <c r="W2144">
        <f>IF(AND(U2144=1,M2144&gt;=H2144*(1-Assumptions!$C$8)),1,0)</f>
        <v/>
      </c>
      <c r="X2144">
        <f>IF(AND(U2144=1,N2144&gt;=H2144*(1-Assumptions!$C$8)),1,0)</f>
        <v/>
      </c>
      <c r="Y2144">
        <f>IF(ISNUMBER(Q2144),1,0)</f>
        <v/>
      </c>
      <c r="Z2144">
        <f>IF(AND(K2144=0,L2144=0,Y2144=0),1,0)</f>
        <v/>
      </c>
      <c r="AA2144">
        <f>IF(AND(Z2144=1,G2144&lt;Assumptions!$C$6),1,0)</f>
        <v/>
      </c>
      <c r="AB2144">
        <f>IF(U2144=0,"",IF(Y2144=1,MAX(0,Q2144-G2144),IF(L2144=1,MAX(0,R2144-G2144),MAX(0,Assumptions!$C$6-G2144))))</f>
        <v/>
      </c>
      <c r="AC2144">
        <f>IF(Y2144=1,Q2144-F2144,"")</f>
        <v/>
      </c>
      <c r="AD2144">
        <f>IF(Y2144=1,AC2144^2,"")</f>
        <v/>
      </c>
      <c r="AE2144" s="19">
        <f>IF(Z2144=1,(H2144-M2144)*I2144,0)</f>
        <v/>
      </c>
      <c r="AF2144">
        <f>IF(G2144&lt;EDATE(Assumptions!$C$6,-12)+1,"prior_12m","last_12m")</f>
        <v/>
      </c>
      <c r="AG2144" s="21">
        <f>DATE(YEAR(G2144),MONTH(G2144),1)</f>
        <v/>
      </c>
    </row>
    <row r="2145">
      <c r="A2145" t="inlineStr">
        <is>
          <t>SPO-01163-1</t>
        </is>
      </c>
      <c r="B2145" t="inlineStr">
        <is>
          <t>SPO-01163</t>
        </is>
      </c>
      <c r="C2145" t="inlineStr">
        <is>
          <t>SUP-10</t>
        </is>
      </c>
      <c r="D2145" t="inlineStr">
        <is>
          <t>PPE</t>
        </is>
      </c>
      <c r="E2145" t="inlineStr">
        <is>
          <t>PPE-06</t>
        </is>
      </c>
      <c r="F2145" s="17" t="n">
        <v>45891</v>
      </c>
      <c r="G2145" s="17" t="n">
        <v>45904</v>
      </c>
      <c r="H2145" s="18" t="n">
        <v>9</v>
      </c>
      <c r="I2145" s="19" t="n">
        <v>104.8</v>
      </c>
      <c r="J2145" s="19" t="n">
        <v>115</v>
      </c>
      <c r="K2145" s="20" t="n">
        <v>0</v>
      </c>
      <c r="L2145" s="20" t="n">
        <v>0</v>
      </c>
      <c r="M2145" s="18" t="n">
        <v>9</v>
      </c>
      <c r="N2145" s="18" t="n">
        <v>9</v>
      </c>
      <c r="O2145" s="18" t="n">
        <v>0</v>
      </c>
      <c r="P2145" s="17" t="n">
        <v>45898</v>
      </c>
      <c r="Q2145" s="17" t="n">
        <v>45898</v>
      </c>
      <c r="R2145" s="17" t="n">
        <v>45898</v>
      </c>
      <c r="S2145" s="19">
        <f>H2145*I2145</f>
        <v/>
      </c>
      <c r="T2145" s="19">
        <f>H2145*J2145</f>
        <v/>
      </c>
      <c r="U2145">
        <f>IF(AND(K2145=0,G2145&lt;=Assumptions!$C$6),1,0)</f>
        <v/>
      </c>
      <c r="V2145">
        <f>IF(U2145=1,IF(M2145&gt;0,IF(P2145&lt;=G2145+Assumptions!$C$7,1,0),0),0)</f>
        <v/>
      </c>
      <c r="W2145">
        <f>IF(AND(U2145=1,M2145&gt;=H2145*(1-Assumptions!$C$8)),1,0)</f>
        <v/>
      </c>
      <c r="X2145">
        <f>IF(AND(U2145=1,N2145&gt;=H2145*(1-Assumptions!$C$8)),1,0)</f>
        <v/>
      </c>
      <c r="Y2145">
        <f>IF(ISNUMBER(Q2145),1,0)</f>
        <v/>
      </c>
      <c r="Z2145">
        <f>IF(AND(K2145=0,L2145=0,Y2145=0),1,0)</f>
        <v/>
      </c>
      <c r="AA2145">
        <f>IF(AND(Z2145=1,G2145&lt;Assumptions!$C$6),1,0)</f>
        <v/>
      </c>
      <c r="AB2145">
        <f>IF(U2145=0,"",IF(Y2145=1,MAX(0,Q2145-G2145),IF(L2145=1,MAX(0,R2145-G2145),MAX(0,Assumptions!$C$6-G2145))))</f>
        <v/>
      </c>
      <c r="AC2145">
        <f>IF(Y2145=1,Q2145-F2145,"")</f>
        <v/>
      </c>
      <c r="AD2145">
        <f>IF(Y2145=1,AC2145^2,"")</f>
        <v/>
      </c>
      <c r="AE2145" s="19">
        <f>IF(Z2145=1,(H2145-M2145)*I2145,0)</f>
        <v/>
      </c>
      <c r="AF2145">
        <f>IF(G2145&lt;EDATE(Assumptions!$C$6,-12)+1,"prior_12m","last_12m")</f>
        <v/>
      </c>
      <c r="AG2145" s="21">
        <f>DATE(YEAR(G2145),MONTH(G2145),1)</f>
        <v/>
      </c>
    </row>
    <row r="2146">
      <c r="A2146" t="inlineStr">
        <is>
          <t>SPO-01163-2</t>
        </is>
      </c>
      <c r="B2146" t="inlineStr">
        <is>
          <t>SPO-01163</t>
        </is>
      </c>
      <c r="C2146" t="inlineStr">
        <is>
          <t>SUP-10</t>
        </is>
      </c>
      <c r="D2146" t="inlineStr">
        <is>
          <t>PPE</t>
        </is>
      </c>
      <c r="E2146" t="inlineStr">
        <is>
          <t>PPE-07</t>
        </is>
      </c>
      <c r="F2146" s="17" t="n">
        <v>45891</v>
      </c>
      <c r="G2146" s="17" t="n">
        <v>45904</v>
      </c>
      <c r="H2146" s="18" t="n">
        <v>19</v>
      </c>
      <c r="I2146" s="19" t="n">
        <v>30.5</v>
      </c>
      <c r="J2146" s="19" t="n">
        <v>31</v>
      </c>
      <c r="K2146" s="20" t="n">
        <v>0</v>
      </c>
      <c r="L2146" s="20" t="n">
        <v>0</v>
      </c>
      <c r="M2146" s="18" t="n">
        <v>19</v>
      </c>
      <c r="N2146" s="18" t="n">
        <v>19</v>
      </c>
      <c r="O2146" s="18" t="n">
        <v>3</v>
      </c>
      <c r="P2146" s="17" t="n">
        <v>45902</v>
      </c>
      <c r="Q2146" s="17" t="n">
        <v>45902</v>
      </c>
      <c r="R2146" s="17" t="n">
        <v>45902</v>
      </c>
      <c r="S2146" s="19">
        <f>H2146*I2146</f>
        <v/>
      </c>
      <c r="T2146" s="19">
        <f>H2146*J2146</f>
        <v/>
      </c>
      <c r="U2146">
        <f>IF(AND(K2146=0,G2146&lt;=Assumptions!$C$6),1,0)</f>
        <v/>
      </c>
      <c r="V2146">
        <f>IF(U2146=1,IF(M2146&gt;0,IF(P2146&lt;=G2146+Assumptions!$C$7,1,0),0),0)</f>
        <v/>
      </c>
      <c r="W2146">
        <f>IF(AND(U2146=1,M2146&gt;=H2146*(1-Assumptions!$C$8)),1,0)</f>
        <v/>
      </c>
      <c r="X2146">
        <f>IF(AND(U2146=1,N2146&gt;=H2146*(1-Assumptions!$C$8)),1,0)</f>
        <v/>
      </c>
      <c r="Y2146">
        <f>IF(ISNUMBER(Q2146),1,0)</f>
        <v/>
      </c>
      <c r="Z2146">
        <f>IF(AND(K2146=0,L2146=0,Y2146=0),1,0)</f>
        <v/>
      </c>
      <c r="AA2146">
        <f>IF(AND(Z2146=1,G2146&lt;Assumptions!$C$6),1,0)</f>
        <v/>
      </c>
      <c r="AB2146">
        <f>IF(U2146=0,"",IF(Y2146=1,MAX(0,Q2146-G2146),IF(L2146=1,MAX(0,R2146-G2146),MAX(0,Assumptions!$C$6-G2146))))</f>
        <v/>
      </c>
      <c r="AC2146">
        <f>IF(Y2146=1,Q2146-F2146,"")</f>
        <v/>
      </c>
      <c r="AD2146">
        <f>IF(Y2146=1,AC2146^2,"")</f>
        <v/>
      </c>
      <c r="AE2146" s="19">
        <f>IF(Z2146=1,(H2146-M2146)*I2146,0)</f>
        <v/>
      </c>
      <c r="AF2146">
        <f>IF(G2146&lt;EDATE(Assumptions!$C$6,-12)+1,"prior_12m","last_12m")</f>
        <v/>
      </c>
      <c r="AG2146" s="21">
        <f>DATE(YEAR(G2146),MONTH(G2146),1)</f>
        <v/>
      </c>
    </row>
    <row r="2147">
      <c r="A2147" t="inlineStr">
        <is>
          <t>SPO-01164-1</t>
        </is>
      </c>
      <c r="B2147" t="inlineStr">
        <is>
          <t>SPO-01164</t>
        </is>
      </c>
      <c r="C2147" t="inlineStr">
        <is>
          <t>SUP-09</t>
        </is>
      </c>
      <c r="D2147" t="inlineStr">
        <is>
          <t>CHEM</t>
        </is>
      </c>
      <c r="E2147" t="inlineStr">
        <is>
          <t>CHEM-06</t>
        </is>
      </c>
      <c r="F2147" s="17" t="n">
        <v>45892</v>
      </c>
      <c r="G2147" s="17" t="n">
        <v>45906</v>
      </c>
      <c r="H2147" s="18" t="n">
        <v>5</v>
      </c>
      <c r="I2147" s="19" t="n">
        <v>393.92</v>
      </c>
      <c r="J2147" s="19" t="n">
        <v>380</v>
      </c>
      <c r="K2147" s="20" t="n">
        <v>0</v>
      </c>
      <c r="L2147" s="20" t="n">
        <v>0</v>
      </c>
      <c r="M2147" s="18" t="n">
        <v>5</v>
      </c>
      <c r="N2147" s="18" t="n">
        <v>5</v>
      </c>
      <c r="O2147" s="18" t="n">
        <v>0</v>
      </c>
      <c r="P2147" s="17" t="n">
        <v>45905</v>
      </c>
      <c r="Q2147" s="17" t="n">
        <v>45905</v>
      </c>
      <c r="R2147" s="17" t="n">
        <v>45905</v>
      </c>
      <c r="S2147" s="19">
        <f>H2147*I2147</f>
        <v/>
      </c>
      <c r="T2147" s="19">
        <f>H2147*J2147</f>
        <v/>
      </c>
      <c r="U2147">
        <f>IF(AND(K2147=0,G2147&lt;=Assumptions!$C$6),1,0)</f>
        <v/>
      </c>
      <c r="V2147">
        <f>IF(U2147=1,IF(M2147&gt;0,IF(P2147&lt;=G2147+Assumptions!$C$7,1,0),0),0)</f>
        <v/>
      </c>
      <c r="W2147">
        <f>IF(AND(U2147=1,M2147&gt;=H2147*(1-Assumptions!$C$8)),1,0)</f>
        <v/>
      </c>
      <c r="X2147">
        <f>IF(AND(U2147=1,N2147&gt;=H2147*(1-Assumptions!$C$8)),1,0)</f>
        <v/>
      </c>
      <c r="Y2147">
        <f>IF(ISNUMBER(Q2147),1,0)</f>
        <v/>
      </c>
      <c r="Z2147">
        <f>IF(AND(K2147=0,L2147=0,Y2147=0),1,0)</f>
        <v/>
      </c>
      <c r="AA2147">
        <f>IF(AND(Z2147=1,G2147&lt;Assumptions!$C$6),1,0)</f>
        <v/>
      </c>
      <c r="AB2147">
        <f>IF(U2147=0,"",IF(Y2147=1,MAX(0,Q2147-G2147),IF(L2147=1,MAX(0,R2147-G2147),MAX(0,Assumptions!$C$6-G2147))))</f>
        <v/>
      </c>
      <c r="AC2147">
        <f>IF(Y2147=1,Q2147-F2147,"")</f>
        <v/>
      </c>
      <c r="AD2147">
        <f>IF(Y2147=1,AC2147^2,"")</f>
        <v/>
      </c>
      <c r="AE2147" s="19">
        <f>IF(Z2147=1,(H2147-M2147)*I2147,0)</f>
        <v/>
      </c>
      <c r="AF2147">
        <f>IF(G2147&lt;EDATE(Assumptions!$C$6,-12)+1,"prior_12m","last_12m")</f>
        <v/>
      </c>
      <c r="AG2147" s="21">
        <f>DATE(YEAR(G2147),MONTH(G2147),1)</f>
        <v/>
      </c>
    </row>
    <row r="2148">
      <c r="A2148" t="inlineStr">
        <is>
          <t>SPO-01164-2</t>
        </is>
      </c>
      <c r="B2148" t="inlineStr">
        <is>
          <t>SPO-01164</t>
        </is>
      </c>
      <c r="C2148" t="inlineStr">
        <is>
          <t>SUP-09</t>
        </is>
      </c>
      <c r="D2148" t="inlineStr">
        <is>
          <t>CHEM</t>
        </is>
      </c>
      <c r="E2148" t="inlineStr">
        <is>
          <t>CHEM-04</t>
        </is>
      </c>
      <c r="F2148" s="17" t="n">
        <v>45892</v>
      </c>
      <c r="G2148" s="17" t="n">
        <v>45906</v>
      </c>
      <c r="H2148" s="18" t="n">
        <v>1</v>
      </c>
      <c r="I2148" s="19" t="n">
        <v>804.97</v>
      </c>
      <c r="J2148" s="19" t="n">
        <v>820</v>
      </c>
      <c r="K2148" s="20" t="n">
        <v>0</v>
      </c>
      <c r="L2148" s="20" t="n">
        <v>0</v>
      </c>
      <c r="M2148" s="18" t="n">
        <v>1</v>
      </c>
      <c r="N2148" s="18" t="n">
        <v>1</v>
      </c>
      <c r="O2148" s="18" t="n">
        <v>0</v>
      </c>
      <c r="P2148" s="17" t="n">
        <v>45906</v>
      </c>
      <c r="Q2148" s="17" t="n">
        <v>45906</v>
      </c>
      <c r="R2148" s="17" t="n">
        <v>45906</v>
      </c>
      <c r="S2148" s="19">
        <f>H2148*I2148</f>
        <v/>
      </c>
      <c r="T2148" s="19">
        <f>H2148*J2148</f>
        <v/>
      </c>
      <c r="U2148">
        <f>IF(AND(K2148=0,G2148&lt;=Assumptions!$C$6),1,0)</f>
        <v/>
      </c>
      <c r="V2148">
        <f>IF(U2148=1,IF(M2148&gt;0,IF(P2148&lt;=G2148+Assumptions!$C$7,1,0),0),0)</f>
        <v/>
      </c>
      <c r="W2148">
        <f>IF(AND(U2148=1,M2148&gt;=H2148*(1-Assumptions!$C$8)),1,0)</f>
        <v/>
      </c>
      <c r="X2148">
        <f>IF(AND(U2148=1,N2148&gt;=H2148*(1-Assumptions!$C$8)),1,0)</f>
        <v/>
      </c>
      <c r="Y2148">
        <f>IF(ISNUMBER(Q2148),1,0)</f>
        <v/>
      </c>
      <c r="Z2148">
        <f>IF(AND(K2148=0,L2148=0,Y2148=0),1,0)</f>
        <v/>
      </c>
      <c r="AA2148">
        <f>IF(AND(Z2148=1,G2148&lt;Assumptions!$C$6),1,0)</f>
        <v/>
      </c>
      <c r="AB2148">
        <f>IF(U2148=0,"",IF(Y2148=1,MAX(0,Q2148-G2148),IF(L2148=1,MAX(0,R2148-G2148),MAX(0,Assumptions!$C$6-G2148))))</f>
        <v/>
      </c>
      <c r="AC2148">
        <f>IF(Y2148=1,Q2148-F2148,"")</f>
        <v/>
      </c>
      <c r="AD2148">
        <f>IF(Y2148=1,AC2148^2,"")</f>
        <v/>
      </c>
      <c r="AE2148" s="19">
        <f>IF(Z2148=1,(H2148-M2148)*I2148,0)</f>
        <v/>
      </c>
      <c r="AF2148">
        <f>IF(G2148&lt;EDATE(Assumptions!$C$6,-12)+1,"prior_12m","last_12m")</f>
        <v/>
      </c>
      <c r="AG2148" s="21">
        <f>DATE(YEAR(G2148),MONTH(G2148),1)</f>
        <v/>
      </c>
    </row>
    <row r="2149">
      <c r="A2149" t="inlineStr">
        <is>
          <t>SPO-01164-3</t>
        </is>
      </c>
      <c r="B2149" t="inlineStr">
        <is>
          <t>SPO-01164</t>
        </is>
      </c>
      <c r="C2149" t="inlineStr">
        <is>
          <t>SUP-09</t>
        </is>
      </c>
      <c r="D2149" t="inlineStr">
        <is>
          <t>CHEM</t>
        </is>
      </c>
      <c r="E2149" t="inlineStr">
        <is>
          <t>CHEM-01</t>
        </is>
      </c>
      <c r="F2149" s="17" t="n">
        <v>45892</v>
      </c>
      <c r="G2149" s="17" t="n">
        <v>45906</v>
      </c>
      <c r="H2149" s="18" t="n">
        <v>1</v>
      </c>
      <c r="I2149" s="19" t="n">
        <v>674.45</v>
      </c>
      <c r="J2149" s="19" t="n">
        <v>640</v>
      </c>
      <c r="K2149" s="20" t="n">
        <v>0</v>
      </c>
      <c r="L2149" s="20" t="n">
        <v>0</v>
      </c>
      <c r="M2149" s="18" t="n">
        <v>1</v>
      </c>
      <c r="N2149" s="18" t="n">
        <v>1</v>
      </c>
      <c r="O2149" s="18" t="n">
        <v>0</v>
      </c>
      <c r="P2149" s="17" t="n">
        <v>45905</v>
      </c>
      <c r="Q2149" s="17" t="n">
        <v>45905</v>
      </c>
      <c r="R2149" s="17" t="n">
        <v>45905</v>
      </c>
      <c r="S2149" s="19">
        <f>H2149*I2149</f>
        <v/>
      </c>
      <c r="T2149" s="19">
        <f>H2149*J2149</f>
        <v/>
      </c>
      <c r="U2149">
        <f>IF(AND(K2149=0,G2149&lt;=Assumptions!$C$6),1,0)</f>
        <v/>
      </c>
      <c r="V2149">
        <f>IF(U2149=1,IF(M2149&gt;0,IF(P2149&lt;=G2149+Assumptions!$C$7,1,0),0),0)</f>
        <v/>
      </c>
      <c r="W2149">
        <f>IF(AND(U2149=1,M2149&gt;=H2149*(1-Assumptions!$C$8)),1,0)</f>
        <v/>
      </c>
      <c r="X2149">
        <f>IF(AND(U2149=1,N2149&gt;=H2149*(1-Assumptions!$C$8)),1,0)</f>
        <v/>
      </c>
      <c r="Y2149">
        <f>IF(ISNUMBER(Q2149),1,0)</f>
        <v/>
      </c>
      <c r="Z2149">
        <f>IF(AND(K2149=0,L2149=0,Y2149=0),1,0)</f>
        <v/>
      </c>
      <c r="AA2149">
        <f>IF(AND(Z2149=1,G2149&lt;Assumptions!$C$6),1,0)</f>
        <v/>
      </c>
      <c r="AB2149">
        <f>IF(U2149=0,"",IF(Y2149=1,MAX(0,Q2149-G2149),IF(L2149=1,MAX(0,R2149-G2149),MAX(0,Assumptions!$C$6-G2149))))</f>
        <v/>
      </c>
      <c r="AC2149">
        <f>IF(Y2149=1,Q2149-F2149,"")</f>
        <v/>
      </c>
      <c r="AD2149">
        <f>IF(Y2149=1,AC2149^2,"")</f>
        <v/>
      </c>
      <c r="AE2149" s="19">
        <f>IF(Z2149=1,(H2149-M2149)*I2149,0)</f>
        <v/>
      </c>
      <c r="AF2149">
        <f>IF(G2149&lt;EDATE(Assumptions!$C$6,-12)+1,"prior_12m","last_12m")</f>
        <v/>
      </c>
      <c r="AG2149" s="21">
        <f>DATE(YEAR(G2149),MONTH(G2149),1)</f>
        <v/>
      </c>
    </row>
    <row r="2150">
      <c r="A2150" t="inlineStr">
        <is>
          <t>SPO-01165-1</t>
        </is>
      </c>
      <c r="B2150" t="inlineStr">
        <is>
          <t>SPO-01165</t>
        </is>
      </c>
      <c r="C2150" t="inlineStr">
        <is>
          <t>SUP-01</t>
        </is>
      </c>
      <c r="D2150" t="inlineStr">
        <is>
          <t>ELEC</t>
        </is>
      </c>
      <c r="E2150" t="inlineStr">
        <is>
          <t>ELEC-05</t>
        </is>
      </c>
      <c r="F2150" s="17" t="n">
        <v>45892</v>
      </c>
      <c r="G2150" s="17" t="n">
        <v>45910</v>
      </c>
      <c r="H2150" s="18" t="n">
        <v>201</v>
      </c>
      <c r="I2150" s="19" t="n">
        <v>11.77</v>
      </c>
      <c r="J2150" s="19" t="n">
        <v>11.5</v>
      </c>
      <c r="K2150" s="20" t="n">
        <v>0</v>
      </c>
      <c r="L2150" s="20" t="n">
        <v>0</v>
      </c>
      <c r="M2150" s="18" t="n">
        <v>201</v>
      </c>
      <c r="N2150" s="18" t="n">
        <v>201</v>
      </c>
      <c r="O2150" s="18" t="n">
        <v>0</v>
      </c>
      <c r="P2150" s="17" t="n">
        <v>45907</v>
      </c>
      <c r="Q2150" s="17" t="n">
        <v>45907</v>
      </c>
      <c r="R2150" s="17" t="n">
        <v>45907</v>
      </c>
      <c r="S2150" s="19">
        <f>H2150*I2150</f>
        <v/>
      </c>
      <c r="T2150" s="19">
        <f>H2150*J2150</f>
        <v/>
      </c>
      <c r="U2150">
        <f>IF(AND(K2150=0,G2150&lt;=Assumptions!$C$6),1,0)</f>
        <v/>
      </c>
      <c r="V2150">
        <f>IF(U2150=1,IF(M2150&gt;0,IF(P2150&lt;=G2150+Assumptions!$C$7,1,0),0),0)</f>
        <v/>
      </c>
      <c r="W2150">
        <f>IF(AND(U2150=1,M2150&gt;=H2150*(1-Assumptions!$C$8)),1,0)</f>
        <v/>
      </c>
      <c r="X2150">
        <f>IF(AND(U2150=1,N2150&gt;=H2150*(1-Assumptions!$C$8)),1,0)</f>
        <v/>
      </c>
      <c r="Y2150">
        <f>IF(ISNUMBER(Q2150),1,0)</f>
        <v/>
      </c>
      <c r="Z2150">
        <f>IF(AND(K2150=0,L2150=0,Y2150=0),1,0)</f>
        <v/>
      </c>
      <c r="AA2150">
        <f>IF(AND(Z2150=1,G2150&lt;Assumptions!$C$6),1,0)</f>
        <v/>
      </c>
      <c r="AB2150">
        <f>IF(U2150=0,"",IF(Y2150=1,MAX(0,Q2150-G2150),IF(L2150=1,MAX(0,R2150-G2150),MAX(0,Assumptions!$C$6-G2150))))</f>
        <v/>
      </c>
      <c r="AC2150">
        <f>IF(Y2150=1,Q2150-F2150,"")</f>
        <v/>
      </c>
      <c r="AD2150">
        <f>IF(Y2150=1,AC2150^2,"")</f>
        <v/>
      </c>
      <c r="AE2150" s="19">
        <f>IF(Z2150=1,(H2150-M2150)*I2150,0)</f>
        <v/>
      </c>
      <c r="AF2150">
        <f>IF(G2150&lt;EDATE(Assumptions!$C$6,-12)+1,"prior_12m","last_12m")</f>
        <v/>
      </c>
      <c r="AG2150" s="21">
        <f>DATE(YEAR(G2150),MONTH(G2150),1)</f>
        <v/>
      </c>
    </row>
    <row r="2151">
      <c r="A2151" t="inlineStr">
        <is>
          <t>SPO-01165-2</t>
        </is>
      </c>
      <c r="B2151" t="inlineStr">
        <is>
          <t>SPO-01165</t>
        </is>
      </c>
      <c r="C2151" t="inlineStr">
        <is>
          <t>SUP-01</t>
        </is>
      </c>
      <c r="D2151" t="inlineStr">
        <is>
          <t>ELEC</t>
        </is>
      </c>
      <c r="E2151" t="inlineStr">
        <is>
          <t>ELEC-04</t>
        </is>
      </c>
      <c r="F2151" s="17" t="n">
        <v>45892</v>
      </c>
      <c r="G2151" s="17" t="n">
        <v>45910</v>
      </c>
      <c r="H2151" s="18" t="n">
        <v>36</v>
      </c>
      <c r="I2151" s="19" t="n">
        <v>69.54000000000001</v>
      </c>
      <c r="J2151" s="19" t="n">
        <v>72</v>
      </c>
      <c r="K2151" s="20" t="n">
        <v>0</v>
      </c>
      <c r="L2151" s="20" t="n">
        <v>0</v>
      </c>
      <c r="M2151" s="18" t="n">
        <v>36</v>
      </c>
      <c r="N2151" s="18" t="n">
        <v>36</v>
      </c>
      <c r="O2151" s="18" t="n">
        <v>0</v>
      </c>
      <c r="P2151" s="17" t="n">
        <v>45909</v>
      </c>
      <c r="Q2151" s="17" t="n">
        <v>45909</v>
      </c>
      <c r="R2151" s="17" t="n">
        <v>45909</v>
      </c>
      <c r="S2151" s="19">
        <f>H2151*I2151</f>
        <v/>
      </c>
      <c r="T2151" s="19">
        <f>H2151*J2151</f>
        <v/>
      </c>
      <c r="U2151">
        <f>IF(AND(K2151=0,G2151&lt;=Assumptions!$C$6),1,0)</f>
        <v/>
      </c>
      <c r="V2151">
        <f>IF(U2151=1,IF(M2151&gt;0,IF(P2151&lt;=G2151+Assumptions!$C$7,1,0),0),0)</f>
        <v/>
      </c>
      <c r="W2151">
        <f>IF(AND(U2151=1,M2151&gt;=H2151*(1-Assumptions!$C$8)),1,0)</f>
        <v/>
      </c>
      <c r="X2151">
        <f>IF(AND(U2151=1,N2151&gt;=H2151*(1-Assumptions!$C$8)),1,0)</f>
        <v/>
      </c>
      <c r="Y2151">
        <f>IF(ISNUMBER(Q2151),1,0)</f>
        <v/>
      </c>
      <c r="Z2151">
        <f>IF(AND(K2151=0,L2151=0,Y2151=0),1,0)</f>
        <v/>
      </c>
      <c r="AA2151">
        <f>IF(AND(Z2151=1,G2151&lt;Assumptions!$C$6),1,0)</f>
        <v/>
      </c>
      <c r="AB2151">
        <f>IF(U2151=0,"",IF(Y2151=1,MAX(0,Q2151-G2151),IF(L2151=1,MAX(0,R2151-G2151),MAX(0,Assumptions!$C$6-G2151))))</f>
        <v/>
      </c>
      <c r="AC2151">
        <f>IF(Y2151=1,Q2151-F2151,"")</f>
        <v/>
      </c>
      <c r="AD2151">
        <f>IF(Y2151=1,AC2151^2,"")</f>
        <v/>
      </c>
      <c r="AE2151" s="19">
        <f>IF(Z2151=1,(H2151-M2151)*I2151,0)</f>
        <v/>
      </c>
      <c r="AF2151">
        <f>IF(G2151&lt;EDATE(Assumptions!$C$6,-12)+1,"prior_12m","last_12m")</f>
        <v/>
      </c>
      <c r="AG2151" s="21">
        <f>DATE(YEAR(G2151),MONTH(G2151),1)</f>
        <v/>
      </c>
    </row>
    <row r="2152">
      <c r="A2152" t="inlineStr">
        <is>
          <t>SPO-01166-1</t>
        </is>
      </c>
      <c r="B2152" t="inlineStr">
        <is>
          <t>SPO-01166</t>
        </is>
      </c>
      <c r="C2152" t="inlineStr">
        <is>
          <t>SUP-04</t>
        </is>
      </c>
      <c r="D2152" t="inlineStr">
        <is>
          <t>FLEET</t>
        </is>
      </c>
      <c r="E2152" t="inlineStr">
        <is>
          <t>FLEET-02</t>
        </is>
      </c>
      <c r="F2152" s="17" t="n">
        <v>45892</v>
      </c>
      <c r="G2152" s="17" t="n">
        <v>45905</v>
      </c>
      <c r="H2152" s="18" t="n">
        <v>212</v>
      </c>
      <c r="I2152" s="19" t="n">
        <v>7.71</v>
      </c>
      <c r="J2152" s="19" t="n">
        <v>7.5</v>
      </c>
      <c r="K2152" s="20" t="n">
        <v>0</v>
      </c>
      <c r="L2152" s="20" t="n">
        <v>0</v>
      </c>
      <c r="M2152" s="18" t="n">
        <v>212</v>
      </c>
      <c r="N2152" s="18" t="n">
        <v>212</v>
      </c>
      <c r="O2152" s="18" t="n">
        <v>0</v>
      </c>
      <c r="P2152" s="17" t="n">
        <v>45896</v>
      </c>
      <c r="Q2152" s="17" t="n">
        <v>45896</v>
      </c>
      <c r="R2152" s="17" t="n">
        <v>45896</v>
      </c>
      <c r="S2152" s="19">
        <f>H2152*I2152</f>
        <v/>
      </c>
      <c r="T2152" s="19">
        <f>H2152*J2152</f>
        <v/>
      </c>
      <c r="U2152">
        <f>IF(AND(K2152=0,G2152&lt;=Assumptions!$C$6),1,0)</f>
        <v/>
      </c>
      <c r="V2152">
        <f>IF(U2152=1,IF(M2152&gt;0,IF(P2152&lt;=G2152+Assumptions!$C$7,1,0),0),0)</f>
        <v/>
      </c>
      <c r="W2152">
        <f>IF(AND(U2152=1,M2152&gt;=H2152*(1-Assumptions!$C$8)),1,0)</f>
        <v/>
      </c>
      <c r="X2152">
        <f>IF(AND(U2152=1,N2152&gt;=H2152*(1-Assumptions!$C$8)),1,0)</f>
        <v/>
      </c>
      <c r="Y2152">
        <f>IF(ISNUMBER(Q2152),1,0)</f>
        <v/>
      </c>
      <c r="Z2152">
        <f>IF(AND(K2152=0,L2152=0,Y2152=0),1,0)</f>
        <v/>
      </c>
      <c r="AA2152">
        <f>IF(AND(Z2152=1,G2152&lt;Assumptions!$C$6),1,0)</f>
        <v/>
      </c>
      <c r="AB2152">
        <f>IF(U2152=0,"",IF(Y2152=1,MAX(0,Q2152-G2152),IF(L2152=1,MAX(0,R2152-G2152),MAX(0,Assumptions!$C$6-G2152))))</f>
        <v/>
      </c>
      <c r="AC2152">
        <f>IF(Y2152=1,Q2152-F2152,"")</f>
        <v/>
      </c>
      <c r="AD2152">
        <f>IF(Y2152=1,AC2152^2,"")</f>
        <v/>
      </c>
      <c r="AE2152" s="19">
        <f>IF(Z2152=1,(H2152-M2152)*I2152,0)</f>
        <v/>
      </c>
      <c r="AF2152">
        <f>IF(G2152&lt;EDATE(Assumptions!$C$6,-12)+1,"prior_12m","last_12m")</f>
        <v/>
      </c>
      <c r="AG2152" s="21">
        <f>DATE(YEAR(G2152),MONTH(G2152),1)</f>
        <v/>
      </c>
    </row>
    <row r="2153">
      <c r="A2153" t="inlineStr">
        <is>
          <t>SPO-01167-1</t>
        </is>
      </c>
      <c r="B2153" t="inlineStr">
        <is>
          <t>SPO-01167</t>
        </is>
      </c>
      <c r="C2153" t="inlineStr">
        <is>
          <t>SUP-06</t>
        </is>
      </c>
      <c r="D2153" t="inlineStr">
        <is>
          <t>MRO</t>
        </is>
      </c>
      <c r="E2153" t="inlineStr">
        <is>
          <t>MRO-04</t>
        </is>
      </c>
      <c r="F2153" s="17" t="n">
        <v>45892</v>
      </c>
      <c r="G2153" s="17" t="n">
        <v>45900</v>
      </c>
      <c r="H2153" s="18" t="n">
        <v>17</v>
      </c>
      <c r="I2153" s="19" t="n">
        <v>57.6</v>
      </c>
      <c r="J2153" s="19" t="n">
        <v>58</v>
      </c>
      <c r="K2153" s="20" t="n">
        <v>0</v>
      </c>
      <c r="L2153" s="20" t="n">
        <v>0</v>
      </c>
      <c r="M2153" s="18" t="n">
        <v>17</v>
      </c>
      <c r="N2153" s="18" t="n">
        <v>17</v>
      </c>
      <c r="O2153" s="18" t="n">
        <v>0</v>
      </c>
      <c r="P2153" s="17" t="n">
        <v>45897</v>
      </c>
      <c r="Q2153" s="17" t="n">
        <v>45897</v>
      </c>
      <c r="R2153" s="17" t="n">
        <v>45897</v>
      </c>
      <c r="S2153" s="19">
        <f>H2153*I2153</f>
        <v/>
      </c>
      <c r="T2153" s="19">
        <f>H2153*J2153</f>
        <v/>
      </c>
      <c r="U2153">
        <f>IF(AND(K2153=0,G2153&lt;=Assumptions!$C$6),1,0)</f>
        <v/>
      </c>
      <c r="V2153">
        <f>IF(U2153=1,IF(M2153&gt;0,IF(P2153&lt;=G2153+Assumptions!$C$7,1,0),0),0)</f>
        <v/>
      </c>
      <c r="W2153">
        <f>IF(AND(U2153=1,M2153&gt;=H2153*(1-Assumptions!$C$8)),1,0)</f>
        <v/>
      </c>
      <c r="X2153">
        <f>IF(AND(U2153=1,N2153&gt;=H2153*(1-Assumptions!$C$8)),1,0)</f>
        <v/>
      </c>
      <c r="Y2153">
        <f>IF(ISNUMBER(Q2153),1,0)</f>
        <v/>
      </c>
      <c r="Z2153">
        <f>IF(AND(K2153=0,L2153=0,Y2153=0),1,0)</f>
        <v/>
      </c>
      <c r="AA2153">
        <f>IF(AND(Z2153=1,G2153&lt;Assumptions!$C$6),1,0)</f>
        <v/>
      </c>
      <c r="AB2153">
        <f>IF(U2153=0,"",IF(Y2153=1,MAX(0,Q2153-G2153),IF(L2153=1,MAX(0,R2153-G2153),MAX(0,Assumptions!$C$6-G2153))))</f>
        <v/>
      </c>
      <c r="AC2153">
        <f>IF(Y2153=1,Q2153-F2153,"")</f>
        <v/>
      </c>
      <c r="AD2153">
        <f>IF(Y2153=1,AC2153^2,"")</f>
        <v/>
      </c>
      <c r="AE2153" s="19">
        <f>IF(Z2153=1,(H2153-M2153)*I2153,0)</f>
        <v/>
      </c>
      <c r="AF2153">
        <f>IF(G2153&lt;EDATE(Assumptions!$C$6,-12)+1,"prior_12m","last_12m")</f>
        <v/>
      </c>
      <c r="AG2153" s="21">
        <f>DATE(YEAR(G2153),MONTH(G2153),1)</f>
        <v/>
      </c>
    </row>
    <row r="2154">
      <c r="A2154" t="inlineStr">
        <is>
          <t>SPO-01168-1</t>
        </is>
      </c>
      <c r="B2154" t="inlineStr">
        <is>
          <t>SPO-01168</t>
        </is>
      </c>
      <c r="C2154" t="inlineStr">
        <is>
          <t>SUP-01</t>
        </is>
      </c>
      <c r="D2154" t="inlineStr">
        <is>
          <t>ELEC</t>
        </is>
      </c>
      <c r="E2154" t="inlineStr">
        <is>
          <t>ELEC-02</t>
        </is>
      </c>
      <c r="F2154" s="17" t="n">
        <v>45893</v>
      </c>
      <c r="G2154" s="17" t="n">
        <v>45911</v>
      </c>
      <c r="H2154" s="18" t="n">
        <v>1059</v>
      </c>
      <c r="I2154" s="19" t="n">
        <v>4.04</v>
      </c>
      <c r="J2154" s="19" t="n">
        <v>4.2</v>
      </c>
      <c r="K2154" s="20" t="n">
        <v>0</v>
      </c>
      <c r="L2154" s="20" t="n">
        <v>0</v>
      </c>
      <c r="M2154" s="18" t="n">
        <v>1059</v>
      </c>
      <c r="N2154" s="18" t="n">
        <v>1059</v>
      </c>
      <c r="O2154" s="18" t="n">
        <v>0</v>
      </c>
      <c r="P2154" s="17" t="n">
        <v>45910</v>
      </c>
      <c r="Q2154" s="17" t="n">
        <v>45910</v>
      </c>
      <c r="R2154" s="17" t="n">
        <v>45910</v>
      </c>
      <c r="S2154" s="19">
        <f>H2154*I2154</f>
        <v/>
      </c>
      <c r="T2154" s="19">
        <f>H2154*J2154</f>
        <v/>
      </c>
      <c r="U2154">
        <f>IF(AND(K2154=0,G2154&lt;=Assumptions!$C$6),1,0)</f>
        <v/>
      </c>
      <c r="V2154">
        <f>IF(U2154=1,IF(M2154&gt;0,IF(P2154&lt;=G2154+Assumptions!$C$7,1,0),0),0)</f>
        <v/>
      </c>
      <c r="W2154">
        <f>IF(AND(U2154=1,M2154&gt;=H2154*(1-Assumptions!$C$8)),1,0)</f>
        <v/>
      </c>
      <c r="X2154">
        <f>IF(AND(U2154=1,N2154&gt;=H2154*(1-Assumptions!$C$8)),1,0)</f>
        <v/>
      </c>
      <c r="Y2154">
        <f>IF(ISNUMBER(Q2154),1,0)</f>
        <v/>
      </c>
      <c r="Z2154">
        <f>IF(AND(K2154=0,L2154=0,Y2154=0),1,0)</f>
        <v/>
      </c>
      <c r="AA2154">
        <f>IF(AND(Z2154=1,G2154&lt;Assumptions!$C$6),1,0)</f>
        <v/>
      </c>
      <c r="AB2154">
        <f>IF(U2154=0,"",IF(Y2154=1,MAX(0,Q2154-G2154),IF(L2154=1,MAX(0,R2154-G2154),MAX(0,Assumptions!$C$6-G2154))))</f>
        <v/>
      </c>
      <c r="AC2154">
        <f>IF(Y2154=1,Q2154-F2154,"")</f>
        <v/>
      </c>
      <c r="AD2154">
        <f>IF(Y2154=1,AC2154^2,"")</f>
        <v/>
      </c>
      <c r="AE2154" s="19">
        <f>IF(Z2154=1,(H2154-M2154)*I2154,0)</f>
        <v/>
      </c>
      <c r="AF2154">
        <f>IF(G2154&lt;EDATE(Assumptions!$C$6,-12)+1,"prior_12m","last_12m")</f>
        <v/>
      </c>
      <c r="AG2154" s="21">
        <f>DATE(YEAR(G2154),MONTH(G2154),1)</f>
        <v/>
      </c>
    </row>
    <row r="2155">
      <c r="A2155" t="inlineStr">
        <is>
          <t>SPO-01168-2</t>
        </is>
      </c>
      <c r="B2155" t="inlineStr">
        <is>
          <t>SPO-01168</t>
        </is>
      </c>
      <c r="C2155" t="inlineStr">
        <is>
          <t>SUP-01</t>
        </is>
      </c>
      <c r="D2155" t="inlineStr">
        <is>
          <t>ELEC</t>
        </is>
      </c>
      <c r="E2155" t="inlineStr">
        <is>
          <t>ELEC-01</t>
        </is>
      </c>
      <c r="F2155" s="17" t="n">
        <v>45893</v>
      </c>
      <c r="G2155" s="17" t="n">
        <v>45911</v>
      </c>
      <c r="H2155" s="18" t="n">
        <v>54</v>
      </c>
      <c r="I2155" s="19" t="n">
        <v>37.14</v>
      </c>
      <c r="J2155" s="19" t="n">
        <v>38</v>
      </c>
      <c r="K2155" s="20" t="n">
        <v>0</v>
      </c>
      <c r="L2155" s="20" t="n">
        <v>0</v>
      </c>
      <c r="M2155" s="18" t="n">
        <v>54</v>
      </c>
      <c r="N2155" s="18" t="n">
        <v>54</v>
      </c>
      <c r="O2155" s="18" t="n">
        <v>0</v>
      </c>
      <c r="P2155" s="17" t="n">
        <v>45910</v>
      </c>
      <c r="Q2155" s="17" t="n">
        <v>45910</v>
      </c>
      <c r="R2155" s="17" t="n">
        <v>45910</v>
      </c>
      <c r="S2155" s="19">
        <f>H2155*I2155</f>
        <v/>
      </c>
      <c r="T2155" s="19">
        <f>H2155*J2155</f>
        <v/>
      </c>
      <c r="U2155">
        <f>IF(AND(K2155=0,G2155&lt;=Assumptions!$C$6),1,0)</f>
        <v/>
      </c>
      <c r="V2155">
        <f>IF(U2155=1,IF(M2155&gt;0,IF(P2155&lt;=G2155+Assumptions!$C$7,1,0),0),0)</f>
        <v/>
      </c>
      <c r="W2155">
        <f>IF(AND(U2155=1,M2155&gt;=H2155*(1-Assumptions!$C$8)),1,0)</f>
        <v/>
      </c>
      <c r="X2155">
        <f>IF(AND(U2155=1,N2155&gt;=H2155*(1-Assumptions!$C$8)),1,0)</f>
        <v/>
      </c>
      <c r="Y2155">
        <f>IF(ISNUMBER(Q2155),1,0)</f>
        <v/>
      </c>
      <c r="Z2155">
        <f>IF(AND(K2155=0,L2155=0,Y2155=0),1,0)</f>
        <v/>
      </c>
      <c r="AA2155">
        <f>IF(AND(Z2155=1,G2155&lt;Assumptions!$C$6),1,0)</f>
        <v/>
      </c>
      <c r="AB2155">
        <f>IF(U2155=0,"",IF(Y2155=1,MAX(0,Q2155-G2155),IF(L2155=1,MAX(0,R2155-G2155),MAX(0,Assumptions!$C$6-G2155))))</f>
        <v/>
      </c>
      <c r="AC2155">
        <f>IF(Y2155=1,Q2155-F2155,"")</f>
        <v/>
      </c>
      <c r="AD2155">
        <f>IF(Y2155=1,AC2155^2,"")</f>
        <v/>
      </c>
      <c r="AE2155" s="19">
        <f>IF(Z2155=1,(H2155-M2155)*I2155,0)</f>
        <v/>
      </c>
      <c r="AF2155">
        <f>IF(G2155&lt;EDATE(Assumptions!$C$6,-12)+1,"prior_12m","last_12m")</f>
        <v/>
      </c>
      <c r="AG2155" s="21">
        <f>DATE(YEAR(G2155),MONTH(G2155),1)</f>
        <v/>
      </c>
    </row>
    <row r="2156">
      <c r="A2156" t="inlineStr">
        <is>
          <t>SPO-01169-1</t>
        </is>
      </c>
      <c r="B2156" t="inlineStr">
        <is>
          <t>SPO-01169</t>
        </is>
      </c>
      <c r="C2156" t="inlineStr">
        <is>
          <t>SUP-06</t>
        </is>
      </c>
      <c r="D2156" t="inlineStr">
        <is>
          <t>MRO</t>
        </is>
      </c>
      <c r="E2156" t="inlineStr">
        <is>
          <t>MRO-05</t>
        </is>
      </c>
      <c r="F2156" s="17" t="n">
        <v>45893</v>
      </c>
      <c r="G2156" s="17" t="n">
        <v>45901</v>
      </c>
      <c r="H2156" s="18" t="n">
        <v>43</v>
      </c>
      <c r="I2156" s="19" t="n">
        <v>35.26</v>
      </c>
      <c r="J2156" s="19" t="n">
        <v>36</v>
      </c>
      <c r="K2156" s="20" t="n">
        <v>0</v>
      </c>
      <c r="L2156" s="20" t="n">
        <v>0</v>
      </c>
      <c r="M2156" s="18" t="n">
        <v>43</v>
      </c>
      <c r="N2156" s="18" t="n">
        <v>43</v>
      </c>
      <c r="O2156" s="18" t="n">
        <v>0</v>
      </c>
      <c r="P2156" s="17" t="n">
        <v>45897</v>
      </c>
      <c r="Q2156" s="17" t="n">
        <v>45897</v>
      </c>
      <c r="R2156" s="17" t="n">
        <v>45897</v>
      </c>
      <c r="S2156" s="19">
        <f>H2156*I2156</f>
        <v/>
      </c>
      <c r="T2156" s="19">
        <f>H2156*J2156</f>
        <v/>
      </c>
      <c r="U2156">
        <f>IF(AND(K2156=0,G2156&lt;=Assumptions!$C$6),1,0)</f>
        <v/>
      </c>
      <c r="V2156">
        <f>IF(U2156=1,IF(M2156&gt;0,IF(P2156&lt;=G2156+Assumptions!$C$7,1,0),0),0)</f>
        <v/>
      </c>
      <c r="W2156">
        <f>IF(AND(U2156=1,M2156&gt;=H2156*(1-Assumptions!$C$8)),1,0)</f>
        <v/>
      </c>
      <c r="X2156">
        <f>IF(AND(U2156=1,N2156&gt;=H2156*(1-Assumptions!$C$8)),1,0)</f>
        <v/>
      </c>
      <c r="Y2156">
        <f>IF(ISNUMBER(Q2156),1,0)</f>
        <v/>
      </c>
      <c r="Z2156">
        <f>IF(AND(K2156=0,L2156=0,Y2156=0),1,0)</f>
        <v/>
      </c>
      <c r="AA2156">
        <f>IF(AND(Z2156=1,G2156&lt;Assumptions!$C$6),1,0)</f>
        <v/>
      </c>
      <c r="AB2156">
        <f>IF(U2156=0,"",IF(Y2156=1,MAX(0,Q2156-G2156),IF(L2156=1,MAX(0,R2156-G2156),MAX(0,Assumptions!$C$6-G2156))))</f>
        <v/>
      </c>
      <c r="AC2156">
        <f>IF(Y2156=1,Q2156-F2156,"")</f>
        <v/>
      </c>
      <c r="AD2156">
        <f>IF(Y2156=1,AC2156^2,"")</f>
        <v/>
      </c>
      <c r="AE2156" s="19">
        <f>IF(Z2156=1,(H2156-M2156)*I2156,0)</f>
        <v/>
      </c>
      <c r="AF2156">
        <f>IF(G2156&lt;EDATE(Assumptions!$C$6,-12)+1,"prior_12m","last_12m")</f>
        <v/>
      </c>
      <c r="AG2156" s="21">
        <f>DATE(YEAR(G2156),MONTH(G2156),1)</f>
        <v/>
      </c>
    </row>
    <row r="2157">
      <c r="A2157" t="inlineStr">
        <is>
          <t>SPO-01169-2</t>
        </is>
      </c>
      <c r="B2157" t="inlineStr">
        <is>
          <t>SPO-01169</t>
        </is>
      </c>
      <c r="C2157" t="inlineStr">
        <is>
          <t>SUP-06</t>
        </is>
      </c>
      <c r="D2157" t="inlineStr">
        <is>
          <t>MRO</t>
        </is>
      </c>
      <c r="E2157" t="inlineStr">
        <is>
          <t>MRO-07</t>
        </is>
      </c>
      <c r="F2157" s="17" t="n">
        <v>45893</v>
      </c>
      <c r="G2157" s="17" t="n">
        <v>45901</v>
      </c>
      <c r="H2157" s="18" t="n">
        <v>191</v>
      </c>
      <c r="I2157" s="19" t="n">
        <v>13.87</v>
      </c>
      <c r="J2157" s="19" t="n">
        <v>14</v>
      </c>
      <c r="K2157" s="20" t="n">
        <v>0</v>
      </c>
      <c r="L2157" s="20" t="n">
        <v>0</v>
      </c>
      <c r="M2157" s="18" t="n">
        <v>191</v>
      </c>
      <c r="N2157" s="18" t="n">
        <v>191</v>
      </c>
      <c r="O2157" s="18" t="n">
        <v>0</v>
      </c>
      <c r="P2157" s="17" t="n">
        <v>45899</v>
      </c>
      <c r="Q2157" s="17" t="n">
        <v>45899</v>
      </c>
      <c r="R2157" s="17" t="n">
        <v>45899</v>
      </c>
      <c r="S2157" s="19">
        <f>H2157*I2157</f>
        <v/>
      </c>
      <c r="T2157" s="19">
        <f>H2157*J2157</f>
        <v/>
      </c>
      <c r="U2157">
        <f>IF(AND(K2157=0,G2157&lt;=Assumptions!$C$6),1,0)</f>
        <v/>
      </c>
      <c r="V2157">
        <f>IF(U2157=1,IF(M2157&gt;0,IF(P2157&lt;=G2157+Assumptions!$C$7,1,0),0),0)</f>
        <v/>
      </c>
      <c r="W2157">
        <f>IF(AND(U2157=1,M2157&gt;=H2157*(1-Assumptions!$C$8)),1,0)</f>
        <v/>
      </c>
      <c r="X2157">
        <f>IF(AND(U2157=1,N2157&gt;=H2157*(1-Assumptions!$C$8)),1,0)</f>
        <v/>
      </c>
      <c r="Y2157">
        <f>IF(ISNUMBER(Q2157),1,0)</f>
        <v/>
      </c>
      <c r="Z2157">
        <f>IF(AND(K2157=0,L2157=0,Y2157=0),1,0)</f>
        <v/>
      </c>
      <c r="AA2157">
        <f>IF(AND(Z2157=1,G2157&lt;Assumptions!$C$6),1,0)</f>
        <v/>
      </c>
      <c r="AB2157">
        <f>IF(U2157=0,"",IF(Y2157=1,MAX(0,Q2157-G2157),IF(L2157=1,MAX(0,R2157-G2157),MAX(0,Assumptions!$C$6-G2157))))</f>
        <v/>
      </c>
      <c r="AC2157">
        <f>IF(Y2157=1,Q2157-F2157,"")</f>
        <v/>
      </c>
      <c r="AD2157">
        <f>IF(Y2157=1,AC2157^2,"")</f>
        <v/>
      </c>
      <c r="AE2157" s="19">
        <f>IF(Z2157=1,(H2157-M2157)*I2157,0)</f>
        <v/>
      </c>
      <c r="AF2157">
        <f>IF(G2157&lt;EDATE(Assumptions!$C$6,-12)+1,"prior_12m","last_12m")</f>
        <v/>
      </c>
      <c r="AG2157" s="21">
        <f>DATE(YEAR(G2157),MONTH(G2157),1)</f>
        <v/>
      </c>
    </row>
    <row r="2158">
      <c r="A2158" t="inlineStr">
        <is>
          <t>SPO-01169-3</t>
        </is>
      </c>
      <c r="B2158" t="inlineStr">
        <is>
          <t>SPO-01169</t>
        </is>
      </c>
      <c r="C2158" t="inlineStr">
        <is>
          <t>SUP-06</t>
        </is>
      </c>
      <c r="D2158" t="inlineStr">
        <is>
          <t>MRO</t>
        </is>
      </c>
      <c r="E2158" t="inlineStr">
        <is>
          <t>MRO-02</t>
        </is>
      </c>
      <c r="F2158" s="17" t="n">
        <v>45893</v>
      </c>
      <c r="G2158" s="17" t="n">
        <v>45901</v>
      </c>
      <c r="H2158" s="18" t="n">
        <v>21</v>
      </c>
      <c r="I2158" s="19" t="n">
        <v>41.74</v>
      </c>
      <c r="J2158" s="19" t="n">
        <v>41</v>
      </c>
      <c r="K2158" s="20" t="n">
        <v>0</v>
      </c>
      <c r="L2158" s="20" t="n">
        <v>0</v>
      </c>
      <c r="M2158" s="18" t="n">
        <v>21</v>
      </c>
      <c r="N2158" s="18" t="n">
        <v>21</v>
      </c>
      <c r="O2158" s="18" t="n">
        <v>0</v>
      </c>
      <c r="P2158" s="17" t="n">
        <v>45899</v>
      </c>
      <c r="Q2158" s="17" t="n">
        <v>45899</v>
      </c>
      <c r="R2158" s="17" t="n">
        <v>45899</v>
      </c>
      <c r="S2158" s="19">
        <f>H2158*I2158</f>
        <v/>
      </c>
      <c r="T2158" s="19">
        <f>H2158*J2158</f>
        <v/>
      </c>
      <c r="U2158">
        <f>IF(AND(K2158=0,G2158&lt;=Assumptions!$C$6),1,0)</f>
        <v/>
      </c>
      <c r="V2158">
        <f>IF(U2158=1,IF(M2158&gt;0,IF(P2158&lt;=G2158+Assumptions!$C$7,1,0),0),0)</f>
        <v/>
      </c>
      <c r="W2158">
        <f>IF(AND(U2158=1,M2158&gt;=H2158*(1-Assumptions!$C$8)),1,0)</f>
        <v/>
      </c>
      <c r="X2158">
        <f>IF(AND(U2158=1,N2158&gt;=H2158*(1-Assumptions!$C$8)),1,0)</f>
        <v/>
      </c>
      <c r="Y2158">
        <f>IF(ISNUMBER(Q2158),1,0)</f>
        <v/>
      </c>
      <c r="Z2158">
        <f>IF(AND(K2158=0,L2158=0,Y2158=0),1,0)</f>
        <v/>
      </c>
      <c r="AA2158">
        <f>IF(AND(Z2158=1,G2158&lt;Assumptions!$C$6),1,0)</f>
        <v/>
      </c>
      <c r="AB2158">
        <f>IF(U2158=0,"",IF(Y2158=1,MAX(0,Q2158-G2158),IF(L2158=1,MAX(0,R2158-G2158),MAX(0,Assumptions!$C$6-G2158))))</f>
        <v/>
      </c>
      <c r="AC2158">
        <f>IF(Y2158=1,Q2158-F2158,"")</f>
        <v/>
      </c>
      <c r="AD2158">
        <f>IF(Y2158=1,AC2158^2,"")</f>
        <v/>
      </c>
      <c r="AE2158" s="19">
        <f>IF(Z2158=1,(H2158-M2158)*I2158,0)</f>
        <v/>
      </c>
      <c r="AF2158">
        <f>IF(G2158&lt;EDATE(Assumptions!$C$6,-12)+1,"prior_12m","last_12m")</f>
        <v/>
      </c>
      <c r="AG2158" s="21">
        <f>DATE(YEAR(G2158),MONTH(G2158),1)</f>
        <v/>
      </c>
    </row>
    <row r="2159">
      <c r="A2159" t="inlineStr">
        <is>
          <t>SPO-01170-1</t>
        </is>
      </c>
      <c r="B2159" t="inlineStr">
        <is>
          <t>SPO-01170</t>
        </is>
      </c>
      <c r="C2159" t="inlineStr">
        <is>
          <t>SUP-05</t>
        </is>
      </c>
      <c r="D2159" t="inlineStr">
        <is>
          <t>FLEET</t>
        </is>
      </c>
      <c r="E2159" t="inlineStr">
        <is>
          <t>FLEET-02</t>
        </is>
      </c>
      <c r="F2159" s="17" t="n">
        <v>45893</v>
      </c>
      <c r="G2159" s="17" t="n">
        <v>45907</v>
      </c>
      <c r="H2159" s="18" t="n">
        <v>134</v>
      </c>
      <c r="I2159" s="19" t="n">
        <v>7.05</v>
      </c>
      <c r="J2159" s="19" t="n">
        <v>7.5</v>
      </c>
      <c r="K2159" s="20" t="n">
        <v>0</v>
      </c>
      <c r="L2159" s="20" t="n">
        <v>0</v>
      </c>
      <c r="M2159" s="18" t="n">
        <v>134</v>
      </c>
      <c r="N2159" s="18" t="n">
        <v>134</v>
      </c>
      <c r="O2159" s="18" t="n">
        <v>0</v>
      </c>
      <c r="P2159" s="17" t="n">
        <v>45900</v>
      </c>
      <c r="Q2159" s="17" t="n">
        <v>45900</v>
      </c>
      <c r="R2159" s="17" t="n">
        <v>45900</v>
      </c>
      <c r="S2159" s="19">
        <f>H2159*I2159</f>
        <v/>
      </c>
      <c r="T2159" s="19">
        <f>H2159*J2159</f>
        <v/>
      </c>
      <c r="U2159">
        <f>IF(AND(K2159=0,G2159&lt;=Assumptions!$C$6),1,0)</f>
        <v/>
      </c>
      <c r="V2159">
        <f>IF(U2159=1,IF(M2159&gt;0,IF(P2159&lt;=G2159+Assumptions!$C$7,1,0),0),0)</f>
        <v/>
      </c>
      <c r="W2159">
        <f>IF(AND(U2159=1,M2159&gt;=H2159*(1-Assumptions!$C$8)),1,0)</f>
        <v/>
      </c>
      <c r="X2159">
        <f>IF(AND(U2159=1,N2159&gt;=H2159*(1-Assumptions!$C$8)),1,0)</f>
        <v/>
      </c>
      <c r="Y2159">
        <f>IF(ISNUMBER(Q2159),1,0)</f>
        <v/>
      </c>
      <c r="Z2159">
        <f>IF(AND(K2159=0,L2159=0,Y2159=0),1,0)</f>
        <v/>
      </c>
      <c r="AA2159">
        <f>IF(AND(Z2159=1,G2159&lt;Assumptions!$C$6),1,0)</f>
        <v/>
      </c>
      <c r="AB2159">
        <f>IF(U2159=0,"",IF(Y2159=1,MAX(0,Q2159-G2159),IF(L2159=1,MAX(0,R2159-G2159),MAX(0,Assumptions!$C$6-G2159))))</f>
        <v/>
      </c>
      <c r="AC2159">
        <f>IF(Y2159=1,Q2159-F2159,"")</f>
        <v/>
      </c>
      <c r="AD2159">
        <f>IF(Y2159=1,AC2159^2,"")</f>
        <v/>
      </c>
      <c r="AE2159" s="19">
        <f>IF(Z2159=1,(H2159-M2159)*I2159,0)</f>
        <v/>
      </c>
      <c r="AF2159">
        <f>IF(G2159&lt;EDATE(Assumptions!$C$6,-12)+1,"prior_12m","last_12m")</f>
        <v/>
      </c>
      <c r="AG2159" s="21">
        <f>DATE(YEAR(G2159),MONTH(G2159),1)</f>
        <v/>
      </c>
    </row>
    <row r="2160">
      <c r="A2160" t="inlineStr">
        <is>
          <t>SPO-01170-2</t>
        </is>
      </c>
      <c r="B2160" t="inlineStr">
        <is>
          <t>SPO-01170</t>
        </is>
      </c>
      <c r="C2160" t="inlineStr">
        <is>
          <t>SUP-05</t>
        </is>
      </c>
      <c r="D2160" t="inlineStr">
        <is>
          <t>FLEET</t>
        </is>
      </c>
      <c r="E2160" t="inlineStr">
        <is>
          <t>FLEET-05</t>
        </is>
      </c>
      <c r="F2160" s="17" t="n">
        <v>45893</v>
      </c>
      <c r="G2160" s="17" t="n">
        <v>45907</v>
      </c>
      <c r="H2160" s="18" t="n">
        <v>11</v>
      </c>
      <c r="I2160" s="19" t="n">
        <v>162.7</v>
      </c>
      <c r="J2160" s="19" t="n">
        <v>168</v>
      </c>
      <c r="K2160" s="20" t="n">
        <v>0</v>
      </c>
      <c r="L2160" s="20" t="n">
        <v>0</v>
      </c>
      <c r="M2160" s="18" t="n">
        <v>11</v>
      </c>
      <c r="N2160" s="18" t="n">
        <v>11</v>
      </c>
      <c r="O2160" s="18" t="n">
        <v>0</v>
      </c>
      <c r="P2160" s="17" t="n">
        <v>45905</v>
      </c>
      <c r="Q2160" s="17" t="n">
        <v>45905</v>
      </c>
      <c r="R2160" s="17" t="n">
        <v>45905</v>
      </c>
      <c r="S2160" s="19">
        <f>H2160*I2160</f>
        <v/>
      </c>
      <c r="T2160" s="19">
        <f>H2160*J2160</f>
        <v/>
      </c>
      <c r="U2160">
        <f>IF(AND(K2160=0,G2160&lt;=Assumptions!$C$6),1,0)</f>
        <v/>
      </c>
      <c r="V2160">
        <f>IF(U2160=1,IF(M2160&gt;0,IF(P2160&lt;=G2160+Assumptions!$C$7,1,0),0),0)</f>
        <v/>
      </c>
      <c r="W2160">
        <f>IF(AND(U2160=1,M2160&gt;=H2160*(1-Assumptions!$C$8)),1,0)</f>
        <v/>
      </c>
      <c r="X2160">
        <f>IF(AND(U2160=1,N2160&gt;=H2160*(1-Assumptions!$C$8)),1,0)</f>
        <v/>
      </c>
      <c r="Y2160">
        <f>IF(ISNUMBER(Q2160),1,0)</f>
        <v/>
      </c>
      <c r="Z2160">
        <f>IF(AND(K2160=0,L2160=0,Y2160=0),1,0)</f>
        <v/>
      </c>
      <c r="AA2160">
        <f>IF(AND(Z2160=1,G2160&lt;Assumptions!$C$6),1,0)</f>
        <v/>
      </c>
      <c r="AB2160">
        <f>IF(U2160=0,"",IF(Y2160=1,MAX(0,Q2160-G2160),IF(L2160=1,MAX(0,R2160-G2160),MAX(0,Assumptions!$C$6-G2160))))</f>
        <v/>
      </c>
      <c r="AC2160">
        <f>IF(Y2160=1,Q2160-F2160,"")</f>
        <v/>
      </c>
      <c r="AD2160">
        <f>IF(Y2160=1,AC2160^2,"")</f>
        <v/>
      </c>
      <c r="AE2160" s="19">
        <f>IF(Z2160=1,(H2160-M2160)*I2160,0)</f>
        <v/>
      </c>
      <c r="AF2160">
        <f>IF(G2160&lt;EDATE(Assumptions!$C$6,-12)+1,"prior_12m","last_12m")</f>
        <v/>
      </c>
      <c r="AG2160" s="21">
        <f>DATE(YEAR(G2160),MONTH(G2160),1)</f>
        <v/>
      </c>
    </row>
    <row r="2161">
      <c r="A2161" t="inlineStr">
        <is>
          <t>SPO-01171-1</t>
        </is>
      </c>
      <c r="B2161" t="inlineStr">
        <is>
          <t>SPO-01171</t>
        </is>
      </c>
      <c r="C2161" t="inlineStr">
        <is>
          <t>SUP-04</t>
        </is>
      </c>
      <c r="D2161" t="inlineStr">
        <is>
          <t>FLEET</t>
        </is>
      </c>
      <c r="E2161" t="inlineStr">
        <is>
          <t>FLEET-06</t>
        </is>
      </c>
      <c r="F2161" s="17" t="n">
        <v>45893</v>
      </c>
      <c r="G2161" s="17" t="n">
        <v>45906</v>
      </c>
      <c r="H2161" s="18" t="n">
        <v>18</v>
      </c>
      <c r="I2161" s="19" t="n">
        <v>32.81</v>
      </c>
      <c r="J2161" s="19" t="n">
        <v>33</v>
      </c>
      <c r="K2161" s="20" t="n">
        <v>0</v>
      </c>
      <c r="L2161" s="20" t="n">
        <v>0</v>
      </c>
      <c r="M2161" s="18" t="n">
        <v>18</v>
      </c>
      <c r="N2161" s="18" t="n">
        <v>18</v>
      </c>
      <c r="O2161" s="18" t="n">
        <v>0</v>
      </c>
      <c r="P2161" s="17" t="n">
        <v>45900</v>
      </c>
      <c r="Q2161" s="17" t="n">
        <v>45900</v>
      </c>
      <c r="R2161" s="17" t="n">
        <v>45900</v>
      </c>
      <c r="S2161" s="19">
        <f>H2161*I2161</f>
        <v/>
      </c>
      <c r="T2161" s="19">
        <f>H2161*J2161</f>
        <v/>
      </c>
      <c r="U2161">
        <f>IF(AND(K2161=0,G2161&lt;=Assumptions!$C$6),1,0)</f>
        <v/>
      </c>
      <c r="V2161">
        <f>IF(U2161=1,IF(M2161&gt;0,IF(P2161&lt;=G2161+Assumptions!$C$7,1,0),0),0)</f>
        <v/>
      </c>
      <c r="W2161">
        <f>IF(AND(U2161=1,M2161&gt;=H2161*(1-Assumptions!$C$8)),1,0)</f>
        <v/>
      </c>
      <c r="X2161">
        <f>IF(AND(U2161=1,N2161&gt;=H2161*(1-Assumptions!$C$8)),1,0)</f>
        <v/>
      </c>
      <c r="Y2161">
        <f>IF(ISNUMBER(Q2161),1,0)</f>
        <v/>
      </c>
      <c r="Z2161">
        <f>IF(AND(K2161=0,L2161=0,Y2161=0),1,0)</f>
        <v/>
      </c>
      <c r="AA2161">
        <f>IF(AND(Z2161=1,G2161&lt;Assumptions!$C$6),1,0)</f>
        <v/>
      </c>
      <c r="AB2161">
        <f>IF(U2161=0,"",IF(Y2161=1,MAX(0,Q2161-G2161),IF(L2161=1,MAX(0,R2161-G2161),MAX(0,Assumptions!$C$6-G2161))))</f>
        <v/>
      </c>
      <c r="AC2161">
        <f>IF(Y2161=1,Q2161-F2161,"")</f>
        <v/>
      </c>
      <c r="AD2161">
        <f>IF(Y2161=1,AC2161^2,"")</f>
        <v/>
      </c>
      <c r="AE2161" s="19">
        <f>IF(Z2161=1,(H2161-M2161)*I2161,0)</f>
        <v/>
      </c>
      <c r="AF2161">
        <f>IF(G2161&lt;EDATE(Assumptions!$C$6,-12)+1,"prior_12m","last_12m")</f>
        <v/>
      </c>
      <c r="AG2161" s="21">
        <f>DATE(YEAR(G2161),MONTH(G2161),1)</f>
        <v/>
      </c>
    </row>
    <row r="2162">
      <c r="A2162" t="inlineStr">
        <is>
          <t>SPO-01171-2</t>
        </is>
      </c>
      <c r="B2162" t="inlineStr">
        <is>
          <t>SPO-01171</t>
        </is>
      </c>
      <c r="C2162" t="inlineStr">
        <is>
          <t>SUP-04</t>
        </is>
      </c>
      <c r="D2162" t="inlineStr">
        <is>
          <t>FLEET</t>
        </is>
      </c>
      <c r="E2162" t="inlineStr">
        <is>
          <t>FLEET-03</t>
        </is>
      </c>
      <c r="F2162" s="17" t="n">
        <v>45893</v>
      </c>
      <c r="G2162" s="17" t="n">
        <v>45906</v>
      </c>
      <c r="H2162" s="18" t="n">
        <v>58</v>
      </c>
      <c r="I2162" s="19" t="n">
        <v>19.91</v>
      </c>
      <c r="J2162" s="19" t="n">
        <v>21</v>
      </c>
      <c r="K2162" s="20" t="n">
        <v>0</v>
      </c>
      <c r="L2162" s="20" t="n">
        <v>0</v>
      </c>
      <c r="M2162" s="18" t="n">
        <v>58</v>
      </c>
      <c r="N2162" s="18" t="n">
        <v>58</v>
      </c>
      <c r="O2162" s="18" t="n">
        <v>0</v>
      </c>
      <c r="P2162" s="17" t="n">
        <v>45895</v>
      </c>
      <c r="Q2162" s="17" t="n">
        <v>45895</v>
      </c>
      <c r="R2162" s="17" t="n">
        <v>45895</v>
      </c>
      <c r="S2162" s="19">
        <f>H2162*I2162</f>
        <v/>
      </c>
      <c r="T2162" s="19">
        <f>H2162*J2162</f>
        <v/>
      </c>
      <c r="U2162">
        <f>IF(AND(K2162=0,G2162&lt;=Assumptions!$C$6),1,0)</f>
        <v/>
      </c>
      <c r="V2162">
        <f>IF(U2162=1,IF(M2162&gt;0,IF(P2162&lt;=G2162+Assumptions!$C$7,1,0),0),0)</f>
        <v/>
      </c>
      <c r="W2162">
        <f>IF(AND(U2162=1,M2162&gt;=H2162*(1-Assumptions!$C$8)),1,0)</f>
        <v/>
      </c>
      <c r="X2162">
        <f>IF(AND(U2162=1,N2162&gt;=H2162*(1-Assumptions!$C$8)),1,0)</f>
        <v/>
      </c>
      <c r="Y2162">
        <f>IF(ISNUMBER(Q2162),1,0)</f>
        <v/>
      </c>
      <c r="Z2162">
        <f>IF(AND(K2162=0,L2162=0,Y2162=0),1,0)</f>
        <v/>
      </c>
      <c r="AA2162">
        <f>IF(AND(Z2162=1,G2162&lt;Assumptions!$C$6),1,0)</f>
        <v/>
      </c>
      <c r="AB2162">
        <f>IF(U2162=0,"",IF(Y2162=1,MAX(0,Q2162-G2162),IF(L2162=1,MAX(0,R2162-G2162),MAX(0,Assumptions!$C$6-G2162))))</f>
        <v/>
      </c>
      <c r="AC2162">
        <f>IF(Y2162=1,Q2162-F2162,"")</f>
        <v/>
      </c>
      <c r="AD2162">
        <f>IF(Y2162=1,AC2162^2,"")</f>
        <v/>
      </c>
      <c r="AE2162" s="19">
        <f>IF(Z2162=1,(H2162-M2162)*I2162,0)</f>
        <v/>
      </c>
      <c r="AF2162">
        <f>IF(G2162&lt;EDATE(Assumptions!$C$6,-12)+1,"prior_12m","last_12m")</f>
        <v/>
      </c>
      <c r="AG2162" s="21">
        <f>DATE(YEAR(G2162),MONTH(G2162),1)</f>
        <v/>
      </c>
    </row>
    <row r="2163">
      <c r="A2163" t="inlineStr">
        <is>
          <t>SPO-01172-1</t>
        </is>
      </c>
      <c r="B2163" t="inlineStr">
        <is>
          <t>SPO-01172</t>
        </is>
      </c>
      <c r="C2163" t="inlineStr">
        <is>
          <t>SUP-12</t>
        </is>
      </c>
      <c r="D2163" t="inlineStr">
        <is>
          <t>IT</t>
        </is>
      </c>
      <c r="E2163" t="inlineStr">
        <is>
          <t>IT-03</t>
        </is>
      </c>
      <c r="F2163" s="17" t="n">
        <v>45894</v>
      </c>
      <c r="G2163" s="17" t="n">
        <v>45904</v>
      </c>
      <c r="H2163" s="18" t="n">
        <v>28</v>
      </c>
      <c r="I2163" s="19" t="n">
        <v>43.59</v>
      </c>
      <c r="J2163" s="19" t="n">
        <v>38</v>
      </c>
      <c r="K2163" s="20" t="n">
        <v>0</v>
      </c>
      <c r="L2163" s="20" t="n">
        <v>1</v>
      </c>
      <c r="M2163" s="18" t="n">
        <v>14</v>
      </c>
      <c r="N2163" s="18" t="n">
        <v>14</v>
      </c>
      <c r="O2163" s="18" t="n">
        <v>0</v>
      </c>
      <c r="P2163" s="17" t="n">
        <v>45903</v>
      </c>
      <c r="Q2163" s="17" t="n"/>
      <c r="R2163" s="17" t="n">
        <v>45903</v>
      </c>
      <c r="S2163" s="19">
        <f>H2163*I2163</f>
        <v/>
      </c>
      <c r="T2163" s="19">
        <f>H2163*J2163</f>
        <v/>
      </c>
      <c r="U2163">
        <f>IF(AND(K2163=0,G2163&lt;=Assumptions!$C$6),1,0)</f>
        <v/>
      </c>
      <c r="V2163">
        <f>IF(U2163=1,IF(M2163&gt;0,IF(P2163&lt;=G2163+Assumptions!$C$7,1,0),0),0)</f>
        <v/>
      </c>
      <c r="W2163">
        <f>IF(AND(U2163=1,M2163&gt;=H2163*(1-Assumptions!$C$8)),1,0)</f>
        <v/>
      </c>
      <c r="X2163">
        <f>IF(AND(U2163=1,N2163&gt;=H2163*(1-Assumptions!$C$8)),1,0)</f>
        <v/>
      </c>
      <c r="Y2163">
        <f>IF(ISNUMBER(Q2163),1,0)</f>
        <v/>
      </c>
      <c r="Z2163">
        <f>IF(AND(K2163=0,L2163=0,Y2163=0),1,0)</f>
        <v/>
      </c>
      <c r="AA2163">
        <f>IF(AND(Z2163=1,G2163&lt;Assumptions!$C$6),1,0)</f>
        <v/>
      </c>
      <c r="AB2163">
        <f>IF(U2163=0,"",IF(Y2163=1,MAX(0,Q2163-G2163),IF(L2163=1,MAX(0,R2163-G2163),MAX(0,Assumptions!$C$6-G2163))))</f>
        <v/>
      </c>
      <c r="AC2163">
        <f>IF(Y2163=1,Q2163-F2163,"")</f>
        <v/>
      </c>
      <c r="AD2163">
        <f>IF(Y2163=1,AC2163^2,"")</f>
        <v/>
      </c>
      <c r="AE2163" s="19">
        <f>IF(Z2163=1,(H2163-M2163)*I2163,0)</f>
        <v/>
      </c>
      <c r="AF2163">
        <f>IF(G2163&lt;EDATE(Assumptions!$C$6,-12)+1,"prior_12m","last_12m")</f>
        <v/>
      </c>
      <c r="AG2163" s="21">
        <f>DATE(YEAR(G2163),MONTH(G2163),1)</f>
        <v/>
      </c>
    </row>
    <row r="2164">
      <c r="A2164" t="inlineStr">
        <is>
          <t>SPO-01173-1</t>
        </is>
      </c>
      <c r="B2164" t="inlineStr">
        <is>
          <t>SPO-01173</t>
        </is>
      </c>
      <c r="C2164" t="inlineStr">
        <is>
          <t>SUP-06</t>
        </is>
      </c>
      <c r="D2164" t="inlineStr">
        <is>
          <t>MRO</t>
        </is>
      </c>
      <c r="E2164" t="inlineStr">
        <is>
          <t>MRO-03</t>
        </is>
      </c>
      <c r="F2164" s="17" t="n">
        <v>45894</v>
      </c>
      <c r="G2164" s="17" t="n">
        <v>45902</v>
      </c>
      <c r="H2164" s="18" t="n">
        <v>333</v>
      </c>
      <c r="I2164" s="19" t="n">
        <v>8.92</v>
      </c>
      <c r="J2164" s="19" t="n">
        <v>8.9</v>
      </c>
      <c r="K2164" s="20" t="n">
        <v>0</v>
      </c>
      <c r="L2164" s="20" t="n">
        <v>0</v>
      </c>
      <c r="M2164" s="18" t="n">
        <v>333</v>
      </c>
      <c r="N2164" s="18" t="n">
        <v>333</v>
      </c>
      <c r="O2164" s="18" t="n">
        <v>0</v>
      </c>
      <c r="P2164" s="17" t="n">
        <v>45900</v>
      </c>
      <c r="Q2164" s="17" t="n">
        <v>45900</v>
      </c>
      <c r="R2164" s="17" t="n">
        <v>45900</v>
      </c>
      <c r="S2164" s="19">
        <f>H2164*I2164</f>
        <v/>
      </c>
      <c r="T2164" s="19">
        <f>H2164*J2164</f>
        <v/>
      </c>
      <c r="U2164">
        <f>IF(AND(K2164=0,G2164&lt;=Assumptions!$C$6),1,0)</f>
        <v/>
      </c>
      <c r="V2164">
        <f>IF(U2164=1,IF(M2164&gt;0,IF(P2164&lt;=G2164+Assumptions!$C$7,1,0),0),0)</f>
        <v/>
      </c>
      <c r="W2164">
        <f>IF(AND(U2164=1,M2164&gt;=H2164*(1-Assumptions!$C$8)),1,0)</f>
        <v/>
      </c>
      <c r="X2164">
        <f>IF(AND(U2164=1,N2164&gt;=H2164*(1-Assumptions!$C$8)),1,0)</f>
        <v/>
      </c>
      <c r="Y2164">
        <f>IF(ISNUMBER(Q2164),1,0)</f>
        <v/>
      </c>
      <c r="Z2164">
        <f>IF(AND(K2164=0,L2164=0,Y2164=0),1,0)</f>
        <v/>
      </c>
      <c r="AA2164">
        <f>IF(AND(Z2164=1,G2164&lt;Assumptions!$C$6),1,0)</f>
        <v/>
      </c>
      <c r="AB2164">
        <f>IF(U2164=0,"",IF(Y2164=1,MAX(0,Q2164-G2164),IF(L2164=1,MAX(0,R2164-G2164),MAX(0,Assumptions!$C$6-G2164))))</f>
        <v/>
      </c>
      <c r="AC2164">
        <f>IF(Y2164=1,Q2164-F2164,"")</f>
        <v/>
      </c>
      <c r="AD2164">
        <f>IF(Y2164=1,AC2164^2,"")</f>
        <v/>
      </c>
      <c r="AE2164" s="19">
        <f>IF(Z2164=1,(H2164-M2164)*I2164,0)</f>
        <v/>
      </c>
      <c r="AF2164">
        <f>IF(G2164&lt;EDATE(Assumptions!$C$6,-12)+1,"prior_12m","last_12m")</f>
        <v/>
      </c>
      <c r="AG2164" s="21">
        <f>DATE(YEAR(G2164),MONTH(G2164),1)</f>
        <v/>
      </c>
    </row>
    <row r="2165">
      <c r="A2165" t="inlineStr">
        <is>
          <t>SPO-01174-1</t>
        </is>
      </c>
      <c r="B2165" t="inlineStr">
        <is>
          <t>SPO-01174</t>
        </is>
      </c>
      <c r="C2165" t="inlineStr">
        <is>
          <t>SUP-11</t>
        </is>
      </c>
      <c r="D2165" t="inlineStr">
        <is>
          <t>PPE</t>
        </is>
      </c>
      <c r="E2165" t="inlineStr">
        <is>
          <t>PPE-05</t>
        </is>
      </c>
      <c r="F2165" s="17" t="n">
        <v>45894</v>
      </c>
      <c r="G2165" s="17" t="n">
        <v>45906</v>
      </c>
      <c r="H2165" s="18" t="n">
        <v>406</v>
      </c>
      <c r="I2165" s="19" t="n">
        <v>11.27</v>
      </c>
      <c r="J2165" s="19" t="n">
        <v>11</v>
      </c>
      <c r="K2165" s="20" t="n">
        <v>0</v>
      </c>
      <c r="L2165" s="20" t="n">
        <v>0</v>
      </c>
      <c r="M2165" s="18" t="n">
        <v>406</v>
      </c>
      <c r="N2165" s="18" t="n">
        <v>406</v>
      </c>
      <c r="O2165" s="18" t="n">
        <v>0</v>
      </c>
      <c r="P2165" s="17" t="n">
        <v>45903</v>
      </c>
      <c r="Q2165" s="17" t="n">
        <v>45903</v>
      </c>
      <c r="R2165" s="17" t="n">
        <v>45903</v>
      </c>
      <c r="S2165" s="19">
        <f>H2165*I2165</f>
        <v/>
      </c>
      <c r="T2165" s="19">
        <f>H2165*J2165</f>
        <v/>
      </c>
      <c r="U2165">
        <f>IF(AND(K2165=0,G2165&lt;=Assumptions!$C$6),1,0)</f>
        <v/>
      </c>
      <c r="V2165">
        <f>IF(U2165=1,IF(M2165&gt;0,IF(P2165&lt;=G2165+Assumptions!$C$7,1,0),0),0)</f>
        <v/>
      </c>
      <c r="W2165">
        <f>IF(AND(U2165=1,M2165&gt;=H2165*(1-Assumptions!$C$8)),1,0)</f>
        <v/>
      </c>
      <c r="X2165">
        <f>IF(AND(U2165=1,N2165&gt;=H2165*(1-Assumptions!$C$8)),1,0)</f>
        <v/>
      </c>
      <c r="Y2165">
        <f>IF(ISNUMBER(Q2165),1,0)</f>
        <v/>
      </c>
      <c r="Z2165">
        <f>IF(AND(K2165=0,L2165=0,Y2165=0),1,0)</f>
        <v/>
      </c>
      <c r="AA2165">
        <f>IF(AND(Z2165=1,G2165&lt;Assumptions!$C$6),1,0)</f>
        <v/>
      </c>
      <c r="AB2165">
        <f>IF(U2165=0,"",IF(Y2165=1,MAX(0,Q2165-G2165),IF(L2165=1,MAX(0,R2165-G2165),MAX(0,Assumptions!$C$6-G2165))))</f>
        <v/>
      </c>
      <c r="AC2165">
        <f>IF(Y2165=1,Q2165-F2165,"")</f>
        <v/>
      </c>
      <c r="AD2165">
        <f>IF(Y2165=1,AC2165^2,"")</f>
        <v/>
      </c>
      <c r="AE2165" s="19">
        <f>IF(Z2165=1,(H2165-M2165)*I2165,0)</f>
        <v/>
      </c>
      <c r="AF2165">
        <f>IF(G2165&lt;EDATE(Assumptions!$C$6,-12)+1,"prior_12m","last_12m")</f>
        <v/>
      </c>
      <c r="AG2165" s="21">
        <f>DATE(YEAR(G2165),MONTH(G2165),1)</f>
        <v/>
      </c>
    </row>
    <row r="2166">
      <c r="A2166" t="inlineStr">
        <is>
          <t>SPO-01174-2</t>
        </is>
      </c>
      <c r="B2166" t="inlineStr">
        <is>
          <t>SPO-01174</t>
        </is>
      </c>
      <c r="C2166" t="inlineStr">
        <is>
          <t>SUP-11</t>
        </is>
      </c>
      <c r="D2166" t="inlineStr">
        <is>
          <t>PPE</t>
        </is>
      </c>
      <c r="E2166" t="inlineStr">
        <is>
          <t>PPE-03</t>
        </is>
      </c>
      <c r="F2166" s="17" t="n">
        <v>45894</v>
      </c>
      <c r="G2166" s="17" t="n">
        <v>45906</v>
      </c>
      <c r="H2166" s="18" t="n">
        <v>25</v>
      </c>
      <c r="I2166" s="19" t="n">
        <v>20.89</v>
      </c>
      <c r="J2166" s="19" t="n">
        <v>21</v>
      </c>
      <c r="K2166" s="20" t="n">
        <v>0</v>
      </c>
      <c r="L2166" s="20" t="n">
        <v>0</v>
      </c>
      <c r="M2166" s="18" t="n">
        <v>25</v>
      </c>
      <c r="N2166" s="18" t="n">
        <v>25</v>
      </c>
      <c r="O2166" s="18" t="n">
        <v>0</v>
      </c>
      <c r="P2166" s="17" t="n">
        <v>45905</v>
      </c>
      <c r="Q2166" s="17" t="n">
        <v>45905</v>
      </c>
      <c r="R2166" s="17" t="n">
        <v>45905</v>
      </c>
      <c r="S2166" s="19">
        <f>H2166*I2166</f>
        <v/>
      </c>
      <c r="T2166" s="19">
        <f>H2166*J2166</f>
        <v/>
      </c>
      <c r="U2166">
        <f>IF(AND(K2166=0,G2166&lt;=Assumptions!$C$6),1,0)</f>
        <v/>
      </c>
      <c r="V2166">
        <f>IF(U2166=1,IF(M2166&gt;0,IF(P2166&lt;=G2166+Assumptions!$C$7,1,0),0),0)</f>
        <v/>
      </c>
      <c r="W2166">
        <f>IF(AND(U2166=1,M2166&gt;=H2166*(1-Assumptions!$C$8)),1,0)</f>
        <v/>
      </c>
      <c r="X2166">
        <f>IF(AND(U2166=1,N2166&gt;=H2166*(1-Assumptions!$C$8)),1,0)</f>
        <v/>
      </c>
      <c r="Y2166">
        <f>IF(ISNUMBER(Q2166),1,0)</f>
        <v/>
      </c>
      <c r="Z2166">
        <f>IF(AND(K2166=0,L2166=0,Y2166=0),1,0)</f>
        <v/>
      </c>
      <c r="AA2166">
        <f>IF(AND(Z2166=1,G2166&lt;Assumptions!$C$6),1,0)</f>
        <v/>
      </c>
      <c r="AB2166">
        <f>IF(U2166=0,"",IF(Y2166=1,MAX(0,Q2166-G2166),IF(L2166=1,MAX(0,R2166-G2166),MAX(0,Assumptions!$C$6-G2166))))</f>
        <v/>
      </c>
      <c r="AC2166">
        <f>IF(Y2166=1,Q2166-F2166,"")</f>
        <v/>
      </c>
      <c r="AD2166">
        <f>IF(Y2166=1,AC2166^2,"")</f>
        <v/>
      </c>
      <c r="AE2166" s="19">
        <f>IF(Z2166=1,(H2166-M2166)*I2166,0)</f>
        <v/>
      </c>
      <c r="AF2166">
        <f>IF(G2166&lt;EDATE(Assumptions!$C$6,-12)+1,"prior_12m","last_12m")</f>
        <v/>
      </c>
      <c r="AG2166" s="21">
        <f>DATE(YEAR(G2166),MONTH(G2166),1)</f>
        <v/>
      </c>
    </row>
    <row r="2167">
      <c r="A2167" t="inlineStr">
        <is>
          <t>SPO-01174-3</t>
        </is>
      </c>
      <c r="B2167" t="inlineStr">
        <is>
          <t>SPO-01174</t>
        </is>
      </c>
      <c r="C2167" t="inlineStr">
        <is>
          <t>SUP-11</t>
        </is>
      </c>
      <c r="D2167" t="inlineStr">
        <is>
          <t>PPE</t>
        </is>
      </c>
      <c r="E2167" t="inlineStr">
        <is>
          <t>PPE-01</t>
        </is>
      </c>
      <c r="F2167" s="17" t="n">
        <v>45894</v>
      </c>
      <c r="G2167" s="17" t="n">
        <v>45906</v>
      </c>
      <c r="H2167" s="18" t="n">
        <v>621</v>
      </c>
      <c r="I2167" s="19" t="n">
        <v>4.91</v>
      </c>
      <c r="J2167" s="19" t="n">
        <v>4.8</v>
      </c>
      <c r="K2167" s="20" t="n">
        <v>0</v>
      </c>
      <c r="L2167" s="20" t="n">
        <v>0</v>
      </c>
      <c r="M2167" s="18" t="n">
        <v>621</v>
      </c>
      <c r="N2167" s="18" t="n">
        <v>621</v>
      </c>
      <c r="O2167" s="18" t="n">
        <v>0</v>
      </c>
      <c r="P2167" s="17" t="n">
        <v>45905</v>
      </c>
      <c r="Q2167" s="17" t="n">
        <v>45905</v>
      </c>
      <c r="R2167" s="17" t="n">
        <v>45905</v>
      </c>
      <c r="S2167" s="19">
        <f>H2167*I2167</f>
        <v/>
      </c>
      <c r="T2167" s="19">
        <f>H2167*J2167</f>
        <v/>
      </c>
      <c r="U2167">
        <f>IF(AND(K2167=0,G2167&lt;=Assumptions!$C$6),1,0)</f>
        <v/>
      </c>
      <c r="V2167">
        <f>IF(U2167=1,IF(M2167&gt;0,IF(P2167&lt;=G2167+Assumptions!$C$7,1,0),0),0)</f>
        <v/>
      </c>
      <c r="W2167">
        <f>IF(AND(U2167=1,M2167&gt;=H2167*(1-Assumptions!$C$8)),1,0)</f>
        <v/>
      </c>
      <c r="X2167">
        <f>IF(AND(U2167=1,N2167&gt;=H2167*(1-Assumptions!$C$8)),1,0)</f>
        <v/>
      </c>
      <c r="Y2167">
        <f>IF(ISNUMBER(Q2167),1,0)</f>
        <v/>
      </c>
      <c r="Z2167">
        <f>IF(AND(K2167=0,L2167=0,Y2167=0),1,0)</f>
        <v/>
      </c>
      <c r="AA2167">
        <f>IF(AND(Z2167=1,G2167&lt;Assumptions!$C$6),1,0)</f>
        <v/>
      </c>
      <c r="AB2167">
        <f>IF(U2167=0,"",IF(Y2167=1,MAX(0,Q2167-G2167),IF(L2167=1,MAX(0,R2167-G2167),MAX(0,Assumptions!$C$6-G2167))))</f>
        <v/>
      </c>
      <c r="AC2167">
        <f>IF(Y2167=1,Q2167-F2167,"")</f>
        <v/>
      </c>
      <c r="AD2167">
        <f>IF(Y2167=1,AC2167^2,"")</f>
        <v/>
      </c>
      <c r="AE2167" s="19">
        <f>IF(Z2167=1,(H2167-M2167)*I2167,0)</f>
        <v/>
      </c>
      <c r="AF2167">
        <f>IF(G2167&lt;EDATE(Assumptions!$C$6,-12)+1,"prior_12m","last_12m")</f>
        <v/>
      </c>
      <c r="AG2167" s="21">
        <f>DATE(YEAR(G2167),MONTH(G2167),1)</f>
        <v/>
      </c>
    </row>
    <row r="2168">
      <c r="A2168" t="inlineStr">
        <is>
          <t>SPO-01175-1</t>
        </is>
      </c>
      <c r="B2168" t="inlineStr">
        <is>
          <t>SPO-01175</t>
        </is>
      </c>
      <c r="C2168" t="inlineStr">
        <is>
          <t>SUP-07</t>
        </is>
      </c>
      <c r="D2168" t="inlineStr">
        <is>
          <t>MRO</t>
        </is>
      </c>
      <c r="E2168" t="inlineStr">
        <is>
          <t>MRO-07</t>
        </is>
      </c>
      <c r="F2168" s="17" t="n">
        <v>45894</v>
      </c>
      <c r="G2168" s="17" t="n">
        <v>45904</v>
      </c>
      <c r="H2168" s="18" t="n">
        <v>91</v>
      </c>
      <c r="I2168" s="19" t="n">
        <v>13.69</v>
      </c>
      <c r="J2168" s="19" t="n">
        <v>14</v>
      </c>
      <c r="K2168" s="20" t="n">
        <v>0</v>
      </c>
      <c r="L2168" s="20" t="n">
        <v>0</v>
      </c>
      <c r="M2168" s="18" t="n">
        <v>91</v>
      </c>
      <c r="N2168" s="18" t="n">
        <v>91</v>
      </c>
      <c r="O2168" s="18" t="n">
        <v>0</v>
      </c>
      <c r="P2168" s="17" t="n">
        <v>45901</v>
      </c>
      <c r="Q2168" s="17" t="n">
        <v>45901</v>
      </c>
      <c r="R2168" s="17" t="n">
        <v>45901</v>
      </c>
      <c r="S2168" s="19">
        <f>H2168*I2168</f>
        <v/>
      </c>
      <c r="T2168" s="19">
        <f>H2168*J2168</f>
        <v/>
      </c>
      <c r="U2168">
        <f>IF(AND(K2168=0,G2168&lt;=Assumptions!$C$6),1,0)</f>
        <v/>
      </c>
      <c r="V2168">
        <f>IF(U2168=1,IF(M2168&gt;0,IF(P2168&lt;=G2168+Assumptions!$C$7,1,0),0),0)</f>
        <v/>
      </c>
      <c r="W2168">
        <f>IF(AND(U2168=1,M2168&gt;=H2168*(1-Assumptions!$C$8)),1,0)</f>
        <v/>
      </c>
      <c r="X2168">
        <f>IF(AND(U2168=1,N2168&gt;=H2168*(1-Assumptions!$C$8)),1,0)</f>
        <v/>
      </c>
      <c r="Y2168">
        <f>IF(ISNUMBER(Q2168),1,0)</f>
        <v/>
      </c>
      <c r="Z2168">
        <f>IF(AND(K2168=0,L2168=0,Y2168=0),1,0)</f>
        <v/>
      </c>
      <c r="AA2168">
        <f>IF(AND(Z2168=1,G2168&lt;Assumptions!$C$6),1,0)</f>
        <v/>
      </c>
      <c r="AB2168">
        <f>IF(U2168=0,"",IF(Y2168=1,MAX(0,Q2168-G2168),IF(L2168=1,MAX(0,R2168-G2168),MAX(0,Assumptions!$C$6-G2168))))</f>
        <v/>
      </c>
      <c r="AC2168">
        <f>IF(Y2168=1,Q2168-F2168,"")</f>
        <v/>
      </c>
      <c r="AD2168">
        <f>IF(Y2168=1,AC2168^2,"")</f>
        <v/>
      </c>
      <c r="AE2168" s="19">
        <f>IF(Z2168=1,(H2168-M2168)*I2168,0)</f>
        <v/>
      </c>
      <c r="AF2168">
        <f>IF(G2168&lt;EDATE(Assumptions!$C$6,-12)+1,"prior_12m","last_12m")</f>
        <v/>
      </c>
      <c r="AG2168" s="21">
        <f>DATE(YEAR(G2168),MONTH(G2168),1)</f>
        <v/>
      </c>
    </row>
    <row r="2169">
      <c r="A2169" t="inlineStr">
        <is>
          <t>SPO-01176-1</t>
        </is>
      </c>
      <c r="B2169" t="inlineStr">
        <is>
          <t>SPO-01176</t>
        </is>
      </c>
      <c r="C2169" t="inlineStr">
        <is>
          <t>SUP-09</t>
        </is>
      </c>
      <c r="D2169" t="inlineStr">
        <is>
          <t>CHEM</t>
        </is>
      </c>
      <c r="E2169" t="inlineStr">
        <is>
          <t>CHEM-01</t>
        </is>
      </c>
      <c r="F2169" s="17" t="n">
        <v>45894</v>
      </c>
      <c r="G2169" s="17" t="n">
        <v>45908</v>
      </c>
      <c r="H2169" s="18" t="n">
        <v>1</v>
      </c>
      <c r="I2169" s="19" t="n">
        <v>668.25</v>
      </c>
      <c r="J2169" s="19" t="n">
        <v>640</v>
      </c>
      <c r="K2169" s="20" t="n">
        <v>0</v>
      </c>
      <c r="L2169" s="20" t="n">
        <v>0</v>
      </c>
      <c r="M2169" s="18" t="n">
        <v>1</v>
      </c>
      <c r="N2169" s="18" t="n">
        <v>1</v>
      </c>
      <c r="O2169" s="18" t="n">
        <v>1</v>
      </c>
      <c r="P2169" s="17" t="n">
        <v>45907</v>
      </c>
      <c r="Q2169" s="17" t="n">
        <v>45907</v>
      </c>
      <c r="R2169" s="17" t="n">
        <v>45907</v>
      </c>
      <c r="S2169" s="19">
        <f>H2169*I2169</f>
        <v/>
      </c>
      <c r="T2169" s="19">
        <f>H2169*J2169</f>
        <v/>
      </c>
      <c r="U2169">
        <f>IF(AND(K2169=0,G2169&lt;=Assumptions!$C$6),1,0)</f>
        <v/>
      </c>
      <c r="V2169">
        <f>IF(U2169=1,IF(M2169&gt;0,IF(P2169&lt;=G2169+Assumptions!$C$7,1,0),0),0)</f>
        <v/>
      </c>
      <c r="W2169">
        <f>IF(AND(U2169=1,M2169&gt;=H2169*(1-Assumptions!$C$8)),1,0)</f>
        <v/>
      </c>
      <c r="X2169">
        <f>IF(AND(U2169=1,N2169&gt;=H2169*(1-Assumptions!$C$8)),1,0)</f>
        <v/>
      </c>
      <c r="Y2169">
        <f>IF(ISNUMBER(Q2169),1,0)</f>
        <v/>
      </c>
      <c r="Z2169">
        <f>IF(AND(K2169=0,L2169=0,Y2169=0),1,0)</f>
        <v/>
      </c>
      <c r="AA2169">
        <f>IF(AND(Z2169=1,G2169&lt;Assumptions!$C$6),1,0)</f>
        <v/>
      </c>
      <c r="AB2169">
        <f>IF(U2169=0,"",IF(Y2169=1,MAX(0,Q2169-G2169),IF(L2169=1,MAX(0,R2169-G2169),MAX(0,Assumptions!$C$6-G2169))))</f>
        <v/>
      </c>
      <c r="AC2169">
        <f>IF(Y2169=1,Q2169-F2169,"")</f>
        <v/>
      </c>
      <c r="AD2169">
        <f>IF(Y2169=1,AC2169^2,"")</f>
        <v/>
      </c>
      <c r="AE2169" s="19">
        <f>IF(Z2169=1,(H2169-M2169)*I2169,0)</f>
        <v/>
      </c>
      <c r="AF2169">
        <f>IF(G2169&lt;EDATE(Assumptions!$C$6,-12)+1,"prior_12m","last_12m")</f>
        <v/>
      </c>
      <c r="AG2169" s="21">
        <f>DATE(YEAR(G2169),MONTH(G2169),1)</f>
        <v/>
      </c>
    </row>
    <row r="2170">
      <c r="A2170" t="inlineStr">
        <is>
          <t>SPO-01176-2</t>
        </is>
      </c>
      <c r="B2170" t="inlineStr">
        <is>
          <t>SPO-01176</t>
        </is>
      </c>
      <c r="C2170" t="inlineStr">
        <is>
          <t>SUP-09</t>
        </is>
      </c>
      <c r="D2170" t="inlineStr">
        <is>
          <t>CHEM</t>
        </is>
      </c>
      <c r="E2170" t="inlineStr">
        <is>
          <t>CHEM-05</t>
        </is>
      </c>
      <c r="F2170" s="17" t="n">
        <v>45894</v>
      </c>
      <c r="G2170" s="17" t="n">
        <v>45908</v>
      </c>
      <c r="H2170" s="18" t="n">
        <v>1</v>
      </c>
      <c r="I2170" s="19" t="n">
        <v>968.52</v>
      </c>
      <c r="J2170" s="19" t="n">
        <v>930</v>
      </c>
      <c r="K2170" s="20" t="n">
        <v>0</v>
      </c>
      <c r="L2170" s="20" t="n">
        <v>0</v>
      </c>
      <c r="M2170" s="18" t="n">
        <v>1</v>
      </c>
      <c r="N2170" s="18" t="n">
        <v>1</v>
      </c>
      <c r="O2170" s="18" t="n">
        <v>0</v>
      </c>
      <c r="P2170" s="17" t="n">
        <v>45907</v>
      </c>
      <c r="Q2170" s="17" t="n">
        <v>45907</v>
      </c>
      <c r="R2170" s="17" t="n">
        <v>45907</v>
      </c>
      <c r="S2170" s="19">
        <f>H2170*I2170</f>
        <v/>
      </c>
      <c r="T2170" s="19">
        <f>H2170*J2170</f>
        <v/>
      </c>
      <c r="U2170">
        <f>IF(AND(K2170=0,G2170&lt;=Assumptions!$C$6),1,0)</f>
        <v/>
      </c>
      <c r="V2170">
        <f>IF(U2170=1,IF(M2170&gt;0,IF(P2170&lt;=G2170+Assumptions!$C$7,1,0),0),0)</f>
        <v/>
      </c>
      <c r="W2170">
        <f>IF(AND(U2170=1,M2170&gt;=H2170*(1-Assumptions!$C$8)),1,0)</f>
        <v/>
      </c>
      <c r="X2170">
        <f>IF(AND(U2170=1,N2170&gt;=H2170*(1-Assumptions!$C$8)),1,0)</f>
        <v/>
      </c>
      <c r="Y2170">
        <f>IF(ISNUMBER(Q2170),1,0)</f>
        <v/>
      </c>
      <c r="Z2170">
        <f>IF(AND(K2170=0,L2170=0,Y2170=0),1,0)</f>
        <v/>
      </c>
      <c r="AA2170">
        <f>IF(AND(Z2170=1,G2170&lt;Assumptions!$C$6),1,0)</f>
        <v/>
      </c>
      <c r="AB2170">
        <f>IF(U2170=0,"",IF(Y2170=1,MAX(0,Q2170-G2170),IF(L2170=1,MAX(0,R2170-G2170),MAX(0,Assumptions!$C$6-G2170))))</f>
        <v/>
      </c>
      <c r="AC2170">
        <f>IF(Y2170=1,Q2170-F2170,"")</f>
        <v/>
      </c>
      <c r="AD2170">
        <f>IF(Y2170=1,AC2170^2,"")</f>
        <v/>
      </c>
      <c r="AE2170" s="19">
        <f>IF(Z2170=1,(H2170-M2170)*I2170,0)</f>
        <v/>
      </c>
      <c r="AF2170">
        <f>IF(G2170&lt;EDATE(Assumptions!$C$6,-12)+1,"prior_12m","last_12m")</f>
        <v/>
      </c>
      <c r="AG2170" s="21">
        <f>DATE(YEAR(G2170),MONTH(G2170),1)</f>
        <v/>
      </c>
    </row>
    <row r="2171">
      <c r="A2171" t="inlineStr">
        <is>
          <t>SPO-01177-1</t>
        </is>
      </c>
      <c r="B2171" t="inlineStr">
        <is>
          <t>SPO-01177</t>
        </is>
      </c>
      <c r="C2171" t="inlineStr">
        <is>
          <t>SUP-10</t>
        </is>
      </c>
      <c r="D2171" t="inlineStr">
        <is>
          <t>PPE</t>
        </is>
      </c>
      <c r="E2171" t="inlineStr">
        <is>
          <t>PPE-02</t>
        </is>
      </c>
      <c r="F2171" s="17" t="n">
        <v>45895</v>
      </c>
      <c r="G2171" s="17" t="n">
        <v>45908</v>
      </c>
      <c r="H2171" s="18" t="n">
        <v>175</v>
      </c>
      <c r="I2171" s="19" t="n">
        <v>12.05</v>
      </c>
      <c r="J2171" s="19" t="n">
        <v>12.5</v>
      </c>
      <c r="K2171" s="20" t="n">
        <v>0</v>
      </c>
      <c r="L2171" s="20" t="n">
        <v>0</v>
      </c>
      <c r="M2171" s="18" t="n">
        <v>175</v>
      </c>
      <c r="N2171" s="18" t="n">
        <v>175</v>
      </c>
      <c r="O2171" s="18" t="n">
        <v>50</v>
      </c>
      <c r="P2171" s="17" t="n">
        <v>45904</v>
      </c>
      <c r="Q2171" s="17" t="n">
        <v>45904</v>
      </c>
      <c r="R2171" s="17" t="n">
        <v>45904</v>
      </c>
      <c r="S2171" s="19">
        <f>H2171*I2171</f>
        <v/>
      </c>
      <c r="T2171" s="19">
        <f>H2171*J2171</f>
        <v/>
      </c>
      <c r="U2171">
        <f>IF(AND(K2171=0,G2171&lt;=Assumptions!$C$6),1,0)</f>
        <v/>
      </c>
      <c r="V2171">
        <f>IF(U2171=1,IF(M2171&gt;0,IF(P2171&lt;=G2171+Assumptions!$C$7,1,0),0),0)</f>
        <v/>
      </c>
      <c r="W2171">
        <f>IF(AND(U2171=1,M2171&gt;=H2171*(1-Assumptions!$C$8)),1,0)</f>
        <v/>
      </c>
      <c r="X2171">
        <f>IF(AND(U2171=1,N2171&gt;=H2171*(1-Assumptions!$C$8)),1,0)</f>
        <v/>
      </c>
      <c r="Y2171">
        <f>IF(ISNUMBER(Q2171),1,0)</f>
        <v/>
      </c>
      <c r="Z2171">
        <f>IF(AND(K2171=0,L2171=0,Y2171=0),1,0)</f>
        <v/>
      </c>
      <c r="AA2171">
        <f>IF(AND(Z2171=1,G2171&lt;Assumptions!$C$6),1,0)</f>
        <v/>
      </c>
      <c r="AB2171">
        <f>IF(U2171=0,"",IF(Y2171=1,MAX(0,Q2171-G2171),IF(L2171=1,MAX(0,R2171-G2171),MAX(0,Assumptions!$C$6-G2171))))</f>
        <v/>
      </c>
      <c r="AC2171">
        <f>IF(Y2171=1,Q2171-F2171,"")</f>
        <v/>
      </c>
      <c r="AD2171">
        <f>IF(Y2171=1,AC2171^2,"")</f>
        <v/>
      </c>
      <c r="AE2171" s="19">
        <f>IF(Z2171=1,(H2171-M2171)*I2171,0)</f>
        <v/>
      </c>
      <c r="AF2171">
        <f>IF(G2171&lt;EDATE(Assumptions!$C$6,-12)+1,"prior_12m","last_12m")</f>
        <v/>
      </c>
      <c r="AG2171" s="21">
        <f>DATE(YEAR(G2171),MONTH(G2171),1)</f>
        <v/>
      </c>
    </row>
    <row r="2172">
      <c r="A2172" t="inlineStr">
        <is>
          <t>SPO-01177-2</t>
        </is>
      </c>
      <c r="B2172" t="inlineStr">
        <is>
          <t>SPO-01177</t>
        </is>
      </c>
      <c r="C2172" t="inlineStr">
        <is>
          <t>SUP-10</t>
        </is>
      </c>
      <c r="D2172" t="inlineStr">
        <is>
          <t>PPE</t>
        </is>
      </c>
      <c r="E2172" t="inlineStr">
        <is>
          <t>PPE-01</t>
        </is>
      </c>
      <c r="F2172" s="17" t="n">
        <v>45895</v>
      </c>
      <c r="G2172" s="17" t="n">
        <v>45908</v>
      </c>
      <c r="H2172" s="18" t="n">
        <v>340</v>
      </c>
      <c r="I2172" s="19" t="n">
        <v>4.72</v>
      </c>
      <c r="J2172" s="19" t="n">
        <v>4.8</v>
      </c>
      <c r="K2172" s="20" t="n">
        <v>0</v>
      </c>
      <c r="L2172" s="20" t="n">
        <v>0</v>
      </c>
      <c r="M2172" s="18" t="n">
        <v>340</v>
      </c>
      <c r="N2172" s="18" t="n">
        <v>340</v>
      </c>
      <c r="O2172" s="18" t="n">
        <v>0</v>
      </c>
      <c r="P2172" s="17" t="n">
        <v>45901</v>
      </c>
      <c r="Q2172" s="17" t="n">
        <v>45901</v>
      </c>
      <c r="R2172" s="17" t="n">
        <v>45901</v>
      </c>
      <c r="S2172" s="19">
        <f>H2172*I2172</f>
        <v/>
      </c>
      <c r="T2172" s="19">
        <f>H2172*J2172</f>
        <v/>
      </c>
      <c r="U2172">
        <f>IF(AND(K2172=0,G2172&lt;=Assumptions!$C$6),1,0)</f>
        <v/>
      </c>
      <c r="V2172">
        <f>IF(U2172=1,IF(M2172&gt;0,IF(P2172&lt;=G2172+Assumptions!$C$7,1,0),0),0)</f>
        <v/>
      </c>
      <c r="W2172">
        <f>IF(AND(U2172=1,M2172&gt;=H2172*(1-Assumptions!$C$8)),1,0)</f>
        <v/>
      </c>
      <c r="X2172">
        <f>IF(AND(U2172=1,N2172&gt;=H2172*(1-Assumptions!$C$8)),1,0)</f>
        <v/>
      </c>
      <c r="Y2172">
        <f>IF(ISNUMBER(Q2172),1,0)</f>
        <v/>
      </c>
      <c r="Z2172">
        <f>IF(AND(K2172=0,L2172=0,Y2172=0),1,0)</f>
        <v/>
      </c>
      <c r="AA2172">
        <f>IF(AND(Z2172=1,G2172&lt;Assumptions!$C$6),1,0)</f>
        <v/>
      </c>
      <c r="AB2172">
        <f>IF(U2172=0,"",IF(Y2172=1,MAX(0,Q2172-G2172),IF(L2172=1,MAX(0,R2172-G2172),MAX(0,Assumptions!$C$6-G2172))))</f>
        <v/>
      </c>
      <c r="AC2172">
        <f>IF(Y2172=1,Q2172-F2172,"")</f>
        <v/>
      </c>
      <c r="AD2172">
        <f>IF(Y2172=1,AC2172^2,"")</f>
        <v/>
      </c>
      <c r="AE2172" s="19">
        <f>IF(Z2172=1,(H2172-M2172)*I2172,0)</f>
        <v/>
      </c>
      <c r="AF2172">
        <f>IF(G2172&lt;EDATE(Assumptions!$C$6,-12)+1,"prior_12m","last_12m")</f>
        <v/>
      </c>
      <c r="AG2172" s="21">
        <f>DATE(YEAR(G2172),MONTH(G2172),1)</f>
        <v/>
      </c>
    </row>
    <row r="2173">
      <c r="A2173" t="inlineStr">
        <is>
          <t>SPO-01177-3</t>
        </is>
      </c>
      <c r="B2173" t="inlineStr">
        <is>
          <t>SPO-01177</t>
        </is>
      </c>
      <c r="C2173" t="inlineStr">
        <is>
          <t>SUP-10</t>
        </is>
      </c>
      <c r="D2173" t="inlineStr">
        <is>
          <t>PPE</t>
        </is>
      </c>
      <c r="E2173" t="inlineStr">
        <is>
          <t>PPE-08</t>
        </is>
      </c>
      <c r="F2173" s="17" t="n">
        <v>45895</v>
      </c>
      <c r="G2173" s="17" t="n">
        <v>45908</v>
      </c>
      <c r="H2173" s="18" t="n">
        <v>32</v>
      </c>
      <c r="I2173" s="19" t="n">
        <v>62.93</v>
      </c>
      <c r="J2173" s="19" t="n">
        <v>64</v>
      </c>
      <c r="K2173" s="20" t="n">
        <v>0</v>
      </c>
      <c r="L2173" s="20" t="n">
        <v>0</v>
      </c>
      <c r="M2173" s="18" t="n">
        <v>32</v>
      </c>
      <c r="N2173" s="18" t="n">
        <v>32</v>
      </c>
      <c r="O2173" s="18" t="n">
        <v>4</v>
      </c>
      <c r="P2173" s="17" t="n">
        <v>45908</v>
      </c>
      <c r="Q2173" s="17" t="n">
        <v>45908</v>
      </c>
      <c r="R2173" s="17" t="n">
        <v>45908</v>
      </c>
      <c r="S2173" s="19">
        <f>H2173*I2173</f>
        <v/>
      </c>
      <c r="T2173" s="19">
        <f>H2173*J2173</f>
        <v/>
      </c>
      <c r="U2173">
        <f>IF(AND(K2173=0,G2173&lt;=Assumptions!$C$6),1,0)</f>
        <v/>
      </c>
      <c r="V2173">
        <f>IF(U2173=1,IF(M2173&gt;0,IF(P2173&lt;=G2173+Assumptions!$C$7,1,0),0),0)</f>
        <v/>
      </c>
      <c r="W2173">
        <f>IF(AND(U2173=1,M2173&gt;=H2173*(1-Assumptions!$C$8)),1,0)</f>
        <v/>
      </c>
      <c r="X2173">
        <f>IF(AND(U2173=1,N2173&gt;=H2173*(1-Assumptions!$C$8)),1,0)</f>
        <v/>
      </c>
      <c r="Y2173">
        <f>IF(ISNUMBER(Q2173),1,0)</f>
        <v/>
      </c>
      <c r="Z2173">
        <f>IF(AND(K2173=0,L2173=0,Y2173=0),1,0)</f>
        <v/>
      </c>
      <c r="AA2173">
        <f>IF(AND(Z2173=1,G2173&lt;Assumptions!$C$6),1,0)</f>
        <v/>
      </c>
      <c r="AB2173">
        <f>IF(U2173=0,"",IF(Y2173=1,MAX(0,Q2173-G2173),IF(L2173=1,MAX(0,R2173-G2173),MAX(0,Assumptions!$C$6-G2173))))</f>
        <v/>
      </c>
      <c r="AC2173">
        <f>IF(Y2173=1,Q2173-F2173,"")</f>
        <v/>
      </c>
      <c r="AD2173">
        <f>IF(Y2173=1,AC2173^2,"")</f>
        <v/>
      </c>
      <c r="AE2173" s="19">
        <f>IF(Z2173=1,(H2173-M2173)*I2173,0)</f>
        <v/>
      </c>
      <c r="AF2173">
        <f>IF(G2173&lt;EDATE(Assumptions!$C$6,-12)+1,"prior_12m","last_12m")</f>
        <v/>
      </c>
      <c r="AG2173" s="21">
        <f>DATE(YEAR(G2173),MONTH(G2173),1)</f>
        <v/>
      </c>
    </row>
    <row r="2174">
      <c r="A2174" t="inlineStr">
        <is>
          <t>SPO-01177-4</t>
        </is>
      </c>
      <c r="B2174" t="inlineStr">
        <is>
          <t>SPO-01177</t>
        </is>
      </c>
      <c r="C2174" t="inlineStr">
        <is>
          <t>SUP-10</t>
        </is>
      </c>
      <c r="D2174" t="inlineStr">
        <is>
          <t>PPE</t>
        </is>
      </c>
      <c r="E2174" t="inlineStr">
        <is>
          <t>PPE-06</t>
        </is>
      </c>
      <c r="F2174" s="17" t="n">
        <v>45895</v>
      </c>
      <c r="G2174" s="17" t="n">
        <v>45908</v>
      </c>
      <c r="H2174" s="18" t="n">
        <v>9</v>
      </c>
      <c r="I2174" s="19" t="n">
        <v>108.7</v>
      </c>
      <c r="J2174" s="19" t="n">
        <v>115</v>
      </c>
      <c r="K2174" s="20" t="n">
        <v>0</v>
      </c>
      <c r="L2174" s="20" t="n">
        <v>0</v>
      </c>
      <c r="M2174" s="18" t="n">
        <v>9</v>
      </c>
      <c r="N2174" s="18" t="n">
        <v>9</v>
      </c>
      <c r="O2174" s="18" t="n">
        <v>0</v>
      </c>
      <c r="P2174" s="17" t="n">
        <v>45905</v>
      </c>
      <c r="Q2174" s="17" t="n">
        <v>45905</v>
      </c>
      <c r="R2174" s="17" t="n">
        <v>45905</v>
      </c>
      <c r="S2174" s="19">
        <f>H2174*I2174</f>
        <v/>
      </c>
      <c r="T2174" s="19">
        <f>H2174*J2174</f>
        <v/>
      </c>
      <c r="U2174">
        <f>IF(AND(K2174=0,G2174&lt;=Assumptions!$C$6),1,0)</f>
        <v/>
      </c>
      <c r="V2174">
        <f>IF(U2174=1,IF(M2174&gt;0,IF(P2174&lt;=G2174+Assumptions!$C$7,1,0),0),0)</f>
        <v/>
      </c>
      <c r="W2174">
        <f>IF(AND(U2174=1,M2174&gt;=H2174*(1-Assumptions!$C$8)),1,0)</f>
        <v/>
      </c>
      <c r="X2174">
        <f>IF(AND(U2174=1,N2174&gt;=H2174*(1-Assumptions!$C$8)),1,0)</f>
        <v/>
      </c>
      <c r="Y2174">
        <f>IF(ISNUMBER(Q2174),1,0)</f>
        <v/>
      </c>
      <c r="Z2174">
        <f>IF(AND(K2174=0,L2174=0,Y2174=0),1,0)</f>
        <v/>
      </c>
      <c r="AA2174">
        <f>IF(AND(Z2174=1,G2174&lt;Assumptions!$C$6),1,0)</f>
        <v/>
      </c>
      <c r="AB2174">
        <f>IF(U2174=0,"",IF(Y2174=1,MAX(0,Q2174-G2174),IF(L2174=1,MAX(0,R2174-G2174),MAX(0,Assumptions!$C$6-G2174))))</f>
        <v/>
      </c>
      <c r="AC2174">
        <f>IF(Y2174=1,Q2174-F2174,"")</f>
        <v/>
      </c>
      <c r="AD2174">
        <f>IF(Y2174=1,AC2174^2,"")</f>
        <v/>
      </c>
      <c r="AE2174" s="19">
        <f>IF(Z2174=1,(H2174-M2174)*I2174,0)</f>
        <v/>
      </c>
      <c r="AF2174">
        <f>IF(G2174&lt;EDATE(Assumptions!$C$6,-12)+1,"prior_12m","last_12m")</f>
        <v/>
      </c>
      <c r="AG2174" s="21">
        <f>DATE(YEAR(G2174),MONTH(G2174),1)</f>
        <v/>
      </c>
    </row>
    <row r="2175">
      <c r="A2175" t="inlineStr">
        <is>
          <t>SPO-01178-1</t>
        </is>
      </c>
      <c r="B2175" t="inlineStr">
        <is>
          <t>SPO-01178</t>
        </is>
      </c>
      <c r="C2175" t="inlineStr">
        <is>
          <t>SUP-04</t>
        </is>
      </c>
      <c r="D2175" t="inlineStr">
        <is>
          <t>FLEET</t>
        </is>
      </c>
      <c r="E2175" t="inlineStr">
        <is>
          <t>FLEET-08</t>
        </is>
      </c>
      <c r="F2175" s="17" t="n">
        <v>45895</v>
      </c>
      <c r="G2175" s="17" t="n">
        <v>45908</v>
      </c>
      <c r="H2175" s="18" t="n">
        <v>322</v>
      </c>
      <c r="I2175" s="19" t="n">
        <v>6.76</v>
      </c>
      <c r="J2175" s="19" t="n">
        <v>6.4</v>
      </c>
      <c r="K2175" s="20" t="n">
        <v>0</v>
      </c>
      <c r="L2175" s="20" t="n">
        <v>0</v>
      </c>
      <c r="M2175" s="18" t="n">
        <v>322</v>
      </c>
      <c r="N2175" s="18" t="n">
        <v>322</v>
      </c>
      <c r="O2175" s="18" t="n">
        <v>0</v>
      </c>
      <c r="P2175" s="17" t="n">
        <v>45899</v>
      </c>
      <c r="Q2175" s="17" t="n">
        <v>45899</v>
      </c>
      <c r="R2175" s="17" t="n">
        <v>45899</v>
      </c>
      <c r="S2175" s="19">
        <f>H2175*I2175</f>
        <v/>
      </c>
      <c r="T2175" s="19">
        <f>H2175*J2175</f>
        <v/>
      </c>
      <c r="U2175">
        <f>IF(AND(K2175=0,G2175&lt;=Assumptions!$C$6),1,0)</f>
        <v/>
      </c>
      <c r="V2175">
        <f>IF(U2175=1,IF(M2175&gt;0,IF(P2175&lt;=G2175+Assumptions!$C$7,1,0),0),0)</f>
        <v/>
      </c>
      <c r="W2175">
        <f>IF(AND(U2175=1,M2175&gt;=H2175*(1-Assumptions!$C$8)),1,0)</f>
        <v/>
      </c>
      <c r="X2175">
        <f>IF(AND(U2175=1,N2175&gt;=H2175*(1-Assumptions!$C$8)),1,0)</f>
        <v/>
      </c>
      <c r="Y2175">
        <f>IF(ISNUMBER(Q2175),1,0)</f>
        <v/>
      </c>
      <c r="Z2175">
        <f>IF(AND(K2175=0,L2175=0,Y2175=0),1,0)</f>
        <v/>
      </c>
      <c r="AA2175">
        <f>IF(AND(Z2175=1,G2175&lt;Assumptions!$C$6),1,0)</f>
        <v/>
      </c>
      <c r="AB2175">
        <f>IF(U2175=0,"",IF(Y2175=1,MAX(0,Q2175-G2175),IF(L2175=1,MAX(0,R2175-G2175),MAX(0,Assumptions!$C$6-G2175))))</f>
        <v/>
      </c>
      <c r="AC2175">
        <f>IF(Y2175=1,Q2175-F2175,"")</f>
        <v/>
      </c>
      <c r="AD2175">
        <f>IF(Y2175=1,AC2175^2,"")</f>
        <v/>
      </c>
      <c r="AE2175" s="19">
        <f>IF(Z2175=1,(H2175-M2175)*I2175,0)</f>
        <v/>
      </c>
      <c r="AF2175">
        <f>IF(G2175&lt;EDATE(Assumptions!$C$6,-12)+1,"prior_12m","last_12m")</f>
        <v/>
      </c>
      <c r="AG2175" s="21">
        <f>DATE(YEAR(G2175),MONTH(G2175),1)</f>
        <v/>
      </c>
    </row>
    <row r="2176">
      <c r="A2176" t="inlineStr">
        <is>
          <t>SPO-01179-1</t>
        </is>
      </c>
      <c r="B2176" t="inlineStr">
        <is>
          <t>SPO-01179</t>
        </is>
      </c>
      <c r="C2176" t="inlineStr">
        <is>
          <t>SUP-07</t>
        </is>
      </c>
      <c r="D2176" t="inlineStr">
        <is>
          <t>MRO</t>
        </is>
      </c>
      <c r="E2176" t="inlineStr">
        <is>
          <t>MRO-01</t>
        </is>
      </c>
      <c r="F2176" s="17" t="n">
        <v>45895</v>
      </c>
      <c r="G2176" s="17" t="n">
        <v>45905</v>
      </c>
      <c r="H2176" s="18" t="n">
        <v>17</v>
      </c>
      <c r="I2176" s="19" t="n">
        <v>49.61</v>
      </c>
      <c r="J2176" s="19" t="n">
        <v>52</v>
      </c>
      <c r="K2176" s="20" t="n">
        <v>0</v>
      </c>
      <c r="L2176" s="20" t="n">
        <v>1</v>
      </c>
      <c r="M2176" s="18" t="n">
        <v>9</v>
      </c>
      <c r="N2176" s="18" t="n">
        <v>9</v>
      </c>
      <c r="O2176" s="18" t="n">
        <v>0</v>
      </c>
      <c r="P2176" s="17" t="n">
        <v>45904</v>
      </c>
      <c r="Q2176" s="17" t="n"/>
      <c r="R2176" s="17" t="n">
        <v>45904</v>
      </c>
      <c r="S2176" s="19">
        <f>H2176*I2176</f>
        <v/>
      </c>
      <c r="T2176" s="19">
        <f>H2176*J2176</f>
        <v/>
      </c>
      <c r="U2176">
        <f>IF(AND(K2176=0,G2176&lt;=Assumptions!$C$6),1,0)</f>
        <v/>
      </c>
      <c r="V2176">
        <f>IF(U2176=1,IF(M2176&gt;0,IF(P2176&lt;=G2176+Assumptions!$C$7,1,0),0),0)</f>
        <v/>
      </c>
      <c r="W2176">
        <f>IF(AND(U2176=1,M2176&gt;=H2176*(1-Assumptions!$C$8)),1,0)</f>
        <v/>
      </c>
      <c r="X2176">
        <f>IF(AND(U2176=1,N2176&gt;=H2176*(1-Assumptions!$C$8)),1,0)</f>
        <v/>
      </c>
      <c r="Y2176">
        <f>IF(ISNUMBER(Q2176),1,0)</f>
        <v/>
      </c>
      <c r="Z2176">
        <f>IF(AND(K2176=0,L2176=0,Y2176=0),1,0)</f>
        <v/>
      </c>
      <c r="AA2176">
        <f>IF(AND(Z2176=1,G2176&lt;Assumptions!$C$6),1,0)</f>
        <v/>
      </c>
      <c r="AB2176">
        <f>IF(U2176=0,"",IF(Y2176=1,MAX(0,Q2176-G2176),IF(L2176=1,MAX(0,R2176-G2176),MAX(0,Assumptions!$C$6-G2176))))</f>
        <v/>
      </c>
      <c r="AC2176">
        <f>IF(Y2176=1,Q2176-F2176,"")</f>
        <v/>
      </c>
      <c r="AD2176">
        <f>IF(Y2176=1,AC2176^2,"")</f>
        <v/>
      </c>
      <c r="AE2176" s="19">
        <f>IF(Z2176=1,(H2176-M2176)*I2176,0)</f>
        <v/>
      </c>
      <c r="AF2176">
        <f>IF(G2176&lt;EDATE(Assumptions!$C$6,-12)+1,"prior_12m","last_12m")</f>
        <v/>
      </c>
      <c r="AG2176" s="21">
        <f>DATE(YEAR(G2176),MONTH(G2176),1)</f>
        <v/>
      </c>
    </row>
    <row r="2177">
      <c r="A2177" t="inlineStr">
        <is>
          <t>SPO-01180-1</t>
        </is>
      </c>
      <c r="B2177" t="inlineStr">
        <is>
          <t>SPO-01180</t>
        </is>
      </c>
      <c r="C2177" t="inlineStr">
        <is>
          <t>SUP-02</t>
        </is>
      </c>
      <c r="D2177" t="inlineStr">
        <is>
          <t>ELEC</t>
        </is>
      </c>
      <c r="E2177" t="inlineStr">
        <is>
          <t>ELEC-04</t>
        </is>
      </c>
      <c r="F2177" s="17" t="n">
        <v>45896</v>
      </c>
      <c r="G2177" s="17" t="n">
        <v>45912</v>
      </c>
      <c r="H2177" s="18" t="n">
        <v>20</v>
      </c>
      <c r="I2177" s="19" t="n">
        <v>72.47</v>
      </c>
      <c r="J2177" s="19" t="n">
        <v>72</v>
      </c>
      <c r="K2177" s="20" t="n">
        <v>0</v>
      </c>
      <c r="L2177" s="20" t="n">
        <v>0</v>
      </c>
      <c r="M2177" s="18" t="n">
        <v>20</v>
      </c>
      <c r="N2177" s="18" t="n">
        <v>20</v>
      </c>
      <c r="O2177" s="18" t="n">
        <v>0</v>
      </c>
      <c r="P2177" s="17" t="n">
        <v>45910</v>
      </c>
      <c r="Q2177" s="17" t="n">
        <v>45910</v>
      </c>
      <c r="R2177" s="17" t="n">
        <v>45910</v>
      </c>
      <c r="S2177" s="19">
        <f>H2177*I2177</f>
        <v/>
      </c>
      <c r="T2177" s="19">
        <f>H2177*J2177</f>
        <v/>
      </c>
      <c r="U2177">
        <f>IF(AND(K2177=0,G2177&lt;=Assumptions!$C$6),1,0)</f>
        <v/>
      </c>
      <c r="V2177">
        <f>IF(U2177=1,IF(M2177&gt;0,IF(P2177&lt;=G2177+Assumptions!$C$7,1,0),0),0)</f>
        <v/>
      </c>
      <c r="W2177">
        <f>IF(AND(U2177=1,M2177&gt;=H2177*(1-Assumptions!$C$8)),1,0)</f>
        <v/>
      </c>
      <c r="X2177">
        <f>IF(AND(U2177=1,N2177&gt;=H2177*(1-Assumptions!$C$8)),1,0)</f>
        <v/>
      </c>
      <c r="Y2177">
        <f>IF(ISNUMBER(Q2177),1,0)</f>
        <v/>
      </c>
      <c r="Z2177">
        <f>IF(AND(K2177=0,L2177=0,Y2177=0),1,0)</f>
        <v/>
      </c>
      <c r="AA2177">
        <f>IF(AND(Z2177=1,G2177&lt;Assumptions!$C$6),1,0)</f>
        <v/>
      </c>
      <c r="AB2177">
        <f>IF(U2177=0,"",IF(Y2177=1,MAX(0,Q2177-G2177),IF(L2177=1,MAX(0,R2177-G2177),MAX(0,Assumptions!$C$6-G2177))))</f>
        <v/>
      </c>
      <c r="AC2177">
        <f>IF(Y2177=1,Q2177-F2177,"")</f>
        <v/>
      </c>
      <c r="AD2177">
        <f>IF(Y2177=1,AC2177^2,"")</f>
        <v/>
      </c>
      <c r="AE2177" s="19">
        <f>IF(Z2177=1,(H2177-M2177)*I2177,0)</f>
        <v/>
      </c>
      <c r="AF2177">
        <f>IF(G2177&lt;EDATE(Assumptions!$C$6,-12)+1,"prior_12m","last_12m")</f>
        <v/>
      </c>
      <c r="AG2177" s="21">
        <f>DATE(YEAR(G2177),MONTH(G2177),1)</f>
        <v/>
      </c>
    </row>
    <row r="2178">
      <c r="A2178" t="inlineStr">
        <is>
          <t>SPO-01180-2</t>
        </is>
      </c>
      <c r="B2178" t="inlineStr">
        <is>
          <t>SPO-01180</t>
        </is>
      </c>
      <c r="C2178" t="inlineStr">
        <is>
          <t>SUP-02</t>
        </is>
      </c>
      <c r="D2178" t="inlineStr">
        <is>
          <t>ELEC</t>
        </is>
      </c>
      <c r="E2178" t="inlineStr">
        <is>
          <t>ELEC-02</t>
        </is>
      </c>
      <c r="F2178" s="17" t="n">
        <v>45896</v>
      </c>
      <c r="G2178" s="17" t="n">
        <v>45912</v>
      </c>
      <c r="H2178" s="18" t="n">
        <v>215</v>
      </c>
      <c r="I2178" s="19" t="n">
        <v>4.22</v>
      </c>
      <c r="J2178" s="19" t="n">
        <v>4.2</v>
      </c>
      <c r="K2178" s="20" t="n">
        <v>0</v>
      </c>
      <c r="L2178" s="20" t="n">
        <v>0</v>
      </c>
      <c r="M2178" s="18" t="n">
        <v>215</v>
      </c>
      <c r="N2178" s="18" t="n">
        <v>215</v>
      </c>
      <c r="O2178" s="18" t="n">
        <v>0</v>
      </c>
      <c r="P2178" s="17" t="n">
        <v>45911</v>
      </c>
      <c r="Q2178" s="17" t="n">
        <v>45911</v>
      </c>
      <c r="R2178" s="17" t="n">
        <v>45911</v>
      </c>
      <c r="S2178" s="19">
        <f>H2178*I2178</f>
        <v/>
      </c>
      <c r="T2178" s="19">
        <f>H2178*J2178</f>
        <v/>
      </c>
      <c r="U2178">
        <f>IF(AND(K2178=0,G2178&lt;=Assumptions!$C$6),1,0)</f>
        <v/>
      </c>
      <c r="V2178">
        <f>IF(U2178=1,IF(M2178&gt;0,IF(P2178&lt;=G2178+Assumptions!$C$7,1,0),0),0)</f>
        <v/>
      </c>
      <c r="W2178">
        <f>IF(AND(U2178=1,M2178&gt;=H2178*(1-Assumptions!$C$8)),1,0)</f>
        <v/>
      </c>
      <c r="X2178">
        <f>IF(AND(U2178=1,N2178&gt;=H2178*(1-Assumptions!$C$8)),1,0)</f>
        <v/>
      </c>
      <c r="Y2178">
        <f>IF(ISNUMBER(Q2178),1,0)</f>
        <v/>
      </c>
      <c r="Z2178">
        <f>IF(AND(K2178=0,L2178=0,Y2178=0),1,0)</f>
        <v/>
      </c>
      <c r="AA2178">
        <f>IF(AND(Z2178=1,G2178&lt;Assumptions!$C$6),1,0)</f>
        <v/>
      </c>
      <c r="AB2178">
        <f>IF(U2178=0,"",IF(Y2178=1,MAX(0,Q2178-G2178),IF(L2178=1,MAX(0,R2178-G2178),MAX(0,Assumptions!$C$6-G2178))))</f>
        <v/>
      </c>
      <c r="AC2178">
        <f>IF(Y2178=1,Q2178-F2178,"")</f>
        <v/>
      </c>
      <c r="AD2178">
        <f>IF(Y2178=1,AC2178^2,"")</f>
        <v/>
      </c>
      <c r="AE2178" s="19">
        <f>IF(Z2178=1,(H2178-M2178)*I2178,0)</f>
        <v/>
      </c>
      <c r="AF2178">
        <f>IF(G2178&lt;EDATE(Assumptions!$C$6,-12)+1,"prior_12m","last_12m")</f>
        <v/>
      </c>
      <c r="AG2178" s="21">
        <f>DATE(YEAR(G2178),MONTH(G2178),1)</f>
        <v/>
      </c>
    </row>
    <row r="2179">
      <c r="A2179" t="inlineStr">
        <is>
          <t>SPO-01180-3</t>
        </is>
      </c>
      <c r="B2179" t="inlineStr">
        <is>
          <t>SPO-01180</t>
        </is>
      </c>
      <c r="C2179" t="inlineStr">
        <is>
          <t>SUP-02</t>
        </is>
      </c>
      <c r="D2179" t="inlineStr">
        <is>
          <t>ELEC</t>
        </is>
      </c>
      <c r="E2179" t="inlineStr">
        <is>
          <t>ELEC-07</t>
        </is>
      </c>
      <c r="F2179" s="17" t="n">
        <v>45896</v>
      </c>
      <c r="G2179" s="17" t="n">
        <v>45912</v>
      </c>
      <c r="H2179" s="18" t="n">
        <v>138</v>
      </c>
      <c r="I2179" s="19" t="n">
        <v>9.949999999999999</v>
      </c>
      <c r="J2179" s="19" t="n">
        <v>9.800000000000001</v>
      </c>
      <c r="K2179" s="20" t="n">
        <v>0</v>
      </c>
      <c r="L2179" s="20" t="n">
        <v>0</v>
      </c>
      <c r="M2179" s="18" t="n">
        <v>138</v>
      </c>
      <c r="N2179" s="18" t="n">
        <v>138</v>
      </c>
      <c r="O2179" s="18" t="n">
        <v>0</v>
      </c>
      <c r="P2179" s="17" t="n">
        <v>45909</v>
      </c>
      <c r="Q2179" s="17" t="n">
        <v>45909</v>
      </c>
      <c r="R2179" s="17" t="n">
        <v>45909</v>
      </c>
      <c r="S2179" s="19">
        <f>H2179*I2179</f>
        <v/>
      </c>
      <c r="T2179" s="19">
        <f>H2179*J2179</f>
        <v/>
      </c>
      <c r="U2179">
        <f>IF(AND(K2179=0,G2179&lt;=Assumptions!$C$6),1,0)</f>
        <v/>
      </c>
      <c r="V2179">
        <f>IF(U2179=1,IF(M2179&gt;0,IF(P2179&lt;=G2179+Assumptions!$C$7,1,0),0),0)</f>
        <v/>
      </c>
      <c r="W2179">
        <f>IF(AND(U2179=1,M2179&gt;=H2179*(1-Assumptions!$C$8)),1,0)</f>
        <v/>
      </c>
      <c r="X2179">
        <f>IF(AND(U2179=1,N2179&gt;=H2179*(1-Assumptions!$C$8)),1,0)</f>
        <v/>
      </c>
      <c r="Y2179">
        <f>IF(ISNUMBER(Q2179),1,0)</f>
        <v/>
      </c>
      <c r="Z2179">
        <f>IF(AND(K2179=0,L2179=0,Y2179=0),1,0)</f>
        <v/>
      </c>
      <c r="AA2179">
        <f>IF(AND(Z2179=1,G2179&lt;Assumptions!$C$6),1,0)</f>
        <v/>
      </c>
      <c r="AB2179">
        <f>IF(U2179=0,"",IF(Y2179=1,MAX(0,Q2179-G2179),IF(L2179=1,MAX(0,R2179-G2179),MAX(0,Assumptions!$C$6-G2179))))</f>
        <v/>
      </c>
      <c r="AC2179">
        <f>IF(Y2179=1,Q2179-F2179,"")</f>
        <v/>
      </c>
      <c r="AD2179">
        <f>IF(Y2179=1,AC2179^2,"")</f>
        <v/>
      </c>
      <c r="AE2179" s="19">
        <f>IF(Z2179=1,(H2179-M2179)*I2179,0)</f>
        <v/>
      </c>
      <c r="AF2179">
        <f>IF(G2179&lt;EDATE(Assumptions!$C$6,-12)+1,"prior_12m","last_12m")</f>
        <v/>
      </c>
      <c r="AG2179" s="21">
        <f>DATE(YEAR(G2179),MONTH(G2179),1)</f>
        <v/>
      </c>
    </row>
    <row r="2180">
      <c r="A2180" t="inlineStr">
        <is>
          <t>SPO-01181-1</t>
        </is>
      </c>
      <c r="B2180" t="inlineStr">
        <is>
          <t>SPO-01181</t>
        </is>
      </c>
      <c r="C2180" t="inlineStr">
        <is>
          <t>SUP-10</t>
        </is>
      </c>
      <c r="D2180" t="inlineStr">
        <is>
          <t>PPE</t>
        </is>
      </c>
      <c r="E2180" t="inlineStr">
        <is>
          <t>PPE-05</t>
        </is>
      </c>
      <c r="F2180" s="17" t="n">
        <v>45897</v>
      </c>
      <c r="G2180" s="17" t="n">
        <v>45910</v>
      </c>
      <c r="H2180" s="18" t="n">
        <v>208</v>
      </c>
      <c r="I2180" s="19" t="n">
        <v>10.07</v>
      </c>
      <c r="J2180" s="19" t="n">
        <v>11</v>
      </c>
      <c r="K2180" s="20" t="n">
        <v>0</v>
      </c>
      <c r="L2180" s="20" t="n">
        <v>0</v>
      </c>
      <c r="M2180" s="18" t="n">
        <v>208</v>
      </c>
      <c r="N2180" s="18" t="n">
        <v>208</v>
      </c>
      <c r="O2180" s="18" t="n">
        <v>52</v>
      </c>
      <c r="P2180" s="17" t="n">
        <v>45907</v>
      </c>
      <c r="Q2180" s="17" t="n">
        <v>45907</v>
      </c>
      <c r="R2180" s="17" t="n">
        <v>45907</v>
      </c>
      <c r="S2180" s="19">
        <f>H2180*I2180</f>
        <v/>
      </c>
      <c r="T2180" s="19">
        <f>H2180*J2180</f>
        <v/>
      </c>
      <c r="U2180">
        <f>IF(AND(K2180=0,G2180&lt;=Assumptions!$C$6),1,0)</f>
        <v/>
      </c>
      <c r="V2180">
        <f>IF(U2180=1,IF(M2180&gt;0,IF(P2180&lt;=G2180+Assumptions!$C$7,1,0),0),0)</f>
        <v/>
      </c>
      <c r="W2180">
        <f>IF(AND(U2180=1,M2180&gt;=H2180*(1-Assumptions!$C$8)),1,0)</f>
        <v/>
      </c>
      <c r="X2180">
        <f>IF(AND(U2180=1,N2180&gt;=H2180*(1-Assumptions!$C$8)),1,0)</f>
        <v/>
      </c>
      <c r="Y2180">
        <f>IF(ISNUMBER(Q2180),1,0)</f>
        <v/>
      </c>
      <c r="Z2180">
        <f>IF(AND(K2180=0,L2180=0,Y2180=0),1,0)</f>
        <v/>
      </c>
      <c r="AA2180">
        <f>IF(AND(Z2180=1,G2180&lt;Assumptions!$C$6),1,0)</f>
        <v/>
      </c>
      <c r="AB2180">
        <f>IF(U2180=0,"",IF(Y2180=1,MAX(0,Q2180-G2180),IF(L2180=1,MAX(0,R2180-G2180),MAX(0,Assumptions!$C$6-G2180))))</f>
        <v/>
      </c>
      <c r="AC2180">
        <f>IF(Y2180=1,Q2180-F2180,"")</f>
        <v/>
      </c>
      <c r="AD2180">
        <f>IF(Y2180=1,AC2180^2,"")</f>
        <v/>
      </c>
      <c r="AE2180" s="19">
        <f>IF(Z2180=1,(H2180-M2180)*I2180,0)</f>
        <v/>
      </c>
      <c r="AF2180">
        <f>IF(G2180&lt;EDATE(Assumptions!$C$6,-12)+1,"prior_12m","last_12m")</f>
        <v/>
      </c>
      <c r="AG2180" s="21">
        <f>DATE(YEAR(G2180),MONTH(G2180),1)</f>
        <v/>
      </c>
    </row>
    <row r="2181">
      <c r="A2181" t="inlineStr">
        <is>
          <t>SPO-01182-1</t>
        </is>
      </c>
      <c r="B2181" t="inlineStr">
        <is>
          <t>SPO-01182</t>
        </is>
      </c>
      <c r="C2181" t="inlineStr">
        <is>
          <t>SUP-01</t>
        </is>
      </c>
      <c r="D2181" t="inlineStr">
        <is>
          <t>ELEC</t>
        </is>
      </c>
      <c r="E2181" t="inlineStr">
        <is>
          <t>ELEC-08</t>
        </is>
      </c>
      <c r="F2181" s="17" t="n">
        <v>45897</v>
      </c>
      <c r="G2181" s="17" t="n">
        <v>45915</v>
      </c>
      <c r="H2181" s="18" t="n">
        <v>96</v>
      </c>
      <c r="I2181" s="19" t="n">
        <v>18.12</v>
      </c>
      <c r="J2181" s="19" t="n">
        <v>18</v>
      </c>
      <c r="K2181" s="20" t="n">
        <v>0</v>
      </c>
      <c r="L2181" s="20" t="n">
        <v>0</v>
      </c>
      <c r="M2181" s="18" t="n">
        <v>96</v>
      </c>
      <c r="N2181" s="18" t="n">
        <v>96</v>
      </c>
      <c r="O2181" s="18" t="n">
        <v>0</v>
      </c>
      <c r="P2181" s="17" t="n">
        <v>45910</v>
      </c>
      <c r="Q2181" s="17" t="n">
        <v>45910</v>
      </c>
      <c r="R2181" s="17" t="n">
        <v>45910</v>
      </c>
      <c r="S2181" s="19">
        <f>H2181*I2181</f>
        <v/>
      </c>
      <c r="T2181" s="19">
        <f>H2181*J2181</f>
        <v/>
      </c>
      <c r="U2181">
        <f>IF(AND(K2181=0,G2181&lt;=Assumptions!$C$6),1,0)</f>
        <v/>
      </c>
      <c r="V2181">
        <f>IF(U2181=1,IF(M2181&gt;0,IF(P2181&lt;=G2181+Assumptions!$C$7,1,0),0),0)</f>
        <v/>
      </c>
      <c r="W2181">
        <f>IF(AND(U2181=1,M2181&gt;=H2181*(1-Assumptions!$C$8)),1,0)</f>
        <v/>
      </c>
      <c r="X2181">
        <f>IF(AND(U2181=1,N2181&gt;=H2181*(1-Assumptions!$C$8)),1,0)</f>
        <v/>
      </c>
      <c r="Y2181">
        <f>IF(ISNUMBER(Q2181),1,0)</f>
        <v/>
      </c>
      <c r="Z2181">
        <f>IF(AND(K2181=0,L2181=0,Y2181=0),1,0)</f>
        <v/>
      </c>
      <c r="AA2181">
        <f>IF(AND(Z2181=1,G2181&lt;Assumptions!$C$6),1,0)</f>
        <v/>
      </c>
      <c r="AB2181">
        <f>IF(U2181=0,"",IF(Y2181=1,MAX(0,Q2181-G2181),IF(L2181=1,MAX(0,R2181-G2181),MAX(0,Assumptions!$C$6-G2181))))</f>
        <v/>
      </c>
      <c r="AC2181">
        <f>IF(Y2181=1,Q2181-F2181,"")</f>
        <v/>
      </c>
      <c r="AD2181">
        <f>IF(Y2181=1,AC2181^2,"")</f>
        <v/>
      </c>
      <c r="AE2181" s="19">
        <f>IF(Z2181=1,(H2181-M2181)*I2181,0)</f>
        <v/>
      </c>
      <c r="AF2181">
        <f>IF(G2181&lt;EDATE(Assumptions!$C$6,-12)+1,"prior_12m","last_12m")</f>
        <v/>
      </c>
      <c r="AG2181" s="21">
        <f>DATE(YEAR(G2181),MONTH(G2181),1)</f>
        <v/>
      </c>
    </row>
    <row r="2182">
      <c r="A2182" t="inlineStr">
        <is>
          <t>SPO-01183-1</t>
        </is>
      </c>
      <c r="B2182" t="inlineStr">
        <is>
          <t>SPO-01183</t>
        </is>
      </c>
      <c r="C2182" t="inlineStr">
        <is>
          <t>SUP-02</t>
        </is>
      </c>
      <c r="D2182" t="inlineStr">
        <is>
          <t>ELEC</t>
        </is>
      </c>
      <c r="E2182" t="inlineStr">
        <is>
          <t>ELEC-07</t>
        </is>
      </c>
      <c r="F2182" s="17" t="n">
        <v>45897</v>
      </c>
      <c r="G2182" s="17" t="n">
        <v>45913</v>
      </c>
      <c r="H2182" s="18" t="n">
        <v>349</v>
      </c>
      <c r="I2182" s="19" t="n">
        <v>10.06</v>
      </c>
      <c r="J2182" s="19" t="n">
        <v>9.800000000000001</v>
      </c>
      <c r="K2182" s="20" t="n">
        <v>0</v>
      </c>
      <c r="L2182" s="20" t="n">
        <v>0</v>
      </c>
      <c r="M2182" s="18" t="n">
        <v>349</v>
      </c>
      <c r="N2182" s="18" t="n">
        <v>349</v>
      </c>
      <c r="O2182" s="18" t="n">
        <v>0</v>
      </c>
      <c r="P2182" s="17" t="n">
        <v>45909</v>
      </c>
      <c r="Q2182" s="17" t="n">
        <v>45909</v>
      </c>
      <c r="R2182" s="17" t="n">
        <v>45909</v>
      </c>
      <c r="S2182" s="19">
        <f>H2182*I2182</f>
        <v/>
      </c>
      <c r="T2182" s="19">
        <f>H2182*J2182</f>
        <v/>
      </c>
      <c r="U2182">
        <f>IF(AND(K2182=0,G2182&lt;=Assumptions!$C$6),1,0)</f>
        <v/>
      </c>
      <c r="V2182">
        <f>IF(U2182=1,IF(M2182&gt;0,IF(P2182&lt;=G2182+Assumptions!$C$7,1,0),0),0)</f>
        <v/>
      </c>
      <c r="W2182">
        <f>IF(AND(U2182=1,M2182&gt;=H2182*(1-Assumptions!$C$8)),1,0)</f>
        <v/>
      </c>
      <c r="X2182">
        <f>IF(AND(U2182=1,N2182&gt;=H2182*(1-Assumptions!$C$8)),1,0)</f>
        <v/>
      </c>
      <c r="Y2182">
        <f>IF(ISNUMBER(Q2182),1,0)</f>
        <v/>
      </c>
      <c r="Z2182">
        <f>IF(AND(K2182=0,L2182=0,Y2182=0),1,0)</f>
        <v/>
      </c>
      <c r="AA2182">
        <f>IF(AND(Z2182=1,G2182&lt;Assumptions!$C$6),1,0)</f>
        <v/>
      </c>
      <c r="AB2182">
        <f>IF(U2182=0,"",IF(Y2182=1,MAX(0,Q2182-G2182),IF(L2182=1,MAX(0,R2182-G2182),MAX(0,Assumptions!$C$6-G2182))))</f>
        <v/>
      </c>
      <c r="AC2182">
        <f>IF(Y2182=1,Q2182-F2182,"")</f>
        <v/>
      </c>
      <c r="AD2182">
        <f>IF(Y2182=1,AC2182^2,"")</f>
        <v/>
      </c>
      <c r="AE2182" s="19">
        <f>IF(Z2182=1,(H2182-M2182)*I2182,0)</f>
        <v/>
      </c>
      <c r="AF2182">
        <f>IF(G2182&lt;EDATE(Assumptions!$C$6,-12)+1,"prior_12m","last_12m")</f>
        <v/>
      </c>
      <c r="AG2182" s="21">
        <f>DATE(YEAR(G2182),MONTH(G2182),1)</f>
        <v/>
      </c>
    </row>
    <row r="2183">
      <c r="A2183" t="inlineStr">
        <is>
          <t>SPO-01183-2</t>
        </is>
      </c>
      <c r="B2183" t="inlineStr">
        <is>
          <t>SPO-01183</t>
        </is>
      </c>
      <c r="C2183" t="inlineStr">
        <is>
          <t>SUP-02</t>
        </is>
      </c>
      <c r="D2183" t="inlineStr">
        <is>
          <t>ELEC</t>
        </is>
      </c>
      <c r="E2183" t="inlineStr">
        <is>
          <t>ELEC-04</t>
        </is>
      </c>
      <c r="F2183" s="17" t="n">
        <v>45897</v>
      </c>
      <c r="G2183" s="17" t="n">
        <v>45913</v>
      </c>
      <c r="H2183" s="18" t="n">
        <v>25</v>
      </c>
      <c r="I2183" s="19" t="n">
        <v>72.48</v>
      </c>
      <c r="J2183" s="19" t="n">
        <v>72</v>
      </c>
      <c r="K2183" s="20" t="n">
        <v>0</v>
      </c>
      <c r="L2183" s="20" t="n">
        <v>0</v>
      </c>
      <c r="M2183" s="18" t="n">
        <v>25</v>
      </c>
      <c r="N2183" s="18" t="n">
        <v>25</v>
      </c>
      <c r="O2183" s="18" t="n">
        <v>0</v>
      </c>
      <c r="P2183" s="17" t="n">
        <v>45910</v>
      </c>
      <c r="Q2183" s="17" t="n">
        <v>45910</v>
      </c>
      <c r="R2183" s="17" t="n">
        <v>45910</v>
      </c>
      <c r="S2183" s="19">
        <f>H2183*I2183</f>
        <v/>
      </c>
      <c r="T2183" s="19">
        <f>H2183*J2183</f>
        <v/>
      </c>
      <c r="U2183">
        <f>IF(AND(K2183=0,G2183&lt;=Assumptions!$C$6),1,0)</f>
        <v/>
      </c>
      <c r="V2183">
        <f>IF(U2183=1,IF(M2183&gt;0,IF(P2183&lt;=G2183+Assumptions!$C$7,1,0),0),0)</f>
        <v/>
      </c>
      <c r="W2183">
        <f>IF(AND(U2183=1,M2183&gt;=H2183*(1-Assumptions!$C$8)),1,0)</f>
        <v/>
      </c>
      <c r="X2183">
        <f>IF(AND(U2183=1,N2183&gt;=H2183*(1-Assumptions!$C$8)),1,0)</f>
        <v/>
      </c>
      <c r="Y2183">
        <f>IF(ISNUMBER(Q2183),1,0)</f>
        <v/>
      </c>
      <c r="Z2183">
        <f>IF(AND(K2183=0,L2183=0,Y2183=0),1,0)</f>
        <v/>
      </c>
      <c r="AA2183">
        <f>IF(AND(Z2183=1,G2183&lt;Assumptions!$C$6),1,0)</f>
        <v/>
      </c>
      <c r="AB2183">
        <f>IF(U2183=0,"",IF(Y2183=1,MAX(0,Q2183-G2183),IF(L2183=1,MAX(0,R2183-G2183),MAX(0,Assumptions!$C$6-G2183))))</f>
        <v/>
      </c>
      <c r="AC2183">
        <f>IF(Y2183=1,Q2183-F2183,"")</f>
        <v/>
      </c>
      <c r="AD2183">
        <f>IF(Y2183=1,AC2183^2,"")</f>
        <v/>
      </c>
      <c r="AE2183" s="19">
        <f>IF(Z2183=1,(H2183-M2183)*I2183,0)</f>
        <v/>
      </c>
      <c r="AF2183">
        <f>IF(G2183&lt;EDATE(Assumptions!$C$6,-12)+1,"prior_12m","last_12m")</f>
        <v/>
      </c>
      <c r="AG2183" s="21">
        <f>DATE(YEAR(G2183),MONTH(G2183),1)</f>
        <v/>
      </c>
    </row>
    <row r="2184">
      <c r="A2184" t="inlineStr">
        <is>
          <t>SPO-01184-1</t>
        </is>
      </c>
      <c r="B2184" t="inlineStr">
        <is>
          <t>SPO-01184</t>
        </is>
      </c>
      <c r="C2184" t="inlineStr">
        <is>
          <t>SUP-01</t>
        </is>
      </c>
      <c r="D2184" t="inlineStr">
        <is>
          <t>ELEC</t>
        </is>
      </c>
      <c r="E2184" t="inlineStr">
        <is>
          <t>ELEC-05</t>
        </is>
      </c>
      <c r="F2184" s="17" t="n">
        <v>45897</v>
      </c>
      <c r="G2184" s="17" t="n">
        <v>45915</v>
      </c>
      <c r="H2184" s="18" t="n">
        <v>347</v>
      </c>
      <c r="I2184" s="19" t="n">
        <v>11.63</v>
      </c>
      <c r="J2184" s="19" t="n">
        <v>11.5</v>
      </c>
      <c r="K2184" s="20" t="n">
        <v>0</v>
      </c>
      <c r="L2184" s="20" t="n">
        <v>0</v>
      </c>
      <c r="M2184" s="18" t="n">
        <v>347</v>
      </c>
      <c r="N2184" s="18" t="n">
        <v>347</v>
      </c>
      <c r="O2184" s="18" t="n">
        <v>0</v>
      </c>
      <c r="P2184" s="17" t="n">
        <v>45908</v>
      </c>
      <c r="Q2184" s="17" t="n">
        <v>45908</v>
      </c>
      <c r="R2184" s="17" t="n">
        <v>45908</v>
      </c>
      <c r="S2184" s="19">
        <f>H2184*I2184</f>
        <v/>
      </c>
      <c r="T2184" s="19">
        <f>H2184*J2184</f>
        <v/>
      </c>
      <c r="U2184">
        <f>IF(AND(K2184=0,G2184&lt;=Assumptions!$C$6),1,0)</f>
        <v/>
      </c>
      <c r="V2184">
        <f>IF(U2184=1,IF(M2184&gt;0,IF(P2184&lt;=G2184+Assumptions!$C$7,1,0),0),0)</f>
        <v/>
      </c>
      <c r="W2184">
        <f>IF(AND(U2184=1,M2184&gt;=H2184*(1-Assumptions!$C$8)),1,0)</f>
        <v/>
      </c>
      <c r="X2184">
        <f>IF(AND(U2184=1,N2184&gt;=H2184*(1-Assumptions!$C$8)),1,0)</f>
        <v/>
      </c>
      <c r="Y2184">
        <f>IF(ISNUMBER(Q2184),1,0)</f>
        <v/>
      </c>
      <c r="Z2184">
        <f>IF(AND(K2184=0,L2184=0,Y2184=0),1,0)</f>
        <v/>
      </c>
      <c r="AA2184">
        <f>IF(AND(Z2184=1,G2184&lt;Assumptions!$C$6),1,0)</f>
        <v/>
      </c>
      <c r="AB2184">
        <f>IF(U2184=0,"",IF(Y2184=1,MAX(0,Q2184-G2184),IF(L2184=1,MAX(0,R2184-G2184),MAX(0,Assumptions!$C$6-G2184))))</f>
        <v/>
      </c>
      <c r="AC2184">
        <f>IF(Y2184=1,Q2184-F2184,"")</f>
        <v/>
      </c>
      <c r="AD2184">
        <f>IF(Y2184=1,AC2184^2,"")</f>
        <v/>
      </c>
      <c r="AE2184" s="19">
        <f>IF(Z2184=1,(H2184-M2184)*I2184,0)</f>
        <v/>
      </c>
      <c r="AF2184">
        <f>IF(G2184&lt;EDATE(Assumptions!$C$6,-12)+1,"prior_12m","last_12m")</f>
        <v/>
      </c>
      <c r="AG2184" s="21">
        <f>DATE(YEAR(G2184),MONTH(G2184),1)</f>
        <v/>
      </c>
    </row>
    <row r="2185">
      <c r="A2185" t="inlineStr">
        <is>
          <t>SPO-01184-2</t>
        </is>
      </c>
      <c r="B2185" t="inlineStr">
        <is>
          <t>SPO-01184</t>
        </is>
      </c>
      <c r="C2185" t="inlineStr">
        <is>
          <t>SUP-01</t>
        </is>
      </c>
      <c r="D2185" t="inlineStr">
        <is>
          <t>ELEC</t>
        </is>
      </c>
      <c r="E2185" t="inlineStr">
        <is>
          <t>ELEC-08</t>
        </is>
      </c>
      <c r="F2185" s="17" t="n">
        <v>45897</v>
      </c>
      <c r="G2185" s="17" t="n">
        <v>45915</v>
      </c>
      <c r="H2185" s="18" t="n">
        <v>176</v>
      </c>
      <c r="I2185" s="19" t="n">
        <v>18.71</v>
      </c>
      <c r="J2185" s="19" t="n">
        <v>18</v>
      </c>
      <c r="K2185" s="20" t="n">
        <v>0</v>
      </c>
      <c r="L2185" s="20" t="n">
        <v>0</v>
      </c>
      <c r="M2185" s="18" t="n">
        <v>176</v>
      </c>
      <c r="N2185" s="18" t="n">
        <v>176</v>
      </c>
      <c r="O2185" s="18" t="n">
        <v>0</v>
      </c>
      <c r="P2185" s="17" t="n">
        <v>45909</v>
      </c>
      <c r="Q2185" s="17" t="n">
        <v>45909</v>
      </c>
      <c r="R2185" s="17" t="n">
        <v>45909</v>
      </c>
      <c r="S2185" s="19">
        <f>H2185*I2185</f>
        <v/>
      </c>
      <c r="T2185" s="19">
        <f>H2185*J2185</f>
        <v/>
      </c>
      <c r="U2185">
        <f>IF(AND(K2185=0,G2185&lt;=Assumptions!$C$6),1,0)</f>
        <v/>
      </c>
      <c r="V2185">
        <f>IF(U2185=1,IF(M2185&gt;0,IF(P2185&lt;=G2185+Assumptions!$C$7,1,0),0),0)</f>
        <v/>
      </c>
      <c r="W2185">
        <f>IF(AND(U2185=1,M2185&gt;=H2185*(1-Assumptions!$C$8)),1,0)</f>
        <v/>
      </c>
      <c r="X2185">
        <f>IF(AND(U2185=1,N2185&gt;=H2185*(1-Assumptions!$C$8)),1,0)</f>
        <v/>
      </c>
      <c r="Y2185">
        <f>IF(ISNUMBER(Q2185),1,0)</f>
        <v/>
      </c>
      <c r="Z2185">
        <f>IF(AND(K2185=0,L2185=0,Y2185=0),1,0)</f>
        <v/>
      </c>
      <c r="AA2185">
        <f>IF(AND(Z2185=1,G2185&lt;Assumptions!$C$6),1,0)</f>
        <v/>
      </c>
      <c r="AB2185">
        <f>IF(U2185=0,"",IF(Y2185=1,MAX(0,Q2185-G2185),IF(L2185=1,MAX(0,R2185-G2185),MAX(0,Assumptions!$C$6-G2185))))</f>
        <v/>
      </c>
      <c r="AC2185">
        <f>IF(Y2185=1,Q2185-F2185,"")</f>
        <v/>
      </c>
      <c r="AD2185">
        <f>IF(Y2185=1,AC2185^2,"")</f>
        <v/>
      </c>
      <c r="AE2185" s="19">
        <f>IF(Z2185=1,(H2185-M2185)*I2185,0)</f>
        <v/>
      </c>
      <c r="AF2185">
        <f>IF(G2185&lt;EDATE(Assumptions!$C$6,-12)+1,"prior_12m","last_12m")</f>
        <v/>
      </c>
      <c r="AG2185" s="21">
        <f>DATE(YEAR(G2185),MONTH(G2185),1)</f>
        <v/>
      </c>
    </row>
    <row r="2186">
      <c r="A2186" t="inlineStr">
        <is>
          <t>SPO-01185-1</t>
        </is>
      </c>
      <c r="B2186" t="inlineStr">
        <is>
          <t>SPO-01185</t>
        </is>
      </c>
      <c r="C2186" t="inlineStr">
        <is>
          <t>SUP-06</t>
        </is>
      </c>
      <c r="D2186" t="inlineStr">
        <is>
          <t>MRO</t>
        </is>
      </c>
      <c r="E2186" t="inlineStr">
        <is>
          <t>MRO-07</t>
        </is>
      </c>
      <c r="F2186" s="17" t="n">
        <v>45897</v>
      </c>
      <c r="G2186" s="17" t="n">
        <v>45905</v>
      </c>
      <c r="H2186" s="18" t="n">
        <v>206</v>
      </c>
      <c r="I2186" s="19" t="n">
        <v>14.77</v>
      </c>
      <c r="J2186" s="19" t="n">
        <v>14</v>
      </c>
      <c r="K2186" s="20" t="n">
        <v>0</v>
      </c>
      <c r="L2186" s="20" t="n">
        <v>0</v>
      </c>
      <c r="M2186" s="18" t="n">
        <v>206</v>
      </c>
      <c r="N2186" s="18" t="n">
        <v>206</v>
      </c>
      <c r="O2186" s="18" t="n">
        <v>0</v>
      </c>
      <c r="P2186" s="17" t="n">
        <v>45903</v>
      </c>
      <c r="Q2186" s="17" t="n">
        <v>45903</v>
      </c>
      <c r="R2186" s="17" t="n">
        <v>45903</v>
      </c>
      <c r="S2186" s="19">
        <f>H2186*I2186</f>
        <v/>
      </c>
      <c r="T2186" s="19">
        <f>H2186*J2186</f>
        <v/>
      </c>
      <c r="U2186">
        <f>IF(AND(K2186=0,G2186&lt;=Assumptions!$C$6),1,0)</f>
        <v/>
      </c>
      <c r="V2186">
        <f>IF(U2186=1,IF(M2186&gt;0,IF(P2186&lt;=G2186+Assumptions!$C$7,1,0),0),0)</f>
        <v/>
      </c>
      <c r="W2186">
        <f>IF(AND(U2186=1,M2186&gt;=H2186*(1-Assumptions!$C$8)),1,0)</f>
        <v/>
      </c>
      <c r="X2186">
        <f>IF(AND(U2186=1,N2186&gt;=H2186*(1-Assumptions!$C$8)),1,0)</f>
        <v/>
      </c>
      <c r="Y2186">
        <f>IF(ISNUMBER(Q2186),1,0)</f>
        <v/>
      </c>
      <c r="Z2186">
        <f>IF(AND(K2186=0,L2186=0,Y2186=0),1,0)</f>
        <v/>
      </c>
      <c r="AA2186">
        <f>IF(AND(Z2186=1,G2186&lt;Assumptions!$C$6),1,0)</f>
        <v/>
      </c>
      <c r="AB2186">
        <f>IF(U2186=0,"",IF(Y2186=1,MAX(0,Q2186-G2186),IF(L2186=1,MAX(0,R2186-G2186),MAX(0,Assumptions!$C$6-G2186))))</f>
        <v/>
      </c>
      <c r="AC2186">
        <f>IF(Y2186=1,Q2186-F2186,"")</f>
        <v/>
      </c>
      <c r="AD2186">
        <f>IF(Y2186=1,AC2186^2,"")</f>
        <v/>
      </c>
      <c r="AE2186" s="19">
        <f>IF(Z2186=1,(H2186-M2186)*I2186,0)</f>
        <v/>
      </c>
      <c r="AF2186">
        <f>IF(G2186&lt;EDATE(Assumptions!$C$6,-12)+1,"prior_12m","last_12m")</f>
        <v/>
      </c>
      <c r="AG2186" s="21">
        <f>DATE(YEAR(G2186),MONTH(G2186),1)</f>
        <v/>
      </c>
    </row>
    <row r="2187">
      <c r="A2187" t="inlineStr">
        <is>
          <t>SPO-01185-2</t>
        </is>
      </c>
      <c r="B2187" t="inlineStr">
        <is>
          <t>SPO-01185</t>
        </is>
      </c>
      <c r="C2187" t="inlineStr">
        <is>
          <t>SUP-06</t>
        </is>
      </c>
      <c r="D2187" t="inlineStr">
        <is>
          <t>MRO</t>
        </is>
      </c>
      <c r="E2187" t="inlineStr">
        <is>
          <t>MRO-08</t>
        </is>
      </c>
      <c r="F2187" s="17" t="n">
        <v>45897</v>
      </c>
      <c r="G2187" s="17" t="n">
        <v>45905</v>
      </c>
      <c r="H2187" s="18" t="n">
        <v>175</v>
      </c>
      <c r="I2187" s="19" t="n">
        <v>7.28</v>
      </c>
      <c r="J2187" s="19" t="n">
        <v>7.2</v>
      </c>
      <c r="K2187" s="20" t="n">
        <v>0</v>
      </c>
      <c r="L2187" s="20" t="n">
        <v>0</v>
      </c>
      <c r="M2187" s="18" t="n">
        <v>175</v>
      </c>
      <c r="N2187" s="18" t="n">
        <v>175</v>
      </c>
      <c r="O2187" s="18" t="n">
        <v>0</v>
      </c>
      <c r="P2187" s="17" t="n">
        <v>45903</v>
      </c>
      <c r="Q2187" s="17" t="n">
        <v>45903</v>
      </c>
      <c r="R2187" s="17" t="n">
        <v>45903</v>
      </c>
      <c r="S2187" s="19">
        <f>H2187*I2187</f>
        <v/>
      </c>
      <c r="T2187" s="19">
        <f>H2187*J2187</f>
        <v/>
      </c>
      <c r="U2187">
        <f>IF(AND(K2187=0,G2187&lt;=Assumptions!$C$6),1,0)</f>
        <v/>
      </c>
      <c r="V2187">
        <f>IF(U2187=1,IF(M2187&gt;0,IF(P2187&lt;=G2187+Assumptions!$C$7,1,0),0),0)</f>
        <v/>
      </c>
      <c r="W2187">
        <f>IF(AND(U2187=1,M2187&gt;=H2187*(1-Assumptions!$C$8)),1,0)</f>
        <v/>
      </c>
      <c r="X2187">
        <f>IF(AND(U2187=1,N2187&gt;=H2187*(1-Assumptions!$C$8)),1,0)</f>
        <v/>
      </c>
      <c r="Y2187">
        <f>IF(ISNUMBER(Q2187),1,0)</f>
        <v/>
      </c>
      <c r="Z2187">
        <f>IF(AND(K2187=0,L2187=0,Y2187=0),1,0)</f>
        <v/>
      </c>
      <c r="AA2187">
        <f>IF(AND(Z2187=1,G2187&lt;Assumptions!$C$6),1,0)</f>
        <v/>
      </c>
      <c r="AB2187">
        <f>IF(U2187=0,"",IF(Y2187=1,MAX(0,Q2187-G2187),IF(L2187=1,MAX(0,R2187-G2187),MAX(0,Assumptions!$C$6-G2187))))</f>
        <v/>
      </c>
      <c r="AC2187">
        <f>IF(Y2187=1,Q2187-F2187,"")</f>
        <v/>
      </c>
      <c r="AD2187">
        <f>IF(Y2187=1,AC2187^2,"")</f>
        <v/>
      </c>
      <c r="AE2187" s="19">
        <f>IF(Z2187=1,(H2187-M2187)*I2187,0)</f>
        <v/>
      </c>
      <c r="AF2187">
        <f>IF(G2187&lt;EDATE(Assumptions!$C$6,-12)+1,"prior_12m","last_12m")</f>
        <v/>
      </c>
      <c r="AG2187" s="21">
        <f>DATE(YEAR(G2187),MONTH(G2187),1)</f>
        <v/>
      </c>
    </row>
    <row r="2188">
      <c r="A2188" t="inlineStr">
        <is>
          <t>SPO-01186-1</t>
        </is>
      </c>
      <c r="B2188" t="inlineStr">
        <is>
          <t>SPO-01186</t>
        </is>
      </c>
      <c r="C2188" t="inlineStr">
        <is>
          <t>SUP-05</t>
        </is>
      </c>
      <c r="D2188" t="inlineStr">
        <is>
          <t>FLEET</t>
        </is>
      </c>
      <c r="E2188" t="inlineStr">
        <is>
          <t>FLEET-07</t>
        </is>
      </c>
      <c r="F2188" s="17" t="n">
        <v>45898</v>
      </c>
      <c r="G2188" s="17" t="n">
        <v>45912</v>
      </c>
      <c r="H2188" s="18" t="n">
        <v>16</v>
      </c>
      <c r="I2188" s="19" t="n">
        <v>118.66</v>
      </c>
      <c r="J2188" s="19" t="n">
        <v>118</v>
      </c>
      <c r="K2188" s="20" t="n">
        <v>0</v>
      </c>
      <c r="L2188" s="20" t="n">
        <v>0</v>
      </c>
      <c r="M2188" s="18" t="n">
        <v>16</v>
      </c>
      <c r="N2188" s="18" t="n">
        <v>16</v>
      </c>
      <c r="O2188" s="18" t="n">
        <v>0</v>
      </c>
      <c r="P2188" s="17" t="n">
        <v>45909</v>
      </c>
      <c r="Q2188" s="17" t="n">
        <v>45909</v>
      </c>
      <c r="R2188" s="17" t="n">
        <v>45909</v>
      </c>
      <c r="S2188" s="19">
        <f>H2188*I2188</f>
        <v/>
      </c>
      <c r="T2188" s="19">
        <f>H2188*J2188</f>
        <v/>
      </c>
      <c r="U2188">
        <f>IF(AND(K2188=0,G2188&lt;=Assumptions!$C$6),1,0)</f>
        <v/>
      </c>
      <c r="V2188">
        <f>IF(U2188=1,IF(M2188&gt;0,IF(P2188&lt;=G2188+Assumptions!$C$7,1,0),0),0)</f>
        <v/>
      </c>
      <c r="W2188">
        <f>IF(AND(U2188=1,M2188&gt;=H2188*(1-Assumptions!$C$8)),1,0)</f>
        <v/>
      </c>
      <c r="X2188">
        <f>IF(AND(U2188=1,N2188&gt;=H2188*(1-Assumptions!$C$8)),1,0)</f>
        <v/>
      </c>
      <c r="Y2188">
        <f>IF(ISNUMBER(Q2188),1,0)</f>
        <v/>
      </c>
      <c r="Z2188">
        <f>IF(AND(K2188=0,L2188=0,Y2188=0),1,0)</f>
        <v/>
      </c>
      <c r="AA2188">
        <f>IF(AND(Z2188=1,G2188&lt;Assumptions!$C$6),1,0)</f>
        <v/>
      </c>
      <c r="AB2188">
        <f>IF(U2188=0,"",IF(Y2188=1,MAX(0,Q2188-G2188),IF(L2188=1,MAX(0,R2188-G2188),MAX(0,Assumptions!$C$6-G2188))))</f>
        <v/>
      </c>
      <c r="AC2188">
        <f>IF(Y2188=1,Q2188-F2188,"")</f>
        <v/>
      </c>
      <c r="AD2188">
        <f>IF(Y2188=1,AC2188^2,"")</f>
        <v/>
      </c>
      <c r="AE2188" s="19">
        <f>IF(Z2188=1,(H2188-M2188)*I2188,0)</f>
        <v/>
      </c>
      <c r="AF2188">
        <f>IF(G2188&lt;EDATE(Assumptions!$C$6,-12)+1,"prior_12m","last_12m")</f>
        <v/>
      </c>
      <c r="AG2188" s="21">
        <f>DATE(YEAR(G2188),MONTH(G2188),1)</f>
        <v/>
      </c>
    </row>
    <row r="2189">
      <c r="A2189" t="inlineStr">
        <is>
          <t>SPO-01186-2</t>
        </is>
      </c>
      <c r="B2189" t="inlineStr">
        <is>
          <t>SPO-01186</t>
        </is>
      </c>
      <c r="C2189" t="inlineStr">
        <is>
          <t>SUP-05</t>
        </is>
      </c>
      <c r="D2189" t="inlineStr">
        <is>
          <t>FLEET</t>
        </is>
      </c>
      <c r="E2189" t="inlineStr">
        <is>
          <t>FLEET-06</t>
        </is>
      </c>
      <c r="F2189" s="17" t="n">
        <v>45898</v>
      </c>
      <c r="G2189" s="17" t="n">
        <v>45912</v>
      </c>
      <c r="H2189" s="18" t="n">
        <v>69</v>
      </c>
      <c r="I2189" s="19" t="n">
        <v>32.59</v>
      </c>
      <c r="J2189" s="19" t="n">
        <v>33</v>
      </c>
      <c r="K2189" s="20" t="n">
        <v>0</v>
      </c>
      <c r="L2189" s="20" t="n">
        <v>0</v>
      </c>
      <c r="M2189" s="18" t="n">
        <v>69</v>
      </c>
      <c r="N2189" s="18" t="n">
        <v>69</v>
      </c>
      <c r="O2189" s="18" t="n">
        <v>0</v>
      </c>
      <c r="P2189" s="17" t="n">
        <v>45910</v>
      </c>
      <c r="Q2189" s="17" t="n">
        <v>45910</v>
      </c>
      <c r="R2189" s="17" t="n">
        <v>45910</v>
      </c>
      <c r="S2189" s="19">
        <f>H2189*I2189</f>
        <v/>
      </c>
      <c r="T2189" s="19">
        <f>H2189*J2189</f>
        <v/>
      </c>
      <c r="U2189">
        <f>IF(AND(K2189=0,G2189&lt;=Assumptions!$C$6),1,0)</f>
        <v/>
      </c>
      <c r="V2189">
        <f>IF(U2189=1,IF(M2189&gt;0,IF(P2189&lt;=G2189+Assumptions!$C$7,1,0),0),0)</f>
        <v/>
      </c>
      <c r="W2189">
        <f>IF(AND(U2189=1,M2189&gt;=H2189*(1-Assumptions!$C$8)),1,0)</f>
        <v/>
      </c>
      <c r="X2189">
        <f>IF(AND(U2189=1,N2189&gt;=H2189*(1-Assumptions!$C$8)),1,0)</f>
        <v/>
      </c>
      <c r="Y2189">
        <f>IF(ISNUMBER(Q2189),1,0)</f>
        <v/>
      </c>
      <c r="Z2189">
        <f>IF(AND(K2189=0,L2189=0,Y2189=0),1,0)</f>
        <v/>
      </c>
      <c r="AA2189">
        <f>IF(AND(Z2189=1,G2189&lt;Assumptions!$C$6),1,0)</f>
        <v/>
      </c>
      <c r="AB2189">
        <f>IF(U2189=0,"",IF(Y2189=1,MAX(0,Q2189-G2189),IF(L2189=1,MAX(0,R2189-G2189),MAX(0,Assumptions!$C$6-G2189))))</f>
        <v/>
      </c>
      <c r="AC2189">
        <f>IF(Y2189=1,Q2189-F2189,"")</f>
        <v/>
      </c>
      <c r="AD2189">
        <f>IF(Y2189=1,AC2189^2,"")</f>
        <v/>
      </c>
      <c r="AE2189" s="19">
        <f>IF(Z2189=1,(H2189-M2189)*I2189,0)</f>
        <v/>
      </c>
      <c r="AF2189">
        <f>IF(G2189&lt;EDATE(Assumptions!$C$6,-12)+1,"prior_12m","last_12m")</f>
        <v/>
      </c>
      <c r="AG2189" s="21">
        <f>DATE(YEAR(G2189),MONTH(G2189),1)</f>
        <v/>
      </c>
    </row>
    <row r="2190">
      <c r="A2190" t="inlineStr">
        <is>
          <t>SPO-01186-3</t>
        </is>
      </c>
      <c r="B2190" t="inlineStr">
        <is>
          <t>SPO-01186</t>
        </is>
      </c>
      <c r="C2190" t="inlineStr">
        <is>
          <t>SUP-05</t>
        </is>
      </c>
      <c r="D2190" t="inlineStr">
        <is>
          <t>FLEET</t>
        </is>
      </c>
      <c r="E2190" t="inlineStr">
        <is>
          <t>FLEET-04</t>
        </is>
      </c>
      <c r="F2190" s="17" t="n">
        <v>45898</v>
      </c>
      <c r="G2190" s="17" t="n">
        <v>45912</v>
      </c>
      <c r="H2190" s="18" t="n">
        <v>165</v>
      </c>
      <c r="I2190" s="19" t="n">
        <v>9.35</v>
      </c>
      <c r="J2190" s="19" t="n">
        <v>9</v>
      </c>
      <c r="K2190" s="20" t="n">
        <v>0</v>
      </c>
      <c r="L2190" s="20" t="n">
        <v>0</v>
      </c>
      <c r="M2190" s="18" t="n">
        <v>165</v>
      </c>
      <c r="N2190" s="18" t="n">
        <v>165</v>
      </c>
      <c r="O2190" s="18" t="n">
        <v>0</v>
      </c>
      <c r="P2190" s="17" t="n">
        <v>45909</v>
      </c>
      <c r="Q2190" s="17" t="n">
        <v>45909</v>
      </c>
      <c r="R2190" s="17" t="n">
        <v>45909</v>
      </c>
      <c r="S2190" s="19">
        <f>H2190*I2190</f>
        <v/>
      </c>
      <c r="T2190" s="19">
        <f>H2190*J2190</f>
        <v/>
      </c>
      <c r="U2190">
        <f>IF(AND(K2190=0,G2190&lt;=Assumptions!$C$6),1,0)</f>
        <v/>
      </c>
      <c r="V2190">
        <f>IF(U2190=1,IF(M2190&gt;0,IF(P2190&lt;=G2190+Assumptions!$C$7,1,0),0),0)</f>
        <v/>
      </c>
      <c r="W2190">
        <f>IF(AND(U2190=1,M2190&gt;=H2190*(1-Assumptions!$C$8)),1,0)</f>
        <v/>
      </c>
      <c r="X2190">
        <f>IF(AND(U2190=1,N2190&gt;=H2190*(1-Assumptions!$C$8)),1,0)</f>
        <v/>
      </c>
      <c r="Y2190">
        <f>IF(ISNUMBER(Q2190),1,0)</f>
        <v/>
      </c>
      <c r="Z2190">
        <f>IF(AND(K2190=0,L2190=0,Y2190=0),1,0)</f>
        <v/>
      </c>
      <c r="AA2190">
        <f>IF(AND(Z2190=1,G2190&lt;Assumptions!$C$6),1,0)</f>
        <v/>
      </c>
      <c r="AB2190">
        <f>IF(U2190=0,"",IF(Y2190=1,MAX(0,Q2190-G2190),IF(L2190=1,MAX(0,R2190-G2190),MAX(0,Assumptions!$C$6-G2190))))</f>
        <v/>
      </c>
      <c r="AC2190">
        <f>IF(Y2190=1,Q2190-F2190,"")</f>
        <v/>
      </c>
      <c r="AD2190">
        <f>IF(Y2190=1,AC2190^2,"")</f>
        <v/>
      </c>
      <c r="AE2190" s="19">
        <f>IF(Z2190=1,(H2190-M2190)*I2190,0)</f>
        <v/>
      </c>
      <c r="AF2190">
        <f>IF(G2190&lt;EDATE(Assumptions!$C$6,-12)+1,"prior_12m","last_12m")</f>
        <v/>
      </c>
      <c r="AG2190" s="21">
        <f>DATE(YEAR(G2190),MONTH(G2190),1)</f>
        <v/>
      </c>
    </row>
    <row r="2191">
      <c r="A2191" t="inlineStr">
        <is>
          <t>SPO-01187-1</t>
        </is>
      </c>
      <c r="B2191" t="inlineStr">
        <is>
          <t>SPO-01187</t>
        </is>
      </c>
      <c r="C2191" t="inlineStr">
        <is>
          <t>SUP-02</t>
        </is>
      </c>
      <c r="D2191" t="inlineStr">
        <is>
          <t>ELEC</t>
        </is>
      </c>
      <c r="E2191" t="inlineStr">
        <is>
          <t>ELEC-05</t>
        </is>
      </c>
      <c r="F2191" s="17" t="n">
        <v>45898</v>
      </c>
      <c r="G2191" s="17" t="n">
        <v>45914</v>
      </c>
      <c r="H2191" s="18" t="n">
        <v>159</v>
      </c>
      <c r="I2191" s="19" t="n">
        <v>11.12</v>
      </c>
      <c r="J2191" s="19" t="n">
        <v>11.5</v>
      </c>
      <c r="K2191" s="20" t="n">
        <v>0</v>
      </c>
      <c r="L2191" s="20" t="n">
        <v>0</v>
      </c>
      <c r="M2191" s="18" t="n">
        <v>159</v>
      </c>
      <c r="N2191" s="18" t="n">
        <v>159</v>
      </c>
      <c r="O2191" s="18" t="n">
        <v>0</v>
      </c>
      <c r="P2191" s="17" t="n">
        <v>45908</v>
      </c>
      <c r="Q2191" s="17" t="n">
        <v>45908</v>
      </c>
      <c r="R2191" s="17" t="n">
        <v>45908</v>
      </c>
      <c r="S2191" s="19">
        <f>H2191*I2191</f>
        <v/>
      </c>
      <c r="T2191" s="19">
        <f>H2191*J2191</f>
        <v/>
      </c>
      <c r="U2191">
        <f>IF(AND(K2191=0,G2191&lt;=Assumptions!$C$6),1,0)</f>
        <v/>
      </c>
      <c r="V2191">
        <f>IF(U2191=1,IF(M2191&gt;0,IF(P2191&lt;=G2191+Assumptions!$C$7,1,0),0),0)</f>
        <v/>
      </c>
      <c r="W2191">
        <f>IF(AND(U2191=1,M2191&gt;=H2191*(1-Assumptions!$C$8)),1,0)</f>
        <v/>
      </c>
      <c r="X2191">
        <f>IF(AND(U2191=1,N2191&gt;=H2191*(1-Assumptions!$C$8)),1,0)</f>
        <v/>
      </c>
      <c r="Y2191">
        <f>IF(ISNUMBER(Q2191),1,0)</f>
        <v/>
      </c>
      <c r="Z2191">
        <f>IF(AND(K2191=0,L2191=0,Y2191=0),1,0)</f>
        <v/>
      </c>
      <c r="AA2191">
        <f>IF(AND(Z2191=1,G2191&lt;Assumptions!$C$6),1,0)</f>
        <v/>
      </c>
      <c r="AB2191">
        <f>IF(U2191=0,"",IF(Y2191=1,MAX(0,Q2191-G2191),IF(L2191=1,MAX(0,R2191-G2191),MAX(0,Assumptions!$C$6-G2191))))</f>
        <v/>
      </c>
      <c r="AC2191">
        <f>IF(Y2191=1,Q2191-F2191,"")</f>
        <v/>
      </c>
      <c r="AD2191">
        <f>IF(Y2191=1,AC2191^2,"")</f>
        <v/>
      </c>
      <c r="AE2191" s="19">
        <f>IF(Z2191=1,(H2191-M2191)*I2191,0)</f>
        <v/>
      </c>
      <c r="AF2191">
        <f>IF(G2191&lt;EDATE(Assumptions!$C$6,-12)+1,"prior_12m","last_12m")</f>
        <v/>
      </c>
      <c r="AG2191" s="21">
        <f>DATE(YEAR(G2191),MONTH(G2191),1)</f>
        <v/>
      </c>
    </row>
    <row r="2192">
      <c r="A2192" t="inlineStr">
        <is>
          <t>SPO-01188-1</t>
        </is>
      </c>
      <c r="B2192" t="inlineStr">
        <is>
          <t>SPO-01188</t>
        </is>
      </c>
      <c r="C2192" t="inlineStr">
        <is>
          <t>SUP-12</t>
        </is>
      </c>
      <c r="D2192" t="inlineStr">
        <is>
          <t>IT</t>
        </is>
      </c>
      <c r="E2192" t="inlineStr">
        <is>
          <t>IT-01</t>
        </is>
      </c>
      <c r="F2192" s="17" t="n">
        <v>45898</v>
      </c>
      <c r="G2192" s="17" t="n">
        <v>45908</v>
      </c>
      <c r="H2192" s="18" t="n">
        <v>7</v>
      </c>
      <c r="I2192" s="19" t="n">
        <v>220.67</v>
      </c>
      <c r="J2192" s="19" t="n">
        <v>189</v>
      </c>
      <c r="K2192" s="20" t="n">
        <v>0</v>
      </c>
      <c r="L2192" s="20" t="n">
        <v>0</v>
      </c>
      <c r="M2192" s="18" t="n">
        <v>7</v>
      </c>
      <c r="N2192" s="18" t="n">
        <v>7</v>
      </c>
      <c r="O2192" s="18" t="n">
        <v>0</v>
      </c>
      <c r="P2192" s="17" t="n">
        <v>45902</v>
      </c>
      <c r="Q2192" s="17" t="n">
        <v>45902</v>
      </c>
      <c r="R2192" s="17" t="n">
        <v>45902</v>
      </c>
      <c r="S2192" s="19">
        <f>H2192*I2192</f>
        <v/>
      </c>
      <c r="T2192" s="19">
        <f>H2192*J2192</f>
        <v/>
      </c>
      <c r="U2192">
        <f>IF(AND(K2192=0,G2192&lt;=Assumptions!$C$6),1,0)</f>
        <v/>
      </c>
      <c r="V2192">
        <f>IF(U2192=1,IF(M2192&gt;0,IF(P2192&lt;=G2192+Assumptions!$C$7,1,0),0),0)</f>
        <v/>
      </c>
      <c r="W2192">
        <f>IF(AND(U2192=1,M2192&gt;=H2192*(1-Assumptions!$C$8)),1,0)</f>
        <v/>
      </c>
      <c r="X2192">
        <f>IF(AND(U2192=1,N2192&gt;=H2192*(1-Assumptions!$C$8)),1,0)</f>
        <v/>
      </c>
      <c r="Y2192">
        <f>IF(ISNUMBER(Q2192),1,0)</f>
        <v/>
      </c>
      <c r="Z2192">
        <f>IF(AND(K2192=0,L2192=0,Y2192=0),1,0)</f>
        <v/>
      </c>
      <c r="AA2192">
        <f>IF(AND(Z2192=1,G2192&lt;Assumptions!$C$6),1,0)</f>
        <v/>
      </c>
      <c r="AB2192">
        <f>IF(U2192=0,"",IF(Y2192=1,MAX(0,Q2192-G2192),IF(L2192=1,MAX(0,R2192-G2192),MAX(0,Assumptions!$C$6-G2192))))</f>
        <v/>
      </c>
      <c r="AC2192">
        <f>IF(Y2192=1,Q2192-F2192,"")</f>
        <v/>
      </c>
      <c r="AD2192">
        <f>IF(Y2192=1,AC2192^2,"")</f>
        <v/>
      </c>
      <c r="AE2192" s="19">
        <f>IF(Z2192=1,(H2192-M2192)*I2192,0)</f>
        <v/>
      </c>
      <c r="AF2192">
        <f>IF(G2192&lt;EDATE(Assumptions!$C$6,-12)+1,"prior_12m","last_12m")</f>
        <v/>
      </c>
      <c r="AG2192" s="21">
        <f>DATE(YEAR(G2192),MONTH(G2192),1)</f>
        <v/>
      </c>
    </row>
    <row r="2193">
      <c r="A2193" t="inlineStr">
        <is>
          <t>SPO-01188-2</t>
        </is>
      </c>
      <c r="B2193" t="inlineStr">
        <is>
          <t>SPO-01188</t>
        </is>
      </c>
      <c r="C2193" t="inlineStr">
        <is>
          <t>SUP-12</t>
        </is>
      </c>
      <c r="D2193" t="inlineStr">
        <is>
          <t>IT</t>
        </is>
      </c>
      <c r="E2193" t="inlineStr">
        <is>
          <t>IT-02</t>
        </is>
      </c>
      <c r="F2193" s="17" t="n">
        <v>45898</v>
      </c>
      <c r="G2193" s="17" t="n">
        <v>45908</v>
      </c>
      <c r="H2193" s="18" t="n">
        <v>7</v>
      </c>
      <c r="I2193" s="19" t="n">
        <v>180.34</v>
      </c>
      <c r="J2193" s="19" t="n">
        <v>162</v>
      </c>
      <c r="K2193" s="20" t="n">
        <v>0</v>
      </c>
      <c r="L2193" s="20" t="n">
        <v>0</v>
      </c>
      <c r="M2193" s="18" t="n">
        <v>7</v>
      </c>
      <c r="N2193" s="18" t="n">
        <v>7</v>
      </c>
      <c r="O2193" s="18" t="n">
        <v>0</v>
      </c>
      <c r="P2193" s="17" t="n">
        <v>45903</v>
      </c>
      <c r="Q2193" s="17" t="n">
        <v>45903</v>
      </c>
      <c r="R2193" s="17" t="n">
        <v>45903</v>
      </c>
      <c r="S2193" s="19">
        <f>H2193*I2193</f>
        <v/>
      </c>
      <c r="T2193" s="19">
        <f>H2193*J2193</f>
        <v/>
      </c>
      <c r="U2193">
        <f>IF(AND(K2193=0,G2193&lt;=Assumptions!$C$6),1,0)</f>
        <v/>
      </c>
      <c r="V2193">
        <f>IF(U2193=1,IF(M2193&gt;0,IF(P2193&lt;=G2193+Assumptions!$C$7,1,0),0),0)</f>
        <v/>
      </c>
      <c r="W2193">
        <f>IF(AND(U2193=1,M2193&gt;=H2193*(1-Assumptions!$C$8)),1,0)</f>
        <v/>
      </c>
      <c r="X2193">
        <f>IF(AND(U2193=1,N2193&gt;=H2193*(1-Assumptions!$C$8)),1,0)</f>
        <v/>
      </c>
      <c r="Y2193">
        <f>IF(ISNUMBER(Q2193),1,0)</f>
        <v/>
      </c>
      <c r="Z2193">
        <f>IF(AND(K2193=0,L2193=0,Y2193=0),1,0)</f>
        <v/>
      </c>
      <c r="AA2193">
        <f>IF(AND(Z2193=1,G2193&lt;Assumptions!$C$6),1,0)</f>
        <v/>
      </c>
      <c r="AB2193">
        <f>IF(U2193=0,"",IF(Y2193=1,MAX(0,Q2193-G2193),IF(L2193=1,MAX(0,R2193-G2193),MAX(0,Assumptions!$C$6-G2193))))</f>
        <v/>
      </c>
      <c r="AC2193">
        <f>IF(Y2193=1,Q2193-F2193,"")</f>
        <v/>
      </c>
      <c r="AD2193">
        <f>IF(Y2193=1,AC2193^2,"")</f>
        <v/>
      </c>
      <c r="AE2193" s="19">
        <f>IF(Z2193=1,(H2193-M2193)*I2193,0)</f>
        <v/>
      </c>
      <c r="AF2193">
        <f>IF(G2193&lt;EDATE(Assumptions!$C$6,-12)+1,"prior_12m","last_12m")</f>
        <v/>
      </c>
      <c r="AG2193" s="21">
        <f>DATE(YEAR(G2193),MONTH(G2193),1)</f>
        <v/>
      </c>
    </row>
    <row r="2194">
      <c r="A2194" t="inlineStr">
        <is>
          <t>SPO-01188-3</t>
        </is>
      </c>
      <c r="B2194" t="inlineStr">
        <is>
          <t>SPO-01188</t>
        </is>
      </c>
      <c r="C2194" t="inlineStr">
        <is>
          <t>SUP-12</t>
        </is>
      </c>
      <c r="D2194" t="inlineStr">
        <is>
          <t>IT</t>
        </is>
      </c>
      <c r="E2194" t="inlineStr">
        <is>
          <t>IT-06</t>
        </is>
      </c>
      <c r="F2194" s="17" t="n">
        <v>45898</v>
      </c>
      <c r="G2194" s="17" t="n">
        <v>45908</v>
      </c>
      <c r="H2194" s="18" t="n">
        <v>14</v>
      </c>
      <c r="I2194" s="19" t="n">
        <v>104.8</v>
      </c>
      <c r="J2194" s="19" t="n">
        <v>89</v>
      </c>
      <c r="K2194" s="20" t="n">
        <v>0</v>
      </c>
      <c r="L2194" s="20" t="n">
        <v>0</v>
      </c>
      <c r="M2194" s="18" t="n">
        <v>14</v>
      </c>
      <c r="N2194" s="18" t="n">
        <v>0</v>
      </c>
      <c r="O2194" s="18" t="n">
        <v>0</v>
      </c>
      <c r="P2194" s="17" t="n">
        <v>45912</v>
      </c>
      <c r="Q2194" s="17" t="n">
        <v>45912</v>
      </c>
      <c r="R2194" s="17" t="n">
        <v>45912</v>
      </c>
      <c r="S2194" s="19">
        <f>H2194*I2194</f>
        <v/>
      </c>
      <c r="T2194" s="19">
        <f>H2194*J2194</f>
        <v/>
      </c>
      <c r="U2194">
        <f>IF(AND(K2194=0,G2194&lt;=Assumptions!$C$6),1,0)</f>
        <v/>
      </c>
      <c r="V2194">
        <f>IF(U2194=1,IF(M2194&gt;0,IF(P2194&lt;=G2194+Assumptions!$C$7,1,0),0),0)</f>
        <v/>
      </c>
      <c r="W2194">
        <f>IF(AND(U2194=1,M2194&gt;=H2194*(1-Assumptions!$C$8)),1,0)</f>
        <v/>
      </c>
      <c r="X2194">
        <f>IF(AND(U2194=1,N2194&gt;=H2194*(1-Assumptions!$C$8)),1,0)</f>
        <v/>
      </c>
      <c r="Y2194">
        <f>IF(ISNUMBER(Q2194),1,0)</f>
        <v/>
      </c>
      <c r="Z2194">
        <f>IF(AND(K2194=0,L2194=0,Y2194=0),1,0)</f>
        <v/>
      </c>
      <c r="AA2194">
        <f>IF(AND(Z2194=1,G2194&lt;Assumptions!$C$6),1,0)</f>
        <v/>
      </c>
      <c r="AB2194">
        <f>IF(U2194=0,"",IF(Y2194=1,MAX(0,Q2194-G2194),IF(L2194=1,MAX(0,R2194-G2194),MAX(0,Assumptions!$C$6-G2194))))</f>
        <v/>
      </c>
      <c r="AC2194">
        <f>IF(Y2194=1,Q2194-F2194,"")</f>
        <v/>
      </c>
      <c r="AD2194">
        <f>IF(Y2194=1,AC2194^2,"")</f>
        <v/>
      </c>
      <c r="AE2194" s="19">
        <f>IF(Z2194=1,(H2194-M2194)*I2194,0)</f>
        <v/>
      </c>
      <c r="AF2194">
        <f>IF(G2194&lt;EDATE(Assumptions!$C$6,-12)+1,"prior_12m","last_12m")</f>
        <v/>
      </c>
      <c r="AG2194" s="21">
        <f>DATE(YEAR(G2194),MONTH(G2194),1)</f>
        <v/>
      </c>
    </row>
    <row r="2195">
      <c r="A2195" t="inlineStr">
        <is>
          <t>SPO-01188-4</t>
        </is>
      </c>
      <c r="B2195" t="inlineStr">
        <is>
          <t>SPO-01188</t>
        </is>
      </c>
      <c r="C2195" t="inlineStr">
        <is>
          <t>SUP-12</t>
        </is>
      </c>
      <c r="D2195" t="inlineStr">
        <is>
          <t>IT</t>
        </is>
      </c>
      <c r="E2195" t="inlineStr">
        <is>
          <t>IT-05</t>
        </is>
      </c>
      <c r="F2195" s="17" t="n">
        <v>45898</v>
      </c>
      <c r="G2195" s="17" t="n">
        <v>45908</v>
      </c>
      <c r="H2195" s="18" t="n">
        <v>3</v>
      </c>
      <c r="I2195" s="19" t="n">
        <v>712.7</v>
      </c>
      <c r="J2195" s="19" t="n">
        <v>640</v>
      </c>
      <c r="K2195" s="20" t="n">
        <v>0</v>
      </c>
      <c r="L2195" s="20" t="n">
        <v>0</v>
      </c>
      <c r="M2195" s="18" t="n">
        <v>3</v>
      </c>
      <c r="N2195" s="18" t="n">
        <v>3</v>
      </c>
      <c r="O2195" s="18" t="n">
        <v>0</v>
      </c>
      <c r="P2195" s="17" t="n">
        <v>45905</v>
      </c>
      <c r="Q2195" s="17" t="n">
        <v>45905</v>
      </c>
      <c r="R2195" s="17" t="n">
        <v>45905</v>
      </c>
      <c r="S2195" s="19">
        <f>H2195*I2195</f>
        <v/>
      </c>
      <c r="T2195" s="19">
        <f>H2195*J2195</f>
        <v/>
      </c>
      <c r="U2195">
        <f>IF(AND(K2195=0,G2195&lt;=Assumptions!$C$6),1,0)</f>
        <v/>
      </c>
      <c r="V2195">
        <f>IF(U2195=1,IF(M2195&gt;0,IF(P2195&lt;=G2195+Assumptions!$C$7,1,0),0),0)</f>
        <v/>
      </c>
      <c r="W2195">
        <f>IF(AND(U2195=1,M2195&gt;=H2195*(1-Assumptions!$C$8)),1,0)</f>
        <v/>
      </c>
      <c r="X2195">
        <f>IF(AND(U2195=1,N2195&gt;=H2195*(1-Assumptions!$C$8)),1,0)</f>
        <v/>
      </c>
      <c r="Y2195">
        <f>IF(ISNUMBER(Q2195),1,0)</f>
        <v/>
      </c>
      <c r="Z2195">
        <f>IF(AND(K2195=0,L2195=0,Y2195=0),1,0)</f>
        <v/>
      </c>
      <c r="AA2195">
        <f>IF(AND(Z2195=1,G2195&lt;Assumptions!$C$6),1,0)</f>
        <v/>
      </c>
      <c r="AB2195">
        <f>IF(U2195=0,"",IF(Y2195=1,MAX(0,Q2195-G2195),IF(L2195=1,MAX(0,R2195-G2195),MAX(0,Assumptions!$C$6-G2195))))</f>
        <v/>
      </c>
      <c r="AC2195">
        <f>IF(Y2195=1,Q2195-F2195,"")</f>
        <v/>
      </c>
      <c r="AD2195">
        <f>IF(Y2195=1,AC2195^2,"")</f>
        <v/>
      </c>
      <c r="AE2195" s="19">
        <f>IF(Z2195=1,(H2195-M2195)*I2195,0)</f>
        <v/>
      </c>
      <c r="AF2195">
        <f>IF(G2195&lt;EDATE(Assumptions!$C$6,-12)+1,"prior_12m","last_12m")</f>
        <v/>
      </c>
      <c r="AG2195" s="21">
        <f>DATE(YEAR(G2195),MONTH(G2195),1)</f>
        <v/>
      </c>
    </row>
    <row r="2196">
      <c r="A2196" t="inlineStr">
        <is>
          <t>SPO-01189-1</t>
        </is>
      </c>
      <c r="B2196" t="inlineStr">
        <is>
          <t>SPO-01189</t>
        </is>
      </c>
      <c r="C2196" t="inlineStr">
        <is>
          <t>SUP-04</t>
        </is>
      </c>
      <c r="D2196" t="inlineStr">
        <is>
          <t>FLEET</t>
        </is>
      </c>
      <c r="E2196" t="inlineStr">
        <is>
          <t>FLEET-01</t>
        </is>
      </c>
      <c r="F2196" s="17" t="n">
        <v>45898</v>
      </c>
      <c r="G2196" s="17" t="n">
        <v>45911</v>
      </c>
      <c r="H2196" s="18" t="n">
        <v>19</v>
      </c>
      <c r="I2196" s="19" t="n">
        <v>59.96</v>
      </c>
      <c r="J2196" s="19" t="n">
        <v>64</v>
      </c>
      <c r="K2196" s="20" t="n">
        <v>0</v>
      </c>
      <c r="L2196" s="20" t="n">
        <v>0</v>
      </c>
      <c r="M2196" s="18" t="n">
        <v>19</v>
      </c>
      <c r="N2196" s="18" t="n">
        <v>19</v>
      </c>
      <c r="O2196" s="18" t="n">
        <v>0</v>
      </c>
      <c r="P2196" s="17" t="n">
        <v>45901</v>
      </c>
      <c r="Q2196" s="17" t="n">
        <v>45901</v>
      </c>
      <c r="R2196" s="17" t="n">
        <v>45901</v>
      </c>
      <c r="S2196" s="19">
        <f>H2196*I2196</f>
        <v/>
      </c>
      <c r="T2196" s="19">
        <f>H2196*J2196</f>
        <v/>
      </c>
      <c r="U2196">
        <f>IF(AND(K2196=0,G2196&lt;=Assumptions!$C$6),1,0)</f>
        <v/>
      </c>
      <c r="V2196">
        <f>IF(U2196=1,IF(M2196&gt;0,IF(P2196&lt;=G2196+Assumptions!$C$7,1,0),0),0)</f>
        <v/>
      </c>
      <c r="W2196">
        <f>IF(AND(U2196=1,M2196&gt;=H2196*(1-Assumptions!$C$8)),1,0)</f>
        <v/>
      </c>
      <c r="X2196">
        <f>IF(AND(U2196=1,N2196&gt;=H2196*(1-Assumptions!$C$8)),1,0)</f>
        <v/>
      </c>
      <c r="Y2196">
        <f>IF(ISNUMBER(Q2196),1,0)</f>
        <v/>
      </c>
      <c r="Z2196">
        <f>IF(AND(K2196=0,L2196=0,Y2196=0),1,0)</f>
        <v/>
      </c>
      <c r="AA2196">
        <f>IF(AND(Z2196=1,G2196&lt;Assumptions!$C$6),1,0)</f>
        <v/>
      </c>
      <c r="AB2196">
        <f>IF(U2196=0,"",IF(Y2196=1,MAX(0,Q2196-G2196),IF(L2196=1,MAX(0,R2196-G2196),MAX(0,Assumptions!$C$6-G2196))))</f>
        <v/>
      </c>
      <c r="AC2196">
        <f>IF(Y2196=1,Q2196-F2196,"")</f>
        <v/>
      </c>
      <c r="AD2196">
        <f>IF(Y2196=1,AC2196^2,"")</f>
        <v/>
      </c>
      <c r="AE2196" s="19">
        <f>IF(Z2196=1,(H2196-M2196)*I2196,0)</f>
        <v/>
      </c>
      <c r="AF2196">
        <f>IF(G2196&lt;EDATE(Assumptions!$C$6,-12)+1,"prior_12m","last_12m")</f>
        <v/>
      </c>
      <c r="AG2196" s="21">
        <f>DATE(YEAR(G2196),MONTH(G2196),1)</f>
        <v/>
      </c>
    </row>
    <row r="2197">
      <c r="A2197" t="inlineStr">
        <is>
          <t>SPO-01189-2</t>
        </is>
      </c>
      <c r="B2197" t="inlineStr">
        <is>
          <t>SPO-01189</t>
        </is>
      </c>
      <c r="C2197" t="inlineStr">
        <is>
          <t>SUP-04</t>
        </is>
      </c>
      <c r="D2197" t="inlineStr">
        <is>
          <t>FLEET</t>
        </is>
      </c>
      <c r="E2197" t="inlineStr">
        <is>
          <t>FLEET-06</t>
        </is>
      </c>
      <c r="F2197" s="17" t="n">
        <v>45898</v>
      </c>
      <c r="G2197" s="17" t="n">
        <v>45911</v>
      </c>
      <c r="H2197" s="18" t="n">
        <v>80</v>
      </c>
      <c r="I2197" s="19" t="n">
        <v>31.4</v>
      </c>
      <c r="J2197" s="19" t="n">
        <v>33</v>
      </c>
      <c r="K2197" s="20" t="n">
        <v>0</v>
      </c>
      <c r="L2197" s="20" t="n">
        <v>0</v>
      </c>
      <c r="M2197" s="18" t="n">
        <v>80</v>
      </c>
      <c r="N2197" s="18" t="n">
        <v>0</v>
      </c>
      <c r="O2197" s="18" t="n">
        <v>0</v>
      </c>
      <c r="P2197" s="17" t="n">
        <v>45917</v>
      </c>
      <c r="Q2197" s="17" t="n">
        <v>45917</v>
      </c>
      <c r="R2197" s="17" t="n">
        <v>45917</v>
      </c>
      <c r="S2197" s="19">
        <f>H2197*I2197</f>
        <v/>
      </c>
      <c r="T2197" s="19">
        <f>H2197*J2197</f>
        <v/>
      </c>
      <c r="U2197">
        <f>IF(AND(K2197=0,G2197&lt;=Assumptions!$C$6),1,0)</f>
        <v/>
      </c>
      <c r="V2197">
        <f>IF(U2197=1,IF(M2197&gt;0,IF(P2197&lt;=G2197+Assumptions!$C$7,1,0),0),0)</f>
        <v/>
      </c>
      <c r="W2197">
        <f>IF(AND(U2197=1,M2197&gt;=H2197*(1-Assumptions!$C$8)),1,0)</f>
        <v/>
      </c>
      <c r="X2197">
        <f>IF(AND(U2197=1,N2197&gt;=H2197*(1-Assumptions!$C$8)),1,0)</f>
        <v/>
      </c>
      <c r="Y2197">
        <f>IF(ISNUMBER(Q2197),1,0)</f>
        <v/>
      </c>
      <c r="Z2197">
        <f>IF(AND(K2197=0,L2197=0,Y2197=0),1,0)</f>
        <v/>
      </c>
      <c r="AA2197">
        <f>IF(AND(Z2197=1,G2197&lt;Assumptions!$C$6),1,0)</f>
        <v/>
      </c>
      <c r="AB2197">
        <f>IF(U2197=0,"",IF(Y2197=1,MAX(0,Q2197-G2197),IF(L2197=1,MAX(0,R2197-G2197),MAX(0,Assumptions!$C$6-G2197))))</f>
        <v/>
      </c>
      <c r="AC2197">
        <f>IF(Y2197=1,Q2197-F2197,"")</f>
        <v/>
      </c>
      <c r="AD2197">
        <f>IF(Y2197=1,AC2197^2,"")</f>
        <v/>
      </c>
      <c r="AE2197" s="19">
        <f>IF(Z2197=1,(H2197-M2197)*I2197,0)</f>
        <v/>
      </c>
      <c r="AF2197">
        <f>IF(G2197&lt;EDATE(Assumptions!$C$6,-12)+1,"prior_12m","last_12m")</f>
        <v/>
      </c>
      <c r="AG2197" s="21">
        <f>DATE(YEAR(G2197),MONTH(G2197),1)</f>
        <v/>
      </c>
    </row>
    <row r="2198">
      <c r="A2198" t="inlineStr">
        <is>
          <t>SPO-01190-1</t>
        </is>
      </c>
      <c r="B2198" t="inlineStr">
        <is>
          <t>SPO-01190</t>
        </is>
      </c>
      <c r="C2198" t="inlineStr">
        <is>
          <t>SUP-02</t>
        </is>
      </c>
      <c r="D2198" t="inlineStr">
        <is>
          <t>ELEC</t>
        </is>
      </c>
      <c r="E2198" t="inlineStr">
        <is>
          <t>ELEC-02</t>
        </is>
      </c>
      <c r="F2198" s="17" t="n">
        <v>45899</v>
      </c>
      <c r="G2198" s="17" t="n">
        <v>45915</v>
      </c>
      <c r="H2198" s="18" t="n">
        <v>641</v>
      </c>
      <c r="I2198" s="19" t="n">
        <v>4.19</v>
      </c>
      <c r="J2198" s="19" t="n">
        <v>4.2</v>
      </c>
      <c r="K2198" s="20" t="n">
        <v>0</v>
      </c>
      <c r="L2198" s="20" t="n">
        <v>0</v>
      </c>
      <c r="M2198" s="18" t="n">
        <v>641</v>
      </c>
      <c r="N2198" s="18" t="n">
        <v>641</v>
      </c>
      <c r="O2198" s="18" t="n">
        <v>0</v>
      </c>
      <c r="P2198" s="17" t="n">
        <v>45914</v>
      </c>
      <c r="Q2198" s="17" t="n">
        <v>45914</v>
      </c>
      <c r="R2198" s="17" t="n">
        <v>45914</v>
      </c>
      <c r="S2198" s="19">
        <f>H2198*I2198</f>
        <v/>
      </c>
      <c r="T2198" s="19">
        <f>H2198*J2198</f>
        <v/>
      </c>
      <c r="U2198">
        <f>IF(AND(K2198=0,G2198&lt;=Assumptions!$C$6),1,0)</f>
        <v/>
      </c>
      <c r="V2198">
        <f>IF(U2198=1,IF(M2198&gt;0,IF(P2198&lt;=G2198+Assumptions!$C$7,1,0),0),0)</f>
        <v/>
      </c>
      <c r="W2198">
        <f>IF(AND(U2198=1,M2198&gt;=H2198*(1-Assumptions!$C$8)),1,0)</f>
        <v/>
      </c>
      <c r="X2198">
        <f>IF(AND(U2198=1,N2198&gt;=H2198*(1-Assumptions!$C$8)),1,0)</f>
        <v/>
      </c>
      <c r="Y2198">
        <f>IF(ISNUMBER(Q2198),1,0)</f>
        <v/>
      </c>
      <c r="Z2198">
        <f>IF(AND(K2198=0,L2198=0,Y2198=0),1,0)</f>
        <v/>
      </c>
      <c r="AA2198">
        <f>IF(AND(Z2198=1,G2198&lt;Assumptions!$C$6),1,0)</f>
        <v/>
      </c>
      <c r="AB2198">
        <f>IF(U2198=0,"",IF(Y2198=1,MAX(0,Q2198-G2198),IF(L2198=1,MAX(0,R2198-G2198),MAX(0,Assumptions!$C$6-G2198))))</f>
        <v/>
      </c>
      <c r="AC2198">
        <f>IF(Y2198=1,Q2198-F2198,"")</f>
        <v/>
      </c>
      <c r="AD2198">
        <f>IF(Y2198=1,AC2198^2,"")</f>
        <v/>
      </c>
      <c r="AE2198" s="19">
        <f>IF(Z2198=1,(H2198-M2198)*I2198,0)</f>
        <v/>
      </c>
      <c r="AF2198">
        <f>IF(G2198&lt;EDATE(Assumptions!$C$6,-12)+1,"prior_12m","last_12m")</f>
        <v/>
      </c>
      <c r="AG2198" s="21">
        <f>DATE(YEAR(G2198),MONTH(G2198),1)</f>
        <v/>
      </c>
    </row>
    <row r="2199">
      <c r="A2199" t="inlineStr">
        <is>
          <t>SPO-01190-2</t>
        </is>
      </c>
      <c r="B2199" t="inlineStr">
        <is>
          <t>SPO-01190</t>
        </is>
      </c>
      <c r="C2199" t="inlineStr">
        <is>
          <t>SUP-02</t>
        </is>
      </c>
      <c r="D2199" t="inlineStr">
        <is>
          <t>ELEC</t>
        </is>
      </c>
      <c r="E2199" t="inlineStr">
        <is>
          <t>ELEC-04</t>
        </is>
      </c>
      <c r="F2199" s="17" t="n">
        <v>45899</v>
      </c>
      <c r="G2199" s="17" t="n">
        <v>45915</v>
      </c>
      <c r="H2199" s="18" t="n">
        <v>14</v>
      </c>
      <c r="I2199" s="19" t="n">
        <v>71.59</v>
      </c>
      <c r="J2199" s="19" t="n">
        <v>72</v>
      </c>
      <c r="K2199" s="20" t="n">
        <v>0</v>
      </c>
      <c r="L2199" s="20" t="n">
        <v>0</v>
      </c>
      <c r="M2199" s="18" t="n">
        <v>14</v>
      </c>
      <c r="N2199" s="18" t="n">
        <v>14</v>
      </c>
      <c r="O2199" s="18" t="n">
        <v>0</v>
      </c>
      <c r="P2199" s="17" t="n">
        <v>45914</v>
      </c>
      <c r="Q2199" s="17" t="n">
        <v>45914</v>
      </c>
      <c r="R2199" s="17" t="n">
        <v>45914</v>
      </c>
      <c r="S2199" s="19">
        <f>H2199*I2199</f>
        <v/>
      </c>
      <c r="T2199" s="19">
        <f>H2199*J2199</f>
        <v/>
      </c>
      <c r="U2199">
        <f>IF(AND(K2199=0,G2199&lt;=Assumptions!$C$6),1,0)</f>
        <v/>
      </c>
      <c r="V2199">
        <f>IF(U2199=1,IF(M2199&gt;0,IF(P2199&lt;=G2199+Assumptions!$C$7,1,0),0),0)</f>
        <v/>
      </c>
      <c r="W2199">
        <f>IF(AND(U2199=1,M2199&gt;=H2199*(1-Assumptions!$C$8)),1,0)</f>
        <v/>
      </c>
      <c r="X2199">
        <f>IF(AND(U2199=1,N2199&gt;=H2199*(1-Assumptions!$C$8)),1,0)</f>
        <v/>
      </c>
      <c r="Y2199">
        <f>IF(ISNUMBER(Q2199),1,0)</f>
        <v/>
      </c>
      <c r="Z2199">
        <f>IF(AND(K2199=0,L2199=0,Y2199=0),1,0)</f>
        <v/>
      </c>
      <c r="AA2199">
        <f>IF(AND(Z2199=1,G2199&lt;Assumptions!$C$6),1,0)</f>
        <v/>
      </c>
      <c r="AB2199">
        <f>IF(U2199=0,"",IF(Y2199=1,MAX(0,Q2199-G2199),IF(L2199=1,MAX(0,R2199-G2199),MAX(0,Assumptions!$C$6-G2199))))</f>
        <v/>
      </c>
      <c r="AC2199">
        <f>IF(Y2199=1,Q2199-F2199,"")</f>
        <v/>
      </c>
      <c r="AD2199">
        <f>IF(Y2199=1,AC2199^2,"")</f>
        <v/>
      </c>
      <c r="AE2199" s="19">
        <f>IF(Z2199=1,(H2199-M2199)*I2199,0)</f>
        <v/>
      </c>
      <c r="AF2199">
        <f>IF(G2199&lt;EDATE(Assumptions!$C$6,-12)+1,"prior_12m","last_12m")</f>
        <v/>
      </c>
      <c r="AG2199" s="21">
        <f>DATE(YEAR(G2199),MONTH(G2199),1)</f>
        <v/>
      </c>
    </row>
    <row r="2200">
      <c r="A2200" t="inlineStr">
        <is>
          <t>SPO-01190-3</t>
        </is>
      </c>
      <c r="B2200" t="inlineStr">
        <is>
          <t>SPO-01190</t>
        </is>
      </c>
      <c r="C2200" t="inlineStr">
        <is>
          <t>SUP-02</t>
        </is>
      </c>
      <c r="D2200" t="inlineStr">
        <is>
          <t>ELEC</t>
        </is>
      </c>
      <c r="E2200" t="inlineStr">
        <is>
          <t>ELEC-05</t>
        </is>
      </c>
      <c r="F2200" s="17" t="n">
        <v>45899</v>
      </c>
      <c r="G2200" s="17" t="n">
        <v>45915</v>
      </c>
      <c r="H2200" s="18" t="n">
        <v>321</v>
      </c>
      <c r="I2200" s="19" t="n">
        <v>12.12</v>
      </c>
      <c r="J2200" s="19" t="n">
        <v>11.5</v>
      </c>
      <c r="K2200" s="20" t="n">
        <v>0</v>
      </c>
      <c r="L2200" s="20" t="n">
        <v>0</v>
      </c>
      <c r="M2200" s="18" t="n">
        <v>321</v>
      </c>
      <c r="N2200" s="18" t="n">
        <v>321</v>
      </c>
      <c r="O2200" s="18" t="n">
        <v>0</v>
      </c>
      <c r="P2200" s="17" t="n">
        <v>45914</v>
      </c>
      <c r="Q2200" s="17" t="n">
        <v>45914</v>
      </c>
      <c r="R2200" s="17" t="n">
        <v>45914</v>
      </c>
      <c r="S2200" s="19">
        <f>H2200*I2200</f>
        <v/>
      </c>
      <c r="T2200" s="19">
        <f>H2200*J2200</f>
        <v/>
      </c>
      <c r="U2200">
        <f>IF(AND(K2200=0,G2200&lt;=Assumptions!$C$6),1,0)</f>
        <v/>
      </c>
      <c r="V2200">
        <f>IF(U2200=1,IF(M2200&gt;0,IF(P2200&lt;=G2200+Assumptions!$C$7,1,0),0),0)</f>
        <v/>
      </c>
      <c r="W2200">
        <f>IF(AND(U2200=1,M2200&gt;=H2200*(1-Assumptions!$C$8)),1,0)</f>
        <v/>
      </c>
      <c r="X2200">
        <f>IF(AND(U2200=1,N2200&gt;=H2200*(1-Assumptions!$C$8)),1,0)</f>
        <v/>
      </c>
      <c r="Y2200">
        <f>IF(ISNUMBER(Q2200),1,0)</f>
        <v/>
      </c>
      <c r="Z2200">
        <f>IF(AND(K2200=0,L2200=0,Y2200=0),1,0)</f>
        <v/>
      </c>
      <c r="AA2200">
        <f>IF(AND(Z2200=1,G2200&lt;Assumptions!$C$6),1,0)</f>
        <v/>
      </c>
      <c r="AB2200">
        <f>IF(U2200=0,"",IF(Y2200=1,MAX(0,Q2200-G2200),IF(L2200=1,MAX(0,R2200-G2200),MAX(0,Assumptions!$C$6-G2200))))</f>
        <v/>
      </c>
      <c r="AC2200">
        <f>IF(Y2200=1,Q2200-F2200,"")</f>
        <v/>
      </c>
      <c r="AD2200">
        <f>IF(Y2200=1,AC2200^2,"")</f>
        <v/>
      </c>
      <c r="AE2200" s="19">
        <f>IF(Z2200=1,(H2200-M2200)*I2200,0)</f>
        <v/>
      </c>
      <c r="AF2200">
        <f>IF(G2200&lt;EDATE(Assumptions!$C$6,-12)+1,"prior_12m","last_12m")</f>
        <v/>
      </c>
      <c r="AG2200" s="21">
        <f>DATE(YEAR(G2200),MONTH(G2200),1)</f>
        <v/>
      </c>
    </row>
    <row r="2201">
      <c r="A2201" t="inlineStr">
        <is>
          <t>SPO-01190-4</t>
        </is>
      </c>
      <c r="B2201" t="inlineStr">
        <is>
          <t>SPO-01190</t>
        </is>
      </c>
      <c r="C2201" t="inlineStr">
        <is>
          <t>SUP-02</t>
        </is>
      </c>
      <c r="D2201" t="inlineStr">
        <is>
          <t>ELEC</t>
        </is>
      </c>
      <c r="E2201" t="inlineStr">
        <is>
          <t>ELEC-01</t>
        </is>
      </c>
      <c r="F2201" s="17" t="n">
        <v>45899</v>
      </c>
      <c r="G2201" s="17" t="n">
        <v>45915</v>
      </c>
      <c r="H2201" s="18" t="n">
        <v>30</v>
      </c>
      <c r="I2201" s="19" t="n">
        <v>39.66</v>
      </c>
      <c r="J2201" s="19" t="n">
        <v>38</v>
      </c>
      <c r="K2201" s="20" t="n">
        <v>0</v>
      </c>
      <c r="L2201" s="20" t="n">
        <v>0</v>
      </c>
      <c r="M2201" s="18" t="n">
        <v>30</v>
      </c>
      <c r="N2201" s="18" t="n">
        <v>30</v>
      </c>
      <c r="O2201" s="18" t="n">
        <v>0</v>
      </c>
      <c r="P2201" s="17" t="n">
        <v>45913</v>
      </c>
      <c r="Q2201" s="17" t="n">
        <v>45913</v>
      </c>
      <c r="R2201" s="17" t="n">
        <v>45913</v>
      </c>
      <c r="S2201" s="19">
        <f>H2201*I2201</f>
        <v/>
      </c>
      <c r="T2201" s="19">
        <f>H2201*J2201</f>
        <v/>
      </c>
      <c r="U2201">
        <f>IF(AND(K2201=0,G2201&lt;=Assumptions!$C$6),1,0)</f>
        <v/>
      </c>
      <c r="V2201">
        <f>IF(U2201=1,IF(M2201&gt;0,IF(P2201&lt;=G2201+Assumptions!$C$7,1,0),0),0)</f>
        <v/>
      </c>
      <c r="W2201">
        <f>IF(AND(U2201=1,M2201&gt;=H2201*(1-Assumptions!$C$8)),1,0)</f>
        <v/>
      </c>
      <c r="X2201">
        <f>IF(AND(U2201=1,N2201&gt;=H2201*(1-Assumptions!$C$8)),1,0)</f>
        <v/>
      </c>
      <c r="Y2201">
        <f>IF(ISNUMBER(Q2201),1,0)</f>
        <v/>
      </c>
      <c r="Z2201">
        <f>IF(AND(K2201=0,L2201=0,Y2201=0),1,0)</f>
        <v/>
      </c>
      <c r="AA2201">
        <f>IF(AND(Z2201=1,G2201&lt;Assumptions!$C$6),1,0)</f>
        <v/>
      </c>
      <c r="AB2201">
        <f>IF(U2201=0,"",IF(Y2201=1,MAX(0,Q2201-G2201),IF(L2201=1,MAX(0,R2201-G2201),MAX(0,Assumptions!$C$6-G2201))))</f>
        <v/>
      </c>
      <c r="AC2201">
        <f>IF(Y2201=1,Q2201-F2201,"")</f>
        <v/>
      </c>
      <c r="AD2201">
        <f>IF(Y2201=1,AC2201^2,"")</f>
        <v/>
      </c>
      <c r="AE2201" s="19">
        <f>IF(Z2201=1,(H2201-M2201)*I2201,0)</f>
        <v/>
      </c>
      <c r="AF2201">
        <f>IF(G2201&lt;EDATE(Assumptions!$C$6,-12)+1,"prior_12m","last_12m")</f>
        <v/>
      </c>
      <c r="AG2201" s="21">
        <f>DATE(YEAR(G2201),MONTH(G2201),1)</f>
        <v/>
      </c>
    </row>
    <row r="2202">
      <c r="A2202" t="inlineStr">
        <is>
          <t>SPO-01191-1</t>
        </is>
      </c>
      <c r="B2202" t="inlineStr">
        <is>
          <t>SPO-01191</t>
        </is>
      </c>
      <c r="C2202" t="inlineStr">
        <is>
          <t>SUP-08</t>
        </is>
      </c>
      <c r="D2202" t="inlineStr">
        <is>
          <t>MRO</t>
        </is>
      </c>
      <c r="E2202" t="inlineStr">
        <is>
          <t>MRO-07</t>
        </is>
      </c>
      <c r="F2202" s="17" t="n">
        <v>45899</v>
      </c>
      <c r="G2202" s="17" t="n">
        <v>45910</v>
      </c>
      <c r="H2202" s="18" t="n">
        <v>101</v>
      </c>
      <c r="I2202" s="19" t="n">
        <v>13.59</v>
      </c>
      <c r="J2202" s="19" t="n">
        <v>14</v>
      </c>
      <c r="K2202" s="20" t="n">
        <v>0</v>
      </c>
      <c r="L2202" s="20" t="n">
        <v>0</v>
      </c>
      <c r="M2202" s="18" t="n">
        <v>101</v>
      </c>
      <c r="N2202" s="18" t="n">
        <v>101</v>
      </c>
      <c r="O2202" s="18" t="n">
        <v>0</v>
      </c>
      <c r="P2202" s="17" t="n">
        <v>45908</v>
      </c>
      <c r="Q2202" s="17" t="n">
        <v>45908</v>
      </c>
      <c r="R2202" s="17" t="n">
        <v>45908</v>
      </c>
      <c r="S2202" s="19">
        <f>H2202*I2202</f>
        <v/>
      </c>
      <c r="T2202" s="19">
        <f>H2202*J2202</f>
        <v/>
      </c>
      <c r="U2202">
        <f>IF(AND(K2202=0,G2202&lt;=Assumptions!$C$6),1,0)</f>
        <v/>
      </c>
      <c r="V2202">
        <f>IF(U2202=1,IF(M2202&gt;0,IF(P2202&lt;=G2202+Assumptions!$C$7,1,0),0),0)</f>
        <v/>
      </c>
      <c r="W2202">
        <f>IF(AND(U2202=1,M2202&gt;=H2202*(1-Assumptions!$C$8)),1,0)</f>
        <v/>
      </c>
      <c r="X2202">
        <f>IF(AND(U2202=1,N2202&gt;=H2202*(1-Assumptions!$C$8)),1,0)</f>
        <v/>
      </c>
      <c r="Y2202">
        <f>IF(ISNUMBER(Q2202),1,0)</f>
        <v/>
      </c>
      <c r="Z2202">
        <f>IF(AND(K2202=0,L2202=0,Y2202=0),1,0)</f>
        <v/>
      </c>
      <c r="AA2202">
        <f>IF(AND(Z2202=1,G2202&lt;Assumptions!$C$6),1,0)</f>
        <v/>
      </c>
      <c r="AB2202">
        <f>IF(U2202=0,"",IF(Y2202=1,MAX(0,Q2202-G2202),IF(L2202=1,MAX(0,R2202-G2202),MAX(0,Assumptions!$C$6-G2202))))</f>
        <v/>
      </c>
      <c r="AC2202">
        <f>IF(Y2202=1,Q2202-F2202,"")</f>
        <v/>
      </c>
      <c r="AD2202">
        <f>IF(Y2202=1,AC2202^2,"")</f>
        <v/>
      </c>
      <c r="AE2202" s="19">
        <f>IF(Z2202=1,(H2202-M2202)*I2202,0)</f>
        <v/>
      </c>
      <c r="AF2202">
        <f>IF(G2202&lt;EDATE(Assumptions!$C$6,-12)+1,"prior_12m","last_12m")</f>
        <v/>
      </c>
      <c r="AG2202" s="21">
        <f>DATE(YEAR(G2202),MONTH(G2202),1)</f>
        <v/>
      </c>
    </row>
    <row r="2203">
      <c r="A2203" t="inlineStr">
        <is>
          <t>SPO-01191-2</t>
        </is>
      </c>
      <c r="B2203" t="inlineStr">
        <is>
          <t>SPO-01191</t>
        </is>
      </c>
      <c r="C2203" t="inlineStr">
        <is>
          <t>SUP-08</t>
        </is>
      </c>
      <c r="D2203" t="inlineStr">
        <is>
          <t>MRO</t>
        </is>
      </c>
      <c r="E2203" t="inlineStr">
        <is>
          <t>MRO-01</t>
        </is>
      </c>
      <c r="F2203" s="17" t="n">
        <v>45899</v>
      </c>
      <c r="G2203" s="17" t="n">
        <v>45910</v>
      </c>
      <c r="H2203" s="18" t="n">
        <v>55</v>
      </c>
      <c r="I2203" s="19" t="n">
        <v>50.93</v>
      </c>
      <c r="J2203" s="19" t="n">
        <v>52</v>
      </c>
      <c r="K2203" s="20" t="n">
        <v>0</v>
      </c>
      <c r="L2203" s="20" t="n">
        <v>0</v>
      </c>
      <c r="M2203" s="18" t="n">
        <v>55</v>
      </c>
      <c r="N2203" s="18" t="n">
        <v>55</v>
      </c>
      <c r="O2203" s="18" t="n">
        <v>0</v>
      </c>
      <c r="P2203" s="17" t="n">
        <v>45906</v>
      </c>
      <c r="Q2203" s="17" t="n">
        <v>45906</v>
      </c>
      <c r="R2203" s="17" t="n">
        <v>45906</v>
      </c>
      <c r="S2203" s="19">
        <f>H2203*I2203</f>
        <v/>
      </c>
      <c r="T2203" s="19">
        <f>H2203*J2203</f>
        <v/>
      </c>
      <c r="U2203">
        <f>IF(AND(K2203=0,G2203&lt;=Assumptions!$C$6),1,0)</f>
        <v/>
      </c>
      <c r="V2203">
        <f>IF(U2203=1,IF(M2203&gt;0,IF(P2203&lt;=G2203+Assumptions!$C$7,1,0),0),0)</f>
        <v/>
      </c>
      <c r="W2203">
        <f>IF(AND(U2203=1,M2203&gt;=H2203*(1-Assumptions!$C$8)),1,0)</f>
        <v/>
      </c>
      <c r="X2203">
        <f>IF(AND(U2203=1,N2203&gt;=H2203*(1-Assumptions!$C$8)),1,0)</f>
        <v/>
      </c>
      <c r="Y2203">
        <f>IF(ISNUMBER(Q2203),1,0)</f>
        <v/>
      </c>
      <c r="Z2203">
        <f>IF(AND(K2203=0,L2203=0,Y2203=0),1,0)</f>
        <v/>
      </c>
      <c r="AA2203">
        <f>IF(AND(Z2203=1,G2203&lt;Assumptions!$C$6),1,0)</f>
        <v/>
      </c>
      <c r="AB2203">
        <f>IF(U2203=0,"",IF(Y2203=1,MAX(0,Q2203-G2203),IF(L2203=1,MAX(0,R2203-G2203),MAX(0,Assumptions!$C$6-G2203))))</f>
        <v/>
      </c>
      <c r="AC2203">
        <f>IF(Y2203=1,Q2203-F2203,"")</f>
        <v/>
      </c>
      <c r="AD2203">
        <f>IF(Y2203=1,AC2203^2,"")</f>
        <v/>
      </c>
      <c r="AE2203" s="19">
        <f>IF(Z2203=1,(H2203-M2203)*I2203,0)</f>
        <v/>
      </c>
      <c r="AF2203">
        <f>IF(G2203&lt;EDATE(Assumptions!$C$6,-12)+1,"prior_12m","last_12m")</f>
        <v/>
      </c>
      <c r="AG2203" s="21">
        <f>DATE(YEAR(G2203),MONTH(G2203),1)</f>
        <v/>
      </c>
    </row>
    <row r="2204">
      <c r="A2204" t="inlineStr">
        <is>
          <t>SPO-01191-3</t>
        </is>
      </c>
      <c r="B2204" t="inlineStr">
        <is>
          <t>SPO-01191</t>
        </is>
      </c>
      <c r="C2204" t="inlineStr">
        <is>
          <t>SUP-08</t>
        </is>
      </c>
      <c r="D2204" t="inlineStr">
        <is>
          <t>MRO</t>
        </is>
      </c>
      <c r="E2204" t="inlineStr">
        <is>
          <t>MRO-05</t>
        </is>
      </c>
      <c r="F2204" s="17" t="n">
        <v>45899</v>
      </c>
      <c r="G2204" s="17" t="n">
        <v>45910</v>
      </c>
      <c r="H2204" s="18" t="n">
        <v>60</v>
      </c>
      <c r="I2204" s="19" t="n">
        <v>36.16</v>
      </c>
      <c r="J2204" s="19" t="n">
        <v>36</v>
      </c>
      <c r="K2204" s="20" t="n">
        <v>0</v>
      </c>
      <c r="L2204" s="20" t="n">
        <v>0</v>
      </c>
      <c r="M2204" s="18" t="n">
        <v>60</v>
      </c>
      <c r="N2204" s="18" t="n">
        <v>0</v>
      </c>
      <c r="O2204" s="18" t="n">
        <v>0</v>
      </c>
      <c r="P2204" s="17" t="n">
        <v>45911</v>
      </c>
      <c r="Q2204" s="17" t="n">
        <v>45911</v>
      </c>
      <c r="R2204" s="17" t="n">
        <v>45911</v>
      </c>
      <c r="S2204" s="19">
        <f>H2204*I2204</f>
        <v/>
      </c>
      <c r="T2204" s="19">
        <f>H2204*J2204</f>
        <v/>
      </c>
      <c r="U2204">
        <f>IF(AND(K2204=0,G2204&lt;=Assumptions!$C$6),1,0)</f>
        <v/>
      </c>
      <c r="V2204">
        <f>IF(U2204=1,IF(M2204&gt;0,IF(P2204&lt;=G2204+Assumptions!$C$7,1,0),0),0)</f>
        <v/>
      </c>
      <c r="W2204">
        <f>IF(AND(U2204=1,M2204&gt;=H2204*(1-Assumptions!$C$8)),1,0)</f>
        <v/>
      </c>
      <c r="X2204">
        <f>IF(AND(U2204=1,N2204&gt;=H2204*(1-Assumptions!$C$8)),1,0)</f>
        <v/>
      </c>
      <c r="Y2204">
        <f>IF(ISNUMBER(Q2204),1,0)</f>
        <v/>
      </c>
      <c r="Z2204">
        <f>IF(AND(K2204=0,L2204=0,Y2204=0),1,0)</f>
        <v/>
      </c>
      <c r="AA2204">
        <f>IF(AND(Z2204=1,G2204&lt;Assumptions!$C$6),1,0)</f>
        <v/>
      </c>
      <c r="AB2204">
        <f>IF(U2204=0,"",IF(Y2204=1,MAX(0,Q2204-G2204),IF(L2204=1,MAX(0,R2204-G2204),MAX(0,Assumptions!$C$6-G2204))))</f>
        <v/>
      </c>
      <c r="AC2204">
        <f>IF(Y2204=1,Q2204-F2204,"")</f>
        <v/>
      </c>
      <c r="AD2204">
        <f>IF(Y2204=1,AC2204^2,"")</f>
        <v/>
      </c>
      <c r="AE2204" s="19">
        <f>IF(Z2204=1,(H2204-M2204)*I2204,0)</f>
        <v/>
      </c>
      <c r="AF2204">
        <f>IF(G2204&lt;EDATE(Assumptions!$C$6,-12)+1,"prior_12m","last_12m")</f>
        <v/>
      </c>
      <c r="AG2204" s="21">
        <f>DATE(YEAR(G2204),MONTH(G2204),1)</f>
        <v/>
      </c>
    </row>
    <row r="2205">
      <c r="A2205" t="inlineStr">
        <is>
          <t>SPO-01192-1</t>
        </is>
      </c>
      <c r="B2205" t="inlineStr">
        <is>
          <t>SPO-01192</t>
        </is>
      </c>
      <c r="C2205" t="inlineStr">
        <is>
          <t>SUP-12</t>
        </is>
      </c>
      <c r="D2205" t="inlineStr">
        <is>
          <t>IT</t>
        </is>
      </c>
      <c r="E2205" t="inlineStr">
        <is>
          <t>IT-06</t>
        </is>
      </c>
      <c r="F2205" s="17" t="n">
        <v>45899</v>
      </c>
      <c r="G2205" s="17" t="n">
        <v>45909</v>
      </c>
      <c r="H2205" s="18" t="n">
        <v>22</v>
      </c>
      <c r="I2205" s="19" t="n">
        <v>101.18</v>
      </c>
      <c r="J2205" s="19" t="n">
        <v>89</v>
      </c>
      <c r="K2205" s="20" t="n">
        <v>0</v>
      </c>
      <c r="L2205" s="20" t="n">
        <v>0</v>
      </c>
      <c r="M2205" s="18" t="n">
        <v>22</v>
      </c>
      <c r="N2205" s="18" t="n">
        <v>22</v>
      </c>
      <c r="O2205" s="18" t="n">
        <v>0</v>
      </c>
      <c r="P2205" s="17" t="n">
        <v>45904</v>
      </c>
      <c r="Q2205" s="17" t="n">
        <v>45904</v>
      </c>
      <c r="R2205" s="17" t="n">
        <v>45904</v>
      </c>
      <c r="S2205" s="19">
        <f>H2205*I2205</f>
        <v/>
      </c>
      <c r="T2205" s="19">
        <f>H2205*J2205</f>
        <v/>
      </c>
      <c r="U2205">
        <f>IF(AND(K2205=0,G2205&lt;=Assumptions!$C$6),1,0)</f>
        <v/>
      </c>
      <c r="V2205">
        <f>IF(U2205=1,IF(M2205&gt;0,IF(P2205&lt;=G2205+Assumptions!$C$7,1,0),0),0)</f>
        <v/>
      </c>
      <c r="W2205">
        <f>IF(AND(U2205=1,M2205&gt;=H2205*(1-Assumptions!$C$8)),1,0)</f>
        <v/>
      </c>
      <c r="X2205">
        <f>IF(AND(U2205=1,N2205&gt;=H2205*(1-Assumptions!$C$8)),1,0)</f>
        <v/>
      </c>
      <c r="Y2205">
        <f>IF(ISNUMBER(Q2205),1,0)</f>
        <v/>
      </c>
      <c r="Z2205">
        <f>IF(AND(K2205=0,L2205=0,Y2205=0),1,0)</f>
        <v/>
      </c>
      <c r="AA2205">
        <f>IF(AND(Z2205=1,G2205&lt;Assumptions!$C$6),1,0)</f>
        <v/>
      </c>
      <c r="AB2205">
        <f>IF(U2205=0,"",IF(Y2205=1,MAX(0,Q2205-G2205),IF(L2205=1,MAX(0,R2205-G2205),MAX(0,Assumptions!$C$6-G2205))))</f>
        <v/>
      </c>
      <c r="AC2205">
        <f>IF(Y2205=1,Q2205-F2205,"")</f>
        <v/>
      </c>
      <c r="AD2205">
        <f>IF(Y2205=1,AC2205^2,"")</f>
        <v/>
      </c>
      <c r="AE2205" s="19">
        <f>IF(Z2205=1,(H2205-M2205)*I2205,0)</f>
        <v/>
      </c>
      <c r="AF2205">
        <f>IF(G2205&lt;EDATE(Assumptions!$C$6,-12)+1,"prior_12m","last_12m")</f>
        <v/>
      </c>
      <c r="AG2205" s="21">
        <f>DATE(YEAR(G2205),MONTH(G2205),1)</f>
        <v/>
      </c>
    </row>
    <row r="2206">
      <c r="A2206" t="inlineStr">
        <is>
          <t>SPO-01193-1</t>
        </is>
      </c>
      <c r="B2206" t="inlineStr">
        <is>
          <t>SPO-01193</t>
        </is>
      </c>
      <c r="C2206" t="inlineStr">
        <is>
          <t>SUP-08</t>
        </is>
      </c>
      <c r="D2206" t="inlineStr">
        <is>
          <t>MRO</t>
        </is>
      </c>
      <c r="E2206" t="inlineStr">
        <is>
          <t>MRO-08</t>
        </is>
      </c>
      <c r="F2206" s="17" t="n">
        <v>45899</v>
      </c>
      <c r="G2206" s="17" t="n">
        <v>45910</v>
      </c>
      <c r="H2206" s="18" t="n">
        <v>122</v>
      </c>
      <c r="I2206" s="19" t="n">
        <v>6.97</v>
      </c>
      <c r="J2206" s="19" t="n">
        <v>7.2</v>
      </c>
      <c r="K2206" s="20" t="n">
        <v>0</v>
      </c>
      <c r="L2206" s="20" t="n">
        <v>0</v>
      </c>
      <c r="M2206" s="18" t="n">
        <v>122</v>
      </c>
      <c r="N2206" s="18" t="n">
        <v>122</v>
      </c>
      <c r="O2206" s="18" t="n">
        <v>0</v>
      </c>
      <c r="P2206" s="17" t="n">
        <v>45907</v>
      </c>
      <c r="Q2206" s="17" t="n">
        <v>45907</v>
      </c>
      <c r="R2206" s="17" t="n">
        <v>45907</v>
      </c>
      <c r="S2206" s="19">
        <f>H2206*I2206</f>
        <v/>
      </c>
      <c r="T2206" s="19">
        <f>H2206*J2206</f>
        <v/>
      </c>
      <c r="U2206">
        <f>IF(AND(K2206=0,G2206&lt;=Assumptions!$C$6),1,0)</f>
        <v/>
      </c>
      <c r="V2206">
        <f>IF(U2206=1,IF(M2206&gt;0,IF(P2206&lt;=G2206+Assumptions!$C$7,1,0),0),0)</f>
        <v/>
      </c>
      <c r="W2206">
        <f>IF(AND(U2206=1,M2206&gt;=H2206*(1-Assumptions!$C$8)),1,0)</f>
        <v/>
      </c>
      <c r="X2206">
        <f>IF(AND(U2206=1,N2206&gt;=H2206*(1-Assumptions!$C$8)),1,0)</f>
        <v/>
      </c>
      <c r="Y2206">
        <f>IF(ISNUMBER(Q2206),1,0)</f>
        <v/>
      </c>
      <c r="Z2206">
        <f>IF(AND(K2206=0,L2206=0,Y2206=0),1,0)</f>
        <v/>
      </c>
      <c r="AA2206">
        <f>IF(AND(Z2206=1,G2206&lt;Assumptions!$C$6),1,0)</f>
        <v/>
      </c>
      <c r="AB2206">
        <f>IF(U2206=0,"",IF(Y2206=1,MAX(0,Q2206-G2206),IF(L2206=1,MAX(0,R2206-G2206),MAX(0,Assumptions!$C$6-G2206))))</f>
        <v/>
      </c>
      <c r="AC2206">
        <f>IF(Y2206=1,Q2206-F2206,"")</f>
        <v/>
      </c>
      <c r="AD2206">
        <f>IF(Y2206=1,AC2206^2,"")</f>
        <v/>
      </c>
      <c r="AE2206" s="19">
        <f>IF(Z2206=1,(H2206-M2206)*I2206,0)</f>
        <v/>
      </c>
      <c r="AF2206">
        <f>IF(G2206&lt;EDATE(Assumptions!$C$6,-12)+1,"prior_12m","last_12m")</f>
        <v/>
      </c>
      <c r="AG2206" s="21">
        <f>DATE(YEAR(G2206),MONTH(G2206),1)</f>
        <v/>
      </c>
    </row>
    <row r="2207">
      <c r="A2207" t="inlineStr">
        <is>
          <t>SPO-01194-1</t>
        </is>
      </c>
      <c r="B2207" t="inlineStr">
        <is>
          <t>SPO-01194</t>
        </is>
      </c>
      <c r="C2207" t="inlineStr">
        <is>
          <t>SUP-08</t>
        </is>
      </c>
      <c r="D2207" t="inlineStr">
        <is>
          <t>MRO</t>
        </is>
      </c>
      <c r="E2207" t="inlineStr">
        <is>
          <t>MRO-01</t>
        </is>
      </c>
      <c r="F2207" s="17" t="n">
        <v>45900</v>
      </c>
      <c r="G2207" s="17" t="n">
        <v>45911</v>
      </c>
      <c r="H2207" s="18" t="n">
        <v>29</v>
      </c>
      <c r="I2207" s="19" t="n">
        <v>51.29</v>
      </c>
      <c r="J2207" s="19" t="n">
        <v>52</v>
      </c>
      <c r="K2207" s="20" t="n">
        <v>0</v>
      </c>
      <c r="L2207" s="20" t="n">
        <v>0</v>
      </c>
      <c r="M2207" s="18" t="n">
        <v>29</v>
      </c>
      <c r="N2207" s="18" t="n">
        <v>29</v>
      </c>
      <c r="O2207" s="18" t="n">
        <v>0</v>
      </c>
      <c r="P2207" s="17" t="n">
        <v>45906</v>
      </c>
      <c r="Q2207" s="17" t="n">
        <v>45906</v>
      </c>
      <c r="R2207" s="17" t="n">
        <v>45906</v>
      </c>
      <c r="S2207" s="19">
        <f>H2207*I2207</f>
        <v/>
      </c>
      <c r="T2207" s="19">
        <f>H2207*J2207</f>
        <v/>
      </c>
      <c r="U2207">
        <f>IF(AND(K2207=0,G2207&lt;=Assumptions!$C$6),1,0)</f>
        <v/>
      </c>
      <c r="V2207">
        <f>IF(U2207=1,IF(M2207&gt;0,IF(P2207&lt;=G2207+Assumptions!$C$7,1,0),0),0)</f>
        <v/>
      </c>
      <c r="W2207">
        <f>IF(AND(U2207=1,M2207&gt;=H2207*(1-Assumptions!$C$8)),1,0)</f>
        <v/>
      </c>
      <c r="X2207">
        <f>IF(AND(U2207=1,N2207&gt;=H2207*(1-Assumptions!$C$8)),1,0)</f>
        <v/>
      </c>
      <c r="Y2207">
        <f>IF(ISNUMBER(Q2207),1,0)</f>
        <v/>
      </c>
      <c r="Z2207">
        <f>IF(AND(K2207=0,L2207=0,Y2207=0),1,0)</f>
        <v/>
      </c>
      <c r="AA2207">
        <f>IF(AND(Z2207=1,G2207&lt;Assumptions!$C$6),1,0)</f>
        <v/>
      </c>
      <c r="AB2207">
        <f>IF(U2207=0,"",IF(Y2207=1,MAX(0,Q2207-G2207),IF(L2207=1,MAX(0,R2207-G2207),MAX(0,Assumptions!$C$6-G2207))))</f>
        <v/>
      </c>
      <c r="AC2207">
        <f>IF(Y2207=1,Q2207-F2207,"")</f>
        <v/>
      </c>
      <c r="AD2207">
        <f>IF(Y2207=1,AC2207^2,"")</f>
        <v/>
      </c>
      <c r="AE2207" s="19">
        <f>IF(Z2207=1,(H2207-M2207)*I2207,0)</f>
        <v/>
      </c>
      <c r="AF2207">
        <f>IF(G2207&lt;EDATE(Assumptions!$C$6,-12)+1,"prior_12m","last_12m")</f>
        <v/>
      </c>
      <c r="AG2207" s="21">
        <f>DATE(YEAR(G2207),MONTH(G2207),1)</f>
        <v/>
      </c>
    </row>
    <row r="2208">
      <c r="A2208" t="inlineStr">
        <is>
          <t>SPO-01194-2</t>
        </is>
      </c>
      <c r="B2208" t="inlineStr">
        <is>
          <t>SPO-01194</t>
        </is>
      </c>
      <c r="C2208" t="inlineStr">
        <is>
          <t>SUP-08</t>
        </is>
      </c>
      <c r="D2208" t="inlineStr">
        <is>
          <t>MRO</t>
        </is>
      </c>
      <c r="E2208" t="inlineStr">
        <is>
          <t>MRO-05</t>
        </is>
      </c>
      <c r="F2208" s="17" t="n">
        <v>45900</v>
      </c>
      <c r="G2208" s="17" t="n">
        <v>45911</v>
      </c>
      <c r="H2208" s="18" t="n">
        <v>39</v>
      </c>
      <c r="I2208" s="19" t="n">
        <v>36.05</v>
      </c>
      <c r="J2208" s="19" t="n">
        <v>36</v>
      </c>
      <c r="K2208" s="20" t="n">
        <v>0</v>
      </c>
      <c r="L2208" s="20" t="n">
        <v>0</v>
      </c>
      <c r="M2208" s="18" t="n">
        <v>39</v>
      </c>
      <c r="N2208" s="18" t="n">
        <v>39</v>
      </c>
      <c r="O2208" s="18" t="n">
        <v>0</v>
      </c>
      <c r="P2208" s="17" t="n">
        <v>45908</v>
      </c>
      <c r="Q2208" s="17" t="n">
        <v>45908</v>
      </c>
      <c r="R2208" s="17" t="n">
        <v>45908</v>
      </c>
      <c r="S2208" s="19">
        <f>H2208*I2208</f>
        <v/>
      </c>
      <c r="T2208" s="19">
        <f>H2208*J2208</f>
        <v/>
      </c>
      <c r="U2208">
        <f>IF(AND(K2208=0,G2208&lt;=Assumptions!$C$6),1,0)</f>
        <v/>
      </c>
      <c r="V2208">
        <f>IF(U2208=1,IF(M2208&gt;0,IF(P2208&lt;=G2208+Assumptions!$C$7,1,0),0),0)</f>
        <v/>
      </c>
      <c r="W2208">
        <f>IF(AND(U2208=1,M2208&gt;=H2208*(1-Assumptions!$C$8)),1,0)</f>
        <v/>
      </c>
      <c r="X2208">
        <f>IF(AND(U2208=1,N2208&gt;=H2208*(1-Assumptions!$C$8)),1,0)</f>
        <v/>
      </c>
      <c r="Y2208">
        <f>IF(ISNUMBER(Q2208),1,0)</f>
        <v/>
      </c>
      <c r="Z2208">
        <f>IF(AND(K2208=0,L2208=0,Y2208=0),1,0)</f>
        <v/>
      </c>
      <c r="AA2208">
        <f>IF(AND(Z2208=1,G2208&lt;Assumptions!$C$6),1,0)</f>
        <v/>
      </c>
      <c r="AB2208">
        <f>IF(U2208=0,"",IF(Y2208=1,MAX(0,Q2208-G2208),IF(L2208=1,MAX(0,R2208-G2208),MAX(0,Assumptions!$C$6-G2208))))</f>
        <v/>
      </c>
      <c r="AC2208">
        <f>IF(Y2208=1,Q2208-F2208,"")</f>
        <v/>
      </c>
      <c r="AD2208">
        <f>IF(Y2208=1,AC2208^2,"")</f>
        <v/>
      </c>
      <c r="AE2208" s="19">
        <f>IF(Z2208=1,(H2208-M2208)*I2208,0)</f>
        <v/>
      </c>
      <c r="AF2208">
        <f>IF(G2208&lt;EDATE(Assumptions!$C$6,-12)+1,"prior_12m","last_12m")</f>
        <v/>
      </c>
      <c r="AG2208" s="21">
        <f>DATE(YEAR(G2208),MONTH(G2208),1)</f>
        <v/>
      </c>
    </row>
    <row r="2209">
      <c r="A2209" t="inlineStr">
        <is>
          <t>SPO-01195-1</t>
        </is>
      </c>
      <c r="B2209" t="inlineStr">
        <is>
          <t>SPO-01195</t>
        </is>
      </c>
      <c r="C2209" t="inlineStr">
        <is>
          <t>SUP-01</t>
        </is>
      </c>
      <c r="D2209" t="inlineStr">
        <is>
          <t>ELEC</t>
        </is>
      </c>
      <c r="E2209" t="inlineStr">
        <is>
          <t>ELEC-04</t>
        </is>
      </c>
      <c r="F2209" s="17" t="n">
        <v>45901</v>
      </c>
      <c r="G2209" s="17" t="n">
        <v>45919</v>
      </c>
      <c r="H2209" s="18" t="n">
        <v>28</v>
      </c>
      <c r="I2209" s="19" t="n">
        <v>70.52</v>
      </c>
      <c r="J2209" s="19" t="n">
        <v>72</v>
      </c>
      <c r="K2209" s="20" t="n">
        <v>0</v>
      </c>
      <c r="L2209" s="20" t="n">
        <v>0</v>
      </c>
      <c r="M2209" s="18" t="n">
        <v>28</v>
      </c>
      <c r="N2209" s="18" t="n">
        <v>28</v>
      </c>
      <c r="O2209" s="18" t="n">
        <v>0</v>
      </c>
      <c r="P2209" s="17" t="n">
        <v>45914</v>
      </c>
      <c r="Q2209" s="17" t="n">
        <v>45914</v>
      </c>
      <c r="R2209" s="17" t="n">
        <v>45914</v>
      </c>
      <c r="S2209" s="19">
        <f>H2209*I2209</f>
        <v/>
      </c>
      <c r="T2209" s="19">
        <f>H2209*J2209</f>
        <v/>
      </c>
      <c r="U2209">
        <f>IF(AND(K2209=0,G2209&lt;=Assumptions!$C$6),1,0)</f>
        <v/>
      </c>
      <c r="V2209">
        <f>IF(U2209=1,IF(M2209&gt;0,IF(P2209&lt;=G2209+Assumptions!$C$7,1,0),0),0)</f>
        <v/>
      </c>
      <c r="W2209">
        <f>IF(AND(U2209=1,M2209&gt;=H2209*(1-Assumptions!$C$8)),1,0)</f>
        <v/>
      </c>
      <c r="X2209">
        <f>IF(AND(U2209=1,N2209&gt;=H2209*(1-Assumptions!$C$8)),1,0)</f>
        <v/>
      </c>
      <c r="Y2209">
        <f>IF(ISNUMBER(Q2209),1,0)</f>
        <v/>
      </c>
      <c r="Z2209">
        <f>IF(AND(K2209=0,L2209=0,Y2209=0),1,0)</f>
        <v/>
      </c>
      <c r="AA2209">
        <f>IF(AND(Z2209=1,G2209&lt;Assumptions!$C$6),1,0)</f>
        <v/>
      </c>
      <c r="AB2209">
        <f>IF(U2209=0,"",IF(Y2209=1,MAX(0,Q2209-G2209),IF(L2209=1,MAX(0,R2209-G2209),MAX(0,Assumptions!$C$6-G2209))))</f>
        <v/>
      </c>
      <c r="AC2209">
        <f>IF(Y2209=1,Q2209-F2209,"")</f>
        <v/>
      </c>
      <c r="AD2209">
        <f>IF(Y2209=1,AC2209^2,"")</f>
        <v/>
      </c>
      <c r="AE2209" s="19">
        <f>IF(Z2209=1,(H2209-M2209)*I2209,0)</f>
        <v/>
      </c>
      <c r="AF2209">
        <f>IF(G2209&lt;EDATE(Assumptions!$C$6,-12)+1,"prior_12m","last_12m")</f>
        <v/>
      </c>
      <c r="AG2209" s="21">
        <f>DATE(YEAR(G2209),MONTH(G2209),1)</f>
        <v/>
      </c>
    </row>
    <row r="2210">
      <c r="A2210" t="inlineStr">
        <is>
          <t>SPO-01196-1</t>
        </is>
      </c>
      <c r="B2210" t="inlineStr">
        <is>
          <t>SPO-01196</t>
        </is>
      </c>
      <c r="C2210" t="inlineStr">
        <is>
          <t>SUP-12</t>
        </is>
      </c>
      <c r="D2210" t="inlineStr">
        <is>
          <t>IT</t>
        </is>
      </c>
      <c r="E2210" t="inlineStr">
        <is>
          <t>IT-07</t>
        </is>
      </c>
      <c r="F2210" s="17" t="n">
        <v>45901</v>
      </c>
      <c r="G2210" s="17" t="n">
        <v>45911</v>
      </c>
      <c r="H2210" s="18" t="n">
        <v>28</v>
      </c>
      <c r="I2210" s="19" t="n">
        <v>83.66</v>
      </c>
      <c r="J2210" s="19" t="n">
        <v>74</v>
      </c>
      <c r="K2210" s="20" t="n">
        <v>0</v>
      </c>
      <c r="L2210" s="20" t="n">
        <v>0</v>
      </c>
      <c r="M2210" s="18" t="n">
        <v>28</v>
      </c>
      <c r="N2210" s="18" t="n">
        <v>28</v>
      </c>
      <c r="O2210" s="18" t="n">
        <v>0</v>
      </c>
      <c r="P2210" s="17" t="n">
        <v>45909</v>
      </c>
      <c r="Q2210" s="17" t="n">
        <v>45909</v>
      </c>
      <c r="R2210" s="17" t="n">
        <v>45909</v>
      </c>
      <c r="S2210" s="19">
        <f>H2210*I2210</f>
        <v/>
      </c>
      <c r="T2210" s="19">
        <f>H2210*J2210</f>
        <v/>
      </c>
      <c r="U2210">
        <f>IF(AND(K2210=0,G2210&lt;=Assumptions!$C$6),1,0)</f>
        <v/>
      </c>
      <c r="V2210">
        <f>IF(U2210=1,IF(M2210&gt;0,IF(P2210&lt;=G2210+Assumptions!$C$7,1,0),0),0)</f>
        <v/>
      </c>
      <c r="W2210">
        <f>IF(AND(U2210=1,M2210&gt;=H2210*(1-Assumptions!$C$8)),1,0)</f>
        <v/>
      </c>
      <c r="X2210">
        <f>IF(AND(U2210=1,N2210&gt;=H2210*(1-Assumptions!$C$8)),1,0)</f>
        <v/>
      </c>
      <c r="Y2210">
        <f>IF(ISNUMBER(Q2210),1,0)</f>
        <v/>
      </c>
      <c r="Z2210">
        <f>IF(AND(K2210=0,L2210=0,Y2210=0),1,0)</f>
        <v/>
      </c>
      <c r="AA2210">
        <f>IF(AND(Z2210=1,G2210&lt;Assumptions!$C$6),1,0)</f>
        <v/>
      </c>
      <c r="AB2210">
        <f>IF(U2210=0,"",IF(Y2210=1,MAX(0,Q2210-G2210),IF(L2210=1,MAX(0,R2210-G2210),MAX(0,Assumptions!$C$6-G2210))))</f>
        <v/>
      </c>
      <c r="AC2210">
        <f>IF(Y2210=1,Q2210-F2210,"")</f>
        <v/>
      </c>
      <c r="AD2210">
        <f>IF(Y2210=1,AC2210^2,"")</f>
        <v/>
      </c>
      <c r="AE2210" s="19">
        <f>IF(Z2210=1,(H2210-M2210)*I2210,0)</f>
        <v/>
      </c>
      <c r="AF2210">
        <f>IF(G2210&lt;EDATE(Assumptions!$C$6,-12)+1,"prior_12m","last_12m")</f>
        <v/>
      </c>
      <c r="AG2210" s="21">
        <f>DATE(YEAR(G2210),MONTH(G2210),1)</f>
        <v/>
      </c>
    </row>
    <row r="2211">
      <c r="A2211" t="inlineStr">
        <is>
          <t>SPO-01196-2</t>
        </is>
      </c>
      <c r="B2211" t="inlineStr">
        <is>
          <t>SPO-01196</t>
        </is>
      </c>
      <c r="C2211" t="inlineStr">
        <is>
          <t>SUP-12</t>
        </is>
      </c>
      <c r="D2211" t="inlineStr">
        <is>
          <t>IT</t>
        </is>
      </c>
      <c r="E2211" t="inlineStr">
        <is>
          <t>IT-01</t>
        </is>
      </c>
      <c r="F2211" s="17" t="n">
        <v>45901</v>
      </c>
      <c r="G2211" s="17" t="n">
        <v>45911</v>
      </c>
      <c r="H2211" s="18" t="n">
        <v>6</v>
      </c>
      <c r="I2211" s="19" t="n">
        <v>206.72</v>
      </c>
      <c r="J2211" s="19" t="n">
        <v>189</v>
      </c>
      <c r="K2211" s="20" t="n">
        <v>0</v>
      </c>
      <c r="L2211" s="20" t="n">
        <v>0</v>
      </c>
      <c r="M2211" s="18" t="n">
        <v>6</v>
      </c>
      <c r="N2211" s="18" t="n">
        <v>6</v>
      </c>
      <c r="O2211" s="18" t="n">
        <v>0</v>
      </c>
      <c r="P2211" s="17" t="n">
        <v>45908</v>
      </c>
      <c r="Q2211" s="17" t="n">
        <v>45908</v>
      </c>
      <c r="R2211" s="17" t="n">
        <v>45908</v>
      </c>
      <c r="S2211" s="19">
        <f>H2211*I2211</f>
        <v/>
      </c>
      <c r="T2211" s="19">
        <f>H2211*J2211</f>
        <v/>
      </c>
      <c r="U2211">
        <f>IF(AND(K2211=0,G2211&lt;=Assumptions!$C$6),1,0)</f>
        <v/>
      </c>
      <c r="V2211">
        <f>IF(U2211=1,IF(M2211&gt;0,IF(P2211&lt;=G2211+Assumptions!$C$7,1,0),0),0)</f>
        <v/>
      </c>
      <c r="W2211">
        <f>IF(AND(U2211=1,M2211&gt;=H2211*(1-Assumptions!$C$8)),1,0)</f>
        <v/>
      </c>
      <c r="X2211">
        <f>IF(AND(U2211=1,N2211&gt;=H2211*(1-Assumptions!$C$8)),1,0)</f>
        <v/>
      </c>
      <c r="Y2211">
        <f>IF(ISNUMBER(Q2211),1,0)</f>
        <v/>
      </c>
      <c r="Z2211">
        <f>IF(AND(K2211=0,L2211=0,Y2211=0),1,0)</f>
        <v/>
      </c>
      <c r="AA2211">
        <f>IF(AND(Z2211=1,G2211&lt;Assumptions!$C$6),1,0)</f>
        <v/>
      </c>
      <c r="AB2211">
        <f>IF(U2211=0,"",IF(Y2211=1,MAX(0,Q2211-G2211),IF(L2211=1,MAX(0,R2211-G2211),MAX(0,Assumptions!$C$6-G2211))))</f>
        <v/>
      </c>
      <c r="AC2211">
        <f>IF(Y2211=1,Q2211-F2211,"")</f>
        <v/>
      </c>
      <c r="AD2211">
        <f>IF(Y2211=1,AC2211^2,"")</f>
        <v/>
      </c>
      <c r="AE2211" s="19">
        <f>IF(Z2211=1,(H2211-M2211)*I2211,0)</f>
        <v/>
      </c>
      <c r="AF2211">
        <f>IF(G2211&lt;EDATE(Assumptions!$C$6,-12)+1,"prior_12m","last_12m")</f>
        <v/>
      </c>
      <c r="AG2211" s="21">
        <f>DATE(YEAR(G2211),MONTH(G2211),1)</f>
        <v/>
      </c>
    </row>
    <row r="2212">
      <c r="A2212" t="inlineStr">
        <is>
          <t>SPO-01197-1</t>
        </is>
      </c>
      <c r="B2212" t="inlineStr">
        <is>
          <t>SPO-01197</t>
        </is>
      </c>
      <c r="C2212" t="inlineStr">
        <is>
          <t>SUP-06</t>
        </is>
      </c>
      <c r="D2212" t="inlineStr">
        <is>
          <t>MRO</t>
        </is>
      </c>
      <c r="E2212" t="inlineStr">
        <is>
          <t>MRO-07</t>
        </is>
      </c>
      <c r="F2212" s="17" t="n">
        <v>45901</v>
      </c>
      <c r="G2212" s="17" t="n">
        <v>45909</v>
      </c>
      <c r="H2212" s="18" t="n">
        <v>145</v>
      </c>
      <c r="I2212" s="19" t="n">
        <v>14.55</v>
      </c>
      <c r="J2212" s="19" t="n">
        <v>14</v>
      </c>
      <c r="K2212" s="20" t="n">
        <v>0</v>
      </c>
      <c r="L2212" s="20" t="n">
        <v>0</v>
      </c>
      <c r="M2212" s="18" t="n">
        <v>145</v>
      </c>
      <c r="N2212" s="18" t="n">
        <v>145</v>
      </c>
      <c r="O2212" s="18" t="n">
        <v>0</v>
      </c>
      <c r="P2212" s="17" t="n">
        <v>45907</v>
      </c>
      <c r="Q2212" s="17" t="n">
        <v>45907</v>
      </c>
      <c r="R2212" s="17" t="n">
        <v>45907</v>
      </c>
      <c r="S2212" s="19">
        <f>H2212*I2212</f>
        <v/>
      </c>
      <c r="T2212" s="19">
        <f>H2212*J2212</f>
        <v/>
      </c>
      <c r="U2212">
        <f>IF(AND(K2212=0,G2212&lt;=Assumptions!$C$6),1,0)</f>
        <v/>
      </c>
      <c r="V2212">
        <f>IF(U2212=1,IF(M2212&gt;0,IF(P2212&lt;=G2212+Assumptions!$C$7,1,0),0),0)</f>
        <v/>
      </c>
      <c r="W2212">
        <f>IF(AND(U2212=1,M2212&gt;=H2212*(1-Assumptions!$C$8)),1,0)</f>
        <v/>
      </c>
      <c r="X2212">
        <f>IF(AND(U2212=1,N2212&gt;=H2212*(1-Assumptions!$C$8)),1,0)</f>
        <v/>
      </c>
      <c r="Y2212">
        <f>IF(ISNUMBER(Q2212),1,0)</f>
        <v/>
      </c>
      <c r="Z2212">
        <f>IF(AND(K2212=0,L2212=0,Y2212=0),1,0)</f>
        <v/>
      </c>
      <c r="AA2212">
        <f>IF(AND(Z2212=1,G2212&lt;Assumptions!$C$6),1,0)</f>
        <v/>
      </c>
      <c r="AB2212">
        <f>IF(U2212=0,"",IF(Y2212=1,MAX(0,Q2212-G2212),IF(L2212=1,MAX(0,R2212-G2212),MAX(0,Assumptions!$C$6-G2212))))</f>
        <v/>
      </c>
      <c r="AC2212">
        <f>IF(Y2212=1,Q2212-F2212,"")</f>
        <v/>
      </c>
      <c r="AD2212">
        <f>IF(Y2212=1,AC2212^2,"")</f>
        <v/>
      </c>
      <c r="AE2212" s="19">
        <f>IF(Z2212=1,(H2212-M2212)*I2212,0)</f>
        <v/>
      </c>
      <c r="AF2212">
        <f>IF(G2212&lt;EDATE(Assumptions!$C$6,-12)+1,"prior_12m","last_12m")</f>
        <v/>
      </c>
      <c r="AG2212" s="21">
        <f>DATE(YEAR(G2212),MONTH(G2212),1)</f>
        <v/>
      </c>
    </row>
    <row r="2213">
      <c r="A2213" t="inlineStr">
        <is>
          <t>SPO-01197-2</t>
        </is>
      </c>
      <c r="B2213" t="inlineStr">
        <is>
          <t>SPO-01197</t>
        </is>
      </c>
      <c r="C2213" t="inlineStr">
        <is>
          <t>SUP-06</t>
        </is>
      </c>
      <c r="D2213" t="inlineStr">
        <is>
          <t>MRO</t>
        </is>
      </c>
      <c r="E2213" t="inlineStr">
        <is>
          <t>MRO-06</t>
        </is>
      </c>
      <c r="F2213" s="17" t="n">
        <v>45901</v>
      </c>
      <c r="G2213" s="17" t="n">
        <v>45909</v>
      </c>
      <c r="H2213" s="18" t="n">
        <v>400</v>
      </c>
      <c r="I2213" s="19" t="n">
        <v>6.17</v>
      </c>
      <c r="J2213" s="19" t="n">
        <v>6.1</v>
      </c>
      <c r="K2213" s="20" t="n">
        <v>0</v>
      </c>
      <c r="L2213" s="20" t="n">
        <v>0</v>
      </c>
      <c r="M2213" s="18" t="n">
        <v>400</v>
      </c>
      <c r="N2213" s="18" t="n">
        <v>400</v>
      </c>
      <c r="O2213" s="18" t="n">
        <v>0</v>
      </c>
      <c r="P2213" s="17" t="n">
        <v>45909</v>
      </c>
      <c r="Q2213" s="17" t="n">
        <v>45909</v>
      </c>
      <c r="R2213" s="17" t="n">
        <v>45909</v>
      </c>
      <c r="S2213" s="19">
        <f>H2213*I2213</f>
        <v/>
      </c>
      <c r="T2213" s="19">
        <f>H2213*J2213</f>
        <v/>
      </c>
      <c r="U2213">
        <f>IF(AND(K2213=0,G2213&lt;=Assumptions!$C$6),1,0)</f>
        <v/>
      </c>
      <c r="V2213">
        <f>IF(U2213=1,IF(M2213&gt;0,IF(P2213&lt;=G2213+Assumptions!$C$7,1,0),0),0)</f>
        <v/>
      </c>
      <c r="W2213">
        <f>IF(AND(U2213=1,M2213&gt;=H2213*(1-Assumptions!$C$8)),1,0)</f>
        <v/>
      </c>
      <c r="X2213">
        <f>IF(AND(U2213=1,N2213&gt;=H2213*(1-Assumptions!$C$8)),1,0)</f>
        <v/>
      </c>
      <c r="Y2213">
        <f>IF(ISNUMBER(Q2213),1,0)</f>
        <v/>
      </c>
      <c r="Z2213">
        <f>IF(AND(K2213=0,L2213=0,Y2213=0),1,0)</f>
        <v/>
      </c>
      <c r="AA2213">
        <f>IF(AND(Z2213=1,G2213&lt;Assumptions!$C$6),1,0)</f>
        <v/>
      </c>
      <c r="AB2213">
        <f>IF(U2213=0,"",IF(Y2213=1,MAX(0,Q2213-G2213),IF(L2213=1,MAX(0,R2213-G2213),MAX(0,Assumptions!$C$6-G2213))))</f>
        <v/>
      </c>
      <c r="AC2213">
        <f>IF(Y2213=1,Q2213-F2213,"")</f>
        <v/>
      </c>
      <c r="AD2213">
        <f>IF(Y2213=1,AC2213^2,"")</f>
        <v/>
      </c>
      <c r="AE2213" s="19">
        <f>IF(Z2213=1,(H2213-M2213)*I2213,0)</f>
        <v/>
      </c>
      <c r="AF2213">
        <f>IF(G2213&lt;EDATE(Assumptions!$C$6,-12)+1,"prior_12m","last_12m")</f>
        <v/>
      </c>
      <c r="AG2213" s="21">
        <f>DATE(YEAR(G2213),MONTH(G2213),1)</f>
        <v/>
      </c>
    </row>
    <row r="2214">
      <c r="A2214" t="inlineStr">
        <is>
          <t>SPO-01197-3</t>
        </is>
      </c>
      <c r="B2214" t="inlineStr">
        <is>
          <t>SPO-01197</t>
        </is>
      </c>
      <c r="C2214" t="inlineStr">
        <is>
          <t>SUP-06</t>
        </is>
      </c>
      <c r="D2214" t="inlineStr">
        <is>
          <t>MRO</t>
        </is>
      </c>
      <c r="E2214" t="inlineStr">
        <is>
          <t>MRO-03</t>
        </is>
      </c>
      <c r="F2214" s="17" t="n">
        <v>45901</v>
      </c>
      <c r="G2214" s="17" t="n">
        <v>45909</v>
      </c>
      <c r="H2214" s="18" t="n">
        <v>124</v>
      </c>
      <c r="I2214" s="19" t="n">
        <v>8.98</v>
      </c>
      <c r="J2214" s="19" t="n">
        <v>8.9</v>
      </c>
      <c r="K2214" s="20" t="n">
        <v>0</v>
      </c>
      <c r="L2214" s="20" t="n">
        <v>0</v>
      </c>
      <c r="M2214" s="18" t="n">
        <v>124</v>
      </c>
      <c r="N2214" s="18" t="n">
        <v>124</v>
      </c>
      <c r="O2214" s="18" t="n">
        <v>0</v>
      </c>
      <c r="P2214" s="17" t="n">
        <v>45909</v>
      </c>
      <c r="Q2214" s="17" t="n">
        <v>45909</v>
      </c>
      <c r="R2214" s="17" t="n">
        <v>45909</v>
      </c>
      <c r="S2214" s="19">
        <f>H2214*I2214</f>
        <v/>
      </c>
      <c r="T2214" s="19">
        <f>H2214*J2214</f>
        <v/>
      </c>
      <c r="U2214">
        <f>IF(AND(K2214=0,G2214&lt;=Assumptions!$C$6),1,0)</f>
        <v/>
      </c>
      <c r="V2214">
        <f>IF(U2214=1,IF(M2214&gt;0,IF(P2214&lt;=G2214+Assumptions!$C$7,1,0),0),0)</f>
        <v/>
      </c>
      <c r="W2214">
        <f>IF(AND(U2214=1,M2214&gt;=H2214*(1-Assumptions!$C$8)),1,0)</f>
        <v/>
      </c>
      <c r="X2214">
        <f>IF(AND(U2214=1,N2214&gt;=H2214*(1-Assumptions!$C$8)),1,0)</f>
        <v/>
      </c>
      <c r="Y2214">
        <f>IF(ISNUMBER(Q2214),1,0)</f>
        <v/>
      </c>
      <c r="Z2214">
        <f>IF(AND(K2214=0,L2214=0,Y2214=0),1,0)</f>
        <v/>
      </c>
      <c r="AA2214">
        <f>IF(AND(Z2214=1,G2214&lt;Assumptions!$C$6),1,0)</f>
        <v/>
      </c>
      <c r="AB2214">
        <f>IF(U2214=0,"",IF(Y2214=1,MAX(0,Q2214-G2214),IF(L2214=1,MAX(0,R2214-G2214),MAX(0,Assumptions!$C$6-G2214))))</f>
        <v/>
      </c>
      <c r="AC2214">
        <f>IF(Y2214=1,Q2214-F2214,"")</f>
        <v/>
      </c>
      <c r="AD2214">
        <f>IF(Y2214=1,AC2214^2,"")</f>
        <v/>
      </c>
      <c r="AE2214" s="19">
        <f>IF(Z2214=1,(H2214-M2214)*I2214,0)</f>
        <v/>
      </c>
      <c r="AF2214">
        <f>IF(G2214&lt;EDATE(Assumptions!$C$6,-12)+1,"prior_12m","last_12m")</f>
        <v/>
      </c>
      <c r="AG2214" s="21">
        <f>DATE(YEAR(G2214),MONTH(G2214),1)</f>
        <v/>
      </c>
    </row>
    <row r="2215">
      <c r="A2215" t="inlineStr">
        <is>
          <t>SPO-01197-4</t>
        </is>
      </c>
      <c r="B2215" t="inlineStr">
        <is>
          <t>SPO-01197</t>
        </is>
      </c>
      <c r="C2215" t="inlineStr">
        <is>
          <t>SUP-06</t>
        </is>
      </c>
      <c r="D2215" t="inlineStr">
        <is>
          <t>MRO</t>
        </is>
      </c>
      <c r="E2215" t="inlineStr">
        <is>
          <t>MRO-08</t>
        </is>
      </c>
      <c r="F2215" s="17" t="n">
        <v>45901</v>
      </c>
      <c r="G2215" s="17" t="n">
        <v>45909</v>
      </c>
      <c r="H2215" s="18" t="n">
        <v>391</v>
      </c>
      <c r="I2215" s="19" t="n">
        <v>7.07</v>
      </c>
      <c r="J2215" s="19" t="n">
        <v>7.2</v>
      </c>
      <c r="K2215" s="20" t="n">
        <v>0</v>
      </c>
      <c r="L2215" s="20" t="n">
        <v>0</v>
      </c>
      <c r="M2215" s="18" t="n">
        <v>391</v>
      </c>
      <c r="N2215" s="18" t="n">
        <v>391</v>
      </c>
      <c r="O2215" s="18" t="n">
        <v>0</v>
      </c>
      <c r="P2215" s="17" t="n">
        <v>45907</v>
      </c>
      <c r="Q2215" s="17" t="n">
        <v>45907</v>
      </c>
      <c r="R2215" s="17" t="n">
        <v>45907</v>
      </c>
      <c r="S2215" s="19">
        <f>H2215*I2215</f>
        <v/>
      </c>
      <c r="T2215" s="19">
        <f>H2215*J2215</f>
        <v/>
      </c>
      <c r="U2215">
        <f>IF(AND(K2215=0,G2215&lt;=Assumptions!$C$6),1,0)</f>
        <v/>
      </c>
      <c r="V2215">
        <f>IF(U2215=1,IF(M2215&gt;0,IF(P2215&lt;=G2215+Assumptions!$C$7,1,0),0),0)</f>
        <v/>
      </c>
      <c r="W2215">
        <f>IF(AND(U2215=1,M2215&gt;=H2215*(1-Assumptions!$C$8)),1,0)</f>
        <v/>
      </c>
      <c r="X2215">
        <f>IF(AND(U2215=1,N2215&gt;=H2215*(1-Assumptions!$C$8)),1,0)</f>
        <v/>
      </c>
      <c r="Y2215">
        <f>IF(ISNUMBER(Q2215),1,0)</f>
        <v/>
      </c>
      <c r="Z2215">
        <f>IF(AND(K2215=0,L2215=0,Y2215=0),1,0)</f>
        <v/>
      </c>
      <c r="AA2215">
        <f>IF(AND(Z2215=1,G2215&lt;Assumptions!$C$6),1,0)</f>
        <v/>
      </c>
      <c r="AB2215">
        <f>IF(U2215=0,"",IF(Y2215=1,MAX(0,Q2215-G2215),IF(L2215=1,MAX(0,R2215-G2215),MAX(0,Assumptions!$C$6-G2215))))</f>
        <v/>
      </c>
      <c r="AC2215">
        <f>IF(Y2215=1,Q2215-F2215,"")</f>
        <v/>
      </c>
      <c r="AD2215">
        <f>IF(Y2215=1,AC2215^2,"")</f>
        <v/>
      </c>
      <c r="AE2215" s="19">
        <f>IF(Z2215=1,(H2215-M2215)*I2215,0)</f>
        <v/>
      </c>
      <c r="AF2215">
        <f>IF(G2215&lt;EDATE(Assumptions!$C$6,-12)+1,"prior_12m","last_12m")</f>
        <v/>
      </c>
      <c r="AG2215" s="21">
        <f>DATE(YEAR(G2215),MONTH(G2215),1)</f>
        <v/>
      </c>
    </row>
    <row r="2216">
      <c r="A2216" t="inlineStr">
        <is>
          <t>SPO-01198-1</t>
        </is>
      </c>
      <c r="B2216" t="inlineStr">
        <is>
          <t>SPO-01198</t>
        </is>
      </c>
      <c r="C2216" t="inlineStr">
        <is>
          <t>SUP-14</t>
        </is>
      </c>
      <c r="D2216" t="inlineStr">
        <is>
          <t>FLEET</t>
        </is>
      </c>
      <c r="E2216" t="inlineStr">
        <is>
          <t>FLEET-02</t>
        </is>
      </c>
      <c r="F2216" s="17" t="n">
        <v>45901</v>
      </c>
      <c r="G2216" s="17" t="n">
        <v>45915</v>
      </c>
      <c r="H2216" s="18" t="n">
        <v>192</v>
      </c>
      <c r="I2216" s="19" t="n">
        <v>7.57</v>
      </c>
      <c r="J2216" s="19" t="n">
        <v>7.5</v>
      </c>
      <c r="K2216" s="20" t="n">
        <v>0</v>
      </c>
      <c r="L2216" s="20" t="n">
        <v>0</v>
      </c>
      <c r="M2216" s="18" t="n">
        <v>192</v>
      </c>
      <c r="N2216" s="18" t="n">
        <v>192</v>
      </c>
      <c r="O2216" s="18" t="n">
        <v>0</v>
      </c>
      <c r="P2216" s="17" t="n">
        <v>45910</v>
      </c>
      <c r="Q2216" s="17" t="n">
        <v>45910</v>
      </c>
      <c r="R2216" s="17" t="n">
        <v>45910</v>
      </c>
      <c r="S2216" s="19">
        <f>H2216*I2216</f>
        <v/>
      </c>
      <c r="T2216" s="19">
        <f>H2216*J2216</f>
        <v/>
      </c>
      <c r="U2216">
        <f>IF(AND(K2216=0,G2216&lt;=Assumptions!$C$6),1,0)</f>
        <v/>
      </c>
      <c r="V2216">
        <f>IF(U2216=1,IF(M2216&gt;0,IF(P2216&lt;=G2216+Assumptions!$C$7,1,0),0),0)</f>
        <v/>
      </c>
      <c r="W2216">
        <f>IF(AND(U2216=1,M2216&gt;=H2216*(1-Assumptions!$C$8)),1,0)</f>
        <v/>
      </c>
      <c r="X2216">
        <f>IF(AND(U2216=1,N2216&gt;=H2216*(1-Assumptions!$C$8)),1,0)</f>
        <v/>
      </c>
      <c r="Y2216">
        <f>IF(ISNUMBER(Q2216),1,0)</f>
        <v/>
      </c>
      <c r="Z2216">
        <f>IF(AND(K2216=0,L2216=0,Y2216=0),1,0)</f>
        <v/>
      </c>
      <c r="AA2216">
        <f>IF(AND(Z2216=1,G2216&lt;Assumptions!$C$6),1,0)</f>
        <v/>
      </c>
      <c r="AB2216">
        <f>IF(U2216=0,"",IF(Y2216=1,MAX(0,Q2216-G2216),IF(L2216=1,MAX(0,R2216-G2216),MAX(0,Assumptions!$C$6-G2216))))</f>
        <v/>
      </c>
      <c r="AC2216">
        <f>IF(Y2216=1,Q2216-F2216,"")</f>
        <v/>
      </c>
      <c r="AD2216">
        <f>IF(Y2216=1,AC2216^2,"")</f>
        <v/>
      </c>
      <c r="AE2216" s="19">
        <f>IF(Z2216=1,(H2216-M2216)*I2216,0)</f>
        <v/>
      </c>
      <c r="AF2216">
        <f>IF(G2216&lt;EDATE(Assumptions!$C$6,-12)+1,"prior_12m","last_12m")</f>
        <v/>
      </c>
      <c r="AG2216" s="21">
        <f>DATE(YEAR(G2216),MONTH(G2216),1)</f>
        <v/>
      </c>
    </row>
    <row r="2217">
      <c r="A2217" t="inlineStr">
        <is>
          <t>SPO-01198-2</t>
        </is>
      </c>
      <c r="B2217" t="inlineStr">
        <is>
          <t>SPO-01198</t>
        </is>
      </c>
      <c r="C2217" t="inlineStr">
        <is>
          <t>SUP-14</t>
        </is>
      </c>
      <c r="D2217" t="inlineStr">
        <is>
          <t>FLEET</t>
        </is>
      </c>
      <c r="E2217" t="inlineStr">
        <is>
          <t>FLEET-04</t>
        </is>
      </c>
      <c r="F2217" s="17" t="n">
        <v>45901</v>
      </c>
      <c r="G2217" s="17" t="n">
        <v>45915</v>
      </c>
      <c r="H2217" s="18" t="n">
        <v>488</v>
      </c>
      <c r="I2217" s="19" t="n">
        <v>8.9</v>
      </c>
      <c r="J2217" s="19" t="n">
        <v>9</v>
      </c>
      <c r="K2217" s="20" t="n">
        <v>0</v>
      </c>
      <c r="L2217" s="20" t="n">
        <v>0</v>
      </c>
      <c r="M2217" s="18" t="n">
        <v>488</v>
      </c>
      <c r="N2217" s="18" t="n">
        <v>488</v>
      </c>
      <c r="O2217" s="18" t="n">
        <v>0</v>
      </c>
      <c r="P2217" s="17" t="n">
        <v>45911</v>
      </c>
      <c r="Q2217" s="17" t="n">
        <v>45911</v>
      </c>
      <c r="R2217" s="17" t="n">
        <v>45911</v>
      </c>
      <c r="S2217" s="19">
        <f>H2217*I2217</f>
        <v/>
      </c>
      <c r="T2217" s="19">
        <f>H2217*J2217</f>
        <v/>
      </c>
      <c r="U2217">
        <f>IF(AND(K2217=0,G2217&lt;=Assumptions!$C$6),1,0)</f>
        <v/>
      </c>
      <c r="V2217">
        <f>IF(U2217=1,IF(M2217&gt;0,IF(P2217&lt;=G2217+Assumptions!$C$7,1,0),0),0)</f>
        <v/>
      </c>
      <c r="W2217">
        <f>IF(AND(U2217=1,M2217&gt;=H2217*(1-Assumptions!$C$8)),1,0)</f>
        <v/>
      </c>
      <c r="X2217">
        <f>IF(AND(U2217=1,N2217&gt;=H2217*(1-Assumptions!$C$8)),1,0)</f>
        <v/>
      </c>
      <c r="Y2217">
        <f>IF(ISNUMBER(Q2217),1,0)</f>
        <v/>
      </c>
      <c r="Z2217">
        <f>IF(AND(K2217=0,L2217=0,Y2217=0),1,0)</f>
        <v/>
      </c>
      <c r="AA2217">
        <f>IF(AND(Z2217=1,G2217&lt;Assumptions!$C$6),1,0)</f>
        <v/>
      </c>
      <c r="AB2217">
        <f>IF(U2217=0,"",IF(Y2217=1,MAX(0,Q2217-G2217),IF(L2217=1,MAX(0,R2217-G2217),MAX(0,Assumptions!$C$6-G2217))))</f>
        <v/>
      </c>
      <c r="AC2217">
        <f>IF(Y2217=1,Q2217-F2217,"")</f>
        <v/>
      </c>
      <c r="AD2217">
        <f>IF(Y2217=1,AC2217^2,"")</f>
        <v/>
      </c>
      <c r="AE2217" s="19">
        <f>IF(Z2217=1,(H2217-M2217)*I2217,0)</f>
        <v/>
      </c>
      <c r="AF2217">
        <f>IF(G2217&lt;EDATE(Assumptions!$C$6,-12)+1,"prior_12m","last_12m")</f>
        <v/>
      </c>
      <c r="AG2217" s="21">
        <f>DATE(YEAR(G2217),MONTH(G2217),1)</f>
        <v/>
      </c>
    </row>
    <row r="2218">
      <c r="A2218" t="inlineStr">
        <is>
          <t>SPO-01198-3</t>
        </is>
      </c>
      <c r="B2218" t="inlineStr">
        <is>
          <t>SPO-01198</t>
        </is>
      </c>
      <c r="C2218" t="inlineStr">
        <is>
          <t>SUP-14</t>
        </is>
      </c>
      <c r="D2218" t="inlineStr">
        <is>
          <t>FLEET</t>
        </is>
      </c>
      <c r="E2218" t="inlineStr">
        <is>
          <t>FLEET-03</t>
        </is>
      </c>
      <c r="F2218" s="17" t="n">
        <v>45901</v>
      </c>
      <c r="G2218" s="17" t="n">
        <v>45915</v>
      </c>
      <c r="H2218" s="18" t="n">
        <v>66</v>
      </c>
      <c r="I2218" s="19" t="n">
        <v>21.23</v>
      </c>
      <c r="J2218" s="19" t="n">
        <v>21</v>
      </c>
      <c r="K2218" s="20" t="n">
        <v>0</v>
      </c>
      <c r="L2218" s="20" t="n">
        <v>0</v>
      </c>
      <c r="M2218" s="18" t="n">
        <v>66</v>
      </c>
      <c r="N2218" s="18" t="n">
        <v>66</v>
      </c>
      <c r="O2218" s="18" t="n">
        <v>0</v>
      </c>
      <c r="P2218" s="17" t="n">
        <v>45910</v>
      </c>
      <c r="Q2218" s="17" t="n">
        <v>45910</v>
      </c>
      <c r="R2218" s="17" t="n">
        <v>45910</v>
      </c>
      <c r="S2218" s="19">
        <f>H2218*I2218</f>
        <v/>
      </c>
      <c r="T2218" s="19">
        <f>H2218*J2218</f>
        <v/>
      </c>
      <c r="U2218">
        <f>IF(AND(K2218=0,G2218&lt;=Assumptions!$C$6),1,0)</f>
        <v/>
      </c>
      <c r="V2218">
        <f>IF(U2218=1,IF(M2218&gt;0,IF(P2218&lt;=G2218+Assumptions!$C$7,1,0),0),0)</f>
        <v/>
      </c>
      <c r="W2218">
        <f>IF(AND(U2218=1,M2218&gt;=H2218*(1-Assumptions!$C$8)),1,0)</f>
        <v/>
      </c>
      <c r="X2218">
        <f>IF(AND(U2218=1,N2218&gt;=H2218*(1-Assumptions!$C$8)),1,0)</f>
        <v/>
      </c>
      <c r="Y2218">
        <f>IF(ISNUMBER(Q2218),1,0)</f>
        <v/>
      </c>
      <c r="Z2218">
        <f>IF(AND(K2218=0,L2218=0,Y2218=0),1,0)</f>
        <v/>
      </c>
      <c r="AA2218">
        <f>IF(AND(Z2218=1,G2218&lt;Assumptions!$C$6),1,0)</f>
        <v/>
      </c>
      <c r="AB2218">
        <f>IF(U2218=0,"",IF(Y2218=1,MAX(0,Q2218-G2218),IF(L2218=1,MAX(0,R2218-G2218),MAX(0,Assumptions!$C$6-G2218))))</f>
        <v/>
      </c>
      <c r="AC2218">
        <f>IF(Y2218=1,Q2218-F2218,"")</f>
        <v/>
      </c>
      <c r="AD2218">
        <f>IF(Y2218=1,AC2218^2,"")</f>
        <v/>
      </c>
      <c r="AE2218" s="19">
        <f>IF(Z2218=1,(H2218-M2218)*I2218,0)</f>
        <v/>
      </c>
      <c r="AF2218">
        <f>IF(G2218&lt;EDATE(Assumptions!$C$6,-12)+1,"prior_12m","last_12m")</f>
        <v/>
      </c>
      <c r="AG2218" s="21">
        <f>DATE(YEAR(G2218),MONTH(G2218),1)</f>
        <v/>
      </c>
    </row>
    <row r="2219">
      <c r="A2219" t="inlineStr">
        <is>
          <t>SPO-01199-1</t>
        </is>
      </c>
      <c r="B2219" t="inlineStr">
        <is>
          <t>SPO-01199</t>
        </is>
      </c>
      <c r="C2219" t="inlineStr">
        <is>
          <t>SUP-10</t>
        </is>
      </c>
      <c r="D2219" t="inlineStr">
        <is>
          <t>PPE</t>
        </is>
      </c>
      <c r="E2219" t="inlineStr">
        <is>
          <t>PPE-01</t>
        </is>
      </c>
      <c r="F2219" s="17" t="n">
        <v>45901</v>
      </c>
      <c r="G2219" s="17" t="n">
        <v>45914</v>
      </c>
      <c r="H2219" s="18" t="n">
        <v>217</v>
      </c>
      <c r="I2219" s="19" t="n">
        <v>4.63</v>
      </c>
      <c r="J2219" s="19" t="n">
        <v>4.8</v>
      </c>
      <c r="K2219" s="20" t="n">
        <v>0</v>
      </c>
      <c r="L2219" s="20" t="n">
        <v>0</v>
      </c>
      <c r="M2219" s="18" t="n">
        <v>217</v>
      </c>
      <c r="N2219" s="18" t="n">
        <v>217</v>
      </c>
      <c r="O2219" s="18" t="n">
        <v>48</v>
      </c>
      <c r="P2219" s="17" t="n">
        <v>45908</v>
      </c>
      <c r="Q2219" s="17" t="n">
        <v>45908</v>
      </c>
      <c r="R2219" s="17" t="n">
        <v>45908</v>
      </c>
      <c r="S2219" s="19">
        <f>H2219*I2219</f>
        <v/>
      </c>
      <c r="T2219" s="19">
        <f>H2219*J2219</f>
        <v/>
      </c>
      <c r="U2219">
        <f>IF(AND(K2219=0,G2219&lt;=Assumptions!$C$6),1,0)</f>
        <v/>
      </c>
      <c r="V2219">
        <f>IF(U2219=1,IF(M2219&gt;0,IF(P2219&lt;=G2219+Assumptions!$C$7,1,0),0),0)</f>
        <v/>
      </c>
      <c r="W2219">
        <f>IF(AND(U2219=1,M2219&gt;=H2219*(1-Assumptions!$C$8)),1,0)</f>
        <v/>
      </c>
      <c r="X2219">
        <f>IF(AND(U2219=1,N2219&gt;=H2219*(1-Assumptions!$C$8)),1,0)</f>
        <v/>
      </c>
      <c r="Y2219">
        <f>IF(ISNUMBER(Q2219),1,0)</f>
        <v/>
      </c>
      <c r="Z2219">
        <f>IF(AND(K2219=0,L2219=0,Y2219=0),1,0)</f>
        <v/>
      </c>
      <c r="AA2219">
        <f>IF(AND(Z2219=1,G2219&lt;Assumptions!$C$6),1,0)</f>
        <v/>
      </c>
      <c r="AB2219">
        <f>IF(U2219=0,"",IF(Y2219=1,MAX(0,Q2219-G2219),IF(L2219=1,MAX(0,R2219-G2219),MAX(0,Assumptions!$C$6-G2219))))</f>
        <v/>
      </c>
      <c r="AC2219">
        <f>IF(Y2219=1,Q2219-F2219,"")</f>
        <v/>
      </c>
      <c r="AD2219">
        <f>IF(Y2219=1,AC2219^2,"")</f>
        <v/>
      </c>
      <c r="AE2219" s="19">
        <f>IF(Z2219=1,(H2219-M2219)*I2219,0)</f>
        <v/>
      </c>
      <c r="AF2219">
        <f>IF(G2219&lt;EDATE(Assumptions!$C$6,-12)+1,"prior_12m","last_12m")</f>
        <v/>
      </c>
      <c r="AG2219" s="21">
        <f>DATE(YEAR(G2219),MONTH(G2219),1)</f>
        <v/>
      </c>
    </row>
    <row r="2220">
      <c r="A2220" t="inlineStr">
        <is>
          <t>SPO-01200-1</t>
        </is>
      </c>
      <c r="B2220" t="inlineStr">
        <is>
          <t>SPO-01200</t>
        </is>
      </c>
      <c r="C2220" t="inlineStr">
        <is>
          <t>SUP-10</t>
        </is>
      </c>
      <c r="D2220" t="inlineStr">
        <is>
          <t>PPE</t>
        </is>
      </c>
      <c r="E2220" t="inlineStr">
        <is>
          <t>PPE-07</t>
        </is>
      </c>
      <c r="F2220" s="17" t="n">
        <v>45902</v>
      </c>
      <c r="G2220" s="17" t="n">
        <v>45915</v>
      </c>
      <c r="H2220" s="18" t="n">
        <v>32</v>
      </c>
      <c r="I2220" s="19" t="n">
        <v>30.5</v>
      </c>
      <c r="J2220" s="19" t="n">
        <v>31</v>
      </c>
      <c r="K2220" s="20" t="n">
        <v>0</v>
      </c>
      <c r="L2220" s="20" t="n">
        <v>0</v>
      </c>
      <c r="M2220" s="18" t="n">
        <v>32</v>
      </c>
      <c r="N2220" s="18" t="n">
        <v>32</v>
      </c>
      <c r="O2220" s="18" t="n">
        <v>0</v>
      </c>
      <c r="P2220" s="17" t="n">
        <v>45914</v>
      </c>
      <c r="Q2220" s="17" t="n">
        <v>45914</v>
      </c>
      <c r="R2220" s="17" t="n">
        <v>45914</v>
      </c>
      <c r="S2220" s="19">
        <f>H2220*I2220</f>
        <v/>
      </c>
      <c r="T2220" s="19">
        <f>H2220*J2220</f>
        <v/>
      </c>
      <c r="U2220">
        <f>IF(AND(K2220=0,G2220&lt;=Assumptions!$C$6),1,0)</f>
        <v/>
      </c>
      <c r="V2220">
        <f>IF(U2220=1,IF(M2220&gt;0,IF(P2220&lt;=G2220+Assumptions!$C$7,1,0),0),0)</f>
        <v/>
      </c>
      <c r="W2220">
        <f>IF(AND(U2220=1,M2220&gt;=H2220*(1-Assumptions!$C$8)),1,0)</f>
        <v/>
      </c>
      <c r="X2220">
        <f>IF(AND(U2220=1,N2220&gt;=H2220*(1-Assumptions!$C$8)),1,0)</f>
        <v/>
      </c>
      <c r="Y2220">
        <f>IF(ISNUMBER(Q2220),1,0)</f>
        <v/>
      </c>
      <c r="Z2220">
        <f>IF(AND(K2220=0,L2220=0,Y2220=0),1,0)</f>
        <v/>
      </c>
      <c r="AA2220">
        <f>IF(AND(Z2220=1,G2220&lt;Assumptions!$C$6),1,0)</f>
        <v/>
      </c>
      <c r="AB2220">
        <f>IF(U2220=0,"",IF(Y2220=1,MAX(0,Q2220-G2220),IF(L2220=1,MAX(0,R2220-G2220),MAX(0,Assumptions!$C$6-G2220))))</f>
        <v/>
      </c>
      <c r="AC2220">
        <f>IF(Y2220=1,Q2220-F2220,"")</f>
        <v/>
      </c>
      <c r="AD2220">
        <f>IF(Y2220=1,AC2220^2,"")</f>
        <v/>
      </c>
      <c r="AE2220" s="19">
        <f>IF(Z2220=1,(H2220-M2220)*I2220,0)</f>
        <v/>
      </c>
      <c r="AF2220">
        <f>IF(G2220&lt;EDATE(Assumptions!$C$6,-12)+1,"prior_12m","last_12m")</f>
        <v/>
      </c>
      <c r="AG2220" s="21">
        <f>DATE(YEAR(G2220),MONTH(G2220),1)</f>
        <v/>
      </c>
    </row>
    <row r="2221">
      <c r="A2221" t="inlineStr">
        <is>
          <t>SPO-01201-1</t>
        </is>
      </c>
      <c r="B2221" t="inlineStr">
        <is>
          <t>SPO-01201</t>
        </is>
      </c>
      <c r="C2221" t="inlineStr">
        <is>
          <t>SUP-06</t>
        </is>
      </c>
      <c r="D2221" t="inlineStr">
        <is>
          <t>MRO</t>
        </is>
      </c>
      <c r="E2221" t="inlineStr">
        <is>
          <t>MRO-02</t>
        </is>
      </c>
      <c r="F2221" s="17" t="n">
        <v>45902</v>
      </c>
      <c r="G2221" s="17" t="n">
        <v>45910</v>
      </c>
      <c r="H2221" s="18" t="n">
        <v>22</v>
      </c>
      <c r="I2221" s="19" t="n">
        <v>42.91</v>
      </c>
      <c r="J2221" s="19" t="n">
        <v>41</v>
      </c>
      <c r="K2221" s="20" t="n">
        <v>0</v>
      </c>
      <c r="L2221" s="20" t="n">
        <v>0</v>
      </c>
      <c r="M2221" s="18" t="n">
        <v>22</v>
      </c>
      <c r="N2221" s="18" t="n">
        <v>22</v>
      </c>
      <c r="O2221" s="18" t="n">
        <v>0</v>
      </c>
      <c r="P2221" s="17" t="n">
        <v>45908</v>
      </c>
      <c r="Q2221" s="17" t="n">
        <v>45908</v>
      </c>
      <c r="R2221" s="17" t="n">
        <v>45908</v>
      </c>
      <c r="S2221" s="19">
        <f>H2221*I2221</f>
        <v/>
      </c>
      <c r="T2221" s="19">
        <f>H2221*J2221</f>
        <v/>
      </c>
      <c r="U2221">
        <f>IF(AND(K2221=0,G2221&lt;=Assumptions!$C$6),1,0)</f>
        <v/>
      </c>
      <c r="V2221">
        <f>IF(U2221=1,IF(M2221&gt;0,IF(P2221&lt;=G2221+Assumptions!$C$7,1,0),0),0)</f>
        <v/>
      </c>
      <c r="W2221">
        <f>IF(AND(U2221=1,M2221&gt;=H2221*(1-Assumptions!$C$8)),1,0)</f>
        <v/>
      </c>
      <c r="X2221">
        <f>IF(AND(U2221=1,N2221&gt;=H2221*(1-Assumptions!$C$8)),1,0)</f>
        <v/>
      </c>
      <c r="Y2221">
        <f>IF(ISNUMBER(Q2221),1,0)</f>
        <v/>
      </c>
      <c r="Z2221">
        <f>IF(AND(K2221=0,L2221=0,Y2221=0),1,0)</f>
        <v/>
      </c>
      <c r="AA2221">
        <f>IF(AND(Z2221=1,G2221&lt;Assumptions!$C$6),1,0)</f>
        <v/>
      </c>
      <c r="AB2221">
        <f>IF(U2221=0,"",IF(Y2221=1,MAX(0,Q2221-G2221),IF(L2221=1,MAX(0,R2221-G2221),MAX(0,Assumptions!$C$6-G2221))))</f>
        <v/>
      </c>
      <c r="AC2221">
        <f>IF(Y2221=1,Q2221-F2221,"")</f>
        <v/>
      </c>
      <c r="AD2221">
        <f>IF(Y2221=1,AC2221^2,"")</f>
        <v/>
      </c>
      <c r="AE2221" s="19">
        <f>IF(Z2221=1,(H2221-M2221)*I2221,0)</f>
        <v/>
      </c>
      <c r="AF2221">
        <f>IF(G2221&lt;EDATE(Assumptions!$C$6,-12)+1,"prior_12m","last_12m")</f>
        <v/>
      </c>
      <c r="AG2221" s="21">
        <f>DATE(YEAR(G2221),MONTH(G2221),1)</f>
        <v/>
      </c>
    </row>
    <row r="2222">
      <c r="A2222" t="inlineStr">
        <is>
          <t>SPO-01201-2</t>
        </is>
      </c>
      <c r="B2222" t="inlineStr">
        <is>
          <t>SPO-01201</t>
        </is>
      </c>
      <c r="C2222" t="inlineStr">
        <is>
          <t>SUP-06</t>
        </is>
      </c>
      <c r="D2222" t="inlineStr">
        <is>
          <t>MRO</t>
        </is>
      </c>
      <c r="E2222" t="inlineStr">
        <is>
          <t>MRO-07</t>
        </is>
      </c>
      <c r="F2222" s="17" t="n">
        <v>45902</v>
      </c>
      <c r="G2222" s="17" t="n">
        <v>45910</v>
      </c>
      <c r="H2222" s="18" t="n">
        <v>276</v>
      </c>
      <c r="I2222" s="19" t="n">
        <v>13.93</v>
      </c>
      <c r="J2222" s="19" t="n">
        <v>14</v>
      </c>
      <c r="K2222" s="20" t="n">
        <v>0</v>
      </c>
      <c r="L2222" s="20" t="n">
        <v>0</v>
      </c>
      <c r="M2222" s="18" t="n">
        <v>276</v>
      </c>
      <c r="N2222" s="18" t="n">
        <v>276</v>
      </c>
      <c r="O2222" s="18" t="n">
        <v>0</v>
      </c>
      <c r="P2222" s="17" t="n">
        <v>45910</v>
      </c>
      <c r="Q2222" s="17" t="n">
        <v>45910</v>
      </c>
      <c r="R2222" s="17" t="n">
        <v>45910</v>
      </c>
      <c r="S2222" s="19">
        <f>H2222*I2222</f>
        <v/>
      </c>
      <c r="T2222" s="19">
        <f>H2222*J2222</f>
        <v/>
      </c>
      <c r="U2222">
        <f>IF(AND(K2222=0,G2222&lt;=Assumptions!$C$6),1,0)</f>
        <v/>
      </c>
      <c r="V2222">
        <f>IF(U2222=1,IF(M2222&gt;0,IF(P2222&lt;=G2222+Assumptions!$C$7,1,0),0),0)</f>
        <v/>
      </c>
      <c r="W2222">
        <f>IF(AND(U2222=1,M2222&gt;=H2222*(1-Assumptions!$C$8)),1,0)</f>
        <v/>
      </c>
      <c r="X2222">
        <f>IF(AND(U2222=1,N2222&gt;=H2222*(1-Assumptions!$C$8)),1,0)</f>
        <v/>
      </c>
      <c r="Y2222">
        <f>IF(ISNUMBER(Q2222),1,0)</f>
        <v/>
      </c>
      <c r="Z2222">
        <f>IF(AND(K2222=0,L2222=0,Y2222=0),1,0)</f>
        <v/>
      </c>
      <c r="AA2222">
        <f>IF(AND(Z2222=1,G2222&lt;Assumptions!$C$6),1,0)</f>
        <v/>
      </c>
      <c r="AB2222">
        <f>IF(U2222=0,"",IF(Y2222=1,MAX(0,Q2222-G2222),IF(L2222=1,MAX(0,R2222-G2222),MAX(0,Assumptions!$C$6-G2222))))</f>
        <v/>
      </c>
      <c r="AC2222">
        <f>IF(Y2222=1,Q2222-F2222,"")</f>
        <v/>
      </c>
      <c r="AD2222">
        <f>IF(Y2222=1,AC2222^2,"")</f>
        <v/>
      </c>
      <c r="AE2222" s="19">
        <f>IF(Z2222=1,(H2222-M2222)*I2222,0)</f>
        <v/>
      </c>
      <c r="AF2222">
        <f>IF(G2222&lt;EDATE(Assumptions!$C$6,-12)+1,"prior_12m","last_12m")</f>
        <v/>
      </c>
      <c r="AG2222" s="21">
        <f>DATE(YEAR(G2222),MONTH(G2222),1)</f>
        <v/>
      </c>
    </row>
    <row r="2223">
      <c r="A2223" t="inlineStr">
        <is>
          <t>SPO-01202-1</t>
        </is>
      </c>
      <c r="B2223" t="inlineStr">
        <is>
          <t>SPO-01202</t>
        </is>
      </c>
      <c r="C2223" t="inlineStr">
        <is>
          <t>SUP-01</t>
        </is>
      </c>
      <c r="D2223" t="inlineStr">
        <is>
          <t>ELEC</t>
        </is>
      </c>
      <c r="E2223" t="inlineStr">
        <is>
          <t>ELEC-04</t>
        </is>
      </c>
      <c r="F2223" s="17" t="n">
        <v>45902</v>
      </c>
      <c r="G2223" s="17" t="n">
        <v>45920</v>
      </c>
      <c r="H2223" s="18" t="n">
        <v>30</v>
      </c>
      <c r="I2223" s="19" t="n">
        <v>70.62</v>
      </c>
      <c r="J2223" s="19" t="n">
        <v>72</v>
      </c>
      <c r="K2223" s="20" t="n">
        <v>0</v>
      </c>
      <c r="L2223" s="20" t="n">
        <v>0</v>
      </c>
      <c r="M2223" s="18" t="n">
        <v>30</v>
      </c>
      <c r="N2223" s="18" t="n">
        <v>30</v>
      </c>
      <c r="O2223" s="18" t="n">
        <v>0</v>
      </c>
      <c r="P2223" s="17" t="n">
        <v>45920</v>
      </c>
      <c r="Q2223" s="17" t="n">
        <v>45920</v>
      </c>
      <c r="R2223" s="17" t="n">
        <v>45920</v>
      </c>
      <c r="S2223" s="19">
        <f>H2223*I2223</f>
        <v/>
      </c>
      <c r="T2223" s="19">
        <f>H2223*J2223</f>
        <v/>
      </c>
      <c r="U2223">
        <f>IF(AND(K2223=0,G2223&lt;=Assumptions!$C$6),1,0)</f>
        <v/>
      </c>
      <c r="V2223">
        <f>IF(U2223=1,IF(M2223&gt;0,IF(P2223&lt;=G2223+Assumptions!$C$7,1,0),0),0)</f>
        <v/>
      </c>
      <c r="W2223">
        <f>IF(AND(U2223=1,M2223&gt;=H2223*(1-Assumptions!$C$8)),1,0)</f>
        <v/>
      </c>
      <c r="X2223">
        <f>IF(AND(U2223=1,N2223&gt;=H2223*(1-Assumptions!$C$8)),1,0)</f>
        <v/>
      </c>
      <c r="Y2223">
        <f>IF(ISNUMBER(Q2223),1,0)</f>
        <v/>
      </c>
      <c r="Z2223">
        <f>IF(AND(K2223=0,L2223=0,Y2223=0),1,0)</f>
        <v/>
      </c>
      <c r="AA2223">
        <f>IF(AND(Z2223=1,G2223&lt;Assumptions!$C$6),1,0)</f>
        <v/>
      </c>
      <c r="AB2223">
        <f>IF(U2223=0,"",IF(Y2223=1,MAX(0,Q2223-G2223),IF(L2223=1,MAX(0,R2223-G2223),MAX(0,Assumptions!$C$6-G2223))))</f>
        <v/>
      </c>
      <c r="AC2223">
        <f>IF(Y2223=1,Q2223-F2223,"")</f>
        <v/>
      </c>
      <c r="AD2223">
        <f>IF(Y2223=1,AC2223^2,"")</f>
        <v/>
      </c>
      <c r="AE2223" s="19">
        <f>IF(Z2223=1,(H2223-M2223)*I2223,0)</f>
        <v/>
      </c>
      <c r="AF2223">
        <f>IF(G2223&lt;EDATE(Assumptions!$C$6,-12)+1,"prior_12m","last_12m")</f>
        <v/>
      </c>
      <c r="AG2223" s="21">
        <f>DATE(YEAR(G2223),MONTH(G2223),1)</f>
        <v/>
      </c>
    </row>
    <row r="2224">
      <c r="A2224" t="inlineStr">
        <is>
          <t>SPO-01202-2</t>
        </is>
      </c>
      <c r="B2224" t="inlineStr">
        <is>
          <t>SPO-01202</t>
        </is>
      </c>
      <c r="C2224" t="inlineStr">
        <is>
          <t>SUP-01</t>
        </is>
      </c>
      <c r="D2224" t="inlineStr">
        <is>
          <t>ELEC</t>
        </is>
      </c>
      <c r="E2224" t="inlineStr">
        <is>
          <t>ELEC-01</t>
        </is>
      </c>
      <c r="F2224" s="17" t="n">
        <v>45902</v>
      </c>
      <c r="G2224" s="17" t="n">
        <v>45920</v>
      </c>
      <c r="H2224" s="18" t="n">
        <v>28</v>
      </c>
      <c r="I2224" s="19" t="n">
        <v>36.19</v>
      </c>
      <c r="J2224" s="19" t="n">
        <v>38</v>
      </c>
      <c r="K2224" s="20" t="n">
        <v>0</v>
      </c>
      <c r="L2224" s="20" t="n">
        <v>0</v>
      </c>
      <c r="M2224" s="18" t="n">
        <v>28</v>
      </c>
      <c r="N2224" s="18" t="n">
        <v>28</v>
      </c>
      <c r="O2224" s="18" t="n">
        <v>0</v>
      </c>
      <c r="P2224" s="17" t="n">
        <v>45916</v>
      </c>
      <c r="Q2224" s="17" t="n">
        <v>45916</v>
      </c>
      <c r="R2224" s="17" t="n">
        <v>45916</v>
      </c>
      <c r="S2224" s="19">
        <f>H2224*I2224</f>
        <v/>
      </c>
      <c r="T2224" s="19">
        <f>H2224*J2224</f>
        <v/>
      </c>
      <c r="U2224">
        <f>IF(AND(K2224=0,G2224&lt;=Assumptions!$C$6),1,0)</f>
        <v/>
      </c>
      <c r="V2224">
        <f>IF(U2224=1,IF(M2224&gt;0,IF(P2224&lt;=G2224+Assumptions!$C$7,1,0),0),0)</f>
        <v/>
      </c>
      <c r="W2224">
        <f>IF(AND(U2224=1,M2224&gt;=H2224*(1-Assumptions!$C$8)),1,0)</f>
        <v/>
      </c>
      <c r="X2224">
        <f>IF(AND(U2224=1,N2224&gt;=H2224*(1-Assumptions!$C$8)),1,0)</f>
        <v/>
      </c>
      <c r="Y2224">
        <f>IF(ISNUMBER(Q2224),1,0)</f>
        <v/>
      </c>
      <c r="Z2224">
        <f>IF(AND(K2224=0,L2224=0,Y2224=0),1,0)</f>
        <v/>
      </c>
      <c r="AA2224">
        <f>IF(AND(Z2224=1,G2224&lt;Assumptions!$C$6),1,0)</f>
        <v/>
      </c>
      <c r="AB2224">
        <f>IF(U2224=0,"",IF(Y2224=1,MAX(0,Q2224-G2224),IF(L2224=1,MAX(0,R2224-G2224),MAX(0,Assumptions!$C$6-G2224))))</f>
        <v/>
      </c>
      <c r="AC2224">
        <f>IF(Y2224=1,Q2224-F2224,"")</f>
        <v/>
      </c>
      <c r="AD2224">
        <f>IF(Y2224=1,AC2224^2,"")</f>
        <v/>
      </c>
      <c r="AE2224" s="19">
        <f>IF(Z2224=1,(H2224-M2224)*I2224,0)</f>
        <v/>
      </c>
      <c r="AF2224">
        <f>IF(G2224&lt;EDATE(Assumptions!$C$6,-12)+1,"prior_12m","last_12m")</f>
        <v/>
      </c>
      <c r="AG2224" s="21">
        <f>DATE(YEAR(G2224),MONTH(G2224),1)</f>
        <v/>
      </c>
    </row>
    <row r="2225">
      <c r="A2225" t="inlineStr">
        <is>
          <t>SPO-01202-3</t>
        </is>
      </c>
      <c r="B2225" t="inlineStr">
        <is>
          <t>SPO-01202</t>
        </is>
      </c>
      <c r="C2225" t="inlineStr">
        <is>
          <t>SUP-01</t>
        </is>
      </c>
      <c r="D2225" t="inlineStr">
        <is>
          <t>ELEC</t>
        </is>
      </c>
      <c r="E2225" t="inlineStr">
        <is>
          <t>ELEC-08</t>
        </is>
      </c>
      <c r="F2225" s="17" t="n">
        <v>45902</v>
      </c>
      <c r="G2225" s="17" t="n">
        <v>45920</v>
      </c>
      <c r="H2225" s="18" t="n">
        <v>398</v>
      </c>
      <c r="I2225" s="19" t="n">
        <v>18.44</v>
      </c>
      <c r="J2225" s="19" t="n">
        <v>18</v>
      </c>
      <c r="K2225" s="20" t="n">
        <v>0</v>
      </c>
      <c r="L2225" s="20" t="n">
        <v>0</v>
      </c>
      <c r="M2225" s="18" t="n">
        <v>398</v>
      </c>
      <c r="N2225" s="18" t="n">
        <v>398</v>
      </c>
      <c r="O2225" s="18" t="n">
        <v>0</v>
      </c>
      <c r="P2225" s="17" t="n">
        <v>45918</v>
      </c>
      <c r="Q2225" s="17" t="n">
        <v>45918</v>
      </c>
      <c r="R2225" s="17" t="n">
        <v>45918</v>
      </c>
      <c r="S2225" s="19">
        <f>H2225*I2225</f>
        <v/>
      </c>
      <c r="T2225" s="19">
        <f>H2225*J2225</f>
        <v/>
      </c>
      <c r="U2225">
        <f>IF(AND(K2225=0,G2225&lt;=Assumptions!$C$6),1,0)</f>
        <v/>
      </c>
      <c r="V2225">
        <f>IF(U2225=1,IF(M2225&gt;0,IF(P2225&lt;=G2225+Assumptions!$C$7,1,0),0),0)</f>
        <v/>
      </c>
      <c r="W2225">
        <f>IF(AND(U2225=1,M2225&gt;=H2225*(1-Assumptions!$C$8)),1,0)</f>
        <v/>
      </c>
      <c r="X2225">
        <f>IF(AND(U2225=1,N2225&gt;=H2225*(1-Assumptions!$C$8)),1,0)</f>
        <v/>
      </c>
      <c r="Y2225">
        <f>IF(ISNUMBER(Q2225),1,0)</f>
        <v/>
      </c>
      <c r="Z2225">
        <f>IF(AND(K2225=0,L2225=0,Y2225=0),1,0)</f>
        <v/>
      </c>
      <c r="AA2225">
        <f>IF(AND(Z2225=1,G2225&lt;Assumptions!$C$6),1,0)</f>
        <v/>
      </c>
      <c r="AB2225">
        <f>IF(U2225=0,"",IF(Y2225=1,MAX(0,Q2225-G2225),IF(L2225=1,MAX(0,R2225-G2225),MAX(0,Assumptions!$C$6-G2225))))</f>
        <v/>
      </c>
      <c r="AC2225">
        <f>IF(Y2225=1,Q2225-F2225,"")</f>
        <v/>
      </c>
      <c r="AD2225">
        <f>IF(Y2225=1,AC2225^2,"")</f>
        <v/>
      </c>
      <c r="AE2225" s="19">
        <f>IF(Z2225=1,(H2225-M2225)*I2225,0)</f>
        <v/>
      </c>
      <c r="AF2225">
        <f>IF(G2225&lt;EDATE(Assumptions!$C$6,-12)+1,"prior_12m","last_12m")</f>
        <v/>
      </c>
      <c r="AG2225" s="21">
        <f>DATE(YEAR(G2225),MONTH(G2225),1)</f>
        <v/>
      </c>
    </row>
    <row r="2226">
      <c r="A2226" t="inlineStr">
        <is>
          <t>SPO-01203-1</t>
        </is>
      </c>
      <c r="B2226" t="inlineStr">
        <is>
          <t>SPO-01203</t>
        </is>
      </c>
      <c r="C2226" t="inlineStr">
        <is>
          <t>SUP-01</t>
        </is>
      </c>
      <c r="D2226" t="inlineStr">
        <is>
          <t>ELEC</t>
        </is>
      </c>
      <c r="E2226" t="inlineStr">
        <is>
          <t>ELEC-02</t>
        </is>
      </c>
      <c r="F2226" s="17" t="n">
        <v>45903</v>
      </c>
      <c r="G2226" s="17" t="n">
        <v>45921</v>
      </c>
      <c r="H2226" s="18" t="n">
        <v>722</v>
      </c>
      <c r="I2226" s="19" t="n">
        <v>4.34</v>
      </c>
      <c r="J2226" s="19" t="n">
        <v>4.2</v>
      </c>
      <c r="K2226" s="20" t="n">
        <v>0</v>
      </c>
      <c r="L2226" s="20" t="n">
        <v>0</v>
      </c>
      <c r="M2226" s="18" t="n">
        <v>722</v>
      </c>
      <c r="N2226" s="18" t="n">
        <v>722</v>
      </c>
      <c r="O2226" s="18" t="n">
        <v>0</v>
      </c>
      <c r="P2226" s="17" t="n">
        <v>45919</v>
      </c>
      <c r="Q2226" s="17" t="n">
        <v>45919</v>
      </c>
      <c r="R2226" s="17" t="n">
        <v>45919</v>
      </c>
      <c r="S2226" s="19">
        <f>H2226*I2226</f>
        <v/>
      </c>
      <c r="T2226" s="19">
        <f>H2226*J2226</f>
        <v/>
      </c>
      <c r="U2226">
        <f>IF(AND(K2226=0,G2226&lt;=Assumptions!$C$6),1,0)</f>
        <v/>
      </c>
      <c r="V2226">
        <f>IF(U2226=1,IF(M2226&gt;0,IF(P2226&lt;=G2226+Assumptions!$C$7,1,0),0),0)</f>
        <v/>
      </c>
      <c r="W2226">
        <f>IF(AND(U2226=1,M2226&gt;=H2226*(1-Assumptions!$C$8)),1,0)</f>
        <v/>
      </c>
      <c r="X2226">
        <f>IF(AND(U2226=1,N2226&gt;=H2226*(1-Assumptions!$C$8)),1,0)</f>
        <v/>
      </c>
      <c r="Y2226">
        <f>IF(ISNUMBER(Q2226),1,0)</f>
        <v/>
      </c>
      <c r="Z2226">
        <f>IF(AND(K2226=0,L2226=0,Y2226=0),1,0)</f>
        <v/>
      </c>
      <c r="AA2226">
        <f>IF(AND(Z2226=1,G2226&lt;Assumptions!$C$6),1,0)</f>
        <v/>
      </c>
      <c r="AB2226">
        <f>IF(U2226=0,"",IF(Y2226=1,MAX(0,Q2226-G2226),IF(L2226=1,MAX(0,R2226-G2226),MAX(0,Assumptions!$C$6-G2226))))</f>
        <v/>
      </c>
      <c r="AC2226">
        <f>IF(Y2226=1,Q2226-F2226,"")</f>
        <v/>
      </c>
      <c r="AD2226">
        <f>IF(Y2226=1,AC2226^2,"")</f>
        <v/>
      </c>
      <c r="AE2226" s="19">
        <f>IF(Z2226=1,(H2226-M2226)*I2226,0)</f>
        <v/>
      </c>
      <c r="AF2226">
        <f>IF(G2226&lt;EDATE(Assumptions!$C$6,-12)+1,"prior_12m","last_12m")</f>
        <v/>
      </c>
      <c r="AG2226" s="21">
        <f>DATE(YEAR(G2226),MONTH(G2226),1)</f>
        <v/>
      </c>
    </row>
    <row r="2227">
      <c r="A2227" t="inlineStr">
        <is>
          <t>SPO-01204-1</t>
        </is>
      </c>
      <c r="B2227" t="inlineStr">
        <is>
          <t>SPO-01204</t>
        </is>
      </c>
      <c r="C2227" t="inlineStr">
        <is>
          <t>SUP-05</t>
        </is>
      </c>
      <c r="D2227" t="inlineStr">
        <is>
          <t>FLEET</t>
        </is>
      </c>
      <c r="E2227" t="inlineStr">
        <is>
          <t>FLEET-02</t>
        </is>
      </c>
      <c r="F2227" s="17" t="n">
        <v>45903</v>
      </c>
      <c r="G2227" s="17" t="n">
        <v>45917</v>
      </c>
      <c r="H2227" s="18" t="n">
        <v>320</v>
      </c>
      <c r="I2227" s="19" t="n">
        <v>7.66</v>
      </c>
      <c r="J2227" s="19" t="n">
        <v>7.5</v>
      </c>
      <c r="K2227" s="20" t="n">
        <v>0</v>
      </c>
      <c r="L2227" s="20" t="n">
        <v>0</v>
      </c>
      <c r="M2227" s="18" t="n">
        <v>320</v>
      </c>
      <c r="N2227" s="18" t="n">
        <v>320</v>
      </c>
      <c r="O2227" s="18" t="n">
        <v>0</v>
      </c>
      <c r="P2227" s="17" t="n">
        <v>45917</v>
      </c>
      <c r="Q2227" s="17" t="n">
        <v>45917</v>
      </c>
      <c r="R2227" s="17" t="n">
        <v>45917</v>
      </c>
      <c r="S2227" s="19">
        <f>H2227*I2227</f>
        <v/>
      </c>
      <c r="T2227" s="19">
        <f>H2227*J2227</f>
        <v/>
      </c>
      <c r="U2227">
        <f>IF(AND(K2227=0,G2227&lt;=Assumptions!$C$6),1,0)</f>
        <v/>
      </c>
      <c r="V2227">
        <f>IF(U2227=1,IF(M2227&gt;0,IF(P2227&lt;=G2227+Assumptions!$C$7,1,0),0),0)</f>
        <v/>
      </c>
      <c r="W2227">
        <f>IF(AND(U2227=1,M2227&gt;=H2227*(1-Assumptions!$C$8)),1,0)</f>
        <v/>
      </c>
      <c r="X2227">
        <f>IF(AND(U2227=1,N2227&gt;=H2227*(1-Assumptions!$C$8)),1,0)</f>
        <v/>
      </c>
      <c r="Y2227">
        <f>IF(ISNUMBER(Q2227),1,0)</f>
        <v/>
      </c>
      <c r="Z2227">
        <f>IF(AND(K2227=0,L2227=0,Y2227=0),1,0)</f>
        <v/>
      </c>
      <c r="AA2227">
        <f>IF(AND(Z2227=1,G2227&lt;Assumptions!$C$6),1,0)</f>
        <v/>
      </c>
      <c r="AB2227">
        <f>IF(U2227=0,"",IF(Y2227=1,MAX(0,Q2227-G2227),IF(L2227=1,MAX(0,R2227-G2227),MAX(0,Assumptions!$C$6-G2227))))</f>
        <v/>
      </c>
      <c r="AC2227">
        <f>IF(Y2227=1,Q2227-F2227,"")</f>
        <v/>
      </c>
      <c r="AD2227">
        <f>IF(Y2227=1,AC2227^2,"")</f>
        <v/>
      </c>
      <c r="AE2227" s="19">
        <f>IF(Z2227=1,(H2227-M2227)*I2227,0)</f>
        <v/>
      </c>
      <c r="AF2227">
        <f>IF(G2227&lt;EDATE(Assumptions!$C$6,-12)+1,"prior_12m","last_12m")</f>
        <v/>
      </c>
      <c r="AG2227" s="21">
        <f>DATE(YEAR(G2227),MONTH(G2227),1)</f>
        <v/>
      </c>
    </row>
    <row r="2228">
      <c r="A2228" t="inlineStr">
        <is>
          <t>SPO-01205-1</t>
        </is>
      </c>
      <c r="B2228" t="inlineStr">
        <is>
          <t>SPO-01205</t>
        </is>
      </c>
      <c r="C2228" t="inlineStr">
        <is>
          <t>SUP-12</t>
        </is>
      </c>
      <c r="D2228" t="inlineStr">
        <is>
          <t>IT</t>
        </is>
      </c>
      <c r="E2228" t="inlineStr">
        <is>
          <t>IT-05</t>
        </is>
      </c>
      <c r="F2228" s="17" t="n">
        <v>45904</v>
      </c>
      <c r="G2228" s="17" t="n">
        <v>45914</v>
      </c>
      <c r="H2228" s="18" t="n">
        <v>5</v>
      </c>
      <c r="I2228" s="19" t="n">
        <v>715.76</v>
      </c>
      <c r="J2228" s="19" t="n">
        <v>640</v>
      </c>
      <c r="K2228" s="20" t="n">
        <v>1</v>
      </c>
      <c r="L2228" s="20" t="n">
        <v>0</v>
      </c>
      <c r="M2228" s="18" t="n">
        <v>0</v>
      </c>
      <c r="N2228" s="18" t="n">
        <v>0</v>
      </c>
      <c r="O2228" s="18" t="n">
        <v>0</v>
      </c>
      <c r="P2228" s="17" t="n"/>
      <c r="Q2228" s="17" t="n"/>
      <c r="R2228" s="17" t="n"/>
      <c r="S2228" s="19">
        <f>H2228*I2228</f>
        <v/>
      </c>
      <c r="T2228" s="19">
        <f>H2228*J2228</f>
        <v/>
      </c>
      <c r="U2228">
        <f>IF(AND(K2228=0,G2228&lt;=Assumptions!$C$6),1,0)</f>
        <v/>
      </c>
      <c r="V2228">
        <f>IF(U2228=1,IF(M2228&gt;0,IF(P2228&lt;=G2228+Assumptions!$C$7,1,0),0),0)</f>
        <v/>
      </c>
      <c r="W2228">
        <f>IF(AND(U2228=1,M2228&gt;=H2228*(1-Assumptions!$C$8)),1,0)</f>
        <v/>
      </c>
      <c r="X2228">
        <f>IF(AND(U2228=1,N2228&gt;=H2228*(1-Assumptions!$C$8)),1,0)</f>
        <v/>
      </c>
      <c r="Y2228">
        <f>IF(ISNUMBER(Q2228),1,0)</f>
        <v/>
      </c>
      <c r="Z2228">
        <f>IF(AND(K2228=0,L2228=0,Y2228=0),1,0)</f>
        <v/>
      </c>
      <c r="AA2228">
        <f>IF(AND(Z2228=1,G2228&lt;Assumptions!$C$6),1,0)</f>
        <v/>
      </c>
      <c r="AB2228">
        <f>IF(U2228=0,"",IF(Y2228=1,MAX(0,Q2228-G2228),IF(L2228=1,MAX(0,R2228-G2228),MAX(0,Assumptions!$C$6-G2228))))</f>
        <v/>
      </c>
      <c r="AC2228">
        <f>IF(Y2228=1,Q2228-F2228,"")</f>
        <v/>
      </c>
      <c r="AD2228">
        <f>IF(Y2228=1,AC2228^2,"")</f>
        <v/>
      </c>
      <c r="AE2228" s="19">
        <f>IF(Z2228=1,(H2228-M2228)*I2228,0)</f>
        <v/>
      </c>
      <c r="AF2228">
        <f>IF(G2228&lt;EDATE(Assumptions!$C$6,-12)+1,"prior_12m","last_12m")</f>
        <v/>
      </c>
      <c r="AG2228" s="21">
        <f>DATE(YEAR(G2228),MONTH(G2228),1)</f>
        <v/>
      </c>
    </row>
    <row r="2229">
      <c r="A2229" t="inlineStr">
        <is>
          <t>SPO-01206-1</t>
        </is>
      </c>
      <c r="B2229" t="inlineStr">
        <is>
          <t>SPO-01206</t>
        </is>
      </c>
      <c r="C2229" t="inlineStr">
        <is>
          <t>SUP-01</t>
        </is>
      </c>
      <c r="D2229" t="inlineStr">
        <is>
          <t>ELEC</t>
        </is>
      </c>
      <c r="E2229" t="inlineStr">
        <is>
          <t>ELEC-08</t>
        </is>
      </c>
      <c r="F2229" s="17" t="n">
        <v>45904</v>
      </c>
      <c r="G2229" s="17" t="n">
        <v>45922</v>
      </c>
      <c r="H2229" s="18" t="n">
        <v>100</v>
      </c>
      <c r="I2229" s="19" t="n">
        <v>17.84</v>
      </c>
      <c r="J2229" s="19" t="n">
        <v>18</v>
      </c>
      <c r="K2229" s="20" t="n">
        <v>0</v>
      </c>
      <c r="L2229" s="20" t="n">
        <v>0</v>
      </c>
      <c r="M2229" s="18" t="n">
        <v>100</v>
      </c>
      <c r="N2229" s="18" t="n">
        <v>100</v>
      </c>
      <c r="O2229" s="18" t="n">
        <v>0</v>
      </c>
      <c r="P2229" s="17" t="n">
        <v>45920</v>
      </c>
      <c r="Q2229" s="17" t="n">
        <v>45920</v>
      </c>
      <c r="R2229" s="17" t="n">
        <v>45920</v>
      </c>
      <c r="S2229" s="19">
        <f>H2229*I2229</f>
        <v/>
      </c>
      <c r="T2229" s="19">
        <f>H2229*J2229</f>
        <v/>
      </c>
      <c r="U2229">
        <f>IF(AND(K2229=0,G2229&lt;=Assumptions!$C$6),1,0)</f>
        <v/>
      </c>
      <c r="V2229">
        <f>IF(U2229=1,IF(M2229&gt;0,IF(P2229&lt;=G2229+Assumptions!$C$7,1,0),0),0)</f>
        <v/>
      </c>
      <c r="W2229">
        <f>IF(AND(U2229=1,M2229&gt;=H2229*(1-Assumptions!$C$8)),1,0)</f>
        <v/>
      </c>
      <c r="X2229">
        <f>IF(AND(U2229=1,N2229&gt;=H2229*(1-Assumptions!$C$8)),1,0)</f>
        <v/>
      </c>
      <c r="Y2229">
        <f>IF(ISNUMBER(Q2229),1,0)</f>
        <v/>
      </c>
      <c r="Z2229">
        <f>IF(AND(K2229=0,L2229=0,Y2229=0),1,0)</f>
        <v/>
      </c>
      <c r="AA2229">
        <f>IF(AND(Z2229=1,G2229&lt;Assumptions!$C$6),1,0)</f>
        <v/>
      </c>
      <c r="AB2229">
        <f>IF(U2229=0,"",IF(Y2229=1,MAX(0,Q2229-G2229),IF(L2229=1,MAX(0,R2229-G2229),MAX(0,Assumptions!$C$6-G2229))))</f>
        <v/>
      </c>
      <c r="AC2229">
        <f>IF(Y2229=1,Q2229-F2229,"")</f>
        <v/>
      </c>
      <c r="AD2229">
        <f>IF(Y2229=1,AC2229^2,"")</f>
        <v/>
      </c>
      <c r="AE2229" s="19">
        <f>IF(Z2229=1,(H2229-M2229)*I2229,0)</f>
        <v/>
      </c>
      <c r="AF2229">
        <f>IF(G2229&lt;EDATE(Assumptions!$C$6,-12)+1,"prior_12m","last_12m")</f>
        <v/>
      </c>
      <c r="AG2229" s="21">
        <f>DATE(YEAR(G2229),MONTH(G2229),1)</f>
        <v/>
      </c>
    </row>
    <row r="2230">
      <c r="A2230" t="inlineStr">
        <is>
          <t>SPO-01207-1</t>
        </is>
      </c>
      <c r="B2230" t="inlineStr">
        <is>
          <t>SPO-01207</t>
        </is>
      </c>
      <c r="C2230" t="inlineStr">
        <is>
          <t>SUP-05</t>
        </is>
      </c>
      <c r="D2230" t="inlineStr">
        <is>
          <t>FLEET</t>
        </is>
      </c>
      <c r="E2230" t="inlineStr">
        <is>
          <t>FLEET-06</t>
        </is>
      </c>
      <c r="F2230" s="17" t="n">
        <v>45905</v>
      </c>
      <c r="G2230" s="17" t="n">
        <v>45919</v>
      </c>
      <c r="H2230" s="18" t="n">
        <v>28</v>
      </c>
      <c r="I2230" s="19" t="n">
        <v>33.62</v>
      </c>
      <c r="J2230" s="19" t="n">
        <v>33</v>
      </c>
      <c r="K2230" s="20" t="n">
        <v>0</v>
      </c>
      <c r="L2230" s="20" t="n">
        <v>0</v>
      </c>
      <c r="M2230" s="18" t="n">
        <v>28</v>
      </c>
      <c r="N2230" s="18" t="n">
        <v>28</v>
      </c>
      <c r="O2230" s="18" t="n">
        <v>0</v>
      </c>
      <c r="P2230" s="17" t="n">
        <v>45915</v>
      </c>
      <c r="Q2230" s="17" t="n">
        <v>45915</v>
      </c>
      <c r="R2230" s="17" t="n">
        <v>45915</v>
      </c>
      <c r="S2230" s="19">
        <f>H2230*I2230</f>
        <v/>
      </c>
      <c r="T2230" s="19">
        <f>H2230*J2230</f>
        <v/>
      </c>
      <c r="U2230">
        <f>IF(AND(K2230=0,G2230&lt;=Assumptions!$C$6),1,0)</f>
        <v/>
      </c>
      <c r="V2230">
        <f>IF(U2230=1,IF(M2230&gt;0,IF(P2230&lt;=G2230+Assumptions!$C$7,1,0),0),0)</f>
        <v/>
      </c>
      <c r="W2230">
        <f>IF(AND(U2230=1,M2230&gt;=H2230*(1-Assumptions!$C$8)),1,0)</f>
        <v/>
      </c>
      <c r="X2230">
        <f>IF(AND(U2230=1,N2230&gt;=H2230*(1-Assumptions!$C$8)),1,0)</f>
        <v/>
      </c>
      <c r="Y2230">
        <f>IF(ISNUMBER(Q2230),1,0)</f>
        <v/>
      </c>
      <c r="Z2230">
        <f>IF(AND(K2230=0,L2230=0,Y2230=0),1,0)</f>
        <v/>
      </c>
      <c r="AA2230">
        <f>IF(AND(Z2230=1,G2230&lt;Assumptions!$C$6),1,0)</f>
        <v/>
      </c>
      <c r="AB2230">
        <f>IF(U2230=0,"",IF(Y2230=1,MAX(0,Q2230-G2230),IF(L2230=1,MAX(0,R2230-G2230),MAX(0,Assumptions!$C$6-G2230))))</f>
        <v/>
      </c>
      <c r="AC2230">
        <f>IF(Y2230=1,Q2230-F2230,"")</f>
        <v/>
      </c>
      <c r="AD2230">
        <f>IF(Y2230=1,AC2230^2,"")</f>
        <v/>
      </c>
      <c r="AE2230" s="19">
        <f>IF(Z2230=1,(H2230-M2230)*I2230,0)</f>
        <v/>
      </c>
      <c r="AF2230">
        <f>IF(G2230&lt;EDATE(Assumptions!$C$6,-12)+1,"prior_12m","last_12m")</f>
        <v/>
      </c>
      <c r="AG2230" s="21">
        <f>DATE(YEAR(G2230),MONTH(G2230),1)</f>
        <v/>
      </c>
    </row>
    <row r="2231">
      <c r="A2231" t="inlineStr">
        <is>
          <t>SPO-01207-2</t>
        </is>
      </c>
      <c r="B2231" t="inlineStr">
        <is>
          <t>SPO-01207</t>
        </is>
      </c>
      <c r="C2231" t="inlineStr">
        <is>
          <t>SUP-05</t>
        </is>
      </c>
      <c r="D2231" t="inlineStr">
        <is>
          <t>FLEET</t>
        </is>
      </c>
      <c r="E2231" t="inlineStr">
        <is>
          <t>FLEET-01</t>
        </is>
      </c>
      <c r="F2231" s="17" t="n">
        <v>45905</v>
      </c>
      <c r="G2231" s="17" t="n">
        <v>45919</v>
      </c>
      <c r="H2231" s="18" t="n">
        <v>10</v>
      </c>
      <c r="I2231" s="19" t="n">
        <v>68.13</v>
      </c>
      <c r="J2231" s="19" t="n">
        <v>64</v>
      </c>
      <c r="K2231" s="20" t="n">
        <v>0</v>
      </c>
      <c r="L2231" s="20" t="n">
        <v>0</v>
      </c>
      <c r="M2231" s="18" t="n">
        <v>10</v>
      </c>
      <c r="N2231" s="18" t="n">
        <v>6</v>
      </c>
      <c r="O2231" s="18" t="n">
        <v>0</v>
      </c>
      <c r="P2231" s="17" t="n">
        <v>45917</v>
      </c>
      <c r="Q2231" s="17" t="n">
        <v>45932</v>
      </c>
      <c r="R2231" s="17" t="n">
        <v>45932</v>
      </c>
      <c r="S2231" s="19">
        <f>H2231*I2231</f>
        <v/>
      </c>
      <c r="T2231" s="19">
        <f>H2231*J2231</f>
        <v/>
      </c>
      <c r="U2231">
        <f>IF(AND(K2231=0,G2231&lt;=Assumptions!$C$6),1,0)</f>
        <v/>
      </c>
      <c r="V2231">
        <f>IF(U2231=1,IF(M2231&gt;0,IF(P2231&lt;=G2231+Assumptions!$C$7,1,0),0),0)</f>
        <v/>
      </c>
      <c r="W2231">
        <f>IF(AND(U2231=1,M2231&gt;=H2231*(1-Assumptions!$C$8)),1,0)</f>
        <v/>
      </c>
      <c r="X2231">
        <f>IF(AND(U2231=1,N2231&gt;=H2231*(1-Assumptions!$C$8)),1,0)</f>
        <v/>
      </c>
      <c r="Y2231">
        <f>IF(ISNUMBER(Q2231),1,0)</f>
        <v/>
      </c>
      <c r="Z2231">
        <f>IF(AND(K2231=0,L2231=0,Y2231=0),1,0)</f>
        <v/>
      </c>
      <c r="AA2231">
        <f>IF(AND(Z2231=1,G2231&lt;Assumptions!$C$6),1,0)</f>
        <v/>
      </c>
      <c r="AB2231">
        <f>IF(U2231=0,"",IF(Y2231=1,MAX(0,Q2231-G2231),IF(L2231=1,MAX(0,R2231-G2231),MAX(0,Assumptions!$C$6-G2231))))</f>
        <v/>
      </c>
      <c r="AC2231">
        <f>IF(Y2231=1,Q2231-F2231,"")</f>
        <v/>
      </c>
      <c r="AD2231">
        <f>IF(Y2231=1,AC2231^2,"")</f>
        <v/>
      </c>
      <c r="AE2231" s="19">
        <f>IF(Z2231=1,(H2231-M2231)*I2231,0)</f>
        <v/>
      </c>
      <c r="AF2231">
        <f>IF(G2231&lt;EDATE(Assumptions!$C$6,-12)+1,"prior_12m","last_12m")</f>
        <v/>
      </c>
      <c r="AG2231" s="21">
        <f>DATE(YEAR(G2231),MONTH(G2231),1)</f>
        <v/>
      </c>
    </row>
    <row r="2232">
      <c r="A2232" t="inlineStr">
        <is>
          <t>SPO-01208-1</t>
        </is>
      </c>
      <c r="B2232" t="inlineStr">
        <is>
          <t>SPO-01208</t>
        </is>
      </c>
      <c r="C2232" t="inlineStr">
        <is>
          <t>SUP-07</t>
        </is>
      </c>
      <c r="D2232" t="inlineStr">
        <is>
          <t>MRO</t>
        </is>
      </c>
      <c r="E2232" t="inlineStr">
        <is>
          <t>MRO-01</t>
        </is>
      </c>
      <c r="F2232" s="17" t="n">
        <v>45905</v>
      </c>
      <c r="G2232" s="17" t="n">
        <v>45915</v>
      </c>
      <c r="H2232" s="18" t="n">
        <v>20</v>
      </c>
      <c r="I2232" s="19" t="n">
        <v>55.55</v>
      </c>
      <c r="J2232" s="19" t="n">
        <v>52</v>
      </c>
      <c r="K2232" s="20" t="n">
        <v>0</v>
      </c>
      <c r="L2232" s="20" t="n">
        <v>0</v>
      </c>
      <c r="M2232" s="18" t="n">
        <v>20</v>
      </c>
      <c r="N2232" s="18" t="n">
        <v>20</v>
      </c>
      <c r="O2232" s="18" t="n">
        <v>0</v>
      </c>
      <c r="P2232" s="17" t="n">
        <v>45909</v>
      </c>
      <c r="Q2232" s="17" t="n">
        <v>45909</v>
      </c>
      <c r="R2232" s="17" t="n">
        <v>45909</v>
      </c>
      <c r="S2232" s="19">
        <f>H2232*I2232</f>
        <v/>
      </c>
      <c r="T2232" s="19">
        <f>H2232*J2232</f>
        <v/>
      </c>
      <c r="U2232">
        <f>IF(AND(K2232=0,G2232&lt;=Assumptions!$C$6),1,0)</f>
        <v/>
      </c>
      <c r="V2232">
        <f>IF(U2232=1,IF(M2232&gt;0,IF(P2232&lt;=G2232+Assumptions!$C$7,1,0),0),0)</f>
        <v/>
      </c>
      <c r="W2232">
        <f>IF(AND(U2232=1,M2232&gt;=H2232*(1-Assumptions!$C$8)),1,0)</f>
        <v/>
      </c>
      <c r="X2232">
        <f>IF(AND(U2232=1,N2232&gt;=H2232*(1-Assumptions!$C$8)),1,0)</f>
        <v/>
      </c>
      <c r="Y2232">
        <f>IF(ISNUMBER(Q2232),1,0)</f>
        <v/>
      </c>
      <c r="Z2232">
        <f>IF(AND(K2232=0,L2232=0,Y2232=0),1,0)</f>
        <v/>
      </c>
      <c r="AA2232">
        <f>IF(AND(Z2232=1,G2232&lt;Assumptions!$C$6),1,0)</f>
        <v/>
      </c>
      <c r="AB2232">
        <f>IF(U2232=0,"",IF(Y2232=1,MAX(0,Q2232-G2232),IF(L2232=1,MAX(0,R2232-G2232),MAX(0,Assumptions!$C$6-G2232))))</f>
        <v/>
      </c>
      <c r="AC2232">
        <f>IF(Y2232=1,Q2232-F2232,"")</f>
        <v/>
      </c>
      <c r="AD2232">
        <f>IF(Y2232=1,AC2232^2,"")</f>
        <v/>
      </c>
      <c r="AE2232" s="19">
        <f>IF(Z2232=1,(H2232-M2232)*I2232,0)</f>
        <v/>
      </c>
      <c r="AF2232">
        <f>IF(G2232&lt;EDATE(Assumptions!$C$6,-12)+1,"prior_12m","last_12m")</f>
        <v/>
      </c>
      <c r="AG2232" s="21">
        <f>DATE(YEAR(G2232),MONTH(G2232),1)</f>
        <v/>
      </c>
    </row>
    <row r="2233">
      <c r="A2233" t="inlineStr">
        <is>
          <t>SPO-01209-1</t>
        </is>
      </c>
      <c r="B2233" t="inlineStr">
        <is>
          <t>SPO-01209</t>
        </is>
      </c>
      <c r="C2233" t="inlineStr">
        <is>
          <t>SUP-01</t>
        </is>
      </c>
      <c r="D2233" t="inlineStr">
        <is>
          <t>ELEC</t>
        </is>
      </c>
      <c r="E2233" t="inlineStr">
        <is>
          <t>ELEC-03</t>
        </is>
      </c>
      <c r="F2233" s="17" t="n">
        <v>45905</v>
      </c>
      <c r="G2233" s="17" t="n">
        <v>45923</v>
      </c>
      <c r="H2233" s="18" t="n">
        <v>34</v>
      </c>
      <c r="I2233" s="19" t="n">
        <v>92.89</v>
      </c>
      <c r="J2233" s="19" t="n">
        <v>96</v>
      </c>
      <c r="K2233" s="20" t="n">
        <v>0</v>
      </c>
      <c r="L2233" s="20" t="n">
        <v>0</v>
      </c>
      <c r="M2233" s="18" t="n">
        <v>34</v>
      </c>
      <c r="N2233" s="18" t="n">
        <v>34</v>
      </c>
      <c r="O2233" s="18" t="n">
        <v>0</v>
      </c>
      <c r="P2233" s="17" t="n">
        <v>45919</v>
      </c>
      <c r="Q2233" s="17" t="n">
        <v>45919</v>
      </c>
      <c r="R2233" s="17" t="n">
        <v>45919</v>
      </c>
      <c r="S2233" s="19">
        <f>H2233*I2233</f>
        <v/>
      </c>
      <c r="T2233" s="19">
        <f>H2233*J2233</f>
        <v/>
      </c>
      <c r="U2233">
        <f>IF(AND(K2233=0,G2233&lt;=Assumptions!$C$6),1,0)</f>
        <v/>
      </c>
      <c r="V2233">
        <f>IF(U2233=1,IF(M2233&gt;0,IF(P2233&lt;=G2233+Assumptions!$C$7,1,0),0),0)</f>
        <v/>
      </c>
      <c r="W2233">
        <f>IF(AND(U2233=1,M2233&gt;=H2233*(1-Assumptions!$C$8)),1,0)</f>
        <v/>
      </c>
      <c r="X2233">
        <f>IF(AND(U2233=1,N2233&gt;=H2233*(1-Assumptions!$C$8)),1,0)</f>
        <v/>
      </c>
      <c r="Y2233">
        <f>IF(ISNUMBER(Q2233),1,0)</f>
        <v/>
      </c>
      <c r="Z2233">
        <f>IF(AND(K2233=0,L2233=0,Y2233=0),1,0)</f>
        <v/>
      </c>
      <c r="AA2233">
        <f>IF(AND(Z2233=1,G2233&lt;Assumptions!$C$6),1,0)</f>
        <v/>
      </c>
      <c r="AB2233">
        <f>IF(U2233=0,"",IF(Y2233=1,MAX(0,Q2233-G2233),IF(L2233=1,MAX(0,R2233-G2233),MAX(0,Assumptions!$C$6-G2233))))</f>
        <v/>
      </c>
      <c r="AC2233">
        <f>IF(Y2233=1,Q2233-F2233,"")</f>
        <v/>
      </c>
      <c r="AD2233">
        <f>IF(Y2233=1,AC2233^2,"")</f>
        <v/>
      </c>
      <c r="AE2233" s="19">
        <f>IF(Z2233=1,(H2233-M2233)*I2233,0)</f>
        <v/>
      </c>
      <c r="AF2233">
        <f>IF(G2233&lt;EDATE(Assumptions!$C$6,-12)+1,"prior_12m","last_12m")</f>
        <v/>
      </c>
      <c r="AG2233" s="21">
        <f>DATE(YEAR(G2233),MONTH(G2233),1)</f>
        <v/>
      </c>
    </row>
    <row r="2234">
      <c r="A2234" t="inlineStr">
        <is>
          <t>SPO-01210-1</t>
        </is>
      </c>
      <c r="B2234" t="inlineStr">
        <is>
          <t>SPO-01210</t>
        </is>
      </c>
      <c r="C2234" t="inlineStr">
        <is>
          <t>SUP-01</t>
        </is>
      </c>
      <c r="D2234" t="inlineStr">
        <is>
          <t>ELEC</t>
        </is>
      </c>
      <c r="E2234" t="inlineStr">
        <is>
          <t>ELEC-01</t>
        </is>
      </c>
      <c r="F2234" s="17" t="n">
        <v>45905</v>
      </c>
      <c r="G2234" s="17" t="n">
        <v>45923</v>
      </c>
      <c r="H2234" s="18" t="n">
        <v>37</v>
      </c>
      <c r="I2234" s="19" t="n">
        <v>38.27</v>
      </c>
      <c r="J2234" s="19" t="n">
        <v>38</v>
      </c>
      <c r="K2234" s="20" t="n">
        <v>0</v>
      </c>
      <c r="L2234" s="20" t="n">
        <v>0</v>
      </c>
      <c r="M2234" s="18" t="n">
        <v>37</v>
      </c>
      <c r="N2234" s="18" t="n">
        <v>37</v>
      </c>
      <c r="O2234" s="18" t="n">
        <v>0</v>
      </c>
      <c r="P2234" s="17" t="n">
        <v>45918</v>
      </c>
      <c r="Q2234" s="17" t="n">
        <v>45918</v>
      </c>
      <c r="R2234" s="17" t="n">
        <v>45918</v>
      </c>
      <c r="S2234" s="19">
        <f>H2234*I2234</f>
        <v/>
      </c>
      <c r="T2234" s="19">
        <f>H2234*J2234</f>
        <v/>
      </c>
      <c r="U2234">
        <f>IF(AND(K2234=0,G2234&lt;=Assumptions!$C$6),1,0)</f>
        <v/>
      </c>
      <c r="V2234">
        <f>IF(U2234=1,IF(M2234&gt;0,IF(P2234&lt;=G2234+Assumptions!$C$7,1,0),0),0)</f>
        <v/>
      </c>
      <c r="W2234">
        <f>IF(AND(U2234=1,M2234&gt;=H2234*(1-Assumptions!$C$8)),1,0)</f>
        <v/>
      </c>
      <c r="X2234">
        <f>IF(AND(U2234=1,N2234&gt;=H2234*(1-Assumptions!$C$8)),1,0)</f>
        <v/>
      </c>
      <c r="Y2234">
        <f>IF(ISNUMBER(Q2234),1,0)</f>
        <v/>
      </c>
      <c r="Z2234">
        <f>IF(AND(K2234=0,L2234=0,Y2234=0),1,0)</f>
        <v/>
      </c>
      <c r="AA2234">
        <f>IF(AND(Z2234=1,G2234&lt;Assumptions!$C$6),1,0)</f>
        <v/>
      </c>
      <c r="AB2234">
        <f>IF(U2234=0,"",IF(Y2234=1,MAX(0,Q2234-G2234),IF(L2234=1,MAX(0,R2234-G2234),MAX(0,Assumptions!$C$6-G2234))))</f>
        <v/>
      </c>
      <c r="AC2234">
        <f>IF(Y2234=1,Q2234-F2234,"")</f>
        <v/>
      </c>
      <c r="AD2234">
        <f>IF(Y2234=1,AC2234^2,"")</f>
        <v/>
      </c>
      <c r="AE2234" s="19">
        <f>IF(Z2234=1,(H2234-M2234)*I2234,0)</f>
        <v/>
      </c>
      <c r="AF2234">
        <f>IF(G2234&lt;EDATE(Assumptions!$C$6,-12)+1,"prior_12m","last_12m")</f>
        <v/>
      </c>
      <c r="AG2234" s="21">
        <f>DATE(YEAR(G2234),MONTH(G2234),1)</f>
        <v/>
      </c>
    </row>
    <row r="2235">
      <c r="A2235" t="inlineStr">
        <is>
          <t>SPO-01210-2</t>
        </is>
      </c>
      <c r="B2235" t="inlineStr">
        <is>
          <t>SPO-01210</t>
        </is>
      </c>
      <c r="C2235" t="inlineStr">
        <is>
          <t>SUP-01</t>
        </is>
      </c>
      <c r="D2235" t="inlineStr">
        <is>
          <t>ELEC</t>
        </is>
      </c>
      <c r="E2235" t="inlineStr">
        <is>
          <t>ELEC-04</t>
        </is>
      </c>
      <c r="F2235" s="17" t="n">
        <v>45905</v>
      </c>
      <c r="G2235" s="17" t="n">
        <v>45923</v>
      </c>
      <c r="H2235" s="18" t="n">
        <v>38</v>
      </c>
      <c r="I2235" s="19" t="n">
        <v>71.66</v>
      </c>
      <c r="J2235" s="19" t="n">
        <v>72</v>
      </c>
      <c r="K2235" s="20" t="n">
        <v>0</v>
      </c>
      <c r="L2235" s="20" t="n">
        <v>0</v>
      </c>
      <c r="M2235" s="18" t="n">
        <v>38</v>
      </c>
      <c r="N2235" s="18" t="n">
        <v>38</v>
      </c>
      <c r="O2235" s="18" t="n">
        <v>0</v>
      </c>
      <c r="P2235" s="17" t="n">
        <v>45920</v>
      </c>
      <c r="Q2235" s="17" t="n">
        <v>45920</v>
      </c>
      <c r="R2235" s="17" t="n">
        <v>45920</v>
      </c>
      <c r="S2235" s="19">
        <f>H2235*I2235</f>
        <v/>
      </c>
      <c r="T2235" s="19">
        <f>H2235*J2235</f>
        <v/>
      </c>
      <c r="U2235">
        <f>IF(AND(K2235=0,G2235&lt;=Assumptions!$C$6),1,0)</f>
        <v/>
      </c>
      <c r="V2235">
        <f>IF(U2235=1,IF(M2235&gt;0,IF(P2235&lt;=G2235+Assumptions!$C$7,1,0),0),0)</f>
        <v/>
      </c>
      <c r="W2235">
        <f>IF(AND(U2235=1,M2235&gt;=H2235*(1-Assumptions!$C$8)),1,0)</f>
        <v/>
      </c>
      <c r="X2235">
        <f>IF(AND(U2235=1,N2235&gt;=H2235*(1-Assumptions!$C$8)),1,0)</f>
        <v/>
      </c>
      <c r="Y2235">
        <f>IF(ISNUMBER(Q2235),1,0)</f>
        <v/>
      </c>
      <c r="Z2235">
        <f>IF(AND(K2235=0,L2235=0,Y2235=0),1,0)</f>
        <v/>
      </c>
      <c r="AA2235">
        <f>IF(AND(Z2235=1,G2235&lt;Assumptions!$C$6),1,0)</f>
        <v/>
      </c>
      <c r="AB2235">
        <f>IF(U2235=0,"",IF(Y2235=1,MAX(0,Q2235-G2235),IF(L2235=1,MAX(0,R2235-G2235),MAX(0,Assumptions!$C$6-G2235))))</f>
        <v/>
      </c>
      <c r="AC2235">
        <f>IF(Y2235=1,Q2235-F2235,"")</f>
        <v/>
      </c>
      <c r="AD2235">
        <f>IF(Y2235=1,AC2235^2,"")</f>
        <v/>
      </c>
      <c r="AE2235" s="19">
        <f>IF(Z2235=1,(H2235-M2235)*I2235,0)</f>
        <v/>
      </c>
      <c r="AF2235">
        <f>IF(G2235&lt;EDATE(Assumptions!$C$6,-12)+1,"prior_12m","last_12m")</f>
        <v/>
      </c>
      <c r="AG2235" s="21">
        <f>DATE(YEAR(G2235),MONTH(G2235),1)</f>
        <v/>
      </c>
    </row>
    <row r="2236">
      <c r="A2236" t="inlineStr">
        <is>
          <t>SPO-01211-1</t>
        </is>
      </c>
      <c r="B2236" t="inlineStr">
        <is>
          <t>SPO-01211</t>
        </is>
      </c>
      <c r="C2236" t="inlineStr">
        <is>
          <t>SUP-12</t>
        </is>
      </c>
      <c r="D2236" t="inlineStr">
        <is>
          <t>IT</t>
        </is>
      </c>
      <c r="E2236" t="inlineStr">
        <is>
          <t>IT-06</t>
        </is>
      </c>
      <c r="F2236" s="17" t="n">
        <v>45906</v>
      </c>
      <c r="G2236" s="17" t="n">
        <v>45916</v>
      </c>
      <c r="H2236" s="18" t="n">
        <v>10</v>
      </c>
      <c r="I2236" s="19" t="n">
        <v>99.09</v>
      </c>
      <c r="J2236" s="19" t="n">
        <v>89</v>
      </c>
      <c r="K2236" s="20" t="n">
        <v>0</v>
      </c>
      <c r="L2236" s="20" t="n">
        <v>0</v>
      </c>
      <c r="M2236" s="18" t="n">
        <v>10</v>
      </c>
      <c r="N2236" s="18" t="n">
        <v>10</v>
      </c>
      <c r="O2236" s="18" t="n">
        <v>0</v>
      </c>
      <c r="P2236" s="17" t="n">
        <v>45914</v>
      </c>
      <c r="Q2236" s="17" t="n">
        <v>45914</v>
      </c>
      <c r="R2236" s="17" t="n">
        <v>45914</v>
      </c>
      <c r="S2236" s="19">
        <f>H2236*I2236</f>
        <v/>
      </c>
      <c r="T2236" s="19">
        <f>H2236*J2236</f>
        <v/>
      </c>
      <c r="U2236">
        <f>IF(AND(K2236=0,G2236&lt;=Assumptions!$C$6),1,0)</f>
        <v/>
      </c>
      <c r="V2236">
        <f>IF(U2236=1,IF(M2236&gt;0,IF(P2236&lt;=G2236+Assumptions!$C$7,1,0),0),0)</f>
        <v/>
      </c>
      <c r="W2236">
        <f>IF(AND(U2236=1,M2236&gt;=H2236*(1-Assumptions!$C$8)),1,0)</f>
        <v/>
      </c>
      <c r="X2236">
        <f>IF(AND(U2236=1,N2236&gt;=H2236*(1-Assumptions!$C$8)),1,0)</f>
        <v/>
      </c>
      <c r="Y2236">
        <f>IF(ISNUMBER(Q2236),1,0)</f>
        <v/>
      </c>
      <c r="Z2236">
        <f>IF(AND(K2236=0,L2236=0,Y2236=0),1,0)</f>
        <v/>
      </c>
      <c r="AA2236">
        <f>IF(AND(Z2236=1,G2236&lt;Assumptions!$C$6),1,0)</f>
        <v/>
      </c>
      <c r="AB2236">
        <f>IF(U2236=0,"",IF(Y2236=1,MAX(0,Q2236-G2236),IF(L2236=1,MAX(0,R2236-G2236),MAX(0,Assumptions!$C$6-G2236))))</f>
        <v/>
      </c>
      <c r="AC2236">
        <f>IF(Y2236=1,Q2236-F2236,"")</f>
        <v/>
      </c>
      <c r="AD2236">
        <f>IF(Y2236=1,AC2236^2,"")</f>
        <v/>
      </c>
      <c r="AE2236" s="19">
        <f>IF(Z2236=1,(H2236-M2236)*I2236,0)</f>
        <v/>
      </c>
      <c r="AF2236">
        <f>IF(G2236&lt;EDATE(Assumptions!$C$6,-12)+1,"prior_12m","last_12m")</f>
        <v/>
      </c>
      <c r="AG2236" s="21">
        <f>DATE(YEAR(G2236),MONTH(G2236),1)</f>
        <v/>
      </c>
    </row>
    <row r="2237">
      <c r="A2237" t="inlineStr">
        <is>
          <t>SPO-01211-2</t>
        </is>
      </c>
      <c r="B2237" t="inlineStr">
        <is>
          <t>SPO-01211</t>
        </is>
      </c>
      <c r="C2237" t="inlineStr">
        <is>
          <t>SUP-12</t>
        </is>
      </c>
      <c r="D2237" t="inlineStr">
        <is>
          <t>IT</t>
        </is>
      </c>
      <c r="E2237" t="inlineStr">
        <is>
          <t>IT-01</t>
        </is>
      </c>
      <c r="F2237" s="17" t="n">
        <v>45906</v>
      </c>
      <c r="G2237" s="17" t="n">
        <v>45916</v>
      </c>
      <c r="H2237" s="18" t="n">
        <v>4</v>
      </c>
      <c r="I2237" s="19" t="n">
        <v>215.21</v>
      </c>
      <c r="J2237" s="19" t="n">
        <v>189</v>
      </c>
      <c r="K2237" s="20" t="n">
        <v>0</v>
      </c>
      <c r="L2237" s="20" t="n">
        <v>0</v>
      </c>
      <c r="M2237" s="18" t="n">
        <v>4</v>
      </c>
      <c r="N2237" s="18" t="n">
        <v>4</v>
      </c>
      <c r="O2237" s="18" t="n">
        <v>0</v>
      </c>
      <c r="P2237" s="17" t="n">
        <v>45915</v>
      </c>
      <c r="Q2237" s="17" t="n">
        <v>45915</v>
      </c>
      <c r="R2237" s="17" t="n">
        <v>45915</v>
      </c>
      <c r="S2237" s="19">
        <f>H2237*I2237</f>
        <v/>
      </c>
      <c r="T2237" s="19">
        <f>H2237*J2237</f>
        <v/>
      </c>
      <c r="U2237">
        <f>IF(AND(K2237=0,G2237&lt;=Assumptions!$C$6),1,0)</f>
        <v/>
      </c>
      <c r="V2237">
        <f>IF(U2237=1,IF(M2237&gt;0,IF(P2237&lt;=G2237+Assumptions!$C$7,1,0),0),0)</f>
        <v/>
      </c>
      <c r="W2237">
        <f>IF(AND(U2237=1,M2237&gt;=H2237*(1-Assumptions!$C$8)),1,0)</f>
        <v/>
      </c>
      <c r="X2237">
        <f>IF(AND(U2237=1,N2237&gt;=H2237*(1-Assumptions!$C$8)),1,0)</f>
        <v/>
      </c>
      <c r="Y2237">
        <f>IF(ISNUMBER(Q2237),1,0)</f>
        <v/>
      </c>
      <c r="Z2237">
        <f>IF(AND(K2237=0,L2237=0,Y2237=0),1,0)</f>
        <v/>
      </c>
      <c r="AA2237">
        <f>IF(AND(Z2237=1,G2237&lt;Assumptions!$C$6),1,0)</f>
        <v/>
      </c>
      <c r="AB2237">
        <f>IF(U2237=0,"",IF(Y2237=1,MAX(0,Q2237-G2237),IF(L2237=1,MAX(0,R2237-G2237),MAX(0,Assumptions!$C$6-G2237))))</f>
        <v/>
      </c>
      <c r="AC2237">
        <f>IF(Y2237=1,Q2237-F2237,"")</f>
        <v/>
      </c>
      <c r="AD2237">
        <f>IF(Y2237=1,AC2237^2,"")</f>
        <v/>
      </c>
      <c r="AE2237" s="19">
        <f>IF(Z2237=1,(H2237-M2237)*I2237,0)</f>
        <v/>
      </c>
      <c r="AF2237">
        <f>IF(G2237&lt;EDATE(Assumptions!$C$6,-12)+1,"prior_12m","last_12m")</f>
        <v/>
      </c>
      <c r="AG2237" s="21">
        <f>DATE(YEAR(G2237),MONTH(G2237),1)</f>
        <v/>
      </c>
    </row>
    <row r="2238">
      <c r="A2238" t="inlineStr">
        <is>
          <t>SPO-01212-1</t>
        </is>
      </c>
      <c r="B2238" t="inlineStr">
        <is>
          <t>SPO-01212</t>
        </is>
      </c>
      <c r="C2238" t="inlineStr">
        <is>
          <t>SUP-06</t>
        </is>
      </c>
      <c r="D2238" t="inlineStr">
        <is>
          <t>MRO</t>
        </is>
      </c>
      <c r="E2238" t="inlineStr">
        <is>
          <t>MRO-05</t>
        </is>
      </c>
      <c r="F2238" s="17" t="n">
        <v>45906</v>
      </c>
      <c r="G2238" s="17" t="n">
        <v>45914</v>
      </c>
      <c r="H2238" s="18" t="n">
        <v>44</v>
      </c>
      <c r="I2238" s="19" t="n">
        <v>35.45</v>
      </c>
      <c r="J2238" s="19" t="n">
        <v>36</v>
      </c>
      <c r="K2238" s="20" t="n">
        <v>0</v>
      </c>
      <c r="L2238" s="20" t="n">
        <v>0</v>
      </c>
      <c r="M2238" s="18" t="n">
        <v>44</v>
      </c>
      <c r="N2238" s="18" t="n">
        <v>44</v>
      </c>
      <c r="O2238" s="18" t="n">
        <v>0</v>
      </c>
      <c r="P2238" s="17" t="n">
        <v>45910</v>
      </c>
      <c r="Q2238" s="17" t="n">
        <v>45910</v>
      </c>
      <c r="R2238" s="17" t="n">
        <v>45910</v>
      </c>
      <c r="S2238" s="19">
        <f>H2238*I2238</f>
        <v/>
      </c>
      <c r="T2238" s="19">
        <f>H2238*J2238</f>
        <v/>
      </c>
      <c r="U2238">
        <f>IF(AND(K2238=0,G2238&lt;=Assumptions!$C$6),1,0)</f>
        <v/>
      </c>
      <c r="V2238">
        <f>IF(U2238=1,IF(M2238&gt;0,IF(P2238&lt;=G2238+Assumptions!$C$7,1,0),0),0)</f>
        <v/>
      </c>
      <c r="W2238">
        <f>IF(AND(U2238=1,M2238&gt;=H2238*(1-Assumptions!$C$8)),1,0)</f>
        <v/>
      </c>
      <c r="X2238">
        <f>IF(AND(U2238=1,N2238&gt;=H2238*(1-Assumptions!$C$8)),1,0)</f>
        <v/>
      </c>
      <c r="Y2238">
        <f>IF(ISNUMBER(Q2238),1,0)</f>
        <v/>
      </c>
      <c r="Z2238">
        <f>IF(AND(K2238=0,L2238=0,Y2238=0),1,0)</f>
        <v/>
      </c>
      <c r="AA2238">
        <f>IF(AND(Z2238=1,G2238&lt;Assumptions!$C$6),1,0)</f>
        <v/>
      </c>
      <c r="AB2238">
        <f>IF(U2238=0,"",IF(Y2238=1,MAX(0,Q2238-G2238),IF(L2238=1,MAX(0,R2238-G2238),MAX(0,Assumptions!$C$6-G2238))))</f>
        <v/>
      </c>
      <c r="AC2238">
        <f>IF(Y2238=1,Q2238-F2238,"")</f>
        <v/>
      </c>
      <c r="AD2238">
        <f>IF(Y2238=1,AC2238^2,"")</f>
        <v/>
      </c>
      <c r="AE2238" s="19">
        <f>IF(Z2238=1,(H2238-M2238)*I2238,0)</f>
        <v/>
      </c>
      <c r="AF2238">
        <f>IF(G2238&lt;EDATE(Assumptions!$C$6,-12)+1,"prior_12m","last_12m")</f>
        <v/>
      </c>
      <c r="AG2238" s="21">
        <f>DATE(YEAR(G2238),MONTH(G2238),1)</f>
        <v/>
      </c>
    </row>
    <row r="2239">
      <c r="A2239" t="inlineStr">
        <is>
          <t>SPO-01213-1</t>
        </is>
      </c>
      <c r="B2239" t="inlineStr">
        <is>
          <t>SPO-01213</t>
        </is>
      </c>
      <c r="C2239" t="inlineStr">
        <is>
          <t>SUP-12</t>
        </is>
      </c>
      <c r="D2239" t="inlineStr">
        <is>
          <t>IT</t>
        </is>
      </c>
      <c r="E2239" t="inlineStr">
        <is>
          <t>IT-02</t>
        </is>
      </c>
      <c r="F2239" s="17" t="n">
        <v>45906</v>
      </c>
      <c r="G2239" s="17" t="n">
        <v>45916</v>
      </c>
      <c r="H2239" s="18" t="n">
        <v>7</v>
      </c>
      <c r="I2239" s="19" t="n">
        <v>174.08</v>
      </c>
      <c r="J2239" s="19" t="n">
        <v>162</v>
      </c>
      <c r="K2239" s="20" t="n">
        <v>0</v>
      </c>
      <c r="L2239" s="20" t="n">
        <v>0</v>
      </c>
      <c r="M2239" s="18" t="n">
        <v>7</v>
      </c>
      <c r="N2239" s="18" t="n">
        <v>7</v>
      </c>
      <c r="O2239" s="18" t="n">
        <v>0</v>
      </c>
      <c r="P2239" s="17" t="n">
        <v>45911</v>
      </c>
      <c r="Q2239" s="17" t="n">
        <v>45911</v>
      </c>
      <c r="R2239" s="17" t="n">
        <v>45911</v>
      </c>
      <c r="S2239" s="19">
        <f>H2239*I2239</f>
        <v/>
      </c>
      <c r="T2239" s="19">
        <f>H2239*J2239</f>
        <v/>
      </c>
      <c r="U2239">
        <f>IF(AND(K2239=0,G2239&lt;=Assumptions!$C$6),1,0)</f>
        <v/>
      </c>
      <c r="V2239">
        <f>IF(U2239=1,IF(M2239&gt;0,IF(P2239&lt;=G2239+Assumptions!$C$7,1,0),0),0)</f>
        <v/>
      </c>
      <c r="W2239">
        <f>IF(AND(U2239=1,M2239&gt;=H2239*(1-Assumptions!$C$8)),1,0)</f>
        <v/>
      </c>
      <c r="X2239">
        <f>IF(AND(U2239=1,N2239&gt;=H2239*(1-Assumptions!$C$8)),1,0)</f>
        <v/>
      </c>
      <c r="Y2239">
        <f>IF(ISNUMBER(Q2239),1,0)</f>
        <v/>
      </c>
      <c r="Z2239">
        <f>IF(AND(K2239=0,L2239=0,Y2239=0),1,0)</f>
        <v/>
      </c>
      <c r="AA2239">
        <f>IF(AND(Z2239=1,G2239&lt;Assumptions!$C$6),1,0)</f>
        <v/>
      </c>
      <c r="AB2239">
        <f>IF(U2239=0,"",IF(Y2239=1,MAX(0,Q2239-G2239),IF(L2239=1,MAX(0,R2239-G2239),MAX(0,Assumptions!$C$6-G2239))))</f>
        <v/>
      </c>
      <c r="AC2239">
        <f>IF(Y2239=1,Q2239-F2239,"")</f>
        <v/>
      </c>
      <c r="AD2239">
        <f>IF(Y2239=1,AC2239^2,"")</f>
        <v/>
      </c>
      <c r="AE2239" s="19">
        <f>IF(Z2239=1,(H2239-M2239)*I2239,0)</f>
        <v/>
      </c>
      <c r="AF2239">
        <f>IF(G2239&lt;EDATE(Assumptions!$C$6,-12)+1,"prior_12m","last_12m")</f>
        <v/>
      </c>
      <c r="AG2239" s="21">
        <f>DATE(YEAR(G2239),MONTH(G2239),1)</f>
        <v/>
      </c>
    </row>
    <row r="2240">
      <c r="A2240" t="inlineStr">
        <is>
          <t>SPO-01213-2</t>
        </is>
      </c>
      <c r="B2240" t="inlineStr">
        <is>
          <t>SPO-01213</t>
        </is>
      </c>
      <c r="C2240" t="inlineStr">
        <is>
          <t>SUP-12</t>
        </is>
      </c>
      <c r="D2240" t="inlineStr">
        <is>
          <t>IT</t>
        </is>
      </c>
      <c r="E2240" t="inlineStr">
        <is>
          <t>IT-07</t>
        </is>
      </c>
      <c r="F2240" s="17" t="n">
        <v>45906</v>
      </c>
      <c r="G2240" s="17" t="n">
        <v>45916</v>
      </c>
      <c r="H2240" s="18" t="n">
        <v>23</v>
      </c>
      <c r="I2240" s="19" t="n">
        <v>81.43000000000001</v>
      </c>
      <c r="J2240" s="19" t="n">
        <v>74</v>
      </c>
      <c r="K2240" s="20" t="n">
        <v>0</v>
      </c>
      <c r="L2240" s="20" t="n">
        <v>0</v>
      </c>
      <c r="M2240" s="18" t="n">
        <v>23</v>
      </c>
      <c r="N2240" s="18" t="n">
        <v>23</v>
      </c>
      <c r="O2240" s="18" t="n">
        <v>0</v>
      </c>
      <c r="P2240" s="17" t="n">
        <v>45913</v>
      </c>
      <c r="Q2240" s="17" t="n">
        <v>45913</v>
      </c>
      <c r="R2240" s="17" t="n">
        <v>45913</v>
      </c>
      <c r="S2240" s="19">
        <f>H2240*I2240</f>
        <v/>
      </c>
      <c r="T2240" s="19">
        <f>H2240*J2240</f>
        <v/>
      </c>
      <c r="U2240">
        <f>IF(AND(K2240=0,G2240&lt;=Assumptions!$C$6),1,0)</f>
        <v/>
      </c>
      <c r="V2240">
        <f>IF(U2240=1,IF(M2240&gt;0,IF(P2240&lt;=G2240+Assumptions!$C$7,1,0),0),0)</f>
        <v/>
      </c>
      <c r="W2240">
        <f>IF(AND(U2240=1,M2240&gt;=H2240*(1-Assumptions!$C$8)),1,0)</f>
        <v/>
      </c>
      <c r="X2240">
        <f>IF(AND(U2240=1,N2240&gt;=H2240*(1-Assumptions!$C$8)),1,0)</f>
        <v/>
      </c>
      <c r="Y2240">
        <f>IF(ISNUMBER(Q2240),1,0)</f>
        <v/>
      </c>
      <c r="Z2240">
        <f>IF(AND(K2240=0,L2240=0,Y2240=0),1,0)</f>
        <v/>
      </c>
      <c r="AA2240">
        <f>IF(AND(Z2240=1,G2240&lt;Assumptions!$C$6),1,0)</f>
        <v/>
      </c>
      <c r="AB2240">
        <f>IF(U2240=0,"",IF(Y2240=1,MAX(0,Q2240-G2240),IF(L2240=1,MAX(0,R2240-G2240),MAX(0,Assumptions!$C$6-G2240))))</f>
        <v/>
      </c>
      <c r="AC2240">
        <f>IF(Y2240=1,Q2240-F2240,"")</f>
        <v/>
      </c>
      <c r="AD2240">
        <f>IF(Y2240=1,AC2240^2,"")</f>
        <v/>
      </c>
      <c r="AE2240" s="19">
        <f>IF(Z2240=1,(H2240-M2240)*I2240,0)</f>
        <v/>
      </c>
      <c r="AF2240">
        <f>IF(G2240&lt;EDATE(Assumptions!$C$6,-12)+1,"prior_12m","last_12m")</f>
        <v/>
      </c>
      <c r="AG2240" s="21">
        <f>DATE(YEAR(G2240),MONTH(G2240),1)</f>
        <v/>
      </c>
    </row>
    <row r="2241">
      <c r="A2241" t="inlineStr">
        <is>
          <t>SPO-01214-1</t>
        </is>
      </c>
      <c r="B2241" t="inlineStr">
        <is>
          <t>SPO-01214</t>
        </is>
      </c>
      <c r="C2241" t="inlineStr">
        <is>
          <t>SUP-01</t>
        </is>
      </c>
      <c r="D2241" t="inlineStr">
        <is>
          <t>ELEC</t>
        </is>
      </c>
      <c r="E2241" t="inlineStr">
        <is>
          <t>ELEC-03</t>
        </is>
      </c>
      <c r="F2241" s="17" t="n">
        <v>45906</v>
      </c>
      <c r="G2241" s="17" t="n">
        <v>45924</v>
      </c>
      <c r="H2241" s="18" t="n">
        <v>26</v>
      </c>
      <c r="I2241" s="19" t="n">
        <v>97.53</v>
      </c>
      <c r="J2241" s="19" t="n">
        <v>96</v>
      </c>
      <c r="K2241" s="20" t="n">
        <v>0</v>
      </c>
      <c r="L2241" s="20" t="n">
        <v>0</v>
      </c>
      <c r="M2241" s="18" t="n">
        <v>26</v>
      </c>
      <c r="N2241" s="18" t="n">
        <v>26</v>
      </c>
      <c r="O2241" s="18" t="n">
        <v>0</v>
      </c>
      <c r="P2241" s="17" t="n">
        <v>45923</v>
      </c>
      <c r="Q2241" s="17" t="n">
        <v>45923</v>
      </c>
      <c r="R2241" s="17" t="n">
        <v>45923</v>
      </c>
      <c r="S2241" s="19">
        <f>H2241*I2241</f>
        <v/>
      </c>
      <c r="T2241" s="19">
        <f>H2241*J2241</f>
        <v/>
      </c>
      <c r="U2241">
        <f>IF(AND(K2241=0,G2241&lt;=Assumptions!$C$6),1,0)</f>
        <v/>
      </c>
      <c r="V2241">
        <f>IF(U2241=1,IF(M2241&gt;0,IF(P2241&lt;=G2241+Assumptions!$C$7,1,0),0),0)</f>
        <v/>
      </c>
      <c r="W2241">
        <f>IF(AND(U2241=1,M2241&gt;=H2241*(1-Assumptions!$C$8)),1,0)</f>
        <v/>
      </c>
      <c r="X2241">
        <f>IF(AND(U2241=1,N2241&gt;=H2241*(1-Assumptions!$C$8)),1,0)</f>
        <v/>
      </c>
      <c r="Y2241">
        <f>IF(ISNUMBER(Q2241),1,0)</f>
        <v/>
      </c>
      <c r="Z2241">
        <f>IF(AND(K2241=0,L2241=0,Y2241=0),1,0)</f>
        <v/>
      </c>
      <c r="AA2241">
        <f>IF(AND(Z2241=1,G2241&lt;Assumptions!$C$6),1,0)</f>
        <v/>
      </c>
      <c r="AB2241">
        <f>IF(U2241=0,"",IF(Y2241=1,MAX(0,Q2241-G2241),IF(L2241=1,MAX(0,R2241-G2241),MAX(0,Assumptions!$C$6-G2241))))</f>
        <v/>
      </c>
      <c r="AC2241">
        <f>IF(Y2241=1,Q2241-F2241,"")</f>
        <v/>
      </c>
      <c r="AD2241">
        <f>IF(Y2241=1,AC2241^2,"")</f>
        <v/>
      </c>
      <c r="AE2241" s="19">
        <f>IF(Z2241=1,(H2241-M2241)*I2241,0)</f>
        <v/>
      </c>
      <c r="AF2241">
        <f>IF(G2241&lt;EDATE(Assumptions!$C$6,-12)+1,"prior_12m","last_12m")</f>
        <v/>
      </c>
      <c r="AG2241" s="21">
        <f>DATE(YEAR(G2241),MONTH(G2241),1)</f>
        <v/>
      </c>
    </row>
    <row r="2242">
      <c r="A2242" t="inlineStr">
        <is>
          <t>SPO-01215-1</t>
        </is>
      </c>
      <c r="B2242" t="inlineStr">
        <is>
          <t>SPO-01215</t>
        </is>
      </c>
      <c r="C2242" t="inlineStr">
        <is>
          <t>SUP-08</t>
        </is>
      </c>
      <c r="D2242" t="inlineStr">
        <is>
          <t>MRO</t>
        </is>
      </c>
      <c r="E2242" t="inlineStr">
        <is>
          <t>MRO-07</t>
        </is>
      </c>
      <c r="F2242" s="17" t="n">
        <v>45906</v>
      </c>
      <c r="G2242" s="17" t="n">
        <v>45917</v>
      </c>
      <c r="H2242" s="18" t="n">
        <v>190</v>
      </c>
      <c r="I2242" s="19" t="n">
        <v>13.99</v>
      </c>
      <c r="J2242" s="19" t="n">
        <v>14</v>
      </c>
      <c r="K2242" s="20" t="n">
        <v>0</v>
      </c>
      <c r="L2242" s="20" t="n">
        <v>0</v>
      </c>
      <c r="M2242" s="18" t="n">
        <v>190</v>
      </c>
      <c r="N2242" s="18" t="n">
        <v>0</v>
      </c>
      <c r="O2242" s="18" t="n">
        <v>0</v>
      </c>
      <c r="P2242" s="17" t="n">
        <v>45918</v>
      </c>
      <c r="Q2242" s="17" t="n">
        <v>45918</v>
      </c>
      <c r="R2242" s="17" t="n">
        <v>45918</v>
      </c>
      <c r="S2242" s="19">
        <f>H2242*I2242</f>
        <v/>
      </c>
      <c r="T2242" s="19">
        <f>H2242*J2242</f>
        <v/>
      </c>
      <c r="U2242">
        <f>IF(AND(K2242=0,G2242&lt;=Assumptions!$C$6),1,0)</f>
        <v/>
      </c>
      <c r="V2242">
        <f>IF(U2242=1,IF(M2242&gt;0,IF(P2242&lt;=G2242+Assumptions!$C$7,1,0),0),0)</f>
        <v/>
      </c>
      <c r="W2242">
        <f>IF(AND(U2242=1,M2242&gt;=H2242*(1-Assumptions!$C$8)),1,0)</f>
        <v/>
      </c>
      <c r="X2242">
        <f>IF(AND(U2242=1,N2242&gt;=H2242*(1-Assumptions!$C$8)),1,0)</f>
        <v/>
      </c>
      <c r="Y2242">
        <f>IF(ISNUMBER(Q2242),1,0)</f>
        <v/>
      </c>
      <c r="Z2242">
        <f>IF(AND(K2242=0,L2242=0,Y2242=0),1,0)</f>
        <v/>
      </c>
      <c r="AA2242">
        <f>IF(AND(Z2242=1,G2242&lt;Assumptions!$C$6),1,0)</f>
        <v/>
      </c>
      <c r="AB2242">
        <f>IF(U2242=0,"",IF(Y2242=1,MAX(0,Q2242-G2242),IF(L2242=1,MAX(0,R2242-G2242),MAX(0,Assumptions!$C$6-G2242))))</f>
        <v/>
      </c>
      <c r="AC2242">
        <f>IF(Y2242=1,Q2242-F2242,"")</f>
        <v/>
      </c>
      <c r="AD2242">
        <f>IF(Y2242=1,AC2242^2,"")</f>
        <v/>
      </c>
      <c r="AE2242" s="19">
        <f>IF(Z2242=1,(H2242-M2242)*I2242,0)</f>
        <v/>
      </c>
      <c r="AF2242">
        <f>IF(G2242&lt;EDATE(Assumptions!$C$6,-12)+1,"prior_12m","last_12m")</f>
        <v/>
      </c>
      <c r="AG2242" s="21">
        <f>DATE(YEAR(G2242),MONTH(G2242),1)</f>
        <v/>
      </c>
    </row>
    <row r="2243">
      <c r="A2243" t="inlineStr">
        <is>
          <t>SPO-01216-1</t>
        </is>
      </c>
      <c r="B2243" t="inlineStr">
        <is>
          <t>SPO-01216</t>
        </is>
      </c>
      <c r="C2243" t="inlineStr">
        <is>
          <t>SUP-08</t>
        </is>
      </c>
      <c r="D2243" t="inlineStr">
        <is>
          <t>MRO</t>
        </is>
      </c>
      <c r="E2243" t="inlineStr">
        <is>
          <t>MRO-08</t>
        </is>
      </c>
      <c r="F2243" s="17" t="n">
        <v>45907</v>
      </c>
      <c r="G2243" s="17" t="n">
        <v>45918</v>
      </c>
      <c r="H2243" s="18" t="n">
        <v>237</v>
      </c>
      <c r="I2243" s="19" t="n">
        <v>7.46</v>
      </c>
      <c r="J2243" s="19" t="n">
        <v>7.2</v>
      </c>
      <c r="K2243" s="20" t="n">
        <v>0</v>
      </c>
      <c r="L2243" s="20" t="n">
        <v>0</v>
      </c>
      <c r="M2243" s="18" t="n">
        <v>237</v>
      </c>
      <c r="N2243" s="18" t="n">
        <v>0</v>
      </c>
      <c r="O2243" s="18" t="n">
        <v>0</v>
      </c>
      <c r="P2243" s="17" t="n">
        <v>45919</v>
      </c>
      <c r="Q2243" s="17" t="n">
        <v>45919</v>
      </c>
      <c r="R2243" s="17" t="n">
        <v>45919</v>
      </c>
      <c r="S2243" s="19">
        <f>H2243*I2243</f>
        <v/>
      </c>
      <c r="T2243" s="19">
        <f>H2243*J2243</f>
        <v/>
      </c>
      <c r="U2243">
        <f>IF(AND(K2243=0,G2243&lt;=Assumptions!$C$6),1,0)</f>
        <v/>
      </c>
      <c r="V2243">
        <f>IF(U2243=1,IF(M2243&gt;0,IF(P2243&lt;=G2243+Assumptions!$C$7,1,0),0),0)</f>
        <v/>
      </c>
      <c r="W2243">
        <f>IF(AND(U2243=1,M2243&gt;=H2243*(1-Assumptions!$C$8)),1,0)</f>
        <v/>
      </c>
      <c r="X2243">
        <f>IF(AND(U2243=1,N2243&gt;=H2243*(1-Assumptions!$C$8)),1,0)</f>
        <v/>
      </c>
      <c r="Y2243">
        <f>IF(ISNUMBER(Q2243),1,0)</f>
        <v/>
      </c>
      <c r="Z2243">
        <f>IF(AND(K2243=0,L2243=0,Y2243=0),1,0)</f>
        <v/>
      </c>
      <c r="AA2243">
        <f>IF(AND(Z2243=1,G2243&lt;Assumptions!$C$6),1,0)</f>
        <v/>
      </c>
      <c r="AB2243">
        <f>IF(U2243=0,"",IF(Y2243=1,MAX(0,Q2243-G2243),IF(L2243=1,MAX(0,R2243-G2243),MAX(0,Assumptions!$C$6-G2243))))</f>
        <v/>
      </c>
      <c r="AC2243">
        <f>IF(Y2243=1,Q2243-F2243,"")</f>
        <v/>
      </c>
      <c r="AD2243">
        <f>IF(Y2243=1,AC2243^2,"")</f>
        <v/>
      </c>
      <c r="AE2243" s="19">
        <f>IF(Z2243=1,(H2243-M2243)*I2243,0)</f>
        <v/>
      </c>
      <c r="AF2243">
        <f>IF(G2243&lt;EDATE(Assumptions!$C$6,-12)+1,"prior_12m","last_12m")</f>
        <v/>
      </c>
      <c r="AG2243" s="21">
        <f>DATE(YEAR(G2243),MONTH(G2243),1)</f>
        <v/>
      </c>
    </row>
    <row r="2244">
      <c r="A2244" t="inlineStr">
        <is>
          <t>SPO-01217-1</t>
        </is>
      </c>
      <c r="B2244" t="inlineStr">
        <is>
          <t>SPO-01217</t>
        </is>
      </c>
      <c r="C2244" t="inlineStr">
        <is>
          <t>SUP-01</t>
        </is>
      </c>
      <c r="D2244" t="inlineStr">
        <is>
          <t>ELEC</t>
        </is>
      </c>
      <c r="E2244" t="inlineStr">
        <is>
          <t>ELEC-06</t>
        </is>
      </c>
      <c r="F2244" s="17" t="n">
        <v>45907</v>
      </c>
      <c r="G2244" s="17" t="n">
        <v>45925</v>
      </c>
      <c r="H2244" s="18" t="n">
        <v>10</v>
      </c>
      <c r="I2244" s="19" t="n">
        <v>146.83</v>
      </c>
      <c r="J2244" s="19" t="n">
        <v>145</v>
      </c>
      <c r="K2244" s="20" t="n">
        <v>0</v>
      </c>
      <c r="L2244" s="20" t="n">
        <v>0</v>
      </c>
      <c r="M2244" s="18" t="n">
        <v>10</v>
      </c>
      <c r="N2244" s="18" t="n">
        <v>10</v>
      </c>
      <c r="O2244" s="18" t="n">
        <v>0</v>
      </c>
      <c r="P2244" s="17" t="n">
        <v>45919</v>
      </c>
      <c r="Q2244" s="17" t="n">
        <v>45919</v>
      </c>
      <c r="R2244" s="17" t="n">
        <v>45919</v>
      </c>
      <c r="S2244" s="19">
        <f>H2244*I2244</f>
        <v/>
      </c>
      <c r="T2244" s="19">
        <f>H2244*J2244</f>
        <v/>
      </c>
      <c r="U2244">
        <f>IF(AND(K2244=0,G2244&lt;=Assumptions!$C$6),1,0)</f>
        <v/>
      </c>
      <c r="V2244">
        <f>IF(U2244=1,IF(M2244&gt;0,IF(P2244&lt;=G2244+Assumptions!$C$7,1,0),0),0)</f>
        <v/>
      </c>
      <c r="W2244">
        <f>IF(AND(U2244=1,M2244&gt;=H2244*(1-Assumptions!$C$8)),1,0)</f>
        <v/>
      </c>
      <c r="X2244">
        <f>IF(AND(U2244=1,N2244&gt;=H2244*(1-Assumptions!$C$8)),1,0)</f>
        <v/>
      </c>
      <c r="Y2244">
        <f>IF(ISNUMBER(Q2244),1,0)</f>
        <v/>
      </c>
      <c r="Z2244">
        <f>IF(AND(K2244=0,L2244=0,Y2244=0),1,0)</f>
        <v/>
      </c>
      <c r="AA2244">
        <f>IF(AND(Z2244=1,G2244&lt;Assumptions!$C$6),1,0)</f>
        <v/>
      </c>
      <c r="AB2244">
        <f>IF(U2244=0,"",IF(Y2244=1,MAX(0,Q2244-G2244),IF(L2244=1,MAX(0,R2244-G2244),MAX(0,Assumptions!$C$6-G2244))))</f>
        <v/>
      </c>
      <c r="AC2244">
        <f>IF(Y2244=1,Q2244-F2244,"")</f>
        <v/>
      </c>
      <c r="AD2244">
        <f>IF(Y2244=1,AC2244^2,"")</f>
        <v/>
      </c>
      <c r="AE2244" s="19">
        <f>IF(Z2244=1,(H2244-M2244)*I2244,0)</f>
        <v/>
      </c>
      <c r="AF2244">
        <f>IF(G2244&lt;EDATE(Assumptions!$C$6,-12)+1,"prior_12m","last_12m")</f>
        <v/>
      </c>
      <c r="AG2244" s="21">
        <f>DATE(YEAR(G2244),MONTH(G2244),1)</f>
        <v/>
      </c>
    </row>
    <row r="2245">
      <c r="A2245" t="inlineStr">
        <is>
          <t>SPO-01217-2</t>
        </is>
      </c>
      <c r="B2245" t="inlineStr">
        <is>
          <t>SPO-01217</t>
        </is>
      </c>
      <c r="C2245" t="inlineStr">
        <is>
          <t>SUP-01</t>
        </is>
      </c>
      <c r="D2245" t="inlineStr">
        <is>
          <t>ELEC</t>
        </is>
      </c>
      <c r="E2245" t="inlineStr">
        <is>
          <t>ELEC-04</t>
        </is>
      </c>
      <c r="F2245" s="17" t="n">
        <v>45907</v>
      </c>
      <c r="G2245" s="17" t="n">
        <v>45925</v>
      </c>
      <c r="H2245" s="18" t="n">
        <v>36</v>
      </c>
      <c r="I2245" s="19" t="n">
        <v>76.53</v>
      </c>
      <c r="J2245" s="19" t="n">
        <v>72</v>
      </c>
      <c r="K2245" s="20" t="n">
        <v>0</v>
      </c>
      <c r="L2245" s="20" t="n">
        <v>0</v>
      </c>
      <c r="M2245" s="18" t="n">
        <v>36</v>
      </c>
      <c r="N2245" s="18" t="n">
        <v>36</v>
      </c>
      <c r="O2245" s="18" t="n">
        <v>0</v>
      </c>
      <c r="P2245" s="17" t="n">
        <v>45923</v>
      </c>
      <c r="Q2245" s="17" t="n">
        <v>45923</v>
      </c>
      <c r="R2245" s="17" t="n">
        <v>45923</v>
      </c>
      <c r="S2245" s="19">
        <f>H2245*I2245</f>
        <v/>
      </c>
      <c r="T2245" s="19">
        <f>H2245*J2245</f>
        <v/>
      </c>
      <c r="U2245">
        <f>IF(AND(K2245=0,G2245&lt;=Assumptions!$C$6),1,0)</f>
        <v/>
      </c>
      <c r="V2245">
        <f>IF(U2245=1,IF(M2245&gt;0,IF(P2245&lt;=G2245+Assumptions!$C$7,1,0),0),0)</f>
        <v/>
      </c>
      <c r="W2245">
        <f>IF(AND(U2245=1,M2245&gt;=H2245*(1-Assumptions!$C$8)),1,0)</f>
        <v/>
      </c>
      <c r="X2245">
        <f>IF(AND(U2245=1,N2245&gt;=H2245*(1-Assumptions!$C$8)),1,0)</f>
        <v/>
      </c>
      <c r="Y2245">
        <f>IF(ISNUMBER(Q2245),1,0)</f>
        <v/>
      </c>
      <c r="Z2245">
        <f>IF(AND(K2245=0,L2245=0,Y2245=0),1,0)</f>
        <v/>
      </c>
      <c r="AA2245">
        <f>IF(AND(Z2245=1,G2245&lt;Assumptions!$C$6),1,0)</f>
        <v/>
      </c>
      <c r="AB2245">
        <f>IF(U2245=0,"",IF(Y2245=1,MAX(0,Q2245-G2245),IF(L2245=1,MAX(0,R2245-G2245),MAX(0,Assumptions!$C$6-G2245))))</f>
        <v/>
      </c>
      <c r="AC2245">
        <f>IF(Y2245=1,Q2245-F2245,"")</f>
        <v/>
      </c>
      <c r="AD2245">
        <f>IF(Y2245=1,AC2245^2,"")</f>
        <v/>
      </c>
      <c r="AE2245" s="19">
        <f>IF(Z2245=1,(H2245-M2245)*I2245,0)</f>
        <v/>
      </c>
      <c r="AF2245">
        <f>IF(G2245&lt;EDATE(Assumptions!$C$6,-12)+1,"prior_12m","last_12m")</f>
        <v/>
      </c>
      <c r="AG2245" s="21">
        <f>DATE(YEAR(G2245),MONTH(G2245),1)</f>
        <v/>
      </c>
    </row>
    <row r="2246">
      <c r="A2246" t="inlineStr">
        <is>
          <t>SPO-01217-3</t>
        </is>
      </c>
      <c r="B2246" t="inlineStr">
        <is>
          <t>SPO-01217</t>
        </is>
      </c>
      <c r="C2246" t="inlineStr">
        <is>
          <t>SUP-01</t>
        </is>
      </c>
      <c r="D2246" t="inlineStr">
        <is>
          <t>ELEC</t>
        </is>
      </c>
      <c r="E2246" t="inlineStr">
        <is>
          <t>ELEC-03</t>
        </is>
      </c>
      <c r="F2246" s="17" t="n">
        <v>45907</v>
      </c>
      <c r="G2246" s="17" t="n">
        <v>45925</v>
      </c>
      <c r="H2246" s="18" t="n">
        <v>40</v>
      </c>
      <c r="I2246" s="19" t="n">
        <v>95.61</v>
      </c>
      <c r="J2246" s="19" t="n">
        <v>96</v>
      </c>
      <c r="K2246" s="20" t="n">
        <v>0</v>
      </c>
      <c r="L2246" s="20" t="n">
        <v>0</v>
      </c>
      <c r="M2246" s="18" t="n">
        <v>40</v>
      </c>
      <c r="N2246" s="18" t="n">
        <v>40</v>
      </c>
      <c r="O2246" s="18" t="n">
        <v>9</v>
      </c>
      <c r="P2246" s="17" t="n">
        <v>45921</v>
      </c>
      <c r="Q2246" s="17" t="n">
        <v>45921</v>
      </c>
      <c r="R2246" s="17" t="n">
        <v>45921</v>
      </c>
      <c r="S2246" s="19">
        <f>H2246*I2246</f>
        <v/>
      </c>
      <c r="T2246" s="19">
        <f>H2246*J2246</f>
        <v/>
      </c>
      <c r="U2246">
        <f>IF(AND(K2246=0,G2246&lt;=Assumptions!$C$6),1,0)</f>
        <v/>
      </c>
      <c r="V2246">
        <f>IF(U2246=1,IF(M2246&gt;0,IF(P2246&lt;=G2246+Assumptions!$C$7,1,0),0),0)</f>
        <v/>
      </c>
      <c r="W2246">
        <f>IF(AND(U2246=1,M2246&gt;=H2246*(1-Assumptions!$C$8)),1,0)</f>
        <v/>
      </c>
      <c r="X2246">
        <f>IF(AND(U2246=1,N2246&gt;=H2246*(1-Assumptions!$C$8)),1,0)</f>
        <v/>
      </c>
      <c r="Y2246">
        <f>IF(ISNUMBER(Q2246),1,0)</f>
        <v/>
      </c>
      <c r="Z2246">
        <f>IF(AND(K2246=0,L2246=0,Y2246=0),1,0)</f>
        <v/>
      </c>
      <c r="AA2246">
        <f>IF(AND(Z2246=1,G2246&lt;Assumptions!$C$6),1,0)</f>
        <v/>
      </c>
      <c r="AB2246">
        <f>IF(U2246=0,"",IF(Y2246=1,MAX(0,Q2246-G2246),IF(L2246=1,MAX(0,R2246-G2246),MAX(0,Assumptions!$C$6-G2246))))</f>
        <v/>
      </c>
      <c r="AC2246">
        <f>IF(Y2246=1,Q2246-F2246,"")</f>
        <v/>
      </c>
      <c r="AD2246">
        <f>IF(Y2246=1,AC2246^2,"")</f>
        <v/>
      </c>
      <c r="AE2246" s="19">
        <f>IF(Z2246=1,(H2246-M2246)*I2246,0)</f>
        <v/>
      </c>
      <c r="AF2246">
        <f>IF(G2246&lt;EDATE(Assumptions!$C$6,-12)+1,"prior_12m","last_12m")</f>
        <v/>
      </c>
      <c r="AG2246" s="21">
        <f>DATE(YEAR(G2246),MONTH(G2246),1)</f>
        <v/>
      </c>
    </row>
    <row r="2247">
      <c r="A2247" t="inlineStr">
        <is>
          <t>SPO-01218-1</t>
        </is>
      </c>
      <c r="B2247" t="inlineStr">
        <is>
          <t>SPO-01218</t>
        </is>
      </c>
      <c r="C2247" t="inlineStr">
        <is>
          <t>SUP-06</t>
        </is>
      </c>
      <c r="D2247" t="inlineStr">
        <is>
          <t>MRO</t>
        </is>
      </c>
      <c r="E2247" t="inlineStr">
        <is>
          <t>MRO-01</t>
        </is>
      </c>
      <c r="F2247" s="17" t="n">
        <v>45907</v>
      </c>
      <c r="G2247" s="17" t="n">
        <v>45915</v>
      </c>
      <c r="H2247" s="18" t="n">
        <v>38</v>
      </c>
      <c r="I2247" s="19" t="n">
        <v>51.85</v>
      </c>
      <c r="J2247" s="19" t="n">
        <v>52</v>
      </c>
      <c r="K2247" s="20" t="n">
        <v>0</v>
      </c>
      <c r="L2247" s="20" t="n">
        <v>0</v>
      </c>
      <c r="M2247" s="18" t="n">
        <v>38</v>
      </c>
      <c r="N2247" s="18" t="n">
        <v>38</v>
      </c>
      <c r="O2247" s="18" t="n">
        <v>0</v>
      </c>
      <c r="P2247" s="17" t="n">
        <v>45913</v>
      </c>
      <c r="Q2247" s="17" t="n">
        <v>45913</v>
      </c>
      <c r="R2247" s="17" t="n">
        <v>45913</v>
      </c>
      <c r="S2247" s="19">
        <f>H2247*I2247</f>
        <v/>
      </c>
      <c r="T2247" s="19">
        <f>H2247*J2247</f>
        <v/>
      </c>
      <c r="U2247">
        <f>IF(AND(K2247=0,G2247&lt;=Assumptions!$C$6),1,0)</f>
        <v/>
      </c>
      <c r="V2247">
        <f>IF(U2247=1,IF(M2247&gt;0,IF(P2247&lt;=G2247+Assumptions!$C$7,1,0),0),0)</f>
        <v/>
      </c>
      <c r="W2247">
        <f>IF(AND(U2247=1,M2247&gt;=H2247*(1-Assumptions!$C$8)),1,0)</f>
        <v/>
      </c>
      <c r="X2247">
        <f>IF(AND(U2247=1,N2247&gt;=H2247*(1-Assumptions!$C$8)),1,0)</f>
        <v/>
      </c>
      <c r="Y2247">
        <f>IF(ISNUMBER(Q2247),1,0)</f>
        <v/>
      </c>
      <c r="Z2247">
        <f>IF(AND(K2247=0,L2247=0,Y2247=0),1,0)</f>
        <v/>
      </c>
      <c r="AA2247">
        <f>IF(AND(Z2247=1,G2247&lt;Assumptions!$C$6),1,0)</f>
        <v/>
      </c>
      <c r="AB2247">
        <f>IF(U2247=0,"",IF(Y2247=1,MAX(0,Q2247-G2247),IF(L2247=1,MAX(0,R2247-G2247),MAX(0,Assumptions!$C$6-G2247))))</f>
        <v/>
      </c>
      <c r="AC2247">
        <f>IF(Y2247=1,Q2247-F2247,"")</f>
        <v/>
      </c>
      <c r="AD2247">
        <f>IF(Y2247=1,AC2247^2,"")</f>
        <v/>
      </c>
      <c r="AE2247" s="19">
        <f>IF(Z2247=1,(H2247-M2247)*I2247,0)</f>
        <v/>
      </c>
      <c r="AF2247">
        <f>IF(G2247&lt;EDATE(Assumptions!$C$6,-12)+1,"prior_12m","last_12m")</f>
        <v/>
      </c>
      <c r="AG2247" s="21">
        <f>DATE(YEAR(G2247),MONTH(G2247),1)</f>
        <v/>
      </c>
    </row>
    <row r="2248">
      <c r="A2248" t="inlineStr">
        <is>
          <t>SPO-01219-1</t>
        </is>
      </c>
      <c r="B2248" t="inlineStr">
        <is>
          <t>SPO-01219</t>
        </is>
      </c>
      <c r="C2248" t="inlineStr">
        <is>
          <t>SUP-10</t>
        </is>
      </c>
      <c r="D2248" t="inlineStr">
        <is>
          <t>PPE</t>
        </is>
      </c>
      <c r="E2248" t="inlineStr">
        <is>
          <t>PPE-06</t>
        </is>
      </c>
      <c r="F2248" s="17" t="n">
        <v>45908</v>
      </c>
      <c r="G2248" s="17" t="n">
        <v>45921</v>
      </c>
      <c r="H2248" s="18" t="n">
        <v>7</v>
      </c>
      <c r="I2248" s="19" t="n">
        <v>107.85</v>
      </c>
      <c r="J2248" s="19" t="n">
        <v>115</v>
      </c>
      <c r="K2248" s="20" t="n">
        <v>0</v>
      </c>
      <c r="L2248" s="20" t="n">
        <v>0</v>
      </c>
      <c r="M2248" s="18" t="n">
        <v>7</v>
      </c>
      <c r="N2248" s="18" t="n">
        <v>7</v>
      </c>
      <c r="O2248" s="18" t="n">
        <v>0</v>
      </c>
      <c r="P2248" s="17" t="n">
        <v>45920</v>
      </c>
      <c r="Q2248" s="17" t="n">
        <v>45920</v>
      </c>
      <c r="R2248" s="17" t="n">
        <v>45920</v>
      </c>
      <c r="S2248" s="19">
        <f>H2248*I2248</f>
        <v/>
      </c>
      <c r="T2248" s="19">
        <f>H2248*J2248</f>
        <v/>
      </c>
      <c r="U2248">
        <f>IF(AND(K2248=0,G2248&lt;=Assumptions!$C$6),1,0)</f>
        <v/>
      </c>
      <c r="V2248">
        <f>IF(U2248=1,IF(M2248&gt;0,IF(P2248&lt;=G2248+Assumptions!$C$7,1,0),0),0)</f>
        <v/>
      </c>
      <c r="W2248">
        <f>IF(AND(U2248=1,M2248&gt;=H2248*(1-Assumptions!$C$8)),1,0)</f>
        <v/>
      </c>
      <c r="X2248">
        <f>IF(AND(U2248=1,N2248&gt;=H2248*(1-Assumptions!$C$8)),1,0)</f>
        <v/>
      </c>
      <c r="Y2248">
        <f>IF(ISNUMBER(Q2248),1,0)</f>
        <v/>
      </c>
      <c r="Z2248">
        <f>IF(AND(K2248=0,L2248=0,Y2248=0),1,0)</f>
        <v/>
      </c>
      <c r="AA2248">
        <f>IF(AND(Z2248=1,G2248&lt;Assumptions!$C$6),1,0)</f>
        <v/>
      </c>
      <c r="AB2248">
        <f>IF(U2248=0,"",IF(Y2248=1,MAX(0,Q2248-G2248),IF(L2248=1,MAX(0,R2248-G2248),MAX(0,Assumptions!$C$6-G2248))))</f>
        <v/>
      </c>
      <c r="AC2248">
        <f>IF(Y2248=1,Q2248-F2248,"")</f>
        <v/>
      </c>
      <c r="AD2248">
        <f>IF(Y2248=1,AC2248^2,"")</f>
        <v/>
      </c>
      <c r="AE2248" s="19">
        <f>IF(Z2248=1,(H2248-M2248)*I2248,0)</f>
        <v/>
      </c>
      <c r="AF2248">
        <f>IF(G2248&lt;EDATE(Assumptions!$C$6,-12)+1,"prior_12m","last_12m")</f>
        <v/>
      </c>
      <c r="AG2248" s="21">
        <f>DATE(YEAR(G2248),MONTH(G2248),1)</f>
        <v/>
      </c>
    </row>
    <row r="2249">
      <c r="A2249" t="inlineStr">
        <is>
          <t>SPO-01220-1</t>
        </is>
      </c>
      <c r="B2249" t="inlineStr">
        <is>
          <t>SPO-01220</t>
        </is>
      </c>
      <c r="C2249" t="inlineStr">
        <is>
          <t>SUP-01</t>
        </is>
      </c>
      <c r="D2249" t="inlineStr">
        <is>
          <t>ELEC</t>
        </is>
      </c>
      <c r="E2249" t="inlineStr">
        <is>
          <t>ELEC-04</t>
        </is>
      </c>
      <c r="F2249" s="17" t="n">
        <v>45908</v>
      </c>
      <c r="G2249" s="17" t="n">
        <v>45926</v>
      </c>
      <c r="H2249" s="18" t="n">
        <v>74</v>
      </c>
      <c r="I2249" s="19" t="n">
        <v>74.38</v>
      </c>
      <c r="J2249" s="19" t="n">
        <v>72</v>
      </c>
      <c r="K2249" s="20" t="n">
        <v>0</v>
      </c>
      <c r="L2249" s="20" t="n">
        <v>0</v>
      </c>
      <c r="M2249" s="18" t="n">
        <v>74</v>
      </c>
      <c r="N2249" s="18" t="n">
        <v>74</v>
      </c>
      <c r="O2249" s="18" t="n">
        <v>0</v>
      </c>
      <c r="P2249" s="17" t="n">
        <v>45922</v>
      </c>
      <c r="Q2249" s="17" t="n">
        <v>45922</v>
      </c>
      <c r="R2249" s="17" t="n">
        <v>45922</v>
      </c>
      <c r="S2249" s="19">
        <f>H2249*I2249</f>
        <v/>
      </c>
      <c r="T2249" s="19">
        <f>H2249*J2249</f>
        <v/>
      </c>
      <c r="U2249">
        <f>IF(AND(K2249=0,G2249&lt;=Assumptions!$C$6),1,0)</f>
        <v/>
      </c>
      <c r="V2249">
        <f>IF(U2249=1,IF(M2249&gt;0,IF(P2249&lt;=G2249+Assumptions!$C$7,1,0),0),0)</f>
        <v/>
      </c>
      <c r="W2249">
        <f>IF(AND(U2249=1,M2249&gt;=H2249*(1-Assumptions!$C$8)),1,0)</f>
        <v/>
      </c>
      <c r="X2249">
        <f>IF(AND(U2249=1,N2249&gt;=H2249*(1-Assumptions!$C$8)),1,0)</f>
        <v/>
      </c>
      <c r="Y2249">
        <f>IF(ISNUMBER(Q2249),1,0)</f>
        <v/>
      </c>
      <c r="Z2249">
        <f>IF(AND(K2249=0,L2249=0,Y2249=0),1,0)</f>
        <v/>
      </c>
      <c r="AA2249">
        <f>IF(AND(Z2249=1,G2249&lt;Assumptions!$C$6),1,0)</f>
        <v/>
      </c>
      <c r="AB2249">
        <f>IF(U2249=0,"",IF(Y2249=1,MAX(0,Q2249-G2249),IF(L2249=1,MAX(0,R2249-G2249),MAX(0,Assumptions!$C$6-G2249))))</f>
        <v/>
      </c>
      <c r="AC2249">
        <f>IF(Y2249=1,Q2249-F2249,"")</f>
        <v/>
      </c>
      <c r="AD2249">
        <f>IF(Y2249=1,AC2249^2,"")</f>
        <v/>
      </c>
      <c r="AE2249" s="19">
        <f>IF(Z2249=1,(H2249-M2249)*I2249,0)</f>
        <v/>
      </c>
      <c r="AF2249">
        <f>IF(G2249&lt;EDATE(Assumptions!$C$6,-12)+1,"prior_12m","last_12m")</f>
        <v/>
      </c>
      <c r="AG2249" s="21">
        <f>DATE(YEAR(G2249),MONTH(G2249),1)</f>
        <v/>
      </c>
    </row>
    <row r="2250">
      <c r="A2250" t="inlineStr">
        <is>
          <t>SPO-01220-2</t>
        </is>
      </c>
      <c r="B2250" t="inlineStr">
        <is>
          <t>SPO-01220</t>
        </is>
      </c>
      <c r="C2250" t="inlineStr">
        <is>
          <t>SUP-01</t>
        </is>
      </c>
      <c r="D2250" t="inlineStr">
        <is>
          <t>ELEC</t>
        </is>
      </c>
      <c r="E2250" t="inlineStr">
        <is>
          <t>ELEC-05</t>
        </is>
      </c>
      <c r="F2250" s="17" t="n">
        <v>45908</v>
      </c>
      <c r="G2250" s="17" t="n">
        <v>45926</v>
      </c>
      <c r="H2250" s="18" t="n">
        <v>153</v>
      </c>
      <c r="I2250" s="19" t="n">
        <v>11.21</v>
      </c>
      <c r="J2250" s="19" t="n">
        <v>11.5</v>
      </c>
      <c r="K2250" s="20" t="n">
        <v>0</v>
      </c>
      <c r="L2250" s="20" t="n">
        <v>0</v>
      </c>
      <c r="M2250" s="18" t="n">
        <v>153</v>
      </c>
      <c r="N2250" s="18" t="n">
        <v>153</v>
      </c>
      <c r="O2250" s="18" t="n">
        <v>0</v>
      </c>
      <c r="P2250" s="17" t="n">
        <v>45922</v>
      </c>
      <c r="Q2250" s="17" t="n">
        <v>45922</v>
      </c>
      <c r="R2250" s="17" t="n">
        <v>45922</v>
      </c>
      <c r="S2250" s="19">
        <f>H2250*I2250</f>
        <v/>
      </c>
      <c r="T2250" s="19">
        <f>H2250*J2250</f>
        <v/>
      </c>
      <c r="U2250">
        <f>IF(AND(K2250=0,G2250&lt;=Assumptions!$C$6),1,0)</f>
        <v/>
      </c>
      <c r="V2250">
        <f>IF(U2250=1,IF(M2250&gt;0,IF(P2250&lt;=G2250+Assumptions!$C$7,1,0),0),0)</f>
        <v/>
      </c>
      <c r="W2250">
        <f>IF(AND(U2250=1,M2250&gt;=H2250*(1-Assumptions!$C$8)),1,0)</f>
        <v/>
      </c>
      <c r="X2250">
        <f>IF(AND(U2250=1,N2250&gt;=H2250*(1-Assumptions!$C$8)),1,0)</f>
        <v/>
      </c>
      <c r="Y2250">
        <f>IF(ISNUMBER(Q2250),1,0)</f>
        <v/>
      </c>
      <c r="Z2250">
        <f>IF(AND(K2250=0,L2250=0,Y2250=0),1,0)</f>
        <v/>
      </c>
      <c r="AA2250">
        <f>IF(AND(Z2250=1,G2250&lt;Assumptions!$C$6),1,0)</f>
        <v/>
      </c>
      <c r="AB2250">
        <f>IF(U2250=0,"",IF(Y2250=1,MAX(0,Q2250-G2250),IF(L2250=1,MAX(0,R2250-G2250),MAX(0,Assumptions!$C$6-G2250))))</f>
        <v/>
      </c>
      <c r="AC2250">
        <f>IF(Y2250=1,Q2250-F2250,"")</f>
        <v/>
      </c>
      <c r="AD2250">
        <f>IF(Y2250=1,AC2250^2,"")</f>
        <v/>
      </c>
      <c r="AE2250" s="19">
        <f>IF(Z2250=1,(H2250-M2250)*I2250,0)</f>
        <v/>
      </c>
      <c r="AF2250">
        <f>IF(G2250&lt;EDATE(Assumptions!$C$6,-12)+1,"prior_12m","last_12m")</f>
        <v/>
      </c>
      <c r="AG2250" s="21">
        <f>DATE(YEAR(G2250),MONTH(G2250),1)</f>
        <v/>
      </c>
    </row>
    <row r="2251">
      <c r="A2251" t="inlineStr">
        <is>
          <t>SPO-01221-1</t>
        </is>
      </c>
      <c r="B2251" t="inlineStr">
        <is>
          <t>SPO-01221</t>
        </is>
      </c>
      <c r="C2251" t="inlineStr">
        <is>
          <t>SUP-12</t>
        </is>
      </c>
      <c r="D2251" t="inlineStr">
        <is>
          <t>IT</t>
        </is>
      </c>
      <c r="E2251" t="inlineStr">
        <is>
          <t>IT-07</t>
        </is>
      </c>
      <c r="F2251" s="17" t="n">
        <v>45908</v>
      </c>
      <c r="G2251" s="17" t="n">
        <v>45918</v>
      </c>
      <c r="H2251" s="18" t="n">
        <v>29</v>
      </c>
      <c r="I2251" s="19" t="n">
        <v>85.68000000000001</v>
      </c>
      <c r="J2251" s="19" t="n">
        <v>74</v>
      </c>
      <c r="K2251" s="20" t="n">
        <v>0</v>
      </c>
      <c r="L2251" s="20" t="n">
        <v>0</v>
      </c>
      <c r="M2251" s="18" t="n">
        <v>29</v>
      </c>
      <c r="N2251" s="18" t="n">
        <v>0</v>
      </c>
      <c r="O2251" s="18" t="n">
        <v>0</v>
      </c>
      <c r="P2251" s="17" t="n">
        <v>45920</v>
      </c>
      <c r="Q2251" s="17" t="n">
        <v>45920</v>
      </c>
      <c r="R2251" s="17" t="n">
        <v>45920</v>
      </c>
      <c r="S2251" s="19">
        <f>H2251*I2251</f>
        <v/>
      </c>
      <c r="T2251" s="19">
        <f>H2251*J2251</f>
        <v/>
      </c>
      <c r="U2251">
        <f>IF(AND(K2251=0,G2251&lt;=Assumptions!$C$6),1,0)</f>
        <v/>
      </c>
      <c r="V2251">
        <f>IF(U2251=1,IF(M2251&gt;0,IF(P2251&lt;=G2251+Assumptions!$C$7,1,0),0),0)</f>
        <v/>
      </c>
      <c r="W2251">
        <f>IF(AND(U2251=1,M2251&gt;=H2251*(1-Assumptions!$C$8)),1,0)</f>
        <v/>
      </c>
      <c r="X2251">
        <f>IF(AND(U2251=1,N2251&gt;=H2251*(1-Assumptions!$C$8)),1,0)</f>
        <v/>
      </c>
      <c r="Y2251">
        <f>IF(ISNUMBER(Q2251),1,0)</f>
        <v/>
      </c>
      <c r="Z2251">
        <f>IF(AND(K2251=0,L2251=0,Y2251=0),1,0)</f>
        <v/>
      </c>
      <c r="AA2251">
        <f>IF(AND(Z2251=1,G2251&lt;Assumptions!$C$6),1,0)</f>
        <v/>
      </c>
      <c r="AB2251">
        <f>IF(U2251=0,"",IF(Y2251=1,MAX(0,Q2251-G2251),IF(L2251=1,MAX(0,R2251-G2251),MAX(0,Assumptions!$C$6-G2251))))</f>
        <v/>
      </c>
      <c r="AC2251">
        <f>IF(Y2251=1,Q2251-F2251,"")</f>
        <v/>
      </c>
      <c r="AD2251">
        <f>IF(Y2251=1,AC2251^2,"")</f>
        <v/>
      </c>
      <c r="AE2251" s="19">
        <f>IF(Z2251=1,(H2251-M2251)*I2251,0)</f>
        <v/>
      </c>
      <c r="AF2251">
        <f>IF(G2251&lt;EDATE(Assumptions!$C$6,-12)+1,"prior_12m","last_12m")</f>
        <v/>
      </c>
      <c r="AG2251" s="21">
        <f>DATE(YEAR(G2251),MONTH(G2251),1)</f>
        <v/>
      </c>
    </row>
    <row r="2252">
      <c r="A2252" t="inlineStr">
        <is>
          <t>SPO-01221-2</t>
        </is>
      </c>
      <c r="B2252" t="inlineStr">
        <is>
          <t>SPO-01221</t>
        </is>
      </c>
      <c r="C2252" t="inlineStr">
        <is>
          <t>SUP-12</t>
        </is>
      </c>
      <c r="D2252" t="inlineStr">
        <is>
          <t>IT</t>
        </is>
      </c>
      <c r="E2252" t="inlineStr">
        <is>
          <t>IT-02</t>
        </is>
      </c>
      <c r="F2252" s="17" t="n">
        <v>45908</v>
      </c>
      <c r="G2252" s="17" t="n">
        <v>45918</v>
      </c>
      <c r="H2252" s="18" t="n">
        <v>17</v>
      </c>
      <c r="I2252" s="19" t="n">
        <v>182.44</v>
      </c>
      <c r="J2252" s="19" t="n">
        <v>162</v>
      </c>
      <c r="K2252" s="20" t="n">
        <v>0</v>
      </c>
      <c r="L2252" s="20" t="n">
        <v>0</v>
      </c>
      <c r="M2252" s="18" t="n">
        <v>17</v>
      </c>
      <c r="N2252" s="18" t="n">
        <v>17</v>
      </c>
      <c r="O2252" s="18" t="n">
        <v>0</v>
      </c>
      <c r="P2252" s="17" t="n">
        <v>45918</v>
      </c>
      <c r="Q2252" s="17" t="n">
        <v>45918</v>
      </c>
      <c r="R2252" s="17" t="n">
        <v>45918</v>
      </c>
      <c r="S2252" s="19">
        <f>H2252*I2252</f>
        <v/>
      </c>
      <c r="T2252" s="19">
        <f>H2252*J2252</f>
        <v/>
      </c>
      <c r="U2252">
        <f>IF(AND(K2252=0,G2252&lt;=Assumptions!$C$6),1,0)</f>
        <v/>
      </c>
      <c r="V2252">
        <f>IF(U2252=1,IF(M2252&gt;0,IF(P2252&lt;=G2252+Assumptions!$C$7,1,0),0),0)</f>
        <v/>
      </c>
      <c r="W2252">
        <f>IF(AND(U2252=1,M2252&gt;=H2252*(1-Assumptions!$C$8)),1,0)</f>
        <v/>
      </c>
      <c r="X2252">
        <f>IF(AND(U2252=1,N2252&gt;=H2252*(1-Assumptions!$C$8)),1,0)</f>
        <v/>
      </c>
      <c r="Y2252">
        <f>IF(ISNUMBER(Q2252),1,0)</f>
        <v/>
      </c>
      <c r="Z2252">
        <f>IF(AND(K2252=0,L2252=0,Y2252=0),1,0)</f>
        <v/>
      </c>
      <c r="AA2252">
        <f>IF(AND(Z2252=1,G2252&lt;Assumptions!$C$6),1,0)</f>
        <v/>
      </c>
      <c r="AB2252">
        <f>IF(U2252=0,"",IF(Y2252=1,MAX(0,Q2252-G2252),IF(L2252=1,MAX(0,R2252-G2252),MAX(0,Assumptions!$C$6-G2252))))</f>
        <v/>
      </c>
      <c r="AC2252">
        <f>IF(Y2252=1,Q2252-F2252,"")</f>
        <v/>
      </c>
      <c r="AD2252">
        <f>IF(Y2252=1,AC2252^2,"")</f>
        <v/>
      </c>
      <c r="AE2252" s="19">
        <f>IF(Z2252=1,(H2252-M2252)*I2252,0)</f>
        <v/>
      </c>
      <c r="AF2252">
        <f>IF(G2252&lt;EDATE(Assumptions!$C$6,-12)+1,"prior_12m","last_12m")</f>
        <v/>
      </c>
      <c r="AG2252" s="21">
        <f>DATE(YEAR(G2252),MONTH(G2252),1)</f>
        <v/>
      </c>
    </row>
    <row r="2253">
      <c r="A2253" t="inlineStr">
        <is>
          <t>SPO-01222-1</t>
        </is>
      </c>
      <c r="B2253" t="inlineStr">
        <is>
          <t>SPO-01222</t>
        </is>
      </c>
      <c r="C2253" t="inlineStr">
        <is>
          <t>SUP-04</t>
        </is>
      </c>
      <c r="D2253" t="inlineStr">
        <is>
          <t>FLEET</t>
        </is>
      </c>
      <c r="E2253" t="inlineStr">
        <is>
          <t>FLEET-03</t>
        </is>
      </c>
      <c r="F2253" s="17" t="n">
        <v>45909</v>
      </c>
      <c r="G2253" s="17" t="n">
        <v>45922</v>
      </c>
      <c r="H2253" s="18" t="n">
        <v>109</v>
      </c>
      <c r="I2253" s="19" t="n">
        <v>21</v>
      </c>
      <c r="J2253" s="19" t="n">
        <v>21</v>
      </c>
      <c r="K2253" s="20" t="n">
        <v>0</v>
      </c>
      <c r="L2253" s="20" t="n">
        <v>0</v>
      </c>
      <c r="M2253" s="18" t="n">
        <v>109</v>
      </c>
      <c r="N2253" s="18" t="n">
        <v>109</v>
      </c>
      <c r="O2253" s="18" t="n">
        <v>0</v>
      </c>
      <c r="P2253" s="17" t="n">
        <v>45916</v>
      </c>
      <c r="Q2253" s="17" t="n">
        <v>45916</v>
      </c>
      <c r="R2253" s="17" t="n">
        <v>45916</v>
      </c>
      <c r="S2253" s="19">
        <f>H2253*I2253</f>
        <v/>
      </c>
      <c r="T2253" s="19">
        <f>H2253*J2253</f>
        <v/>
      </c>
      <c r="U2253">
        <f>IF(AND(K2253=0,G2253&lt;=Assumptions!$C$6),1,0)</f>
        <v/>
      </c>
      <c r="V2253">
        <f>IF(U2253=1,IF(M2253&gt;0,IF(P2253&lt;=G2253+Assumptions!$C$7,1,0),0),0)</f>
        <v/>
      </c>
      <c r="W2253">
        <f>IF(AND(U2253=1,M2253&gt;=H2253*(1-Assumptions!$C$8)),1,0)</f>
        <v/>
      </c>
      <c r="X2253">
        <f>IF(AND(U2253=1,N2253&gt;=H2253*(1-Assumptions!$C$8)),1,0)</f>
        <v/>
      </c>
      <c r="Y2253">
        <f>IF(ISNUMBER(Q2253),1,0)</f>
        <v/>
      </c>
      <c r="Z2253">
        <f>IF(AND(K2253=0,L2253=0,Y2253=0),1,0)</f>
        <v/>
      </c>
      <c r="AA2253">
        <f>IF(AND(Z2253=1,G2253&lt;Assumptions!$C$6),1,0)</f>
        <v/>
      </c>
      <c r="AB2253">
        <f>IF(U2253=0,"",IF(Y2253=1,MAX(0,Q2253-G2253),IF(L2253=1,MAX(0,R2253-G2253),MAX(0,Assumptions!$C$6-G2253))))</f>
        <v/>
      </c>
      <c r="AC2253">
        <f>IF(Y2253=1,Q2253-F2253,"")</f>
        <v/>
      </c>
      <c r="AD2253">
        <f>IF(Y2253=1,AC2253^2,"")</f>
        <v/>
      </c>
      <c r="AE2253" s="19">
        <f>IF(Z2253=1,(H2253-M2253)*I2253,0)</f>
        <v/>
      </c>
      <c r="AF2253">
        <f>IF(G2253&lt;EDATE(Assumptions!$C$6,-12)+1,"prior_12m","last_12m")</f>
        <v/>
      </c>
      <c r="AG2253" s="21">
        <f>DATE(YEAR(G2253),MONTH(G2253),1)</f>
        <v/>
      </c>
    </row>
    <row r="2254">
      <c r="A2254" t="inlineStr">
        <is>
          <t>SPO-01222-2</t>
        </is>
      </c>
      <c r="B2254" t="inlineStr">
        <is>
          <t>SPO-01222</t>
        </is>
      </c>
      <c r="C2254" t="inlineStr">
        <is>
          <t>SUP-04</t>
        </is>
      </c>
      <c r="D2254" t="inlineStr">
        <is>
          <t>FLEET</t>
        </is>
      </c>
      <c r="E2254" t="inlineStr">
        <is>
          <t>FLEET-01</t>
        </is>
      </c>
      <c r="F2254" s="17" t="n">
        <v>45909</v>
      </c>
      <c r="G2254" s="17" t="n">
        <v>45922</v>
      </c>
      <c r="H2254" s="18" t="n">
        <v>49</v>
      </c>
      <c r="I2254" s="19" t="n">
        <v>63.91</v>
      </c>
      <c r="J2254" s="19" t="n">
        <v>64</v>
      </c>
      <c r="K2254" s="20" t="n">
        <v>0</v>
      </c>
      <c r="L2254" s="20" t="n">
        <v>0</v>
      </c>
      <c r="M2254" s="18" t="n">
        <v>49</v>
      </c>
      <c r="N2254" s="18" t="n">
        <v>24</v>
      </c>
      <c r="O2254" s="18" t="n">
        <v>0</v>
      </c>
      <c r="P2254" s="17" t="n">
        <v>45910</v>
      </c>
      <c r="Q2254" s="17" t="n">
        <v>45924</v>
      </c>
      <c r="R2254" s="17" t="n">
        <v>45924</v>
      </c>
      <c r="S2254" s="19">
        <f>H2254*I2254</f>
        <v/>
      </c>
      <c r="T2254" s="19">
        <f>H2254*J2254</f>
        <v/>
      </c>
      <c r="U2254">
        <f>IF(AND(K2254=0,G2254&lt;=Assumptions!$C$6),1,0)</f>
        <v/>
      </c>
      <c r="V2254">
        <f>IF(U2254=1,IF(M2254&gt;0,IF(P2254&lt;=G2254+Assumptions!$C$7,1,0),0),0)</f>
        <v/>
      </c>
      <c r="W2254">
        <f>IF(AND(U2254=1,M2254&gt;=H2254*(1-Assumptions!$C$8)),1,0)</f>
        <v/>
      </c>
      <c r="X2254">
        <f>IF(AND(U2254=1,N2254&gt;=H2254*(1-Assumptions!$C$8)),1,0)</f>
        <v/>
      </c>
      <c r="Y2254">
        <f>IF(ISNUMBER(Q2254),1,0)</f>
        <v/>
      </c>
      <c r="Z2254">
        <f>IF(AND(K2254=0,L2254=0,Y2254=0),1,0)</f>
        <v/>
      </c>
      <c r="AA2254">
        <f>IF(AND(Z2254=1,G2254&lt;Assumptions!$C$6),1,0)</f>
        <v/>
      </c>
      <c r="AB2254">
        <f>IF(U2254=0,"",IF(Y2254=1,MAX(0,Q2254-G2254),IF(L2254=1,MAX(0,R2254-G2254),MAX(0,Assumptions!$C$6-G2254))))</f>
        <v/>
      </c>
      <c r="AC2254">
        <f>IF(Y2254=1,Q2254-F2254,"")</f>
        <v/>
      </c>
      <c r="AD2254">
        <f>IF(Y2254=1,AC2254^2,"")</f>
        <v/>
      </c>
      <c r="AE2254" s="19">
        <f>IF(Z2254=1,(H2254-M2254)*I2254,0)</f>
        <v/>
      </c>
      <c r="AF2254">
        <f>IF(G2254&lt;EDATE(Assumptions!$C$6,-12)+1,"prior_12m","last_12m")</f>
        <v/>
      </c>
      <c r="AG2254" s="21">
        <f>DATE(YEAR(G2254),MONTH(G2254),1)</f>
        <v/>
      </c>
    </row>
    <row r="2255">
      <c r="A2255" t="inlineStr">
        <is>
          <t>SPO-01222-3</t>
        </is>
      </c>
      <c r="B2255" t="inlineStr">
        <is>
          <t>SPO-01222</t>
        </is>
      </c>
      <c r="C2255" t="inlineStr">
        <is>
          <t>SUP-04</t>
        </is>
      </c>
      <c r="D2255" t="inlineStr">
        <is>
          <t>FLEET</t>
        </is>
      </c>
      <c r="E2255" t="inlineStr">
        <is>
          <t>FLEET-04</t>
        </is>
      </c>
      <c r="F2255" s="17" t="n">
        <v>45909</v>
      </c>
      <c r="G2255" s="17" t="n">
        <v>45922</v>
      </c>
      <c r="H2255" s="18" t="n">
        <v>76</v>
      </c>
      <c r="I2255" s="19" t="n">
        <v>8.74</v>
      </c>
      <c r="J2255" s="19" t="n">
        <v>9</v>
      </c>
      <c r="K2255" s="20" t="n">
        <v>0</v>
      </c>
      <c r="L2255" s="20" t="n">
        <v>0</v>
      </c>
      <c r="M2255" s="18" t="n">
        <v>76</v>
      </c>
      <c r="N2255" s="18" t="n">
        <v>0</v>
      </c>
      <c r="O2255" s="18" t="n">
        <v>0</v>
      </c>
      <c r="P2255" s="17" t="n">
        <v>45927</v>
      </c>
      <c r="Q2255" s="17" t="n">
        <v>45927</v>
      </c>
      <c r="R2255" s="17" t="n">
        <v>45927</v>
      </c>
      <c r="S2255" s="19">
        <f>H2255*I2255</f>
        <v/>
      </c>
      <c r="T2255" s="19">
        <f>H2255*J2255</f>
        <v/>
      </c>
      <c r="U2255">
        <f>IF(AND(K2255=0,G2255&lt;=Assumptions!$C$6),1,0)</f>
        <v/>
      </c>
      <c r="V2255">
        <f>IF(U2255=1,IF(M2255&gt;0,IF(P2255&lt;=G2255+Assumptions!$C$7,1,0),0),0)</f>
        <v/>
      </c>
      <c r="W2255">
        <f>IF(AND(U2255=1,M2255&gt;=H2255*(1-Assumptions!$C$8)),1,0)</f>
        <v/>
      </c>
      <c r="X2255">
        <f>IF(AND(U2255=1,N2255&gt;=H2255*(1-Assumptions!$C$8)),1,0)</f>
        <v/>
      </c>
      <c r="Y2255">
        <f>IF(ISNUMBER(Q2255),1,0)</f>
        <v/>
      </c>
      <c r="Z2255">
        <f>IF(AND(K2255=0,L2255=0,Y2255=0),1,0)</f>
        <v/>
      </c>
      <c r="AA2255">
        <f>IF(AND(Z2255=1,G2255&lt;Assumptions!$C$6),1,0)</f>
        <v/>
      </c>
      <c r="AB2255">
        <f>IF(U2255=0,"",IF(Y2255=1,MAX(0,Q2255-G2255),IF(L2255=1,MAX(0,R2255-G2255),MAX(0,Assumptions!$C$6-G2255))))</f>
        <v/>
      </c>
      <c r="AC2255">
        <f>IF(Y2255=1,Q2255-F2255,"")</f>
        <v/>
      </c>
      <c r="AD2255">
        <f>IF(Y2255=1,AC2255^2,"")</f>
        <v/>
      </c>
      <c r="AE2255" s="19">
        <f>IF(Z2255=1,(H2255-M2255)*I2255,0)</f>
        <v/>
      </c>
      <c r="AF2255">
        <f>IF(G2255&lt;EDATE(Assumptions!$C$6,-12)+1,"prior_12m","last_12m")</f>
        <v/>
      </c>
      <c r="AG2255" s="21">
        <f>DATE(YEAR(G2255),MONTH(G2255),1)</f>
        <v/>
      </c>
    </row>
    <row r="2256">
      <c r="A2256" t="inlineStr">
        <is>
          <t>SPO-01223-1</t>
        </is>
      </c>
      <c r="B2256" t="inlineStr">
        <is>
          <t>SPO-01223</t>
        </is>
      </c>
      <c r="C2256" t="inlineStr">
        <is>
          <t>SUP-05</t>
        </is>
      </c>
      <c r="D2256" t="inlineStr">
        <is>
          <t>FLEET</t>
        </is>
      </c>
      <c r="E2256" t="inlineStr">
        <is>
          <t>FLEET-01</t>
        </is>
      </c>
      <c r="F2256" s="17" t="n">
        <v>45909</v>
      </c>
      <c r="G2256" s="17" t="n">
        <v>45923</v>
      </c>
      <c r="H2256" s="18" t="n">
        <v>40</v>
      </c>
      <c r="I2256" s="19" t="n">
        <v>68.64</v>
      </c>
      <c r="J2256" s="19" t="n">
        <v>64</v>
      </c>
      <c r="K2256" s="20" t="n">
        <v>0</v>
      </c>
      <c r="L2256" s="20" t="n">
        <v>0</v>
      </c>
      <c r="M2256" s="18" t="n">
        <v>40</v>
      </c>
      <c r="N2256" s="18" t="n">
        <v>40</v>
      </c>
      <c r="O2256" s="18" t="n">
        <v>0</v>
      </c>
      <c r="P2256" s="17" t="n">
        <v>45917</v>
      </c>
      <c r="Q2256" s="17" t="n">
        <v>45917</v>
      </c>
      <c r="R2256" s="17" t="n">
        <v>45917</v>
      </c>
      <c r="S2256" s="19">
        <f>H2256*I2256</f>
        <v/>
      </c>
      <c r="T2256" s="19">
        <f>H2256*J2256</f>
        <v/>
      </c>
      <c r="U2256">
        <f>IF(AND(K2256=0,G2256&lt;=Assumptions!$C$6),1,0)</f>
        <v/>
      </c>
      <c r="V2256">
        <f>IF(U2256=1,IF(M2256&gt;0,IF(P2256&lt;=G2256+Assumptions!$C$7,1,0),0),0)</f>
        <v/>
      </c>
      <c r="W2256">
        <f>IF(AND(U2256=1,M2256&gt;=H2256*(1-Assumptions!$C$8)),1,0)</f>
        <v/>
      </c>
      <c r="X2256">
        <f>IF(AND(U2256=1,N2256&gt;=H2256*(1-Assumptions!$C$8)),1,0)</f>
        <v/>
      </c>
      <c r="Y2256">
        <f>IF(ISNUMBER(Q2256),1,0)</f>
        <v/>
      </c>
      <c r="Z2256">
        <f>IF(AND(K2256=0,L2256=0,Y2256=0),1,0)</f>
        <v/>
      </c>
      <c r="AA2256">
        <f>IF(AND(Z2256=1,G2256&lt;Assumptions!$C$6),1,0)</f>
        <v/>
      </c>
      <c r="AB2256">
        <f>IF(U2256=0,"",IF(Y2256=1,MAX(0,Q2256-G2256),IF(L2256=1,MAX(0,R2256-G2256),MAX(0,Assumptions!$C$6-G2256))))</f>
        <v/>
      </c>
      <c r="AC2256">
        <f>IF(Y2256=1,Q2256-F2256,"")</f>
        <v/>
      </c>
      <c r="AD2256">
        <f>IF(Y2256=1,AC2256^2,"")</f>
        <v/>
      </c>
      <c r="AE2256" s="19">
        <f>IF(Z2256=1,(H2256-M2256)*I2256,0)</f>
        <v/>
      </c>
      <c r="AF2256">
        <f>IF(G2256&lt;EDATE(Assumptions!$C$6,-12)+1,"prior_12m","last_12m")</f>
        <v/>
      </c>
      <c r="AG2256" s="21">
        <f>DATE(YEAR(G2256),MONTH(G2256),1)</f>
        <v/>
      </c>
    </row>
    <row r="2257">
      <c r="A2257" t="inlineStr">
        <is>
          <t>SPO-01224-1</t>
        </is>
      </c>
      <c r="B2257" t="inlineStr">
        <is>
          <t>SPO-01224</t>
        </is>
      </c>
      <c r="C2257" t="inlineStr">
        <is>
          <t>SUP-01</t>
        </is>
      </c>
      <c r="D2257" t="inlineStr">
        <is>
          <t>ELEC</t>
        </is>
      </c>
      <c r="E2257" t="inlineStr">
        <is>
          <t>ELEC-01</t>
        </is>
      </c>
      <c r="F2257" s="17" t="n">
        <v>45910</v>
      </c>
      <c r="G2257" s="17" t="n">
        <v>45928</v>
      </c>
      <c r="H2257" s="18" t="n">
        <v>132</v>
      </c>
      <c r="I2257" s="19" t="n">
        <v>39.72</v>
      </c>
      <c r="J2257" s="19" t="n">
        <v>38</v>
      </c>
      <c r="K2257" s="20" t="n">
        <v>0</v>
      </c>
      <c r="L2257" s="20" t="n">
        <v>0</v>
      </c>
      <c r="M2257" s="18" t="n">
        <v>132</v>
      </c>
      <c r="N2257" s="18" t="n">
        <v>132</v>
      </c>
      <c r="O2257" s="18" t="n">
        <v>0</v>
      </c>
      <c r="P2257" s="17" t="n">
        <v>45928</v>
      </c>
      <c r="Q2257" s="17" t="n">
        <v>45928</v>
      </c>
      <c r="R2257" s="17" t="n">
        <v>45928</v>
      </c>
      <c r="S2257" s="19">
        <f>H2257*I2257</f>
        <v/>
      </c>
      <c r="T2257" s="19">
        <f>H2257*J2257</f>
        <v/>
      </c>
      <c r="U2257">
        <f>IF(AND(K2257=0,G2257&lt;=Assumptions!$C$6),1,0)</f>
        <v/>
      </c>
      <c r="V2257">
        <f>IF(U2257=1,IF(M2257&gt;0,IF(P2257&lt;=G2257+Assumptions!$C$7,1,0),0),0)</f>
        <v/>
      </c>
      <c r="W2257">
        <f>IF(AND(U2257=1,M2257&gt;=H2257*(1-Assumptions!$C$8)),1,0)</f>
        <v/>
      </c>
      <c r="X2257">
        <f>IF(AND(U2257=1,N2257&gt;=H2257*(1-Assumptions!$C$8)),1,0)</f>
        <v/>
      </c>
      <c r="Y2257">
        <f>IF(ISNUMBER(Q2257),1,0)</f>
        <v/>
      </c>
      <c r="Z2257">
        <f>IF(AND(K2257=0,L2257=0,Y2257=0),1,0)</f>
        <v/>
      </c>
      <c r="AA2257">
        <f>IF(AND(Z2257=1,G2257&lt;Assumptions!$C$6),1,0)</f>
        <v/>
      </c>
      <c r="AB2257">
        <f>IF(U2257=0,"",IF(Y2257=1,MAX(0,Q2257-G2257),IF(L2257=1,MAX(0,R2257-G2257),MAX(0,Assumptions!$C$6-G2257))))</f>
        <v/>
      </c>
      <c r="AC2257">
        <f>IF(Y2257=1,Q2257-F2257,"")</f>
        <v/>
      </c>
      <c r="AD2257">
        <f>IF(Y2257=1,AC2257^2,"")</f>
        <v/>
      </c>
      <c r="AE2257" s="19">
        <f>IF(Z2257=1,(H2257-M2257)*I2257,0)</f>
        <v/>
      </c>
      <c r="AF2257">
        <f>IF(G2257&lt;EDATE(Assumptions!$C$6,-12)+1,"prior_12m","last_12m")</f>
        <v/>
      </c>
      <c r="AG2257" s="21">
        <f>DATE(YEAR(G2257),MONTH(G2257),1)</f>
        <v/>
      </c>
    </row>
    <row r="2258">
      <c r="A2258" t="inlineStr">
        <is>
          <t>SPO-01225-1</t>
        </is>
      </c>
      <c r="B2258" t="inlineStr">
        <is>
          <t>SPO-01225</t>
        </is>
      </c>
      <c r="C2258" t="inlineStr">
        <is>
          <t>SUP-08</t>
        </is>
      </c>
      <c r="D2258" t="inlineStr">
        <is>
          <t>MRO</t>
        </is>
      </c>
      <c r="E2258" t="inlineStr">
        <is>
          <t>MRO-06</t>
        </is>
      </c>
      <c r="F2258" s="17" t="n">
        <v>45910</v>
      </c>
      <c r="G2258" s="17" t="n">
        <v>45921</v>
      </c>
      <c r="H2258" s="18" t="n">
        <v>344</v>
      </c>
      <c r="I2258" s="19" t="n">
        <v>6.08</v>
      </c>
      <c r="J2258" s="19" t="n">
        <v>6.1</v>
      </c>
      <c r="K2258" s="20" t="n">
        <v>0</v>
      </c>
      <c r="L2258" s="20" t="n">
        <v>0</v>
      </c>
      <c r="M2258" s="18" t="n">
        <v>344</v>
      </c>
      <c r="N2258" s="18" t="n">
        <v>344</v>
      </c>
      <c r="O2258" s="18" t="n">
        <v>0</v>
      </c>
      <c r="P2258" s="17" t="n">
        <v>45918</v>
      </c>
      <c r="Q2258" s="17" t="n">
        <v>45918</v>
      </c>
      <c r="R2258" s="17" t="n">
        <v>45918</v>
      </c>
      <c r="S2258" s="19">
        <f>H2258*I2258</f>
        <v/>
      </c>
      <c r="T2258" s="19">
        <f>H2258*J2258</f>
        <v/>
      </c>
      <c r="U2258">
        <f>IF(AND(K2258=0,G2258&lt;=Assumptions!$C$6),1,0)</f>
        <v/>
      </c>
      <c r="V2258">
        <f>IF(U2258=1,IF(M2258&gt;0,IF(P2258&lt;=G2258+Assumptions!$C$7,1,0),0),0)</f>
        <v/>
      </c>
      <c r="W2258">
        <f>IF(AND(U2258=1,M2258&gt;=H2258*(1-Assumptions!$C$8)),1,0)</f>
        <v/>
      </c>
      <c r="X2258">
        <f>IF(AND(U2258=1,N2258&gt;=H2258*(1-Assumptions!$C$8)),1,0)</f>
        <v/>
      </c>
      <c r="Y2258">
        <f>IF(ISNUMBER(Q2258),1,0)</f>
        <v/>
      </c>
      <c r="Z2258">
        <f>IF(AND(K2258=0,L2258=0,Y2258=0),1,0)</f>
        <v/>
      </c>
      <c r="AA2258">
        <f>IF(AND(Z2258=1,G2258&lt;Assumptions!$C$6),1,0)</f>
        <v/>
      </c>
      <c r="AB2258">
        <f>IF(U2258=0,"",IF(Y2258=1,MAX(0,Q2258-G2258),IF(L2258=1,MAX(0,R2258-G2258),MAX(0,Assumptions!$C$6-G2258))))</f>
        <v/>
      </c>
      <c r="AC2258">
        <f>IF(Y2258=1,Q2258-F2258,"")</f>
        <v/>
      </c>
      <c r="AD2258">
        <f>IF(Y2258=1,AC2258^2,"")</f>
        <v/>
      </c>
      <c r="AE2258" s="19">
        <f>IF(Z2258=1,(H2258-M2258)*I2258,0)</f>
        <v/>
      </c>
      <c r="AF2258">
        <f>IF(G2258&lt;EDATE(Assumptions!$C$6,-12)+1,"prior_12m","last_12m")</f>
        <v/>
      </c>
      <c r="AG2258" s="21">
        <f>DATE(YEAR(G2258),MONTH(G2258),1)</f>
        <v/>
      </c>
    </row>
    <row r="2259">
      <c r="A2259" t="inlineStr">
        <is>
          <t>SPO-01225-2</t>
        </is>
      </c>
      <c r="B2259" t="inlineStr">
        <is>
          <t>SPO-01225</t>
        </is>
      </c>
      <c r="C2259" t="inlineStr">
        <is>
          <t>SUP-08</t>
        </is>
      </c>
      <c r="D2259" t="inlineStr">
        <is>
          <t>MRO</t>
        </is>
      </c>
      <c r="E2259" t="inlineStr">
        <is>
          <t>MRO-08</t>
        </is>
      </c>
      <c r="F2259" s="17" t="n">
        <v>45910</v>
      </c>
      <c r="G2259" s="17" t="n">
        <v>45921</v>
      </c>
      <c r="H2259" s="18" t="n">
        <v>151</v>
      </c>
      <c r="I2259" s="19" t="n">
        <v>7.07</v>
      </c>
      <c r="J2259" s="19" t="n">
        <v>7.2</v>
      </c>
      <c r="K2259" s="20" t="n">
        <v>0</v>
      </c>
      <c r="L2259" s="20" t="n">
        <v>0</v>
      </c>
      <c r="M2259" s="18" t="n">
        <v>151</v>
      </c>
      <c r="N2259" s="18" t="n">
        <v>151</v>
      </c>
      <c r="O2259" s="18" t="n">
        <v>0</v>
      </c>
      <c r="P2259" s="17" t="n">
        <v>45918</v>
      </c>
      <c r="Q2259" s="17" t="n">
        <v>45918</v>
      </c>
      <c r="R2259" s="17" t="n">
        <v>45918</v>
      </c>
      <c r="S2259" s="19">
        <f>H2259*I2259</f>
        <v/>
      </c>
      <c r="T2259" s="19">
        <f>H2259*J2259</f>
        <v/>
      </c>
      <c r="U2259">
        <f>IF(AND(K2259=0,G2259&lt;=Assumptions!$C$6),1,0)</f>
        <v/>
      </c>
      <c r="V2259">
        <f>IF(U2259=1,IF(M2259&gt;0,IF(P2259&lt;=G2259+Assumptions!$C$7,1,0),0),0)</f>
        <v/>
      </c>
      <c r="W2259">
        <f>IF(AND(U2259=1,M2259&gt;=H2259*(1-Assumptions!$C$8)),1,0)</f>
        <v/>
      </c>
      <c r="X2259">
        <f>IF(AND(U2259=1,N2259&gt;=H2259*(1-Assumptions!$C$8)),1,0)</f>
        <v/>
      </c>
      <c r="Y2259">
        <f>IF(ISNUMBER(Q2259),1,0)</f>
        <v/>
      </c>
      <c r="Z2259">
        <f>IF(AND(K2259=0,L2259=0,Y2259=0),1,0)</f>
        <v/>
      </c>
      <c r="AA2259">
        <f>IF(AND(Z2259=1,G2259&lt;Assumptions!$C$6),1,0)</f>
        <v/>
      </c>
      <c r="AB2259">
        <f>IF(U2259=0,"",IF(Y2259=1,MAX(0,Q2259-G2259),IF(L2259=1,MAX(0,R2259-G2259),MAX(0,Assumptions!$C$6-G2259))))</f>
        <v/>
      </c>
      <c r="AC2259">
        <f>IF(Y2259=1,Q2259-F2259,"")</f>
        <v/>
      </c>
      <c r="AD2259">
        <f>IF(Y2259=1,AC2259^2,"")</f>
        <v/>
      </c>
      <c r="AE2259" s="19">
        <f>IF(Z2259=1,(H2259-M2259)*I2259,0)</f>
        <v/>
      </c>
      <c r="AF2259">
        <f>IF(G2259&lt;EDATE(Assumptions!$C$6,-12)+1,"prior_12m","last_12m")</f>
        <v/>
      </c>
      <c r="AG2259" s="21">
        <f>DATE(YEAR(G2259),MONTH(G2259),1)</f>
        <v/>
      </c>
    </row>
    <row r="2260">
      <c r="A2260" t="inlineStr">
        <is>
          <t>SPO-01225-3</t>
        </is>
      </c>
      <c r="B2260" t="inlineStr">
        <is>
          <t>SPO-01225</t>
        </is>
      </c>
      <c r="C2260" t="inlineStr">
        <is>
          <t>SUP-08</t>
        </is>
      </c>
      <c r="D2260" t="inlineStr">
        <is>
          <t>MRO</t>
        </is>
      </c>
      <c r="E2260" t="inlineStr">
        <is>
          <t>MRO-02</t>
        </is>
      </c>
      <c r="F2260" s="17" t="n">
        <v>45910</v>
      </c>
      <c r="G2260" s="17" t="n">
        <v>45921</v>
      </c>
      <c r="H2260" s="18" t="n">
        <v>39</v>
      </c>
      <c r="I2260" s="19" t="n">
        <v>42.45</v>
      </c>
      <c r="J2260" s="19" t="n">
        <v>41</v>
      </c>
      <c r="K2260" s="20" t="n">
        <v>0</v>
      </c>
      <c r="L2260" s="20" t="n">
        <v>0</v>
      </c>
      <c r="M2260" s="18" t="n">
        <v>39</v>
      </c>
      <c r="N2260" s="18" t="n">
        <v>39</v>
      </c>
      <c r="O2260" s="18" t="n">
        <v>0</v>
      </c>
      <c r="P2260" s="17" t="n">
        <v>45918</v>
      </c>
      <c r="Q2260" s="17" t="n">
        <v>45918</v>
      </c>
      <c r="R2260" s="17" t="n">
        <v>45918</v>
      </c>
      <c r="S2260" s="19">
        <f>H2260*I2260</f>
        <v/>
      </c>
      <c r="T2260" s="19">
        <f>H2260*J2260</f>
        <v/>
      </c>
      <c r="U2260">
        <f>IF(AND(K2260=0,G2260&lt;=Assumptions!$C$6),1,0)</f>
        <v/>
      </c>
      <c r="V2260">
        <f>IF(U2260=1,IF(M2260&gt;0,IF(P2260&lt;=G2260+Assumptions!$C$7,1,0),0),0)</f>
        <v/>
      </c>
      <c r="W2260">
        <f>IF(AND(U2260=1,M2260&gt;=H2260*(1-Assumptions!$C$8)),1,0)</f>
        <v/>
      </c>
      <c r="X2260">
        <f>IF(AND(U2260=1,N2260&gt;=H2260*(1-Assumptions!$C$8)),1,0)</f>
        <v/>
      </c>
      <c r="Y2260">
        <f>IF(ISNUMBER(Q2260),1,0)</f>
        <v/>
      </c>
      <c r="Z2260">
        <f>IF(AND(K2260=0,L2260=0,Y2260=0),1,0)</f>
        <v/>
      </c>
      <c r="AA2260">
        <f>IF(AND(Z2260=1,G2260&lt;Assumptions!$C$6),1,0)</f>
        <v/>
      </c>
      <c r="AB2260">
        <f>IF(U2260=0,"",IF(Y2260=1,MAX(0,Q2260-G2260),IF(L2260=1,MAX(0,R2260-G2260),MAX(0,Assumptions!$C$6-G2260))))</f>
        <v/>
      </c>
      <c r="AC2260">
        <f>IF(Y2260=1,Q2260-F2260,"")</f>
        <v/>
      </c>
      <c r="AD2260">
        <f>IF(Y2260=1,AC2260^2,"")</f>
        <v/>
      </c>
      <c r="AE2260" s="19">
        <f>IF(Z2260=1,(H2260-M2260)*I2260,0)</f>
        <v/>
      </c>
      <c r="AF2260">
        <f>IF(G2260&lt;EDATE(Assumptions!$C$6,-12)+1,"prior_12m","last_12m")</f>
        <v/>
      </c>
      <c r="AG2260" s="21">
        <f>DATE(YEAR(G2260),MONTH(G2260),1)</f>
        <v/>
      </c>
    </row>
    <row r="2261">
      <c r="A2261" t="inlineStr">
        <is>
          <t>SPO-01225-4</t>
        </is>
      </c>
      <c r="B2261" t="inlineStr">
        <is>
          <t>SPO-01225</t>
        </is>
      </c>
      <c r="C2261" t="inlineStr">
        <is>
          <t>SUP-08</t>
        </is>
      </c>
      <c r="D2261" t="inlineStr">
        <is>
          <t>MRO</t>
        </is>
      </c>
      <c r="E2261" t="inlineStr">
        <is>
          <t>MRO-03</t>
        </is>
      </c>
      <c r="F2261" s="17" t="n">
        <v>45910</v>
      </c>
      <c r="G2261" s="17" t="n">
        <v>45921</v>
      </c>
      <c r="H2261" s="18" t="n">
        <v>149</v>
      </c>
      <c r="I2261" s="19" t="n">
        <v>8.91</v>
      </c>
      <c r="J2261" s="19" t="n">
        <v>8.9</v>
      </c>
      <c r="K2261" s="20" t="n">
        <v>0</v>
      </c>
      <c r="L2261" s="20" t="n">
        <v>0</v>
      </c>
      <c r="M2261" s="18" t="n">
        <v>149</v>
      </c>
      <c r="N2261" s="18" t="n">
        <v>149</v>
      </c>
      <c r="O2261" s="18" t="n">
        <v>0</v>
      </c>
      <c r="P2261" s="17" t="n">
        <v>45917</v>
      </c>
      <c r="Q2261" s="17" t="n">
        <v>45917</v>
      </c>
      <c r="R2261" s="17" t="n">
        <v>45917</v>
      </c>
      <c r="S2261" s="19">
        <f>H2261*I2261</f>
        <v/>
      </c>
      <c r="T2261" s="19">
        <f>H2261*J2261</f>
        <v/>
      </c>
      <c r="U2261">
        <f>IF(AND(K2261=0,G2261&lt;=Assumptions!$C$6),1,0)</f>
        <v/>
      </c>
      <c r="V2261">
        <f>IF(U2261=1,IF(M2261&gt;0,IF(P2261&lt;=G2261+Assumptions!$C$7,1,0),0),0)</f>
        <v/>
      </c>
      <c r="W2261">
        <f>IF(AND(U2261=1,M2261&gt;=H2261*(1-Assumptions!$C$8)),1,0)</f>
        <v/>
      </c>
      <c r="X2261">
        <f>IF(AND(U2261=1,N2261&gt;=H2261*(1-Assumptions!$C$8)),1,0)</f>
        <v/>
      </c>
      <c r="Y2261">
        <f>IF(ISNUMBER(Q2261),1,0)</f>
        <v/>
      </c>
      <c r="Z2261">
        <f>IF(AND(K2261=0,L2261=0,Y2261=0),1,0)</f>
        <v/>
      </c>
      <c r="AA2261">
        <f>IF(AND(Z2261=1,G2261&lt;Assumptions!$C$6),1,0)</f>
        <v/>
      </c>
      <c r="AB2261">
        <f>IF(U2261=0,"",IF(Y2261=1,MAX(0,Q2261-G2261),IF(L2261=1,MAX(0,R2261-G2261),MAX(0,Assumptions!$C$6-G2261))))</f>
        <v/>
      </c>
      <c r="AC2261">
        <f>IF(Y2261=1,Q2261-F2261,"")</f>
        <v/>
      </c>
      <c r="AD2261">
        <f>IF(Y2261=1,AC2261^2,"")</f>
        <v/>
      </c>
      <c r="AE2261" s="19">
        <f>IF(Z2261=1,(H2261-M2261)*I2261,0)</f>
        <v/>
      </c>
      <c r="AF2261">
        <f>IF(G2261&lt;EDATE(Assumptions!$C$6,-12)+1,"prior_12m","last_12m")</f>
        <v/>
      </c>
      <c r="AG2261" s="21">
        <f>DATE(YEAR(G2261),MONTH(G2261),1)</f>
        <v/>
      </c>
    </row>
    <row r="2262">
      <c r="A2262" t="inlineStr">
        <is>
          <t>SPO-01226-1</t>
        </is>
      </c>
      <c r="B2262" t="inlineStr">
        <is>
          <t>SPO-01226</t>
        </is>
      </c>
      <c r="C2262" t="inlineStr">
        <is>
          <t>SUP-09</t>
        </is>
      </c>
      <c r="D2262" t="inlineStr">
        <is>
          <t>CHEM</t>
        </is>
      </c>
      <c r="E2262" t="inlineStr">
        <is>
          <t>CHEM-04</t>
        </is>
      </c>
      <c r="F2262" s="17" t="n">
        <v>45910</v>
      </c>
      <c r="G2262" s="17" t="n">
        <v>45924</v>
      </c>
      <c r="H2262" s="18" t="n">
        <v>2</v>
      </c>
      <c r="I2262" s="19" t="n">
        <v>809.5599999999999</v>
      </c>
      <c r="J2262" s="19" t="n">
        <v>820</v>
      </c>
      <c r="K2262" s="20" t="n">
        <v>0</v>
      </c>
      <c r="L2262" s="20" t="n">
        <v>0</v>
      </c>
      <c r="M2262" s="18" t="n">
        <v>2</v>
      </c>
      <c r="N2262" s="18" t="n">
        <v>2</v>
      </c>
      <c r="O2262" s="18" t="n">
        <v>0</v>
      </c>
      <c r="P2262" s="17" t="n">
        <v>45922</v>
      </c>
      <c r="Q2262" s="17" t="n">
        <v>45922</v>
      </c>
      <c r="R2262" s="17" t="n">
        <v>45922</v>
      </c>
      <c r="S2262" s="19">
        <f>H2262*I2262</f>
        <v/>
      </c>
      <c r="T2262" s="19">
        <f>H2262*J2262</f>
        <v/>
      </c>
      <c r="U2262">
        <f>IF(AND(K2262=0,G2262&lt;=Assumptions!$C$6),1,0)</f>
        <v/>
      </c>
      <c r="V2262">
        <f>IF(U2262=1,IF(M2262&gt;0,IF(P2262&lt;=G2262+Assumptions!$C$7,1,0),0),0)</f>
        <v/>
      </c>
      <c r="W2262">
        <f>IF(AND(U2262=1,M2262&gt;=H2262*(1-Assumptions!$C$8)),1,0)</f>
        <v/>
      </c>
      <c r="X2262">
        <f>IF(AND(U2262=1,N2262&gt;=H2262*(1-Assumptions!$C$8)),1,0)</f>
        <v/>
      </c>
      <c r="Y2262">
        <f>IF(ISNUMBER(Q2262),1,0)</f>
        <v/>
      </c>
      <c r="Z2262">
        <f>IF(AND(K2262=0,L2262=0,Y2262=0),1,0)</f>
        <v/>
      </c>
      <c r="AA2262">
        <f>IF(AND(Z2262=1,G2262&lt;Assumptions!$C$6),1,0)</f>
        <v/>
      </c>
      <c r="AB2262">
        <f>IF(U2262=0,"",IF(Y2262=1,MAX(0,Q2262-G2262),IF(L2262=1,MAX(0,R2262-G2262),MAX(0,Assumptions!$C$6-G2262))))</f>
        <v/>
      </c>
      <c r="AC2262">
        <f>IF(Y2262=1,Q2262-F2262,"")</f>
        <v/>
      </c>
      <c r="AD2262">
        <f>IF(Y2262=1,AC2262^2,"")</f>
        <v/>
      </c>
      <c r="AE2262" s="19">
        <f>IF(Z2262=1,(H2262-M2262)*I2262,0)</f>
        <v/>
      </c>
      <c r="AF2262">
        <f>IF(G2262&lt;EDATE(Assumptions!$C$6,-12)+1,"prior_12m","last_12m")</f>
        <v/>
      </c>
      <c r="AG2262" s="21">
        <f>DATE(YEAR(G2262),MONTH(G2262),1)</f>
        <v/>
      </c>
    </row>
    <row r="2263">
      <c r="A2263" t="inlineStr">
        <is>
          <t>SPO-01226-2</t>
        </is>
      </c>
      <c r="B2263" t="inlineStr">
        <is>
          <t>SPO-01226</t>
        </is>
      </c>
      <c r="C2263" t="inlineStr">
        <is>
          <t>SUP-09</t>
        </is>
      </c>
      <c r="D2263" t="inlineStr">
        <is>
          <t>CHEM</t>
        </is>
      </c>
      <c r="E2263" t="inlineStr">
        <is>
          <t>CHEM-06</t>
        </is>
      </c>
      <c r="F2263" s="17" t="n">
        <v>45910</v>
      </c>
      <c r="G2263" s="17" t="n">
        <v>45924</v>
      </c>
      <c r="H2263" s="18" t="n">
        <v>2</v>
      </c>
      <c r="I2263" s="19" t="n">
        <v>396.48</v>
      </c>
      <c r="J2263" s="19" t="n">
        <v>380</v>
      </c>
      <c r="K2263" s="20" t="n">
        <v>1</v>
      </c>
      <c r="L2263" s="20" t="n">
        <v>0</v>
      </c>
      <c r="M2263" s="18" t="n">
        <v>0</v>
      </c>
      <c r="N2263" s="18" t="n">
        <v>0</v>
      </c>
      <c r="O2263" s="18" t="n">
        <v>0</v>
      </c>
      <c r="P2263" s="17" t="n"/>
      <c r="Q2263" s="17" t="n"/>
      <c r="R2263" s="17" t="n"/>
      <c r="S2263" s="19">
        <f>H2263*I2263</f>
        <v/>
      </c>
      <c r="T2263" s="19">
        <f>H2263*J2263</f>
        <v/>
      </c>
      <c r="U2263">
        <f>IF(AND(K2263=0,G2263&lt;=Assumptions!$C$6),1,0)</f>
        <v/>
      </c>
      <c r="V2263">
        <f>IF(U2263=1,IF(M2263&gt;0,IF(P2263&lt;=G2263+Assumptions!$C$7,1,0),0),0)</f>
        <v/>
      </c>
      <c r="W2263">
        <f>IF(AND(U2263=1,M2263&gt;=H2263*(1-Assumptions!$C$8)),1,0)</f>
        <v/>
      </c>
      <c r="X2263">
        <f>IF(AND(U2263=1,N2263&gt;=H2263*(1-Assumptions!$C$8)),1,0)</f>
        <v/>
      </c>
      <c r="Y2263">
        <f>IF(ISNUMBER(Q2263),1,0)</f>
        <v/>
      </c>
      <c r="Z2263">
        <f>IF(AND(K2263=0,L2263=0,Y2263=0),1,0)</f>
        <v/>
      </c>
      <c r="AA2263">
        <f>IF(AND(Z2263=1,G2263&lt;Assumptions!$C$6),1,0)</f>
        <v/>
      </c>
      <c r="AB2263">
        <f>IF(U2263=0,"",IF(Y2263=1,MAX(0,Q2263-G2263),IF(L2263=1,MAX(0,R2263-G2263),MAX(0,Assumptions!$C$6-G2263))))</f>
        <v/>
      </c>
      <c r="AC2263">
        <f>IF(Y2263=1,Q2263-F2263,"")</f>
        <v/>
      </c>
      <c r="AD2263">
        <f>IF(Y2263=1,AC2263^2,"")</f>
        <v/>
      </c>
      <c r="AE2263" s="19">
        <f>IF(Z2263=1,(H2263-M2263)*I2263,0)</f>
        <v/>
      </c>
      <c r="AF2263">
        <f>IF(G2263&lt;EDATE(Assumptions!$C$6,-12)+1,"prior_12m","last_12m")</f>
        <v/>
      </c>
      <c r="AG2263" s="21">
        <f>DATE(YEAR(G2263),MONTH(G2263),1)</f>
        <v/>
      </c>
    </row>
    <row r="2264">
      <c r="A2264" t="inlineStr">
        <is>
          <t>SPO-01226-3</t>
        </is>
      </c>
      <c r="B2264" t="inlineStr">
        <is>
          <t>SPO-01226</t>
        </is>
      </c>
      <c r="C2264" t="inlineStr">
        <is>
          <t>SUP-09</t>
        </is>
      </c>
      <c r="D2264" t="inlineStr">
        <is>
          <t>CHEM</t>
        </is>
      </c>
      <c r="E2264" t="inlineStr">
        <is>
          <t>CHEM-01</t>
        </is>
      </c>
      <c r="F2264" s="17" t="n">
        <v>45910</v>
      </c>
      <c r="G2264" s="17" t="n">
        <v>45924</v>
      </c>
      <c r="H2264" s="18" t="n">
        <v>2</v>
      </c>
      <c r="I2264" s="19" t="n">
        <v>693.02</v>
      </c>
      <c r="J2264" s="19" t="n">
        <v>640</v>
      </c>
      <c r="K2264" s="20" t="n">
        <v>0</v>
      </c>
      <c r="L2264" s="20" t="n">
        <v>0</v>
      </c>
      <c r="M2264" s="18" t="n">
        <v>2</v>
      </c>
      <c r="N2264" s="18" t="n">
        <v>2</v>
      </c>
      <c r="O2264" s="18" t="n">
        <v>0</v>
      </c>
      <c r="P2264" s="17" t="n">
        <v>45922</v>
      </c>
      <c r="Q2264" s="17" t="n">
        <v>45922</v>
      </c>
      <c r="R2264" s="17" t="n">
        <v>45922</v>
      </c>
      <c r="S2264" s="19">
        <f>H2264*I2264</f>
        <v/>
      </c>
      <c r="T2264" s="19">
        <f>H2264*J2264</f>
        <v/>
      </c>
      <c r="U2264">
        <f>IF(AND(K2264=0,G2264&lt;=Assumptions!$C$6),1,0)</f>
        <v/>
      </c>
      <c r="V2264">
        <f>IF(U2264=1,IF(M2264&gt;0,IF(P2264&lt;=G2264+Assumptions!$C$7,1,0),0),0)</f>
        <v/>
      </c>
      <c r="W2264">
        <f>IF(AND(U2264=1,M2264&gt;=H2264*(1-Assumptions!$C$8)),1,0)</f>
        <v/>
      </c>
      <c r="X2264">
        <f>IF(AND(U2264=1,N2264&gt;=H2264*(1-Assumptions!$C$8)),1,0)</f>
        <v/>
      </c>
      <c r="Y2264">
        <f>IF(ISNUMBER(Q2264),1,0)</f>
        <v/>
      </c>
      <c r="Z2264">
        <f>IF(AND(K2264=0,L2264=0,Y2264=0),1,0)</f>
        <v/>
      </c>
      <c r="AA2264">
        <f>IF(AND(Z2264=1,G2264&lt;Assumptions!$C$6),1,0)</f>
        <v/>
      </c>
      <c r="AB2264">
        <f>IF(U2264=0,"",IF(Y2264=1,MAX(0,Q2264-G2264),IF(L2264=1,MAX(0,R2264-G2264),MAX(0,Assumptions!$C$6-G2264))))</f>
        <v/>
      </c>
      <c r="AC2264">
        <f>IF(Y2264=1,Q2264-F2264,"")</f>
        <v/>
      </c>
      <c r="AD2264">
        <f>IF(Y2264=1,AC2264^2,"")</f>
        <v/>
      </c>
      <c r="AE2264" s="19">
        <f>IF(Z2264=1,(H2264-M2264)*I2264,0)</f>
        <v/>
      </c>
      <c r="AF2264">
        <f>IF(G2264&lt;EDATE(Assumptions!$C$6,-12)+1,"prior_12m","last_12m")</f>
        <v/>
      </c>
      <c r="AG2264" s="21">
        <f>DATE(YEAR(G2264),MONTH(G2264),1)</f>
        <v/>
      </c>
    </row>
    <row r="2265">
      <c r="A2265" t="inlineStr">
        <is>
          <t>SPO-01227-1</t>
        </is>
      </c>
      <c r="B2265" t="inlineStr">
        <is>
          <t>SPO-01227</t>
        </is>
      </c>
      <c r="C2265" t="inlineStr">
        <is>
          <t>SUP-10</t>
        </is>
      </c>
      <c r="D2265" t="inlineStr">
        <is>
          <t>PPE</t>
        </is>
      </c>
      <c r="E2265" t="inlineStr">
        <is>
          <t>PPE-06</t>
        </is>
      </c>
      <c r="F2265" s="17" t="n">
        <v>45910</v>
      </c>
      <c r="G2265" s="17" t="n">
        <v>45923</v>
      </c>
      <c r="H2265" s="18" t="n">
        <v>6</v>
      </c>
      <c r="I2265" s="19" t="n">
        <v>117.54</v>
      </c>
      <c r="J2265" s="19" t="n">
        <v>115</v>
      </c>
      <c r="K2265" s="20" t="n">
        <v>0</v>
      </c>
      <c r="L2265" s="20" t="n">
        <v>0</v>
      </c>
      <c r="M2265" s="18" t="n">
        <v>6</v>
      </c>
      <c r="N2265" s="18" t="n">
        <v>6</v>
      </c>
      <c r="O2265" s="18" t="n">
        <v>0</v>
      </c>
      <c r="P2265" s="17" t="n">
        <v>45921</v>
      </c>
      <c r="Q2265" s="17" t="n">
        <v>45921</v>
      </c>
      <c r="R2265" s="17" t="n">
        <v>45921</v>
      </c>
      <c r="S2265" s="19">
        <f>H2265*I2265</f>
        <v/>
      </c>
      <c r="T2265" s="19">
        <f>H2265*J2265</f>
        <v/>
      </c>
      <c r="U2265">
        <f>IF(AND(K2265=0,G2265&lt;=Assumptions!$C$6),1,0)</f>
        <v/>
      </c>
      <c r="V2265">
        <f>IF(U2265=1,IF(M2265&gt;0,IF(P2265&lt;=G2265+Assumptions!$C$7,1,0),0),0)</f>
        <v/>
      </c>
      <c r="W2265">
        <f>IF(AND(U2265=1,M2265&gt;=H2265*(1-Assumptions!$C$8)),1,0)</f>
        <v/>
      </c>
      <c r="X2265">
        <f>IF(AND(U2265=1,N2265&gt;=H2265*(1-Assumptions!$C$8)),1,0)</f>
        <v/>
      </c>
      <c r="Y2265">
        <f>IF(ISNUMBER(Q2265),1,0)</f>
        <v/>
      </c>
      <c r="Z2265">
        <f>IF(AND(K2265=0,L2265=0,Y2265=0),1,0)</f>
        <v/>
      </c>
      <c r="AA2265">
        <f>IF(AND(Z2265=1,G2265&lt;Assumptions!$C$6),1,0)</f>
        <v/>
      </c>
      <c r="AB2265">
        <f>IF(U2265=0,"",IF(Y2265=1,MAX(0,Q2265-G2265),IF(L2265=1,MAX(0,R2265-G2265),MAX(0,Assumptions!$C$6-G2265))))</f>
        <v/>
      </c>
      <c r="AC2265">
        <f>IF(Y2265=1,Q2265-F2265,"")</f>
        <v/>
      </c>
      <c r="AD2265">
        <f>IF(Y2265=1,AC2265^2,"")</f>
        <v/>
      </c>
      <c r="AE2265" s="19">
        <f>IF(Z2265=1,(H2265-M2265)*I2265,0)</f>
        <v/>
      </c>
      <c r="AF2265">
        <f>IF(G2265&lt;EDATE(Assumptions!$C$6,-12)+1,"prior_12m","last_12m")</f>
        <v/>
      </c>
      <c r="AG2265" s="21">
        <f>DATE(YEAR(G2265),MONTH(G2265),1)</f>
        <v/>
      </c>
    </row>
    <row r="2266">
      <c r="A2266" t="inlineStr">
        <is>
          <t>SPO-01228-1</t>
        </is>
      </c>
      <c r="B2266" t="inlineStr">
        <is>
          <t>SPO-01228</t>
        </is>
      </c>
      <c r="C2266" t="inlineStr">
        <is>
          <t>SUP-05</t>
        </is>
      </c>
      <c r="D2266" t="inlineStr">
        <is>
          <t>FLEET</t>
        </is>
      </c>
      <c r="E2266" t="inlineStr">
        <is>
          <t>FLEET-06</t>
        </is>
      </c>
      <c r="F2266" s="17" t="n">
        <v>45911</v>
      </c>
      <c r="G2266" s="17" t="n">
        <v>45925</v>
      </c>
      <c r="H2266" s="18" t="n">
        <v>49</v>
      </c>
      <c r="I2266" s="19" t="n">
        <v>34.13</v>
      </c>
      <c r="J2266" s="19" t="n">
        <v>33</v>
      </c>
      <c r="K2266" s="20" t="n">
        <v>0</v>
      </c>
      <c r="L2266" s="20" t="n">
        <v>0</v>
      </c>
      <c r="M2266" s="18" t="n">
        <v>49</v>
      </c>
      <c r="N2266" s="18" t="n">
        <v>49</v>
      </c>
      <c r="O2266" s="18" t="n">
        <v>0</v>
      </c>
      <c r="P2266" s="17" t="n">
        <v>45923</v>
      </c>
      <c r="Q2266" s="17" t="n">
        <v>45923</v>
      </c>
      <c r="R2266" s="17" t="n">
        <v>45923</v>
      </c>
      <c r="S2266" s="19">
        <f>H2266*I2266</f>
        <v/>
      </c>
      <c r="T2266" s="19">
        <f>H2266*J2266</f>
        <v/>
      </c>
      <c r="U2266">
        <f>IF(AND(K2266=0,G2266&lt;=Assumptions!$C$6),1,0)</f>
        <v/>
      </c>
      <c r="V2266">
        <f>IF(U2266=1,IF(M2266&gt;0,IF(P2266&lt;=G2266+Assumptions!$C$7,1,0),0),0)</f>
        <v/>
      </c>
      <c r="W2266">
        <f>IF(AND(U2266=1,M2266&gt;=H2266*(1-Assumptions!$C$8)),1,0)</f>
        <v/>
      </c>
      <c r="X2266">
        <f>IF(AND(U2266=1,N2266&gt;=H2266*(1-Assumptions!$C$8)),1,0)</f>
        <v/>
      </c>
      <c r="Y2266">
        <f>IF(ISNUMBER(Q2266),1,0)</f>
        <v/>
      </c>
      <c r="Z2266">
        <f>IF(AND(K2266=0,L2266=0,Y2266=0),1,0)</f>
        <v/>
      </c>
      <c r="AA2266">
        <f>IF(AND(Z2266=1,G2266&lt;Assumptions!$C$6),1,0)</f>
        <v/>
      </c>
      <c r="AB2266">
        <f>IF(U2266=0,"",IF(Y2266=1,MAX(0,Q2266-G2266),IF(L2266=1,MAX(0,R2266-G2266),MAX(0,Assumptions!$C$6-G2266))))</f>
        <v/>
      </c>
      <c r="AC2266">
        <f>IF(Y2266=1,Q2266-F2266,"")</f>
        <v/>
      </c>
      <c r="AD2266">
        <f>IF(Y2266=1,AC2266^2,"")</f>
        <v/>
      </c>
      <c r="AE2266" s="19">
        <f>IF(Z2266=1,(H2266-M2266)*I2266,0)</f>
        <v/>
      </c>
      <c r="AF2266">
        <f>IF(G2266&lt;EDATE(Assumptions!$C$6,-12)+1,"prior_12m","last_12m")</f>
        <v/>
      </c>
      <c r="AG2266" s="21">
        <f>DATE(YEAR(G2266),MONTH(G2266),1)</f>
        <v/>
      </c>
    </row>
    <row r="2267">
      <c r="A2267" t="inlineStr">
        <is>
          <t>SPO-01229-1</t>
        </is>
      </c>
      <c r="B2267" t="inlineStr">
        <is>
          <t>SPO-01229</t>
        </is>
      </c>
      <c r="C2267" t="inlineStr">
        <is>
          <t>SUP-02</t>
        </is>
      </c>
      <c r="D2267" t="inlineStr">
        <is>
          <t>ELEC</t>
        </is>
      </c>
      <c r="E2267" t="inlineStr">
        <is>
          <t>ELEC-04</t>
        </is>
      </c>
      <c r="F2267" s="17" t="n">
        <v>45911</v>
      </c>
      <c r="G2267" s="17" t="n">
        <v>45927</v>
      </c>
      <c r="H2267" s="18" t="n">
        <v>14</v>
      </c>
      <c r="I2267" s="19" t="n">
        <v>73.28</v>
      </c>
      <c r="J2267" s="19" t="n">
        <v>72</v>
      </c>
      <c r="K2267" s="20" t="n">
        <v>0</v>
      </c>
      <c r="L2267" s="20" t="n">
        <v>0</v>
      </c>
      <c r="M2267" s="18" t="n">
        <v>14</v>
      </c>
      <c r="N2267" s="18" t="n">
        <v>14</v>
      </c>
      <c r="O2267" s="18" t="n">
        <v>0</v>
      </c>
      <c r="P2267" s="17" t="n">
        <v>45924</v>
      </c>
      <c r="Q2267" s="17" t="n">
        <v>45924</v>
      </c>
      <c r="R2267" s="17" t="n">
        <v>45924</v>
      </c>
      <c r="S2267" s="19">
        <f>H2267*I2267</f>
        <v/>
      </c>
      <c r="T2267" s="19">
        <f>H2267*J2267</f>
        <v/>
      </c>
      <c r="U2267">
        <f>IF(AND(K2267=0,G2267&lt;=Assumptions!$C$6),1,0)</f>
        <v/>
      </c>
      <c r="V2267">
        <f>IF(U2267=1,IF(M2267&gt;0,IF(P2267&lt;=G2267+Assumptions!$C$7,1,0),0),0)</f>
        <v/>
      </c>
      <c r="W2267">
        <f>IF(AND(U2267=1,M2267&gt;=H2267*(1-Assumptions!$C$8)),1,0)</f>
        <v/>
      </c>
      <c r="X2267">
        <f>IF(AND(U2267=1,N2267&gt;=H2267*(1-Assumptions!$C$8)),1,0)</f>
        <v/>
      </c>
      <c r="Y2267">
        <f>IF(ISNUMBER(Q2267),1,0)</f>
        <v/>
      </c>
      <c r="Z2267">
        <f>IF(AND(K2267=0,L2267=0,Y2267=0),1,0)</f>
        <v/>
      </c>
      <c r="AA2267">
        <f>IF(AND(Z2267=1,G2267&lt;Assumptions!$C$6),1,0)</f>
        <v/>
      </c>
      <c r="AB2267">
        <f>IF(U2267=0,"",IF(Y2267=1,MAX(0,Q2267-G2267),IF(L2267=1,MAX(0,R2267-G2267),MAX(0,Assumptions!$C$6-G2267))))</f>
        <v/>
      </c>
      <c r="AC2267">
        <f>IF(Y2267=1,Q2267-F2267,"")</f>
        <v/>
      </c>
      <c r="AD2267">
        <f>IF(Y2267=1,AC2267^2,"")</f>
        <v/>
      </c>
      <c r="AE2267" s="19">
        <f>IF(Z2267=1,(H2267-M2267)*I2267,0)</f>
        <v/>
      </c>
      <c r="AF2267">
        <f>IF(G2267&lt;EDATE(Assumptions!$C$6,-12)+1,"prior_12m","last_12m")</f>
        <v/>
      </c>
      <c r="AG2267" s="21">
        <f>DATE(YEAR(G2267),MONTH(G2267),1)</f>
        <v/>
      </c>
    </row>
    <row r="2268">
      <c r="A2268" t="inlineStr">
        <is>
          <t>SPO-01229-2</t>
        </is>
      </c>
      <c r="B2268" t="inlineStr">
        <is>
          <t>SPO-01229</t>
        </is>
      </c>
      <c r="C2268" t="inlineStr">
        <is>
          <t>SUP-02</t>
        </is>
      </c>
      <c r="D2268" t="inlineStr">
        <is>
          <t>ELEC</t>
        </is>
      </c>
      <c r="E2268" t="inlineStr">
        <is>
          <t>ELEC-07</t>
        </is>
      </c>
      <c r="F2268" s="17" t="n">
        <v>45911</v>
      </c>
      <c r="G2268" s="17" t="n">
        <v>45927</v>
      </c>
      <c r="H2268" s="18" t="n">
        <v>169</v>
      </c>
      <c r="I2268" s="19" t="n">
        <v>9.59</v>
      </c>
      <c r="J2268" s="19" t="n">
        <v>9.800000000000001</v>
      </c>
      <c r="K2268" s="20" t="n">
        <v>0</v>
      </c>
      <c r="L2268" s="20" t="n">
        <v>0</v>
      </c>
      <c r="M2268" s="18" t="n">
        <v>169</v>
      </c>
      <c r="N2268" s="18" t="n">
        <v>169</v>
      </c>
      <c r="O2268" s="18" t="n">
        <v>0</v>
      </c>
      <c r="P2268" s="17" t="n">
        <v>45926</v>
      </c>
      <c r="Q2268" s="17" t="n">
        <v>45926</v>
      </c>
      <c r="R2268" s="17" t="n">
        <v>45926</v>
      </c>
      <c r="S2268" s="19">
        <f>H2268*I2268</f>
        <v/>
      </c>
      <c r="T2268" s="19">
        <f>H2268*J2268</f>
        <v/>
      </c>
      <c r="U2268">
        <f>IF(AND(K2268=0,G2268&lt;=Assumptions!$C$6),1,0)</f>
        <v/>
      </c>
      <c r="V2268">
        <f>IF(U2268=1,IF(M2268&gt;0,IF(P2268&lt;=G2268+Assumptions!$C$7,1,0),0),0)</f>
        <v/>
      </c>
      <c r="W2268">
        <f>IF(AND(U2268=1,M2268&gt;=H2268*(1-Assumptions!$C$8)),1,0)</f>
        <v/>
      </c>
      <c r="X2268">
        <f>IF(AND(U2268=1,N2268&gt;=H2268*(1-Assumptions!$C$8)),1,0)</f>
        <v/>
      </c>
      <c r="Y2268">
        <f>IF(ISNUMBER(Q2268),1,0)</f>
        <v/>
      </c>
      <c r="Z2268">
        <f>IF(AND(K2268=0,L2268=0,Y2268=0),1,0)</f>
        <v/>
      </c>
      <c r="AA2268">
        <f>IF(AND(Z2268=1,G2268&lt;Assumptions!$C$6),1,0)</f>
        <v/>
      </c>
      <c r="AB2268">
        <f>IF(U2268=0,"",IF(Y2268=1,MAX(0,Q2268-G2268),IF(L2268=1,MAX(0,R2268-G2268),MAX(0,Assumptions!$C$6-G2268))))</f>
        <v/>
      </c>
      <c r="AC2268">
        <f>IF(Y2268=1,Q2268-F2268,"")</f>
        <v/>
      </c>
      <c r="AD2268">
        <f>IF(Y2268=1,AC2268^2,"")</f>
        <v/>
      </c>
      <c r="AE2268" s="19">
        <f>IF(Z2268=1,(H2268-M2268)*I2268,0)</f>
        <v/>
      </c>
      <c r="AF2268">
        <f>IF(G2268&lt;EDATE(Assumptions!$C$6,-12)+1,"prior_12m","last_12m")</f>
        <v/>
      </c>
      <c r="AG2268" s="21">
        <f>DATE(YEAR(G2268),MONTH(G2268),1)</f>
        <v/>
      </c>
    </row>
    <row r="2269">
      <c r="A2269" t="inlineStr">
        <is>
          <t>SPO-01229-3</t>
        </is>
      </c>
      <c r="B2269" t="inlineStr">
        <is>
          <t>SPO-01229</t>
        </is>
      </c>
      <c r="C2269" t="inlineStr">
        <is>
          <t>SUP-02</t>
        </is>
      </c>
      <c r="D2269" t="inlineStr">
        <is>
          <t>ELEC</t>
        </is>
      </c>
      <c r="E2269" t="inlineStr">
        <is>
          <t>ELEC-02</t>
        </is>
      </c>
      <c r="F2269" s="17" t="n">
        <v>45911</v>
      </c>
      <c r="G2269" s="17" t="n">
        <v>45927</v>
      </c>
      <c r="H2269" s="18" t="n">
        <v>927</v>
      </c>
      <c r="I2269" s="19" t="n">
        <v>4.25</v>
      </c>
      <c r="J2269" s="19" t="n">
        <v>4.2</v>
      </c>
      <c r="K2269" s="20" t="n">
        <v>0</v>
      </c>
      <c r="L2269" s="20" t="n">
        <v>0</v>
      </c>
      <c r="M2269" s="18" t="n">
        <v>927</v>
      </c>
      <c r="N2269" s="18" t="n">
        <v>927</v>
      </c>
      <c r="O2269" s="18" t="n">
        <v>0</v>
      </c>
      <c r="P2269" s="17" t="n">
        <v>45920</v>
      </c>
      <c r="Q2269" s="17" t="n">
        <v>45920</v>
      </c>
      <c r="R2269" s="17" t="n">
        <v>45920</v>
      </c>
      <c r="S2269" s="19">
        <f>H2269*I2269</f>
        <v/>
      </c>
      <c r="T2269" s="19">
        <f>H2269*J2269</f>
        <v/>
      </c>
      <c r="U2269">
        <f>IF(AND(K2269=0,G2269&lt;=Assumptions!$C$6),1,0)</f>
        <v/>
      </c>
      <c r="V2269">
        <f>IF(U2269=1,IF(M2269&gt;0,IF(P2269&lt;=G2269+Assumptions!$C$7,1,0),0),0)</f>
        <v/>
      </c>
      <c r="W2269">
        <f>IF(AND(U2269=1,M2269&gt;=H2269*(1-Assumptions!$C$8)),1,0)</f>
        <v/>
      </c>
      <c r="X2269">
        <f>IF(AND(U2269=1,N2269&gt;=H2269*(1-Assumptions!$C$8)),1,0)</f>
        <v/>
      </c>
      <c r="Y2269">
        <f>IF(ISNUMBER(Q2269),1,0)</f>
        <v/>
      </c>
      <c r="Z2269">
        <f>IF(AND(K2269=0,L2269=0,Y2269=0),1,0)</f>
        <v/>
      </c>
      <c r="AA2269">
        <f>IF(AND(Z2269=1,G2269&lt;Assumptions!$C$6),1,0)</f>
        <v/>
      </c>
      <c r="AB2269">
        <f>IF(U2269=0,"",IF(Y2269=1,MAX(0,Q2269-G2269),IF(L2269=1,MAX(0,R2269-G2269),MAX(0,Assumptions!$C$6-G2269))))</f>
        <v/>
      </c>
      <c r="AC2269">
        <f>IF(Y2269=1,Q2269-F2269,"")</f>
        <v/>
      </c>
      <c r="AD2269">
        <f>IF(Y2269=1,AC2269^2,"")</f>
        <v/>
      </c>
      <c r="AE2269" s="19">
        <f>IF(Z2269=1,(H2269-M2269)*I2269,0)</f>
        <v/>
      </c>
      <c r="AF2269">
        <f>IF(G2269&lt;EDATE(Assumptions!$C$6,-12)+1,"prior_12m","last_12m")</f>
        <v/>
      </c>
      <c r="AG2269" s="21">
        <f>DATE(YEAR(G2269),MONTH(G2269),1)</f>
        <v/>
      </c>
    </row>
    <row r="2270">
      <c r="A2270" t="inlineStr">
        <is>
          <t>SPO-01230-1</t>
        </is>
      </c>
      <c r="B2270" t="inlineStr">
        <is>
          <t>SPO-01230</t>
        </is>
      </c>
      <c r="C2270" t="inlineStr">
        <is>
          <t>SUP-12</t>
        </is>
      </c>
      <c r="D2270" t="inlineStr">
        <is>
          <t>IT</t>
        </is>
      </c>
      <c r="E2270" t="inlineStr">
        <is>
          <t>IT-04</t>
        </is>
      </c>
      <c r="F2270" s="17" t="n">
        <v>45911</v>
      </c>
      <c r="G2270" s="17" t="n">
        <v>45921</v>
      </c>
      <c r="H2270" s="18" t="n">
        <v>307</v>
      </c>
      <c r="I2270" s="19" t="n">
        <v>13.79</v>
      </c>
      <c r="J2270" s="19" t="n">
        <v>12</v>
      </c>
      <c r="K2270" s="20" t="n">
        <v>0</v>
      </c>
      <c r="L2270" s="20" t="n">
        <v>0</v>
      </c>
      <c r="M2270" s="18" t="n">
        <v>307</v>
      </c>
      <c r="N2270" s="18" t="n">
        <v>307</v>
      </c>
      <c r="O2270" s="18" t="n">
        <v>0</v>
      </c>
      <c r="P2270" s="17" t="n">
        <v>45920</v>
      </c>
      <c r="Q2270" s="17" t="n">
        <v>45920</v>
      </c>
      <c r="R2270" s="17" t="n">
        <v>45920</v>
      </c>
      <c r="S2270" s="19">
        <f>H2270*I2270</f>
        <v/>
      </c>
      <c r="T2270" s="19">
        <f>H2270*J2270</f>
        <v/>
      </c>
      <c r="U2270">
        <f>IF(AND(K2270=0,G2270&lt;=Assumptions!$C$6),1,0)</f>
        <v/>
      </c>
      <c r="V2270">
        <f>IF(U2270=1,IF(M2270&gt;0,IF(P2270&lt;=G2270+Assumptions!$C$7,1,0),0),0)</f>
        <v/>
      </c>
      <c r="W2270">
        <f>IF(AND(U2270=1,M2270&gt;=H2270*(1-Assumptions!$C$8)),1,0)</f>
        <v/>
      </c>
      <c r="X2270">
        <f>IF(AND(U2270=1,N2270&gt;=H2270*(1-Assumptions!$C$8)),1,0)</f>
        <v/>
      </c>
      <c r="Y2270">
        <f>IF(ISNUMBER(Q2270),1,0)</f>
        <v/>
      </c>
      <c r="Z2270">
        <f>IF(AND(K2270=0,L2270=0,Y2270=0),1,0)</f>
        <v/>
      </c>
      <c r="AA2270">
        <f>IF(AND(Z2270=1,G2270&lt;Assumptions!$C$6),1,0)</f>
        <v/>
      </c>
      <c r="AB2270">
        <f>IF(U2270=0,"",IF(Y2270=1,MAX(0,Q2270-G2270),IF(L2270=1,MAX(0,R2270-G2270),MAX(0,Assumptions!$C$6-G2270))))</f>
        <v/>
      </c>
      <c r="AC2270">
        <f>IF(Y2270=1,Q2270-F2270,"")</f>
        <v/>
      </c>
      <c r="AD2270">
        <f>IF(Y2270=1,AC2270^2,"")</f>
        <v/>
      </c>
      <c r="AE2270" s="19">
        <f>IF(Z2270=1,(H2270-M2270)*I2270,0)</f>
        <v/>
      </c>
      <c r="AF2270">
        <f>IF(G2270&lt;EDATE(Assumptions!$C$6,-12)+1,"prior_12m","last_12m")</f>
        <v/>
      </c>
      <c r="AG2270" s="21">
        <f>DATE(YEAR(G2270),MONTH(G2270),1)</f>
        <v/>
      </c>
    </row>
    <row r="2271">
      <c r="A2271" t="inlineStr">
        <is>
          <t>SPO-01231-1</t>
        </is>
      </c>
      <c r="B2271" t="inlineStr">
        <is>
          <t>SPO-01231</t>
        </is>
      </c>
      <c r="C2271" t="inlineStr">
        <is>
          <t>SUP-01</t>
        </is>
      </c>
      <c r="D2271" t="inlineStr">
        <is>
          <t>ELEC</t>
        </is>
      </c>
      <c r="E2271" t="inlineStr">
        <is>
          <t>ELEC-08</t>
        </is>
      </c>
      <c r="F2271" s="17" t="n">
        <v>45911</v>
      </c>
      <c r="G2271" s="17" t="n">
        <v>45929</v>
      </c>
      <c r="H2271" s="18" t="n">
        <v>116</v>
      </c>
      <c r="I2271" s="19" t="n">
        <v>18.6</v>
      </c>
      <c r="J2271" s="19" t="n">
        <v>18</v>
      </c>
      <c r="K2271" s="20" t="n">
        <v>0</v>
      </c>
      <c r="L2271" s="20" t="n">
        <v>0</v>
      </c>
      <c r="M2271" s="18" t="n">
        <v>116</v>
      </c>
      <c r="N2271" s="18" t="n">
        <v>116</v>
      </c>
      <c r="O2271" s="18" t="n">
        <v>0</v>
      </c>
      <c r="P2271" s="17" t="n">
        <v>45929</v>
      </c>
      <c r="Q2271" s="17" t="n">
        <v>45929</v>
      </c>
      <c r="R2271" s="17" t="n">
        <v>45929</v>
      </c>
      <c r="S2271" s="19">
        <f>H2271*I2271</f>
        <v/>
      </c>
      <c r="T2271" s="19">
        <f>H2271*J2271</f>
        <v/>
      </c>
      <c r="U2271">
        <f>IF(AND(K2271=0,G2271&lt;=Assumptions!$C$6),1,0)</f>
        <v/>
      </c>
      <c r="V2271">
        <f>IF(U2271=1,IF(M2271&gt;0,IF(P2271&lt;=G2271+Assumptions!$C$7,1,0),0),0)</f>
        <v/>
      </c>
      <c r="W2271">
        <f>IF(AND(U2271=1,M2271&gt;=H2271*(1-Assumptions!$C$8)),1,0)</f>
        <v/>
      </c>
      <c r="X2271">
        <f>IF(AND(U2271=1,N2271&gt;=H2271*(1-Assumptions!$C$8)),1,0)</f>
        <v/>
      </c>
      <c r="Y2271">
        <f>IF(ISNUMBER(Q2271),1,0)</f>
        <v/>
      </c>
      <c r="Z2271">
        <f>IF(AND(K2271=0,L2271=0,Y2271=0),1,0)</f>
        <v/>
      </c>
      <c r="AA2271">
        <f>IF(AND(Z2271=1,G2271&lt;Assumptions!$C$6),1,0)</f>
        <v/>
      </c>
      <c r="AB2271">
        <f>IF(U2271=0,"",IF(Y2271=1,MAX(0,Q2271-G2271),IF(L2271=1,MAX(0,R2271-G2271),MAX(0,Assumptions!$C$6-G2271))))</f>
        <v/>
      </c>
      <c r="AC2271">
        <f>IF(Y2271=1,Q2271-F2271,"")</f>
        <v/>
      </c>
      <c r="AD2271">
        <f>IF(Y2271=1,AC2271^2,"")</f>
        <v/>
      </c>
      <c r="AE2271" s="19">
        <f>IF(Z2271=1,(H2271-M2271)*I2271,0)</f>
        <v/>
      </c>
      <c r="AF2271">
        <f>IF(G2271&lt;EDATE(Assumptions!$C$6,-12)+1,"prior_12m","last_12m")</f>
        <v/>
      </c>
      <c r="AG2271" s="21">
        <f>DATE(YEAR(G2271),MONTH(G2271),1)</f>
        <v/>
      </c>
    </row>
    <row r="2272">
      <c r="A2272" t="inlineStr">
        <is>
          <t>SPO-01231-2</t>
        </is>
      </c>
      <c r="B2272" t="inlineStr">
        <is>
          <t>SPO-01231</t>
        </is>
      </c>
      <c r="C2272" t="inlineStr">
        <is>
          <t>SUP-01</t>
        </is>
      </c>
      <c r="D2272" t="inlineStr">
        <is>
          <t>ELEC</t>
        </is>
      </c>
      <c r="E2272" t="inlineStr">
        <is>
          <t>ELEC-03</t>
        </is>
      </c>
      <c r="F2272" s="17" t="n">
        <v>45911</v>
      </c>
      <c r="G2272" s="17" t="n">
        <v>45929</v>
      </c>
      <c r="H2272" s="18" t="n">
        <v>38</v>
      </c>
      <c r="I2272" s="19" t="n">
        <v>96.54000000000001</v>
      </c>
      <c r="J2272" s="19" t="n">
        <v>96</v>
      </c>
      <c r="K2272" s="20" t="n">
        <v>0</v>
      </c>
      <c r="L2272" s="20" t="n">
        <v>0</v>
      </c>
      <c r="M2272" s="18" t="n">
        <v>38</v>
      </c>
      <c r="N2272" s="18" t="n">
        <v>38</v>
      </c>
      <c r="O2272" s="18" t="n">
        <v>0</v>
      </c>
      <c r="P2272" s="17" t="n">
        <v>45928</v>
      </c>
      <c r="Q2272" s="17" t="n">
        <v>45928</v>
      </c>
      <c r="R2272" s="17" t="n">
        <v>45928</v>
      </c>
      <c r="S2272" s="19">
        <f>H2272*I2272</f>
        <v/>
      </c>
      <c r="T2272" s="19">
        <f>H2272*J2272</f>
        <v/>
      </c>
      <c r="U2272">
        <f>IF(AND(K2272=0,G2272&lt;=Assumptions!$C$6),1,0)</f>
        <v/>
      </c>
      <c r="V2272">
        <f>IF(U2272=1,IF(M2272&gt;0,IF(P2272&lt;=G2272+Assumptions!$C$7,1,0),0),0)</f>
        <v/>
      </c>
      <c r="W2272">
        <f>IF(AND(U2272=1,M2272&gt;=H2272*(1-Assumptions!$C$8)),1,0)</f>
        <v/>
      </c>
      <c r="X2272">
        <f>IF(AND(U2272=1,N2272&gt;=H2272*(1-Assumptions!$C$8)),1,0)</f>
        <v/>
      </c>
      <c r="Y2272">
        <f>IF(ISNUMBER(Q2272),1,0)</f>
        <v/>
      </c>
      <c r="Z2272">
        <f>IF(AND(K2272=0,L2272=0,Y2272=0),1,0)</f>
        <v/>
      </c>
      <c r="AA2272">
        <f>IF(AND(Z2272=1,G2272&lt;Assumptions!$C$6),1,0)</f>
        <v/>
      </c>
      <c r="AB2272">
        <f>IF(U2272=0,"",IF(Y2272=1,MAX(0,Q2272-G2272),IF(L2272=1,MAX(0,R2272-G2272),MAX(0,Assumptions!$C$6-G2272))))</f>
        <v/>
      </c>
      <c r="AC2272">
        <f>IF(Y2272=1,Q2272-F2272,"")</f>
        <v/>
      </c>
      <c r="AD2272">
        <f>IF(Y2272=1,AC2272^2,"")</f>
        <v/>
      </c>
      <c r="AE2272" s="19">
        <f>IF(Z2272=1,(H2272-M2272)*I2272,0)</f>
        <v/>
      </c>
      <c r="AF2272">
        <f>IF(G2272&lt;EDATE(Assumptions!$C$6,-12)+1,"prior_12m","last_12m")</f>
        <v/>
      </c>
      <c r="AG2272" s="21">
        <f>DATE(YEAR(G2272),MONTH(G2272),1)</f>
        <v/>
      </c>
    </row>
    <row r="2273">
      <c r="A2273" t="inlineStr">
        <is>
          <t>SPO-01232-1</t>
        </is>
      </c>
      <c r="B2273" t="inlineStr">
        <is>
          <t>SPO-01232</t>
        </is>
      </c>
      <c r="C2273" t="inlineStr">
        <is>
          <t>SUP-01</t>
        </is>
      </c>
      <c r="D2273" t="inlineStr">
        <is>
          <t>ELEC</t>
        </is>
      </c>
      <c r="E2273" t="inlineStr">
        <is>
          <t>ELEC-04</t>
        </is>
      </c>
      <c r="F2273" s="17" t="n">
        <v>45912</v>
      </c>
      <c r="G2273" s="17" t="n">
        <v>45930</v>
      </c>
      <c r="H2273" s="18" t="n">
        <v>57</v>
      </c>
      <c r="I2273" s="19" t="n">
        <v>70.66</v>
      </c>
      <c r="J2273" s="19" t="n">
        <v>72</v>
      </c>
      <c r="K2273" s="20" t="n">
        <v>0</v>
      </c>
      <c r="L2273" s="20" t="n">
        <v>0</v>
      </c>
      <c r="M2273" s="18" t="n">
        <v>57</v>
      </c>
      <c r="N2273" s="18" t="n">
        <v>57</v>
      </c>
      <c r="O2273" s="18" t="n">
        <v>0</v>
      </c>
      <c r="P2273" s="17" t="n">
        <v>45924</v>
      </c>
      <c r="Q2273" s="17" t="n">
        <v>45924</v>
      </c>
      <c r="R2273" s="17" t="n">
        <v>45924</v>
      </c>
      <c r="S2273" s="19">
        <f>H2273*I2273</f>
        <v/>
      </c>
      <c r="T2273" s="19">
        <f>H2273*J2273</f>
        <v/>
      </c>
      <c r="U2273">
        <f>IF(AND(K2273=0,G2273&lt;=Assumptions!$C$6),1,0)</f>
        <v/>
      </c>
      <c r="V2273">
        <f>IF(U2273=1,IF(M2273&gt;0,IF(P2273&lt;=G2273+Assumptions!$C$7,1,0),0),0)</f>
        <v/>
      </c>
      <c r="W2273">
        <f>IF(AND(U2273=1,M2273&gt;=H2273*(1-Assumptions!$C$8)),1,0)</f>
        <v/>
      </c>
      <c r="X2273">
        <f>IF(AND(U2273=1,N2273&gt;=H2273*(1-Assumptions!$C$8)),1,0)</f>
        <v/>
      </c>
      <c r="Y2273">
        <f>IF(ISNUMBER(Q2273),1,0)</f>
        <v/>
      </c>
      <c r="Z2273">
        <f>IF(AND(K2273=0,L2273=0,Y2273=0),1,0)</f>
        <v/>
      </c>
      <c r="AA2273">
        <f>IF(AND(Z2273=1,G2273&lt;Assumptions!$C$6),1,0)</f>
        <v/>
      </c>
      <c r="AB2273">
        <f>IF(U2273=0,"",IF(Y2273=1,MAX(0,Q2273-G2273),IF(L2273=1,MAX(0,R2273-G2273),MAX(0,Assumptions!$C$6-G2273))))</f>
        <v/>
      </c>
      <c r="AC2273">
        <f>IF(Y2273=1,Q2273-F2273,"")</f>
        <v/>
      </c>
      <c r="AD2273">
        <f>IF(Y2273=1,AC2273^2,"")</f>
        <v/>
      </c>
      <c r="AE2273" s="19">
        <f>IF(Z2273=1,(H2273-M2273)*I2273,0)</f>
        <v/>
      </c>
      <c r="AF2273">
        <f>IF(G2273&lt;EDATE(Assumptions!$C$6,-12)+1,"prior_12m","last_12m")</f>
        <v/>
      </c>
      <c r="AG2273" s="21">
        <f>DATE(YEAR(G2273),MONTH(G2273),1)</f>
        <v/>
      </c>
    </row>
    <row r="2274">
      <c r="A2274" t="inlineStr">
        <is>
          <t>SPO-01232-2</t>
        </is>
      </c>
      <c r="B2274" t="inlineStr">
        <is>
          <t>SPO-01232</t>
        </is>
      </c>
      <c r="C2274" t="inlineStr">
        <is>
          <t>SUP-01</t>
        </is>
      </c>
      <c r="D2274" t="inlineStr">
        <is>
          <t>ELEC</t>
        </is>
      </c>
      <c r="E2274" t="inlineStr">
        <is>
          <t>ELEC-05</t>
        </is>
      </c>
      <c r="F2274" s="17" t="n">
        <v>45912</v>
      </c>
      <c r="G2274" s="17" t="n">
        <v>45930</v>
      </c>
      <c r="H2274" s="18" t="n">
        <v>477</v>
      </c>
      <c r="I2274" s="19" t="n">
        <v>11.73</v>
      </c>
      <c r="J2274" s="19" t="n">
        <v>11.5</v>
      </c>
      <c r="K2274" s="20" t="n">
        <v>0</v>
      </c>
      <c r="L2274" s="20" t="n">
        <v>0</v>
      </c>
      <c r="M2274" s="18" t="n">
        <v>477</v>
      </c>
      <c r="N2274" s="18" t="n">
        <v>477</v>
      </c>
      <c r="O2274" s="18" t="n">
        <v>0</v>
      </c>
      <c r="P2274" s="17" t="n">
        <v>45925</v>
      </c>
      <c r="Q2274" s="17" t="n">
        <v>45925</v>
      </c>
      <c r="R2274" s="17" t="n">
        <v>45925</v>
      </c>
      <c r="S2274" s="19">
        <f>H2274*I2274</f>
        <v/>
      </c>
      <c r="T2274" s="19">
        <f>H2274*J2274</f>
        <v/>
      </c>
      <c r="U2274">
        <f>IF(AND(K2274=0,G2274&lt;=Assumptions!$C$6),1,0)</f>
        <v/>
      </c>
      <c r="V2274">
        <f>IF(U2274=1,IF(M2274&gt;0,IF(P2274&lt;=G2274+Assumptions!$C$7,1,0),0),0)</f>
        <v/>
      </c>
      <c r="W2274">
        <f>IF(AND(U2274=1,M2274&gt;=H2274*(1-Assumptions!$C$8)),1,0)</f>
        <v/>
      </c>
      <c r="X2274">
        <f>IF(AND(U2274=1,N2274&gt;=H2274*(1-Assumptions!$C$8)),1,0)</f>
        <v/>
      </c>
      <c r="Y2274">
        <f>IF(ISNUMBER(Q2274),1,0)</f>
        <v/>
      </c>
      <c r="Z2274">
        <f>IF(AND(K2274=0,L2274=0,Y2274=0),1,0)</f>
        <v/>
      </c>
      <c r="AA2274">
        <f>IF(AND(Z2274=1,G2274&lt;Assumptions!$C$6),1,0)</f>
        <v/>
      </c>
      <c r="AB2274">
        <f>IF(U2274=0,"",IF(Y2274=1,MAX(0,Q2274-G2274),IF(L2274=1,MAX(0,R2274-G2274),MAX(0,Assumptions!$C$6-G2274))))</f>
        <v/>
      </c>
      <c r="AC2274">
        <f>IF(Y2274=1,Q2274-F2274,"")</f>
        <v/>
      </c>
      <c r="AD2274">
        <f>IF(Y2274=1,AC2274^2,"")</f>
        <v/>
      </c>
      <c r="AE2274" s="19">
        <f>IF(Z2274=1,(H2274-M2274)*I2274,0)</f>
        <v/>
      </c>
      <c r="AF2274">
        <f>IF(G2274&lt;EDATE(Assumptions!$C$6,-12)+1,"prior_12m","last_12m")</f>
        <v/>
      </c>
      <c r="AG2274" s="21">
        <f>DATE(YEAR(G2274),MONTH(G2274),1)</f>
        <v/>
      </c>
    </row>
    <row r="2275">
      <c r="A2275" t="inlineStr">
        <is>
          <t>SPO-01233-1</t>
        </is>
      </c>
      <c r="B2275" t="inlineStr">
        <is>
          <t>SPO-01233</t>
        </is>
      </c>
      <c r="C2275" t="inlineStr">
        <is>
          <t>SUP-01</t>
        </is>
      </c>
      <c r="D2275" t="inlineStr">
        <is>
          <t>ELEC</t>
        </is>
      </c>
      <c r="E2275" t="inlineStr">
        <is>
          <t>ELEC-08</t>
        </is>
      </c>
      <c r="F2275" s="17" t="n">
        <v>45913</v>
      </c>
      <c r="G2275" s="17" t="n">
        <v>45931</v>
      </c>
      <c r="H2275" s="18" t="n">
        <v>72</v>
      </c>
      <c r="I2275" s="19" t="n">
        <v>17.69</v>
      </c>
      <c r="J2275" s="19" t="n">
        <v>18</v>
      </c>
      <c r="K2275" s="20" t="n">
        <v>0</v>
      </c>
      <c r="L2275" s="20" t="n">
        <v>0</v>
      </c>
      <c r="M2275" s="18" t="n">
        <v>72</v>
      </c>
      <c r="N2275" s="18" t="n">
        <v>72</v>
      </c>
      <c r="O2275" s="18" t="n">
        <v>0</v>
      </c>
      <c r="P2275" s="17" t="n">
        <v>45925</v>
      </c>
      <c r="Q2275" s="17" t="n">
        <v>45925</v>
      </c>
      <c r="R2275" s="17" t="n">
        <v>45925</v>
      </c>
      <c r="S2275" s="19">
        <f>H2275*I2275</f>
        <v/>
      </c>
      <c r="T2275" s="19">
        <f>H2275*J2275</f>
        <v/>
      </c>
      <c r="U2275">
        <f>IF(AND(K2275=0,G2275&lt;=Assumptions!$C$6),1,0)</f>
        <v/>
      </c>
      <c r="V2275">
        <f>IF(U2275=1,IF(M2275&gt;0,IF(P2275&lt;=G2275+Assumptions!$C$7,1,0),0),0)</f>
        <v/>
      </c>
      <c r="W2275">
        <f>IF(AND(U2275=1,M2275&gt;=H2275*(1-Assumptions!$C$8)),1,0)</f>
        <v/>
      </c>
      <c r="X2275">
        <f>IF(AND(U2275=1,N2275&gt;=H2275*(1-Assumptions!$C$8)),1,0)</f>
        <v/>
      </c>
      <c r="Y2275">
        <f>IF(ISNUMBER(Q2275),1,0)</f>
        <v/>
      </c>
      <c r="Z2275">
        <f>IF(AND(K2275=0,L2275=0,Y2275=0),1,0)</f>
        <v/>
      </c>
      <c r="AA2275">
        <f>IF(AND(Z2275=1,G2275&lt;Assumptions!$C$6),1,0)</f>
        <v/>
      </c>
      <c r="AB2275">
        <f>IF(U2275=0,"",IF(Y2275=1,MAX(0,Q2275-G2275),IF(L2275=1,MAX(0,R2275-G2275),MAX(0,Assumptions!$C$6-G2275))))</f>
        <v/>
      </c>
      <c r="AC2275">
        <f>IF(Y2275=1,Q2275-F2275,"")</f>
        <v/>
      </c>
      <c r="AD2275">
        <f>IF(Y2275=1,AC2275^2,"")</f>
        <v/>
      </c>
      <c r="AE2275" s="19">
        <f>IF(Z2275=1,(H2275-M2275)*I2275,0)</f>
        <v/>
      </c>
      <c r="AF2275">
        <f>IF(G2275&lt;EDATE(Assumptions!$C$6,-12)+1,"prior_12m","last_12m")</f>
        <v/>
      </c>
      <c r="AG2275" s="21">
        <f>DATE(YEAR(G2275),MONTH(G2275),1)</f>
        <v/>
      </c>
    </row>
    <row r="2276">
      <c r="A2276" t="inlineStr">
        <is>
          <t>SPO-01234-1</t>
        </is>
      </c>
      <c r="B2276" t="inlineStr">
        <is>
          <t>SPO-01234</t>
        </is>
      </c>
      <c r="C2276" t="inlineStr">
        <is>
          <t>SUP-01</t>
        </is>
      </c>
      <c r="D2276" t="inlineStr">
        <is>
          <t>ELEC</t>
        </is>
      </c>
      <c r="E2276" t="inlineStr">
        <is>
          <t>ELEC-07</t>
        </is>
      </c>
      <c r="F2276" s="17" t="n">
        <v>45913</v>
      </c>
      <c r="G2276" s="17" t="n">
        <v>45931</v>
      </c>
      <c r="H2276" s="18" t="n">
        <v>267</v>
      </c>
      <c r="I2276" s="19" t="n">
        <v>10</v>
      </c>
      <c r="J2276" s="19" t="n">
        <v>9.800000000000001</v>
      </c>
      <c r="K2276" s="20" t="n">
        <v>0</v>
      </c>
      <c r="L2276" s="20" t="n">
        <v>0</v>
      </c>
      <c r="M2276" s="18" t="n">
        <v>267</v>
      </c>
      <c r="N2276" s="18" t="n">
        <v>267</v>
      </c>
      <c r="O2276" s="18" t="n">
        <v>0</v>
      </c>
      <c r="P2276" s="17" t="n">
        <v>45928</v>
      </c>
      <c r="Q2276" s="17" t="n">
        <v>45928</v>
      </c>
      <c r="R2276" s="17" t="n">
        <v>45928</v>
      </c>
      <c r="S2276" s="19">
        <f>H2276*I2276</f>
        <v/>
      </c>
      <c r="T2276" s="19">
        <f>H2276*J2276</f>
        <v/>
      </c>
      <c r="U2276">
        <f>IF(AND(K2276=0,G2276&lt;=Assumptions!$C$6),1,0)</f>
        <v/>
      </c>
      <c r="V2276">
        <f>IF(U2276=1,IF(M2276&gt;0,IF(P2276&lt;=G2276+Assumptions!$C$7,1,0),0),0)</f>
        <v/>
      </c>
      <c r="W2276">
        <f>IF(AND(U2276=1,M2276&gt;=H2276*(1-Assumptions!$C$8)),1,0)</f>
        <v/>
      </c>
      <c r="X2276">
        <f>IF(AND(U2276=1,N2276&gt;=H2276*(1-Assumptions!$C$8)),1,0)</f>
        <v/>
      </c>
      <c r="Y2276">
        <f>IF(ISNUMBER(Q2276),1,0)</f>
        <v/>
      </c>
      <c r="Z2276">
        <f>IF(AND(K2276=0,L2276=0,Y2276=0),1,0)</f>
        <v/>
      </c>
      <c r="AA2276">
        <f>IF(AND(Z2276=1,G2276&lt;Assumptions!$C$6),1,0)</f>
        <v/>
      </c>
      <c r="AB2276">
        <f>IF(U2276=0,"",IF(Y2276=1,MAX(0,Q2276-G2276),IF(L2276=1,MAX(0,R2276-G2276),MAX(0,Assumptions!$C$6-G2276))))</f>
        <v/>
      </c>
      <c r="AC2276">
        <f>IF(Y2276=1,Q2276-F2276,"")</f>
        <v/>
      </c>
      <c r="AD2276">
        <f>IF(Y2276=1,AC2276^2,"")</f>
        <v/>
      </c>
      <c r="AE2276" s="19">
        <f>IF(Z2276=1,(H2276-M2276)*I2276,0)</f>
        <v/>
      </c>
      <c r="AF2276">
        <f>IF(G2276&lt;EDATE(Assumptions!$C$6,-12)+1,"prior_12m","last_12m")</f>
        <v/>
      </c>
      <c r="AG2276" s="21">
        <f>DATE(YEAR(G2276),MONTH(G2276),1)</f>
        <v/>
      </c>
    </row>
    <row r="2277">
      <c r="A2277" t="inlineStr">
        <is>
          <t>SPO-01234-2</t>
        </is>
      </c>
      <c r="B2277" t="inlineStr">
        <is>
          <t>SPO-01234</t>
        </is>
      </c>
      <c r="C2277" t="inlineStr">
        <is>
          <t>SUP-01</t>
        </is>
      </c>
      <c r="D2277" t="inlineStr">
        <is>
          <t>ELEC</t>
        </is>
      </c>
      <c r="E2277" t="inlineStr">
        <is>
          <t>ELEC-08</t>
        </is>
      </c>
      <c r="F2277" s="17" t="n">
        <v>45913</v>
      </c>
      <c r="G2277" s="17" t="n">
        <v>45931</v>
      </c>
      <c r="H2277" s="18" t="n">
        <v>86</v>
      </c>
      <c r="I2277" s="19" t="n">
        <v>18.82</v>
      </c>
      <c r="J2277" s="19" t="n">
        <v>18</v>
      </c>
      <c r="K2277" s="20" t="n">
        <v>0</v>
      </c>
      <c r="L2277" s="20" t="n">
        <v>0</v>
      </c>
      <c r="M2277" s="18" t="n">
        <v>86</v>
      </c>
      <c r="N2277" s="18" t="n">
        <v>86</v>
      </c>
      <c r="O2277" s="18" t="n">
        <v>0</v>
      </c>
      <c r="P2277" s="17" t="n">
        <v>45930</v>
      </c>
      <c r="Q2277" s="17" t="n">
        <v>45930</v>
      </c>
      <c r="R2277" s="17" t="n">
        <v>45930</v>
      </c>
      <c r="S2277" s="19">
        <f>H2277*I2277</f>
        <v/>
      </c>
      <c r="T2277" s="19">
        <f>H2277*J2277</f>
        <v/>
      </c>
      <c r="U2277">
        <f>IF(AND(K2277=0,G2277&lt;=Assumptions!$C$6),1,0)</f>
        <v/>
      </c>
      <c r="V2277">
        <f>IF(U2277=1,IF(M2277&gt;0,IF(P2277&lt;=G2277+Assumptions!$C$7,1,0),0),0)</f>
        <v/>
      </c>
      <c r="W2277">
        <f>IF(AND(U2277=1,M2277&gt;=H2277*(1-Assumptions!$C$8)),1,0)</f>
        <v/>
      </c>
      <c r="X2277">
        <f>IF(AND(U2277=1,N2277&gt;=H2277*(1-Assumptions!$C$8)),1,0)</f>
        <v/>
      </c>
      <c r="Y2277">
        <f>IF(ISNUMBER(Q2277),1,0)</f>
        <v/>
      </c>
      <c r="Z2277">
        <f>IF(AND(K2277=0,L2277=0,Y2277=0),1,0)</f>
        <v/>
      </c>
      <c r="AA2277">
        <f>IF(AND(Z2277=1,G2277&lt;Assumptions!$C$6),1,0)</f>
        <v/>
      </c>
      <c r="AB2277">
        <f>IF(U2277=0,"",IF(Y2277=1,MAX(0,Q2277-G2277),IF(L2277=1,MAX(0,R2277-G2277),MAX(0,Assumptions!$C$6-G2277))))</f>
        <v/>
      </c>
      <c r="AC2277">
        <f>IF(Y2277=1,Q2277-F2277,"")</f>
        <v/>
      </c>
      <c r="AD2277">
        <f>IF(Y2277=1,AC2277^2,"")</f>
        <v/>
      </c>
      <c r="AE2277" s="19">
        <f>IF(Z2277=1,(H2277-M2277)*I2277,0)</f>
        <v/>
      </c>
      <c r="AF2277">
        <f>IF(G2277&lt;EDATE(Assumptions!$C$6,-12)+1,"prior_12m","last_12m")</f>
        <v/>
      </c>
      <c r="AG2277" s="21">
        <f>DATE(YEAR(G2277),MONTH(G2277),1)</f>
        <v/>
      </c>
    </row>
    <row r="2278">
      <c r="A2278" t="inlineStr">
        <is>
          <t>SPO-01235-1</t>
        </is>
      </c>
      <c r="B2278" t="inlineStr">
        <is>
          <t>SPO-01235</t>
        </is>
      </c>
      <c r="C2278" t="inlineStr">
        <is>
          <t>SUP-01</t>
        </is>
      </c>
      <c r="D2278" t="inlineStr">
        <is>
          <t>ELEC</t>
        </is>
      </c>
      <c r="E2278" t="inlineStr">
        <is>
          <t>ELEC-04</t>
        </is>
      </c>
      <c r="F2278" s="17" t="n">
        <v>45913</v>
      </c>
      <c r="G2278" s="17" t="n">
        <v>45931</v>
      </c>
      <c r="H2278" s="18" t="n">
        <v>26</v>
      </c>
      <c r="I2278" s="19" t="n">
        <v>68.27</v>
      </c>
      <c r="J2278" s="19" t="n">
        <v>72</v>
      </c>
      <c r="K2278" s="20" t="n">
        <v>0</v>
      </c>
      <c r="L2278" s="20" t="n">
        <v>0</v>
      </c>
      <c r="M2278" s="18" t="n">
        <v>26</v>
      </c>
      <c r="N2278" s="18" t="n">
        <v>26</v>
      </c>
      <c r="O2278" s="18" t="n">
        <v>0</v>
      </c>
      <c r="P2278" s="17" t="n">
        <v>45931</v>
      </c>
      <c r="Q2278" s="17" t="n">
        <v>45931</v>
      </c>
      <c r="R2278" s="17" t="n">
        <v>45931</v>
      </c>
      <c r="S2278" s="19">
        <f>H2278*I2278</f>
        <v/>
      </c>
      <c r="T2278" s="19">
        <f>H2278*J2278</f>
        <v/>
      </c>
      <c r="U2278">
        <f>IF(AND(K2278=0,G2278&lt;=Assumptions!$C$6),1,0)</f>
        <v/>
      </c>
      <c r="V2278">
        <f>IF(U2278=1,IF(M2278&gt;0,IF(P2278&lt;=G2278+Assumptions!$C$7,1,0),0),0)</f>
        <v/>
      </c>
      <c r="W2278">
        <f>IF(AND(U2278=1,M2278&gt;=H2278*(1-Assumptions!$C$8)),1,0)</f>
        <v/>
      </c>
      <c r="X2278">
        <f>IF(AND(U2278=1,N2278&gt;=H2278*(1-Assumptions!$C$8)),1,0)</f>
        <v/>
      </c>
      <c r="Y2278">
        <f>IF(ISNUMBER(Q2278),1,0)</f>
        <v/>
      </c>
      <c r="Z2278">
        <f>IF(AND(K2278=0,L2278=0,Y2278=0),1,0)</f>
        <v/>
      </c>
      <c r="AA2278">
        <f>IF(AND(Z2278=1,G2278&lt;Assumptions!$C$6),1,0)</f>
        <v/>
      </c>
      <c r="AB2278">
        <f>IF(U2278=0,"",IF(Y2278=1,MAX(0,Q2278-G2278),IF(L2278=1,MAX(0,R2278-G2278),MAX(0,Assumptions!$C$6-G2278))))</f>
        <v/>
      </c>
      <c r="AC2278">
        <f>IF(Y2278=1,Q2278-F2278,"")</f>
        <v/>
      </c>
      <c r="AD2278">
        <f>IF(Y2278=1,AC2278^2,"")</f>
        <v/>
      </c>
      <c r="AE2278" s="19">
        <f>IF(Z2278=1,(H2278-M2278)*I2278,0)</f>
        <v/>
      </c>
      <c r="AF2278">
        <f>IF(G2278&lt;EDATE(Assumptions!$C$6,-12)+1,"prior_12m","last_12m")</f>
        <v/>
      </c>
      <c r="AG2278" s="21">
        <f>DATE(YEAR(G2278),MONTH(G2278),1)</f>
        <v/>
      </c>
    </row>
    <row r="2279">
      <c r="A2279" t="inlineStr">
        <is>
          <t>SPO-01235-2</t>
        </is>
      </c>
      <c r="B2279" t="inlineStr">
        <is>
          <t>SPO-01235</t>
        </is>
      </c>
      <c r="C2279" t="inlineStr">
        <is>
          <t>SUP-01</t>
        </is>
      </c>
      <c r="D2279" t="inlineStr">
        <is>
          <t>ELEC</t>
        </is>
      </c>
      <c r="E2279" t="inlineStr">
        <is>
          <t>ELEC-03</t>
        </is>
      </c>
      <c r="F2279" s="17" t="n">
        <v>45913</v>
      </c>
      <c r="G2279" s="17" t="n">
        <v>45931</v>
      </c>
      <c r="H2279" s="18" t="n">
        <v>56</v>
      </c>
      <c r="I2279" s="19" t="n">
        <v>95.8</v>
      </c>
      <c r="J2279" s="19" t="n">
        <v>96</v>
      </c>
      <c r="K2279" s="20" t="n">
        <v>0</v>
      </c>
      <c r="L2279" s="20" t="n">
        <v>0</v>
      </c>
      <c r="M2279" s="18" t="n">
        <v>56</v>
      </c>
      <c r="N2279" s="18" t="n">
        <v>56</v>
      </c>
      <c r="O2279" s="18" t="n">
        <v>0</v>
      </c>
      <c r="P2279" s="17" t="n">
        <v>45929</v>
      </c>
      <c r="Q2279" s="17" t="n">
        <v>45929</v>
      </c>
      <c r="R2279" s="17" t="n">
        <v>45929</v>
      </c>
      <c r="S2279" s="19">
        <f>H2279*I2279</f>
        <v/>
      </c>
      <c r="T2279" s="19">
        <f>H2279*J2279</f>
        <v/>
      </c>
      <c r="U2279">
        <f>IF(AND(K2279=0,G2279&lt;=Assumptions!$C$6),1,0)</f>
        <v/>
      </c>
      <c r="V2279">
        <f>IF(U2279=1,IF(M2279&gt;0,IF(P2279&lt;=G2279+Assumptions!$C$7,1,0),0),0)</f>
        <v/>
      </c>
      <c r="W2279">
        <f>IF(AND(U2279=1,M2279&gt;=H2279*(1-Assumptions!$C$8)),1,0)</f>
        <v/>
      </c>
      <c r="X2279">
        <f>IF(AND(U2279=1,N2279&gt;=H2279*(1-Assumptions!$C$8)),1,0)</f>
        <v/>
      </c>
      <c r="Y2279">
        <f>IF(ISNUMBER(Q2279),1,0)</f>
        <v/>
      </c>
      <c r="Z2279">
        <f>IF(AND(K2279=0,L2279=0,Y2279=0),1,0)</f>
        <v/>
      </c>
      <c r="AA2279">
        <f>IF(AND(Z2279=1,G2279&lt;Assumptions!$C$6),1,0)</f>
        <v/>
      </c>
      <c r="AB2279">
        <f>IF(U2279=0,"",IF(Y2279=1,MAX(0,Q2279-G2279),IF(L2279=1,MAX(0,R2279-G2279),MAX(0,Assumptions!$C$6-G2279))))</f>
        <v/>
      </c>
      <c r="AC2279">
        <f>IF(Y2279=1,Q2279-F2279,"")</f>
        <v/>
      </c>
      <c r="AD2279">
        <f>IF(Y2279=1,AC2279^2,"")</f>
        <v/>
      </c>
      <c r="AE2279" s="19">
        <f>IF(Z2279=1,(H2279-M2279)*I2279,0)</f>
        <v/>
      </c>
      <c r="AF2279">
        <f>IF(G2279&lt;EDATE(Assumptions!$C$6,-12)+1,"prior_12m","last_12m")</f>
        <v/>
      </c>
      <c r="AG2279" s="21">
        <f>DATE(YEAR(G2279),MONTH(G2279),1)</f>
        <v/>
      </c>
    </row>
    <row r="2280">
      <c r="A2280" t="inlineStr">
        <is>
          <t>SPO-01235-3</t>
        </is>
      </c>
      <c r="B2280" t="inlineStr">
        <is>
          <t>SPO-01235</t>
        </is>
      </c>
      <c r="C2280" t="inlineStr">
        <is>
          <t>SUP-01</t>
        </is>
      </c>
      <c r="D2280" t="inlineStr">
        <is>
          <t>ELEC</t>
        </is>
      </c>
      <c r="E2280" t="inlineStr">
        <is>
          <t>ELEC-08</t>
        </is>
      </c>
      <c r="F2280" s="17" t="n">
        <v>45913</v>
      </c>
      <c r="G2280" s="17" t="n">
        <v>45931</v>
      </c>
      <c r="H2280" s="18" t="n">
        <v>230</v>
      </c>
      <c r="I2280" s="19" t="n">
        <v>18.68</v>
      </c>
      <c r="J2280" s="19" t="n">
        <v>18</v>
      </c>
      <c r="K2280" s="20" t="n">
        <v>0</v>
      </c>
      <c r="L2280" s="20" t="n">
        <v>0</v>
      </c>
      <c r="M2280" s="18" t="n">
        <v>230</v>
      </c>
      <c r="N2280" s="18" t="n">
        <v>230</v>
      </c>
      <c r="O2280" s="18" t="n">
        <v>0</v>
      </c>
      <c r="P2280" s="17" t="n">
        <v>45927</v>
      </c>
      <c r="Q2280" s="17" t="n">
        <v>45927</v>
      </c>
      <c r="R2280" s="17" t="n">
        <v>45927</v>
      </c>
      <c r="S2280" s="19">
        <f>H2280*I2280</f>
        <v/>
      </c>
      <c r="T2280" s="19">
        <f>H2280*J2280</f>
        <v/>
      </c>
      <c r="U2280">
        <f>IF(AND(K2280=0,G2280&lt;=Assumptions!$C$6),1,0)</f>
        <v/>
      </c>
      <c r="V2280">
        <f>IF(U2280=1,IF(M2280&gt;0,IF(P2280&lt;=G2280+Assumptions!$C$7,1,0),0),0)</f>
        <v/>
      </c>
      <c r="W2280">
        <f>IF(AND(U2280=1,M2280&gt;=H2280*(1-Assumptions!$C$8)),1,0)</f>
        <v/>
      </c>
      <c r="X2280">
        <f>IF(AND(U2280=1,N2280&gt;=H2280*(1-Assumptions!$C$8)),1,0)</f>
        <v/>
      </c>
      <c r="Y2280">
        <f>IF(ISNUMBER(Q2280),1,0)</f>
        <v/>
      </c>
      <c r="Z2280">
        <f>IF(AND(K2280=0,L2280=0,Y2280=0),1,0)</f>
        <v/>
      </c>
      <c r="AA2280">
        <f>IF(AND(Z2280=1,G2280&lt;Assumptions!$C$6),1,0)</f>
        <v/>
      </c>
      <c r="AB2280">
        <f>IF(U2280=0,"",IF(Y2280=1,MAX(0,Q2280-G2280),IF(L2280=1,MAX(0,R2280-G2280),MAX(0,Assumptions!$C$6-G2280))))</f>
        <v/>
      </c>
      <c r="AC2280">
        <f>IF(Y2280=1,Q2280-F2280,"")</f>
        <v/>
      </c>
      <c r="AD2280">
        <f>IF(Y2280=1,AC2280^2,"")</f>
        <v/>
      </c>
      <c r="AE2280" s="19">
        <f>IF(Z2280=1,(H2280-M2280)*I2280,0)</f>
        <v/>
      </c>
      <c r="AF2280">
        <f>IF(G2280&lt;EDATE(Assumptions!$C$6,-12)+1,"prior_12m","last_12m")</f>
        <v/>
      </c>
      <c r="AG2280" s="21">
        <f>DATE(YEAR(G2280),MONTH(G2280),1)</f>
        <v/>
      </c>
    </row>
    <row r="2281">
      <c r="A2281" t="inlineStr">
        <is>
          <t>SPO-01236-1</t>
        </is>
      </c>
      <c r="B2281" t="inlineStr">
        <is>
          <t>SPO-01236</t>
        </is>
      </c>
      <c r="C2281" t="inlineStr">
        <is>
          <t>SUP-12</t>
        </is>
      </c>
      <c r="D2281" t="inlineStr">
        <is>
          <t>IT</t>
        </is>
      </c>
      <c r="E2281" t="inlineStr">
        <is>
          <t>IT-07</t>
        </is>
      </c>
      <c r="F2281" s="17" t="n">
        <v>45913</v>
      </c>
      <c r="G2281" s="17" t="n">
        <v>45923</v>
      </c>
      <c r="H2281" s="18" t="n">
        <v>3</v>
      </c>
      <c r="I2281" s="19" t="n">
        <v>82.92</v>
      </c>
      <c r="J2281" s="19" t="n">
        <v>74</v>
      </c>
      <c r="K2281" s="20" t="n">
        <v>0</v>
      </c>
      <c r="L2281" s="20" t="n">
        <v>0</v>
      </c>
      <c r="M2281" s="18" t="n">
        <v>3</v>
      </c>
      <c r="N2281" s="18" t="n">
        <v>3</v>
      </c>
      <c r="O2281" s="18" t="n">
        <v>0</v>
      </c>
      <c r="P2281" s="17" t="n">
        <v>45918</v>
      </c>
      <c r="Q2281" s="17" t="n">
        <v>45918</v>
      </c>
      <c r="R2281" s="17" t="n">
        <v>45918</v>
      </c>
      <c r="S2281" s="19">
        <f>H2281*I2281</f>
        <v/>
      </c>
      <c r="T2281" s="19">
        <f>H2281*J2281</f>
        <v/>
      </c>
      <c r="U2281">
        <f>IF(AND(K2281=0,G2281&lt;=Assumptions!$C$6),1,0)</f>
        <v/>
      </c>
      <c r="V2281">
        <f>IF(U2281=1,IF(M2281&gt;0,IF(P2281&lt;=G2281+Assumptions!$C$7,1,0),0),0)</f>
        <v/>
      </c>
      <c r="W2281">
        <f>IF(AND(U2281=1,M2281&gt;=H2281*(1-Assumptions!$C$8)),1,0)</f>
        <v/>
      </c>
      <c r="X2281">
        <f>IF(AND(U2281=1,N2281&gt;=H2281*(1-Assumptions!$C$8)),1,0)</f>
        <v/>
      </c>
      <c r="Y2281">
        <f>IF(ISNUMBER(Q2281),1,0)</f>
        <v/>
      </c>
      <c r="Z2281">
        <f>IF(AND(K2281=0,L2281=0,Y2281=0),1,0)</f>
        <v/>
      </c>
      <c r="AA2281">
        <f>IF(AND(Z2281=1,G2281&lt;Assumptions!$C$6),1,0)</f>
        <v/>
      </c>
      <c r="AB2281">
        <f>IF(U2281=0,"",IF(Y2281=1,MAX(0,Q2281-G2281),IF(L2281=1,MAX(0,R2281-G2281),MAX(0,Assumptions!$C$6-G2281))))</f>
        <v/>
      </c>
      <c r="AC2281">
        <f>IF(Y2281=1,Q2281-F2281,"")</f>
        <v/>
      </c>
      <c r="AD2281">
        <f>IF(Y2281=1,AC2281^2,"")</f>
        <v/>
      </c>
      <c r="AE2281" s="19">
        <f>IF(Z2281=1,(H2281-M2281)*I2281,0)</f>
        <v/>
      </c>
      <c r="AF2281">
        <f>IF(G2281&lt;EDATE(Assumptions!$C$6,-12)+1,"prior_12m","last_12m")</f>
        <v/>
      </c>
      <c r="AG2281" s="21">
        <f>DATE(YEAR(G2281),MONTH(G2281),1)</f>
        <v/>
      </c>
    </row>
    <row r="2282">
      <c r="A2282" t="inlineStr">
        <is>
          <t>SPO-01237-1</t>
        </is>
      </c>
      <c r="B2282" t="inlineStr">
        <is>
          <t>SPO-01237</t>
        </is>
      </c>
      <c r="C2282" t="inlineStr">
        <is>
          <t>SUP-02</t>
        </is>
      </c>
      <c r="D2282" t="inlineStr">
        <is>
          <t>ELEC</t>
        </is>
      </c>
      <c r="E2282" t="inlineStr">
        <is>
          <t>ELEC-06</t>
        </is>
      </c>
      <c r="F2282" s="17" t="n">
        <v>45913</v>
      </c>
      <c r="G2282" s="17" t="n">
        <v>45929</v>
      </c>
      <c r="H2282" s="18" t="n">
        <v>3</v>
      </c>
      <c r="I2282" s="19" t="n">
        <v>153.46</v>
      </c>
      <c r="J2282" s="19" t="n">
        <v>145</v>
      </c>
      <c r="K2282" s="20" t="n">
        <v>0</v>
      </c>
      <c r="L2282" s="20" t="n">
        <v>0</v>
      </c>
      <c r="M2282" s="18" t="n">
        <v>3</v>
      </c>
      <c r="N2282" s="18" t="n">
        <v>3</v>
      </c>
      <c r="O2282" s="18" t="n">
        <v>0</v>
      </c>
      <c r="P2282" s="17" t="n">
        <v>45926</v>
      </c>
      <c r="Q2282" s="17" t="n">
        <v>45926</v>
      </c>
      <c r="R2282" s="17" t="n">
        <v>45926</v>
      </c>
      <c r="S2282" s="19">
        <f>H2282*I2282</f>
        <v/>
      </c>
      <c r="T2282" s="19">
        <f>H2282*J2282</f>
        <v/>
      </c>
      <c r="U2282">
        <f>IF(AND(K2282=0,G2282&lt;=Assumptions!$C$6),1,0)</f>
        <v/>
      </c>
      <c r="V2282">
        <f>IF(U2282=1,IF(M2282&gt;0,IF(P2282&lt;=G2282+Assumptions!$C$7,1,0),0),0)</f>
        <v/>
      </c>
      <c r="W2282">
        <f>IF(AND(U2282=1,M2282&gt;=H2282*(1-Assumptions!$C$8)),1,0)</f>
        <v/>
      </c>
      <c r="X2282">
        <f>IF(AND(U2282=1,N2282&gt;=H2282*(1-Assumptions!$C$8)),1,0)</f>
        <v/>
      </c>
      <c r="Y2282">
        <f>IF(ISNUMBER(Q2282),1,0)</f>
        <v/>
      </c>
      <c r="Z2282">
        <f>IF(AND(K2282=0,L2282=0,Y2282=0),1,0)</f>
        <v/>
      </c>
      <c r="AA2282">
        <f>IF(AND(Z2282=1,G2282&lt;Assumptions!$C$6),1,0)</f>
        <v/>
      </c>
      <c r="AB2282">
        <f>IF(U2282=0,"",IF(Y2282=1,MAX(0,Q2282-G2282),IF(L2282=1,MAX(0,R2282-G2282),MAX(0,Assumptions!$C$6-G2282))))</f>
        <v/>
      </c>
      <c r="AC2282">
        <f>IF(Y2282=1,Q2282-F2282,"")</f>
        <v/>
      </c>
      <c r="AD2282">
        <f>IF(Y2282=1,AC2282^2,"")</f>
        <v/>
      </c>
      <c r="AE2282" s="19">
        <f>IF(Z2282=1,(H2282-M2282)*I2282,0)</f>
        <v/>
      </c>
      <c r="AF2282">
        <f>IF(G2282&lt;EDATE(Assumptions!$C$6,-12)+1,"prior_12m","last_12m")</f>
        <v/>
      </c>
      <c r="AG2282" s="21">
        <f>DATE(YEAR(G2282),MONTH(G2282),1)</f>
        <v/>
      </c>
    </row>
    <row r="2283">
      <c r="A2283" t="inlineStr">
        <is>
          <t>SPO-01237-2</t>
        </is>
      </c>
      <c r="B2283" t="inlineStr">
        <is>
          <t>SPO-01237</t>
        </is>
      </c>
      <c r="C2283" t="inlineStr">
        <is>
          <t>SUP-02</t>
        </is>
      </c>
      <c r="D2283" t="inlineStr">
        <is>
          <t>ELEC</t>
        </is>
      </c>
      <c r="E2283" t="inlineStr">
        <is>
          <t>ELEC-01</t>
        </is>
      </c>
      <c r="F2283" s="17" t="n">
        <v>45913</v>
      </c>
      <c r="G2283" s="17" t="n">
        <v>45929</v>
      </c>
      <c r="H2283" s="18" t="n">
        <v>34</v>
      </c>
      <c r="I2283" s="19" t="n">
        <v>37.84</v>
      </c>
      <c r="J2283" s="19" t="n">
        <v>38</v>
      </c>
      <c r="K2283" s="20" t="n">
        <v>0</v>
      </c>
      <c r="L2283" s="20" t="n">
        <v>0</v>
      </c>
      <c r="M2283" s="18" t="n">
        <v>34</v>
      </c>
      <c r="N2283" s="18" t="n">
        <v>34</v>
      </c>
      <c r="O2283" s="18" t="n">
        <v>0</v>
      </c>
      <c r="P2283" s="17" t="n">
        <v>45926</v>
      </c>
      <c r="Q2283" s="17" t="n">
        <v>45926</v>
      </c>
      <c r="R2283" s="17" t="n">
        <v>45926</v>
      </c>
      <c r="S2283" s="19">
        <f>H2283*I2283</f>
        <v/>
      </c>
      <c r="T2283" s="19">
        <f>H2283*J2283</f>
        <v/>
      </c>
      <c r="U2283">
        <f>IF(AND(K2283=0,G2283&lt;=Assumptions!$C$6),1,0)</f>
        <v/>
      </c>
      <c r="V2283">
        <f>IF(U2283=1,IF(M2283&gt;0,IF(P2283&lt;=G2283+Assumptions!$C$7,1,0),0),0)</f>
        <v/>
      </c>
      <c r="W2283">
        <f>IF(AND(U2283=1,M2283&gt;=H2283*(1-Assumptions!$C$8)),1,0)</f>
        <v/>
      </c>
      <c r="X2283">
        <f>IF(AND(U2283=1,N2283&gt;=H2283*(1-Assumptions!$C$8)),1,0)</f>
        <v/>
      </c>
      <c r="Y2283">
        <f>IF(ISNUMBER(Q2283),1,0)</f>
        <v/>
      </c>
      <c r="Z2283">
        <f>IF(AND(K2283=0,L2283=0,Y2283=0),1,0)</f>
        <v/>
      </c>
      <c r="AA2283">
        <f>IF(AND(Z2283=1,G2283&lt;Assumptions!$C$6),1,0)</f>
        <v/>
      </c>
      <c r="AB2283">
        <f>IF(U2283=0,"",IF(Y2283=1,MAX(0,Q2283-G2283),IF(L2283=1,MAX(0,R2283-G2283),MAX(0,Assumptions!$C$6-G2283))))</f>
        <v/>
      </c>
      <c r="AC2283">
        <f>IF(Y2283=1,Q2283-F2283,"")</f>
        <v/>
      </c>
      <c r="AD2283">
        <f>IF(Y2283=1,AC2283^2,"")</f>
        <v/>
      </c>
      <c r="AE2283" s="19">
        <f>IF(Z2283=1,(H2283-M2283)*I2283,0)</f>
        <v/>
      </c>
      <c r="AF2283">
        <f>IF(G2283&lt;EDATE(Assumptions!$C$6,-12)+1,"prior_12m","last_12m")</f>
        <v/>
      </c>
      <c r="AG2283" s="21">
        <f>DATE(YEAR(G2283),MONTH(G2283),1)</f>
        <v/>
      </c>
    </row>
    <row r="2284">
      <c r="A2284" t="inlineStr">
        <is>
          <t>SPO-01237-3</t>
        </is>
      </c>
      <c r="B2284" t="inlineStr">
        <is>
          <t>SPO-01237</t>
        </is>
      </c>
      <c r="C2284" t="inlineStr">
        <is>
          <t>SUP-02</t>
        </is>
      </c>
      <c r="D2284" t="inlineStr">
        <is>
          <t>ELEC</t>
        </is>
      </c>
      <c r="E2284" t="inlineStr">
        <is>
          <t>ELEC-02</t>
        </is>
      </c>
      <c r="F2284" s="17" t="n">
        <v>45913</v>
      </c>
      <c r="G2284" s="17" t="n">
        <v>45929</v>
      </c>
      <c r="H2284" s="18" t="n">
        <v>715</v>
      </c>
      <c r="I2284" s="19" t="n">
        <v>4.25</v>
      </c>
      <c r="J2284" s="19" t="n">
        <v>4.2</v>
      </c>
      <c r="K2284" s="20" t="n">
        <v>0</v>
      </c>
      <c r="L2284" s="20" t="n">
        <v>0</v>
      </c>
      <c r="M2284" s="18" t="n">
        <v>715</v>
      </c>
      <c r="N2284" s="18" t="n">
        <v>715</v>
      </c>
      <c r="O2284" s="18" t="n">
        <v>0</v>
      </c>
      <c r="P2284" s="17" t="n">
        <v>45926</v>
      </c>
      <c r="Q2284" s="17" t="n">
        <v>45926</v>
      </c>
      <c r="R2284" s="17" t="n">
        <v>45926</v>
      </c>
      <c r="S2284" s="19">
        <f>H2284*I2284</f>
        <v/>
      </c>
      <c r="T2284" s="19">
        <f>H2284*J2284</f>
        <v/>
      </c>
      <c r="U2284">
        <f>IF(AND(K2284=0,G2284&lt;=Assumptions!$C$6),1,0)</f>
        <v/>
      </c>
      <c r="V2284">
        <f>IF(U2284=1,IF(M2284&gt;0,IF(P2284&lt;=G2284+Assumptions!$C$7,1,0),0),0)</f>
        <v/>
      </c>
      <c r="W2284">
        <f>IF(AND(U2284=1,M2284&gt;=H2284*(1-Assumptions!$C$8)),1,0)</f>
        <v/>
      </c>
      <c r="X2284">
        <f>IF(AND(U2284=1,N2284&gt;=H2284*(1-Assumptions!$C$8)),1,0)</f>
        <v/>
      </c>
      <c r="Y2284">
        <f>IF(ISNUMBER(Q2284),1,0)</f>
        <v/>
      </c>
      <c r="Z2284">
        <f>IF(AND(K2284=0,L2284=0,Y2284=0),1,0)</f>
        <v/>
      </c>
      <c r="AA2284">
        <f>IF(AND(Z2284=1,G2284&lt;Assumptions!$C$6),1,0)</f>
        <v/>
      </c>
      <c r="AB2284">
        <f>IF(U2284=0,"",IF(Y2284=1,MAX(0,Q2284-G2284),IF(L2284=1,MAX(0,R2284-G2284),MAX(0,Assumptions!$C$6-G2284))))</f>
        <v/>
      </c>
      <c r="AC2284">
        <f>IF(Y2284=1,Q2284-F2284,"")</f>
        <v/>
      </c>
      <c r="AD2284">
        <f>IF(Y2284=1,AC2284^2,"")</f>
        <v/>
      </c>
      <c r="AE2284" s="19">
        <f>IF(Z2284=1,(H2284-M2284)*I2284,0)</f>
        <v/>
      </c>
      <c r="AF2284">
        <f>IF(G2284&lt;EDATE(Assumptions!$C$6,-12)+1,"prior_12m","last_12m")</f>
        <v/>
      </c>
      <c r="AG2284" s="21">
        <f>DATE(YEAR(G2284),MONTH(G2284),1)</f>
        <v/>
      </c>
    </row>
    <row r="2285">
      <c r="A2285" t="inlineStr">
        <is>
          <t>SPO-01238-1</t>
        </is>
      </c>
      <c r="B2285" t="inlineStr">
        <is>
          <t>SPO-01238</t>
        </is>
      </c>
      <c r="C2285" t="inlineStr">
        <is>
          <t>SUP-06</t>
        </is>
      </c>
      <c r="D2285" t="inlineStr">
        <is>
          <t>MRO</t>
        </is>
      </c>
      <c r="E2285" t="inlineStr">
        <is>
          <t>MRO-03</t>
        </is>
      </c>
      <c r="F2285" s="17" t="n">
        <v>45914</v>
      </c>
      <c r="G2285" s="17" t="n">
        <v>45922</v>
      </c>
      <c r="H2285" s="18" t="n">
        <v>63</v>
      </c>
      <c r="I2285" s="19" t="n">
        <v>9.31</v>
      </c>
      <c r="J2285" s="19" t="n">
        <v>8.9</v>
      </c>
      <c r="K2285" s="20" t="n">
        <v>0</v>
      </c>
      <c r="L2285" s="20" t="n">
        <v>0</v>
      </c>
      <c r="M2285" s="18" t="n">
        <v>63</v>
      </c>
      <c r="N2285" s="18" t="n">
        <v>63</v>
      </c>
      <c r="O2285" s="18" t="n">
        <v>0</v>
      </c>
      <c r="P2285" s="17" t="n">
        <v>45920</v>
      </c>
      <c r="Q2285" s="17" t="n">
        <v>45920</v>
      </c>
      <c r="R2285" s="17" t="n">
        <v>45920</v>
      </c>
      <c r="S2285" s="19">
        <f>H2285*I2285</f>
        <v/>
      </c>
      <c r="T2285" s="19">
        <f>H2285*J2285</f>
        <v/>
      </c>
      <c r="U2285">
        <f>IF(AND(K2285=0,G2285&lt;=Assumptions!$C$6),1,0)</f>
        <v/>
      </c>
      <c r="V2285">
        <f>IF(U2285=1,IF(M2285&gt;0,IF(P2285&lt;=G2285+Assumptions!$C$7,1,0),0),0)</f>
        <v/>
      </c>
      <c r="W2285">
        <f>IF(AND(U2285=1,M2285&gt;=H2285*(1-Assumptions!$C$8)),1,0)</f>
        <v/>
      </c>
      <c r="X2285">
        <f>IF(AND(U2285=1,N2285&gt;=H2285*(1-Assumptions!$C$8)),1,0)</f>
        <v/>
      </c>
      <c r="Y2285">
        <f>IF(ISNUMBER(Q2285),1,0)</f>
        <v/>
      </c>
      <c r="Z2285">
        <f>IF(AND(K2285=0,L2285=0,Y2285=0),1,0)</f>
        <v/>
      </c>
      <c r="AA2285">
        <f>IF(AND(Z2285=1,G2285&lt;Assumptions!$C$6),1,0)</f>
        <v/>
      </c>
      <c r="AB2285">
        <f>IF(U2285=0,"",IF(Y2285=1,MAX(0,Q2285-G2285),IF(L2285=1,MAX(0,R2285-G2285),MAX(0,Assumptions!$C$6-G2285))))</f>
        <v/>
      </c>
      <c r="AC2285">
        <f>IF(Y2285=1,Q2285-F2285,"")</f>
        <v/>
      </c>
      <c r="AD2285">
        <f>IF(Y2285=1,AC2285^2,"")</f>
        <v/>
      </c>
      <c r="AE2285" s="19">
        <f>IF(Z2285=1,(H2285-M2285)*I2285,0)</f>
        <v/>
      </c>
      <c r="AF2285">
        <f>IF(G2285&lt;EDATE(Assumptions!$C$6,-12)+1,"prior_12m","last_12m")</f>
        <v/>
      </c>
      <c r="AG2285" s="21">
        <f>DATE(YEAR(G2285),MONTH(G2285),1)</f>
        <v/>
      </c>
    </row>
    <row r="2286">
      <c r="A2286" t="inlineStr">
        <is>
          <t>SPO-01238-2</t>
        </is>
      </c>
      <c r="B2286" t="inlineStr">
        <is>
          <t>SPO-01238</t>
        </is>
      </c>
      <c r="C2286" t="inlineStr">
        <is>
          <t>SUP-06</t>
        </is>
      </c>
      <c r="D2286" t="inlineStr">
        <is>
          <t>MRO</t>
        </is>
      </c>
      <c r="E2286" t="inlineStr">
        <is>
          <t>MRO-04</t>
        </is>
      </c>
      <c r="F2286" s="17" t="n">
        <v>45914</v>
      </c>
      <c r="G2286" s="17" t="n">
        <v>45922</v>
      </c>
      <c r="H2286" s="18" t="n">
        <v>16</v>
      </c>
      <c r="I2286" s="19" t="n">
        <v>58.68</v>
      </c>
      <c r="J2286" s="19" t="n">
        <v>58</v>
      </c>
      <c r="K2286" s="20" t="n">
        <v>0</v>
      </c>
      <c r="L2286" s="20" t="n">
        <v>0</v>
      </c>
      <c r="M2286" s="18" t="n">
        <v>16</v>
      </c>
      <c r="N2286" s="18" t="n">
        <v>16</v>
      </c>
      <c r="O2286" s="18" t="n">
        <v>0</v>
      </c>
      <c r="P2286" s="17" t="n">
        <v>45920</v>
      </c>
      <c r="Q2286" s="17" t="n">
        <v>45920</v>
      </c>
      <c r="R2286" s="17" t="n">
        <v>45920</v>
      </c>
      <c r="S2286" s="19">
        <f>H2286*I2286</f>
        <v/>
      </c>
      <c r="T2286" s="19">
        <f>H2286*J2286</f>
        <v/>
      </c>
      <c r="U2286">
        <f>IF(AND(K2286=0,G2286&lt;=Assumptions!$C$6),1,0)</f>
        <v/>
      </c>
      <c r="V2286">
        <f>IF(U2286=1,IF(M2286&gt;0,IF(P2286&lt;=G2286+Assumptions!$C$7,1,0),0),0)</f>
        <v/>
      </c>
      <c r="W2286">
        <f>IF(AND(U2286=1,M2286&gt;=H2286*(1-Assumptions!$C$8)),1,0)</f>
        <v/>
      </c>
      <c r="X2286">
        <f>IF(AND(U2286=1,N2286&gt;=H2286*(1-Assumptions!$C$8)),1,0)</f>
        <v/>
      </c>
      <c r="Y2286">
        <f>IF(ISNUMBER(Q2286),1,0)</f>
        <v/>
      </c>
      <c r="Z2286">
        <f>IF(AND(K2286=0,L2286=0,Y2286=0),1,0)</f>
        <v/>
      </c>
      <c r="AA2286">
        <f>IF(AND(Z2286=1,G2286&lt;Assumptions!$C$6),1,0)</f>
        <v/>
      </c>
      <c r="AB2286">
        <f>IF(U2286=0,"",IF(Y2286=1,MAX(0,Q2286-G2286),IF(L2286=1,MAX(0,R2286-G2286),MAX(0,Assumptions!$C$6-G2286))))</f>
        <v/>
      </c>
      <c r="AC2286">
        <f>IF(Y2286=1,Q2286-F2286,"")</f>
        <v/>
      </c>
      <c r="AD2286">
        <f>IF(Y2286=1,AC2286^2,"")</f>
        <v/>
      </c>
      <c r="AE2286" s="19">
        <f>IF(Z2286=1,(H2286-M2286)*I2286,0)</f>
        <v/>
      </c>
      <c r="AF2286">
        <f>IF(G2286&lt;EDATE(Assumptions!$C$6,-12)+1,"prior_12m","last_12m")</f>
        <v/>
      </c>
      <c r="AG2286" s="21">
        <f>DATE(YEAR(G2286),MONTH(G2286),1)</f>
        <v/>
      </c>
    </row>
    <row r="2287">
      <c r="A2287" t="inlineStr">
        <is>
          <t>SPO-01239-1</t>
        </is>
      </c>
      <c r="B2287" t="inlineStr">
        <is>
          <t>SPO-01239</t>
        </is>
      </c>
      <c r="C2287" t="inlineStr">
        <is>
          <t>SUP-04</t>
        </is>
      </c>
      <c r="D2287" t="inlineStr">
        <is>
          <t>FLEET</t>
        </is>
      </c>
      <c r="E2287" t="inlineStr">
        <is>
          <t>FLEET-01</t>
        </is>
      </c>
      <c r="F2287" s="17" t="n">
        <v>45914</v>
      </c>
      <c r="G2287" s="17" t="n">
        <v>45927</v>
      </c>
      <c r="H2287" s="18" t="n">
        <v>24</v>
      </c>
      <c r="I2287" s="19" t="n">
        <v>64.66</v>
      </c>
      <c r="J2287" s="19" t="n">
        <v>64</v>
      </c>
      <c r="K2287" s="20" t="n">
        <v>0</v>
      </c>
      <c r="L2287" s="20" t="n">
        <v>0</v>
      </c>
      <c r="M2287" s="18" t="n">
        <v>24</v>
      </c>
      <c r="N2287" s="18" t="n">
        <v>0</v>
      </c>
      <c r="O2287" s="18" t="n">
        <v>0</v>
      </c>
      <c r="P2287" s="17" t="n">
        <v>45933</v>
      </c>
      <c r="Q2287" s="17" t="n">
        <v>45933</v>
      </c>
      <c r="R2287" s="17" t="n">
        <v>45933</v>
      </c>
      <c r="S2287" s="19">
        <f>H2287*I2287</f>
        <v/>
      </c>
      <c r="T2287" s="19">
        <f>H2287*J2287</f>
        <v/>
      </c>
      <c r="U2287">
        <f>IF(AND(K2287=0,G2287&lt;=Assumptions!$C$6),1,0)</f>
        <v/>
      </c>
      <c r="V2287">
        <f>IF(U2287=1,IF(M2287&gt;0,IF(P2287&lt;=G2287+Assumptions!$C$7,1,0),0),0)</f>
        <v/>
      </c>
      <c r="W2287">
        <f>IF(AND(U2287=1,M2287&gt;=H2287*(1-Assumptions!$C$8)),1,0)</f>
        <v/>
      </c>
      <c r="X2287">
        <f>IF(AND(U2287=1,N2287&gt;=H2287*(1-Assumptions!$C$8)),1,0)</f>
        <v/>
      </c>
      <c r="Y2287">
        <f>IF(ISNUMBER(Q2287),1,0)</f>
        <v/>
      </c>
      <c r="Z2287">
        <f>IF(AND(K2287=0,L2287=0,Y2287=0),1,0)</f>
        <v/>
      </c>
      <c r="AA2287">
        <f>IF(AND(Z2287=1,G2287&lt;Assumptions!$C$6),1,0)</f>
        <v/>
      </c>
      <c r="AB2287">
        <f>IF(U2287=0,"",IF(Y2287=1,MAX(0,Q2287-G2287),IF(L2287=1,MAX(0,R2287-G2287),MAX(0,Assumptions!$C$6-G2287))))</f>
        <v/>
      </c>
      <c r="AC2287">
        <f>IF(Y2287=1,Q2287-F2287,"")</f>
        <v/>
      </c>
      <c r="AD2287">
        <f>IF(Y2287=1,AC2287^2,"")</f>
        <v/>
      </c>
      <c r="AE2287" s="19">
        <f>IF(Z2287=1,(H2287-M2287)*I2287,0)</f>
        <v/>
      </c>
      <c r="AF2287">
        <f>IF(G2287&lt;EDATE(Assumptions!$C$6,-12)+1,"prior_12m","last_12m")</f>
        <v/>
      </c>
      <c r="AG2287" s="21">
        <f>DATE(YEAR(G2287),MONTH(G2287),1)</f>
        <v/>
      </c>
    </row>
    <row r="2288">
      <c r="A2288" t="inlineStr">
        <is>
          <t>SPO-01240-1</t>
        </is>
      </c>
      <c r="B2288" t="inlineStr">
        <is>
          <t>SPO-01240</t>
        </is>
      </c>
      <c r="C2288" t="inlineStr">
        <is>
          <t>SUP-02</t>
        </is>
      </c>
      <c r="D2288" t="inlineStr">
        <is>
          <t>ELEC</t>
        </is>
      </c>
      <c r="E2288" t="inlineStr">
        <is>
          <t>ELEC-08</t>
        </is>
      </c>
      <c r="F2288" s="17" t="n">
        <v>45914</v>
      </c>
      <c r="G2288" s="17" t="n">
        <v>45930</v>
      </c>
      <c r="H2288" s="18" t="n">
        <v>146</v>
      </c>
      <c r="I2288" s="19" t="n">
        <v>17.37</v>
      </c>
      <c r="J2288" s="19" t="n">
        <v>18</v>
      </c>
      <c r="K2288" s="20" t="n">
        <v>0</v>
      </c>
      <c r="L2288" s="20" t="n">
        <v>0</v>
      </c>
      <c r="M2288" s="18" t="n">
        <v>146</v>
      </c>
      <c r="N2288" s="18" t="n">
        <v>146</v>
      </c>
      <c r="O2288" s="18" t="n">
        <v>0</v>
      </c>
      <c r="P2288" s="17" t="n">
        <v>45929</v>
      </c>
      <c r="Q2288" s="17" t="n">
        <v>45929</v>
      </c>
      <c r="R2288" s="17" t="n">
        <v>45929</v>
      </c>
      <c r="S2288" s="19">
        <f>H2288*I2288</f>
        <v/>
      </c>
      <c r="T2288" s="19">
        <f>H2288*J2288</f>
        <v/>
      </c>
      <c r="U2288">
        <f>IF(AND(K2288=0,G2288&lt;=Assumptions!$C$6),1,0)</f>
        <v/>
      </c>
      <c r="V2288">
        <f>IF(U2288=1,IF(M2288&gt;0,IF(P2288&lt;=G2288+Assumptions!$C$7,1,0),0),0)</f>
        <v/>
      </c>
      <c r="W2288">
        <f>IF(AND(U2288=1,M2288&gt;=H2288*(1-Assumptions!$C$8)),1,0)</f>
        <v/>
      </c>
      <c r="X2288">
        <f>IF(AND(U2288=1,N2288&gt;=H2288*(1-Assumptions!$C$8)),1,0)</f>
        <v/>
      </c>
      <c r="Y2288">
        <f>IF(ISNUMBER(Q2288),1,0)</f>
        <v/>
      </c>
      <c r="Z2288">
        <f>IF(AND(K2288=0,L2288=0,Y2288=0),1,0)</f>
        <v/>
      </c>
      <c r="AA2288">
        <f>IF(AND(Z2288=1,G2288&lt;Assumptions!$C$6),1,0)</f>
        <v/>
      </c>
      <c r="AB2288">
        <f>IF(U2288=0,"",IF(Y2288=1,MAX(0,Q2288-G2288),IF(L2288=1,MAX(0,R2288-G2288),MAX(0,Assumptions!$C$6-G2288))))</f>
        <v/>
      </c>
      <c r="AC2288">
        <f>IF(Y2288=1,Q2288-F2288,"")</f>
        <v/>
      </c>
      <c r="AD2288">
        <f>IF(Y2288=1,AC2288^2,"")</f>
        <v/>
      </c>
      <c r="AE2288" s="19">
        <f>IF(Z2288=1,(H2288-M2288)*I2288,0)</f>
        <v/>
      </c>
      <c r="AF2288">
        <f>IF(G2288&lt;EDATE(Assumptions!$C$6,-12)+1,"prior_12m","last_12m")</f>
        <v/>
      </c>
      <c r="AG2288" s="21">
        <f>DATE(YEAR(G2288),MONTH(G2288),1)</f>
        <v/>
      </c>
    </row>
    <row r="2289">
      <c r="A2289" t="inlineStr">
        <is>
          <t>SPO-01241-1</t>
        </is>
      </c>
      <c r="B2289" t="inlineStr">
        <is>
          <t>SPO-01241</t>
        </is>
      </c>
      <c r="C2289" t="inlineStr">
        <is>
          <t>SUP-02</t>
        </is>
      </c>
      <c r="D2289" t="inlineStr">
        <is>
          <t>ELEC</t>
        </is>
      </c>
      <c r="E2289" t="inlineStr">
        <is>
          <t>ELEC-04</t>
        </is>
      </c>
      <c r="F2289" s="17" t="n">
        <v>45914</v>
      </c>
      <c r="G2289" s="17" t="n">
        <v>45930</v>
      </c>
      <c r="H2289" s="18" t="n">
        <v>24</v>
      </c>
      <c r="I2289" s="19" t="n">
        <v>71.63</v>
      </c>
      <c r="J2289" s="19" t="n">
        <v>72</v>
      </c>
      <c r="K2289" s="20" t="n">
        <v>0</v>
      </c>
      <c r="L2289" s="20" t="n">
        <v>0</v>
      </c>
      <c r="M2289" s="18" t="n">
        <v>24</v>
      </c>
      <c r="N2289" s="18" t="n">
        <v>24</v>
      </c>
      <c r="O2289" s="18" t="n">
        <v>0</v>
      </c>
      <c r="P2289" s="17" t="n">
        <v>45928</v>
      </c>
      <c r="Q2289" s="17" t="n">
        <v>45928</v>
      </c>
      <c r="R2289" s="17" t="n">
        <v>45928</v>
      </c>
      <c r="S2289" s="19">
        <f>H2289*I2289</f>
        <v/>
      </c>
      <c r="T2289" s="19">
        <f>H2289*J2289</f>
        <v/>
      </c>
      <c r="U2289">
        <f>IF(AND(K2289=0,G2289&lt;=Assumptions!$C$6),1,0)</f>
        <v/>
      </c>
      <c r="V2289">
        <f>IF(U2289=1,IF(M2289&gt;0,IF(P2289&lt;=G2289+Assumptions!$C$7,1,0),0),0)</f>
        <v/>
      </c>
      <c r="W2289">
        <f>IF(AND(U2289=1,M2289&gt;=H2289*(1-Assumptions!$C$8)),1,0)</f>
        <v/>
      </c>
      <c r="X2289">
        <f>IF(AND(U2289=1,N2289&gt;=H2289*(1-Assumptions!$C$8)),1,0)</f>
        <v/>
      </c>
      <c r="Y2289">
        <f>IF(ISNUMBER(Q2289),1,0)</f>
        <v/>
      </c>
      <c r="Z2289">
        <f>IF(AND(K2289=0,L2289=0,Y2289=0),1,0)</f>
        <v/>
      </c>
      <c r="AA2289">
        <f>IF(AND(Z2289=1,G2289&lt;Assumptions!$C$6),1,0)</f>
        <v/>
      </c>
      <c r="AB2289">
        <f>IF(U2289=0,"",IF(Y2289=1,MAX(0,Q2289-G2289),IF(L2289=1,MAX(0,R2289-G2289),MAX(0,Assumptions!$C$6-G2289))))</f>
        <v/>
      </c>
      <c r="AC2289">
        <f>IF(Y2289=1,Q2289-F2289,"")</f>
        <v/>
      </c>
      <c r="AD2289">
        <f>IF(Y2289=1,AC2289^2,"")</f>
        <v/>
      </c>
      <c r="AE2289" s="19">
        <f>IF(Z2289=1,(H2289-M2289)*I2289,0)</f>
        <v/>
      </c>
      <c r="AF2289">
        <f>IF(G2289&lt;EDATE(Assumptions!$C$6,-12)+1,"prior_12m","last_12m")</f>
        <v/>
      </c>
      <c r="AG2289" s="21">
        <f>DATE(YEAR(G2289),MONTH(G2289),1)</f>
        <v/>
      </c>
    </row>
    <row r="2290">
      <c r="A2290" t="inlineStr">
        <is>
          <t>SPO-01241-2</t>
        </is>
      </c>
      <c r="B2290" t="inlineStr">
        <is>
          <t>SPO-01241</t>
        </is>
      </c>
      <c r="C2290" t="inlineStr">
        <is>
          <t>SUP-02</t>
        </is>
      </c>
      <c r="D2290" t="inlineStr">
        <is>
          <t>ELEC</t>
        </is>
      </c>
      <c r="E2290" t="inlineStr">
        <is>
          <t>ELEC-03</t>
        </is>
      </c>
      <c r="F2290" s="17" t="n">
        <v>45914</v>
      </c>
      <c r="G2290" s="17" t="n">
        <v>45930</v>
      </c>
      <c r="H2290" s="18" t="n">
        <v>20</v>
      </c>
      <c r="I2290" s="19" t="n">
        <v>102.89</v>
      </c>
      <c r="J2290" s="19" t="n">
        <v>96</v>
      </c>
      <c r="K2290" s="20" t="n">
        <v>0</v>
      </c>
      <c r="L2290" s="20" t="n">
        <v>0</v>
      </c>
      <c r="M2290" s="18" t="n">
        <v>20</v>
      </c>
      <c r="N2290" s="18" t="n">
        <v>20</v>
      </c>
      <c r="O2290" s="18" t="n">
        <v>0</v>
      </c>
      <c r="P2290" s="17" t="n">
        <v>45928</v>
      </c>
      <c r="Q2290" s="17" t="n">
        <v>45928</v>
      </c>
      <c r="R2290" s="17" t="n">
        <v>45928</v>
      </c>
      <c r="S2290" s="19">
        <f>H2290*I2290</f>
        <v/>
      </c>
      <c r="T2290" s="19">
        <f>H2290*J2290</f>
        <v/>
      </c>
      <c r="U2290">
        <f>IF(AND(K2290=0,G2290&lt;=Assumptions!$C$6),1,0)</f>
        <v/>
      </c>
      <c r="V2290">
        <f>IF(U2290=1,IF(M2290&gt;0,IF(P2290&lt;=G2290+Assumptions!$C$7,1,0),0),0)</f>
        <v/>
      </c>
      <c r="W2290">
        <f>IF(AND(U2290=1,M2290&gt;=H2290*(1-Assumptions!$C$8)),1,0)</f>
        <v/>
      </c>
      <c r="X2290">
        <f>IF(AND(U2290=1,N2290&gt;=H2290*(1-Assumptions!$C$8)),1,0)</f>
        <v/>
      </c>
      <c r="Y2290">
        <f>IF(ISNUMBER(Q2290),1,0)</f>
        <v/>
      </c>
      <c r="Z2290">
        <f>IF(AND(K2290=0,L2290=0,Y2290=0),1,0)</f>
        <v/>
      </c>
      <c r="AA2290">
        <f>IF(AND(Z2290=1,G2290&lt;Assumptions!$C$6),1,0)</f>
        <v/>
      </c>
      <c r="AB2290">
        <f>IF(U2290=0,"",IF(Y2290=1,MAX(0,Q2290-G2290),IF(L2290=1,MAX(0,R2290-G2290),MAX(0,Assumptions!$C$6-G2290))))</f>
        <v/>
      </c>
      <c r="AC2290">
        <f>IF(Y2290=1,Q2290-F2290,"")</f>
        <v/>
      </c>
      <c r="AD2290">
        <f>IF(Y2290=1,AC2290^2,"")</f>
        <v/>
      </c>
      <c r="AE2290" s="19">
        <f>IF(Z2290=1,(H2290-M2290)*I2290,0)</f>
        <v/>
      </c>
      <c r="AF2290">
        <f>IF(G2290&lt;EDATE(Assumptions!$C$6,-12)+1,"prior_12m","last_12m")</f>
        <v/>
      </c>
      <c r="AG2290" s="21">
        <f>DATE(YEAR(G2290),MONTH(G2290),1)</f>
        <v/>
      </c>
    </row>
    <row r="2291">
      <c r="A2291" t="inlineStr">
        <is>
          <t>SPO-01242-1</t>
        </is>
      </c>
      <c r="B2291" t="inlineStr">
        <is>
          <t>SPO-01242</t>
        </is>
      </c>
      <c r="C2291" t="inlineStr">
        <is>
          <t>SUP-02</t>
        </is>
      </c>
      <c r="D2291" t="inlineStr">
        <is>
          <t>ELEC</t>
        </is>
      </c>
      <c r="E2291" t="inlineStr">
        <is>
          <t>ELEC-03</t>
        </is>
      </c>
      <c r="F2291" s="17" t="n">
        <v>45914</v>
      </c>
      <c r="G2291" s="17" t="n">
        <v>45930</v>
      </c>
      <c r="H2291" s="18" t="n">
        <v>23</v>
      </c>
      <c r="I2291" s="19" t="n">
        <v>94.47</v>
      </c>
      <c r="J2291" s="19" t="n">
        <v>96</v>
      </c>
      <c r="K2291" s="20" t="n">
        <v>0</v>
      </c>
      <c r="L2291" s="20" t="n">
        <v>0</v>
      </c>
      <c r="M2291" s="18" t="n">
        <v>23</v>
      </c>
      <c r="N2291" s="18" t="n">
        <v>23</v>
      </c>
      <c r="O2291" s="18" t="n">
        <v>0</v>
      </c>
      <c r="P2291" s="17" t="n">
        <v>45927</v>
      </c>
      <c r="Q2291" s="17" t="n">
        <v>45927</v>
      </c>
      <c r="R2291" s="17" t="n">
        <v>45927</v>
      </c>
      <c r="S2291" s="19">
        <f>H2291*I2291</f>
        <v/>
      </c>
      <c r="T2291" s="19">
        <f>H2291*J2291</f>
        <v/>
      </c>
      <c r="U2291">
        <f>IF(AND(K2291=0,G2291&lt;=Assumptions!$C$6),1,0)</f>
        <v/>
      </c>
      <c r="V2291">
        <f>IF(U2291=1,IF(M2291&gt;0,IF(P2291&lt;=G2291+Assumptions!$C$7,1,0),0),0)</f>
        <v/>
      </c>
      <c r="W2291">
        <f>IF(AND(U2291=1,M2291&gt;=H2291*(1-Assumptions!$C$8)),1,0)</f>
        <v/>
      </c>
      <c r="X2291">
        <f>IF(AND(U2291=1,N2291&gt;=H2291*(1-Assumptions!$C$8)),1,0)</f>
        <v/>
      </c>
      <c r="Y2291">
        <f>IF(ISNUMBER(Q2291),1,0)</f>
        <v/>
      </c>
      <c r="Z2291">
        <f>IF(AND(K2291=0,L2291=0,Y2291=0),1,0)</f>
        <v/>
      </c>
      <c r="AA2291">
        <f>IF(AND(Z2291=1,G2291&lt;Assumptions!$C$6),1,0)</f>
        <v/>
      </c>
      <c r="AB2291">
        <f>IF(U2291=0,"",IF(Y2291=1,MAX(0,Q2291-G2291),IF(L2291=1,MAX(0,R2291-G2291),MAX(0,Assumptions!$C$6-G2291))))</f>
        <v/>
      </c>
      <c r="AC2291">
        <f>IF(Y2291=1,Q2291-F2291,"")</f>
        <v/>
      </c>
      <c r="AD2291">
        <f>IF(Y2291=1,AC2291^2,"")</f>
        <v/>
      </c>
      <c r="AE2291" s="19">
        <f>IF(Z2291=1,(H2291-M2291)*I2291,0)</f>
        <v/>
      </c>
      <c r="AF2291">
        <f>IF(G2291&lt;EDATE(Assumptions!$C$6,-12)+1,"prior_12m","last_12m")</f>
        <v/>
      </c>
      <c r="AG2291" s="21">
        <f>DATE(YEAR(G2291),MONTH(G2291),1)</f>
        <v/>
      </c>
    </row>
    <row r="2292">
      <c r="A2292" t="inlineStr">
        <is>
          <t>SPO-01243-1</t>
        </is>
      </c>
      <c r="B2292" t="inlineStr">
        <is>
          <t>SPO-01243</t>
        </is>
      </c>
      <c r="C2292" t="inlineStr">
        <is>
          <t>SUP-12</t>
        </is>
      </c>
      <c r="D2292" t="inlineStr">
        <is>
          <t>IT</t>
        </is>
      </c>
      <c r="E2292" t="inlineStr">
        <is>
          <t>IT-04</t>
        </is>
      </c>
      <c r="F2292" s="17" t="n">
        <v>45914</v>
      </c>
      <c r="G2292" s="17" t="n">
        <v>45924</v>
      </c>
      <c r="H2292" s="18" t="n">
        <v>99</v>
      </c>
      <c r="I2292" s="19" t="n">
        <v>13.43</v>
      </c>
      <c r="J2292" s="19" t="n">
        <v>12</v>
      </c>
      <c r="K2292" s="20" t="n">
        <v>0</v>
      </c>
      <c r="L2292" s="20" t="n">
        <v>0</v>
      </c>
      <c r="M2292" s="18" t="n">
        <v>99</v>
      </c>
      <c r="N2292" s="18" t="n">
        <v>99</v>
      </c>
      <c r="O2292" s="18" t="n">
        <v>0</v>
      </c>
      <c r="P2292" s="17" t="n">
        <v>45917</v>
      </c>
      <c r="Q2292" s="17" t="n">
        <v>45917</v>
      </c>
      <c r="R2292" s="17" t="n">
        <v>45917</v>
      </c>
      <c r="S2292" s="19">
        <f>H2292*I2292</f>
        <v/>
      </c>
      <c r="T2292" s="19">
        <f>H2292*J2292</f>
        <v/>
      </c>
      <c r="U2292">
        <f>IF(AND(K2292=0,G2292&lt;=Assumptions!$C$6),1,0)</f>
        <v/>
      </c>
      <c r="V2292">
        <f>IF(U2292=1,IF(M2292&gt;0,IF(P2292&lt;=G2292+Assumptions!$C$7,1,0),0),0)</f>
        <v/>
      </c>
      <c r="W2292">
        <f>IF(AND(U2292=1,M2292&gt;=H2292*(1-Assumptions!$C$8)),1,0)</f>
        <v/>
      </c>
      <c r="X2292">
        <f>IF(AND(U2292=1,N2292&gt;=H2292*(1-Assumptions!$C$8)),1,0)</f>
        <v/>
      </c>
      <c r="Y2292">
        <f>IF(ISNUMBER(Q2292),1,0)</f>
        <v/>
      </c>
      <c r="Z2292">
        <f>IF(AND(K2292=0,L2292=0,Y2292=0),1,0)</f>
        <v/>
      </c>
      <c r="AA2292">
        <f>IF(AND(Z2292=1,G2292&lt;Assumptions!$C$6),1,0)</f>
        <v/>
      </c>
      <c r="AB2292">
        <f>IF(U2292=0,"",IF(Y2292=1,MAX(0,Q2292-G2292),IF(L2292=1,MAX(0,R2292-G2292),MAX(0,Assumptions!$C$6-G2292))))</f>
        <v/>
      </c>
      <c r="AC2292">
        <f>IF(Y2292=1,Q2292-F2292,"")</f>
        <v/>
      </c>
      <c r="AD2292">
        <f>IF(Y2292=1,AC2292^2,"")</f>
        <v/>
      </c>
      <c r="AE2292" s="19">
        <f>IF(Z2292=1,(H2292-M2292)*I2292,0)</f>
        <v/>
      </c>
      <c r="AF2292">
        <f>IF(G2292&lt;EDATE(Assumptions!$C$6,-12)+1,"prior_12m","last_12m")</f>
        <v/>
      </c>
      <c r="AG2292" s="21">
        <f>DATE(YEAR(G2292),MONTH(G2292),1)</f>
        <v/>
      </c>
    </row>
    <row r="2293">
      <c r="A2293" t="inlineStr">
        <is>
          <t>SPO-01243-2</t>
        </is>
      </c>
      <c r="B2293" t="inlineStr">
        <is>
          <t>SPO-01243</t>
        </is>
      </c>
      <c r="C2293" t="inlineStr">
        <is>
          <t>SUP-12</t>
        </is>
      </c>
      <c r="D2293" t="inlineStr">
        <is>
          <t>IT</t>
        </is>
      </c>
      <c r="E2293" t="inlineStr">
        <is>
          <t>IT-07</t>
        </is>
      </c>
      <c r="F2293" s="17" t="n">
        <v>45914</v>
      </c>
      <c r="G2293" s="17" t="n">
        <v>45924</v>
      </c>
      <c r="H2293" s="18" t="n">
        <v>56</v>
      </c>
      <c r="I2293" s="19" t="n">
        <v>84.73</v>
      </c>
      <c r="J2293" s="19" t="n">
        <v>74</v>
      </c>
      <c r="K2293" s="20" t="n">
        <v>0</v>
      </c>
      <c r="L2293" s="20" t="n">
        <v>0</v>
      </c>
      <c r="M2293" s="18" t="n">
        <v>56</v>
      </c>
      <c r="N2293" s="18" t="n">
        <v>56</v>
      </c>
      <c r="O2293" s="18" t="n">
        <v>0</v>
      </c>
      <c r="P2293" s="17" t="n">
        <v>45922</v>
      </c>
      <c r="Q2293" s="17" t="n">
        <v>45922</v>
      </c>
      <c r="R2293" s="17" t="n">
        <v>45922</v>
      </c>
      <c r="S2293" s="19">
        <f>H2293*I2293</f>
        <v/>
      </c>
      <c r="T2293" s="19">
        <f>H2293*J2293</f>
        <v/>
      </c>
      <c r="U2293">
        <f>IF(AND(K2293=0,G2293&lt;=Assumptions!$C$6),1,0)</f>
        <v/>
      </c>
      <c r="V2293">
        <f>IF(U2293=1,IF(M2293&gt;0,IF(P2293&lt;=G2293+Assumptions!$C$7,1,0),0),0)</f>
        <v/>
      </c>
      <c r="W2293">
        <f>IF(AND(U2293=1,M2293&gt;=H2293*(1-Assumptions!$C$8)),1,0)</f>
        <v/>
      </c>
      <c r="X2293">
        <f>IF(AND(U2293=1,N2293&gt;=H2293*(1-Assumptions!$C$8)),1,0)</f>
        <v/>
      </c>
      <c r="Y2293">
        <f>IF(ISNUMBER(Q2293),1,0)</f>
        <v/>
      </c>
      <c r="Z2293">
        <f>IF(AND(K2293=0,L2293=0,Y2293=0),1,0)</f>
        <v/>
      </c>
      <c r="AA2293">
        <f>IF(AND(Z2293=1,G2293&lt;Assumptions!$C$6),1,0)</f>
        <v/>
      </c>
      <c r="AB2293">
        <f>IF(U2293=0,"",IF(Y2293=1,MAX(0,Q2293-G2293),IF(L2293=1,MAX(0,R2293-G2293),MAX(0,Assumptions!$C$6-G2293))))</f>
        <v/>
      </c>
      <c r="AC2293">
        <f>IF(Y2293=1,Q2293-F2293,"")</f>
        <v/>
      </c>
      <c r="AD2293">
        <f>IF(Y2293=1,AC2293^2,"")</f>
        <v/>
      </c>
      <c r="AE2293" s="19">
        <f>IF(Z2293=1,(H2293-M2293)*I2293,0)</f>
        <v/>
      </c>
      <c r="AF2293">
        <f>IF(G2293&lt;EDATE(Assumptions!$C$6,-12)+1,"prior_12m","last_12m")</f>
        <v/>
      </c>
      <c r="AG2293" s="21">
        <f>DATE(YEAR(G2293),MONTH(G2293),1)</f>
        <v/>
      </c>
    </row>
    <row r="2294">
      <c r="A2294" t="inlineStr">
        <is>
          <t>SPO-01243-3</t>
        </is>
      </c>
      <c r="B2294" t="inlineStr">
        <is>
          <t>SPO-01243</t>
        </is>
      </c>
      <c r="C2294" t="inlineStr">
        <is>
          <t>SUP-12</t>
        </is>
      </c>
      <c r="D2294" t="inlineStr">
        <is>
          <t>IT</t>
        </is>
      </c>
      <c r="E2294" t="inlineStr">
        <is>
          <t>IT-01</t>
        </is>
      </c>
      <c r="F2294" s="17" t="n">
        <v>45914</v>
      </c>
      <c r="G2294" s="17" t="n">
        <v>45924</v>
      </c>
      <c r="H2294" s="18" t="n">
        <v>6</v>
      </c>
      <c r="I2294" s="19" t="n">
        <v>209.95</v>
      </c>
      <c r="J2294" s="19" t="n">
        <v>189</v>
      </c>
      <c r="K2294" s="20" t="n">
        <v>0</v>
      </c>
      <c r="L2294" s="20" t="n">
        <v>0</v>
      </c>
      <c r="M2294" s="18" t="n">
        <v>6</v>
      </c>
      <c r="N2294" s="18" t="n">
        <v>6</v>
      </c>
      <c r="O2294" s="18" t="n">
        <v>0</v>
      </c>
      <c r="P2294" s="17" t="n">
        <v>45920</v>
      </c>
      <c r="Q2294" s="17" t="n">
        <v>45920</v>
      </c>
      <c r="R2294" s="17" t="n">
        <v>45920</v>
      </c>
      <c r="S2294" s="19">
        <f>H2294*I2294</f>
        <v/>
      </c>
      <c r="T2294" s="19">
        <f>H2294*J2294</f>
        <v/>
      </c>
      <c r="U2294">
        <f>IF(AND(K2294=0,G2294&lt;=Assumptions!$C$6),1,0)</f>
        <v/>
      </c>
      <c r="V2294">
        <f>IF(U2294=1,IF(M2294&gt;0,IF(P2294&lt;=G2294+Assumptions!$C$7,1,0),0),0)</f>
        <v/>
      </c>
      <c r="W2294">
        <f>IF(AND(U2294=1,M2294&gt;=H2294*(1-Assumptions!$C$8)),1,0)</f>
        <v/>
      </c>
      <c r="X2294">
        <f>IF(AND(U2294=1,N2294&gt;=H2294*(1-Assumptions!$C$8)),1,0)</f>
        <v/>
      </c>
      <c r="Y2294">
        <f>IF(ISNUMBER(Q2294),1,0)</f>
        <v/>
      </c>
      <c r="Z2294">
        <f>IF(AND(K2294=0,L2294=0,Y2294=0),1,0)</f>
        <v/>
      </c>
      <c r="AA2294">
        <f>IF(AND(Z2294=1,G2294&lt;Assumptions!$C$6),1,0)</f>
        <v/>
      </c>
      <c r="AB2294">
        <f>IF(U2294=0,"",IF(Y2294=1,MAX(0,Q2294-G2294),IF(L2294=1,MAX(0,R2294-G2294),MAX(0,Assumptions!$C$6-G2294))))</f>
        <v/>
      </c>
      <c r="AC2294">
        <f>IF(Y2294=1,Q2294-F2294,"")</f>
        <v/>
      </c>
      <c r="AD2294">
        <f>IF(Y2294=1,AC2294^2,"")</f>
        <v/>
      </c>
      <c r="AE2294" s="19">
        <f>IF(Z2294=1,(H2294-M2294)*I2294,0)</f>
        <v/>
      </c>
      <c r="AF2294">
        <f>IF(G2294&lt;EDATE(Assumptions!$C$6,-12)+1,"prior_12m","last_12m")</f>
        <v/>
      </c>
      <c r="AG2294" s="21">
        <f>DATE(YEAR(G2294),MONTH(G2294),1)</f>
        <v/>
      </c>
    </row>
    <row r="2295">
      <c r="A2295" t="inlineStr">
        <is>
          <t>SPO-01244-1</t>
        </is>
      </c>
      <c r="B2295" t="inlineStr">
        <is>
          <t>SPO-01244</t>
        </is>
      </c>
      <c r="C2295" t="inlineStr">
        <is>
          <t>SUP-06</t>
        </is>
      </c>
      <c r="D2295" t="inlineStr">
        <is>
          <t>MRO</t>
        </is>
      </c>
      <c r="E2295" t="inlineStr">
        <is>
          <t>MRO-05</t>
        </is>
      </c>
      <c r="F2295" s="17" t="n">
        <v>45914</v>
      </c>
      <c r="G2295" s="17" t="n">
        <v>45922</v>
      </c>
      <c r="H2295" s="18" t="n">
        <v>31</v>
      </c>
      <c r="I2295" s="19" t="n">
        <v>36.1</v>
      </c>
      <c r="J2295" s="19" t="n">
        <v>36</v>
      </c>
      <c r="K2295" s="20" t="n">
        <v>0</v>
      </c>
      <c r="L2295" s="20" t="n">
        <v>0</v>
      </c>
      <c r="M2295" s="18" t="n">
        <v>31</v>
      </c>
      <c r="N2295" s="18" t="n">
        <v>31</v>
      </c>
      <c r="O2295" s="18" t="n">
        <v>0</v>
      </c>
      <c r="P2295" s="17" t="n">
        <v>45920</v>
      </c>
      <c r="Q2295" s="17" t="n">
        <v>45920</v>
      </c>
      <c r="R2295" s="17" t="n">
        <v>45920</v>
      </c>
      <c r="S2295" s="19">
        <f>H2295*I2295</f>
        <v/>
      </c>
      <c r="T2295" s="19">
        <f>H2295*J2295</f>
        <v/>
      </c>
      <c r="U2295">
        <f>IF(AND(K2295=0,G2295&lt;=Assumptions!$C$6),1,0)</f>
        <v/>
      </c>
      <c r="V2295">
        <f>IF(U2295=1,IF(M2295&gt;0,IF(P2295&lt;=G2295+Assumptions!$C$7,1,0),0),0)</f>
        <v/>
      </c>
      <c r="W2295">
        <f>IF(AND(U2295=1,M2295&gt;=H2295*(1-Assumptions!$C$8)),1,0)</f>
        <v/>
      </c>
      <c r="X2295">
        <f>IF(AND(U2295=1,N2295&gt;=H2295*(1-Assumptions!$C$8)),1,0)</f>
        <v/>
      </c>
      <c r="Y2295">
        <f>IF(ISNUMBER(Q2295),1,0)</f>
        <v/>
      </c>
      <c r="Z2295">
        <f>IF(AND(K2295=0,L2295=0,Y2295=0),1,0)</f>
        <v/>
      </c>
      <c r="AA2295">
        <f>IF(AND(Z2295=1,G2295&lt;Assumptions!$C$6),1,0)</f>
        <v/>
      </c>
      <c r="AB2295">
        <f>IF(U2295=0,"",IF(Y2295=1,MAX(0,Q2295-G2295),IF(L2295=1,MAX(0,R2295-G2295),MAX(0,Assumptions!$C$6-G2295))))</f>
        <v/>
      </c>
      <c r="AC2295">
        <f>IF(Y2295=1,Q2295-F2295,"")</f>
        <v/>
      </c>
      <c r="AD2295">
        <f>IF(Y2295=1,AC2295^2,"")</f>
        <v/>
      </c>
      <c r="AE2295" s="19">
        <f>IF(Z2295=1,(H2295-M2295)*I2295,0)</f>
        <v/>
      </c>
      <c r="AF2295">
        <f>IF(G2295&lt;EDATE(Assumptions!$C$6,-12)+1,"prior_12m","last_12m")</f>
        <v/>
      </c>
      <c r="AG2295" s="21">
        <f>DATE(YEAR(G2295),MONTH(G2295),1)</f>
        <v/>
      </c>
    </row>
    <row r="2296">
      <c r="A2296" t="inlineStr">
        <is>
          <t>SPO-01244-2</t>
        </is>
      </c>
      <c r="B2296" t="inlineStr">
        <is>
          <t>SPO-01244</t>
        </is>
      </c>
      <c r="C2296" t="inlineStr">
        <is>
          <t>SUP-06</t>
        </is>
      </c>
      <c r="D2296" t="inlineStr">
        <is>
          <t>MRO</t>
        </is>
      </c>
      <c r="E2296" t="inlineStr">
        <is>
          <t>MRO-03</t>
        </is>
      </c>
      <c r="F2296" s="17" t="n">
        <v>45914</v>
      </c>
      <c r="G2296" s="17" t="n">
        <v>45922</v>
      </c>
      <c r="H2296" s="18" t="n">
        <v>310</v>
      </c>
      <c r="I2296" s="19" t="n">
        <v>9.279999999999999</v>
      </c>
      <c r="J2296" s="19" t="n">
        <v>8.9</v>
      </c>
      <c r="K2296" s="20" t="n">
        <v>0</v>
      </c>
      <c r="L2296" s="20" t="n">
        <v>0</v>
      </c>
      <c r="M2296" s="18" t="n">
        <v>310</v>
      </c>
      <c r="N2296" s="18" t="n">
        <v>310</v>
      </c>
      <c r="O2296" s="18" t="n">
        <v>0</v>
      </c>
      <c r="P2296" s="17" t="n">
        <v>45919</v>
      </c>
      <c r="Q2296" s="17" t="n">
        <v>45919</v>
      </c>
      <c r="R2296" s="17" t="n">
        <v>45919</v>
      </c>
      <c r="S2296" s="19">
        <f>H2296*I2296</f>
        <v/>
      </c>
      <c r="T2296" s="19">
        <f>H2296*J2296</f>
        <v/>
      </c>
      <c r="U2296">
        <f>IF(AND(K2296=0,G2296&lt;=Assumptions!$C$6),1,0)</f>
        <v/>
      </c>
      <c r="V2296">
        <f>IF(U2296=1,IF(M2296&gt;0,IF(P2296&lt;=G2296+Assumptions!$C$7,1,0),0),0)</f>
        <v/>
      </c>
      <c r="W2296">
        <f>IF(AND(U2296=1,M2296&gt;=H2296*(1-Assumptions!$C$8)),1,0)</f>
        <v/>
      </c>
      <c r="X2296">
        <f>IF(AND(U2296=1,N2296&gt;=H2296*(1-Assumptions!$C$8)),1,0)</f>
        <v/>
      </c>
      <c r="Y2296">
        <f>IF(ISNUMBER(Q2296),1,0)</f>
        <v/>
      </c>
      <c r="Z2296">
        <f>IF(AND(K2296=0,L2296=0,Y2296=0),1,0)</f>
        <v/>
      </c>
      <c r="AA2296">
        <f>IF(AND(Z2296=1,G2296&lt;Assumptions!$C$6),1,0)</f>
        <v/>
      </c>
      <c r="AB2296">
        <f>IF(U2296=0,"",IF(Y2296=1,MAX(0,Q2296-G2296),IF(L2296=1,MAX(0,R2296-G2296),MAX(0,Assumptions!$C$6-G2296))))</f>
        <v/>
      </c>
      <c r="AC2296">
        <f>IF(Y2296=1,Q2296-F2296,"")</f>
        <v/>
      </c>
      <c r="AD2296">
        <f>IF(Y2296=1,AC2296^2,"")</f>
        <v/>
      </c>
      <c r="AE2296" s="19">
        <f>IF(Z2296=1,(H2296-M2296)*I2296,0)</f>
        <v/>
      </c>
      <c r="AF2296">
        <f>IF(G2296&lt;EDATE(Assumptions!$C$6,-12)+1,"prior_12m","last_12m")</f>
        <v/>
      </c>
      <c r="AG2296" s="21">
        <f>DATE(YEAR(G2296),MONTH(G2296),1)</f>
        <v/>
      </c>
    </row>
    <row r="2297">
      <c r="A2297" t="inlineStr">
        <is>
          <t>SPO-01244-3</t>
        </is>
      </c>
      <c r="B2297" t="inlineStr">
        <is>
          <t>SPO-01244</t>
        </is>
      </c>
      <c r="C2297" t="inlineStr">
        <is>
          <t>SUP-06</t>
        </is>
      </c>
      <c r="D2297" t="inlineStr">
        <is>
          <t>MRO</t>
        </is>
      </c>
      <c r="E2297" t="inlineStr">
        <is>
          <t>MRO-08</t>
        </is>
      </c>
      <c r="F2297" s="17" t="n">
        <v>45914</v>
      </c>
      <c r="G2297" s="17" t="n">
        <v>45922</v>
      </c>
      <c r="H2297" s="18" t="n">
        <v>181</v>
      </c>
      <c r="I2297" s="19" t="n">
        <v>7.14</v>
      </c>
      <c r="J2297" s="19" t="n">
        <v>7.2</v>
      </c>
      <c r="K2297" s="20" t="n">
        <v>0</v>
      </c>
      <c r="L2297" s="20" t="n">
        <v>0</v>
      </c>
      <c r="M2297" s="18" t="n">
        <v>181</v>
      </c>
      <c r="N2297" s="18" t="n">
        <v>181</v>
      </c>
      <c r="O2297" s="18" t="n">
        <v>0</v>
      </c>
      <c r="P2297" s="17" t="n">
        <v>45921</v>
      </c>
      <c r="Q2297" s="17" t="n">
        <v>45921</v>
      </c>
      <c r="R2297" s="17" t="n">
        <v>45921</v>
      </c>
      <c r="S2297" s="19">
        <f>H2297*I2297</f>
        <v/>
      </c>
      <c r="T2297" s="19">
        <f>H2297*J2297</f>
        <v/>
      </c>
      <c r="U2297">
        <f>IF(AND(K2297=0,G2297&lt;=Assumptions!$C$6),1,0)</f>
        <v/>
      </c>
      <c r="V2297">
        <f>IF(U2297=1,IF(M2297&gt;0,IF(P2297&lt;=G2297+Assumptions!$C$7,1,0),0),0)</f>
        <v/>
      </c>
      <c r="W2297">
        <f>IF(AND(U2297=1,M2297&gt;=H2297*(1-Assumptions!$C$8)),1,0)</f>
        <v/>
      </c>
      <c r="X2297">
        <f>IF(AND(U2297=1,N2297&gt;=H2297*(1-Assumptions!$C$8)),1,0)</f>
        <v/>
      </c>
      <c r="Y2297">
        <f>IF(ISNUMBER(Q2297),1,0)</f>
        <v/>
      </c>
      <c r="Z2297">
        <f>IF(AND(K2297=0,L2297=0,Y2297=0),1,0)</f>
        <v/>
      </c>
      <c r="AA2297">
        <f>IF(AND(Z2297=1,G2297&lt;Assumptions!$C$6),1,0)</f>
        <v/>
      </c>
      <c r="AB2297">
        <f>IF(U2297=0,"",IF(Y2297=1,MAX(0,Q2297-G2297),IF(L2297=1,MAX(0,R2297-G2297),MAX(0,Assumptions!$C$6-G2297))))</f>
        <v/>
      </c>
      <c r="AC2297">
        <f>IF(Y2297=1,Q2297-F2297,"")</f>
        <v/>
      </c>
      <c r="AD2297">
        <f>IF(Y2297=1,AC2297^2,"")</f>
        <v/>
      </c>
      <c r="AE2297" s="19">
        <f>IF(Z2297=1,(H2297-M2297)*I2297,0)</f>
        <v/>
      </c>
      <c r="AF2297">
        <f>IF(G2297&lt;EDATE(Assumptions!$C$6,-12)+1,"prior_12m","last_12m")</f>
        <v/>
      </c>
      <c r="AG2297" s="21">
        <f>DATE(YEAR(G2297),MONTH(G2297),1)</f>
        <v/>
      </c>
    </row>
    <row r="2298">
      <c r="A2298" t="inlineStr">
        <is>
          <t>SPO-01244-4</t>
        </is>
      </c>
      <c r="B2298" t="inlineStr">
        <is>
          <t>SPO-01244</t>
        </is>
      </c>
      <c r="C2298" t="inlineStr">
        <is>
          <t>SUP-06</t>
        </is>
      </c>
      <c r="D2298" t="inlineStr">
        <is>
          <t>MRO</t>
        </is>
      </c>
      <c r="E2298" t="inlineStr">
        <is>
          <t>MRO-06</t>
        </is>
      </c>
      <c r="F2298" s="17" t="n">
        <v>45914</v>
      </c>
      <c r="G2298" s="17" t="n">
        <v>45922</v>
      </c>
      <c r="H2298" s="18" t="n">
        <v>280</v>
      </c>
      <c r="I2298" s="19" t="n">
        <v>6.01</v>
      </c>
      <c r="J2298" s="19" t="n">
        <v>6.1</v>
      </c>
      <c r="K2298" s="20" t="n">
        <v>0</v>
      </c>
      <c r="L2298" s="20" t="n">
        <v>0</v>
      </c>
      <c r="M2298" s="18" t="n">
        <v>280</v>
      </c>
      <c r="N2298" s="18" t="n">
        <v>280</v>
      </c>
      <c r="O2298" s="18" t="n">
        <v>0</v>
      </c>
      <c r="P2298" s="17" t="n">
        <v>45918</v>
      </c>
      <c r="Q2298" s="17" t="n">
        <v>45918</v>
      </c>
      <c r="R2298" s="17" t="n">
        <v>45918</v>
      </c>
      <c r="S2298" s="19">
        <f>H2298*I2298</f>
        <v/>
      </c>
      <c r="T2298" s="19">
        <f>H2298*J2298</f>
        <v/>
      </c>
      <c r="U2298">
        <f>IF(AND(K2298=0,G2298&lt;=Assumptions!$C$6),1,0)</f>
        <v/>
      </c>
      <c r="V2298">
        <f>IF(U2298=1,IF(M2298&gt;0,IF(P2298&lt;=G2298+Assumptions!$C$7,1,0),0),0)</f>
        <v/>
      </c>
      <c r="W2298">
        <f>IF(AND(U2298=1,M2298&gt;=H2298*(1-Assumptions!$C$8)),1,0)</f>
        <v/>
      </c>
      <c r="X2298">
        <f>IF(AND(U2298=1,N2298&gt;=H2298*(1-Assumptions!$C$8)),1,0)</f>
        <v/>
      </c>
      <c r="Y2298">
        <f>IF(ISNUMBER(Q2298),1,0)</f>
        <v/>
      </c>
      <c r="Z2298">
        <f>IF(AND(K2298=0,L2298=0,Y2298=0),1,0)</f>
        <v/>
      </c>
      <c r="AA2298">
        <f>IF(AND(Z2298=1,G2298&lt;Assumptions!$C$6),1,0)</f>
        <v/>
      </c>
      <c r="AB2298">
        <f>IF(U2298=0,"",IF(Y2298=1,MAX(0,Q2298-G2298),IF(L2298=1,MAX(0,R2298-G2298),MAX(0,Assumptions!$C$6-G2298))))</f>
        <v/>
      </c>
      <c r="AC2298">
        <f>IF(Y2298=1,Q2298-F2298,"")</f>
        <v/>
      </c>
      <c r="AD2298">
        <f>IF(Y2298=1,AC2298^2,"")</f>
        <v/>
      </c>
      <c r="AE2298" s="19">
        <f>IF(Z2298=1,(H2298-M2298)*I2298,0)</f>
        <v/>
      </c>
      <c r="AF2298">
        <f>IF(G2298&lt;EDATE(Assumptions!$C$6,-12)+1,"prior_12m","last_12m")</f>
        <v/>
      </c>
      <c r="AG2298" s="21">
        <f>DATE(YEAR(G2298),MONTH(G2298),1)</f>
        <v/>
      </c>
    </row>
    <row r="2299">
      <c r="A2299" t="inlineStr">
        <is>
          <t>SPO-01245-1</t>
        </is>
      </c>
      <c r="B2299" t="inlineStr">
        <is>
          <t>SPO-01245</t>
        </is>
      </c>
      <c r="C2299" t="inlineStr">
        <is>
          <t>SUP-06</t>
        </is>
      </c>
      <c r="D2299" t="inlineStr">
        <is>
          <t>MRO</t>
        </is>
      </c>
      <c r="E2299" t="inlineStr">
        <is>
          <t>MRO-02</t>
        </is>
      </c>
      <c r="F2299" s="17" t="n">
        <v>45915</v>
      </c>
      <c r="G2299" s="17" t="n">
        <v>45923</v>
      </c>
      <c r="H2299" s="18" t="n">
        <v>36</v>
      </c>
      <c r="I2299" s="19" t="n">
        <v>40.65</v>
      </c>
      <c r="J2299" s="19" t="n">
        <v>41</v>
      </c>
      <c r="K2299" s="20" t="n">
        <v>0</v>
      </c>
      <c r="L2299" s="20" t="n">
        <v>0</v>
      </c>
      <c r="M2299" s="18" t="n">
        <v>36</v>
      </c>
      <c r="N2299" s="18" t="n">
        <v>36</v>
      </c>
      <c r="O2299" s="18" t="n">
        <v>0</v>
      </c>
      <c r="P2299" s="17" t="n">
        <v>45922</v>
      </c>
      <c r="Q2299" s="17" t="n">
        <v>45922</v>
      </c>
      <c r="R2299" s="17" t="n">
        <v>45922</v>
      </c>
      <c r="S2299" s="19">
        <f>H2299*I2299</f>
        <v/>
      </c>
      <c r="T2299" s="19">
        <f>H2299*J2299</f>
        <v/>
      </c>
      <c r="U2299">
        <f>IF(AND(K2299=0,G2299&lt;=Assumptions!$C$6),1,0)</f>
        <v/>
      </c>
      <c r="V2299">
        <f>IF(U2299=1,IF(M2299&gt;0,IF(P2299&lt;=G2299+Assumptions!$C$7,1,0),0),0)</f>
        <v/>
      </c>
      <c r="W2299">
        <f>IF(AND(U2299=1,M2299&gt;=H2299*(1-Assumptions!$C$8)),1,0)</f>
        <v/>
      </c>
      <c r="X2299">
        <f>IF(AND(U2299=1,N2299&gt;=H2299*(1-Assumptions!$C$8)),1,0)</f>
        <v/>
      </c>
      <c r="Y2299">
        <f>IF(ISNUMBER(Q2299),1,0)</f>
        <v/>
      </c>
      <c r="Z2299">
        <f>IF(AND(K2299=0,L2299=0,Y2299=0),1,0)</f>
        <v/>
      </c>
      <c r="AA2299">
        <f>IF(AND(Z2299=1,G2299&lt;Assumptions!$C$6),1,0)</f>
        <v/>
      </c>
      <c r="AB2299">
        <f>IF(U2299=0,"",IF(Y2299=1,MAX(0,Q2299-G2299),IF(L2299=1,MAX(0,R2299-G2299),MAX(0,Assumptions!$C$6-G2299))))</f>
        <v/>
      </c>
      <c r="AC2299">
        <f>IF(Y2299=1,Q2299-F2299,"")</f>
        <v/>
      </c>
      <c r="AD2299">
        <f>IF(Y2299=1,AC2299^2,"")</f>
        <v/>
      </c>
      <c r="AE2299" s="19">
        <f>IF(Z2299=1,(H2299-M2299)*I2299,0)</f>
        <v/>
      </c>
      <c r="AF2299">
        <f>IF(G2299&lt;EDATE(Assumptions!$C$6,-12)+1,"prior_12m","last_12m")</f>
        <v/>
      </c>
      <c r="AG2299" s="21">
        <f>DATE(YEAR(G2299),MONTH(G2299),1)</f>
        <v/>
      </c>
    </row>
    <row r="2300">
      <c r="A2300" t="inlineStr">
        <is>
          <t>SPO-01246-1</t>
        </is>
      </c>
      <c r="B2300" t="inlineStr">
        <is>
          <t>SPO-01246</t>
        </is>
      </c>
      <c r="C2300" t="inlineStr">
        <is>
          <t>SUP-02</t>
        </is>
      </c>
      <c r="D2300" t="inlineStr">
        <is>
          <t>ELEC</t>
        </is>
      </c>
      <c r="E2300" t="inlineStr">
        <is>
          <t>ELEC-02</t>
        </is>
      </c>
      <c r="F2300" s="17" t="n">
        <v>45915</v>
      </c>
      <c r="G2300" s="17" t="n">
        <v>45931</v>
      </c>
      <c r="H2300" s="18" t="n">
        <v>344</v>
      </c>
      <c r="I2300" s="19" t="n">
        <v>4.2</v>
      </c>
      <c r="J2300" s="19" t="n">
        <v>4.2</v>
      </c>
      <c r="K2300" s="20" t="n">
        <v>0</v>
      </c>
      <c r="L2300" s="20" t="n">
        <v>0</v>
      </c>
      <c r="M2300" s="18" t="n">
        <v>344</v>
      </c>
      <c r="N2300" s="18" t="n">
        <v>344</v>
      </c>
      <c r="O2300" s="18" t="n">
        <v>0</v>
      </c>
      <c r="P2300" s="17" t="n">
        <v>45931</v>
      </c>
      <c r="Q2300" s="17" t="n">
        <v>45931</v>
      </c>
      <c r="R2300" s="17" t="n">
        <v>45931</v>
      </c>
      <c r="S2300" s="19">
        <f>H2300*I2300</f>
        <v/>
      </c>
      <c r="T2300" s="19">
        <f>H2300*J2300</f>
        <v/>
      </c>
      <c r="U2300">
        <f>IF(AND(K2300=0,G2300&lt;=Assumptions!$C$6),1,0)</f>
        <v/>
      </c>
      <c r="V2300">
        <f>IF(U2300=1,IF(M2300&gt;0,IF(P2300&lt;=G2300+Assumptions!$C$7,1,0),0),0)</f>
        <v/>
      </c>
      <c r="W2300">
        <f>IF(AND(U2300=1,M2300&gt;=H2300*(1-Assumptions!$C$8)),1,0)</f>
        <v/>
      </c>
      <c r="X2300">
        <f>IF(AND(U2300=1,N2300&gt;=H2300*(1-Assumptions!$C$8)),1,0)</f>
        <v/>
      </c>
      <c r="Y2300">
        <f>IF(ISNUMBER(Q2300),1,0)</f>
        <v/>
      </c>
      <c r="Z2300">
        <f>IF(AND(K2300=0,L2300=0,Y2300=0),1,0)</f>
        <v/>
      </c>
      <c r="AA2300">
        <f>IF(AND(Z2300=1,G2300&lt;Assumptions!$C$6),1,0)</f>
        <v/>
      </c>
      <c r="AB2300">
        <f>IF(U2300=0,"",IF(Y2300=1,MAX(0,Q2300-G2300),IF(L2300=1,MAX(0,R2300-G2300),MAX(0,Assumptions!$C$6-G2300))))</f>
        <v/>
      </c>
      <c r="AC2300">
        <f>IF(Y2300=1,Q2300-F2300,"")</f>
        <v/>
      </c>
      <c r="AD2300">
        <f>IF(Y2300=1,AC2300^2,"")</f>
        <v/>
      </c>
      <c r="AE2300" s="19">
        <f>IF(Z2300=1,(H2300-M2300)*I2300,0)</f>
        <v/>
      </c>
      <c r="AF2300">
        <f>IF(G2300&lt;EDATE(Assumptions!$C$6,-12)+1,"prior_12m","last_12m")</f>
        <v/>
      </c>
      <c r="AG2300" s="21">
        <f>DATE(YEAR(G2300),MONTH(G2300),1)</f>
        <v/>
      </c>
    </row>
    <row r="2301">
      <c r="A2301" t="inlineStr">
        <is>
          <t>SPO-01247-1</t>
        </is>
      </c>
      <c r="B2301" t="inlineStr">
        <is>
          <t>SPO-01247</t>
        </is>
      </c>
      <c r="C2301" t="inlineStr">
        <is>
          <t>SUP-02</t>
        </is>
      </c>
      <c r="D2301" t="inlineStr">
        <is>
          <t>ELEC</t>
        </is>
      </c>
      <c r="E2301" t="inlineStr">
        <is>
          <t>ELEC-03</t>
        </is>
      </c>
      <c r="F2301" s="17" t="n">
        <v>45915</v>
      </c>
      <c r="G2301" s="17" t="n">
        <v>45931</v>
      </c>
      <c r="H2301" s="18" t="n">
        <v>86</v>
      </c>
      <c r="I2301" s="19" t="n">
        <v>98.52</v>
      </c>
      <c r="J2301" s="19" t="n">
        <v>96</v>
      </c>
      <c r="K2301" s="20" t="n">
        <v>0</v>
      </c>
      <c r="L2301" s="20" t="n">
        <v>0</v>
      </c>
      <c r="M2301" s="18" t="n">
        <v>86</v>
      </c>
      <c r="N2301" s="18" t="n">
        <v>86</v>
      </c>
      <c r="O2301" s="18" t="n">
        <v>0</v>
      </c>
      <c r="P2301" s="17" t="n">
        <v>45928</v>
      </c>
      <c r="Q2301" s="17" t="n">
        <v>45928</v>
      </c>
      <c r="R2301" s="17" t="n">
        <v>45928</v>
      </c>
      <c r="S2301" s="19">
        <f>H2301*I2301</f>
        <v/>
      </c>
      <c r="T2301" s="19">
        <f>H2301*J2301</f>
        <v/>
      </c>
      <c r="U2301">
        <f>IF(AND(K2301=0,G2301&lt;=Assumptions!$C$6),1,0)</f>
        <v/>
      </c>
      <c r="V2301">
        <f>IF(U2301=1,IF(M2301&gt;0,IF(P2301&lt;=G2301+Assumptions!$C$7,1,0),0),0)</f>
        <v/>
      </c>
      <c r="W2301">
        <f>IF(AND(U2301=1,M2301&gt;=H2301*(1-Assumptions!$C$8)),1,0)</f>
        <v/>
      </c>
      <c r="X2301">
        <f>IF(AND(U2301=1,N2301&gt;=H2301*(1-Assumptions!$C$8)),1,0)</f>
        <v/>
      </c>
      <c r="Y2301">
        <f>IF(ISNUMBER(Q2301),1,0)</f>
        <v/>
      </c>
      <c r="Z2301">
        <f>IF(AND(K2301=0,L2301=0,Y2301=0),1,0)</f>
        <v/>
      </c>
      <c r="AA2301">
        <f>IF(AND(Z2301=1,G2301&lt;Assumptions!$C$6),1,0)</f>
        <v/>
      </c>
      <c r="AB2301">
        <f>IF(U2301=0,"",IF(Y2301=1,MAX(0,Q2301-G2301),IF(L2301=1,MAX(0,R2301-G2301),MAX(0,Assumptions!$C$6-G2301))))</f>
        <v/>
      </c>
      <c r="AC2301">
        <f>IF(Y2301=1,Q2301-F2301,"")</f>
        <v/>
      </c>
      <c r="AD2301">
        <f>IF(Y2301=1,AC2301^2,"")</f>
        <v/>
      </c>
      <c r="AE2301" s="19">
        <f>IF(Z2301=1,(H2301-M2301)*I2301,0)</f>
        <v/>
      </c>
      <c r="AF2301">
        <f>IF(G2301&lt;EDATE(Assumptions!$C$6,-12)+1,"prior_12m","last_12m")</f>
        <v/>
      </c>
      <c r="AG2301" s="21">
        <f>DATE(YEAR(G2301),MONTH(G2301),1)</f>
        <v/>
      </c>
    </row>
    <row r="2302">
      <c r="A2302" t="inlineStr">
        <is>
          <t>SPO-01248-1</t>
        </is>
      </c>
      <c r="B2302" t="inlineStr">
        <is>
          <t>SPO-01248</t>
        </is>
      </c>
      <c r="C2302" t="inlineStr">
        <is>
          <t>SUP-02</t>
        </is>
      </c>
      <c r="D2302" t="inlineStr">
        <is>
          <t>ELEC</t>
        </is>
      </c>
      <c r="E2302" t="inlineStr">
        <is>
          <t>ELEC-06</t>
        </is>
      </c>
      <c r="F2302" s="17" t="n">
        <v>45915</v>
      </c>
      <c r="G2302" s="17" t="n">
        <v>45931</v>
      </c>
      <c r="H2302" s="18" t="n">
        <v>12</v>
      </c>
      <c r="I2302" s="19" t="n">
        <v>154.13</v>
      </c>
      <c r="J2302" s="19" t="n">
        <v>145</v>
      </c>
      <c r="K2302" s="20" t="n">
        <v>0</v>
      </c>
      <c r="L2302" s="20" t="n">
        <v>0</v>
      </c>
      <c r="M2302" s="18" t="n">
        <v>12</v>
      </c>
      <c r="N2302" s="18" t="n">
        <v>12</v>
      </c>
      <c r="O2302" s="18" t="n">
        <v>0</v>
      </c>
      <c r="P2302" s="17" t="n">
        <v>45929</v>
      </c>
      <c r="Q2302" s="17" t="n">
        <v>45929</v>
      </c>
      <c r="R2302" s="17" t="n">
        <v>45929</v>
      </c>
      <c r="S2302" s="19">
        <f>H2302*I2302</f>
        <v/>
      </c>
      <c r="T2302" s="19">
        <f>H2302*J2302</f>
        <v/>
      </c>
      <c r="U2302">
        <f>IF(AND(K2302=0,G2302&lt;=Assumptions!$C$6),1,0)</f>
        <v/>
      </c>
      <c r="V2302">
        <f>IF(U2302=1,IF(M2302&gt;0,IF(P2302&lt;=G2302+Assumptions!$C$7,1,0),0),0)</f>
        <v/>
      </c>
      <c r="W2302">
        <f>IF(AND(U2302=1,M2302&gt;=H2302*(1-Assumptions!$C$8)),1,0)</f>
        <v/>
      </c>
      <c r="X2302">
        <f>IF(AND(U2302=1,N2302&gt;=H2302*(1-Assumptions!$C$8)),1,0)</f>
        <v/>
      </c>
      <c r="Y2302">
        <f>IF(ISNUMBER(Q2302),1,0)</f>
        <v/>
      </c>
      <c r="Z2302">
        <f>IF(AND(K2302=0,L2302=0,Y2302=0),1,0)</f>
        <v/>
      </c>
      <c r="AA2302">
        <f>IF(AND(Z2302=1,G2302&lt;Assumptions!$C$6),1,0)</f>
        <v/>
      </c>
      <c r="AB2302">
        <f>IF(U2302=0,"",IF(Y2302=1,MAX(0,Q2302-G2302),IF(L2302=1,MAX(0,R2302-G2302),MAX(0,Assumptions!$C$6-G2302))))</f>
        <v/>
      </c>
      <c r="AC2302">
        <f>IF(Y2302=1,Q2302-F2302,"")</f>
        <v/>
      </c>
      <c r="AD2302">
        <f>IF(Y2302=1,AC2302^2,"")</f>
        <v/>
      </c>
      <c r="AE2302" s="19">
        <f>IF(Z2302=1,(H2302-M2302)*I2302,0)</f>
        <v/>
      </c>
      <c r="AF2302">
        <f>IF(G2302&lt;EDATE(Assumptions!$C$6,-12)+1,"prior_12m","last_12m")</f>
        <v/>
      </c>
      <c r="AG2302" s="21">
        <f>DATE(YEAR(G2302),MONTH(G2302),1)</f>
        <v/>
      </c>
    </row>
    <row r="2303">
      <c r="A2303" t="inlineStr">
        <is>
          <t>SPO-01249-1</t>
        </is>
      </c>
      <c r="B2303" t="inlineStr">
        <is>
          <t>SPO-01249</t>
        </is>
      </c>
      <c r="C2303" t="inlineStr">
        <is>
          <t>SUP-01</t>
        </is>
      </c>
      <c r="D2303" t="inlineStr">
        <is>
          <t>ELEC</t>
        </is>
      </c>
      <c r="E2303" t="inlineStr">
        <is>
          <t>ELEC-06</t>
        </is>
      </c>
      <c r="F2303" s="17" t="n">
        <v>45916</v>
      </c>
      <c r="G2303" s="17" t="n">
        <v>45934</v>
      </c>
      <c r="H2303" s="18" t="n">
        <v>24</v>
      </c>
      <c r="I2303" s="19" t="n">
        <v>141.8</v>
      </c>
      <c r="J2303" s="19" t="n">
        <v>145</v>
      </c>
      <c r="K2303" s="20" t="n">
        <v>0</v>
      </c>
      <c r="L2303" s="20" t="n">
        <v>0</v>
      </c>
      <c r="M2303" s="18" t="n">
        <v>24</v>
      </c>
      <c r="N2303" s="18" t="n">
        <v>24</v>
      </c>
      <c r="O2303" s="18" t="n">
        <v>0</v>
      </c>
      <c r="P2303" s="17" t="n">
        <v>45933</v>
      </c>
      <c r="Q2303" s="17" t="n">
        <v>45933</v>
      </c>
      <c r="R2303" s="17" t="n">
        <v>45933</v>
      </c>
      <c r="S2303" s="19">
        <f>H2303*I2303</f>
        <v/>
      </c>
      <c r="T2303" s="19">
        <f>H2303*J2303</f>
        <v/>
      </c>
      <c r="U2303">
        <f>IF(AND(K2303=0,G2303&lt;=Assumptions!$C$6),1,0)</f>
        <v/>
      </c>
      <c r="V2303">
        <f>IF(U2303=1,IF(M2303&gt;0,IF(P2303&lt;=G2303+Assumptions!$C$7,1,0),0),0)</f>
        <v/>
      </c>
      <c r="W2303">
        <f>IF(AND(U2303=1,M2303&gt;=H2303*(1-Assumptions!$C$8)),1,0)</f>
        <v/>
      </c>
      <c r="X2303">
        <f>IF(AND(U2303=1,N2303&gt;=H2303*(1-Assumptions!$C$8)),1,0)</f>
        <v/>
      </c>
      <c r="Y2303">
        <f>IF(ISNUMBER(Q2303),1,0)</f>
        <v/>
      </c>
      <c r="Z2303">
        <f>IF(AND(K2303=0,L2303=0,Y2303=0),1,0)</f>
        <v/>
      </c>
      <c r="AA2303">
        <f>IF(AND(Z2303=1,G2303&lt;Assumptions!$C$6),1,0)</f>
        <v/>
      </c>
      <c r="AB2303">
        <f>IF(U2303=0,"",IF(Y2303=1,MAX(0,Q2303-G2303),IF(L2303=1,MAX(0,R2303-G2303),MAX(0,Assumptions!$C$6-G2303))))</f>
        <v/>
      </c>
      <c r="AC2303">
        <f>IF(Y2303=1,Q2303-F2303,"")</f>
        <v/>
      </c>
      <c r="AD2303">
        <f>IF(Y2303=1,AC2303^2,"")</f>
        <v/>
      </c>
      <c r="AE2303" s="19">
        <f>IF(Z2303=1,(H2303-M2303)*I2303,0)</f>
        <v/>
      </c>
      <c r="AF2303">
        <f>IF(G2303&lt;EDATE(Assumptions!$C$6,-12)+1,"prior_12m","last_12m")</f>
        <v/>
      </c>
      <c r="AG2303" s="21">
        <f>DATE(YEAR(G2303),MONTH(G2303),1)</f>
        <v/>
      </c>
    </row>
    <row r="2304">
      <c r="A2304" t="inlineStr">
        <is>
          <t>SPO-01249-2</t>
        </is>
      </c>
      <c r="B2304" t="inlineStr">
        <is>
          <t>SPO-01249</t>
        </is>
      </c>
      <c r="C2304" t="inlineStr">
        <is>
          <t>SUP-01</t>
        </is>
      </c>
      <c r="D2304" t="inlineStr">
        <is>
          <t>ELEC</t>
        </is>
      </c>
      <c r="E2304" t="inlineStr">
        <is>
          <t>ELEC-03</t>
        </is>
      </c>
      <c r="F2304" s="17" t="n">
        <v>45916</v>
      </c>
      <c r="G2304" s="17" t="n">
        <v>45934</v>
      </c>
      <c r="H2304" s="18" t="n">
        <v>14</v>
      </c>
      <c r="I2304" s="19" t="n">
        <v>93.67</v>
      </c>
      <c r="J2304" s="19" t="n">
        <v>96</v>
      </c>
      <c r="K2304" s="20" t="n">
        <v>0</v>
      </c>
      <c r="L2304" s="20" t="n">
        <v>0</v>
      </c>
      <c r="M2304" s="18" t="n">
        <v>14</v>
      </c>
      <c r="N2304" s="18" t="n">
        <v>7</v>
      </c>
      <c r="O2304" s="18" t="n">
        <v>0</v>
      </c>
      <c r="P2304" s="17" t="n">
        <v>45930</v>
      </c>
      <c r="Q2304" s="17" t="n">
        <v>45950</v>
      </c>
      <c r="R2304" s="17" t="n">
        <v>45950</v>
      </c>
      <c r="S2304" s="19">
        <f>H2304*I2304</f>
        <v/>
      </c>
      <c r="T2304" s="19">
        <f>H2304*J2304</f>
        <v/>
      </c>
      <c r="U2304">
        <f>IF(AND(K2304=0,G2304&lt;=Assumptions!$C$6),1,0)</f>
        <v/>
      </c>
      <c r="V2304">
        <f>IF(U2304=1,IF(M2304&gt;0,IF(P2304&lt;=G2304+Assumptions!$C$7,1,0),0),0)</f>
        <v/>
      </c>
      <c r="W2304">
        <f>IF(AND(U2304=1,M2304&gt;=H2304*(1-Assumptions!$C$8)),1,0)</f>
        <v/>
      </c>
      <c r="X2304">
        <f>IF(AND(U2304=1,N2304&gt;=H2304*(1-Assumptions!$C$8)),1,0)</f>
        <v/>
      </c>
      <c r="Y2304">
        <f>IF(ISNUMBER(Q2304),1,0)</f>
        <v/>
      </c>
      <c r="Z2304">
        <f>IF(AND(K2304=0,L2304=0,Y2304=0),1,0)</f>
        <v/>
      </c>
      <c r="AA2304">
        <f>IF(AND(Z2304=1,G2304&lt;Assumptions!$C$6),1,0)</f>
        <v/>
      </c>
      <c r="AB2304">
        <f>IF(U2304=0,"",IF(Y2304=1,MAX(0,Q2304-G2304),IF(L2304=1,MAX(0,R2304-G2304),MAX(0,Assumptions!$C$6-G2304))))</f>
        <v/>
      </c>
      <c r="AC2304">
        <f>IF(Y2304=1,Q2304-F2304,"")</f>
        <v/>
      </c>
      <c r="AD2304">
        <f>IF(Y2304=1,AC2304^2,"")</f>
        <v/>
      </c>
      <c r="AE2304" s="19">
        <f>IF(Z2304=1,(H2304-M2304)*I2304,0)</f>
        <v/>
      </c>
      <c r="AF2304">
        <f>IF(G2304&lt;EDATE(Assumptions!$C$6,-12)+1,"prior_12m","last_12m")</f>
        <v/>
      </c>
      <c r="AG2304" s="21">
        <f>DATE(YEAR(G2304),MONTH(G2304),1)</f>
        <v/>
      </c>
    </row>
    <row r="2305">
      <c r="A2305" t="inlineStr">
        <is>
          <t>SPO-01249-3</t>
        </is>
      </c>
      <c r="B2305" t="inlineStr">
        <is>
          <t>SPO-01249</t>
        </is>
      </c>
      <c r="C2305" t="inlineStr">
        <is>
          <t>SUP-01</t>
        </is>
      </c>
      <c r="D2305" t="inlineStr">
        <is>
          <t>ELEC</t>
        </is>
      </c>
      <c r="E2305" t="inlineStr">
        <is>
          <t>ELEC-08</t>
        </is>
      </c>
      <c r="F2305" s="17" t="n">
        <v>45916</v>
      </c>
      <c r="G2305" s="17" t="n">
        <v>45934</v>
      </c>
      <c r="H2305" s="18" t="n">
        <v>224</v>
      </c>
      <c r="I2305" s="19" t="n">
        <v>17.85</v>
      </c>
      <c r="J2305" s="19" t="n">
        <v>18</v>
      </c>
      <c r="K2305" s="20" t="n">
        <v>0</v>
      </c>
      <c r="L2305" s="20" t="n">
        <v>0</v>
      </c>
      <c r="M2305" s="18" t="n">
        <v>224</v>
      </c>
      <c r="N2305" s="18" t="n">
        <v>224</v>
      </c>
      <c r="O2305" s="18" t="n">
        <v>0</v>
      </c>
      <c r="P2305" s="17" t="n">
        <v>45932</v>
      </c>
      <c r="Q2305" s="17" t="n">
        <v>45932</v>
      </c>
      <c r="R2305" s="17" t="n">
        <v>45932</v>
      </c>
      <c r="S2305" s="19">
        <f>H2305*I2305</f>
        <v/>
      </c>
      <c r="T2305" s="19">
        <f>H2305*J2305</f>
        <v/>
      </c>
      <c r="U2305">
        <f>IF(AND(K2305=0,G2305&lt;=Assumptions!$C$6),1,0)</f>
        <v/>
      </c>
      <c r="V2305">
        <f>IF(U2305=1,IF(M2305&gt;0,IF(P2305&lt;=G2305+Assumptions!$C$7,1,0),0),0)</f>
        <v/>
      </c>
      <c r="W2305">
        <f>IF(AND(U2305=1,M2305&gt;=H2305*(1-Assumptions!$C$8)),1,0)</f>
        <v/>
      </c>
      <c r="X2305">
        <f>IF(AND(U2305=1,N2305&gt;=H2305*(1-Assumptions!$C$8)),1,0)</f>
        <v/>
      </c>
      <c r="Y2305">
        <f>IF(ISNUMBER(Q2305),1,0)</f>
        <v/>
      </c>
      <c r="Z2305">
        <f>IF(AND(K2305=0,L2305=0,Y2305=0),1,0)</f>
        <v/>
      </c>
      <c r="AA2305">
        <f>IF(AND(Z2305=1,G2305&lt;Assumptions!$C$6),1,0)</f>
        <v/>
      </c>
      <c r="AB2305">
        <f>IF(U2305=0,"",IF(Y2305=1,MAX(0,Q2305-G2305),IF(L2305=1,MAX(0,R2305-G2305),MAX(0,Assumptions!$C$6-G2305))))</f>
        <v/>
      </c>
      <c r="AC2305">
        <f>IF(Y2305=1,Q2305-F2305,"")</f>
        <v/>
      </c>
      <c r="AD2305">
        <f>IF(Y2305=1,AC2305^2,"")</f>
        <v/>
      </c>
      <c r="AE2305" s="19">
        <f>IF(Z2305=1,(H2305-M2305)*I2305,0)</f>
        <v/>
      </c>
      <c r="AF2305">
        <f>IF(G2305&lt;EDATE(Assumptions!$C$6,-12)+1,"prior_12m","last_12m")</f>
        <v/>
      </c>
      <c r="AG2305" s="21">
        <f>DATE(YEAR(G2305),MONTH(G2305),1)</f>
        <v/>
      </c>
    </row>
    <row r="2306">
      <c r="A2306" t="inlineStr">
        <is>
          <t>SPO-01250-1</t>
        </is>
      </c>
      <c r="B2306" t="inlineStr">
        <is>
          <t>SPO-01250</t>
        </is>
      </c>
      <c r="C2306" t="inlineStr">
        <is>
          <t>SUP-01</t>
        </is>
      </c>
      <c r="D2306" t="inlineStr">
        <is>
          <t>ELEC</t>
        </is>
      </c>
      <c r="E2306" t="inlineStr">
        <is>
          <t>ELEC-01</t>
        </is>
      </c>
      <c r="F2306" s="17" t="n">
        <v>45916</v>
      </c>
      <c r="G2306" s="17" t="n">
        <v>45934</v>
      </c>
      <c r="H2306" s="18" t="n">
        <v>26</v>
      </c>
      <c r="I2306" s="19" t="n">
        <v>38.78</v>
      </c>
      <c r="J2306" s="19" t="n">
        <v>38</v>
      </c>
      <c r="K2306" s="20" t="n">
        <v>0</v>
      </c>
      <c r="L2306" s="20" t="n">
        <v>0</v>
      </c>
      <c r="M2306" s="18" t="n">
        <v>26</v>
      </c>
      <c r="N2306" s="18" t="n">
        <v>26</v>
      </c>
      <c r="O2306" s="18" t="n">
        <v>0</v>
      </c>
      <c r="P2306" s="17" t="n">
        <v>45930</v>
      </c>
      <c r="Q2306" s="17" t="n">
        <v>45930</v>
      </c>
      <c r="R2306" s="17" t="n">
        <v>45930</v>
      </c>
      <c r="S2306" s="19">
        <f>H2306*I2306</f>
        <v/>
      </c>
      <c r="T2306" s="19">
        <f>H2306*J2306</f>
        <v/>
      </c>
      <c r="U2306">
        <f>IF(AND(K2306=0,G2306&lt;=Assumptions!$C$6),1,0)</f>
        <v/>
      </c>
      <c r="V2306">
        <f>IF(U2306=1,IF(M2306&gt;0,IF(P2306&lt;=G2306+Assumptions!$C$7,1,0),0),0)</f>
        <v/>
      </c>
      <c r="W2306">
        <f>IF(AND(U2306=1,M2306&gt;=H2306*(1-Assumptions!$C$8)),1,0)</f>
        <v/>
      </c>
      <c r="X2306">
        <f>IF(AND(U2306=1,N2306&gt;=H2306*(1-Assumptions!$C$8)),1,0)</f>
        <v/>
      </c>
      <c r="Y2306">
        <f>IF(ISNUMBER(Q2306),1,0)</f>
        <v/>
      </c>
      <c r="Z2306">
        <f>IF(AND(K2306=0,L2306=0,Y2306=0),1,0)</f>
        <v/>
      </c>
      <c r="AA2306">
        <f>IF(AND(Z2306=1,G2306&lt;Assumptions!$C$6),1,0)</f>
        <v/>
      </c>
      <c r="AB2306">
        <f>IF(U2306=0,"",IF(Y2306=1,MAX(0,Q2306-G2306),IF(L2306=1,MAX(0,R2306-G2306),MAX(0,Assumptions!$C$6-G2306))))</f>
        <v/>
      </c>
      <c r="AC2306">
        <f>IF(Y2306=1,Q2306-F2306,"")</f>
        <v/>
      </c>
      <c r="AD2306">
        <f>IF(Y2306=1,AC2306^2,"")</f>
        <v/>
      </c>
      <c r="AE2306" s="19">
        <f>IF(Z2306=1,(H2306-M2306)*I2306,0)</f>
        <v/>
      </c>
      <c r="AF2306">
        <f>IF(G2306&lt;EDATE(Assumptions!$C$6,-12)+1,"prior_12m","last_12m")</f>
        <v/>
      </c>
      <c r="AG2306" s="21">
        <f>DATE(YEAR(G2306),MONTH(G2306),1)</f>
        <v/>
      </c>
    </row>
    <row r="2307">
      <c r="A2307" t="inlineStr">
        <is>
          <t>SPO-01251-1</t>
        </is>
      </c>
      <c r="B2307" t="inlineStr">
        <is>
          <t>SPO-01251</t>
        </is>
      </c>
      <c r="C2307" t="inlineStr">
        <is>
          <t>SUP-12</t>
        </is>
      </c>
      <c r="D2307" t="inlineStr">
        <is>
          <t>IT</t>
        </is>
      </c>
      <c r="E2307" t="inlineStr">
        <is>
          <t>IT-02</t>
        </is>
      </c>
      <c r="F2307" s="17" t="n">
        <v>45916</v>
      </c>
      <c r="G2307" s="17" t="n">
        <v>45926</v>
      </c>
      <c r="H2307" s="18" t="n">
        <v>21</v>
      </c>
      <c r="I2307" s="19" t="n">
        <v>182.22</v>
      </c>
      <c r="J2307" s="19" t="n">
        <v>162</v>
      </c>
      <c r="K2307" s="20" t="n">
        <v>0</v>
      </c>
      <c r="L2307" s="20" t="n">
        <v>0</v>
      </c>
      <c r="M2307" s="18" t="n">
        <v>21</v>
      </c>
      <c r="N2307" s="18" t="n">
        <v>21</v>
      </c>
      <c r="O2307" s="18" t="n">
        <v>0</v>
      </c>
      <c r="P2307" s="17" t="n">
        <v>45925</v>
      </c>
      <c r="Q2307" s="17" t="n">
        <v>45925</v>
      </c>
      <c r="R2307" s="17" t="n">
        <v>45925</v>
      </c>
      <c r="S2307" s="19">
        <f>H2307*I2307</f>
        <v/>
      </c>
      <c r="T2307" s="19">
        <f>H2307*J2307</f>
        <v/>
      </c>
      <c r="U2307">
        <f>IF(AND(K2307=0,G2307&lt;=Assumptions!$C$6),1,0)</f>
        <v/>
      </c>
      <c r="V2307">
        <f>IF(U2307=1,IF(M2307&gt;0,IF(P2307&lt;=G2307+Assumptions!$C$7,1,0),0),0)</f>
        <v/>
      </c>
      <c r="W2307">
        <f>IF(AND(U2307=1,M2307&gt;=H2307*(1-Assumptions!$C$8)),1,0)</f>
        <v/>
      </c>
      <c r="X2307">
        <f>IF(AND(U2307=1,N2307&gt;=H2307*(1-Assumptions!$C$8)),1,0)</f>
        <v/>
      </c>
      <c r="Y2307">
        <f>IF(ISNUMBER(Q2307),1,0)</f>
        <v/>
      </c>
      <c r="Z2307">
        <f>IF(AND(K2307=0,L2307=0,Y2307=0),1,0)</f>
        <v/>
      </c>
      <c r="AA2307">
        <f>IF(AND(Z2307=1,G2307&lt;Assumptions!$C$6),1,0)</f>
        <v/>
      </c>
      <c r="AB2307">
        <f>IF(U2307=0,"",IF(Y2307=1,MAX(0,Q2307-G2307),IF(L2307=1,MAX(0,R2307-G2307),MAX(0,Assumptions!$C$6-G2307))))</f>
        <v/>
      </c>
      <c r="AC2307">
        <f>IF(Y2307=1,Q2307-F2307,"")</f>
        <v/>
      </c>
      <c r="AD2307">
        <f>IF(Y2307=1,AC2307^2,"")</f>
        <v/>
      </c>
      <c r="AE2307" s="19">
        <f>IF(Z2307=1,(H2307-M2307)*I2307,0)</f>
        <v/>
      </c>
      <c r="AF2307">
        <f>IF(G2307&lt;EDATE(Assumptions!$C$6,-12)+1,"prior_12m","last_12m")</f>
        <v/>
      </c>
      <c r="AG2307" s="21">
        <f>DATE(YEAR(G2307),MONTH(G2307),1)</f>
        <v/>
      </c>
    </row>
    <row r="2308">
      <c r="A2308" t="inlineStr">
        <is>
          <t>SPO-01251-2</t>
        </is>
      </c>
      <c r="B2308" t="inlineStr">
        <is>
          <t>SPO-01251</t>
        </is>
      </c>
      <c r="C2308" t="inlineStr">
        <is>
          <t>SUP-12</t>
        </is>
      </c>
      <c r="D2308" t="inlineStr">
        <is>
          <t>IT</t>
        </is>
      </c>
      <c r="E2308" t="inlineStr">
        <is>
          <t>IT-03</t>
        </is>
      </c>
      <c r="F2308" s="17" t="n">
        <v>45916</v>
      </c>
      <c r="G2308" s="17" t="n">
        <v>45926</v>
      </c>
      <c r="H2308" s="18" t="n">
        <v>52</v>
      </c>
      <c r="I2308" s="19" t="n">
        <v>41.18</v>
      </c>
      <c r="J2308" s="19" t="n">
        <v>38</v>
      </c>
      <c r="K2308" s="20" t="n">
        <v>0</v>
      </c>
      <c r="L2308" s="20" t="n">
        <v>0</v>
      </c>
      <c r="M2308" s="18" t="n">
        <v>52</v>
      </c>
      <c r="N2308" s="18" t="n">
        <v>52</v>
      </c>
      <c r="O2308" s="18" t="n">
        <v>0</v>
      </c>
      <c r="P2308" s="17" t="n">
        <v>45925</v>
      </c>
      <c r="Q2308" s="17" t="n">
        <v>45925</v>
      </c>
      <c r="R2308" s="17" t="n">
        <v>45925</v>
      </c>
      <c r="S2308" s="19">
        <f>H2308*I2308</f>
        <v/>
      </c>
      <c r="T2308" s="19">
        <f>H2308*J2308</f>
        <v/>
      </c>
      <c r="U2308">
        <f>IF(AND(K2308=0,G2308&lt;=Assumptions!$C$6),1,0)</f>
        <v/>
      </c>
      <c r="V2308">
        <f>IF(U2308=1,IF(M2308&gt;0,IF(P2308&lt;=G2308+Assumptions!$C$7,1,0),0),0)</f>
        <v/>
      </c>
      <c r="W2308">
        <f>IF(AND(U2308=1,M2308&gt;=H2308*(1-Assumptions!$C$8)),1,0)</f>
        <v/>
      </c>
      <c r="X2308">
        <f>IF(AND(U2308=1,N2308&gt;=H2308*(1-Assumptions!$C$8)),1,0)</f>
        <v/>
      </c>
      <c r="Y2308">
        <f>IF(ISNUMBER(Q2308),1,0)</f>
        <v/>
      </c>
      <c r="Z2308">
        <f>IF(AND(K2308=0,L2308=0,Y2308=0),1,0)</f>
        <v/>
      </c>
      <c r="AA2308">
        <f>IF(AND(Z2308=1,G2308&lt;Assumptions!$C$6),1,0)</f>
        <v/>
      </c>
      <c r="AB2308">
        <f>IF(U2308=0,"",IF(Y2308=1,MAX(0,Q2308-G2308),IF(L2308=1,MAX(0,R2308-G2308),MAX(0,Assumptions!$C$6-G2308))))</f>
        <v/>
      </c>
      <c r="AC2308">
        <f>IF(Y2308=1,Q2308-F2308,"")</f>
        <v/>
      </c>
      <c r="AD2308">
        <f>IF(Y2308=1,AC2308^2,"")</f>
        <v/>
      </c>
      <c r="AE2308" s="19">
        <f>IF(Z2308=1,(H2308-M2308)*I2308,0)</f>
        <v/>
      </c>
      <c r="AF2308">
        <f>IF(G2308&lt;EDATE(Assumptions!$C$6,-12)+1,"prior_12m","last_12m")</f>
        <v/>
      </c>
      <c r="AG2308" s="21">
        <f>DATE(YEAR(G2308),MONTH(G2308),1)</f>
        <v/>
      </c>
    </row>
    <row r="2309">
      <c r="A2309" t="inlineStr">
        <is>
          <t>SPO-01251-3</t>
        </is>
      </c>
      <c r="B2309" t="inlineStr">
        <is>
          <t>SPO-01251</t>
        </is>
      </c>
      <c r="C2309" t="inlineStr">
        <is>
          <t>SUP-12</t>
        </is>
      </c>
      <c r="D2309" t="inlineStr">
        <is>
          <t>IT</t>
        </is>
      </c>
      <c r="E2309" t="inlineStr">
        <is>
          <t>IT-06</t>
        </is>
      </c>
      <c r="F2309" s="17" t="n">
        <v>45916</v>
      </c>
      <c r="G2309" s="17" t="n">
        <v>45926</v>
      </c>
      <c r="H2309" s="18" t="n">
        <v>34</v>
      </c>
      <c r="I2309" s="19" t="n">
        <v>100.8</v>
      </c>
      <c r="J2309" s="19" t="n">
        <v>89</v>
      </c>
      <c r="K2309" s="20" t="n">
        <v>0</v>
      </c>
      <c r="L2309" s="20" t="n">
        <v>0</v>
      </c>
      <c r="M2309" s="18" t="n">
        <v>34</v>
      </c>
      <c r="N2309" s="18" t="n">
        <v>34</v>
      </c>
      <c r="O2309" s="18" t="n">
        <v>0</v>
      </c>
      <c r="P2309" s="17" t="n">
        <v>45924</v>
      </c>
      <c r="Q2309" s="17" t="n">
        <v>45924</v>
      </c>
      <c r="R2309" s="17" t="n">
        <v>45924</v>
      </c>
      <c r="S2309" s="19">
        <f>H2309*I2309</f>
        <v/>
      </c>
      <c r="T2309" s="19">
        <f>H2309*J2309</f>
        <v/>
      </c>
      <c r="U2309">
        <f>IF(AND(K2309=0,G2309&lt;=Assumptions!$C$6),1,0)</f>
        <v/>
      </c>
      <c r="V2309">
        <f>IF(U2309=1,IF(M2309&gt;0,IF(P2309&lt;=G2309+Assumptions!$C$7,1,0),0),0)</f>
        <v/>
      </c>
      <c r="W2309">
        <f>IF(AND(U2309=1,M2309&gt;=H2309*(1-Assumptions!$C$8)),1,0)</f>
        <v/>
      </c>
      <c r="X2309">
        <f>IF(AND(U2309=1,N2309&gt;=H2309*(1-Assumptions!$C$8)),1,0)</f>
        <v/>
      </c>
      <c r="Y2309">
        <f>IF(ISNUMBER(Q2309),1,0)</f>
        <v/>
      </c>
      <c r="Z2309">
        <f>IF(AND(K2309=0,L2309=0,Y2309=0),1,0)</f>
        <v/>
      </c>
      <c r="AA2309">
        <f>IF(AND(Z2309=1,G2309&lt;Assumptions!$C$6),1,0)</f>
        <v/>
      </c>
      <c r="AB2309">
        <f>IF(U2309=0,"",IF(Y2309=1,MAX(0,Q2309-G2309),IF(L2309=1,MAX(0,R2309-G2309),MAX(0,Assumptions!$C$6-G2309))))</f>
        <v/>
      </c>
      <c r="AC2309">
        <f>IF(Y2309=1,Q2309-F2309,"")</f>
        <v/>
      </c>
      <c r="AD2309">
        <f>IF(Y2309=1,AC2309^2,"")</f>
        <v/>
      </c>
      <c r="AE2309" s="19">
        <f>IF(Z2309=1,(H2309-M2309)*I2309,0)</f>
        <v/>
      </c>
      <c r="AF2309">
        <f>IF(G2309&lt;EDATE(Assumptions!$C$6,-12)+1,"prior_12m","last_12m")</f>
        <v/>
      </c>
      <c r="AG2309" s="21">
        <f>DATE(YEAR(G2309),MONTH(G2309),1)</f>
        <v/>
      </c>
    </row>
    <row r="2310">
      <c r="A2310" t="inlineStr">
        <is>
          <t>SPO-01252-1</t>
        </is>
      </c>
      <c r="B2310" t="inlineStr">
        <is>
          <t>SPO-01252</t>
        </is>
      </c>
      <c r="C2310" t="inlineStr">
        <is>
          <t>SUP-12</t>
        </is>
      </c>
      <c r="D2310" t="inlineStr">
        <is>
          <t>IT</t>
        </is>
      </c>
      <c r="E2310" t="inlineStr">
        <is>
          <t>IT-01</t>
        </is>
      </c>
      <c r="F2310" s="17" t="n">
        <v>45916</v>
      </c>
      <c r="G2310" s="17" t="n">
        <v>45926</v>
      </c>
      <c r="H2310" s="18" t="n">
        <v>11</v>
      </c>
      <c r="I2310" s="19" t="n">
        <v>224.24</v>
      </c>
      <c r="J2310" s="19" t="n">
        <v>189</v>
      </c>
      <c r="K2310" s="20" t="n">
        <v>0</v>
      </c>
      <c r="L2310" s="20" t="n">
        <v>0</v>
      </c>
      <c r="M2310" s="18" t="n">
        <v>11</v>
      </c>
      <c r="N2310" s="18" t="n">
        <v>11</v>
      </c>
      <c r="O2310" s="18" t="n">
        <v>0</v>
      </c>
      <c r="P2310" s="17" t="n">
        <v>45921</v>
      </c>
      <c r="Q2310" s="17" t="n">
        <v>45921</v>
      </c>
      <c r="R2310" s="17" t="n">
        <v>45921</v>
      </c>
      <c r="S2310" s="19">
        <f>H2310*I2310</f>
        <v/>
      </c>
      <c r="T2310" s="19">
        <f>H2310*J2310</f>
        <v/>
      </c>
      <c r="U2310">
        <f>IF(AND(K2310=0,G2310&lt;=Assumptions!$C$6),1,0)</f>
        <v/>
      </c>
      <c r="V2310">
        <f>IF(U2310=1,IF(M2310&gt;0,IF(P2310&lt;=G2310+Assumptions!$C$7,1,0),0),0)</f>
        <v/>
      </c>
      <c r="W2310">
        <f>IF(AND(U2310=1,M2310&gt;=H2310*(1-Assumptions!$C$8)),1,0)</f>
        <v/>
      </c>
      <c r="X2310">
        <f>IF(AND(U2310=1,N2310&gt;=H2310*(1-Assumptions!$C$8)),1,0)</f>
        <v/>
      </c>
      <c r="Y2310">
        <f>IF(ISNUMBER(Q2310),1,0)</f>
        <v/>
      </c>
      <c r="Z2310">
        <f>IF(AND(K2310=0,L2310=0,Y2310=0),1,0)</f>
        <v/>
      </c>
      <c r="AA2310">
        <f>IF(AND(Z2310=1,G2310&lt;Assumptions!$C$6),1,0)</f>
        <v/>
      </c>
      <c r="AB2310">
        <f>IF(U2310=0,"",IF(Y2310=1,MAX(0,Q2310-G2310),IF(L2310=1,MAX(0,R2310-G2310),MAX(0,Assumptions!$C$6-G2310))))</f>
        <v/>
      </c>
      <c r="AC2310">
        <f>IF(Y2310=1,Q2310-F2310,"")</f>
        <v/>
      </c>
      <c r="AD2310">
        <f>IF(Y2310=1,AC2310^2,"")</f>
        <v/>
      </c>
      <c r="AE2310" s="19">
        <f>IF(Z2310=1,(H2310-M2310)*I2310,0)</f>
        <v/>
      </c>
      <c r="AF2310">
        <f>IF(G2310&lt;EDATE(Assumptions!$C$6,-12)+1,"prior_12m","last_12m")</f>
        <v/>
      </c>
      <c r="AG2310" s="21">
        <f>DATE(YEAR(G2310),MONTH(G2310),1)</f>
        <v/>
      </c>
    </row>
    <row r="2311">
      <c r="A2311" t="inlineStr">
        <is>
          <t>SPO-01252-2</t>
        </is>
      </c>
      <c r="B2311" t="inlineStr">
        <is>
          <t>SPO-01252</t>
        </is>
      </c>
      <c r="C2311" t="inlineStr">
        <is>
          <t>SUP-12</t>
        </is>
      </c>
      <c r="D2311" t="inlineStr">
        <is>
          <t>IT</t>
        </is>
      </c>
      <c r="E2311" t="inlineStr">
        <is>
          <t>IT-08</t>
        </is>
      </c>
      <c r="F2311" s="17" t="n">
        <v>45916</v>
      </c>
      <c r="G2311" s="17" t="n">
        <v>45926</v>
      </c>
      <c r="H2311" s="18" t="n">
        <v>9</v>
      </c>
      <c r="I2311" s="19" t="n">
        <v>290.41</v>
      </c>
      <c r="J2311" s="19" t="n">
        <v>245</v>
      </c>
      <c r="K2311" s="20" t="n">
        <v>0</v>
      </c>
      <c r="L2311" s="20" t="n">
        <v>0</v>
      </c>
      <c r="M2311" s="18" t="n">
        <v>9</v>
      </c>
      <c r="N2311" s="18" t="n">
        <v>9</v>
      </c>
      <c r="O2311" s="18" t="n">
        <v>0</v>
      </c>
      <c r="P2311" s="17" t="n">
        <v>45924</v>
      </c>
      <c r="Q2311" s="17" t="n">
        <v>45924</v>
      </c>
      <c r="R2311" s="17" t="n">
        <v>45924</v>
      </c>
      <c r="S2311" s="19">
        <f>H2311*I2311</f>
        <v/>
      </c>
      <c r="T2311" s="19">
        <f>H2311*J2311</f>
        <v/>
      </c>
      <c r="U2311">
        <f>IF(AND(K2311=0,G2311&lt;=Assumptions!$C$6),1,0)</f>
        <v/>
      </c>
      <c r="V2311">
        <f>IF(U2311=1,IF(M2311&gt;0,IF(P2311&lt;=G2311+Assumptions!$C$7,1,0),0),0)</f>
        <v/>
      </c>
      <c r="W2311">
        <f>IF(AND(U2311=1,M2311&gt;=H2311*(1-Assumptions!$C$8)),1,0)</f>
        <v/>
      </c>
      <c r="X2311">
        <f>IF(AND(U2311=1,N2311&gt;=H2311*(1-Assumptions!$C$8)),1,0)</f>
        <v/>
      </c>
      <c r="Y2311">
        <f>IF(ISNUMBER(Q2311),1,0)</f>
        <v/>
      </c>
      <c r="Z2311">
        <f>IF(AND(K2311=0,L2311=0,Y2311=0),1,0)</f>
        <v/>
      </c>
      <c r="AA2311">
        <f>IF(AND(Z2311=1,G2311&lt;Assumptions!$C$6),1,0)</f>
        <v/>
      </c>
      <c r="AB2311">
        <f>IF(U2311=0,"",IF(Y2311=1,MAX(0,Q2311-G2311),IF(L2311=1,MAX(0,R2311-G2311),MAX(0,Assumptions!$C$6-G2311))))</f>
        <v/>
      </c>
      <c r="AC2311">
        <f>IF(Y2311=1,Q2311-F2311,"")</f>
        <v/>
      </c>
      <c r="AD2311">
        <f>IF(Y2311=1,AC2311^2,"")</f>
        <v/>
      </c>
      <c r="AE2311" s="19">
        <f>IF(Z2311=1,(H2311-M2311)*I2311,0)</f>
        <v/>
      </c>
      <c r="AF2311">
        <f>IF(G2311&lt;EDATE(Assumptions!$C$6,-12)+1,"prior_12m","last_12m")</f>
        <v/>
      </c>
      <c r="AG2311" s="21">
        <f>DATE(YEAR(G2311),MONTH(G2311),1)</f>
        <v/>
      </c>
    </row>
    <row r="2312">
      <c r="A2312" t="inlineStr">
        <is>
          <t>SPO-01252-3</t>
        </is>
      </c>
      <c r="B2312" t="inlineStr">
        <is>
          <t>SPO-01252</t>
        </is>
      </c>
      <c r="C2312" t="inlineStr">
        <is>
          <t>SUP-12</t>
        </is>
      </c>
      <c r="D2312" t="inlineStr">
        <is>
          <t>IT</t>
        </is>
      </c>
      <c r="E2312" t="inlineStr">
        <is>
          <t>IT-05</t>
        </is>
      </c>
      <c r="F2312" s="17" t="n">
        <v>45916</v>
      </c>
      <c r="G2312" s="17" t="n">
        <v>45926</v>
      </c>
      <c r="H2312" s="18" t="n">
        <v>2</v>
      </c>
      <c r="I2312" s="19" t="n">
        <v>743.6799999999999</v>
      </c>
      <c r="J2312" s="19" t="n">
        <v>640</v>
      </c>
      <c r="K2312" s="20" t="n">
        <v>0</v>
      </c>
      <c r="L2312" s="20" t="n">
        <v>0</v>
      </c>
      <c r="M2312" s="18" t="n">
        <v>2</v>
      </c>
      <c r="N2312" s="18" t="n">
        <v>2</v>
      </c>
      <c r="O2312" s="18" t="n">
        <v>0</v>
      </c>
      <c r="P2312" s="17" t="n">
        <v>45925</v>
      </c>
      <c r="Q2312" s="17" t="n">
        <v>45925</v>
      </c>
      <c r="R2312" s="17" t="n">
        <v>45925</v>
      </c>
      <c r="S2312" s="19">
        <f>H2312*I2312</f>
        <v/>
      </c>
      <c r="T2312" s="19">
        <f>H2312*J2312</f>
        <v/>
      </c>
      <c r="U2312">
        <f>IF(AND(K2312=0,G2312&lt;=Assumptions!$C$6),1,0)</f>
        <v/>
      </c>
      <c r="V2312">
        <f>IF(U2312=1,IF(M2312&gt;0,IF(P2312&lt;=G2312+Assumptions!$C$7,1,0),0),0)</f>
        <v/>
      </c>
      <c r="W2312">
        <f>IF(AND(U2312=1,M2312&gt;=H2312*(1-Assumptions!$C$8)),1,0)</f>
        <v/>
      </c>
      <c r="X2312">
        <f>IF(AND(U2312=1,N2312&gt;=H2312*(1-Assumptions!$C$8)),1,0)</f>
        <v/>
      </c>
      <c r="Y2312">
        <f>IF(ISNUMBER(Q2312),1,0)</f>
        <v/>
      </c>
      <c r="Z2312">
        <f>IF(AND(K2312=0,L2312=0,Y2312=0),1,0)</f>
        <v/>
      </c>
      <c r="AA2312">
        <f>IF(AND(Z2312=1,G2312&lt;Assumptions!$C$6),1,0)</f>
        <v/>
      </c>
      <c r="AB2312">
        <f>IF(U2312=0,"",IF(Y2312=1,MAX(0,Q2312-G2312),IF(L2312=1,MAX(0,R2312-G2312),MAX(0,Assumptions!$C$6-G2312))))</f>
        <v/>
      </c>
      <c r="AC2312">
        <f>IF(Y2312=1,Q2312-F2312,"")</f>
        <v/>
      </c>
      <c r="AD2312">
        <f>IF(Y2312=1,AC2312^2,"")</f>
        <v/>
      </c>
      <c r="AE2312" s="19">
        <f>IF(Z2312=1,(H2312-M2312)*I2312,0)</f>
        <v/>
      </c>
      <c r="AF2312">
        <f>IF(G2312&lt;EDATE(Assumptions!$C$6,-12)+1,"prior_12m","last_12m")</f>
        <v/>
      </c>
      <c r="AG2312" s="21">
        <f>DATE(YEAR(G2312),MONTH(G2312),1)</f>
        <v/>
      </c>
    </row>
    <row r="2313">
      <c r="A2313" t="inlineStr">
        <is>
          <t>SPO-01252-4</t>
        </is>
      </c>
      <c r="B2313" t="inlineStr">
        <is>
          <t>SPO-01252</t>
        </is>
      </c>
      <c r="C2313" t="inlineStr">
        <is>
          <t>SUP-12</t>
        </is>
      </c>
      <c r="D2313" t="inlineStr">
        <is>
          <t>IT</t>
        </is>
      </c>
      <c r="E2313" t="inlineStr">
        <is>
          <t>IT-07</t>
        </is>
      </c>
      <c r="F2313" s="17" t="n">
        <v>45916</v>
      </c>
      <c r="G2313" s="17" t="n">
        <v>45926</v>
      </c>
      <c r="H2313" s="18" t="n">
        <v>22</v>
      </c>
      <c r="I2313" s="19" t="n">
        <v>81.61</v>
      </c>
      <c r="J2313" s="19" t="n">
        <v>74</v>
      </c>
      <c r="K2313" s="20" t="n">
        <v>0</v>
      </c>
      <c r="L2313" s="20" t="n">
        <v>0</v>
      </c>
      <c r="M2313" s="18" t="n">
        <v>22</v>
      </c>
      <c r="N2313" s="18" t="n">
        <v>22</v>
      </c>
      <c r="O2313" s="18" t="n">
        <v>0</v>
      </c>
      <c r="P2313" s="17" t="n">
        <v>45918</v>
      </c>
      <c r="Q2313" s="17" t="n">
        <v>45923</v>
      </c>
      <c r="R2313" s="17" t="n">
        <v>45923</v>
      </c>
      <c r="S2313" s="19">
        <f>H2313*I2313</f>
        <v/>
      </c>
      <c r="T2313" s="19">
        <f>H2313*J2313</f>
        <v/>
      </c>
      <c r="U2313">
        <f>IF(AND(K2313=0,G2313&lt;=Assumptions!$C$6),1,0)</f>
        <v/>
      </c>
      <c r="V2313">
        <f>IF(U2313=1,IF(M2313&gt;0,IF(P2313&lt;=G2313+Assumptions!$C$7,1,0),0),0)</f>
        <v/>
      </c>
      <c r="W2313">
        <f>IF(AND(U2313=1,M2313&gt;=H2313*(1-Assumptions!$C$8)),1,0)</f>
        <v/>
      </c>
      <c r="X2313">
        <f>IF(AND(U2313=1,N2313&gt;=H2313*(1-Assumptions!$C$8)),1,0)</f>
        <v/>
      </c>
      <c r="Y2313">
        <f>IF(ISNUMBER(Q2313),1,0)</f>
        <v/>
      </c>
      <c r="Z2313">
        <f>IF(AND(K2313=0,L2313=0,Y2313=0),1,0)</f>
        <v/>
      </c>
      <c r="AA2313">
        <f>IF(AND(Z2313=1,G2313&lt;Assumptions!$C$6),1,0)</f>
        <v/>
      </c>
      <c r="AB2313">
        <f>IF(U2313=0,"",IF(Y2313=1,MAX(0,Q2313-G2313),IF(L2313=1,MAX(0,R2313-G2313),MAX(0,Assumptions!$C$6-G2313))))</f>
        <v/>
      </c>
      <c r="AC2313">
        <f>IF(Y2313=1,Q2313-F2313,"")</f>
        <v/>
      </c>
      <c r="AD2313">
        <f>IF(Y2313=1,AC2313^2,"")</f>
        <v/>
      </c>
      <c r="AE2313" s="19">
        <f>IF(Z2313=1,(H2313-M2313)*I2313,0)</f>
        <v/>
      </c>
      <c r="AF2313">
        <f>IF(G2313&lt;EDATE(Assumptions!$C$6,-12)+1,"prior_12m","last_12m")</f>
        <v/>
      </c>
      <c r="AG2313" s="21">
        <f>DATE(YEAR(G2313),MONTH(G2313),1)</f>
        <v/>
      </c>
    </row>
    <row r="2314">
      <c r="A2314" t="inlineStr">
        <is>
          <t>SPO-01253-1</t>
        </is>
      </c>
      <c r="B2314" t="inlineStr">
        <is>
          <t>SPO-01253</t>
        </is>
      </c>
      <c r="C2314" t="inlineStr">
        <is>
          <t>SUP-01</t>
        </is>
      </c>
      <c r="D2314" t="inlineStr">
        <is>
          <t>ELEC</t>
        </is>
      </c>
      <c r="E2314" t="inlineStr">
        <is>
          <t>ELEC-02</t>
        </is>
      </c>
      <c r="F2314" s="17" t="n">
        <v>45916</v>
      </c>
      <c r="G2314" s="17" t="n">
        <v>45934</v>
      </c>
      <c r="H2314" s="18" t="n">
        <v>598</v>
      </c>
      <c r="I2314" s="19" t="n">
        <v>4.3</v>
      </c>
      <c r="J2314" s="19" t="n">
        <v>4.2</v>
      </c>
      <c r="K2314" s="20" t="n">
        <v>0</v>
      </c>
      <c r="L2314" s="20" t="n">
        <v>0</v>
      </c>
      <c r="M2314" s="18" t="n">
        <v>598</v>
      </c>
      <c r="N2314" s="18" t="n">
        <v>598</v>
      </c>
      <c r="O2314" s="18" t="n">
        <v>0</v>
      </c>
      <c r="P2314" s="17" t="n">
        <v>45928</v>
      </c>
      <c r="Q2314" s="17" t="n">
        <v>45928</v>
      </c>
      <c r="R2314" s="17" t="n">
        <v>45928</v>
      </c>
      <c r="S2314" s="19">
        <f>H2314*I2314</f>
        <v/>
      </c>
      <c r="T2314" s="19">
        <f>H2314*J2314</f>
        <v/>
      </c>
      <c r="U2314">
        <f>IF(AND(K2314=0,G2314&lt;=Assumptions!$C$6),1,0)</f>
        <v/>
      </c>
      <c r="V2314">
        <f>IF(U2314=1,IF(M2314&gt;0,IF(P2314&lt;=G2314+Assumptions!$C$7,1,0),0),0)</f>
        <v/>
      </c>
      <c r="W2314">
        <f>IF(AND(U2314=1,M2314&gt;=H2314*(1-Assumptions!$C$8)),1,0)</f>
        <v/>
      </c>
      <c r="X2314">
        <f>IF(AND(U2314=1,N2314&gt;=H2314*(1-Assumptions!$C$8)),1,0)</f>
        <v/>
      </c>
      <c r="Y2314">
        <f>IF(ISNUMBER(Q2314),1,0)</f>
        <v/>
      </c>
      <c r="Z2314">
        <f>IF(AND(K2314=0,L2314=0,Y2314=0),1,0)</f>
        <v/>
      </c>
      <c r="AA2314">
        <f>IF(AND(Z2314=1,G2314&lt;Assumptions!$C$6),1,0)</f>
        <v/>
      </c>
      <c r="AB2314">
        <f>IF(U2314=0,"",IF(Y2314=1,MAX(0,Q2314-G2314),IF(L2314=1,MAX(0,R2314-G2314),MAX(0,Assumptions!$C$6-G2314))))</f>
        <v/>
      </c>
      <c r="AC2314">
        <f>IF(Y2314=1,Q2314-F2314,"")</f>
        <v/>
      </c>
      <c r="AD2314">
        <f>IF(Y2314=1,AC2314^2,"")</f>
        <v/>
      </c>
      <c r="AE2314" s="19">
        <f>IF(Z2314=1,(H2314-M2314)*I2314,0)</f>
        <v/>
      </c>
      <c r="AF2314">
        <f>IF(G2314&lt;EDATE(Assumptions!$C$6,-12)+1,"prior_12m","last_12m")</f>
        <v/>
      </c>
      <c r="AG2314" s="21">
        <f>DATE(YEAR(G2314),MONTH(G2314),1)</f>
        <v/>
      </c>
    </row>
    <row r="2315">
      <c r="A2315" t="inlineStr">
        <is>
          <t>SPO-01254-1</t>
        </is>
      </c>
      <c r="B2315" t="inlineStr">
        <is>
          <t>SPO-01254</t>
        </is>
      </c>
      <c r="C2315" t="inlineStr">
        <is>
          <t>SUP-06</t>
        </is>
      </c>
      <c r="D2315" t="inlineStr">
        <is>
          <t>MRO</t>
        </is>
      </c>
      <c r="E2315" t="inlineStr">
        <is>
          <t>MRO-07</t>
        </is>
      </c>
      <c r="F2315" s="17" t="n">
        <v>45918</v>
      </c>
      <c r="G2315" s="17" t="n">
        <v>45926</v>
      </c>
      <c r="H2315" s="18" t="n">
        <v>78</v>
      </c>
      <c r="I2315" s="19" t="n">
        <v>13.76</v>
      </c>
      <c r="J2315" s="19" t="n">
        <v>14</v>
      </c>
      <c r="K2315" s="20" t="n">
        <v>0</v>
      </c>
      <c r="L2315" s="20" t="n">
        <v>0</v>
      </c>
      <c r="M2315" s="18" t="n">
        <v>78</v>
      </c>
      <c r="N2315" s="18" t="n">
        <v>78</v>
      </c>
      <c r="O2315" s="18" t="n">
        <v>0</v>
      </c>
      <c r="P2315" s="17" t="n">
        <v>45923</v>
      </c>
      <c r="Q2315" s="17" t="n">
        <v>45923</v>
      </c>
      <c r="R2315" s="17" t="n">
        <v>45923</v>
      </c>
      <c r="S2315" s="19">
        <f>H2315*I2315</f>
        <v/>
      </c>
      <c r="T2315" s="19">
        <f>H2315*J2315</f>
        <v/>
      </c>
      <c r="U2315">
        <f>IF(AND(K2315=0,G2315&lt;=Assumptions!$C$6),1,0)</f>
        <v/>
      </c>
      <c r="V2315">
        <f>IF(U2315=1,IF(M2315&gt;0,IF(P2315&lt;=G2315+Assumptions!$C$7,1,0),0),0)</f>
        <v/>
      </c>
      <c r="W2315">
        <f>IF(AND(U2315=1,M2315&gt;=H2315*(1-Assumptions!$C$8)),1,0)</f>
        <v/>
      </c>
      <c r="X2315">
        <f>IF(AND(U2315=1,N2315&gt;=H2315*(1-Assumptions!$C$8)),1,0)</f>
        <v/>
      </c>
      <c r="Y2315">
        <f>IF(ISNUMBER(Q2315),1,0)</f>
        <v/>
      </c>
      <c r="Z2315">
        <f>IF(AND(K2315=0,L2315=0,Y2315=0),1,0)</f>
        <v/>
      </c>
      <c r="AA2315">
        <f>IF(AND(Z2315=1,G2315&lt;Assumptions!$C$6),1,0)</f>
        <v/>
      </c>
      <c r="AB2315">
        <f>IF(U2315=0,"",IF(Y2315=1,MAX(0,Q2315-G2315),IF(L2315=1,MAX(0,R2315-G2315),MAX(0,Assumptions!$C$6-G2315))))</f>
        <v/>
      </c>
      <c r="AC2315">
        <f>IF(Y2315=1,Q2315-F2315,"")</f>
        <v/>
      </c>
      <c r="AD2315">
        <f>IF(Y2315=1,AC2315^2,"")</f>
        <v/>
      </c>
      <c r="AE2315" s="19">
        <f>IF(Z2315=1,(H2315-M2315)*I2315,0)</f>
        <v/>
      </c>
      <c r="AF2315">
        <f>IF(G2315&lt;EDATE(Assumptions!$C$6,-12)+1,"prior_12m","last_12m")</f>
        <v/>
      </c>
      <c r="AG2315" s="21">
        <f>DATE(YEAR(G2315),MONTH(G2315),1)</f>
        <v/>
      </c>
    </row>
    <row r="2316">
      <c r="A2316" t="inlineStr">
        <is>
          <t>SPO-01254-2</t>
        </is>
      </c>
      <c r="B2316" t="inlineStr">
        <is>
          <t>SPO-01254</t>
        </is>
      </c>
      <c r="C2316" t="inlineStr">
        <is>
          <t>SUP-06</t>
        </is>
      </c>
      <c r="D2316" t="inlineStr">
        <is>
          <t>MRO</t>
        </is>
      </c>
      <c r="E2316" t="inlineStr">
        <is>
          <t>MRO-06</t>
        </is>
      </c>
      <c r="F2316" s="17" t="n">
        <v>45918</v>
      </c>
      <c r="G2316" s="17" t="n">
        <v>45926</v>
      </c>
      <c r="H2316" s="18" t="n">
        <v>176</v>
      </c>
      <c r="I2316" s="19" t="n">
        <v>5.86</v>
      </c>
      <c r="J2316" s="19" t="n">
        <v>6.1</v>
      </c>
      <c r="K2316" s="20" t="n">
        <v>0</v>
      </c>
      <c r="L2316" s="20" t="n">
        <v>0</v>
      </c>
      <c r="M2316" s="18" t="n">
        <v>176</v>
      </c>
      <c r="N2316" s="18" t="n">
        <v>176</v>
      </c>
      <c r="O2316" s="18" t="n">
        <v>0</v>
      </c>
      <c r="P2316" s="17" t="n">
        <v>45922</v>
      </c>
      <c r="Q2316" s="17" t="n">
        <v>45922</v>
      </c>
      <c r="R2316" s="17" t="n">
        <v>45922</v>
      </c>
      <c r="S2316" s="19">
        <f>H2316*I2316</f>
        <v/>
      </c>
      <c r="T2316" s="19">
        <f>H2316*J2316</f>
        <v/>
      </c>
      <c r="U2316">
        <f>IF(AND(K2316=0,G2316&lt;=Assumptions!$C$6),1,0)</f>
        <v/>
      </c>
      <c r="V2316">
        <f>IF(U2316=1,IF(M2316&gt;0,IF(P2316&lt;=G2316+Assumptions!$C$7,1,0),0),0)</f>
        <v/>
      </c>
      <c r="W2316">
        <f>IF(AND(U2316=1,M2316&gt;=H2316*(1-Assumptions!$C$8)),1,0)</f>
        <v/>
      </c>
      <c r="X2316">
        <f>IF(AND(U2316=1,N2316&gt;=H2316*(1-Assumptions!$C$8)),1,0)</f>
        <v/>
      </c>
      <c r="Y2316">
        <f>IF(ISNUMBER(Q2316),1,0)</f>
        <v/>
      </c>
      <c r="Z2316">
        <f>IF(AND(K2316=0,L2316=0,Y2316=0),1,0)</f>
        <v/>
      </c>
      <c r="AA2316">
        <f>IF(AND(Z2316=1,G2316&lt;Assumptions!$C$6),1,0)</f>
        <v/>
      </c>
      <c r="AB2316">
        <f>IF(U2316=0,"",IF(Y2316=1,MAX(0,Q2316-G2316),IF(L2316=1,MAX(0,R2316-G2316),MAX(0,Assumptions!$C$6-G2316))))</f>
        <v/>
      </c>
      <c r="AC2316">
        <f>IF(Y2316=1,Q2316-F2316,"")</f>
        <v/>
      </c>
      <c r="AD2316">
        <f>IF(Y2316=1,AC2316^2,"")</f>
        <v/>
      </c>
      <c r="AE2316" s="19">
        <f>IF(Z2316=1,(H2316-M2316)*I2316,0)</f>
        <v/>
      </c>
      <c r="AF2316">
        <f>IF(G2316&lt;EDATE(Assumptions!$C$6,-12)+1,"prior_12m","last_12m")</f>
        <v/>
      </c>
      <c r="AG2316" s="21">
        <f>DATE(YEAR(G2316),MONTH(G2316),1)</f>
        <v/>
      </c>
    </row>
    <row r="2317">
      <c r="A2317" t="inlineStr">
        <is>
          <t>SPO-01254-3</t>
        </is>
      </c>
      <c r="B2317" t="inlineStr">
        <is>
          <t>SPO-01254</t>
        </is>
      </c>
      <c r="C2317" t="inlineStr">
        <is>
          <t>SUP-06</t>
        </is>
      </c>
      <c r="D2317" t="inlineStr">
        <is>
          <t>MRO</t>
        </is>
      </c>
      <c r="E2317" t="inlineStr">
        <is>
          <t>MRO-08</t>
        </is>
      </c>
      <c r="F2317" s="17" t="n">
        <v>45918</v>
      </c>
      <c r="G2317" s="17" t="n">
        <v>45926</v>
      </c>
      <c r="H2317" s="18" t="n">
        <v>346</v>
      </c>
      <c r="I2317" s="19" t="n">
        <v>7.27</v>
      </c>
      <c r="J2317" s="19" t="n">
        <v>7.2</v>
      </c>
      <c r="K2317" s="20" t="n">
        <v>0</v>
      </c>
      <c r="L2317" s="20" t="n">
        <v>0</v>
      </c>
      <c r="M2317" s="18" t="n">
        <v>346</v>
      </c>
      <c r="N2317" s="18" t="n">
        <v>346</v>
      </c>
      <c r="O2317" s="18" t="n">
        <v>0</v>
      </c>
      <c r="P2317" s="17" t="n">
        <v>45922</v>
      </c>
      <c r="Q2317" s="17" t="n">
        <v>45922</v>
      </c>
      <c r="R2317" s="17" t="n">
        <v>45922</v>
      </c>
      <c r="S2317" s="19">
        <f>H2317*I2317</f>
        <v/>
      </c>
      <c r="T2317" s="19">
        <f>H2317*J2317</f>
        <v/>
      </c>
      <c r="U2317">
        <f>IF(AND(K2317=0,G2317&lt;=Assumptions!$C$6),1,0)</f>
        <v/>
      </c>
      <c r="V2317">
        <f>IF(U2317=1,IF(M2317&gt;0,IF(P2317&lt;=G2317+Assumptions!$C$7,1,0),0),0)</f>
        <v/>
      </c>
      <c r="W2317">
        <f>IF(AND(U2317=1,M2317&gt;=H2317*(1-Assumptions!$C$8)),1,0)</f>
        <v/>
      </c>
      <c r="X2317">
        <f>IF(AND(U2317=1,N2317&gt;=H2317*(1-Assumptions!$C$8)),1,0)</f>
        <v/>
      </c>
      <c r="Y2317">
        <f>IF(ISNUMBER(Q2317),1,0)</f>
        <v/>
      </c>
      <c r="Z2317">
        <f>IF(AND(K2317=0,L2317=0,Y2317=0),1,0)</f>
        <v/>
      </c>
      <c r="AA2317">
        <f>IF(AND(Z2317=1,G2317&lt;Assumptions!$C$6),1,0)</f>
        <v/>
      </c>
      <c r="AB2317">
        <f>IF(U2317=0,"",IF(Y2317=1,MAX(0,Q2317-G2317),IF(L2317=1,MAX(0,R2317-G2317),MAX(0,Assumptions!$C$6-G2317))))</f>
        <v/>
      </c>
      <c r="AC2317">
        <f>IF(Y2317=1,Q2317-F2317,"")</f>
        <v/>
      </c>
      <c r="AD2317">
        <f>IF(Y2317=1,AC2317^2,"")</f>
        <v/>
      </c>
      <c r="AE2317" s="19">
        <f>IF(Z2317=1,(H2317-M2317)*I2317,0)</f>
        <v/>
      </c>
      <c r="AF2317">
        <f>IF(G2317&lt;EDATE(Assumptions!$C$6,-12)+1,"prior_12m","last_12m")</f>
        <v/>
      </c>
      <c r="AG2317" s="21">
        <f>DATE(YEAR(G2317),MONTH(G2317),1)</f>
        <v/>
      </c>
    </row>
    <row r="2318">
      <c r="A2318" t="inlineStr">
        <is>
          <t>SPO-01255-1</t>
        </is>
      </c>
      <c r="B2318" t="inlineStr">
        <is>
          <t>SPO-01255</t>
        </is>
      </c>
      <c r="C2318" t="inlineStr">
        <is>
          <t>SUP-02</t>
        </is>
      </c>
      <c r="D2318" t="inlineStr">
        <is>
          <t>ELEC</t>
        </is>
      </c>
      <c r="E2318" t="inlineStr">
        <is>
          <t>ELEC-07</t>
        </is>
      </c>
      <c r="F2318" s="17" t="n">
        <v>45919</v>
      </c>
      <c r="G2318" s="17" t="n">
        <v>45935</v>
      </c>
      <c r="H2318" s="18" t="n">
        <v>239</v>
      </c>
      <c r="I2318" s="19" t="n">
        <v>9.76</v>
      </c>
      <c r="J2318" s="19" t="n">
        <v>9.800000000000001</v>
      </c>
      <c r="K2318" s="20" t="n">
        <v>0</v>
      </c>
      <c r="L2318" s="20" t="n">
        <v>0</v>
      </c>
      <c r="M2318" s="18" t="n">
        <v>239</v>
      </c>
      <c r="N2318" s="18" t="n">
        <v>239</v>
      </c>
      <c r="O2318" s="18" t="n">
        <v>0</v>
      </c>
      <c r="P2318" s="17" t="n">
        <v>45933</v>
      </c>
      <c r="Q2318" s="17" t="n">
        <v>45933</v>
      </c>
      <c r="R2318" s="17" t="n">
        <v>45933</v>
      </c>
      <c r="S2318" s="19">
        <f>H2318*I2318</f>
        <v/>
      </c>
      <c r="T2318" s="19">
        <f>H2318*J2318</f>
        <v/>
      </c>
      <c r="U2318">
        <f>IF(AND(K2318=0,G2318&lt;=Assumptions!$C$6),1,0)</f>
        <v/>
      </c>
      <c r="V2318">
        <f>IF(U2318=1,IF(M2318&gt;0,IF(P2318&lt;=G2318+Assumptions!$C$7,1,0),0),0)</f>
        <v/>
      </c>
      <c r="W2318">
        <f>IF(AND(U2318=1,M2318&gt;=H2318*(1-Assumptions!$C$8)),1,0)</f>
        <v/>
      </c>
      <c r="X2318">
        <f>IF(AND(U2318=1,N2318&gt;=H2318*(1-Assumptions!$C$8)),1,0)</f>
        <v/>
      </c>
      <c r="Y2318">
        <f>IF(ISNUMBER(Q2318),1,0)</f>
        <v/>
      </c>
      <c r="Z2318">
        <f>IF(AND(K2318=0,L2318=0,Y2318=0),1,0)</f>
        <v/>
      </c>
      <c r="AA2318">
        <f>IF(AND(Z2318=1,G2318&lt;Assumptions!$C$6),1,0)</f>
        <v/>
      </c>
      <c r="AB2318">
        <f>IF(U2318=0,"",IF(Y2318=1,MAX(0,Q2318-G2318),IF(L2318=1,MAX(0,R2318-G2318),MAX(0,Assumptions!$C$6-G2318))))</f>
        <v/>
      </c>
      <c r="AC2318">
        <f>IF(Y2318=1,Q2318-F2318,"")</f>
        <v/>
      </c>
      <c r="AD2318">
        <f>IF(Y2318=1,AC2318^2,"")</f>
        <v/>
      </c>
      <c r="AE2318" s="19">
        <f>IF(Z2318=1,(H2318-M2318)*I2318,0)</f>
        <v/>
      </c>
      <c r="AF2318">
        <f>IF(G2318&lt;EDATE(Assumptions!$C$6,-12)+1,"prior_12m","last_12m")</f>
        <v/>
      </c>
      <c r="AG2318" s="21">
        <f>DATE(YEAR(G2318),MONTH(G2318),1)</f>
        <v/>
      </c>
    </row>
    <row r="2319">
      <c r="A2319" t="inlineStr">
        <is>
          <t>SPO-01256-1</t>
        </is>
      </c>
      <c r="B2319" t="inlineStr">
        <is>
          <t>SPO-01256</t>
        </is>
      </c>
      <c r="C2319" t="inlineStr">
        <is>
          <t>SUP-04</t>
        </is>
      </c>
      <c r="D2319" t="inlineStr">
        <is>
          <t>FLEET</t>
        </is>
      </c>
      <c r="E2319" t="inlineStr">
        <is>
          <t>FLEET-08</t>
        </is>
      </c>
      <c r="F2319" s="17" t="n">
        <v>45919</v>
      </c>
      <c r="G2319" s="17" t="n">
        <v>45932</v>
      </c>
      <c r="H2319" s="18" t="n">
        <v>211</v>
      </c>
      <c r="I2319" s="19" t="n">
        <v>5.99</v>
      </c>
      <c r="J2319" s="19" t="n">
        <v>6.4</v>
      </c>
      <c r="K2319" s="20" t="n">
        <v>0</v>
      </c>
      <c r="L2319" s="20" t="n">
        <v>0</v>
      </c>
      <c r="M2319" s="18" t="n">
        <v>211</v>
      </c>
      <c r="N2319" s="18" t="n">
        <v>211</v>
      </c>
      <c r="O2319" s="18" t="n">
        <v>0</v>
      </c>
      <c r="P2319" s="17" t="n">
        <v>45931</v>
      </c>
      <c r="Q2319" s="17" t="n">
        <v>45931</v>
      </c>
      <c r="R2319" s="17" t="n">
        <v>45931</v>
      </c>
      <c r="S2319" s="19">
        <f>H2319*I2319</f>
        <v/>
      </c>
      <c r="T2319" s="19">
        <f>H2319*J2319</f>
        <v/>
      </c>
      <c r="U2319">
        <f>IF(AND(K2319=0,G2319&lt;=Assumptions!$C$6),1,0)</f>
        <v/>
      </c>
      <c r="V2319">
        <f>IF(U2319=1,IF(M2319&gt;0,IF(P2319&lt;=G2319+Assumptions!$C$7,1,0),0),0)</f>
        <v/>
      </c>
      <c r="W2319">
        <f>IF(AND(U2319=1,M2319&gt;=H2319*(1-Assumptions!$C$8)),1,0)</f>
        <v/>
      </c>
      <c r="X2319">
        <f>IF(AND(U2319=1,N2319&gt;=H2319*(1-Assumptions!$C$8)),1,0)</f>
        <v/>
      </c>
      <c r="Y2319">
        <f>IF(ISNUMBER(Q2319),1,0)</f>
        <v/>
      </c>
      <c r="Z2319">
        <f>IF(AND(K2319=0,L2319=0,Y2319=0),1,0)</f>
        <v/>
      </c>
      <c r="AA2319">
        <f>IF(AND(Z2319=1,G2319&lt;Assumptions!$C$6),1,0)</f>
        <v/>
      </c>
      <c r="AB2319">
        <f>IF(U2319=0,"",IF(Y2319=1,MAX(0,Q2319-G2319),IF(L2319=1,MAX(0,R2319-G2319),MAX(0,Assumptions!$C$6-G2319))))</f>
        <v/>
      </c>
      <c r="AC2319">
        <f>IF(Y2319=1,Q2319-F2319,"")</f>
        <v/>
      </c>
      <c r="AD2319">
        <f>IF(Y2319=1,AC2319^2,"")</f>
        <v/>
      </c>
      <c r="AE2319" s="19">
        <f>IF(Z2319=1,(H2319-M2319)*I2319,0)</f>
        <v/>
      </c>
      <c r="AF2319">
        <f>IF(G2319&lt;EDATE(Assumptions!$C$6,-12)+1,"prior_12m","last_12m")</f>
        <v/>
      </c>
      <c r="AG2319" s="21">
        <f>DATE(YEAR(G2319),MONTH(G2319),1)</f>
        <v/>
      </c>
    </row>
    <row r="2320">
      <c r="A2320" t="inlineStr">
        <is>
          <t>SPO-01256-2</t>
        </is>
      </c>
      <c r="B2320" t="inlineStr">
        <is>
          <t>SPO-01256</t>
        </is>
      </c>
      <c r="C2320" t="inlineStr">
        <is>
          <t>SUP-04</t>
        </is>
      </c>
      <c r="D2320" t="inlineStr">
        <is>
          <t>FLEET</t>
        </is>
      </c>
      <c r="E2320" t="inlineStr">
        <is>
          <t>FLEET-06</t>
        </is>
      </c>
      <c r="F2320" s="17" t="n">
        <v>45919</v>
      </c>
      <c r="G2320" s="17" t="n">
        <v>45932</v>
      </c>
      <c r="H2320" s="18" t="n">
        <v>81</v>
      </c>
      <c r="I2320" s="19" t="n">
        <v>32.21</v>
      </c>
      <c r="J2320" s="19" t="n">
        <v>33</v>
      </c>
      <c r="K2320" s="20" t="n">
        <v>0</v>
      </c>
      <c r="L2320" s="20" t="n">
        <v>0</v>
      </c>
      <c r="M2320" s="18" t="n">
        <v>81</v>
      </c>
      <c r="N2320" s="18" t="n">
        <v>0</v>
      </c>
      <c r="O2320" s="18" t="n">
        <v>0</v>
      </c>
      <c r="P2320" s="17" t="n">
        <v>45945</v>
      </c>
      <c r="Q2320" s="17" t="n">
        <v>45945</v>
      </c>
      <c r="R2320" s="17" t="n">
        <v>45945</v>
      </c>
      <c r="S2320" s="19">
        <f>H2320*I2320</f>
        <v/>
      </c>
      <c r="T2320" s="19">
        <f>H2320*J2320</f>
        <v/>
      </c>
      <c r="U2320">
        <f>IF(AND(K2320=0,G2320&lt;=Assumptions!$C$6),1,0)</f>
        <v/>
      </c>
      <c r="V2320">
        <f>IF(U2320=1,IF(M2320&gt;0,IF(P2320&lt;=G2320+Assumptions!$C$7,1,0),0),0)</f>
        <v/>
      </c>
      <c r="W2320">
        <f>IF(AND(U2320=1,M2320&gt;=H2320*(1-Assumptions!$C$8)),1,0)</f>
        <v/>
      </c>
      <c r="X2320">
        <f>IF(AND(U2320=1,N2320&gt;=H2320*(1-Assumptions!$C$8)),1,0)</f>
        <v/>
      </c>
      <c r="Y2320">
        <f>IF(ISNUMBER(Q2320),1,0)</f>
        <v/>
      </c>
      <c r="Z2320">
        <f>IF(AND(K2320=0,L2320=0,Y2320=0),1,0)</f>
        <v/>
      </c>
      <c r="AA2320">
        <f>IF(AND(Z2320=1,G2320&lt;Assumptions!$C$6),1,0)</f>
        <v/>
      </c>
      <c r="AB2320">
        <f>IF(U2320=0,"",IF(Y2320=1,MAX(0,Q2320-G2320),IF(L2320=1,MAX(0,R2320-G2320),MAX(0,Assumptions!$C$6-G2320))))</f>
        <v/>
      </c>
      <c r="AC2320">
        <f>IF(Y2320=1,Q2320-F2320,"")</f>
        <v/>
      </c>
      <c r="AD2320">
        <f>IF(Y2320=1,AC2320^2,"")</f>
        <v/>
      </c>
      <c r="AE2320" s="19">
        <f>IF(Z2320=1,(H2320-M2320)*I2320,0)</f>
        <v/>
      </c>
      <c r="AF2320">
        <f>IF(G2320&lt;EDATE(Assumptions!$C$6,-12)+1,"prior_12m","last_12m")</f>
        <v/>
      </c>
      <c r="AG2320" s="21">
        <f>DATE(YEAR(G2320),MONTH(G2320),1)</f>
        <v/>
      </c>
    </row>
    <row r="2321">
      <c r="A2321" t="inlineStr">
        <is>
          <t>SPO-01256-3</t>
        </is>
      </c>
      <c r="B2321" t="inlineStr">
        <is>
          <t>SPO-01256</t>
        </is>
      </c>
      <c r="C2321" t="inlineStr">
        <is>
          <t>SUP-04</t>
        </is>
      </c>
      <c r="D2321" t="inlineStr">
        <is>
          <t>FLEET</t>
        </is>
      </c>
      <c r="E2321" t="inlineStr">
        <is>
          <t>FLEET-01</t>
        </is>
      </c>
      <c r="F2321" s="17" t="n">
        <v>45919</v>
      </c>
      <c r="G2321" s="17" t="n">
        <v>45932</v>
      </c>
      <c r="H2321" s="18" t="n">
        <v>17</v>
      </c>
      <c r="I2321" s="19" t="n">
        <v>64.76000000000001</v>
      </c>
      <c r="J2321" s="19" t="n">
        <v>64</v>
      </c>
      <c r="K2321" s="20" t="n">
        <v>0</v>
      </c>
      <c r="L2321" s="20" t="n">
        <v>0</v>
      </c>
      <c r="M2321" s="18" t="n">
        <v>17</v>
      </c>
      <c r="N2321" s="18" t="n">
        <v>0</v>
      </c>
      <c r="O2321" s="18" t="n">
        <v>0</v>
      </c>
      <c r="P2321" s="17" t="n">
        <v>45934</v>
      </c>
      <c r="Q2321" s="17" t="n">
        <v>45934</v>
      </c>
      <c r="R2321" s="17" t="n">
        <v>45934</v>
      </c>
      <c r="S2321" s="19">
        <f>H2321*I2321</f>
        <v/>
      </c>
      <c r="T2321" s="19">
        <f>H2321*J2321</f>
        <v/>
      </c>
      <c r="U2321">
        <f>IF(AND(K2321=0,G2321&lt;=Assumptions!$C$6),1,0)</f>
        <v/>
      </c>
      <c r="V2321">
        <f>IF(U2321=1,IF(M2321&gt;0,IF(P2321&lt;=G2321+Assumptions!$C$7,1,0),0),0)</f>
        <v/>
      </c>
      <c r="W2321">
        <f>IF(AND(U2321=1,M2321&gt;=H2321*(1-Assumptions!$C$8)),1,0)</f>
        <v/>
      </c>
      <c r="X2321">
        <f>IF(AND(U2321=1,N2321&gt;=H2321*(1-Assumptions!$C$8)),1,0)</f>
        <v/>
      </c>
      <c r="Y2321">
        <f>IF(ISNUMBER(Q2321),1,0)</f>
        <v/>
      </c>
      <c r="Z2321">
        <f>IF(AND(K2321=0,L2321=0,Y2321=0),1,0)</f>
        <v/>
      </c>
      <c r="AA2321">
        <f>IF(AND(Z2321=1,G2321&lt;Assumptions!$C$6),1,0)</f>
        <v/>
      </c>
      <c r="AB2321">
        <f>IF(U2321=0,"",IF(Y2321=1,MAX(0,Q2321-G2321),IF(L2321=1,MAX(0,R2321-G2321),MAX(0,Assumptions!$C$6-G2321))))</f>
        <v/>
      </c>
      <c r="AC2321">
        <f>IF(Y2321=1,Q2321-F2321,"")</f>
        <v/>
      </c>
      <c r="AD2321">
        <f>IF(Y2321=1,AC2321^2,"")</f>
        <v/>
      </c>
      <c r="AE2321" s="19">
        <f>IF(Z2321=1,(H2321-M2321)*I2321,0)</f>
        <v/>
      </c>
      <c r="AF2321">
        <f>IF(G2321&lt;EDATE(Assumptions!$C$6,-12)+1,"prior_12m","last_12m")</f>
        <v/>
      </c>
      <c r="AG2321" s="21">
        <f>DATE(YEAR(G2321),MONTH(G2321),1)</f>
        <v/>
      </c>
    </row>
    <row r="2322">
      <c r="A2322" t="inlineStr">
        <is>
          <t>SPO-01257-1</t>
        </is>
      </c>
      <c r="B2322" t="inlineStr">
        <is>
          <t>SPO-01257</t>
        </is>
      </c>
      <c r="C2322" t="inlineStr">
        <is>
          <t>SUP-02</t>
        </is>
      </c>
      <c r="D2322" t="inlineStr">
        <is>
          <t>ELEC</t>
        </is>
      </c>
      <c r="E2322" t="inlineStr">
        <is>
          <t>ELEC-05</t>
        </is>
      </c>
      <c r="F2322" s="17" t="n">
        <v>45919</v>
      </c>
      <c r="G2322" s="17" t="n">
        <v>45935</v>
      </c>
      <c r="H2322" s="18" t="n">
        <v>103</v>
      </c>
      <c r="I2322" s="19" t="n">
        <v>11.58</v>
      </c>
      <c r="J2322" s="19" t="n">
        <v>11.5</v>
      </c>
      <c r="K2322" s="20" t="n">
        <v>0</v>
      </c>
      <c r="L2322" s="20" t="n">
        <v>0</v>
      </c>
      <c r="M2322" s="18" t="n">
        <v>103</v>
      </c>
      <c r="N2322" s="18" t="n">
        <v>0</v>
      </c>
      <c r="O2322" s="18" t="n">
        <v>0</v>
      </c>
      <c r="P2322" s="17" t="n">
        <v>45936</v>
      </c>
      <c r="Q2322" s="17" t="n">
        <v>45936</v>
      </c>
      <c r="R2322" s="17" t="n">
        <v>45936</v>
      </c>
      <c r="S2322" s="19">
        <f>H2322*I2322</f>
        <v/>
      </c>
      <c r="T2322" s="19">
        <f>H2322*J2322</f>
        <v/>
      </c>
      <c r="U2322">
        <f>IF(AND(K2322=0,G2322&lt;=Assumptions!$C$6),1,0)</f>
        <v/>
      </c>
      <c r="V2322">
        <f>IF(U2322=1,IF(M2322&gt;0,IF(P2322&lt;=G2322+Assumptions!$C$7,1,0),0),0)</f>
        <v/>
      </c>
      <c r="W2322">
        <f>IF(AND(U2322=1,M2322&gt;=H2322*(1-Assumptions!$C$8)),1,0)</f>
        <v/>
      </c>
      <c r="X2322">
        <f>IF(AND(U2322=1,N2322&gt;=H2322*(1-Assumptions!$C$8)),1,0)</f>
        <v/>
      </c>
      <c r="Y2322">
        <f>IF(ISNUMBER(Q2322),1,0)</f>
        <v/>
      </c>
      <c r="Z2322">
        <f>IF(AND(K2322=0,L2322=0,Y2322=0),1,0)</f>
        <v/>
      </c>
      <c r="AA2322">
        <f>IF(AND(Z2322=1,G2322&lt;Assumptions!$C$6),1,0)</f>
        <v/>
      </c>
      <c r="AB2322">
        <f>IF(U2322=0,"",IF(Y2322=1,MAX(0,Q2322-G2322),IF(L2322=1,MAX(0,R2322-G2322),MAX(0,Assumptions!$C$6-G2322))))</f>
        <v/>
      </c>
      <c r="AC2322">
        <f>IF(Y2322=1,Q2322-F2322,"")</f>
        <v/>
      </c>
      <c r="AD2322">
        <f>IF(Y2322=1,AC2322^2,"")</f>
        <v/>
      </c>
      <c r="AE2322" s="19">
        <f>IF(Z2322=1,(H2322-M2322)*I2322,0)</f>
        <v/>
      </c>
      <c r="AF2322">
        <f>IF(G2322&lt;EDATE(Assumptions!$C$6,-12)+1,"prior_12m","last_12m")</f>
        <v/>
      </c>
      <c r="AG2322" s="21">
        <f>DATE(YEAR(G2322),MONTH(G2322),1)</f>
        <v/>
      </c>
    </row>
    <row r="2323">
      <c r="A2323" t="inlineStr">
        <is>
          <t>SPO-01258-1</t>
        </is>
      </c>
      <c r="B2323" t="inlineStr">
        <is>
          <t>SPO-01258</t>
        </is>
      </c>
      <c r="C2323" t="inlineStr">
        <is>
          <t>SUP-05</t>
        </is>
      </c>
      <c r="D2323" t="inlineStr">
        <is>
          <t>FLEET</t>
        </is>
      </c>
      <c r="E2323" t="inlineStr">
        <is>
          <t>FLEET-08</t>
        </is>
      </c>
      <c r="F2323" s="17" t="n">
        <v>45919</v>
      </c>
      <c r="G2323" s="17" t="n">
        <v>45933</v>
      </c>
      <c r="H2323" s="18" t="n">
        <v>88</v>
      </c>
      <c r="I2323" s="19" t="n">
        <v>6.53</v>
      </c>
      <c r="J2323" s="19" t="n">
        <v>6.4</v>
      </c>
      <c r="K2323" s="20" t="n">
        <v>0</v>
      </c>
      <c r="L2323" s="20" t="n">
        <v>0</v>
      </c>
      <c r="M2323" s="18" t="n">
        <v>88</v>
      </c>
      <c r="N2323" s="18" t="n">
        <v>88</v>
      </c>
      <c r="O2323" s="18" t="n">
        <v>0</v>
      </c>
      <c r="P2323" s="17" t="n">
        <v>45931</v>
      </c>
      <c r="Q2323" s="17" t="n">
        <v>45931</v>
      </c>
      <c r="R2323" s="17" t="n">
        <v>45931</v>
      </c>
      <c r="S2323" s="19">
        <f>H2323*I2323</f>
        <v/>
      </c>
      <c r="T2323" s="19">
        <f>H2323*J2323</f>
        <v/>
      </c>
      <c r="U2323">
        <f>IF(AND(K2323=0,G2323&lt;=Assumptions!$C$6),1,0)</f>
        <v/>
      </c>
      <c r="V2323">
        <f>IF(U2323=1,IF(M2323&gt;0,IF(P2323&lt;=G2323+Assumptions!$C$7,1,0),0),0)</f>
        <v/>
      </c>
      <c r="W2323">
        <f>IF(AND(U2323=1,M2323&gt;=H2323*(1-Assumptions!$C$8)),1,0)</f>
        <v/>
      </c>
      <c r="X2323">
        <f>IF(AND(U2323=1,N2323&gt;=H2323*(1-Assumptions!$C$8)),1,0)</f>
        <v/>
      </c>
      <c r="Y2323">
        <f>IF(ISNUMBER(Q2323),1,0)</f>
        <v/>
      </c>
      <c r="Z2323">
        <f>IF(AND(K2323=0,L2323=0,Y2323=0),1,0)</f>
        <v/>
      </c>
      <c r="AA2323">
        <f>IF(AND(Z2323=1,G2323&lt;Assumptions!$C$6),1,0)</f>
        <v/>
      </c>
      <c r="AB2323">
        <f>IF(U2323=0,"",IF(Y2323=1,MAX(0,Q2323-G2323),IF(L2323=1,MAX(0,R2323-G2323),MAX(0,Assumptions!$C$6-G2323))))</f>
        <v/>
      </c>
      <c r="AC2323">
        <f>IF(Y2323=1,Q2323-F2323,"")</f>
        <v/>
      </c>
      <c r="AD2323">
        <f>IF(Y2323=1,AC2323^2,"")</f>
        <v/>
      </c>
      <c r="AE2323" s="19">
        <f>IF(Z2323=1,(H2323-M2323)*I2323,0)</f>
        <v/>
      </c>
      <c r="AF2323">
        <f>IF(G2323&lt;EDATE(Assumptions!$C$6,-12)+1,"prior_12m","last_12m")</f>
        <v/>
      </c>
      <c r="AG2323" s="21">
        <f>DATE(YEAR(G2323),MONTH(G2323),1)</f>
        <v/>
      </c>
    </row>
    <row r="2324">
      <c r="A2324" t="inlineStr">
        <is>
          <t>SPO-01259-1</t>
        </is>
      </c>
      <c r="B2324" t="inlineStr">
        <is>
          <t>SPO-01259</t>
        </is>
      </c>
      <c r="C2324" t="inlineStr">
        <is>
          <t>SUP-08</t>
        </is>
      </c>
      <c r="D2324" t="inlineStr">
        <is>
          <t>MRO</t>
        </is>
      </c>
      <c r="E2324" t="inlineStr">
        <is>
          <t>MRO-08</t>
        </is>
      </c>
      <c r="F2324" s="17" t="n">
        <v>45920</v>
      </c>
      <c r="G2324" s="17" t="n">
        <v>45931</v>
      </c>
      <c r="H2324" s="18" t="n">
        <v>167</v>
      </c>
      <c r="I2324" s="19" t="n">
        <v>7.27</v>
      </c>
      <c r="J2324" s="19" t="n">
        <v>7.2</v>
      </c>
      <c r="K2324" s="20" t="n">
        <v>0</v>
      </c>
      <c r="L2324" s="20" t="n">
        <v>0</v>
      </c>
      <c r="M2324" s="18" t="n">
        <v>167</v>
      </c>
      <c r="N2324" s="18" t="n">
        <v>167</v>
      </c>
      <c r="O2324" s="18" t="n">
        <v>0</v>
      </c>
      <c r="P2324" s="17" t="n">
        <v>45924</v>
      </c>
      <c r="Q2324" s="17" t="n">
        <v>45924</v>
      </c>
      <c r="R2324" s="17" t="n">
        <v>45924</v>
      </c>
      <c r="S2324" s="19">
        <f>H2324*I2324</f>
        <v/>
      </c>
      <c r="T2324" s="19">
        <f>H2324*J2324</f>
        <v/>
      </c>
      <c r="U2324">
        <f>IF(AND(K2324=0,G2324&lt;=Assumptions!$C$6),1,0)</f>
        <v/>
      </c>
      <c r="V2324">
        <f>IF(U2324=1,IF(M2324&gt;0,IF(P2324&lt;=G2324+Assumptions!$C$7,1,0),0),0)</f>
        <v/>
      </c>
      <c r="W2324">
        <f>IF(AND(U2324=1,M2324&gt;=H2324*(1-Assumptions!$C$8)),1,0)</f>
        <v/>
      </c>
      <c r="X2324">
        <f>IF(AND(U2324=1,N2324&gt;=H2324*(1-Assumptions!$C$8)),1,0)</f>
        <v/>
      </c>
      <c r="Y2324">
        <f>IF(ISNUMBER(Q2324),1,0)</f>
        <v/>
      </c>
      <c r="Z2324">
        <f>IF(AND(K2324=0,L2324=0,Y2324=0),1,0)</f>
        <v/>
      </c>
      <c r="AA2324">
        <f>IF(AND(Z2324=1,G2324&lt;Assumptions!$C$6),1,0)</f>
        <v/>
      </c>
      <c r="AB2324">
        <f>IF(U2324=0,"",IF(Y2324=1,MAX(0,Q2324-G2324),IF(L2324=1,MAX(0,R2324-G2324),MAX(0,Assumptions!$C$6-G2324))))</f>
        <v/>
      </c>
      <c r="AC2324">
        <f>IF(Y2324=1,Q2324-F2324,"")</f>
        <v/>
      </c>
      <c r="AD2324">
        <f>IF(Y2324=1,AC2324^2,"")</f>
        <v/>
      </c>
      <c r="AE2324" s="19">
        <f>IF(Z2324=1,(H2324-M2324)*I2324,0)</f>
        <v/>
      </c>
      <c r="AF2324">
        <f>IF(G2324&lt;EDATE(Assumptions!$C$6,-12)+1,"prior_12m","last_12m")</f>
        <v/>
      </c>
      <c r="AG2324" s="21">
        <f>DATE(YEAR(G2324),MONTH(G2324),1)</f>
        <v/>
      </c>
    </row>
    <row r="2325">
      <c r="A2325" t="inlineStr">
        <is>
          <t>SPO-01260-1</t>
        </is>
      </c>
      <c r="B2325" t="inlineStr">
        <is>
          <t>SPO-01260</t>
        </is>
      </c>
      <c r="C2325" t="inlineStr">
        <is>
          <t>SUP-07</t>
        </is>
      </c>
      <c r="D2325" t="inlineStr">
        <is>
          <t>MRO</t>
        </is>
      </c>
      <c r="E2325" t="inlineStr">
        <is>
          <t>MRO-08</t>
        </is>
      </c>
      <c r="F2325" s="17" t="n">
        <v>45920</v>
      </c>
      <c r="G2325" s="17" t="n">
        <v>45930</v>
      </c>
      <c r="H2325" s="18" t="n">
        <v>157</v>
      </c>
      <c r="I2325" s="19" t="n">
        <v>7.2</v>
      </c>
      <c r="J2325" s="19" t="n">
        <v>7.2</v>
      </c>
      <c r="K2325" s="20" t="n">
        <v>0</v>
      </c>
      <c r="L2325" s="20" t="n">
        <v>0</v>
      </c>
      <c r="M2325" s="18" t="n">
        <v>157</v>
      </c>
      <c r="N2325" s="18" t="n">
        <v>157</v>
      </c>
      <c r="O2325" s="18" t="n">
        <v>0</v>
      </c>
      <c r="P2325" s="17" t="n">
        <v>45927</v>
      </c>
      <c r="Q2325" s="17" t="n">
        <v>45927</v>
      </c>
      <c r="R2325" s="17" t="n">
        <v>45927</v>
      </c>
      <c r="S2325" s="19">
        <f>H2325*I2325</f>
        <v/>
      </c>
      <c r="T2325" s="19">
        <f>H2325*J2325</f>
        <v/>
      </c>
      <c r="U2325">
        <f>IF(AND(K2325=0,G2325&lt;=Assumptions!$C$6),1,0)</f>
        <v/>
      </c>
      <c r="V2325">
        <f>IF(U2325=1,IF(M2325&gt;0,IF(P2325&lt;=G2325+Assumptions!$C$7,1,0),0),0)</f>
        <v/>
      </c>
      <c r="W2325">
        <f>IF(AND(U2325=1,M2325&gt;=H2325*(1-Assumptions!$C$8)),1,0)</f>
        <v/>
      </c>
      <c r="X2325">
        <f>IF(AND(U2325=1,N2325&gt;=H2325*(1-Assumptions!$C$8)),1,0)</f>
        <v/>
      </c>
      <c r="Y2325">
        <f>IF(ISNUMBER(Q2325),1,0)</f>
        <v/>
      </c>
      <c r="Z2325">
        <f>IF(AND(K2325=0,L2325=0,Y2325=0),1,0)</f>
        <v/>
      </c>
      <c r="AA2325">
        <f>IF(AND(Z2325=1,G2325&lt;Assumptions!$C$6),1,0)</f>
        <v/>
      </c>
      <c r="AB2325">
        <f>IF(U2325=0,"",IF(Y2325=1,MAX(0,Q2325-G2325),IF(L2325=1,MAX(0,R2325-G2325),MAX(0,Assumptions!$C$6-G2325))))</f>
        <v/>
      </c>
      <c r="AC2325">
        <f>IF(Y2325=1,Q2325-F2325,"")</f>
        <v/>
      </c>
      <c r="AD2325">
        <f>IF(Y2325=1,AC2325^2,"")</f>
        <v/>
      </c>
      <c r="AE2325" s="19">
        <f>IF(Z2325=1,(H2325-M2325)*I2325,0)</f>
        <v/>
      </c>
      <c r="AF2325">
        <f>IF(G2325&lt;EDATE(Assumptions!$C$6,-12)+1,"prior_12m","last_12m")</f>
        <v/>
      </c>
      <c r="AG2325" s="21">
        <f>DATE(YEAR(G2325),MONTH(G2325),1)</f>
        <v/>
      </c>
    </row>
    <row r="2326">
      <c r="A2326" t="inlineStr">
        <is>
          <t>SPO-01260-2</t>
        </is>
      </c>
      <c r="B2326" t="inlineStr">
        <is>
          <t>SPO-01260</t>
        </is>
      </c>
      <c r="C2326" t="inlineStr">
        <is>
          <t>SUP-07</t>
        </is>
      </c>
      <c r="D2326" t="inlineStr">
        <is>
          <t>MRO</t>
        </is>
      </c>
      <c r="E2326" t="inlineStr">
        <is>
          <t>MRO-06</t>
        </is>
      </c>
      <c r="F2326" s="17" t="n">
        <v>45920</v>
      </c>
      <c r="G2326" s="17" t="n">
        <v>45930</v>
      </c>
      <c r="H2326" s="18" t="n">
        <v>614</v>
      </c>
      <c r="I2326" s="19" t="n">
        <v>6.03</v>
      </c>
      <c r="J2326" s="19" t="n">
        <v>6.1</v>
      </c>
      <c r="K2326" s="20" t="n">
        <v>0</v>
      </c>
      <c r="L2326" s="20" t="n">
        <v>0</v>
      </c>
      <c r="M2326" s="18" t="n">
        <v>614</v>
      </c>
      <c r="N2326" s="18" t="n">
        <v>614</v>
      </c>
      <c r="O2326" s="18" t="n">
        <v>0</v>
      </c>
      <c r="P2326" s="17" t="n">
        <v>45926</v>
      </c>
      <c r="Q2326" s="17" t="n">
        <v>45926</v>
      </c>
      <c r="R2326" s="17" t="n">
        <v>45926</v>
      </c>
      <c r="S2326" s="19">
        <f>H2326*I2326</f>
        <v/>
      </c>
      <c r="T2326" s="19">
        <f>H2326*J2326</f>
        <v/>
      </c>
      <c r="U2326">
        <f>IF(AND(K2326=0,G2326&lt;=Assumptions!$C$6),1,0)</f>
        <v/>
      </c>
      <c r="V2326">
        <f>IF(U2326=1,IF(M2326&gt;0,IF(P2326&lt;=G2326+Assumptions!$C$7,1,0),0),0)</f>
        <v/>
      </c>
      <c r="W2326">
        <f>IF(AND(U2326=1,M2326&gt;=H2326*(1-Assumptions!$C$8)),1,0)</f>
        <v/>
      </c>
      <c r="X2326">
        <f>IF(AND(U2326=1,N2326&gt;=H2326*(1-Assumptions!$C$8)),1,0)</f>
        <v/>
      </c>
      <c r="Y2326">
        <f>IF(ISNUMBER(Q2326),1,0)</f>
        <v/>
      </c>
      <c r="Z2326">
        <f>IF(AND(K2326=0,L2326=0,Y2326=0),1,0)</f>
        <v/>
      </c>
      <c r="AA2326">
        <f>IF(AND(Z2326=1,G2326&lt;Assumptions!$C$6),1,0)</f>
        <v/>
      </c>
      <c r="AB2326">
        <f>IF(U2326=0,"",IF(Y2326=1,MAX(0,Q2326-G2326),IF(L2326=1,MAX(0,R2326-G2326),MAX(0,Assumptions!$C$6-G2326))))</f>
        <v/>
      </c>
      <c r="AC2326">
        <f>IF(Y2326=1,Q2326-F2326,"")</f>
        <v/>
      </c>
      <c r="AD2326">
        <f>IF(Y2326=1,AC2326^2,"")</f>
        <v/>
      </c>
      <c r="AE2326" s="19">
        <f>IF(Z2326=1,(H2326-M2326)*I2326,0)</f>
        <v/>
      </c>
      <c r="AF2326">
        <f>IF(G2326&lt;EDATE(Assumptions!$C$6,-12)+1,"prior_12m","last_12m")</f>
        <v/>
      </c>
      <c r="AG2326" s="21">
        <f>DATE(YEAR(G2326),MONTH(G2326),1)</f>
        <v/>
      </c>
    </row>
    <row r="2327">
      <c r="A2327" t="inlineStr">
        <is>
          <t>SPO-01260-3</t>
        </is>
      </c>
      <c r="B2327" t="inlineStr">
        <is>
          <t>SPO-01260</t>
        </is>
      </c>
      <c r="C2327" t="inlineStr">
        <is>
          <t>SUP-07</t>
        </is>
      </c>
      <c r="D2327" t="inlineStr">
        <is>
          <t>MRO</t>
        </is>
      </c>
      <c r="E2327" t="inlineStr">
        <is>
          <t>MRO-05</t>
        </is>
      </c>
      <c r="F2327" s="17" t="n">
        <v>45920</v>
      </c>
      <c r="G2327" s="17" t="n">
        <v>45930</v>
      </c>
      <c r="H2327" s="18" t="n">
        <v>33</v>
      </c>
      <c r="I2327" s="19" t="n">
        <v>35.57</v>
      </c>
      <c r="J2327" s="19" t="n">
        <v>36</v>
      </c>
      <c r="K2327" s="20" t="n">
        <v>0</v>
      </c>
      <c r="L2327" s="20" t="n">
        <v>0</v>
      </c>
      <c r="M2327" s="18" t="n">
        <v>33</v>
      </c>
      <c r="N2327" s="18" t="n">
        <v>33</v>
      </c>
      <c r="O2327" s="18" t="n">
        <v>0</v>
      </c>
      <c r="P2327" s="17" t="n">
        <v>45927</v>
      </c>
      <c r="Q2327" s="17" t="n">
        <v>45927</v>
      </c>
      <c r="R2327" s="17" t="n">
        <v>45927</v>
      </c>
      <c r="S2327" s="19">
        <f>H2327*I2327</f>
        <v/>
      </c>
      <c r="T2327" s="19">
        <f>H2327*J2327</f>
        <v/>
      </c>
      <c r="U2327">
        <f>IF(AND(K2327=0,G2327&lt;=Assumptions!$C$6),1,0)</f>
        <v/>
      </c>
      <c r="V2327">
        <f>IF(U2327=1,IF(M2327&gt;0,IF(P2327&lt;=G2327+Assumptions!$C$7,1,0),0),0)</f>
        <v/>
      </c>
      <c r="W2327">
        <f>IF(AND(U2327=1,M2327&gt;=H2327*(1-Assumptions!$C$8)),1,0)</f>
        <v/>
      </c>
      <c r="X2327">
        <f>IF(AND(U2327=1,N2327&gt;=H2327*(1-Assumptions!$C$8)),1,0)</f>
        <v/>
      </c>
      <c r="Y2327">
        <f>IF(ISNUMBER(Q2327),1,0)</f>
        <v/>
      </c>
      <c r="Z2327">
        <f>IF(AND(K2327=0,L2327=0,Y2327=0),1,0)</f>
        <v/>
      </c>
      <c r="AA2327">
        <f>IF(AND(Z2327=1,G2327&lt;Assumptions!$C$6),1,0)</f>
        <v/>
      </c>
      <c r="AB2327">
        <f>IF(U2327=0,"",IF(Y2327=1,MAX(0,Q2327-G2327),IF(L2327=1,MAX(0,R2327-G2327),MAX(0,Assumptions!$C$6-G2327))))</f>
        <v/>
      </c>
      <c r="AC2327">
        <f>IF(Y2327=1,Q2327-F2327,"")</f>
        <v/>
      </c>
      <c r="AD2327">
        <f>IF(Y2327=1,AC2327^2,"")</f>
        <v/>
      </c>
      <c r="AE2327" s="19">
        <f>IF(Z2327=1,(H2327-M2327)*I2327,0)</f>
        <v/>
      </c>
      <c r="AF2327">
        <f>IF(G2327&lt;EDATE(Assumptions!$C$6,-12)+1,"prior_12m","last_12m")</f>
        <v/>
      </c>
      <c r="AG2327" s="21">
        <f>DATE(YEAR(G2327),MONTH(G2327),1)</f>
        <v/>
      </c>
    </row>
    <row r="2328">
      <c r="A2328" t="inlineStr">
        <is>
          <t>SPO-01261-1</t>
        </is>
      </c>
      <c r="B2328" t="inlineStr">
        <is>
          <t>SPO-01261</t>
        </is>
      </c>
      <c r="C2328" t="inlineStr">
        <is>
          <t>SUP-09</t>
        </is>
      </c>
      <c r="D2328" t="inlineStr">
        <is>
          <t>CHEM</t>
        </is>
      </c>
      <c r="E2328" t="inlineStr">
        <is>
          <t>CHEM-05</t>
        </is>
      </c>
      <c r="F2328" s="17" t="n">
        <v>45920</v>
      </c>
      <c r="G2328" s="17" t="n">
        <v>45934</v>
      </c>
      <c r="H2328" s="18" t="n">
        <v>2</v>
      </c>
      <c r="I2328" s="19" t="n">
        <v>940.51</v>
      </c>
      <c r="J2328" s="19" t="n">
        <v>930</v>
      </c>
      <c r="K2328" s="20" t="n">
        <v>0</v>
      </c>
      <c r="L2328" s="20" t="n">
        <v>0</v>
      </c>
      <c r="M2328" s="18" t="n">
        <v>2</v>
      </c>
      <c r="N2328" s="18" t="n">
        <v>2</v>
      </c>
      <c r="O2328" s="18" t="n">
        <v>0</v>
      </c>
      <c r="P2328" s="17" t="n">
        <v>45932</v>
      </c>
      <c r="Q2328" s="17" t="n">
        <v>45932</v>
      </c>
      <c r="R2328" s="17" t="n">
        <v>45932</v>
      </c>
      <c r="S2328" s="19">
        <f>H2328*I2328</f>
        <v/>
      </c>
      <c r="T2328" s="19">
        <f>H2328*J2328</f>
        <v/>
      </c>
      <c r="U2328">
        <f>IF(AND(K2328=0,G2328&lt;=Assumptions!$C$6),1,0)</f>
        <v/>
      </c>
      <c r="V2328">
        <f>IF(U2328=1,IF(M2328&gt;0,IF(P2328&lt;=G2328+Assumptions!$C$7,1,0),0),0)</f>
        <v/>
      </c>
      <c r="W2328">
        <f>IF(AND(U2328=1,M2328&gt;=H2328*(1-Assumptions!$C$8)),1,0)</f>
        <v/>
      </c>
      <c r="X2328">
        <f>IF(AND(U2328=1,N2328&gt;=H2328*(1-Assumptions!$C$8)),1,0)</f>
        <v/>
      </c>
      <c r="Y2328">
        <f>IF(ISNUMBER(Q2328),1,0)</f>
        <v/>
      </c>
      <c r="Z2328">
        <f>IF(AND(K2328=0,L2328=0,Y2328=0),1,0)</f>
        <v/>
      </c>
      <c r="AA2328">
        <f>IF(AND(Z2328=1,G2328&lt;Assumptions!$C$6),1,0)</f>
        <v/>
      </c>
      <c r="AB2328">
        <f>IF(U2328=0,"",IF(Y2328=1,MAX(0,Q2328-G2328),IF(L2328=1,MAX(0,R2328-G2328),MAX(0,Assumptions!$C$6-G2328))))</f>
        <v/>
      </c>
      <c r="AC2328">
        <f>IF(Y2328=1,Q2328-F2328,"")</f>
        <v/>
      </c>
      <c r="AD2328">
        <f>IF(Y2328=1,AC2328^2,"")</f>
        <v/>
      </c>
      <c r="AE2328" s="19">
        <f>IF(Z2328=1,(H2328-M2328)*I2328,0)</f>
        <v/>
      </c>
      <c r="AF2328">
        <f>IF(G2328&lt;EDATE(Assumptions!$C$6,-12)+1,"prior_12m","last_12m")</f>
        <v/>
      </c>
      <c r="AG2328" s="21">
        <f>DATE(YEAR(G2328),MONTH(G2328),1)</f>
        <v/>
      </c>
    </row>
    <row r="2329">
      <c r="A2329" t="inlineStr">
        <is>
          <t>SPO-01262-1</t>
        </is>
      </c>
      <c r="B2329" t="inlineStr">
        <is>
          <t>SPO-01262</t>
        </is>
      </c>
      <c r="C2329" t="inlineStr">
        <is>
          <t>SUP-06</t>
        </is>
      </c>
      <c r="D2329" t="inlineStr">
        <is>
          <t>MRO</t>
        </is>
      </c>
      <c r="E2329" t="inlineStr">
        <is>
          <t>MRO-04</t>
        </is>
      </c>
      <c r="F2329" s="17" t="n">
        <v>45921</v>
      </c>
      <c r="G2329" s="17" t="n">
        <v>45929</v>
      </c>
      <c r="H2329" s="18" t="n">
        <v>31</v>
      </c>
      <c r="I2329" s="19" t="n">
        <v>57.98</v>
      </c>
      <c r="J2329" s="19" t="n">
        <v>58</v>
      </c>
      <c r="K2329" s="20" t="n">
        <v>0</v>
      </c>
      <c r="L2329" s="20" t="n">
        <v>0</v>
      </c>
      <c r="M2329" s="18" t="n">
        <v>31</v>
      </c>
      <c r="N2329" s="18" t="n">
        <v>31</v>
      </c>
      <c r="O2329" s="18" t="n">
        <v>0</v>
      </c>
      <c r="P2329" s="17" t="n">
        <v>45927</v>
      </c>
      <c r="Q2329" s="17" t="n">
        <v>45927</v>
      </c>
      <c r="R2329" s="17" t="n">
        <v>45927</v>
      </c>
      <c r="S2329" s="19">
        <f>H2329*I2329</f>
        <v/>
      </c>
      <c r="T2329" s="19">
        <f>H2329*J2329</f>
        <v/>
      </c>
      <c r="U2329">
        <f>IF(AND(K2329=0,G2329&lt;=Assumptions!$C$6),1,0)</f>
        <v/>
      </c>
      <c r="V2329">
        <f>IF(U2329=1,IF(M2329&gt;0,IF(P2329&lt;=G2329+Assumptions!$C$7,1,0),0),0)</f>
        <v/>
      </c>
      <c r="W2329">
        <f>IF(AND(U2329=1,M2329&gt;=H2329*(1-Assumptions!$C$8)),1,0)</f>
        <v/>
      </c>
      <c r="X2329">
        <f>IF(AND(U2329=1,N2329&gt;=H2329*(1-Assumptions!$C$8)),1,0)</f>
        <v/>
      </c>
      <c r="Y2329">
        <f>IF(ISNUMBER(Q2329),1,0)</f>
        <v/>
      </c>
      <c r="Z2329">
        <f>IF(AND(K2329=0,L2329=0,Y2329=0),1,0)</f>
        <v/>
      </c>
      <c r="AA2329">
        <f>IF(AND(Z2329=1,G2329&lt;Assumptions!$C$6),1,0)</f>
        <v/>
      </c>
      <c r="AB2329">
        <f>IF(U2329=0,"",IF(Y2329=1,MAX(0,Q2329-G2329),IF(L2329=1,MAX(0,R2329-G2329),MAX(0,Assumptions!$C$6-G2329))))</f>
        <v/>
      </c>
      <c r="AC2329">
        <f>IF(Y2329=1,Q2329-F2329,"")</f>
        <v/>
      </c>
      <c r="AD2329">
        <f>IF(Y2329=1,AC2329^2,"")</f>
        <v/>
      </c>
      <c r="AE2329" s="19">
        <f>IF(Z2329=1,(H2329-M2329)*I2329,0)</f>
        <v/>
      </c>
      <c r="AF2329">
        <f>IF(G2329&lt;EDATE(Assumptions!$C$6,-12)+1,"prior_12m","last_12m")</f>
        <v/>
      </c>
      <c r="AG2329" s="21">
        <f>DATE(YEAR(G2329),MONTH(G2329),1)</f>
        <v/>
      </c>
    </row>
    <row r="2330">
      <c r="A2330" t="inlineStr">
        <is>
          <t>SPO-01262-2</t>
        </is>
      </c>
      <c r="B2330" t="inlineStr">
        <is>
          <t>SPO-01262</t>
        </is>
      </c>
      <c r="C2330" t="inlineStr">
        <is>
          <t>SUP-06</t>
        </is>
      </c>
      <c r="D2330" t="inlineStr">
        <is>
          <t>MRO</t>
        </is>
      </c>
      <c r="E2330" t="inlineStr">
        <is>
          <t>MRO-02</t>
        </is>
      </c>
      <c r="F2330" s="17" t="n">
        <v>45921</v>
      </c>
      <c r="G2330" s="17" t="n">
        <v>45929</v>
      </c>
      <c r="H2330" s="18" t="n">
        <v>34</v>
      </c>
      <c r="I2330" s="19" t="n">
        <v>40.05</v>
      </c>
      <c r="J2330" s="19" t="n">
        <v>41</v>
      </c>
      <c r="K2330" s="20" t="n">
        <v>0</v>
      </c>
      <c r="L2330" s="20" t="n">
        <v>0</v>
      </c>
      <c r="M2330" s="18" t="n">
        <v>34</v>
      </c>
      <c r="N2330" s="18" t="n">
        <v>34</v>
      </c>
      <c r="O2330" s="18" t="n">
        <v>0</v>
      </c>
      <c r="P2330" s="17" t="n">
        <v>45928</v>
      </c>
      <c r="Q2330" s="17" t="n">
        <v>45928</v>
      </c>
      <c r="R2330" s="17" t="n">
        <v>45928</v>
      </c>
      <c r="S2330" s="19">
        <f>H2330*I2330</f>
        <v/>
      </c>
      <c r="T2330" s="19">
        <f>H2330*J2330</f>
        <v/>
      </c>
      <c r="U2330">
        <f>IF(AND(K2330=0,G2330&lt;=Assumptions!$C$6),1,0)</f>
        <v/>
      </c>
      <c r="V2330">
        <f>IF(U2330=1,IF(M2330&gt;0,IF(P2330&lt;=G2330+Assumptions!$C$7,1,0),0),0)</f>
        <v/>
      </c>
      <c r="W2330">
        <f>IF(AND(U2330=1,M2330&gt;=H2330*(1-Assumptions!$C$8)),1,0)</f>
        <v/>
      </c>
      <c r="X2330">
        <f>IF(AND(U2330=1,N2330&gt;=H2330*(1-Assumptions!$C$8)),1,0)</f>
        <v/>
      </c>
      <c r="Y2330">
        <f>IF(ISNUMBER(Q2330),1,0)</f>
        <v/>
      </c>
      <c r="Z2330">
        <f>IF(AND(K2330=0,L2330=0,Y2330=0),1,0)</f>
        <v/>
      </c>
      <c r="AA2330">
        <f>IF(AND(Z2330=1,G2330&lt;Assumptions!$C$6),1,0)</f>
        <v/>
      </c>
      <c r="AB2330">
        <f>IF(U2330=0,"",IF(Y2330=1,MAX(0,Q2330-G2330),IF(L2330=1,MAX(0,R2330-G2330),MAX(0,Assumptions!$C$6-G2330))))</f>
        <v/>
      </c>
      <c r="AC2330">
        <f>IF(Y2330=1,Q2330-F2330,"")</f>
        <v/>
      </c>
      <c r="AD2330">
        <f>IF(Y2330=1,AC2330^2,"")</f>
        <v/>
      </c>
      <c r="AE2330" s="19">
        <f>IF(Z2330=1,(H2330-M2330)*I2330,0)</f>
        <v/>
      </c>
      <c r="AF2330">
        <f>IF(G2330&lt;EDATE(Assumptions!$C$6,-12)+1,"prior_12m","last_12m")</f>
        <v/>
      </c>
      <c r="AG2330" s="21">
        <f>DATE(YEAR(G2330),MONTH(G2330),1)</f>
        <v/>
      </c>
    </row>
    <row r="2331">
      <c r="A2331" t="inlineStr">
        <is>
          <t>SPO-01263-1</t>
        </is>
      </c>
      <c r="B2331" t="inlineStr">
        <is>
          <t>SPO-01263</t>
        </is>
      </c>
      <c r="C2331" t="inlineStr">
        <is>
          <t>SUP-07</t>
        </is>
      </c>
      <c r="D2331" t="inlineStr">
        <is>
          <t>MRO</t>
        </is>
      </c>
      <c r="E2331" t="inlineStr">
        <is>
          <t>MRO-05</t>
        </is>
      </c>
      <c r="F2331" s="17" t="n">
        <v>45921</v>
      </c>
      <c r="G2331" s="17" t="n">
        <v>45931</v>
      </c>
      <c r="H2331" s="18" t="n">
        <v>25</v>
      </c>
      <c r="I2331" s="19" t="n">
        <v>37.24</v>
      </c>
      <c r="J2331" s="19" t="n">
        <v>36</v>
      </c>
      <c r="K2331" s="20" t="n">
        <v>0</v>
      </c>
      <c r="L2331" s="20" t="n">
        <v>0</v>
      </c>
      <c r="M2331" s="18" t="n">
        <v>25</v>
      </c>
      <c r="N2331" s="18" t="n">
        <v>25</v>
      </c>
      <c r="O2331" s="18" t="n">
        <v>0</v>
      </c>
      <c r="P2331" s="17" t="n">
        <v>45929</v>
      </c>
      <c r="Q2331" s="17" t="n">
        <v>45929</v>
      </c>
      <c r="R2331" s="17" t="n">
        <v>45929</v>
      </c>
      <c r="S2331" s="19">
        <f>H2331*I2331</f>
        <v/>
      </c>
      <c r="T2331" s="19">
        <f>H2331*J2331</f>
        <v/>
      </c>
      <c r="U2331">
        <f>IF(AND(K2331=0,G2331&lt;=Assumptions!$C$6),1,0)</f>
        <v/>
      </c>
      <c r="V2331">
        <f>IF(U2331=1,IF(M2331&gt;0,IF(P2331&lt;=G2331+Assumptions!$C$7,1,0),0),0)</f>
        <v/>
      </c>
      <c r="W2331">
        <f>IF(AND(U2331=1,M2331&gt;=H2331*(1-Assumptions!$C$8)),1,0)</f>
        <v/>
      </c>
      <c r="X2331">
        <f>IF(AND(U2331=1,N2331&gt;=H2331*(1-Assumptions!$C$8)),1,0)</f>
        <v/>
      </c>
      <c r="Y2331">
        <f>IF(ISNUMBER(Q2331),1,0)</f>
        <v/>
      </c>
      <c r="Z2331">
        <f>IF(AND(K2331=0,L2331=0,Y2331=0),1,0)</f>
        <v/>
      </c>
      <c r="AA2331">
        <f>IF(AND(Z2331=1,G2331&lt;Assumptions!$C$6),1,0)</f>
        <v/>
      </c>
      <c r="AB2331">
        <f>IF(U2331=0,"",IF(Y2331=1,MAX(0,Q2331-G2331),IF(L2331=1,MAX(0,R2331-G2331),MAX(0,Assumptions!$C$6-G2331))))</f>
        <v/>
      </c>
      <c r="AC2331">
        <f>IF(Y2331=1,Q2331-F2331,"")</f>
        <v/>
      </c>
      <c r="AD2331">
        <f>IF(Y2331=1,AC2331^2,"")</f>
        <v/>
      </c>
      <c r="AE2331" s="19">
        <f>IF(Z2331=1,(H2331-M2331)*I2331,0)</f>
        <v/>
      </c>
      <c r="AF2331">
        <f>IF(G2331&lt;EDATE(Assumptions!$C$6,-12)+1,"prior_12m","last_12m")</f>
        <v/>
      </c>
      <c r="AG2331" s="21">
        <f>DATE(YEAR(G2331),MONTH(G2331),1)</f>
        <v/>
      </c>
    </row>
    <row r="2332">
      <c r="A2332" t="inlineStr">
        <is>
          <t>SPO-01264-1</t>
        </is>
      </c>
      <c r="B2332" t="inlineStr">
        <is>
          <t>SPO-01264</t>
        </is>
      </c>
      <c r="C2332" t="inlineStr">
        <is>
          <t>SUP-12</t>
        </is>
      </c>
      <c r="D2332" t="inlineStr">
        <is>
          <t>IT</t>
        </is>
      </c>
      <c r="E2332" t="inlineStr">
        <is>
          <t>IT-08</t>
        </is>
      </c>
      <c r="F2332" s="17" t="n">
        <v>45921</v>
      </c>
      <c r="G2332" s="17" t="n">
        <v>45931</v>
      </c>
      <c r="H2332" s="18" t="n">
        <v>7</v>
      </c>
      <c r="I2332" s="19" t="n">
        <v>268.99</v>
      </c>
      <c r="J2332" s="19" t="n">
        <v>245</v>
      </c>
      <c r="K2332" s="20" t="n">
        <v>0</v>
      </c>
      <c r="L2332" s="20" t="n">
        <v>0</v>
      </c>
      <c r="M2332" s="18" t="n">
        <v>7</v>
      </c>
      <c r="N2332" s="18" t="n">
        <v>7</v>
      </c>
      <c r="O2332" s="18" t="n">
        <v>0</v>
      </c>
      <c r="P2332" s="17" t="n">
        <v>45930</v>
      </c>
      <c r="Q2332" s="17" t="n">
        <v>45930</v>
      </c>
      <c r="R2332" s="17" t="n">
        <v>45930</v>
      </c>
      <c r="S2332" s="19">
        <f>H2332*I2332</f>
        <v/>
      </c>
      <c r="T2332" s="19">
        <f>H2332*J2332</f>
        <v/>
      </c>
      <c r="U2332">
        <f>IF(AND(K2332=0,G2332&lt;=Assumptions!$C$6),1,0)</f>
        <v/>
      </c>
      <c r="V2332">
        <f>IF(U2332=1,IF(M2332&gt;0,IF(P2332&lt;=G2332+Assumptions!$C$7,1,0),0),0)</f>
        <v/>
      </c>
      <c r="W2332">
        <f>IF(AND(U2332=1,M2332&gt;=H2332*(1-Assumptions!$C$8)),1,0)</f>
        <v/>
      </c>
      <c r="X2332">
        <f>IF(AND(U2332=1,N2332&gt;=H2332*(1-Assumptions!$C$8)),1,0)</f>
        <v/>
      </c>
      <c r="Y2332">
        <f>IF(ISNUMBER(Q2332),1,0)</f>
        <v/>
      </c>
      <c r="Z2332">
        <f>IF(AND(K2332=0,L2332=0,Y2332=0),1,0)</f>
        <v/>
      </c>
      <c r="AA2332">
        <f>IF(AND(Z2332=1,G2332&lt;Assumptions!$C$6),1,0)</f>
        <v/>
      </c>
      <c r="AB2332">
        <f>IF(U2332=0,"",IF(Y2332=1,MAX(0,Q2332-G2332),IF(L2332=1,MAX(0,R2332-G2332),MAX(0,Assumptions!$C$6-G2332))))</f>
        <v/>
      </c>
      <c r="AC2332">
        <f>IF(Y2332=1,Q2332-F2332,"")</f>
        <v/>
      </c>
      <c r="AD2332">
        <f>IF(Y2332=1,AC2332^2,"")</f>
        <v/>
      </c>
      <c r="AE2332" s="19">
        <f>IF(Z2332=1,(H2332-M2332)*I2332,0)</f>
        <v/>
      </c>
      <c r="AF2332">
        <f>IF(G2332&lt;EDATE(Assumptions!$C$6,-12)+1,"prior_12m","last_12m")</f>
        <v/>
      </c>
      <c r="AG2332" s="21">
        <f>DATE(YEAR(G2332),MONTH(G2332),1)</f>
        <v/>
      </c>
    </row>
    <row r="2333">
      <c r="A2333" t="inlineStr">
        <is>
          <t>SPO-01264-2</t>
        </is>
      </c>
      <c r="B2333" t="inlineStr">
        <is>
          <t>SPO-01264</t>
        </is>
      </c>
      <c r="C2333" t="inlineStr">
        <is>
          <t>SUP-12</t>
        </is>
      </c>
      <c r="D2333" t="inlineStr">
        <is>
          <t>IT</t>
        </is>
      </c>
      <c r="E2333" t="inlineStr">
        <is>
          <t>IT-04</t>
        </is>
      </c>
      <c r="F2333" s="17" t="n">
        <v>45921</v>
      </c>
      <c r="G2333" s="17" t="n">
        <v>45931</v>
      </c>
      <c r="H2333" s="18" t="n">
        <v>104</v>
      </c>
      <c r="I2333" s="19" t="n">
        <v>13.1</v>
      </c>
      <c r="J2333" s="19" t="n">
        <v>12</v>
      </c>
      <c r="K2333" s="20" t="n">
        <v>0</v>
      </c>
      <c r="L2333" s="20" t="n">
        <v>0</v>
      </c>
      <c r="M2333" s="18" t="n">
        <v>104</v>
      </c>
      <c r="N2333" s="18" t="n">
        <v>104</v>
      </c>
      <c r="O2333" s="18" t="n">
        <v>0</v>
      </c>
      <c r="P2333" s="17" t="n">
        <v>45929</v>
      </c>
      <c r="Q2333" s="17" t="n">
        <v>45929</v>
      </c>
      <c r="R2333" s="17" t="n">
        <v>45929</v>
      </c>
      <c r="S2333" s="19">
        <f>H2333*I2333</f>
        <v/>
      </c>
      <c r="T2333" s="19">
        <f>H2333*J2333</f>
        <v/>
      </c>
      <c r="U2333">
        <f>IF(AND(K2333=0,G2333&lt;=Assumptions!$C$6),1,0)</f>
        <v/>
      </c>
      <c r="V2333">
        <f>IF(U2333=1,IF(M2333&gt;0,IF(P2333&lt;=G2333+Assumptions!$C$7,1,0),0),0)</f>
        <v/>
      </c>
      <c r="W2333">
        <f>IF(AND(U2333=1,M2333&gt;=H2333*(1-Assumptions!$C$8)),1,0)</f>
        <v/>
      </c>
      <c r="X2333">
        <f>IF(AND(U2333=1,N2333&gt;=H2333*(1-Assumptions!$C$8)),1,0)</f>
        <v/>
      </c>
      <c r="Y2333">
        <f>IF(ISNUMBER(Q2333),1,0)</f>
        <v/>
      </c>
      <c r="Z2333">
        <f>IF(AND(K2333=0,L2333=0,Y2333=0),1,0)</f>
        <v/>
      </c>
      <c r="AA2333">
        <f>IF(AND(Z2333=1,G2333&lt;Assumptions!$C$6),1,0)</f>
        <v/>
      </c>
      <c r="AB2333">
        <f>IF(U2333=0,"",IF(Y2333=1,MAX(0,Q2333-G2333),IF(L2333=1,MAX(0,R2333-G2333),MAX(0,Assumptions!$C$6-G2333))))</f>
        <v/>
      </c>
      <c r="AC2333">
        <f>IF(Y2333=1,Q2333-F2333,"")</f>
        <v/>
      </c>
      <c r="AD2333">
        <f>IF(Y2333=1,AC2333^2,"")</f>
        <v/>
      </c>
      <c r="AE2333" s="19">
        <f>IF(Z2333=1,(H2333-M2333)*I2333,0)</f>
        <v/>
      </c>
      <c r="AF2333">
        <f>IF(G2333&lt;EDATE(Assumptions!$C$6,-12)+1,"prior_12m","last_12m")</f>
        <v/>
      </c>
      <c r="AG2333" s="21">
        <f>DATE(YEAR(G2333),MONTH(G2333),1)</f>
        <v/>
      </c>
    </row>
    <row r="2334">
      <c r="A2334" t="inlineStr">
        <is>
          <t>SPO-01264-3</t>
        </is>
      </c>
      <c r="B2334" t="inlineStr">
        <is>
          <t>SPO-01264</t>
        </is>
      </c>
      <c r="C2334" t="inlineStr">
        <is>
          <t>SUP-12</t>
        </is>
      </c>
      <c r="D2334" t="inlineStr">
        <is>
          <t>IT</t>
        </is>
      </c>
      <c r="E2334" t="inlineStr">
        <is>
          <t>IT-06</t>
        </is>
      </c>
      <c r="F2334" s="17" t="n">
        <v>45921</v>
      </c>
      <c r="G2334" s="17" t="n">
        <v>45931</v>
      </c>
      <c r="H2334" s="18" t="n">
        <v>9</v>
      </c>
      <c r="I2334" s="19" t="n">
        <v>98.39</v>
      </c>
      <c r="J2334" s="19" t="n">
        <v>89</v>
      </c>
      <c r="K2334" s="20" t="n">
        <v>0</v>
      </c>
      <c r="L2334" s="20" t="n">
        <v>0</v>
      </c>
      <c r="M2334" s="18" t="n">
        <v>9</v>
      </c>
      <c r="N2334" s="18" t="n">
        <v>9</v>
      </c>
      <c r="O2334" s="18" t="n">
        <v>0</v>
      </c>
      <c r="P2334" s="17" t="n">
        <v>45927</v>
      </c>
      <c r="Q2334" s="17" t="n">
        <v>45927</v>
      </c>
      <c r="R2334" s="17" t="n">
        <v>45927</v>
      </c>
      <c r="S2334" s="19">
        <f>H2334*I2334</f>
        <v/>
      </c>
      <c r="T2334" s="19">
        <f>H2334*J2334</f>
        <v/>
      </c>
      <c r="U2334">
        <f>IF(AND(K2334=0,G2334&lt;=Assumptions!$C$6),1,0)</f>
        <v/>
      </c>
      <c r="V2334">
        <f>IF(U2334=1,IF(M2334&gt;0,IF(P2334&lt;=G2334+Assumptions!$C$7,1,0),0),0)</f>
        <v/>
      </c>
      <c r="W2334">
        <f>IF(AND(U2334=1,M2334&gt;=H2334*(1-Assumptions!$C$8)),1,0)</f>
        <v/>
      </c>
      <c r="X2334">
        <f>IF(AND(U2334=1,N2334&gt;=H2334*(1-Assumptions!$C$8)),1,0)</f>
        <v/>
      </c>
      <c r="Y2334">
        <f>IF(ISNUMBER(Q2334),1,0)</f>
        <v/>
      </c>
      <c r="Z2334">
        <f>IF(AND(K2334=0,L2334=0,Y2334=0),1,0)</f>
        <v/>
      </c>
      <c r="AA2334">
        <f>IF(AND(Z2334=1,G2334&lt;Assumptions!$C$6),1,0)</f>
        <v/>
      </c>
      <c r="AB2334">
        <f>IF(U2334=0,"",IF(Y2334=1,MAX(0,Q2334-G2334),IF(L2334=1,MAX(0,R2334-G2334),MAX(0,Assumptions!$C$6-G2334))))</f>
        <v/>
      </c>
      <c r="AC2334">
        <f>IF(Y2334=1,Q2334-F2334,"")</f>
        <v/>
      </c>
      <c r="AD2334">
        <f>IF(Y2334=1,AC2334^2,"")</f>
        <v/>
      </c>
      <c r="AE2334" s="19">
        <f>IF(Z2334=1,(H2334-M2334)*I2334,0)</f>
        <v/>
      </c>
      <c r="AF2334">
        <f>IF(G2334&lt;EDATE(Assumptions!$C$6,-12)+1,"prior_12m","last_12m")</f>
        <v/>
      </c>
      <c r="AG2334" s="21">
        <f>DATE(YEAR(G2334),MONTH(G2334),1)</f>
        <v/>
      </c>
    </row>
    <row r="2335">
      <c r="A2335" t="inlineStr">
        <is>
          <t>SPO-01265-1</t>
        </is>
      </c>
      <c r="B2335" t="inlineStr">
        <is>
          <t>SPO-01265</t>
        </is>
      </c>
      <c r="C2335" t="inlineStr">
        <is>
          <t>SUP-09</t>
        </is>
      </c>
      <c r="D2335" t="inlineStr">
        <is>
          <t>CHEM</t>
        </is>
      </c>
      <c r="E2335" t="inlineStr">
        <is>
          <t>CHEM-05</t>
        </is>
      </c>
      <c r="F2335" s="17" t="n">
        <v>45922</v>
      </c>
      <c r="G2335" s="17" t="n">
        <v>45936</v>
      </c>
      <c r="H2335" s="18" t="n">
        <v>1</v>
      </c>
      <c r="I2335" s="19" t="n">
        <v>911.55</v>
      </c>
      <c r="J2335" s="19" t="n">
        <v>930</v>
      </c>
      <c r="K2335" s="20" t="n">
        <v>0</v>
      </c>
      <c r="L2335" s="20" t="n">
        <v>0</v>
      </c>
      <c r="M2335" s="18" t="n">
        <v>1</v>
      </c>
      <c r="N2335" s="18" t="n">
        <v>1</v>
      </c>
      <c r="O2335" s="18" t="n">
        <v>0</v>
      </c>
      <c r="P2335" s="17" t="n">
        <v>45933</v>
      </c>
      <c r="Q2335" s="17" t="n">
        <v>45933</v>
      </c>
      <c r="R2335" s="17" t="n">
        <v>45933</v>
      </c>
      <c r="S2335" s="19">
        <f>H2335*I2335</f>
        <v/>
      </c>
      <c r="T2335" s="19">
        <f>H2335*J2335</f>
        <v/>
      </c>
      <c r="U2335">
        <f>IF(AND(K2335=0,G2335&lt;=Assumptions!$C$6),1,0)</f>
        <v/>
      </c>
      <c r="V2335">
        <f>IF(U2335=1,IF(M2335&gt;0,IF(P2335&lt;=G2335+Assumptions!$C$7,1,0),0),0)</f>
        <v/>
      </c>
      <c r="W2335">
        <f>IF(AND(U2335=1,M2335&gt;=H2335*(1-Assumptions!$C$8)),1,0)</f>
        <v/>
      </c>
      <c r="X2335">
        <f>IF(AND(U2335=1,N2335&gt;=H2335*(1-Assumptions!$C$8)),1,0)</f>
        <v/>
      </c>
      <c r="Y2335">
        <f>IF(ISNUMBER(Q2335),1,0)</f>
        <v/>
      </c>
      <c r="Z2335">
        <f>IF(AND(K2335=0,L2335=0,Y2335=0),1,0)</f>
        <v/>
      </c>
      <c r="AA2335">
        <f>IF(AND(Z2335=1,G2335&lt;Assumptions!$C$6),1,0)</f>
        <v/>
      </c>
      <c r="AB2335">
        <f>IF(U2335=0,"",IF(Y2335=1,MAX(0,Q2335-G2335),IF(L2335=1,MAX(0,R2335-G2335),MAX(0,Assumptions!$C$6-G2335))))</f>
        <v/>
      </c>
      <c r="AC2335">
        <f>IF(Y2335=1,Q2335-F2335,"")</f>
        <v/>
      </c>
      <c r="AD2335">
        <f>IF(Y2335=1,AC2335^2,"")</f>
        <v/>
      </c>
      <c r="AE2335" s="19">
        <f>IF(Z2335=1,(H2335-M2335)*I2335,0)</f>
        <v/>
      </c>
      <c r="AF2335">
        <f>IF(G2335&lt;EDATE(Assumptions!$C$6,-12)+1,"prior_12m","last_12m")</f>
        <v/>
      </c>
      <c r="AG2335" s="21">
        <f>DATE(YEAR(G2335),MONTH(G2335),1)</f>
        <v/>
      </c>
    </row>
    <row r="2336">
      <c r="A2336" t="inlineStr">
        <is>
          <t>SPO-01266-1</t>
        </is>
      </c>
      <c r="B2336" t="inlineStr">
        <is>
          <t>SPO-01266</t>
        </is>
      </c>
      <c r="C2336" t="inlineStr">
        <is>
          <t>SUP-10</t>
        </is>
      </c>
      <c r="D2336" t="inlineStr">
        <is>
          <t>PPE</t>
        </is>
      </c>
      <c r="E2336" t="inlineStr">
        <is>
          <t>PPE-06</t>
        </is>
      </c>
      <c r="F2336" s="17" t="n">
        <v>45922</v>
      </c>
      <c r="G2336" s="17" t="n">
        <v>45935</v>
      </c>
      <c r="H2336" s="18" t="n">
        <v>27</v>
      </c>
      <c r="I2336" s="19" t="n">
        <v>111.13</v>
      </c>
      <c r="J2336" s="19" t="n">
        <v>115</v>
      </c>
      <c r="K2336" s="20" t="n">
        <v>0</v>
      </c>
      <c r="L2336" s="20" t="n">
        <v>0</v>
      </c>
      <c r="M2336" s="18" t="n">
        <v>27</v>
      </c>
      <c r="N2336" s="18" t="n">
        <v>27</v>
      </c>
      <c r="O2336" s="18" t="n">
        <v>0</v>
      </c>
      <c r="P2336" s="17" t="n">
        <v>45935</v>
      </c>
      <c r="Q2336" s="17" t="n">
        <v>45935</v>
      </c>
      <c r="R2336" s="17" t="n">
        <v>45935</v>
      </c>
      <c r="S2336" s="19">
        <f>H2336*I2336</f>
        <v/>
      </c>
      <c r="T2336" s="19">
        <f>H2336*J2336</f>
        <v/>
      </c>
      <c r="U2336">
        <f>IF(AND(K2336=0,G2336&lt;=Assumptions!$C$6),1,0)</f>
        <v/>
      </c>
      <c r="V2336">
        <f>IF(U2336=1,IF(M2336&gt;0,IF(P2336&lt;=G2336+Assumptions!$C$7,1,0),0),0)</f>
        <v/>
      </c>
      <c r="W2336">
        <f>IF(AND(U2336=1,M2336&gt;=H2336*(1-Assumptions!$C$8)),1,0)</f>
        <v/>
      </c>
      <c r="X2336">
        <f>IF(AND(U2336=1,N2336&gt;=H2336*(1-Assumptions!$C$8)),1,0)</f>
        <v/>
      </c>
      <c r="Y2336">
        <f>IF(ISNUMBER(Q2336),1,0)</f>
        <v/>
      </c>
      <c r="Z2336">
        <f>IF(AND(K2336=0,L2336=0,Y2336=0),1,0)</f>
        <v/>
      </c>
      <c r="AA2336">
        <f>IF(AND(Z2336=1,G2336&lt;Assumptions!$C$6),1,0)</f>
        <v/>
      </c>
      <c r="AB2336">
        <f>IF(U2336=0,"",IF(Y2336=1,MAX(0,Q2336-G2336),IF(L2336=1,MAX(0,R2336-G2336),MAX(0,Assumptions!$C$6-G2336))))</f>
        <v/>
      </c>
      <c r="AC2336">
        <f>IF(Y2336=1,Q2336-F2336,"")</f>
        <v/>
      </c>
      <c r="AD2336">
        <f>IF(Y2336=1,AC2336^2,"")</f>
        <v/>
      </c>
      <c r="AE2336" s="19">
        <f>IF(Z2336=1,(H2336-M2336)*I2336,0)</f>
        <v/>
      </c>
      <c r="AF2336">
        <f>IF(G2336&lt;EDATE(Assumptions!$C$6,-12)+1,"prior_12m","last_12m")</f>
        <v/>
      </c>
      <c r="AG2336" s="21">
        <f>DATE(YEAR(G2336),MONTH(G2336),1)</f>
        <v/>
      </c>
    </row>
    <row r="2337">
      <c r="A2337" t="inlineStr">
        <is>
          <t>SPO-01267-1</t>
        </is>
      </c>
      <c r="B2337" t="inlineStr">
        <is>
          <t>SPO-01267</t>
        </is>
      </c>
      <c r="C2337" t="inlineStr">
        <is>
          <t>SUP-01</t>
        </is>
      </c>
      <c r="D2337" t="inlineStr">
        <is>
          <t>ELEC</t>
        </is>
      </c>
      <c r="E2337" t="inlineStr">
        <is>
          <t>ELEC-03</t>
        </is>
      </c>
      <c r="F2337" s="17" t="n">
        <v>45922</v>
      </c>
      <c r="G2337" s="17" t="n">
        <v>45940</v>
      </c>
      <c r="H2337" s="18" t="n">
        <v>33</v>
      </c>
      <c r="I2337" s="19" t="n">
        <v>98.62</v>
      </c>
      <c r="J2337" s="19" t="n">
        <v>96</v>
      </c>
      <c r="K2337" s="20" t="n">
        <v>0</v>
      </c>
      <c r="L2337" s="20" t="n">
        <v>0</v>
      </c>
      <c r="M2337" s="18" t="n">
        <v>33</v>
      </c>
      <c r="N2337" s="18" t="n">
        <v>33</v>
      </c>
      <c r="O2337" s="18" t="n">
        <v>0</v>
      </c>
      <c r="P2337" s="17" t="n">
        <v>45935</v>
      </c>
      <c r="Q2337" s="17" t="n">
        <v>45935</v>
      </c>
      <c r="R2337" s="17" t="n">
        <v>45935</v>
      </c>
      <c r="S2337" s="19">
        <f>H2337*I2337</f>
        <v/>
      </c>
      <c r="T2337" s="19">
        <f>H2337*J2337</f>
        <v/>
      </c>
      <c r="U2337">
        <f>IF(AND(K2337=0,G2337&lt;=Assumptions!$C$6),1,0)</f>
        <v/>
      </c>
      <c r="V2337">
        <f>IF(U2337=1,IF(M2337&gt;0,IF(P2337&lt;=G2337+Assumptions!$C$7,1,0),0),0)</f>
        <v/>
      </c>
      <c r="W2337">
        <f>IF(AND(U2337=1,M2337&gt;=H2337*(1-Assumptions!$C$8)),1,0)</f>
        <v/>
      </c>
      <c r="X2337">
        <f>IF(AND(U2337=1,N2337&gt;=H2337*(1-Assumptions!$C$8)),1,0)</f>
        <v/>
      </c>
      <c r="Y2337">
        <f>IF(ISNUMBER(Q2337),1,0)</f>
        <v/>
      </c>
      <c r="Z2337">
        <f>IF(AND(K2337=0,L2337=0,Y2337=0),1,0)</f>
        <v/>
      </c>
      <c r="AA2337">
        <f>IF(AND(Z2337=1,G2337&lt;Assumptions!$C$6),1,0)</f>
        <v/>
      </c>
      <c r="AB2337">
        <f>IF(U2337=0,"",IF(Y2337=1,MAX(0,Q2337-G2337),IF(L2337=1,MAX(0,R2337-G2337),MAX(0,Assumptions!$C$6-G2337))))</f>
        <v/>
      </c>
      <c r="AC2337">
        <f>IF(Y2337=1,Q2337-F2337,"")</f>
        <v/>
      </c>
      <c r="AD2337">
        <f>IF(Y2337=1,AC2337^2,"")</f>
        <v/>
      </c>
      <c r="AE2337" s="19">
        <f>IF(Z2337=1,(H2337-M2337)*I2337,0)</f>
        <v/>
      </c>
      <c r="AF2337">
        <f>IF(G2337&lt;EDATE(Assumptions!$C$6,-12)+1,"prior_12m","last_12m")</f>
        <v/>
      </c>
      <c r="AG2337" s="21">
        <f>DATE(YEAR(G2337),MONTH(G2337),1)</f>
        <v/>
      </c>
    </row>
    <row r="2338">
      <c r="A2338" t="inlineStr">
        <is>
          <t>SPO-01267-2</t>
        </is>
      </c>
      <c r="B2338" t="inlineStr">
        <is>
          <t>SPO-01267</t>
        </is>
      </c>
      <c r="C2338" t="inlineStr">
        <is>
          <t>SUP-01</t>
        </is>
      </c>
      <c r="D2338" t="inlineStr">
        <is>
          <t>ELEC</t>
        </is>
      </c>
      <c r="E2338" t="inlineStr">
        <is>
          <t>ELEC-04</t>
        </is>
      </c>
      <c r="F2338" s="17" t="n">
        <v>45922</v>
      </c>
      <c r="G2338" s="17" t="n">
        <v>45940</v>
      </c>
      <c r="H2338" s="18" t="n">
        <v>61</v>
      </c>
      <c r="I2338" s="19" t="n">
        <v>70.56</v>
      </c>
      <c r="J2338" s="19" t="n">
        <v>72</v>
      </c>
      <c r="K2338" s="20" t="n">
        <v>0</v>
      </c>
      <c r="L2338" s="20" t="n">
        <v>0</v>
      </c>
      <c r="M2338" s="18" t="n">
        <v>61</v>
      </c>
      <c r="N2338" s="18" t="n">
        <v>61</v>
      </c>
      <c r="O2338" s="18" t="n">
        <v>0</v>
      </c>
      <c r="P2338" s="17" t="n">
        <v>45937</v>
      </c>
      <c r="Q2338" s="17" t="n">
        <v>45937</v>
      </c>
      <c r="R2338" s="17" t="n">
        <v>45937</v>
      </c>
      <c r="S2338" s="19">
        <f>H2338*I2338</f>
        <v/>
      </c>
      <c r="T2338" s="19">
        <f>H2338*J2338</f>
        <v/>
      </c>
      <c r="U2338">
        <f>IF(AND(K2338=0,G2338&lt;=Assumptions!$C$6),1,0)</f>
        <v/>
      </c>
      <c r="V2338">
        <f>IF(U2338=1,IF(M2338&gt;0,IF(P2338&lt;=G2338+Assumptions!$C$7,1,0),0),0)</f>
        <v/>
      </c>
      <c r="W2338">
        <f>IF(AND(U2338=1,M2338&gt;=H2338*(1-Assumptions!$C$8)),1,0)</f>
        <v/>
      </c>
      <c r="X2338">
        <f>IF(AND(U2338=1,N2338&gt;=H2338*(1-Assumptions!$C$8)),1,0)</f>
        <v/>
      </c>
      <c r="Y2338">
        <f>IF(ISNUMBER(Q2338),1,0)</f>
        <v/>
      </c>
      <c r="Z2338">
        <f>IF(AND(K2338=0,L2338=0,Y2338=0),1,0)</f>
        <v/>
      </c>
      <c r="AA2338">
        <f>IF(AND(Z2338=1,G2338&lt;Assumptions!$C$6),1,0)</f>
        <v/>
      </c>
      <c r="AB2338">
        <f>IF(U2338=0,"",IF(Y2338=1,MAX(0,Q2338-G2338),IF(L2338=1,MAX(0,R2338-G2338),MAX(0,Assumptions!$C$6-G2338))))</f>
        <v/>
      </c>
      <c r="AC2338">
        <f>IF(Y2338=1,Q2338-F2338,"")</f>
        <v/>
      </c>
      <c r="AD2338">
        <f>IF(Y2338=1,AC2338^2,"")</f>
        <v/>
      </c>
      <c r="AE2338" s="19">
        <f>IF(Z2338=1,(H2338-M2338)*I2338,0)</f>
        <v/>
      </c>
      <c r="AF2338">
        <f>IF(G2338&lt;EDATE(Assumptions!$C$6,-12)+1,"prior_12m","last_12m")</f>
        <v/>
      </c>
      <c r="AG2338" s="21">
        <f>DATE(YEAR(G2338),MONTH(G2338),1)</f>
        <v/>
      </c>
    </row>
    <row r="2339">
      <c r="A2339" t="inlineStr">
        <is>
          <t>SPO-01268-1</t>
        </is>
      </c>
      <c r="B2339" t="inlineStr">
        <is>
          <t>SPO-01268</t>
        </is>
      </c>
      <c r="C2339" t="inlineStr">
        <is>
          <t>SUP-01</t>
        </is>
      </c>
      <c r="D2339" t="inlineStr">
        <is>
          <t>ELEC</t>
        </is>
      </c>
      <c r="E2339" t="inlineStr">
        <is>
          <t>ELEC-08</t>
        </is>
      </c>
      <c r="F2339" s="17" t="n">
        <v>45922</v>
      </c>
      <c r="G2339" s="17" t="n">
        <v>45940</v>
      </c>
      <c r="H2339" s="18" t="n">
        <v>85</v>
      </c>
      <c r="I2339" s="19" t="n">
        <v>18.32</v>
      </c>
      <c r="J2339" s="19" t="n">
        <v>18</v>
      </c>
      <c r="K2339" s="20" t="n">
        <v>0</v>
      </c>
      <c r="L2339" s="20" t="n">
        <v>0</v>
      </c>
      <c r="M2339" s="18" t="n">
        <v>85</v>
      </c>
      <c r="N2339" s="18" t="n">
        <v>85</v>
      </c>
      <c r="O2339" s="18" t="n">
        <v>0</v>
      </c>
      <c r="P2339" s="17" t="n">
        <v>45936</v>
      </c>
      <c r="Q2339" s="17" t="n">
        <v>45936</v>
      </c>
      <c r="R2339" s="17" t="n">
        <v>45936</v>
      </c>
      <c r="S2339" s="19">
        <f>H2339*I2339</f>
        <v/>
      </c>
      <c r="T2339" s="19">
        <f>H2339*J2339</f>
        <v/>
      </c>
      <c r="U2339">
        <f>IF(AND(K2339=0,G2339&lt;=Assumptions!$C$6),1,0)</f>
        <v/>
      </c>
      <c r="V2339">
        <f>IF(U2339=1,IF(M2339&gt;0,IF(P2339&lt;=G2339+Assumptions!$C$7,1,0),0),0)</f>
        <v/>
      </c>
      <c r="W2339">
        <f>IF(AND(U2339=1,M2339&gt;=H2339*(1-Assumptions!$C$8)),1,0)</f>
        <v/>
      </c>
      <c r="X2339">
        <f>IF(AND(U2339=1,N2339&gt;=H2339*(1-Assumptions!$C$8)),1,0)</f>
        <v/>
      </c>
      <c r="Y2339">
        <f>IF(ISNUMBER(Q2339),1,0)</f>
        <v/>
      </c>
      <c r="Z2339">
        <f>IF(AND(K2339=0,L2339=0,Y2339=0),1,0)</f>
        <v/>
      </c>
      <c r="AA2339">
        <f>IF(AND(Z2339=1,G2339&lt;Assumptions!$C$6),1,0)</f>
        <v/>
      </c>
      <c r="AB2339">
        <f>IF(U2339=0,"",IF(Y2339=1,MAX(0,Q2339-G2339),IF(L2339=1,MAX(0,R2339-G2339),MAX(0,Assumptions!$C$6-G2339))))</f>
        <v/>
      </c>
      <c r="AC2339">
        <f>IF(Y2339=1,Q2339-F2339,"")</f>
        <v/>
      </c>
      <c r="AD2339">
        <f>IF(Y2339=1,AC2339^2,"")</f>
        <v/>
      </c>
      <c r="AE2339" s="19">
        <f>IF(Z2339=1,(H2339-M2339)*I2339,0)</f>
        <v/>
      </c>
      <c r="AF2339">
        <f>IF(G2339&lt;EDATE(Assumptions!$C$6,-12)+1,"prior_12m","last_12m")</f>
        <v/>
      </c>
      <c r="AG2339" s="21">
        <f>DATE(YEAR(G2339),MONTH(G2339),1)</f>
        <v/>
      </c>
    </row>
    <row r="2340">
      <c r="A2340" t="inlineStr">
        <is>
          <t>SPO-01269-1</t>
        </is>
      </c>
      <c r="B2340" t="inlineStr">
        <is>
          <t>SPO-01269</t>
        </is>
      </c>
      <c r="C2340" t="inlineStr">
        <is>
          <t>SUP-12</t>
        </is>
      </c>
      <c r="D2340" t="inlineStr">
        <is>
          <t>IT</t>
        </is>
      </c>
      <c r="E2340" t="inlineStr">
        <is>
          <t>IT-05</t>
        </is>
      </c>
      <c r="F2340" s="17" t="n">
        <v>45922</v>
      </c>
      <c r="G2340" s="17" t="n">
        <v>45932</v>
      </c>
      <c r="H2340" s="18" t="n">
        <v>2</v>
      </c>
      <c r="I2340" s="19" t="n">
        <v>748.3099999999999</v>
      </c>
      <c r="J2340" s="19" t="n">
        <v>640</v>
      </c>
      <c r="K2340" s="20" t="n">
        <v>1</v>
      </c>
      <c r="L2340" s="20" t="n">
        <v>0</v>
      </c>
      <c r="M2340" s="18" t="n">
        <v>0</v>
      </c>
      <c r="N2340" s="18" t="n">
        <v>0</v>
      </c>
      <c r="O2340" s="18" t="n">
        <v>0</v>
      </c>
      <c r="P2340" s="17" t="n"/>
      <c r="Q2340" s="17" t="n"/>
      <c r="R2340" s="17" t="n"/>
      <c r="S2340" s="19">
        <f>H2340*I2340</f>
        <v/>
      </c>
      <c r="T2340" s="19">
        <f>H2340*J2340</f>
        <v/>
      </c>
      <c r="U2340">
        <f>IF(AND(K2340=0,G2340&lt;=Assumptions!$C$6),1,0)</f>
        <v/>
      </c>
      <c r="V2340">
        <f>IF(U2340=1,IF(M2340&gt;0,IF(P2340&lt;=G2340+Assumptions!$C$7,1,0),0),0)</f>
        <v/>
      </c>
      <c r="W2340">
        <f>IF(AND(U2340=1,M2340&gt;=H2340*(1-Assumptions!$C$8)),1,0)</f>
        <v/>
      </c>
      <c r="X2340">
        <f>IF(AND(U2340=1,N2340&gt;=H2340*(1-Assumptions!$C$8)),1,0)</f>
        <v/>
      </c>
      <c r="Y2340">
        <f>IF(ISNUMBER(Q2340),1,0)</f>
        <v/>
      </c>
      <c r="Z2340">
        <f>IF(AND(K2340=0,L2340=0,Y2340=0),1,0)</f>
        <v/>
      </c>
      <c r="AA2340">
        <f>IF(AND(Z2340=1,G2340&lt;Assumptions!$C$6),1,0)</f>
        <v/>
      </c>
      <c r="AB2340">
        <f>IF(U2340=0,"",IF(Y2340=1,MAX(0,Q2340-G2340),IF(L2340=1,MAX(0,R2340-G2340),MAX(0,Assumptions!$C$6-G2340))))</f>
        <v/>
      </c>
      <c r="AC2340">
        <f>IF(Y2340=1,Q2340-F2340,"")</f>
        <v/>
      </c>
      <c r="AD2340">
        <f>IF(Y2340=1,AC2340^2,"")</f>
        <v/>
      </c>
      <c r="AE2340" s="19">
        <f>IF(Z2340=1,(H2340-M2340)*I2340,0)</f>
        <v/>
      </c>
      <c r="AF2340">
        <f>IF(G2340&lt;EDATE(Assumptions!$C$6,-12)+1,"prior_12m","last_12m")</f>
        <v/>
      </c>
      <c r="AG2340" s="21">
        <f>DATE(YEAR(G2340),MONTH(G2340),1)</f>
        <v/>
      </c>
    </row>
    <row r="2341">
      <c r="A2341" t="inlineStr">
        <is>
          <t>SPO-01270-1</t>
        </is>
      </c>
      <c r="B2341" t="inlineStr">
        <is>
          <t>SPO-01270</t>
        </is>
      </c>
      <c r="C2341" t="inlineStr">
        <is>
          <t>SUP-06</t>
        </is>
      </c>
      <c r="D2341" t="inlineStr">
        <is>
          <t>MRO</t>
        </is>
      </c>
      <c r="E2341" t="inlineStr">
        <is>
          <t>MRO-08</t>
        </is>
      </c>
      <c r="F2341" s="17" t="n">
        <v>45922</v>
      </c>
      <c r="G2341" s="17" t="n">
        <v>45930</v>
      </c>
      <c r="H2341" s="18" t="n">
        <v>256</v>
      </c>
      <c r="I2341" s="19" t="n">
        <v>7.3</v>
      </c>
      <c r="J2341" s="19" t="n">
        <v>7.2</v>
      </c>
      <c r="K2341" s="20" t="n">
        <v>0</v>
      </c>
      <c r="L2341" s="20" t="n">
        <v>0</v>
      </c>
      <c r="M2341" s="18" t="n">
        <v>256</v>
      </c>
      <c r="N2341" s="18" t="n">
        <v>256</v>
      </c>
      <c r="O2341" s="18" t="n">
        <v>0</v>
      </c>
      <c r="P2341" s="17" t="n">
        <v>45927</v>
      </c>
      <c r="Q2341" s="17" t="n">
        <v>45927</v>
      </c>
      <c r="R2341" s="17" t="n">
        <v>45927</v>
      </c>
      <c r="S2341" s="19">
        <f>H2341*I2341</f>
        <v/>
      </c>
      <c r="T2341" s="19">
        <f>H2341*J2341</f>
        <v/>
      </c>
      <c r="U2341">
        <f>IF(AND(K2341=0,G2341&lt;=Assumptions!$C$6),1,0)</f>
        <v/>
      </c>
      <c r="V2341">
        <f>IF(U2341=1,IF(M2341&gt;0,IF(P2341&lt;=G2341+Assumptions!$C$7,1,0),0),0)</f>
        <v/>
      </c>
      <c r="W2341">
        <f>IF(AND(U2341=1,M2341&gt;=H2341*(1-Assumptions!$C$8)),1,0)</f>
        <v/>
      </c>
      <c r="X2341">
        <f>IF(AND(U2341=1,N2341&gt;=H2341*(1-Assumptions!$C$8)),1,0)</f>
        <v/>
      </c>
      <c r="Y2341">
        <f>IF(ISNUMBER(Q2341),1,0)</f>
        <v/>
      </c>
      <c r="Z2341">
        <f>IF(AND(K2341=0,L2341=0,Y2341=0),1,0)</f>
        <v/>
      </c>
      <c r="AA2341">
        <f>IF(AND(Z2341=1,G2341&lt;Assumptions!$C$6),1,0)</f>
        <v/>
      </c>
      <c r="AB2341">
        <f>IF(U2341=0,"",IF(Y2341=1,MAX(0,Q2341-G2341),IF(L2341=1,MAX(0,R2341-G2341),MAX(0,Assumptions!$C$6-G2341))))</f>
        <v/>
      </c>
      <c r="AC2341">
        <f>IF(Y2341=1,Q2341-F2341,"")</f>
        <v/>
      </c>
      <c r="AD2341">
        <f>IF(Y2341=1,AC2341^2,"")</f>
        <v/>
      </c>
      <c r="AE2341" s="19">
        <f>IF(Z2341=1,(H2341-M2341)*I2341,0)</f>
        <v/>
      </c>
      <c r="AF2341">
        <f>IF(G2341&lt;EDATE(Assumptions!$C$6,-12)+1,"prior_12m","last_12m")</f>
        <v/>
      </c>
      <c r="AG2341" s="21">
        <f>DATE(YEAR(G2341),MONTH(G2341),1)</f>
        <v/>
      </c>
    </row>
    <row r="2342">
      <c r="A2342" t="inlineStr">
        <is>
          <t>SPO-01271-1</t>
        </is>
      </c>
      <c r="B2342" t="inlineStr">
        <is>
          <t>SPO-01271</t>
        </is>
      </c>
      <c r="C2342" t="inlineStr">
        <is>
          <t>SUP-10</t>
        </is>
      </c>
      <c r="D2342" t="inlineStr">
        <is>
          <t>PPE</t>
        </is>
      </c>
      <c r="E2342" t="inlineStr">
        <is>
          <t>PPE-01</t>
        </is>
      </c>
      <c r="F2342" s="17" t="n">
        <v>45922</v>
      </c>
      <c r="G2342" s="17" t="n">
        <v>45935</v>
      </c>
      <c r="H2342" s="18" t="n">
        <v>450</v>
      </c>
      <c r="I2342" s="19" t="n">
        <v>4.65</v>
      </c>
      <c r="J2342" s="19" t="n">
        <v>4.8</v>
      </c>
      <c r="K2342" s="20" t="n">
        <v>0</v>
      </c>
      <c r="L2342" s="20" t="n">
        <v>0</v>
      </c>
      <c r="M2342" s="18" t="n">
        <v>450</v>
      </c>
      <c r="N2342" s="18" t="n">
        <v>450</v>
      </c>
      <c r="O2342" s="18" t="n">
        <v>112</v>
      </c>
      <c r="P2342" s="17" t="n">
        <v>45934</v>
      </c>
      <c r="Q2342" s="17" t="n">
        <v>45934</v>
      </c>
      <c r="R2342" s="17" t="n">
        <v>45934</v>
      </c>
      <c r="S2342" s="19">
        <f>H2342*I2342</f>
        <v/>
      </c>
      <c r="T2342" s="19">
        <f>H2342*J2342</f>
        <v/>
      </c>
      <c r="U2342">
        <f>IF(AND(K2342=0,G2342&lt;=Assumptions!$C$6),1,0)</f>
        <v/>
      </c>
      <c r="V2342">
        <f>IF(U2342=1,IF(M2342&gt;0,IF(P2342&lt;=G2342+Assumptions!$C$7,1,0),0),0)</f>
        <v/>
      </c>
      <c r="W2342">
        <f>IF(AND(U2342=1,M2342&gt;=H2342*(1-Assumptions!$C$8)),1,0)</f>
        <v/>
      </c>
      <c r="X2342">
        <f>IF(AND(U2342=1,N2342&gt;=H2342*(1-Assumptions!$C$8)),1,0)</f>
        <v/>
      </c>
      <c r="Y2342">
        <f>IF(ISNUMBER(Q2342),1,0)</f>
        <v/>
      </c>
      <c r="Z2342">
        <f>IF(AND(K2342=0,L2342=0,Y2342=0),1,0)</f>
        <v/>
      </c>
      <c r="AA2342">
        <f>IF(AND(Z2342=1,G2342&lt;Assumptions!$C$6),1,0)</f>
        <v/>
      </c>
      <c r="AB2342">
        <f>IF(U2342=0,"",IF(Y2342=1,MAX(0,Q2342-G2342),IF(L2342=1,MAX(0,R2342-G2342),MAX(0,Assumptions!$C$6-G2342))))</f>
        <v/>
      </c>
      <c r="AC2342">
        <f>IF(Y2342=1,Q2342-F2342,"")</f>
        <v/>
      </c>
      <c r="AD2342">
        <f>IF(Y2342=1,AC2342^2,"")</f>
        <v/>
      </c>
      <c r="AE2342" s="19">
        <f>IF(Z2342=1,(H2342-M2342)*I2342,0)</f>
        <v/>
      </c>
      <c r="AF2342">
        <f>IF(G2342&lt;EDATE(Assumptions!$C$6,-12)+1,"prior_12m","last_12m")</f>
        <v/>
      </c>
      <c r="AG2342" s="21">
        <f>DATE(YEAR(G2342),MONTH(G2342),1)</f>
        <v/>
      </c>
    </row>
    <row r="2343">
      <c r="A2343" t="inlineStr">
        <is>
          <t>SPO-01272-1</t>
        </is>
      </c>
      <c r="B2343" t="inlineStr">
        <is>
          <t>SPO-01272</t>
        </is>
      </c>
      <c r="C2343" t="inlineStr">
        <is>
          <t>SUP-02</t>
        </is>
      </c>
      <c r="D2343" t="inlineStr">
        <is>
          <t>ELEC</t>
        </is>
      </c>
      <c r="E2343" t="inlineStr">
        <is>
          <t>ELEC-03</t>
        </is>
      </c>
      <c r="F2343" s="17" t="n">
        <v>45923</v>
      </c>
      <c r="G2343" s="17" t="n">
        <v>45939</v>
      </c>
      <c r="H2343" s="18" t="n">
        <v>11</v>
      </c>
      <c r="I2343" s="19" t="n">
        <v>96.93000000000001</v>
      </c>
      <c r="J2343" s="19" t="n">
        <v>96</v>
      </c>
      <c r="K2343" s="20" t="n">
        <v>0</v>
      </c>
      <c r="L2343" s="20" t="n">
        <v>0</v>
      </c>
      <c r="M2343" s="18" t="n">
        <v>11</v>
      </c>
      <c r="N2343" s="18" t="n">
        <v>11</v>
      </c>
      <c r="O2343" s="18" t="n">
        <v>0</v>
      </c>
      <c r="P2343" s="17" t="n">
        <v>45935</v>
      </c>
      <c r="Q2343" s="17" t="n">
        <v>45935</v>
      </c>
      <c r="R2343" s="17" t="n">
        <v>45935</v>
      </c>
      <c r="S2343" s="19">
        <f>H2343*I2343</f>
        <v/>
      </c>
      <c r="T2343" s="19">
        <f>H2343*J2343</f>
        <v/>
      </c>
      <c r="U2343">
        <f>IF(AND(K2343=0,G2343&lt;=Assumptions!$C$6),1,0)</f>
        <v/>
      </c>
      <c r="V2343">
        <f>IF(U2343=1,IF(M2343&gt;0,IF(P2343&lt;=G2343+Assumptions!$C$7,1,0),0),0)</f>
        <v/>
      </c>
      <c r="W2343">
        <f>IF(AND(U2343=1,M2343&gt;=H2343*(1-Assumptions!$C$8)),1,0)</f>
        <v/>
      </c>
      <c r="X2343">
        <f>IF(AND(U2343=1,N2343&gt;=H2343*(1-Assumptions!$C$8)),1,0)</f>
        <v/>
      </c>
      <c r="Y2343">
        <f>IF(ISNUMBER(Q2343),1,0)</f>
        <v/>
      </c>
      <c r="Z2343">
        <f>IF(AND(K2343=0,L2343=0,Y2343=0),1,0)</f>
        <v/>
      </c>
      <c r="AA2343">
        <f>IF(AND(Z2343=1,G2343&lt;Assumptions!$C$6),1,0)</f>
        <v/>
      </c>
      <c r="AB2343">
        <f>IF(U2343=0,"",IF(Y2343=1,MAX(0,Q2343-G2343),IF(L2343=1,MAX(0,R2343-G2343),MAX(0,Assumptions!$C$6-G2343))))</f>
        <v/>
      </c>
      <c r="AC2343">
        <f>IF(Y2343=1,Q2343-F2343,"")</f>
        <v/>
      </c>
      <c r="AD2343">
        <f>IF(Y2343=1,AC2343^2,"")</f>
        <v/>
      </c>
      <c r="AE2343" s="19">
        <f>IF(Z2343=1,(H2343-M2343)*I2343,0)</f>
        <v/>
      </c>
      <c r="AF2343">
        <f>IF(G2343&lt;EDATE(Assumptions!$C$6,-12)+1,"prior_12m","last_12m")</f>
        <v/>
      </c>
      <c r="AG2343" s="21">
        <f>DATE(YEAR(G2343),MONTH(G2343),1)</f>
        <v/>
      </c>
    </row>
    <row r="2344">
      <c r="A2344" t="inlineStr">
        <is>
          <t>SPO-01272-2</t>
        </is>
      </c>
      <c r="B2344" t="inlineStr">
        <is>
          <t>SPO-01272</t>
        </is>
      </c>
      <c r="C2344" t="inlineStr">
        <is>
          <t>SUP-02</t>
        </is>
      </c>
      <c r="D2344" t="inlineStr">
        <is>
          <t>ELEC</t>
        </is>
      </c>
      <c r="E2344" t="inlineStr">
        <is>
          <t>ELEC-04</t>
        </is>
      </c>
      <c r="F2344" s="17" t="n">
        <v>45923</v>
      </c>
      <c r="G2344" s="17" t="n">
        <v>45939</v>
      </c>
      <c r="H2344" s="18" t="n">
        <v>18</v>
      </c>
      <c r="I2344" s="19" t="n">
        <v>69.65000000000001</v>
      </c>
      <c r="J2344" s="19" t="n">
        <v>72</v>
      </c>
      <c r="K2344" s="20" t="n">
        <v>0</v>
      </c>
      <c r="L2344" s="20" t="n">
        <v>0</v>
      </c>
      <c r="M2344" s="18" t="n">
        <v>18</v>
      </c>
      <c r="N2344" s="18" t="n">
        <v>18</v>
      </c>
      <c r="O2344" s="18" t="n">
        <v>0</v>
      </c>
      <c r="P2344" s="17" t="n">
        <v>45933</v>
      </c>
      <c r="Q2344" s="17" t="n">
        <v>45933</v>
      </c>
      <c r="R2344" s="17" t="n">
        <v>45933</v>
      </c>
      <c r="S2344" s="19">
        <f>H2344*I2344</f>
        <v/>
      </c>
      <c r="T2344" s="19">
        <f>H2344*J2344</f>
        <v/>
      </c>
      <c r="U2344">
        <f>IF(AND(K2344=0,G2344&lt;=Assumptions!$C$6),1,0)</f>
        <v/>
      </c>
      <c r="V2344">
        <f>IF(U2344=1,IF(M2344&gt;0,IF(P2344&lt;=G2344+Assumptions!$C$7,1,0),0),0)</f>
        <v/>
      </c>
      <c r="W2344">
        <f>IF(AND(U2344=1,M2344&gt;=H2344*(1-Assumptions!$C$8)),1,0)</f>
        <v/>
      </c>
      <c r="X2344">
        <f>IF(AND(U2344=1,N2344&gt;=H2344*(1-Assumptions!$C$8)),1,0)</f>
        <v/>
      </c>
      <c r="Y2344">
        <f>IF(ISNUMBER(Q2344),1,0)</f>
        <v/>
      </c>
      <c r="Z2344">
        <f>IF(AND(K2344=0,L2344=0,Y2344=0),1,0)</f>
        <v/>
      </c>
      <c r="AA2344">
        <f>IF(AND(Z2344=1,G2344&lt;Assumptions!$C$6),1,0)</f>
        <v/>
      </c>
      <c r="AB2344">
        <f>IF(U2344=0,"",IF(Y2344=1,MAX(0,Q2344-G2344),IF(L2344=1,MAX(0,R2344-G2344),MAX(0,Assumptions!$C$6-G2344))))</f>
        <v/>
      </c>
      <c r="AC2344">
        <f>IF(Y2344=1,Q2344-F2344,"")</f>
        <v/>
      </c>
      <c r="AD2344">
        <f>IF(Y2344=1,AC2344^2,"")</f>
        <v/>
      </c>
      <c r="AE2344" s="19">
        <f>IF(Z2344=1,(H2344-M2344)*I2344,0)</f>
        <v/>
      </c>
      <c r="AF2344">
        <f>IF(G2344&lt;EDATE(Assumptions!$C$6,-12)+1,"prior_12m","last_12m")</f>
        <v/>
      </c>
      <c r="AG2344" s="21">
        <f>DATE(YEAR(G2344),MONTH(G2344),1)</f>
        <v/>
      </c>
    </row>
    <row r="2345">
      <c r="A2345" t="inlineStr">
        <is>
          <t>SPO-01272-3</t>
        </is>
      </c>
      <c r="B2345" t="inlineStr">
        <is>
          <t>SPO-01272</t>
        </is>
      </c>
      <c r="C2345" t="inlineStr">
        <is>
          <t>SUP-02</t>
        </is>
      </c>
      <c r="D2345" t="inlineStr">
        <is>
          <t>ELEC</t>
        </is>
      </c>
      <c r="E2345" t="inlineStr">
        <is>
          <t>ELEC-08</t>
        </is>
      </c>
      <c r="F2345" s="17" t="n">
        <v>45923</v>
      </c>
      <c r="G2345" s="17" t="n">
        <v>45939</v>
      </c>
      <c r="H2345" s="18" t="n">
        <v>43</v>
      </c>
      <c r="I2345" s="19" t="n">
        <v>18.15</v>
      </c>
      <c r="J2345" s="19" t="n">
        <v>18</v>
      </c>
      <c r="K2345" s="20" t="n">
        <v>0</v>
      </c>
      <c r="L2345" s="20" t="n">
        <v>0</v>
      </c>
      <c r="M2345" s="18" t="n">
        <v>43</v>
      </c>
      <c r="N2345" s="18" t="n">
        <v>43</v>
      </c>
      <c r="O2345" s="18" t="n">
        <v>0</v>
      </c>
      <c r="P2345" s="17" t="n">
        <v>45936</v>
      </c>
      <c r="Q2345" s="17" t="n">
        <v>45936</v>
      </c>
      <c r="R2345" s="17" t="n">
        <v>45936</v>
      </c>
      <c r="S2345" s="19">
        <f>H2345*I2345</f>
        <v/>
      </c>
      <c r="T2345" s="19">
        <f>H2345*J2345</f>
        <v/>
      </c>
      <c r="U2345">
        <f>IF(AND(K2345=0,G2345&lt;=Assumptions!$C$6),1,0)</f>
        <v/>
      </c>
      <c r="V2345">
        <f>IF(U2345=1,IF(M2345&gt;0,IF(P2345&lt;=G2345+Assumptions!$C$7,1,0),0),0)</f>
        <v/>
      </c>
      <c r="W2345">
        <f>IF(AND(U2345=1,M2345&gt;=H2345*(1-Assumptions!$C$8)),1,0)</f>
        <v/>
      </c>
      <c r="X2345">
        <f>IF(AND(U2345=1,N2345&gt;=H2345*(1-Assumptions!$C$8)),1,0)</f>
        <v/>
      </c>
      <c r="Y2345">
        <f>IF(ISNUMBER(Q2345),1,0)</f>
        <v/>
      </c>
      <c r="Z2345">
        <f>IF(AND(K2345=0,L2345=0,Y2345=0),1,0)</f>
        <v/>
      </c>
      <c r="AA2345">
        <f>IF(AND(Z2345=1,G2345&lt;Assumptions!$C$6),1,0)</f>
        <v/>
      </c>
      <c r="AB2345">
        <f>IF(U2345=0,"",IF(Y2345=1,MAX(0,Q2345-G2345),IF(L2345=1,MAX(0,R2345-G2345),MAX(0,Assumptions!$C$6-G2345))))</f>
        <v/>
      </c>
      <c r="AC2345">
        <f>IF(Y2345=1,Q2345-F2345,"")</f>
        <v/>
      </c>
      <c r="AD2345">
        <f>IF(Y2345=1,AC2345^2,"")</f>
        <v/>
      </c>
      <c r="AE2345" s="19">
        <f>IF(Z2345=1,(H2345-M2345)*I2345,0)</f>
        <v/>
      </c>
      <c r="AF2345">
        <f>IF(G2345&lt;EDATE(Assumptions!$C$6,-12)+1,"prior_12m","last_12m")</f>
        <v/>
      </c>
      <c r="AG2345" s="21">
        <f>DATE(YEAR(G2345),MONTH(G2345),1)</f>
        <v/>
      </c>
    </row>
    <row r="2346">
      <c r="A2346" t="inlineStr">
        <is>
          <t>SPO-01272-4</t>
        </is>
      </c>
      <c r="B2346" t="inlineStr">
        <is>
          <t>SPO-01272</t>
        </is>
      </c>
      <c r="C2346" t="inlineStr">
        <is>
          <t>SUP-02</t>
        </is>
      </c>
      <c r="D2346" t="inlineStr">
        <is>
          <t>ELEC</t>
        </is>
      </c>
      <c r="E2346" t="inlineStr">
        <is>
          <t>ELEC-01</t>
        </is>
      </c>
      <c r="F2346" s="17" t="n">
        <v>45923</v>
      </c>
      <c r="G2346" s="17" t="n">
        <v>45939</v>
      </c>
      <c r="H2346" s="18" t="n">
        <v>33</v>
      </c>
      <c r="I2346" s="19" t="n">
        <v>40.2</v>
      </c>
      <c r="J2346" s="19" t="n">
        <v>38</v>
      </c>
      <c r="K2346" s="20" t="n">
        <v>0</v>
      </c>
      <c r="L2346" s="20" t="n">
        <v>0</v>
      </c>
      <c r="M2346" s="18" t="n">
        <v>33</v>
      </c>
      <c r="N2346" s="18" t="n">
        <v>33</v>
      </c>
      <c r="O2346" s="18" t="n">
        <v>0</v>
      </c>
      <c r="P2346" s="17" t="n">
        <v>45933</v>
      </c>
      <c r="Q2346" s="17" t="n">
        <v>45933</v>
      </c>
      <c r="R2346" s="17" t="n">
        <v>45933</v>
      </c>
      <c r="S2346" s="19">
        <f>H2346*I2346</f>
        <v/>
      </c>
      <c r="T2346" s="19">
        <f>H2346*J2346</f>
        <v/>
      </c>
      <c r="U2346">
        <f>IF(AND(K2346=0,G2346&lt;=Assumptions!$C$6),1,0)</f>
        <v/>
      </c>
      <c r="V2346">
        <f>IF(U2346=1,IF(M2346&gt;0,IF(P2346&lt;=G2346+Assumptions!$C$7,1,0),0),0)</f>
        <v/>
      </c>
      <c r="W2346">
        <f>IF(AND(U2346=1,M2346&gt;=H2346*(1-Assumptions!$C$8)),1,0)</f>
        <v/>
      </c>
      <c r="X2346">
        <f>IF(AND(U2346=1,N2346&gt;=H2346*(1-Assumptions!$C$8)),1,0)</f>
        <v/>
      </c>
      <c r="Y2346">
        <f>IF(ISNUMBER(Q2346),1,0)</f>
        <v/>
      </c>
      <c r="Z2346">
        <f>IF(AND(K2346=0,L2346=0,Y2346=0),1,0)</f>
        <v/>
      </c>
      <c r="AA2346">
        <f>IF(AND(Z2346=1,G2346&lt;Assumptions!$C$6),1,0)</f>
        <v/>
      </c>
      <c r="AB2346">
        <f>IF(U2346=0,"",IF(Y2346=1,MAX(0,Q2346-G2346),IF(L2346=1,MAX(0,R2346-G2346),MAX(0,Assumptions!$C$6-G2346))))</f>
        <v/>
      </c>
      <c r="AC2346">
        <f>IF(Y2346=1,Q2346-F2346,"")</f>
        <v/>
      </c>
      <c r="AD2346">
        <f>IF(Y2346=1,AC2346^2,"")</f>
        <v/>
      </c>
      <c r="AE2346" s="19">
        <f>IF(Z2346=1,(H2346-M2346)*I2346,0)</f>
        <v/>
      </c>
      <c r="AF2346">
        <f>IF(G2346&lt;EDATE(Assumptions!$C$6,-12)+1,"prior_12m","last_12m")</f>
        <v/>
      </c>
      <c r="AG2346" s="21">
        <f>DATE(YEAR(G2346),MONTH(G2346),1)</f>
        <v/>
      </c>
    </row>
    <row r="2347">
      <c r="A2347" t="inlineStr">
        <is>
          <t>SPO-01273-1</t>
        </is>
      </c>
      <c r="B2347" t="inlineStr">
        <is>
          <t>SPO-01273</t>
        </is>
      </c>
      <c r="C2347" t="inlineStr">
        <is>
          <t>SUP-07</t>
        </is>
      </c>
      <c r="D2347" t="inlineStr">
        <is>
          <t>MRO</t>
        </is>
      </c>
      <c r="E2347" t="inlineStr">
        <is>
          <t>MRO-06</t>
        </is>
      </c>
      <c r="F2347" s="17" t="n">
        <v>45923</v>
      </c>
      <c r="G2347" s="17" t="n">
        <v>45933</v>
      </c>
      <c r="H2347" s="18" t="n">
        <v>147</v>
      </c>
      <c r="I2347" s="19" t="n">
        <v>6.47</v>
      </c>
      <c r="J2347" s="19" t="n">
        <v>6.1</v>
      </c>
      <c r="K2347" s="20" t="n">
        <v>0</v>
      </c>
      <c r="L2347" s="20" t="n">
        <v>0</v>
      </c>
      <c r="M2347" s="18" t="n">
        <v>147</v>
      </c>
      <c r="N2347" s="18" t="n">
        <v>147</v>
      </c>
      <c r="O2347" s="18" t="n">
        <v>0</v>
      </c>
      <c r="P2347" s="17" t="n">
        <v>45931</v>
      </c>
      <c r="Q2347" s="17" t="n">
        <v>45931</v>
      </c>
      <c r="R2347" s="17" t="n">
        <v>45931</v>
      </c>
      <c r="S2347" s="19">
        <f>H2347*I2347</f>
        <v/>
      </c>
      <c r="T2347" s="19">
        <f>H2347*J2347</f>
        <v/>
      </c>
      <c r="U2347">
        <f>IF(AND(K2347=0,G2347&lt;=Assumptions!$C$6),1,0)</f>
        <v/>
      </c>
      <c r="V2347">
        <f>IF(U2347=1,IF(M2347&gt;0,IF(P2347&lt;=G2347+Assumptions!$C$7,1,0),0),0)</f>
        <v/>
      </c>
      <c r="W2347">
        <f>IF(AND(U2347=1,M2347&gt;=H2347*(1-Assumptions!$C$8)),1,0)</f>
        <v/>
      </c>
      <c r="X2347">
        <f>IF(AND(U2347=1,N2347&gt;=H2347*(1-Assumptions!$C$8)),1,0)</f>
        <v/>
      </c>
      <c r="Y2347">
        <f>IF(ISNUMBER(Q2347),1,0)</f>
        <v/>
      </c>
      <c r="Z2347">
        <f>IF(AND(K2347=0,L2347=0,Y2347=0),1,0)</f>
        <v/>
      </c>
      <c r="AA2347">
        <f>IF(AND(Z2347=1,G2347&lt;Assumptions!$C$6),1,0)</f>
        <v/>
      </c>
      <c r="AB2347">
        <f>IF(U2347=0,"",IF(Y2347=1,MAX(0,Q2347-G2347),IF(L2347=1,MAX(0,R2347-G2347),MAX(0,Assumptions!$C$6-G2347))))</f>
        <v/>
      </c>
      <c r="AC2347">
        <f>IF(Y2347=1,Q2347-F2347,"")</f>
        <v/>
      </c>
      <c r="AD2347">
        <f>IF(Y2347=1,AC2347^2,"")</f>
        <v/>
      </c>
      <c r="AE2347" s="19">
        <f>IF(Z2347=1,(H2347-M2347)*I2347,0)</f>
        <v/>
      </c>
      <c r="AF2347">
        <f>IF(G2347&lt;EDATE(Assumptions!$C$6,-12)+1,"prior_12m","last_12m")</f>
        <v/>
      </c>
      <c r="AG2347" s="21">
        <f>DATE(YEAR(G2347),MONTH(G2347),1)</f>
        <v/>
      </c>
    </row>
    <row r="2348">
      <c r="A2348" t="inlineStr">
        <is>
          <t>SPO-01274-1</t>
        </is>
      </c>
      <c r="B2348" t="inlineStr">
        <is>
          <t>SPO-01274</t>
        </is>
      </c>
      <c r="C2348" t="inlineStr">
        <is>
          <t>SUP-10</t>
        </is>
      </c>
      <c r="D2348" t="inlineStr">
        <is>
          <t>PPE</t>
        </is>
      </c>
      <c r="E2348" t="inlineStr">
        <is>
          <t>PPE-02</t>
        </is>
      </c>
      <c r="F2348" s="17" t="n">
        <v>45923</v>
      </c>
      <c r="G2348" s="17" t="n">
        <v>45936</v>
      </c>
      <c r="H2348" s="18" t="n">
        <v>172</v>
      </c>
      <c r="I2348" s="19" t="n">
        <v>12.44</v>
      </c>
      <c r="J2348" s="19" t="n">
        <v>12.5</v>
      </c>
      <c r="K2348" s="20" t="n">
        <v>0</v>
      </c>
      <c r="L2348" s="20" t="n">
        <v>0</v>
      </c>
      <c r="M2348" s="18" t="n">
        <v>172</v>
      </c>
      <c r="N2348" s="18" t="n">
        <v>172</v>
      </c>
      <c r="O2348" s="18" t="n">
        <v>0</v>
      </c>
      <c r="P2348" s="17" t="n">
        <v>45934</v>
      </c>
      <c r="Q2348" s="17" t="n">
        <v>45934</v>
      </c>
      <c r="R2348" s="17" t="n">
        <v>45934</v>
      </c>
      <c r="S2348" s="19">
        <f>H2348*I2348</f>
        <v/>
      </c>
      <c r="T2348" s="19">
        <f>H2348*J2348</f>
        <v/>
      </c>
      <c r="U2348">
        <f>IF(AND(K2348=0,G2348&lt;=Assumptions!$C$6),1,0)</f>
        <v/>
      </c>
      <c r="V2348">
        <f>IF(U2348=1,IF(M2348&gt;0,IF(P2348&lt;=G2348+Assumptions!$C$7,1,0),0),0)</f>
        <v/>
      </c>
      <c r="W2348">
        <f>IF(AND(U2348=1,M2348&gt;=H2348*(1-Assumptions!$C$8)),1,0)</f>
        <v/>
      </c>
      <c r="X2348">
        <f>IF(AND(U2348=1,N2348&gt;=H2348*(1-Assumptions!$C$8)),1,0)</f>
        <v/>
      </c>
      <c r="Y2348">
        <f>IF(ISNUMBER(Q2348),1,0)</f>
        <v/>
      </c>
      <c r="Z2348">
        <f>IF(AND(K2348=0,L2348=0,Y2348=0),1,0)</f>
        <v/>
      </c>
      <c r="AA2348">
        <f>IF(AND(Z2348=1,G2348&lt;Assumptions!$C$6),1,0)</f>
        <v/>
      </c>
      <c r="AB2348">
        <f>IF(U2348=0,"",IF(Y2348=1,MAX(0,Q2348-G2348),IF(L2348=1,MAX(0,R2348-G2348),MAX(0,Assumptions!$C$6-G2348))))</f>
        <v/>
      </c>
      <c r="AC2348">
        <f>IF(Y2348=1,Q2348-F2348,"")</f>
        <v/>
      </c>
      <c r="AD2348">
        <f>IF(Y2348=1,AC2348^2,"")</f>
        <v/>
      </c>
      <c r="AE2348" s="19">
        <f>IF(Z2348=1,(H2348-M2348)*I2348,0)</f>
        <v/>
      </c>
      <c r="AF2348">
        <f>IF(G2348&lt;EDATE(Assumptions!$C$6,-12)+1,"prior_12m","last_12m")</f>
        <v/>
      </c>
      <c r="AG2348" s="21">
        <f>DATE(YEAR(G2348),MONTH(G2348),1)</f>
        <v/>
      </c>
    </row>
    <row r="2349">
      <c r="A2349" t="inlineStr">
        <is>
          <t>SPO-01274-2</t>
        </is>
      </c>
      <c r="B2349" t="inlineStr">
        <is>
          <t>SPO-01274</t>
        </is>
      </c>
      <c r="C2349" t="inlineStr">
        <is>
          <t>SUP-10</t>
        </is>
      </c>
      <c r="D2349" t="inlineStr">
        <is>
          <t>PPE</t>
        </is>
      </c>
      <c r="E2349" t="inlineStr">
        <is>
          <t>PPE-05</t>
        </is>
      </c>
      <c r="F2349" s="17" t="n">
        <v>45923</v>
      </c>
      <c r="G2349" s="17" t="n">
        <v>45936</v>
      </c>
      <c r="H2349" s="18" t="n">
        <v>297</v>
      </c>
      <c r="I2349" s="19" t="n">
        <v>10.59</v>
      </c>
      <c r="J2349" s="19" t="n">
        <v>11</v>
      </c>
      <c r="K2349" s="20" t="n">
        <v>0</v>
      </c>
      <c r="L2349" s="20" t="n">
        <v>0</v>
      </c>
      <c r="M2349" s="18" t="n">
        <v>297</v>
      </c>
      <c r="N2349" s="18" t="n">
        <v>297</v>
      </c>
      <c r="O2349" s="18" t="n">
        <v>0</v>
      </c>
      <c r="P2349" s="17" t="n">
        <v>45932</v>
      </c>
      <c r="Q2349" s="17" t="n">
        <v>45932</v>
      </c>
      <c r="R2349" s="17" t="n">
        <v>45932</v>
      </c>
      <c r="S2349" s="19">
        <f>H2349*I2349</f>
        <v/>
      </c>
      <c r="T2349" s="19">
        <f>H2349*J2349</f>
        <v/>
      </c>
      <c r="U2349">
        <f>IF(AND(K2349=0,G2349&lt;=Assumptions!$C$6),1,0)</f>
        <v/>
      </c>
      <c r="V2349">
        <f>IF(U2349=1,IF(M2349&gt;0,IF(P2349&lt;=G2349+Assumptions!$C$7,1,0),0),0)</f>
        <v/>
      </c>
      <c r="W2349">
        <f>IF(AND(U2349=1,M2349&gt;=H2349*(1-Assumptions!$C$8)),1,0)</f>
        <v/>
      </c>
      <c r="X2349">
        <f>IF(AND(U2349=1,N2349&gt;=H2349*(1-Assumptions!$C$8)),1,0)</f>
        <v/>
      </c>
      <c r="Y2349">
        <f>IF(ISNUMBER(Q2349),1,0)</f>
        <v/>
      </c>
      <c r="Z2349">
        <f>IF(AND(K2349=0,L2349=0,Y2349=0),1,0)</f>
        <v/>
      </c>
      <c r="AA2349">
        <f>IF(AND(Z2349=1,G2349&lt;Assumptions!$C$6),1,0)</f>
        <v/>
      </c>
      <c r="AB2349">
        <f>IF(U2349=0,"",IF(Y2349=1,MAX(0,Q2349-G2349),IF(L2349=1,MAX(0,R2349-G2349),MAX(0,Assumptions!$C$6-G2349))))</f>
        <v/>
      </c>
      <c r="AC2349">
        <f>IF(Y2349=1,Q2349-F2349,"")</f>
        <v/>
      </c>
      <c r="AD2349">
        <f>IF(Y2349=1,AC2349^2,"")</f>
        <v/>
      </c>
      <c r="AE2349" s="19">
        <f>IF(Z2349=1,(H2349-M2349)*I2349,0)</f>
        <v/>
      </c>
      <c r="AF2349">
        <f>IF(G2349&lt;EDATE(Assumptions!$C$6,-12)+1,"prior_12m","last_12m")</f>
        <v/>
      </c>
      <c r="AG2349" s="21">
        <f>DATE(YEAR(G2349),MONTH(G2349),1)</f>
        <v/>
      </c>
    </row>
    <row r="2350">
      <c r="A2350" t="inlineStr">
        <is>
          <t>SPO-01275-1</t>
        </is>
      </c>
      <c r="B2350" t="inlineStr">
        <is>
          <t>SPO-01275</t>
        </is>
      </c>
      <c r="C2350" t="inlineStr">
        <is>
          <t>SUP-01</t>
        </is>
      </c>
      <c r="D2350" t="inlineStr">
        <is>
          <t>ELEC</t>
        </is>
      </c>
      <c r="E2350" t="inlineStr">
        <is>
          <t>ELEC-08</t>
        </is>
      </c>
      <c r="F2350" s="17" t="n">
        <v>45924</v>
      </c>
      <c r="G2350" s="17" t="n">
        <v>45942</v>
      </c>
      <c r="H2350" s="18" t="n">
        <v>128</v>
      </c>
      <c r="I2350" s="19" t="n">
        <v>17.98</v>
      </c>
      <c r="J2350" s="19" t="n">
        <v>18</v>
      </c>
      <c r="K2350" s="20" t="n">
        <v>0</v>
      </c>
      <c r="L2350" s="20" t="n">
        <v>0</v>
      </c>
      <c r="M2350" s="18" t="n">
        <v>128</v>
      </c>
      <c r="N2350" s="18" t="n">
        <v>101</v>
      </c>
      <c r="O2350" s="18" t="n">
        <v>0</v>
      </c>
      <c r="P2350" s="17" t="n">
        <v>45941</v>
      </c>
      <c r="Q2350" s="17" t="n">
        <v>45954</v>
      </c>
      <c r="R2350" s="17" t="n">
        <v>45954</v>
      </c>
      <c r="S2350" s="19">
        <f>H2350*I2350</f>
        <v/>
      </c>
      <c r="T2350" s="19">
        <f>H2350*J2350</f>
        <v/>
      </c>
      <c r="U2350">
        <f>IF(AND(K2350=0,G2350&lt;=Assumptions!$C$6),1,0)</f>
        <v/>
      </c>
      <c r="V2350">
        <f>IF(U2350=1,IF(M2350&gt;0,IF(P2350&lt;=G2350+Assumptions!$C$7,1,0),0),0)</f>
        <v/>
      </c>
      <c r="W2350">
        <f>IF(AND(U2350=1,M2350&gt;=H2350*(1-Assumptions!$C$8)),1,0)</f>
        <v/>
      </c>
      <c r="X2350">
        <f>IF(AND(U2350=1,N2350&gt;=H2350*(1-Assumptions!$C$8)),1,0)</f>
        <v/>
      </c>
      <c r="Y2350">
        <f>IF(ISNUMBER(Q2350),1,0)</f>
        <v/>
      </c>
      <c r="Z2350">
        <f>IF(AND(K2350=0,L2350=0,Y2350=0),1,0)</f>
        <v/>
      </c>
      <c r="AA2350">
        <f>IF(AND(Z2350=1,G2350&lt;Assumptions!$C$6),1,0)</f>
        <v/>
      </c>
      <c r="AB2350">
        <f>IF(U2350=0,"",IF(Y2350=1,MAX(0,Q2350-G2350),IF(L2350=1,MAX(0,R2350-G2350),MAX(0,Assumptions!$C$6-G2350))))</f>
        <v/>
      </c>
      <c r="AC2350">
        <f>IF(Y2350=1,Q2350-F2350,"")</f>
        <v/>
      </c>
      <c r="AD2350">
        <f>IF(Y2350=1,AC2350^2,"")</f>
        <v/>
      </c>
      <c r="AE2350" s="19">
        <f>IF(Z2350=1,(H2350-M2350)*I2350,0)</f>
        <v/>
      </c>
      <c r="AF2350">
        <f>IF(G2350&lt;EDATE(Assumptions!$C$6,-12)+1,"prior_12m","last_12m")</f>
        <v/>
      </c>
      <c r="AG2350" s="21">
        <f>DATE(YEAR(G2350),MONTH(G2350),1)</f>
        <v/>
      </c>
    </row>
    <row r="2351">
      <c r="A2351" t="inlineStr">
        <is>
          <t>SPO-01276-1</t>
        </is>
      </c>
      <c r="B2351" t="inlineStr">
        <is>
          <t>SPO-01276</t>
        </is>
      </c>
      <c r="C2351" t="inlineStr">
        <is>
          <t>SUP-14</t>
        </is>
      </c>
      <c r="D2351" t="inlineStr">
        <is>
          <t>FLEET</t>
        </is>
      </c>
      <c r="E2351" t="inlineStr">
        <is>
          <t>FLEET-03</t>
        </is>
      </c>
      <c r="F2351" s="17" t="n">
        <v>45925</v>
      </c>
      <c r="G2351" s="17" t="n">
        <v>45939</v>
      </c>
      <c r="H2351" s="18" t="n">
        <v>54</v>
      </c>
      <c r="I2351" s="19" t="n">
        <v>21.61</v>
      </c>
      <c r="J2351" s="19" t="n">
        <v>21</v>
      </c>
      <c r="K2351" s="20" t="n">
        <v>0</v>
      </c>
      <c r="L2351" s="20" t="n">
        <v>0</v>
      </c>
      <c r="M2351" s="18" t="n">
        <v>54</v>
      </c>
      <c r="N2351" s="18" t="n">
        <v>54</v>
      </c>
      <c r="O2351" s="18" t="n">
        <v>0</v>
      </c>
      <c r="P2351" s="17" t="n">
        <v>45932</v>
      </c>
      <c r="Q2351" s="17" t="n">
        <v>45932</v>
      </c>
      <c r="R2351" s="17" t="n">
        <v>45932</v>
      </c>
      <c r="S2351" s="19">
        <f>H2351*I2351</f>
        <v/>
      </c>
      <c r="T2351" s="19">
        <f>H2351*J2351</f>
        <v/>
      </c>
      <c r="U2351">
        <f>IF(AND(K2351=0,G2351&lt;=Assumptions!$C$6),1,0)</f>
        <v/>
      </c>
      <c r="V2351">
        <f>IF(U2351=1,IF(M2351&gt;0,IF(P2351&lt;=G2351+Assumptions!$C$7,1,0),0),0)</f>
        <v/>
      </c>
      <c r="W2351">
        <f>IF(AND(U2351=1,M2351&gt;=H2351*(1-Assumptions!$C$8)),1,0)</f>
        <v/>
      </c>
      <c r="X2351">
        <f>IF(AND(U2351=1,N2351&gt;=H2351*(1-Assumptions!$C$8)),1,0)</f>
        <v/>
      </c>
      <c r="Y2351">
        <f>IF(ISNUMBER(Q2351),1,0)</f>
        <v/>
      </c>
      <c r="Z2351">
        <f>IF(AND(K2351=0,L2351=0,Y2351=0),1,0)</f>
        <v/>
      </c>
      <c r="AA2351">
        <f>IF(AND(Z2351=1,G2351&lt;Assumptions!$C$6),1,0)</f>
        <v/>
      </c>
      <c r="AB2351">
        <f>IF(U2351=0,"",IF(Y2351=1,MAX(0,Q2351-G2351),IF(L2351=1,MAX(0,R2351-G2351),MAX(0,Assumptions!$C$6-G2351))))</f>
        <v/>
      </c>
      <c r="AC2351">
        <f>IF(Y2351=1,Q2351-F2351,"")</f>
        <v/>
      </c>
      <c r="AD2351">
        <f>IF(Y2351=1,AC2351^2,"")</f>
        <v/>
      </c>
      <c r="AE2351" s="19">
        <f>IF(Z2351=1,(H2351-M2351)*I2351,0)</f>
        <v/>
      </c>
      <c r="AF2351">
        <f>IF(G2351&lt;EDATE(Assumptions!$C$6,-12)+1,"prior_12m","last_12m")</f>
        <v/>
      </c>
      <c r="AG2351" s="21">
        <f>DATE(YEAR(G2351),MONTH(G2351),1)</f>
        <v/>
      </c>
    </row>
    <row r="2352">
      <c r="A2352" t="inlineStr">
        <is>
          <t>SPO-01276-2</t>
        </is>
      </c>
      <c r="B2352" t="inlineStr">
        <is>
          <t>SPO-01276</t>
        </is>
      </c>
      <c r="C2352" t="inlineStr">
        <is>
          <t>SUP-14</t>
        </is>
      </c>
      <c r="D2352" t="inlineStr">
        <is>
          <t>FLEET</t>
        </is>
      </c>
      <c r="E2352" t="inlineStr">
        <is>
          <t>FLEET-07</t>
        </is>
      </c>
      <c r="F2352" s="17" t="n">
        <v>45925</v>
      </c>
      <c r="G2352" s="17" t="n">
        <v>45939</v>
      </c>
      <c r="H2352" s="18" t="n">
        <v>17</v>
      </c>
      <c r="I2352" s="19" t="n">
        <v>111.22</v>
      </c>
      <c r="J2352" s="19" t="n">
        <v>118</v>
      </c>
      <c r="K2352" s="20" t="n">
        <v>0</v>
      </c>
      <c r="L2352" s="20" t="n">
        <v>0</v>
      </c>
      <c r="M2352" s="18" t="n">
        <v>17</v>
      </c>
      <c r="N2352" s="18" t="n">
        <v>17</v>
      </c>
      <c r="O2352" s="18" t="n">
        <v>0</v>
      </c>
      <c r="P2352" s="17" t="n">
        <v>45939</v>
      </c>
      <c r="Q2352" s="17" t="n">
        <v>45939</v>
      </c>
      <c r="R2352" s="17" t="n">
        <v>45939</v>
      </c>
      <c r="S2352" s="19">
        <f>H2352*I2352</f>
        <v/>
      </c>
      <c r="T2352" s="19">
        <f>H2352*J2352</f>
        <v/>
      </c>
      <c r="U2352">
        <f>IF(AND(K2352=0,G2352&lt;=Assumptions!$C$6),1,0)</f>
        <v/>
      </c>
      <c r="V2352">
        <f>IF(U2352=1,IF(M2352&gt;0,IF(P2352&lt;=G2352+Assumptions!$C$7,1,0),0),0)</f>
        <v/>
      </c>
      <c r="W2352">
        <f>IF(AND(U2352=1,M2352&gt;=H2352*(1-Assumptions!$C$8)),1,0)</f>
        <v/>
      </c>
      <c r="X2352">
        <f>IF(AND(U2352=1,N2352&gt;=H2352*(1-Assumptions!$C$8)),1,0)</f>
        <v/>
      </c>
      <c r="Y2352">
        <f>IF(ISNUMBER(Q2352),1,0)</f>
        <v/>
      </c>
      <c r="Z2352">
        <f>IF(AND(K2352=0,L2352=0,Y2352=0),1,0)</f>
        <v/>
      </c>
      <c r="AA2352">
        <f>IF(AND(Z2352=1,G2352&lt;Assumptions!$C$6),1,0)</f>
        <v/>
      </c>
      <c r="AB2352">
        <f>IF(U2352=0,"",IF(Y2352=1,MAX(0,Q2352-G2352),IF(L2352=1,MAX(0,R2352-G2352),MAX(0,Assumptions!$C$6-G2352))))</f>
        <v/>
      </c>
      <c r="AC2352">
        <f>IF(Y2352=1,Q2352-F2352,"")</f>
        <v/>
      </c>
      <c r="AD2352">
        <f>IF(Y2352=1,AC2352^2,"")</f>
        <v/>
      </c>
      <c r="AE2352" s="19">
        <f>IF(Z2352=1,(H2352-M2352)*I2352,0)</f>
        <v/>
      </c>
      <c r="AF2352">
        <f>IF(G2352&lt;EDATE(Assumptions!$C$6,-12)+1,"prior_12m","last_12m")</f>
        <v/>
      </c>
      <c r="AG2352" s="21">
        <f>DATE(YEAR(G2352),MONTH(G2352),1)</f>
        <v/>
      </c>
    </row>
    <row r="2353">
      <c r="A2353" t="inlineStr">
        <is>
          <t>SPO-01277-1</t>
        </is>
      </c>
      <c r="B2353" t="inlineStr">
        <is>
          <t>SPO-01277</t>
        </is>
      </c>
      <c r="C2353" t="inlineStr">
        <is>
          <t>SUP-01</t>
        </is>
      </c>
      <c r="D2353" t="inlineStr">
        <is>
          <t>ELEC</t>
        </is>
      </c>
      <c r="E2353" t="inlineStr">
        <is>
          <t>ELEC-06</t>
        </is>
      </c>
      <c r="F2353" s="17" t="n">
        <v>45925</v>
      </c>
      <c r="G2353" s="17" t="n">
        <v>45943</v>
      </c>
      <c r="H2353" s="18" t="n">
        <v>15</v>
      </c>
      <c r="I2353" s="19" t="n">
        <v>142.96</v>
      </c>
      <c r="J2353" s="19" t="n">
        <v>145</v>
      </c>
      <c r="K2353" s="20" t="n">
        <v>0</v>
      </c>
      <c r="L2353" s="20" t="n">
        <v>0</v>
      </c>
      <c r="M2353" s="18" t="n">
        <v>15</v>
      </c>
      <c r="N2353" s="18" t="n">
        <v>15</v>
      </c>
      <c r="O2353" s="18" t="n">
        <v>0</v>
      </c>
      <c r="P2353" s="17" t="n">
        <v>45939</v>
      </c>
      <c r="Q2353" s="17" t="n">
        <v>45939</v>
      </c>
      <c r="R2353" s="17" t="n">
        <v>45939</v>
      </c>
      <c r="S2353" s="19">
        <f>H2353*I2353</f>
        <v/>
      </c>
      <c r="T2353" s="19">
        <f>H2353*J2353</f>
        <v/>
      </c>
      <c r="U2353">
        <f>IF(AND(K2353=0,G2353&lt;=Assumptions!$C$6),1,0)</f>
        <v/>
      </c>
      <c r="V2353">
        <f>IF(U2353=1,IF(M2353&gt;0,IF(P2353&lt;=G2353+Assumptions!$C$7,1,0),0),0)</f>
        <v/>
      </c>
      <c r="W2353">
        <f>IF(AND(U2353=1,M2353&gt;=H2353*(1-Assumptions!$C$8)),1,0)</f>
        <v/>
      </c>
      <c r="X2353">
        <f>IF(AND(U2353=1,N2353&gt;=H2353*(1-Assumptions!$C$8)),1,0)</f>
        <v/>
      </c>
      <c r="Y2353">
        <f>IF(ISNUMBER(Q2353),1,0)</f>
        <v/>
      </c>
      <c r="Z2353">
        <f>IF(AND(K2353=0,L2353=0,Y2353=0),1,0)</f>
        <v/>
      </c>
      <c r="AA2353">
        <f>IF(AND(Z2353=1,G2353&lt;Assumptions!$C$6),1,0)</f>
        <v/>
      </c>
      <c r="AB2353">
        <f>IF(U2353=0,"",IF(Y2353=1,MAX(0,Q2353-G2353),IF(L2353=1,MAX(0,R2353-G2353),MAX(0,Assumptions!$C$6-G2353))))</f>
        <v/>
      </c>
      <c r="AC2353">
        <f>IF(Y2353=1,Q2353-F2353,"")</f>
        <v/>
      </c>
      <c r="AD2353">
        <f>IF(Y2353=1,AC2353^2,"")</f>
        <v/>
      </c>
      <c r="AE2353" s="19">
        <f>IF(Z2353=1,(H2353-M2353)*I2353,0)</f>
        <v/>
      </c>
      <c r="AF2353">
        <f>IF(G2353&lt;EDATE(Assumptions!$C$6,-12)+1,"prior_12m","last_12m")</f>
        <v/>
      </c>
      <c r="AG2353" s="21">
        <f>DATE(YEAR(G2353),MONTH(G2353),1)</f>
        <v/>
      </c>
    </row>
    <row r="2354">
      <c r="A2354" t="inlineStr">
        <is>
          <t>SPO-01278-1</t>
        </is>
      </c>
      <c r="B2354" t="inlineStr">
        <is>
          <t>SPO-01278</t>
        </is>
      </c>
      <c r="C2354" t="inlineStr">
        <is>
          <t>SUP-09</t>
        </is>
      </c>
      <c r="D2354" t="inlineStr">
        <is>
          <t>CHEM</t>
        </is>
      </c>
      <c r="E2354" t="inlineStr">
        <is>
          <t>CHEM-03</t>
        </is>
      </c>
      <c r="F2354" s="17" t="n">
        <v>45925</v>
      </c>
      <c r="G2354" s="17" t="n">
        <v>45939</v>
      </c>
      <c r="H2354" s="18" t="n">
        <v>10</v>
      </c>
      <c r="I2354" s="19" t="n">
        <v>270.55</v>
      </c>
      <c r="J2354" s="19" t="n">
        <v>265</v>
      </c>
      <c r="K2354" s="20" t="n">
        <v>0</v>
      </c>
      <c r="L2354" s="20" t="n">
        <v>0</v>
      </c>
      <c r="M2354" s="18" t="n">
        <v>10</v>
      </c>
      <c r="N2354" s="18" t="n">
        <v>10</v>
      </c>
      <c r="O2354" s="18" t="n">
        <v>0</v>
      </c>
      <c r="P2354" s="17" t="n">
        <v>45938</v>
      </c>
      <c r="Q2354" s="17" t="n">
        <v>45938</v>
      </c>
      <c r="R2354" s="17" t="n">
        <v>45938</v>
      </c>
      <c r="S2354" s="19">
        <f>H2354*I2354</f>
        <v/>
      </c>
      <c r="T2354" s="19">
        <f>H2354*J2354</f>
        <v/>
      </c>
      <c r="U2354">
        <f>IF(AND(K2354=0,G2354&lt;=Assumptions!$C$6),1,0)</f>
        <v/>
      </c>
      <c r="V2354">
        <f>IF(U2354=1,IF(M2354&gt;0,IF(P2354&lt;=G2354+Assumptions!$C$7,1,0),0),0)</f>
        <v/>
      </c>
      <c r="W2354">
        <f>IF(AND(U2354=1,M2354&gt;=H2354*(1-Assumptions!$C$8)),1,0)</f>
        <v/>
      </c>
      <c r="X2354">
        <f>IF(AND(U2354=1,N2354&gt;=H2354*(1-Assumptions!$C$8)),1,0)</f>
        <v/>
      </c>
      <c r="Y2354">
        <f>IF(ISNUMBER(Q2354),1,0)</f>
        <v/>
      </c>
      <c r="Z2354">
        <f>IF(AND(K2354=0,L2354=0,Y2354=0),1,0)</f>
        <v/>
      </c>
      <c r="AA2354">
        <f>IF(AND(Z2354=1,G2354&lt;Assumptions!$C$6),1,0)</f>
        <v/>
      </c>
      <c r="AB2354">
        <f>IF(U2354=0,"",IF(Y2354=1,MAX(0,Q2354-G2354),IF(L2354=1,MAX(0,R2354-G2354),MAX(0,Assumptions!$C$6-G2354))))</f>
        <v/>
      </c>
      <c r="AC2354">
        <f>IF(Y2354=1,Q2354-F2354,"")</f>
        <v/>
      </c>
      <c r="AD2354">
        <f>IF(Y2354=1,AC2354^2,"")</f>
        <v/>
      </c>
      <c r="AE2354" s="19">
        <f>IF(Z2354=1,(H2354-M2354)*I2354,0)</f>
        <v/>
      </c>
      <c r="AF2354">
        <f>IF(G2354&lt;EDATE(Assumptions!$C$6,-12)+1,"prior_12m","last_12m")</f>
        <v/>
      </c>
      <c r="AG2354" s="21">
        <f>DATE(YEAR(G2354),MONTH(G2354),1)</f>
        <v/>
      </c>
    </row>
    <row r="2355">
      <c r="A2355" t="inlineStr">
        <is>
          <t>SPO-01278-2</t>
        </is>
      </c>
      <c r="B2355" t="inlineStr">
        <is>
          <t>SPO-01278</t>
        </is>
      </c>
      <c r="C2355" t="inlineStr">
        <is>
          <t>SUP-09</t>
        </is>
      </c>
      <c r="D2355" t="inlineStr">
        <is>
          <t>CHEM</t>
        </is>
      </c>
      <c r="E2355" t="inlineStr">
        <is>
          <t>CHEM-01</t>
        </is>
      </c>
      <c r="F2355" s="17" t="n">
        <v>45925</v>
      </c>
      <c r="G2355" s="17" t="n">
        <v>45939</v>
      </c>
      <c r="H2355" s="18" t="n">
        <v>3</v>
      </c>
      <c r="I2355" s="19" t="n">
        <v>640.26</v>
      </c>
      <c r="J2355" s="19" t="n">
        <v>640</v>
      </c>
      <c r="K2355" s="20" t="n">
        <v>0</v>
      </c>
      <c r="L2355" s="20" t="n">
        <v>0</v>
      </c>
      <c r="M2355" s="18" t="n">
        <v>3</v>
      </c>
      <c r="N2355" s="18" t="n">
        <v>3</v>
      </c>
      <c r="O2355" s="18" t="n">
        <v>0</v>
      </c>
      <c r="P2355" s="17" t="n">
        <v>45937</v>
      </c>
      <c r="Q2355" s="17" t="n">
        <v>45937</v>
      </c>
      <c r="R2355" s="17" t="n">
        <v>45937</v>
      </c>
      <c r="S2355" s="19">
        <f>H2355*I2355</f>
        <v/>
      </c>
      <c r="T2355" s="19">
        <f>H2355*J2355</f>
        <v/>
      </c>
      <c r="U2355">
        <f>IF(AND(K2355=0,G2355&lt;=Assumptions!$C$6),1,0)</f>
        <v/>
      </c>
      <c r="V2355">
        <f>IF(U2355=1,IF(M2355&gt;0,IF(P2355&lt;=G2355+Assumptions!$C$7,1,0),0),0)</f>
        <v/>
      </c>
      <c r="W2355">
        <f>IF(AND(U2355=1,M2355&gt;=H2355*(1-Assumptions!$C$8)),1,0)</f>
        <v/>
      </c>
      <c r="X2355">
        <f>IF(AND(U2355=1,N2355&gt;=H2355*(1-Assumptions!$C$8)),1,0)</f>
        <v/>
      </c>
      <c r="Y2355">
        <f>IF(ISNUMBER(Q2355),1,0)</f>
        <v/>
      </c>
      <c r="Z2355">
        <f>IF(AND(K2355=0,L2355=0,Y2355=0),1,0)</f>
        <v/>
      </c>
      <c r="AA2355">
        <f>IF(AND(Z2355=1,G2355&lt;Assumptions!$C$6),1,0)</f>
        <v/>
      </c>
      <c r="AB2355">
        <f>IF(U2355=0,"",IF(Y2355=1,MAX(0,Q2355-G2355),IF(L2355=1,MAX(0,R2355-G2355),MAX(0,Assumptions!$C$6-G2355))))</f>
        <v/>
      </c>
      <c r="AC2355">
        <f>IF(Y2355=1,Q2355-F2355,"")</f>
        <v/>
      </c>
      <c r="AD2355">
        <f>IF(Y2355=1,AC2355^2,"")</f>
        <v/>
      </c>
      <c r="AE2355" s="19">
        <f>IF(Z2355=1,(H2355-M2355)*I2355,0)</f>
        <v/>
      </c>
      <c r="AF2355">
        <f>IF(G2355&lt;EDATE(Assumptions!$C$6,-12)+1,"prior_12m","last_12m")</f>
        <v/>
      </c>
      <c r="AG2355" s="21">
        <f>DATE(YEAR(G2355),MONTH(G2355),1)</f>
        <v/>
      </c>
    </row>
    <row r="2356">
      <c r="A2356" t="inlineStr">
        <is>
          <t>SPO-01279-1</t>
        </is>
      </c>
      <c r="B2356" t="inlineStr">
        <is>
          <t>SPO-01279</t>
        </is>
      </c>
      <c r="C2356" t="inlineStr">
        <is>
          <t>SUP-12</t>
        </is>
      </c>
      <c r="D2356" t="inlineStr">
        <is>
          <t>IT</t>
        </is>
      </c>
      <c r="E2356" t="inlineStr">
        <is>
          <t>IT-08</t>
        </is>
      </c>
      <c r="F2356" s="17" t="n">
        <v>45926</v>
      </c>
      <c r="G2356" s="17" t="n">
        <v>45936</v>
      </c>
      <c r="H2356" s="18" t="n">
        <v>5</v>
      </c>
      <c r="I2356" s="19" t="n">
        <v>260.35</v>
      </c>
      <c r="J2356" s="19" t="n">
        <v>245</v>
      </c>
      <c r="K2356" s="20" t="n">
        <v>0</v>
      </c>
      <c r="L2356" s="20" t="n">
        <v>0</v>
      </c>
      <c r="M2356" s="18" t="n">
        <v>5</v>
      </c>
      <c r="N2356" s="18" t="n">
        <v>0</v>
      </c>
      <c r="O2356" s="18" t="n">
        <v>0</v>
      </c>
      <c r="P2356" s="17" t="n">
        <v>45938</v>
      </c>
      <c r="Q2356" s="17" t="n">
        <v>45938</v>
      </c>
      <c r="R2356" s="17" t="n">
        <v>45938</v>
      </c>
      <c r="S2356" s="19">
        <f>H2356*I2356</f>
        <v/>
      </c>
      <c r="T2356" s="19">
        <f>H2356*J2356</f>
        <v/>
      </c>
      <c r="U2356">
        <f>IF(AND(K2356=0,G2356&lt;=Assumptions!$C$6),1,0)</f>
        <v/>
      </c>
      <c r="V2356">
        <f>IF(U2356=1,IF(M2356&gt;0,IF(P2356&lt;=G2356+Assumptions!$C$7,1,0),0),0)</f>
        <v/>
      </c>
      <c r="W2356">
        <f>IF(AND(U2356=1,M2356&gt;=H2356*(1-Assumptions!$C$8)),1,0)</f>
        <v/>
      </c>
      <c r="X2356">
        <f>IF(AND(U2356=1,N2356&gt;=H2356*(1-Assumptions!$C$8)),1,0)</f>
        <v/>
      </c>
      <c r="Y2356">
        <f>IF(ISNUMBER(Q2356),1,0)</f>
        <v/>
      </c>
      <c r="Z2356">
        <f>IF(AND(K2356=0,L2356=0,Y2356=0),1,0)</f>
        <v/>
      </c>
      <c r="AA2356">
        <f>IF(AND(Z2356=1,G2356&lt;Assumptions!$C$6),1,0)</f>
        <v/>
      </c>
      <c r="AB2356">
        <f>IF(U2356=0,"",IF(Y2356=1,MAX(0,Q2356-G2356),IF(L2356=1,MAX(0,R2356-G2356),MAX(0,Assumptions!$C$6-G2356))))</f>
        <v/>
      </c>
      <c r="AC2356">
        <f>IF(Y2356=1,Q2356-F2356,"")</f>
        <v/>
      </c>
      <c r="AD2356">
        <f>IF(Y2356=1,AC2356^2,"")</f>
        <v/>
      </c>
      <c r="AE2356" s="19">
        <f>IF(Z2356=1,(H2356-M2356)*I2356,0)</f>
        <v/>
      </c>
      <c r="AF2356">
        <f>IF(G2356&lt;EDATE(Assumptions!$C$6,-12)+1,"prior_12m","last_12m")</f>
        <v/>
      </c>
      <c r="AG2356" s="21">
        <f>DATE(YEAR(G2356),MONTH(G2356),1)</f>
        <v/>
      </c>
    </row>
    <row r="2357">
      <c r="A2357" t="inlineStr">
        <is>
          <t>SPO-01280-1</t>
        </is>
      </c>
      <c r="B2357" t="inlineStr">
        <is>
          <t>SPO-01280</t>
        </is>
      </c>
      <c r="C2357" t="inlineStr">
        <is>
          <t>SUP-01</t>
        </is>
      </c>
      <c r="D2357" t="inlineStr">
        <is>
          <t>ELEC</t>
        </is>
      </c>
      <c r="E2357" t="inlineStr">
        <is>
          <t>ELEC-02</t>
        </is>
      </c>
      <c r="F2357" s="17" t="n">
        <v>45926</v>
      </c>
      <c r="G2357" s="17" t="n">
        <v>45944</v>
      </c>
      <c r="H2357" s="18" t="n">
        <v>452</v>
      </c>
      <c r="I2357" s="19" t="n">
        <v>4.39</v>
      </c>
      <c r="J2357" s="19" t="n">
        <v>4.2</v>
      </c>
      <c r="K2357" s="20" t="n">
        <v>0</v>
      </c>
      <c r="L2357" s="20" t="n">
        <v>0</v>
      </c>
      <c r="M2357" s="18" t="n">
        <v>452</v>
      </c>
      <c r="N2357" s="18" t="n">
        <v>452</v>
      </c>
      <c r="O2357" s="18" t="n">
        <v>0</v>
      </c>
      <c r="P2357" s="17" t="n">
        <v>45940</v>
      </c>
      <c r="Q2357" s="17" t="n">
        <v>45940</v>
      </c>
      <c r="R2357" s="17" t="n">
        <v>45940</v>
      </c>
      <c r="S2357" s="19">
        <f>H2357*I2357</f>
        <v/>
      </c>
      <c r="T2357" s="19">
        <f>H2357*J2357</f>
        <v/>
      </c>
      <c r="U2357">
        <f>IF(AND(K2357=0,G2357&lt;=Assumptions!$C$6),1,0)</f>
        <v/>
      </c>
      <c r="V2357">
        <f>IF(U2357=1,IF(M2357&gt;0,IF(P2357&lt;=G2357+Assumptions!$C$7,1,0),0),0)</f>
        <v/>
      </c>
      <c r="W2357">
        <f>IF(AND(U2357=1,M2357&gt;=H2357*(1-Assumptions!$C$8)),1,0)</f>
        <v/>
      </c>
      <c r="X2357">
        <f>IF(AND(U2357=1,N2357&gt;=H2357*(1-Assumptions!$C$8)),1,0)</f>
        <v/>
      </c>
      <c r="Y2357">
        <f>IF(ISNUMBER(Q2357),1,0)</f>
        <v/>
      </c>
      <c r="Z2357">
        <f>IF(AND(K2357=0,L2357=0,Y2357=0),1,0)</f>
        <v/>
      </c>
      <c r="AA2357">
        <f>IF(AND(Z2357=1,G2357&lt;Assumptions!$C$6),1,0)</f>
        <v/>
      </c>
      <c r="AB2357">
        <f>IF(U2357=0,"",IF(Y2357=1,MAX(0,Q2357-G2357),IF(L2357=1,MAX(0,R2357-G2357),MAX(0,Assumptions!$C$6-G2357))))</f>
        <v/>
      </c>
      <c r="AC2357">
        <f>IF(Y2357=1,Q2357-F2357,"")</f>
        <v/>
      </c>
      <c r="AD2357">
        <f>IF(Y2357=1,AC2357^2,"")</f>
        <v/>
      </c>
      <c r="AE2357" s="19">
        <f>IF(Z2357=1,(H2357-M2357)*I2357,0)</f>
        <v/>
      </c>
      <c r="AF2357">
        <f>IF(G2357&lt;EDATE(Assumptions!$C$6,-12)+1,"prior_12m","last_12m")</f>
        <v/>
      </c>
      <c r="AG2357" s="21">
        <f>DATE(YEAR(G2357),MONTH(G2357),1)</f>
        <v/>
      </c>
    </row>
    <row r="2358">
      <c r="A2358" t="inlineStr">
        <is>
          <t>SPO-01281-1</t>
        </is>
      </c>
      <c r="B2358" t="inlineStr">
        <is>
          <t>SPO-01281</t>
        </is>
      </c>
      <c r="C2358" t="inlineStr">
        <is>
          <t>SUP-09</t>
        </is>
      </c>
      <c r="D2358" t="inlineStr">
        <is>
          <t>CHEM</t>
        </is>
      </c>
      <c r="E2358" t="inlineStr">
        <is>
          <t>CHEM-06</t>
        </is>
      </c>
      <c r="F2358" s="17" t="n">
        <v>45926</v>
      </c>
      <c r="G2358" s="17" t="n">
        <v>45940</v>
      </c>
      <c r="H2358" s="18" t="n">
        <v>2</v>
      </c>
      <c r="I2358" s="19" t="n">
        <v>354.25</v>
      </c>
      <c r="J2358" s="19" t="n">
        <v>380</v>
      </c>
      <c r="K2358" s="20" t="n">
        <v>0</v>
      </c>
      <c r="L2358" s="20" t="n">
        <v>0</v>
      </c>
      <c r="M2358" s="18" t="n">
        <v>2</v>
      </c>
      <c r="N2358" s="18" t="n">
        <v>2</v>
      </c>
      <c r="O2358" s="18" t="n">
        <v>0</v>
      </c>
      <c r="P2358" s="17" t="n">
        <v>45936</v>
      </c>
      <c r="Q2358" s="17" t="n">
        <v>45936</v>
      </c>
      <c r="R2358" s="17" t="n">
        <v>45936</v>
      </c>
      <c r="S2358" s="19">
        <f>H2358*I2358</f>
        <v/>
      </c>
      <c r="T2358" s="19">
        <f>H2358*J2358</f>
        <v/>
      </c>
      <c r="U2358">
        <f>IF(AND(K2358=0,G2358&lt;=Assumptions!$C$6),1,0)</f>
        <v/>
      </c>
      <c r="V2358">
        <f>IF(U2358=1,IF(M2358&gt;0,IF(P2358&lt;=G2358+Assumptions!$C$7,1,0),0),0)</f>
        <v/>
      </c>
      <c r="W2358">
        <f>IF(AND(U2358=1,M2358&gt;=H2358*(1-Assumptions!$C$8)),1,0)</f>
        <v/>
      </c>
      <c r="X2358">
        <f>IF(AND(U2358=1,N2358&gt;=H2358*(1-Assumptions!$C$8)),1,0)</f>
        <v/>
      </c>
      <c r="Y2358">
        <f>IF(ISNUMBER(Q2358),1,0)</f>
        <v/>
      </c>
      <c r="Z2358">
        <f>IF(AND(K2358=0,L2358=0,Y2358=0),1,0)</f>
        <v/>
      </c>
      <c r="AA2358">
        <f>IF(AND(Z2358=1,G2358&lt;Assumptions!$C$6),1,0)</f>
        <v/>
      </c>
      <c r="AB2358">
        <f>IF(U2358=0,"",IF(Y2358=1,MAX(0,Q2358-G2358),IF(L2358=1,MAX(0,R2358-G2358),MAX(0,Assumptions!$C$6-G2358))))</f>
        <v/>
      </c>
      <c r="AC2358">
        <f>IF(Y2358=1,Q2358-F2358,"")</f>
        <v/>
      </c>
      <c r="AD2358">
        <f>IF(Y2358=1,AC2358^2,"")</f>
        <v/>
      </c>
      <c r="AE2358" s="19">
        <f>IF(Z2358=1,(H2358-M2358)*I2358,0)</f>
        <v/>
      </c>
      <c r="AF2358">
        <f>IF(G2358&lt;EDATE(Assumptions!$C$6,-12)+1,"prior_12m","last_12m")</f>
        <v/>
      </c>
      <c r="AG2358" s="21">
        <f>DATE(YEAR(G2358),MONTH(G2358),1)</f>
        <v/>
      </c>
    </row>
    <row r="2359">
      <c r="A2359" t="inlineStr">
        <is>
          <t>SPO-01281-2</t>
        </is>
      </c>
      <c r="B2359" t="inlineStr">
        <is>
          <t>SPO-01281</t>
        </is>
      </c>
      <c r="C2359" t="inlineStr">
        <is>
          <t>SUP-09</t>
        </is>
      </c>
      <c r="D2359" t="inlineStr">
        <is>
          <t>CHEM</t>
        </is>
      </c>
      <c r="E2359" t="inlineStr">
        <is>
          <t>CHEM-03</t>
        </is>
      </c>
      <c r="F2359" s="17" t="n">
        <v>45926</v>
      </c>
      <c r="G2359" s="17" t="n">
        <v>45940</v>
      </c>
      <c r="H2359" s="18" t="n">
        <v>6</v>
      </c>
      <c r="I2359" s="19" t="n">
        <v>266.2</v>
      </c>
      <c r="J2359" s="19" t="n">
        <v>265</v>
      </c>
      <c r="K2359" s="20" t="n">
        <v>0</v>
      </c>
      <c r="L2359" s="20" t="n">
        <v>0</v>
      </c>
      <c r="M2359" s="18" t="n">
        <v>6</v>
      </c>
      <c r="N2359" s="18" t="n">
        <v>6</v>
      </c>
      <c r="O2359" s="18" t="n">
        <v>0</v>
      </c>
      <c r="P2359" s="17" t="n">
        <v>45939</v>
      </c>
      <c r="Q2359" s="17" t="n">
        <v>45939</v>
      </c>
      <c r="R2359" s="17" t="n">
        <v>45939</v>
      </c>
      <c r="S2359" s="19">
        <f>H2359*I2359</f>
        <v/>
      </c>
      <c r="T2359" s="19">
        <f>H2359*J2359</f>
        <v/>
      </c>
      <c r="U2359">
        <f>IF(AND(K2359=0,G2359&lt;=Assumptions!$C$6),1,0)</f>
        <v/>
      </c>
      <c r="V2359">
        <f>IF(U2359=1,IF(M2359&gt;0,IF(P2359&lt;=G2359+Assumptions!$C$7,1,0),0),0)</f>
        <v/>
      </c>
      <c r="W2359">
        <f>IF(AND(U2359=1,M2359&gt;=H2359*(1-Assumptions!$C$8)),1,0)</f>
        <v/>
      </c>
      <c r="X2359">
        <f>IF(AND(U2359=1,N2359&gt;=H2359*(1-Assumptions!$C$8)),1,0)</f>
        <v/>
      </c>
      <c r="Y2359">
        <f>IF(ISNUMBER(Q2359),1,0)</f>
        <v/>
      </c>
      <c r="Z2359">
        <f>IF(AND(K2359=0,L2359=0,Y2359=0),1,0)</f>
        <v/>
      </c>
      <c r="AA2359">
        <f>IF(AND(Z2359=1,G2359&lt;Assumptions!$C$6),1,0)</f>
        <v/>
      </c>
      <c r="AB2359">
        <f>IF(U2359=0,"",IF(Y2359=1,MAX(0,Q2359-G2359),IF(L2359=1,MAX(0,R2359-G2359),MAX(0,Assumptions!$C$6-G2359))))</f>
        <v/>
      </c>
      <c r="AC2359">
        <f>IF(Y2359=1,Q2359-F2359,"")</f>
        <v/>
      </c>
      <c r="AD2359">
        <f>IF(Y2359=1,AC2359^2,"")</f>
        <v/>
      </c>
      <c r="AE2359" s="19">
        <f>IF(Z2359=1,(H2359-M2359)*I2359,0)</f>
        <v/>
      </c>
      <c r="AF2359">
        <f>IF(G2359&lt;EDATE(Assumptions!$C$6,-12)+1,"prior_12m","last_12m")</f>
        <v/>
      </c>
      <c r="AG2359" s="21">
        <f>DATE(YEAR(G2359),MONTH(G2359),1)</f>
        <v/>
      </c>
    </row>
    <row r="2360">
      <c r="A2360" t="inlineStr">
        <is>
          <t>SPO-01282-1</t>
        </is>
      </c>
      <c r="B2360" t="inlineStr">
        <is>
          <t>SPO-01282</t>
        </is>
      </c>
      <c r="C2360" t="inlineStr">
        <is>
          <t>SUP-02</t>
        </is>
      </c>
      <c r="D2360" t="inlineStr">
        <is>
          <t>ELEC</t>
        </is>
      </c>
      <c r="E2360" t="inlineStr">
        <is>
          <t>ELEC-05</t>
        </is>
      </c>
      <c r="F2360" s="17" t="n">
        <v>45927</v>
      </c>
      <c r="G2360" s="17" t="n">
        <v>45943</v>
      </c>
      <c r="H2360" s="18" t="n">
        <v>461</v>
      </c>
      <c r="I2360" s="19" t="n">
        <v>11.19</v>
      </c>
      <c r="J2360" s="19" t="n">
        <v>11.5</v>
      </c>
      <c r="K2360" s="20" t="n">
        <v>0</v>
      </c>
      <c r="L2360" s="20" t="n">
        <v>0</v>
      </c>
      <c r="M2360" s="18" t="n">
        <v>461</v>
      </c>
      <c r="N2360" s="18" t="n">
        <v>461</v>
      </c>
      <c r="O2360" s="18" t="n">
        <v>0</v>
      </c>
      <c r="P2360" s="17" t="n">
        <v>45938</v>
      </c>
      <c r="Q2360" s="17" t="n">
        <v>45938</v>
      </c>
      <c r="R2360" s="17" t="n">
        <v>45938</v>
      </c>
      <c r="S2360" s="19">
        <f>H2360*I2360</f>
        <v/>
      </c>
      <c r="T2360" s="19">
        <f>H2360*J2360</f>
        <v/>
      </c>
      <c r="U2360">
        <f>IF(AND(K2360=0,G2360&lt;=Assumptions!$C$6),1,0)</f>
        <v/>
      </c>
      <c r="V2360">
        <f>IF(U2360=1,IF(M2360&gt;0,IF(P2360&lt;=G2360+Assumptions!$C$7,1,0),0),0)</f>
        <v/>
      </c>
      <c r="W2360">
        <f>IF(AND(U2360=1,M2360&gt;=H2360*(1-Assumptions!$C$8)),1,0)</f>
        <v/>
      </c>
      <c r="X2360">
        <f>IF(AND(U2360=1,N2360&gt;=H2360*(1-Assumptions!$C$8)),1,0)</f>
        <v/>
      </c>
      <c r="Y2360">
        <f>IF(ISNUMBER(Q2360),1,0)</f>
        <v/>
      </c>
      <c r="Z2360">
        <f>IF(AND(K2360=0,L2360=0,Y2360=0),1,0)</f>
        <v/>
      </c>
      <c r="AA2360">
        <f>IF(AND(Z2360=1,G2360&lt;Assumptions!$C$6),1,0)</f>
        <v/>
      </c>
      <c r="AB2360">
        <f>IF(U2360=0,"",IF(Y2360=1,MAX(0,Q2360-G2360),IF(L2360=1,MAX(0,R2360-G2360),MAX(0,Assumptions!$C$6-G2360))))</f>
        <v/>
      </c>
      <c r="AC2360">
        <f>IF(Y2360=1,Q2360-F2360,"")</f>
        <v/>
      </c>
      <c r="AD2360">
        <f>IF(Y2360=1,AC2360^2,"")</f>
        <v/>
      </c>
      <c r="AE2360" s="19">
        <f>IF(Z2360=1,(H2360-M2360)*I2360,0)</f>
        <v/>
      </c>
      <c r="AF2360">
        <f>IF(G2360&lt;EDATE(Assumptions!$C$6,-12)+1,"prior_12m","last_12m")</f>
        <v/>
      </c>
      <c r="AG2360" s="21">
        <f>DATE(YEAR(G2360),MONTH(G2360),1)</f>
        <v/>
      </c>
    </row>
    <row r="2361">
      <c r="A2361" t="inlineStr">
        <is>
          <t>SPO-01283-1</t>
        </is>
      </c>
      <c r="B2361" t="inlineStr">
        <is>
          <t>SPO-01283</t>
        </is>
      </c>
      <c r="C2361" t="inlineStr">
        <is>
          <t>SUP-10</t>
        </is>
      </c>
      <c r="D2361" t="inlineStr">
        <is>
          <t>PPE</t>
        </is>
      </c>
      <c r="E2361" t="inlineStr">
        <is>
          <t>PPE-06</t>
        </is>
      </c>
      <c r="F2361" s="17" t="n">
        <v>45927</v>
      </c>
      <c r="G2361" s="17" t="n">
        <v>45940</v>
      </c>
      <c r="H2361" s="18" t="n">
        <v>9</v>
      </c>
      <c r="I2361" s="19" t="n">
        <v>102.24</v>
      </c>
      <c r="J2361" s="19" t="n">
        <v>115</v>
      </c>
      <c r="K2361" s="20" t="n">
        <v>0</v>
      </c>
      <c r="L2361" s="20" t="n">
        <v>0</v>
      </c>
      <c r="M2361" s="18" t="n">
        <v>9</v>
      </c>
      <c r="N2361" s="18" t="n">
        <v>9</v>
      </c>
      <c r="O2361" s="18" t="n">
        <v>1</v>
      </c>
      <c r="P2361" s="17" t="n">
        <v>45937</v>
      </c>
      <c r="Q2361" s="17" t="n">
        <v>45937</v>
      </c>
      <c r="R2361" s="17" t="n">
        <v>45937</v>
      </c>
      <c r="S2361" s="19">
        <f>H2361*I2361</f>
        <v/>
      </c>
      <c r="T2361" s="19">
        <f>H2361*J2361</f>
        <v/>
      </c>
      <c r="U2361">
        <f>IF(AND(K2361=0,G2361&lt;=Assumptions!$C$6),1,0)</f>
        <v/>
      </c>
      <c r="V2361">
        <f>IF(U2361=1,IF(M2361&gt;0,IF(P2361&lt;=G2361+Assumptions!$C$7,1,0),0),0)</f>
        <v/>
      </c>
      <c r="W2361">
        <f>IF(AND(U2361=1,M2361&gt;=H2361*(1-Assumptions!$C$8)),1,0)</f>
        <v/>
      </c>
      <c r="X2361">
        <f>IF(AND(U2361=1,N2361&gt;=H2361*(1-Assumptions!$C$8)),1,0)</f>
        <v/>
      </c>
      <c r="Y2361">
        <f>IF(ISNUMBER(Q2361),1,0)</f>
        <v/>
      </c>
      <c r="Z2361">
        <f>IF(AND(K2361=0,L2361=0,Y2361=0),1,0)</f>
        <v/>
      </c>
      <c r="AA2361">
        <f>IF(AND(Z2361=1,G2361&lt;Assumptions!$C$6),1,0)</f>
        <v/>
      </c>
      <c r="AB2361">
        <f>IF(U2361=0,"",IF(Y2361=1,MAX(0,Q2361-G2361),IF(L2361=1,MAX(0,R2361-G2361),MAX(0,Assumptions!$C$6-G2361))))</f>
        <v/>
      </c>
      <c r="AC2361">
        <f>IF(Y2361=1,Q2361-F2361,"")</f>
        <v/>
      </c>
      <c r="AD2361">
        <f>IF(Y2361=1,AC2361^2,"")</f>
        <v/>
      </c>
      <c r="AE2361" s="19">
        <f>IF(Z2361=1,(H2361-M2361)*I2361,0)</f>
        <v/>
      </c>
      <c r="AF2361">
        <f>IF(G2361&lt;EDATE(Assumptions!$C$6,-12)+1,"prior_12m","last_12m")</f>
        <v/>
      </c>
      <c r="AG2361" s="21">
        <f>DATE(YEAR(G2361),MONTH(G2361),1)</f>
        <v/>
      </c>
    </row>
    <row r="2362">
      <c r="A2362" t="inlineStr">
        <is>
          <t>SPO-01284-1</t>
        </is>
      </c>
      <c r="B2362" t="inlineStr">
        <is>
          <t>SPO-01284</t>
        </is>
      </c>
      <c r="C2362" t="inlineStr">
        <is>
          <t>SUP-06</t>
        </is>
      </c>
      <c r="D2362" t="inlineStr">
        <is>
          <t>MRO</t>
        </is>
      </c>
      <c r="E2362" t="inlineStr">
        <is>
          <t>MRO-02</t>
        </is>
      </c>
      <c r="F2362" s="17" t="n">
        <v>45928</v>
      </c>
      <c r="G2362" s="17" t="n">
        <v>45936</v>
      </c>
      <c r="H2362" s="18" t="n">
        <v>57</v>
      </c>
      <c r="I2362" s="19" t="n">
        <v>43.01</v>
      </c>
      <c r="J2362" s="19" t="n">
        <v>41</v>
      </c>
      <c r="K2362" s="20" t="n">
        <v>0</v>
      </c>
      <c r="L2362" s="20" t="n">
        <v>0</v>
      </c>
      <c r="M2362" s="18" t="n">
        <v>57</v>
      </c>
      <c r="N2362" s="18" t="n">
        <v>57</v>
      </c>
      <c r="O2362" s="18" t="n">
        <v>0</v>
      </c>
      <c r="P2362" s="17" t="n">
        <v>45933</v>
      </c>
      <c r="Q2362" s="17" t="n">
        <v>45933</v>
      </c>
      <c r="R2362" s="17" t="n">
        <v>45933</v>
      </c>
      <c r="S2362" s="19">
        <f>H2362*I2362</f>
        <v/>
      </c>
      <c r="T2362" s="19">
        <f>H2362*J2362</f>
        <v/>
      </c>
      <c r="U2362">
        <f>IF(AND(K2362=0,G2362&lt;=Assumptions!$C$6),1,0)</f>
        <v/>
      </c>
      <c r="V2362">
        <f>IF(U2362=1,IF(M2362&gt;0,IF(P2362&lt;=G2362+Assumptions!$C$7,1,0),0),0)</f>
        <v/>
      </c>
      <c r="W2362">
        <f>IF(AND(U2362=1,M2362&gt;=H2362*(1-Assumptions!$C$8)),1,0)</f>
        <v/>
      </c>
      <c r="X2362">
        <f>IF(AND(U2362=1,N2362&gt;=H2362*(1-Assumptions!$C$8)),1,0)</f>
        <v/>
      </c>
      <c r="Y2362">
        <f>IF(ISNUMBER(Q2362),1,0)</f>
        <v/>
      </c>
      <c r="Z2362">
        <f>IF(AND(K2362=0,L2362=0,Y2362=0),1,0)</f>
        <v/>
      </c>
      <c r="AA2362">
        <f>IF(AND(Z2362=1,G2362&lt;Assumptions!$C$6),1,0)</f>
        <v/>
      </c>
      <c r="AB2362">
        <f>IF(U2362=0,"",IF(Y2362=1,MAX(0,Q2362-G2362),IF(L2362=1,MAX(0,R2362-G2362),MAX(0,Assumptions!$C$6-G2362))))</f>
        <v/>
      </c>
      <c r="AC2362">
        <f>IF(Y2362=1,Q2362-F2362,"")</f>
        <v/>
      </c>
      <c r="AD2362">
        <f>IF(Y2362=1,AC2362^2,"")</f>
        <v/>
      </c>
      <c r="AE2362" s="19">
        <f>IF(Z2362=1,(H2362-M2362)*I2362,0)</f>
        <v/>
      </c>
      <c r="AF2362">
        <f>IF(G2362&lt;EDATE(Assumptions!$C$6,-12)+1,"prior_12m","last_12m")</f>
        <v/>
      </c>
      <c r="AG2362" s="21">
        <f>DATE(YEAR(G2362),MONTH(G2362),1)</f>
        <v/>
      </c>
    </row>
    <row r="2363">
      <c r="A2363" t="inlineStr">
        <is>
          <t>SPO-01284-2</t>
        </is>
      </c>
      <c r="B2363" t="inlineStr">
        <is>
          <t>SPO-01284</t>
        </is>
      </c>
      <c r="C2363" t="inlineStr">
        <is>
          <t>SUP-06</t>
        </is>
      </c>
      <c r="D2363" t="inlineStr">
        <is>
          <t>MRO</t>
        </is>
      </c>
      <c r="E2363" t="inlineStr">
        <is>
          <t>MRO-08</t>
        </is>
      </c>
      <c r="F2363" s="17" t="n">
        <v>45928</v>
      </c>
      <c r="G2363" s="17" t="n">
        <v>45936</v>
      </c>
      <c r="H2363" s="18" t="n">
        <v>379</v>
      </c>
      <c r="I2363" s="19" t="n">
        <v>7.55</v>
      </c>
      <c r="J2363" s="19" t="n">
        <v>7.2</v>
      </c>
      <c r="K2363" s="20" t="n">
        <v>0</v>
      </c>
      <c r="L2363" s="20" t="n">
        <v>0</v>
      </c>
      <c r="M2363" s="18" t="n">
        <v>379</v>
      </c>
      <c r="N2363" s="18" t="n">
        <v>379</v>
      </c>
      <c r="O2363" s="18" t="n">
        <v>0</v>
      </c>
      <c r="P2363" s="17" t="n">
        <v>45935</v>
      </c>
      <c r="Q2363" s="17" t="n">
        <v>45935</v>
      </c>
      <c r="R2363" s="17" t="n">
        <v>45935</v>
      </c>
      <c r="S2363" s="19">
        <f>H2363*I2363</f>
        <v/>
      </c>
      <c r="T2363" s="19">
        <f>H2363*J2363</f>
        <v/>
      </c>
      <c r="U2363">
        <f>IF(AND(K2363=0,G2363&lt;=Assumptions!$C$6),1,0)</f>
        <v/>
      </c>
      <c r="V2363">
        <f>IF(U2363=1,IF(M2363&gt;0,IF(P2363&lt;=G2363+Assumptions!$C$7,1,0),0),0)</f>
        <v/>
      </c>
      <c r="W2363">
        <f>IF(AND(U2363=1,M2363&gt;=H2363*(1-Assumptions!$C$8)),1,0)</f>
        <v/>
      </c>
      <c r="X2363">
        <f>IF(AND(U2363=1,N2363&gt;=H2363*(1-Assumptions!$C$8)),1,0)</f>
        <v/>
      </c>
      <c r="Y2363">
        <f>IF(ISNUMBER(Q2363),1,0)</f>
        <v/>
      </c>
      <c r="Z2363">
        <f>IF(AND(K2363=0,L2363=0,Y2363=0),1,0)</f>
        <v/>
      </c>
      <c r="AA2363">
        <f>IF(AND(Z2363=1,G2363&lt;Assumptions!$C$6),1,0)</f>
        <v/>
      </c>
      <c r="AB2363">
        <f>IF(U2363=0,"",IF(Y2363=1,MAX(0,Q2363-G2363),IF(L2363=1,MAX(0,R2363-G2363),MAX(0,Assumptions!$C$6-G2363))))</f>
        <v/>
      </c>
      <c r="AC2363">
        <f>IF(Y2363=1,Q2363-F2363,"")</f>
        <v/>
      </c>
      <c r="AD2363">
        <f>IF(Y2363=1,AC2363^2,"")</f>
        <v/>
      </c>
      <c r="AE2363" s="19">
        <f>IF(Z2363=1,(H2363-M2363)*I2363,0)</f>
        <v/>
      </c>
      <c r="AF2363">
        <f>IF(G2363&lt;EDATE(Assumptions!$C$6,-12)+1,"prior_12m","last_12m")</f>
        <v/>
      </c>
      <c r="AG2363" s="21">
        <f>DATE(YEAR(G2363),MONTH(G2363),1)</f>
        <v/>
      </c>
    </row>
    <row r="2364">
      <c r="A2364" t="inlineStr">
        <is>
          <t>SPO-01285-1</t>
        </is>
      </c>
      <c r="B2364" t="inlineStr">
        <is>
          <t>SPO-01285</t>
        </is>
      </c>
      <c r="C2364" t="inlineStr">
        <is>
          <t>SUP-05</t>
        </is>
      </c>
      <c r="D2364" t="inlineStr">
        <is>
          <t>FLEET</t>
        </is>
      </c>
      <c r="E2364" t="inlineStr">
        <is>
          <t>FLEET-07</t>
        </is>
      </c>
      <c r="F2364" s="17" t="n">
        <v>45928</v>
      </c>
      <c r="G2364" s="17" t="n">
        <v>45942</v>
      </c>
      <c r="H2364" s="18" t="n">
        <v>27</v>
      </c>
      <c r="I2364" s="19" t="n">
        <v>119.93</v>
      </c>
      <c r="J2364" s="19" t="n">
        <v>118</v>
      </c>
      <c r="K2364" s="20" t="n">
        <v>0</v>
      </c>
      <c r="L2364" s="20" t="n">
        <v>0</v>
      </c>
      <c r="M2364" s="18" t="n">
        <v>27</v>
      </c>
      <c r="N2364" s="18" t="n">
        <v>27</v>
      </c>
      <c r="O2364" s="18" t="n">
        <v>0</v>
      </c>
      <c r="P2364" s="17" t="n">
        <v>45935</v>
      </c>
      <c r="Q2364" s="17" t="n">
        <v>45935</v>
      </c>
      <c r="R2364" s="17" t="n">
        <v>45935</v>
      </c>
      <c r="S2364" s="19">
        <f>H2364*I2364</f>
        <v/>
      </c>
      <c r="T2364" s="19">
        <f>H2364*J2364</f>
        <v/>
      </c>
      <c r="U2364">
        <f>IF(AND(K2364=0,G2364&lt;=Assumptions!$C$6),1,0)</f>
        <v/>
      </c>
      <c r="V2364">
        <f>IF(U2364=1,IF(M2364&gt;0,IF(P2364&lt;=G2364+Assumptions!$C$7,1,0),0),0)</f>
        <v/>
      </c>
      <c r="W2364">
        <f>IF(AND(U2364=1,M2364&gt;=H2364*(1-Assumptions!$C$8)),1,0)</f>
        <v/>
      </c>
      <c r="X2364">
        <f>IF(AND(U2364=1,N2364&gt;=H2364*(1-Assumptions!$C$8)),1,0)</f>
        <v/>
      </c>
      <c r="Y2364">
        <f>IF(ISNUMBER(Q2364),1,0)</f>
        <v/>
      </c>
      <c r="Z2364">
        <f>IF(AND(K2364=0,L2364=0,Y2364=0),1,0)</f>
        <v/>
      </c>
      <c r="AA2364">
        <f>IF(AND(Z2364=1,G2364&lt;Assumptions!$C$6),1,0)</f>
        <v/>
      </c>
      <c r="AB2364">
        <f>IF(U2364=0,"",IF(Y2364=1,MAX(0,Q2364-G2364),IF(L2364=1,MAX(0,R2364-G2364),MAX(0,Assumptions!$C$6-G2364))))</f>
        <v/>
      </c>
      <c r="AC2364">
        <f>IF(Y2364=1,Q2364-F2364,"")</f>
        <v/>
      </c>
      <c r="AD2364">
        <f>IF(Y2364=1,AC2364^2,"")</f>
        <v/>
      </c>
      <c r="AE2364" s="19">
        <f>IF(Z2364=1,(H2364-M2364)*I2364,0)</f>
        <v/>
      </c>
      <c r="AF2364">
        <f>IF(G2364&lt;EDATE(Assumptions!$C$6,-12)+1,"prior_12m","last_12m")</f>
        <v/>
      </c>
      <c r="AG2364" s="21">
        <f>DATE(YEAR(G2364),MONTH(G2364),1)</f>
        <v/>
      </c>
    </row>
    <row r="2365">
      <c r="A2365" t="inlineStr">
        <is>
          <t>SPO-01285-2</t>
        </is>
      </c>
      <c r="B2365" t="inlineStr">
        <is>
          <t>SPO-01285</t>
        </is>
      </c>
      <c r="C2365" t="inlineStr">
        <is>
          <t>SUP-05</t>
        </is>
      </c>
      <c r="D2365" t="inlineStr">
        <is>
          <t>FLEET</t>
        </is>
      </c>
      <c r="E2365" t="inlineStr">
        <is>
          <t>FLEET-04</t>
        </is>
      </c>
      <c r="F2365" s="17" t="n">
        <v>45928</v>
      </c>
      <c r="G2365" s="17" t="n">
        <v>45942</v>
      </c>
      <c r="H2365" s="18" t="n">
        <v>194</v>
      </c>
      <c r="I2365" s="19" t="n">
        <v>9.050000000000001</v>
      </c>
      <c r="J2365" s="19" t="n">
        <v>9</v>
      </c>
      <c r="K2365" s="20" t="n">
        <v>0</v>
      </c>
      <c r="L2365" s="20" t="n">
        <v>0</v>
      </c>
      <c r="M2365" s="18" t="n">
        <v>194</v>
      </c>
      <c r="N2365" s="18" t="n">
        <v>194</v>
      </c>
      <c r="O2365" s="18" t="n">
        <v>0</v>
      </c>
      <c r="P2365" s="17" t="n">
        <v>45941</v>
      </c>
      <c r="Q2365" s="17" t="n">
        <v>45941</v>
      </c>
      <c r="R2365" s="17" t="n">
        <v>45941</v>
      </c>
      <c r="S2365" s="19">
        <f>H2365*I2365</f>
        <v/>
      </c>
      <c r="T2365" s="19">
        <f>H2365*J2365</f>
        <v/>
      </c>
      <c r="U2365">
        <f>IF(AND(K2365=0,G2365&lt;=Assumptions!$C$6),1,0)</f>
        <v/>
      </c>
      <c r="V2365">
        <f>IF(U2365=1,IF(M2365&gt;0,IF(P2365&lt;=G2365+Assumptions!$C$7,1,0),0),0)</f>
        <v/>
      </c>
      <c r="W2365">
        <f>IF(AND(U2365=1,M2365&gt;=H2365*(1-Assumptions!$C$8)),1,0)</f>
        <v/>
      </c>
      <c r="X2365">
        <f>IF(AND(U2365=1,N2365&gt;=H2365*(1-Assumptions!$C$8)),1,0)</f>
        <v/>
      </c>
      <c r="Y2365">
        <f>IF(ISNUMBER(Q2365),1,0)</f>
        <v/>
      </c>
      <c r="Z2365">
        <f>IF(AND(K2365=0,L2365=0,Y2365=0),1,0)</f>
        <v/>
      </c>
      <c r="AA2365">
        <f>IF(AND(Z2365=1,G2365&lt;Assumptions!$C$6),1,0)</f>
        <v/>
      </c>
      <c r="AB2365">
        <f>IF(U2365=0,"",IF(Y2365=1,MAX(0,Q2365-G2365),IF(L2365=1,MAX(0,R2365-G2365),MAX(0,Assumptions!$C$6-G2365))))</f>
        <v/>
      </c>
      <c r="AC2365">
        <f>IF(Y2365=1,Q2365-F2365,"")</f>
        <v/>
      </c>
      <c r="AD2365">
        <f>IF(Y2365=1,AC2365^2,"")</f>
        <v/>
      </c>
      <c r="AE2365" s="19">
        <f>IF(Z2365=1,(H2365-M2365)*I2365,0)</f>
        <v/>
      </c>
      <c r="AF2365">
        <f>IF(G2365&lt;EDATE(Assumptions!$C$6,-12)+1,"prior_12m","last_12m")</f>
        <v/>
      </c>
      <c r="AG2365" s="21">
        <f>DATE(YEAR(G2365),MONTH(G2365),1)</f>
        <v/>
      </c>
    </row>
    <row r="2366">
      <c r="A2366" t="inlineStr">
        <is>
          <t>SPO-01286-1</t>
        </is>
      </c>
      <c r="B2366" t="inlineStr">
        <is>
          <t>SPO-01286</t>
        </is>
      </c>
      <c r="C2366" t="inlineStr">
        <is>
          <t>SUP-10</t>
        </is>
      </c>
      <c r="D2366" t="inlineStr">
        <is>
          <t>PPE</t>
        </is>
      </c>
      <c r="E2366" t="inlineStr">
        <is>
          <t>PPE-06</t>
        </is>
      </c>
      <c r="F2366" s="17" t="n">
        <v>45928</v>
      </c>
      <c r="G2366" s="17" t="n">
        <v>45941</v>
      </c>
      <c r="H2366" s="18" t="n">
        <v>7</v>
      </c>
      <c r="I2366" s="19" t="n">
        <v>110.13</v>
      </c>
      <c r="J2366" s="19" t="n">
        <v>115</v>
      </c>
      <c r="K2366" s="20" t="n">
        <v>0</v>
      </c>
      <c r="L2366" s="20" t="n">
        <v>0</v>
      </c>
      <c r="M2366" s="18" t="n">
        <v>7</v>
      </c>
      <c r="N2366" s="18" t="n">
        <v>0</v>
      </c>
      <c r="O2366" s="18" t="n">
        <v>0</v>
      </c>
      <c r="P2366" s="17" t="n">
        <v>45942</v>
      </c>
      <c r="Q2366" s="17" t="n">
        <v>45942</v>
      </c>
      <c r="R2366" s="17" t="n">
        <v>45942</v>
      </c>
      <c r="S2366" s="19">
        <f>H2366*I2366</f>
        <v/>
      </c>
      <c r="T2366" s="19">
        <f>H2366*J2366</f>
        <v/>
      </c>
      <c r="U2366">
        <f>IF(AND(K2366=0,G2366&lt;=Assumptions!$C$6),1,0)</f>
        <v/>
      </c>
      <c r="V2366">
        <f>IF(U2366=1,IF(M2366&gt;0,IF(P2366&lt;=G2366+Assumptions!$C$7,1,0),0),0)</f>
        <v/>
      </c>
      <c r="W2366">
        <f>IF(AND(U2366=1,M2366&gt;=H2366*(1-Assumptions!$C$8)),1,0)</f>
        <v/>
      </c>
      <c r="X2366">
        <f>IF(AND(U2366=1,N2366&gt;=H2366*(1-Assumptions!$C$8)),1,0)</f>
        <v/>
      </c>
      <c r="Y2366">
        <f>IF(ISNUMBER(Q2366),1,0)</f>
        <v/>
      </c>
      <c r="Z2366">
        <f>IF(AND(K2366=0,L2366=0,Y2366=0),1,0)</f>
        <v/>
      </c>
      <c r="AA2366">
        <f>IF(AND(Z2366=1,G2366&lt;Assumptions!$C$6),1,0)</f>
        <v/>
      </c>
      <c r="AB2366">
        <f>IF(U2366=0,"",IF(Y2366=1,MAX(0,Q2366-G2366),IF(L2366=1,MAX(0,R2366-G2366),MAX(0,Assumptions!$C$6-G2366))))</f>
        <v/>
      </c>
      <c r="AC2366">
        <f>IF(Y2366=1,Q2366-F2366,"")</f>
        <v/>
      </c>
      <c r="AD2366">
        <f>IF(Y2366=1,AC2366^2,"")</f>
        <v/>
      </c>
      <c r="AE2366" s="19">
        <f>IF(Z2366=1,(H2366-M2366)*I2366,0)</f>
        <v/>
      </c>
      <c r="AF2366">
        <f>IF(G2366&lt;EDATE(Assumptions!$C$6,-12)+1,"prior_12m","last_12m")</f>
        <v/>
      </c>
      <c r="AG2366" s="21">
        <f>DATE(YEAR(G2366),MONTH(G2366),1)</f>
        <v/>
      </c>
    </row>
    <row r="2367">
      <c r="A2367" t="inlineStr">
        <is>
          <t>SPO-01287-1</t>
        </is>
      </c>
      <c r="B2367" t="inlineStr">
        <is>
          <t>SPO-01287</t>
        </is>
      </c>
      <c r="C2367" t="inlineStr">
        <is>
          <t>SUP-09</t>
        </is>
      </c>
      <c r="D2367" t="inlineStr">
        <is>
          <t>CHEM</t>
        </is>
      </c>
      <c r="E2367" t="inlineStr">
        <is>
          <t>CHEM-05</t>
        </is>
      </c>
      <c r="F2367" s="17" t="n">
        <v>45928</v>
      </c>
      <c r="G2367" s="17" t="n">
        <v>45942</v>
      </c>
      <c r="H2367" s="18" t="n">
        <v>1</v>
      </c>
      <c r="I2367" s="19" t="n">
        <v>963.37</v>
      </c>
      <c r="J2367" s="19" t="n">
        <v>930</v>
      </c>
      <c r="K2367" s="20" t="n">
        <v>0</v>
      </c>
      <c r="L2367" s="20" t="n">
        <v>0</v>
      </c>
      <c r="M2367" s="18" t="n">
        <v>1</v>
      </c>
      <c r="N2367" s="18" t="n">
        <v>1</v>
      </c>
      <c r="O2367" s="18" t="n">
        <v>0</v>
      </c>
      <c r="P2367" s="17" t="n">
        <v>45941</v>
      </c>
      <c r="Q2367" s="17" t="n">
        <v>45941</v>
      </c>
      <c r="R2367" s="17" t="n">
        <v>45941</v>
      </c>
      <c r="S2367" s="19">
        <f>H2367*I2367</f>
        <v/>
      </c>
      <c r="T2367" s="19">
        <f>H2367*J2367</f>
        <v/>
      </c>
      <c r="U2367">
        <f>IF(AND(K2367=0,G2367&lt;=Assumptions!$C$6),1,0)</f>
        <v/>
      </c>
      <c r="V2367">
        <f>IF(U2367=1,IF(M2367&gt;0,IF(P2367&lt;=G2367+Assumptions!$C$7,1,0),0),0)</f>
        <v/>
      </c>
      <c r="W2367">
        <f>IF(AND(U2367=1,M2367&gt;=H2367*(1-Assumptions!$C$8)),1,0)</f>
        <v/>
      </c>
      <c r="X2367">
        <f>IF(AND(U2367=1,N2367&gt;=H2367*(1-Assumptions!$C$8)),1,0)</f>
        <v/>
      </c>
      <c r="Y2367">
        <f>IF(ISNUMBER(Q2367),1,0)</f>
        <v/>
      </c>
      <c r="Z2367">
        <f>IF(AND(K2367=0,L2367=0,Y2367=0),1,0)</f>
        <v/>
      </c>
      <c r="AA2367">
        <f>IF(AND(Z2367=1,G2367&lt;Assumptions!$C$6),1,0)</f>
        <v/>
      </c>
      <c r="AB2367">
        <f>IF(U2367=0,"",IF(Y2367=1,MAX(0,Q2367-G2367),IF(L2367=1,MAX(0,R2367-G2367),MAX(0,Assumptions!$C$6-G2367))))</f>
        <v/>
      </c>
      <c r="AC2367">
        <f>IF(Y2367=1,Q2367-F2367,"")</f>
        <v/>
      </c>
      <c r="AD2367">
        <f>IF(Y2367=1,AC2367^2,"")</f>
        <v/>
      </c>
      <c r="AE2367" s="19">
        <f>IF(Z2367=1,(H2367-M2367)*I2367,0)</f>
        <v/>
      </c>
      <c r="AF2367">
        <f>IF(G2367&lt;EDATE(Assumptions!$C$6,-12)+1,"prior_12m","last_12m")</f>
        <v/>
      </c>
      <c r="AG2367" s="21">
        <f>DATE(YEAR(G2367),MONTH(G2367),1)</f>
        <v/>
      </c>
    </row>
    <row r="2368">
      <c r="A2368" t="inlineStr">
        <is>
          <t>SPO-01287-2</t>
        </is>
      </c>
      <c r="B2368" t="inlineStr">
        <is>
          <t>SPO-01287</t>
        </is>
      </c>
      <c r="C2368" t="inlineStr">
        <is>
          <t>SUP-09</t>
        </is>
      </c>
      <c r="D2368" t="inlineStr">
        <is>
          <t>CHEM</t>
        </is>
      </c>
      <c r="E2368" t="inlineStr">
        <is>
          <t>CHEM-01</t>
        </is>
      </c>
      <c r="F2368" s="17" t="n">
        <v>45928</v>
      </c>
      <c r="G2368" s="17" t="n">
        <v>45942</v>
      </c>
      <c r="H2368" s="18" t="n">
        <v>1</v>
      </c>
      <c r="I2368" s="19" t="n">
        <v>709.71</v>
      </c>
      <c r="J2368" s="19" t="n">
        <v>640</v>
      </c>
      <c r="K2368" s="20" t="n">
        <v>0</v>
      </c>
      <c r="L2368" s="20" t="n">
        <v>0</v>
      </c>
      <c r="M2368" s="18" t="n">
        <v>1</v>
      </c>
      <c r="N2368" s="18" t="n">
        <v>1</v>
      </c>
      <c r="O2368" s="18" t="n">
        <v>0</v>
      </c>
      <c r="P2368" s="17" t="n">
        <v>45940</v>
      </c>
      <c r="Q2368" s="17" t="n">
        <v>45940</v>
      </c>
      <c r="R2368" s="17" t="n">
        <v>45940</v>
      </c>
      <c r="S2368" s="19">
        <f>H2368*I2368</f>
        <v/>
      </c>
      <c r="T2368" s="19">
        <f>H2368*J2368</f>
        <v/>
      </c>
      <c r="U2368">
        <f>IF(AND(K2368=0,G2368&lt;=Assumptions!$C$6),1,0)</f>
        <v/>
      </c>
      <c r="V2368">
        <f>IF(U2368=1,IF(M2368&gt;0,IF(P2368&lt;=G2368+Assumptions!$C$7,1,0),0),0)</f>
        <v/>
      </c>
      <c r="W2368">
        <f>IF(AND(U2368=1,M2368&gt;=H2368*(1-Assumptions!$C$8)),1,0)</f>
        <v/>
      </c>
      <c r="X2368">
        <f>IF(AND(U2368=1,N2368&gt;=H2368*(1-Assumptions!$C$8)),1,0)</f>
        <v/>
      </c>
      <c r="Y2368">
        <f>IF(ISNUMBER(Q2368),1,0)</f>
        <v/>
      </c>
      <c r="Z2368">
        <f>IF(AND(K2368=0,L2368=0,Y2368=0),1,0)</f>
        <v/>
      </c>
      <c r="AA2368">
        <f>IF(AND(Z2368=1,G2368&lt;Assumptions!$C$6),1,0)</f>
        <v/>
      </c>
      <c r="AB2368">
        <f>IF(U2368=0,"",IF(Y2368=1,MAX(0,Q2368-G2368),IF(L2368=1,MAX(0,R2368-G2368),MAX(0,Assumptions!$C$6-G2368))))</f>
        <v/>
      </c>
      <c r="AC2368">
        <f>IF(Y2368=1,Q2368-F2368,"")</f>
        <v/>
      </c>
      <c r="AD2368">
        <f>IF(Y2368=1,AC2368^2,"")</f>
        <v/>
      </c>
      <c r="AE2368" s="19">
        <f>IF(Z2368=1,(H2368-M2368)*I2368,0)</f>
        <v/>
      </c>
      <c r="AF2368">
        <f>IF(G2368&lt;EDATE(Assumptions!$C$6,-12)+1,"prior_12m","last_12m")</f>
        <v/>
      </c>
      <c r="AG2368" s="21">
        <f>DATE(YEAR(G2368),MONTH(G2368),1)</f>
        <v/>
      </c>
    </row>
    <row r="2369">
      <c r="A2369" t="inlineStr">
        <is>
          <t>SPO-01287-3</t>
        </is>
      </c>
      <c r="B2369" t="inlineStr">
        <is>
          <t>SPO-01287</t>
        </is>
      </c>
      <c r="C2369" t="inlineStr">
        <is>
          <t>SUP-09</t>
        </is>
      </c>
      <c r="D2369" t="inlineStr">
        <is>
          <t>CHEM</t>
        </is>
      </c>
      <c r="E2369" t="inlineStr">
        <is>
          <t>CHEM-04</t>
        </is>
      </c>
      <c r="F2369" s="17" t="n">
        <v>45928</v>
      </c>
      <c r="G2369" s="17" t="n">
        <v>45942</v>
      </c>
      <c r="H2369" s="18" t="n">
        <v>1</v>
      </c>
      <c r="I2369" s="19" t="n">
        <v>874.72</v>
      </c>
      <c r="J2369" s="19" t="n">
        <v>820</v>
      </c>
      <c r="K2369" s="20" t="n">
        <v>0</v>
      </c>
      <c r="L2369" s="20" t="n">
        <v>0</v>
      </c>
      <c r="M2369" s="18" t="n">
        <v>1</v>
      </c>
      <c r="N2369" s="18" t="n">
        <v>1</v>
      </c>
      <c r="O2369" s="18" t="n">
        <v>0</v>
      </c>
      <c r="P2369" s="17" t="n">
        <v>45941</v>
      </c>
      <c r="Q2369" s="17" t="n">
        <v>45941</v>
      </c>
      <c r="R2369" s="17" t="n">
        <v>45941</v>
      </c>
      <c r="S2369" s="19">
        <f>H2369*I2369</f>
        <v/>
      </c>
      <c r="T2369" s="19">
        <f>H2369*J2369</f>
        <v/>
      </c>
      <c r="U2369">
        <f>IF(AND(K2369=0,G2369&lt;=Assumptions!$C$6),1,0)</f>
        <v/>
      </c>
      <c r="V2369">
        <f>IF(U2369=1,IF(M2369&gt;0,IF(P2369&lt;=G2369+Assumptions!$C$7,1,0),0),0)</f>
        <v/>
      </c>
      <c r="W2369">
        <f>IF(AND(U2369=1,M2369&gt;=H2369*(1-Assumptions!$C$8)),1,0)</f>
        <v/>
      </c>
      <c r="X2369">
        <f>IF(AND(U2369=1,N2369&gt;=H2369*(1-Assumptions!$C$8)),1,0)</f>
        <v/>
      </c>
      <c r="Y2369">
        <f>IF(ISNUMBER(Q2369),1,0)</f>
        <v/>
      </c>
      <c r="Z2369">
        <f>IF(AND(K2369=0,L2369=0,Y2369=0),1,0)</f>
        <v/>
      </c>
      <c r="AA2369">
        <f>IF(AND(Z2369=1,G2369&lt;Assumptions!$C$6),1,0)</f>
        <v/>
      </c>
      <c r="AB2369">
        <f>IF(U2369=0,"",IF(Y2369=1,MAX(0,Q2369-G2369),IF(L2369=1,MAX(0,R2369-G2369),MAX(0,Assumptions!$C$6-G2369))))</f>
        <v/>
      </c>
      <c r="AC2369">
        <f>IF(Y2369=1,Q2369-F2369,"")</f>
        <v/>
      </c>
      <c r="AD2369">
        <f>IF(Y2369=1,AC2369^2,"")</f>
        <v/>
      </c>
      <c r="AE2369" s="19">
        <f>IF(Z2369=1,(H2369-M2369)*I2369,0)</f>
        <v/>
      </c>
      <c r="AF2369">
        <f>IF(G2369&lt;EDATE(Assumptions!$C$6,-12)+1,"prior_12m","last_12m")</f>
        <v/>
      </c>
      <c r="AG2369" s="21">
        <f>DATE(YEAR(G2369),MONTH(G2369),1)</f>
        <v/>
      </c>
    </row>
    <row r="2370">
      <c r="A2370" t="inlineStr">
        <is>
          <t>SPO-01287-4</t>
        </is>
      </c>
      <c r="B2370" t="inlineStr">
        <is>
          <t>SPO-01287</t>
        </is>
      </c>
      <c r="C2370" t="inlineStr">
        <is>
          <t>SUP-09</t>
        </is>
      </c>
      <c r="D2370" t="inlineStr">
        <is>
          <t>CHEM</t>
        </is>
      </c>
      <c r="E2370" t="inlineStr">
        <is>
          <t>CHEM-02</t>
        </is>
      </c>
      <c r="F2370" s="17" t="n">
        <v>45928</v>
      </c>
      <c r="G2370" s="17" t="n">
        <v>45942</v>
      </c>
      <c r="H2370" s="18" t="n">
        <v>5</v>
      </c>
      <c r="I2370" s="19" t="n">
        <v>411.06</v>
      </c>
      <c r="J2370" s="19" t="n">
        <v>410</v>
      </c>
      <c r="K2370" s="20" t="n">
        <v>0</v>
      </c>
      <c r="L2370" s="20" t="n">
        <v>0</v>
      </c>
      <c r="M2370" s="18" t="n">
        <v>5</v>
      </c>
      <c r="N2370" s="18" t="n">
        <v>5</v>
      </c>
      <c r="O2370" s="18" t="n">
        <v>0</v>
      </c>
      <c r="P2370" s="17" t="n">
        <v>45942</v>
      </c>
      <c r="Q2370" s="17" t="n">
        <v>45942</v>
      </c>
      <c r="R2370" s="17" t="n">
        <v>45942</v>
      </c>
      <c r="S2370" s="19">
        <f>H2370*I2370</f>
        <v/>
      </c>
      <c r="T2370" s="19">
        <f>H2370*J2370</f>
        <v/>
      </c>
      <c r="U2370">
        <f>IF(AND(K2370=0,G2370&lt;=Assumptions!$C$6),1,0)</f>
        <v/>
      </c>
      <c r="V2370">
        <f>IF(U2370=1,IF(M2370&gt;0,IF(P2370&lt;=G2370+Assumptions!$C$7,1,0),0),0)</f>
        <v/>
      </c>
      <c r="W2370">
        <f>IF(AND(U2370=1,M2370&gt;=H2370*(1-Assumptions!$C$8)),1,0)</f>
        <v/>
      </c>
      <c r="X2370">
        <f>IF(AND(U2370=1,N2370&gt;=H2370*(1-Assumptions!$C$8)),1,0)</f>
        <v/>
      </c>
      <c r="Y2370">
        <f>IF(ISNUMBER(Q2370),1,0)</f>
        <v/>
      </c>
      <c r="Z2370">
        <f>IF(AND(K2370=0,L2370=0,Y2370=0),1,0)</f>
        <v/>
      </c>
      <c r="AA2370">
        <f>IF(AND(Z2370=1,G2370&lt;Assumptions!$C$6),1,0)</f>
        <v/>
      </c>
      <c r="AB2370">
        <f>IF(U2370=0,"",IF(Y2370=1,MAX(0,Q2370-G2370),IF(L2370=1,MAX(0,R2370-G2370),MAX(0,Assumptions!$C$6-G2370))))</f>
        <v/>
      </c>
      <c r="AC2370">
        <f>IF(Y2370=1,Q2370-F2370,"")</f>
        <v/>
      </c>
      <c r="AD2370">
        <f>IF(Y2370=1,AC2370^2,"")</f>
        <v/>
      </c>
      <c r="AE2370" s="19">
        <f>IF(Z2370=1,(H2370-M2370)*I2370,0)</f>
        <v/>
      </c>
      <c r="AF2370">
        <f>IF(G2370&lt;EDATE(Assumptions!$C$6,-12)+1,"prior_12m","last_12m")</f>
        <v/>
      </c>
      <c r="AG2370" s="21">
        <f>DATE(YEAR(G2370),MONTH(G2370),1)</f>
        <v/>
      </c>
    </row>
    <row r="2371">
      <c r="A2371" t="inlineStr">
        <is>
          <t>SPO-01288-1</t>
        </is>
      </c>
      <c r="B2371" t="inlineStr">
        <is>
          <t>SPO-01288</t>
        </is>
      </c>
      <c r="C2371" t="inlineStr">
        <is>
          <t>SUP-06</t>
        </is>
      </c>
      <c r="D2371" t="inlineStr">
        <is>
          <t>MRO</t>
        </is>
      </c>
      <c r="E2371" t="inlineStr">
        <is>
          <t>MRO-03</t>
        </is>
      </c>
      <c r="F2371" s="17" t="n">
        <v>45928</v>
      </c>
      <c r="G2371" s="17" t="n">
        <v>45936</v>
      </c>
      <c r="H2371" s="18" t="n">
        <v>136</v>
      </c>
      <c r="I2371" s="19" t="n">
        <v>8.82</v>
      </c>
      <c r="J2371" s="19" t="n">
        <v>8.9</v>
      </c>
      <c r="K2371" s="20" t="n">
        <v>0</v>
      </c>
      <c r="L2371" s="20" t="n">
        <v>0</v>
      </c>
      <c r="M2371" s="18" t="n">
        <v>136</v>
      </c>
      <c r="N2371" s="18" t="n">
        <v>136</v>
      </c>
      <c r="O2371" s="18" t="n">
        <v>0</v>
      </c>
      <c r="P2371" s="17" t="n">
        <v>45934</v>
      </c>
      <c r="Q2371" s="17" t="n">
        <v>45934</v>
      </c>
      <c r="R2371" s="17" t="n">
        <v>45934</v>
      </c>
      <c r="S2371" s="19">
        <f>H2371*I2371</f>
        <v/>
      </c>
      <c r="T2371" s="19">
        <f>H2371*J2371</f>
        <v/>
      </c>
      <c r="U2371">
        <f>IF(AND(K2371=0,G2371&lt;=Assumptions!$C$6),1,0)</f>
        <v/>
      </c>
      <c r="V2371">
        <f>IF(U2371=1,IF(M2371&gt;0,IF(P2371&lt;=G2371+Assumptions!$C$7,1,0),0),0)</f>
        <v/>
      </c>
      <c r="W2371">
        <f>IF(AND(U2371=1,M2371&gt;=H2371*(1-Assumptions!$C$8)),1,0)</f>
        <v/>
      </c>
      <c r="X2371">
        <f>IF(AND(U2371=1,N2371&gt;=H2371*(1-Assumptions!$C$8)),1,0)</f>
        <v/>
      </c>
      <c r="Y2371">
        <f>IF(ISNUMBER(Q2371),1,0)</f>
        <v/>
      </c>
      <c r="Z2371">
        <f>IF(AND(K2371=0,L2371=0,Y2371=0),1,0)</f>
        <v/>
      </c>
      <c r="AA2371">
        <f>IF(AND(Z2371=1,G2371&lt;Assumptions!$C$6),1,0)</f>
        <v/>
      </c>
      <c r="AB2371">
        <f>IF(U2371=0,"",IF(Y2371=1,MAX(0,Q2371-G2371),IF(L2371=1,MAX(0,R2371-G2371),MAX(0,Assumptions!$C$6-G2371))))</f>
        <v/>
      </c>
      <c r="AC2371">
        <f>IF(Y2371=1,Q2371-F2371,"")</f>
        <v/>
      </c>
      <c r="AD2371">
        <f>IF(Y2371=1,AC2371^2,"")</f>
        <v/>
      </c>
      <c r="AE2371" s="19">
        <f>IF(Z2371=1,(H2371-M2371)*I2371,0)</f>
        <v/>
      </c>
      <c r="AF2371">
        <f>IF(G2371&lt;EDATE(Assumptions!$C$6,-12)+1,"prior_12m","last_12m")</f>
        <v/>
      </c>
      <c r="AG2371" s="21">
        <f>DATE(YEAR(G2371),MONTH(G2371),1)</f>
        <v/>
      </c>
    </row>
    <row r="2372">
      <c r="A2372" t="inlineStr">
        <is>
          <t>SPO-01289-1</t>
        </is>
      </c>
      <c r="B2372" t="inlineStr">
        <is>
          <t>SPO-01289</t>
        </is>
      </c>
      <c r="C2372" t="inlineStr">
        <is>
          <t>SUP-12</t>
        </is>
      </c>
      <c r="D2372" t="inlineStr">
        <is>
          <t>IT</t>
        </is>
      </c>
      <c r="E2372" t="inlineStr">
        <is>
          <t>IT-03</t>
        </is>
      </c>
      <c r="F2372" s="17" t="n">
        <v>45929</v>
      </c>
      <c r="G2372" s="17" t="n">
        <v>45939</v>
      </c>
      <c r="H2372" s="18" t="n">
        <v>19</v>
      </c>
      <c r="I2372" s="19" t="n">
        <v>44.58</v>
      </c>
      <c r="J2372" s="19" t="n">
        <v>38</v>
      </c>
      <c r="K2372" s="20" t="n">
        <v>0</v>
      </c>
      <c r="L2372" s="20" t="n">
        <v>0</v>
      </c>
      <c r="M2372" s="18" t="n">
        <v>19</v>
      </c>
      <c r="N2372" s="18" t="n">
        <v>19</v>
      </c>
      <c r="O2372" s="18" t="n">
        <v>0</v>
      </c>
      <c r="P2372" s="17" t="n">
        <v>45935</v>
      </c>
      <c r="Q2372" s="17" t="n">
        <v>45935</v>
      </c>
      <c r="R2372" s="17" t="n">
        <v>45935</v>
      </c>
      <c r="S2372" s="19">
        <f>H2372*I2372</f>
        <v/>
      </c>
      <c r="T2372" s="19">
        <f>H2372*J2372</f>
        <v/>
      </c>
      <c r="U2372">
        <f>IF(AND(K2372=0,G2372&lt;=Assumptions!$C$6),1,0)</f>
        <v/>
      </c>
      <c r="V2372">
        <f>IF(U2372=1,IF(M2372&gt;0,IF(P2372&lt;=G2372+Assumptions!$C$7,1,0),0),0)</f>
        <v/>
      </c>
      <c r="W2372">
        <f>IF(AND(U2372=1,M2372&gt;=H2372*(1-Assumptions!$C$8)),1,0)</f>
        <v/>
      </c>
      <c r="X2372">
        <f>IF(AND(U2372=1,N2372&gt;=H2372*(1-Assumptions!$C$8)),1,0)</f>
        <v/>
      </c>
      <c r="Y2372">
        <f>IF(ISNUMBER(Q2372),1,0)</f>
        <v/>
      </c>
      <c r="Z2372">
        <f>IF(AND(K2372=0,L2372=0,Y2372=0),1,0)</f>
        <v/>
      </c>
      <c r="AA2372">
        <f>IF(AND(Z2372=1,G2372&lt;Assumptions!$C$6),1,0)</f>
        <v/>
      </c>
      <c r="AB2372">
        <f>IF(U2372=0,"",IF(Y2372=1,MAX(0,Q2372-G2372),IF(L2372=1,MAX(0,R2372-G2372),MAX(0,Assumptions!$C$6-G2372))))</f>
        <v/>
      </c>
      <c r="AC2372">
        <f>IF(Y2372=1,Q2372-F2372,"")</f>
        <v/>
      </c>
      <c r="AD2372">
        <f>IF(Y2372=1,AC2372^2,"")</f>
        <v/>
      </c>
      <c r="AE2372" s="19">
        <f>IF(Z2372=1,(H2372-M2372)*I2372,0)</f>
        <v/>
      </c>
      <c r="AF2372">
        <f>IF(G2372&lt;EDATE(Assumptions!$C$6,-12)+1,"prior_12m","last_12m")</f>
        <v/>
      </c>
      <c r="AG2372" s="21">
        <f>DATE(YEAR(G2372),MONTH(G2372),1)</f>
        <v/>
      </c>
    </row>
    <row r="2373">
      <c r="A2373" t="inlineStr">
        <is>
          <t>SPO-01289-2</t>
        </is>
      </c>
      <c r="B2373" t="inlineStr">
        <is>
          <t>SPO-01289</t>
        </is>
      </c>
      <c r="C2373" t="inlineStr">
        <is>
          <t>SUP-12</t>
        </is>
      </c>
      <c r="D2373" t="inlineStr">
        <is>
          <t>IT</t>
        </is>
      </c>
      <c r="E2373" t="inlineStr">
        <is>
          <t>IT-01</t>
        </is>
      </c>
      <c r="F2373" s="17" t="n">
        <v>45929</v>
      </c>
      <c r="G2373" s="17" t="n">
        <v>45939</v>
      </c>
      <c r="H2373" s="18" t="n">
        <v>5</v>
      </c>
      <c r="I2373" s="19" t="n">
        <v>215.1</v>
      </c>
      <c r="J2373" s="19" t="n">
        <v>189</v>
      </c>
      <c r="K2373" s="20" t="n">
        <v>0</v>
      </c>
      <c r="L2373" s="20" t="n">
        <v>0</v>
      </c>
      <c r="M2373" s="18" t="n">
        <v>5</v>
      </c>
      <c r="N2373" s="18" t="n">
        <v>5</v>
      </c>
      <c r="O2373" s="18" t="n">
        <v>0</v>
      </c>
      <c r="P2373" s="17" t="n">
        <v>45938</v>
      </c>
      <c r="Q2373" s="17" t="n">
        <v>45938</v>
      </c>
      <c r="R2373" s="17" t="n">
        <v>45938</v>
      </c>
      <c r="S2373" s="19">
        <f>H2373*I2373</f>
        <v/>
      </c>
      <c r="T2373" s="19">
        <f>H2373*J2373</f>
        <v/>
      </c>
      <c r="U2373">
        <f>IF(AND(K2373=0,G2373&lt;=Assumptions!$C$6),1,0)</f>
        <v/>
      </c>
      <c r="V2373">
        <f>IF(U2373=1,IF(M2373&gt;0,IF(P2373&lt;=G2373+Assumptions!$C$7,1,0),0),0)</f>
        <v/>
      </c>
      <c r="W2373">
        <f>IF(AND(U2373=1,M2373&gt;=H2373*(1-Assumptions!$C$8)),1,0)</f>
        <v/>
      </c>
      <c r="X2373">
        <f>IF(AND(U2373=1,N2373&gt;=H2373*(1-Assumptions!$C$8)),1,0)</f>
        <v/>
      </c>
      <c r="Y2373">
        <f>IF(ISNUMBER(Q2373),1,0)</f>
        <v/>
      </c>
      <c r="Z2373">
        <f>IF(AND(K2373=0,L2373=0,Y2373=0),1,0)</f>
        <v/>
      </c>
      <c r="AA2373">
        <f>IF(AND(Z2373=1,G2373&lt;Assumptions!$C$6),1,0)</f>
        <v/>
      </c>
      <c r="AB2373">
        <f>IF(U2373=0,"",IF(Y2373=1,MAX(0,Q2373-G2373),IF(L2373=1,MAX(0,R2373-G2373),MAX(0,Assumptions!$C$6-G2373))))</f>
        <v/>
      </c>
      <c r="AC2373">
        <f>IF(Y2373=1,Q2373-F2373,"")</f>
        <v/>
      </c>
      <c r="AD2373">
        <f>IF(Y2373=1,AC2373^2,"")</f>
        <v/>
      </c>
      <c r="AE2373" s="19">
        <f>IF(Z2373=1,(H2373-M2373)*I2373,0)</f>
        <v/>
      </c>
      <c r="AF2373">
        <f>IF(G2373&lt;EDATE(Assumptions!$C$6,-12)+1,"prior_12m","last_12m")</f>
        <v/>
      </c>
      <c r="AG2373" s="21">
        <f>DATE(YEAR(G2373),MONTH(G2373),1)</f>
        <v/>
      </c>
    </row>
    <row r="2374">
      <c r="A2374" t="inlineStr">
        <is>
          <t>SPO-01289-3</t>
        </is>
      </c>
      <c r="B2374" t="inlineStr">
        <is>
          <t>SPO-01289</t>
        </is>
      </c>
      <c r="C2374" t="inlineStr">
        <is>
          <t>SUP-12</t>
        </is>
      </c>
      <c r="D2374" t="inlineStr">
        <is>
          <t>IT</t>
        </is>
      </c>
      <c r="E2374" t="inlineStr">
        <is>
          <t>IT-06</t>
        </is>
      </c>
      <c r="F2374" s="17" t="n">
        <v>45929</v>
      </c>
      <c r="G2374" s="17" t="n">
        <v>45939</v>
      </c>
      <c r="H2374" s="18" t="n">
        <v>51</v>
      </c>
      <c r="I2374" s="19" t="n">
        <v>98.53</v>
      </c>
      <c r="J2374" s="19" t="n">
        <v>89</v>
      </c>
      <c r="K2374" s="20" t="n">
        <v>0</v>
      </c>
      <c r="L2374" s="20" t="n">
        <v>0</v>
      </c>
      <c r="M2374" s="18" t="n">
        <v>51</v>
      </c>
      <c r="N2374" s="18" t="n">
        <v>35</v>
      </c>
      <c r="O2374" s="18" t="n">
        <v>0</v>
      </c>
      <c r="P2374" s="17" t="n">
        <v>45939</v>
      </c>
      <c r="Q2374" s="17" t="n">
        <v>45948</v>
      </c>
      <c r="R2374" s="17" t="n">
        <v>45948</v>
      </c>
      <c r="S2374" s="19">
        <f>H2374*I2374</f>
        <v/>
      </c>
      <c r="T2374" s="19">
        <f>H2374*J2374</f>
        <v/>
      </c>
      <c r="U2374">
        <f>IF(AND(K2374=0,G2374&lt;=Assumptions!$C$6),1,0)</f>
        <v/>
      </c>
      <c r="V2374">
        <f>IF(U2374=1,IF(M2374&gt;0,IF(P2374&lt;=G2374+Assumptions!$C$7,1,0),0),0)</f>
        <v/>
      </c>
      <c r="W2374">
        <f>IF(AND(U2374=1,M2374&gt;=H2374*(1-Assumptions!$C$8)),1,0)</f>
        <v/>
      </c>
      <c r="X2374">
        <f>IF(AND(U2374=1,N2374&gt;=H2374*(1-Assumptions!$C$8)),1,0)</f>
        <v/>
      </c>
      <c r="Y2374">
        <f>IF(ISNUMBER(Q2374),1,0)</f>
        <v/>
      </c>
      <c r="Z2374">
        <f>IF(AND(K2374=0,L2374=0,Y2374=0),1,0)</f>
        <v/>
      </c>
      <c r="AA2374">
        <f>IF(AND(Z2374=1,G2374&lt;Assumptions!$C$6),1,0)</f>
        <v/>
      </c>
      <c r="AB2374">
        <f>IF(U2374=0,"",IF(Y2374=1,MAX(0,Q2374-G2374),IF(L2374=1,MAX(0,R2374-G2374),MAX(0,Assumptions!$C$6-G2374))))</f>
        <v/>
      </c>
      <c r="AC2374">
        <f>IF(Y2374=1,Q2374-F2374,"")</f>
        <v/>
      </c>
      <c r="AD2374">
        <f>IF(Y2374=1,AC2374^2,"")</f>
        <v/>
      </c>
      <c r="AE2374" s="19">
        <f>IF(Z2374=1,(H2374-M2374)*I2374,0)</f>
        <v/>
      </c>
      <c r="AF2374">
        <f>IF(G2374&lt;EDATE(Assumptions!$C$6,-12)+1,"prior_12m","last_12m")</f>
        <v/>
      </c>
      <c r="AG2374" s="21">
        <f>DATE(YEAR(G2374),MONTH(G2374),1)</f>
        <v/>
      </c>
    </row>
    <row r="2375">
      <c r="A2375" t="inlineStr">
        <is>
          <t>SPO-01290-1</t>
        </is>
      </c>
      <c r="B2375" t="inlineStr">
        <is>
          <t>SPO-01290</t>
        </is>
      </c>
      <c r="C2375" t="inlineStr">
        <is>
          <t>SUP-06</t>
        </is>
      </c>
      <c r="D2375" t="inlineStr">
        <is>
          <t>MRO</t>
        </is>
      </c>
      <c r="E2375" t="inlineStr">
        <is>
          <t>MRO-03</t>
        </is>
      </c>
      <c r="F2375" s="17" t="n">
        <v>45929</v>
      </c>
      <c r="G2375" s="17" t="n">
        <v>45937</v>
      </c>
      <c r="H2375" s="18" t="n">
        <v>236</v>
      </c>
      <c r="I2375" s="19" t="n">
        <v>8.960000000000001</v>
      </c>
      <c r="J2375" s="19" t="n">
        <v>8.9</v>
      </c>
      <c r="K2375" s="20" t="n">
        <v>0</v>
      </c>
      <c r="L2375" s="20" t="n">
        <v>0</v>
      </c>
      <c r="M2375" s="18" t="n">
        <v>236</v>
      </c>
      <c r="N2375" s="18" t="n">
        <v>236</v>
      </c>
      <c r="O2375" s="18" t="n">
        <v>0</v>
      </c>
      <c r="P2375" s="17" t="n">
        <v>45934</v>
      </c>
      <c r="Q2375" s="17" t="n">
        <v>45934</v>
      </c>
      <c r="R2375" s="17" t="n">
        <v>45934</v>
      </c>
      <c r="S2375" s="19">
        <f>H2375*I2375</f>
        <v/>
      </c>
      <c r="T2375" s="19">
        <f>H2375*J2375</f>
        <v/>
      </c>
      <c r="U2375">
        <f>IF(AND(K2375=0,G2375&lt;=Assumptions!$C$6),1,0)</f>
        <v/>
      </c>
      <c r="V2375">
        <f>IF(U2375=1,IF(M2375&gt;0,IF(P2375&lt;=G2375+Assumptions!$C$7,1,0),0),0)</f>
        <v/>
      </c>
      <c r="W2375">
        <f>IF(AND(U2375=1,M2375&gt;=H2375*(1-Assumptions!$C$8)),1,0)</f>
        <v/>
      </c>
      <c r="X2375">
        <f>IF(AND(U2375=1,N2375&gt;=H2375*(1-Assumptions!$C$8)),1,0)</f>
        <v/>
      </c>
      <c r="Y2375">
        <f>IF(ISNUMBER(Q2375),1,0)</f>
        <v/>
      </c>
      <c r="Z2375">
        <f>IF(AND(K2375=0,L2375=0,Y2375=0),1,0)</f>
        <v/>
      </c>
      <c r="AA2375">
        <f>IF(AND(Z2375=1,G2375&lt;Assumptions!$C$6),1,0)</f>
        <v/>
      </c>
      <c r="AB2375">
        <f>IF(U2375=0,"",IF(Y2375=1,MAX(0,Q2375-G2375),IF(L2375=1,MAX(0,R2375-G2375),MAX(0,Assumptions!$C$6-G2375))))</f>
        <v/>
      </c>
      <c r="AC2375">
        <f>IF(Y2375=1,Q2375-F2375,"")</f>
        <v/>
      </c>
      <c r="AD2375">
        <f>IF(Y2375=1,AC2375^2,"")</f>
        <v/>
      </c>
      <c r="AE2375" s="19">
        <f>IF(Z2375=1,(H2375-M2375)*I2375,0)</f>
        <v/>
      </c>
      <c r="AF2375">
        <f>IF(G2375&lt;EDATE(Assumptions!$C$6,-12)+1,"prior_12m","last_12m")</f>
        <v/>
      </c>
      <c r="AG2375" s="21">
        <f>DATE(YEAR(G2375),MONTH(G2375),1)</f>
        <v/>
      </c>
    </row>
    <row r="2376">
      <c r="A2376" t="inlineStr">
        <is>
          <t>SPO-01290-2</t>
        </is>
      </c>
      <c r="B2376" t="inlineStr">
        <is>
          <t>SPO-01290</t>
        </is>
      </c>
      <c r="C2376" t="inlineStr">
        <is>
          <t>SUP-06</t>
        </is>
      </c>
      <c r="D2376" t="inlineStr">
        <is>
          <t>MRO</t>
        </is>
      </c>
      <c r="E2376" t="inlineStr">
        <is>
          <t>MRO-07</t>
        </is>
      </c>
      <c r="F2376" s="17" t="n">
        <v>45929</v>
      </c>
      <c r="G2376" s="17" t="n">
        <v>45937</v>
      </c>
      <c r="H2376" s="18" t="n">
        <v>200</v>
      </c>
      <c r="I2376" s="19" t="n">
        <v>14.15</v>
      </c>
      <c r="J2376" s="19" t="n">
        <v>14</v>
      </c>
      <c r="K2376" s="20" t="n">
        <v>0</v>
      </c>
      <c r="L2376" s="20" t="n">
        <v>0</v>
      </c>
      <c r="M2376" s="18" t="n">
        <v>200</v>
      </c>
      <c r="N2376" s="18" t="n">
        <v>200</v>
      </c>
      <c r="O2376" s="18" t="n">
        <v>0</v>
      </c>
      <c r="P2376" s="17" t="n">
        <v>45933</v>
      </c>
      <c r="Q2376" s="17" t="n">
        <v>45933</v>
      </c>
      <c r="R2376" s="17" t="n">
        <v>45933</v>
      </c>
      <c r="S2376" s="19">
        <f>H2376*I2376</f>
        <v/>
      </c>
      <c r="T2376" s="19">
        <f>H2376*J2376</f>
        <v/>
      </c>
      <c r="U2376">
        <f>IF(AND(K2376=0,G2376&lt;=Assumptions!$C$6),1,0)</f>
        <v/>
      </c>
      <c r="V2376">
        <f>IF(U2376=1,IF(M2376&gt;0,IF(P2376&lt;=G2376+Assumptions!$C$7,1,0),0),0)</f>
        <v/>
      </c>
      <c r="W2376">
        <f>IF(AND(U2376=1,M2376&gt;=H2376*(1-Assumptions!$C$8)),1,0)</f>
        <v/>
      </c>
      <c r="X2376">
        <f>IF(AND(U2376=1,N2376&gt;=H2376*(1-Assumptions!$C$8)),1,0)</f>
        <v/>
      </c>
      <c r="Y2376">
        <f>IF(ISNUMBER(Q2376),1,0)</f>
        <v/>
      </c>
      <c r="Z2376">
        <f>IF(AND(K2376=0,L2376=0,Y2376=0),1,0)</f>
        <v/>
      </c>
      <c r="AA2376">
        <f>IF(AND(Z2376=1,G2376&lt;Assumptions!$C$6),1,0)</f>
        <v/>
      </c>
      <c r="AB2376">
        <f>IF(U2376=0,"",IF(Y2376=1,MAX(0,Q2376-G2376),IF(L2376=1,MAX(0,R2376-G2376),MAX(0,Assumptions!$C$6-G2376))))</f>
        <v/>
      </c>
      <c r="AC2376">
        <f>IF(Y2376=1,Q2376-F2376,"")</f>
        <v/>
      </c>
      <c r="AD2376">
        <f>IF(Y2376=1,AC2376^2,"")</f>
        <v/>
      </c>
      <c r="AE2376" s="19">
        <f>IF(Z2376=1,(H2376-M2376)*I2376,0)</f>
        <v/>
      </c>
      <c r="AF2376">
        <f>IF(G2376&lt;EDATE(Assumptions!$C$6,-12)+1,"prior_12m","last_12m")</f>
        <v/>
      </c>
      <c r="AG2376" s="21">
        <f>DATE(YEAR(G2376),MONTH(G2376),1)</f>
        <v/>
      </c>
    </row>
    <row r="2377">
      <c r="A2377" t="inlineStr">
        <is>
          <t>SPO-01290-3</t>
        </is>
      </c>
      <c r="B2377" t="inlineStr">
        <is>
          <t>SPO-01290</t>
        </is>
      </c>
      <c r="C2377" t="inlineStr">
        <is>
          <t>SUP-06</t>
        </is>
      </c>
      <c r="D2377" t="inlineStr">
        <is>
          <t>MRO</t>
        </is>
      </c>
      <c r="E2377" t="inlineStr">
        <is>
          <t>MRO-04</t>
        </is>
      </c>
      <c r="F2377" s="17" t="n">
        <v>45929</v>
      </c>
      <c r="G2377" s="17" t="n">
        <v>45937</v>
      </c>
      <c r="H2377" s="18" t="n">
        <v>19</v>
      </c>
      <c r="I2377" s="19" t="n">
        <v>55.34</v>
      </c>
      <c r="J2377" s="19" t="n">
        <v>58</v>
      </c>
      <c r="K2377" s="20" t="n">
        <v>0</v>
      </c>
      <c r="L2377" s="20" t="n">
        <v>0</v>
      </c>
      <c r="M2377" s="18" t="n">
        <v>19</v>
      </c>
      <c r="N2377" s="18" t="n">
        <v>19</v>
      </c>
      <c r="O2377" s="18" t="n">
        <v>0</v>
      </c>
      <c r="P2377" s="17" t="n">
        <v>45934</v>
      </c>
      <c r="Q2377" s="17" t="n">
        <v>45934</v>
      </c>
      <c r="R2377" s="17" t="n">
        <v>45934</v>
      </c>
      <c r="S2377" s="19">
        <f>H2377*I2377</f>
        <v/>
      </c>
      <c r="T2377" s="19">
        <f>H2377*J2377</f>
        <v/>
      </c>
      <c r="U2377">
        <f>IF(AND(K2377=0,G2377&lt;=Assumptions!$C$6),1,0)</f>
        <v/>
      </c>
      <c r="V2377">
        <f>IF(U2377=1,IF(M2377&gt;0,IF(P2377&lt;=G2377+Assumptions!$C$7,1,0),0),0)</f>
        <v/>
      </c>
      <c r="W2377">
        <f>IF(AND(U2377=1,M2377&gt;=H2377*(1-Assumptions!$C$8)),1,0)</f>
        <v/>
      </c>
      <c r="X2377">
        <f>IF(AND(U2377=1,N2377&gt;=H2377*(1-Assumptions!$C$8)),1,0)</f>
        <v/>
      </c>
      <c r="Y2377">
        <f>IF(ISNUMBER(Q2377),1,0)</f>
        <v/>
      </c>
      <c r="Z2377">
        <f>IF(AND(K2377=0,L2377=0,Y2377=0),1,0)</f>
        <v/>
      </c>
      <c r="AA2377">
        <f>IF(AND(Z2377=1,G2377&lt;Assumptions!$C$6),1,0)</f>
        <v/>
      </c>
      <c r="AB2377">
        <f>IF(U2377=0,"",IF(Y2377=1,MAX(0,Q2377-G2377),IF(L2377=1,MAX(0,R2377-G2377),MAX(0,Assumptions!$C$6-G2377))))</f>
        <v/>
      </c>
      <c r="AC2377">
        <f>IF(Y2377=1,Q2377-F2377,"")</f>
        <v/>
      </c>
      <c r="AD2377">
        <f>IF(Y2377=1,AC2377^2,"")</f>
        <v/>
      </c>
      <c r="AE2377" s="19">
        <f>IF(Z2377=1,(H2377-M2377)*I2377,0)</f>
        <v/>
      </c>
      <c r="AF2377">
        <f>IF(G2377&lt;EDATE(Assumptions!$C$6,-12)+1,"prior_12m","last_12m")</f>
        <v/>
      </c>
      <c r="AG2377" s="21">
        <f>DATE(YEAR(G2377),MONTH(G2377),1)</f>
        <v/>
      </c>
    </row>
    <row r="2378">
      <c r="A2378" t="inlineStr">
        <is>
          <t>SPO-01290-4</t>
        </is>
      </c>
      <c r="B2378" t="inlineStr">
        <is>
          <t>SPO-01290</t>
        </is>
      </c>
      <c r="C2378" t="inlineStr">
        <is>
          <t>SUP-06</t>
        </is>
      </c>
      <c r="D2378" t="inlineStr">
        <is>
          <t>MRO</t>
        </is>
      </c>
      <c r="E2378" t="inlineStr">
        <is>
          <t>MRO-05</t>
        </is>
      </c>
      <c r="F2378" s="17" t="n">
        <v>45929</v>
      </c>
      <c r="G2378" s="17" t="n">
        <v>45937</v>
      </c>
      <c r="H2378" s="18" t="n">
        <v>70</v>
      </c>
      <c r="I2378" s="19" t="n">
        <v>35.81</v>
      </c>
      <c r="J2378" s="19" t="n">
        <v>36</v>
      </c>
      <c r="K2378" s="20" t="n">
        <v>0</v>
      </c>
      <c r="L2378" s="20" t="n">
        <v>0</v>
      </c>
      <c r="M2378" s="18" t="n">
        <v>70</v>
      </c>
      <c r="N2378" s="18" t="n">
        <v>70</v>
      </c>
      <c r="O2378" s="18" t="n">
        <v>0</v>
      </c>
      <c r="P2378" s="17" t="n">
        <v>45933</v>
      </c>
      <c r="Q2378" s="17" t="n">
        <v>45933</v>
      </c>
      <c r="R2378" s="17" t="n">
        <v>45933</v>
      </c>
      <c r="S2378" s="19">
        <f>H2378*I2378</f>
        <v/>
      </c>
      <c r="T2378" s="19">
        <f>H2378*J2378</f>
        <v/>
      </c>
      <c r="U2378">
        <f>IF(AND(K2378=0,G2378&lt;=Assumptions!$C$6),1,0)</f>
        <v/>
      </c>
      <c r="V2378">
        <f>IF(U2378=1,IF(M2378&gt;0,IF(P2378&lt;=G2378+Assumptions!$C$7,1,0),0),0)</f>
        <v/>
      </c>
      <c r="W2378">
        <f>IF(AND(U2378=1,M2378&gt;=H2378*(1-Assumptions!$C$8)),1,0)</f>
        <v/>
      </c>
      <c r="X2378">
        <f>IF(AND(U2378=1,N2378&gt;=H2378*(1-Assumptions!$C$8)),1,0)</f>
        <v/>
      </c>
      <c r="Y2378">
        <f>IF(ISNUMBER(Q2378),1,0)</f>
        <v/>
      </c>
      <c r="Z2378">
        <f>IF(AND(K2378=0,L2378=0,Y2378=0),1,0)</f>
        <v/>
      </c>
      <c r="AA2378">
        <f>IF(AND(Z2378=1,G2378&lt;Assumptions!$C$6),1,0)</f>
        <v/>
      </c>
      <c r="AB2378">
        <f>IF(U2378=0,"",IF(Y2378=1,MAX(0,Q2378-G2378),IF(L2378=1,MAX(0,R2378-G2378),MAX(0,Assumptions!$C$6-G2378))))</f>
        <v/>
      </c>
      <c r="AC2378">
        <f>IF(Y2378=1,Q2378-F2378,"")</f>
        <v/>
      </c>
      <c r="AD2378">
        <f>IF(Y2378=1,AC2378^2,"")</f>
        <v/>
      </c>
      <c r="AE2378" s="19">
        <f>IF(Z2378=1,(H2378-M2378)*I2378,0)</f>
        <v/>
      </c>
      <c r="AF2378">
        <f>IF(G2378&lt;EDATE(Assumptions!$C$6,-12)+1,"prior_12m","last_12m")</f>
        <v/>
      </c>
      <c r="AG2378" s="21">
        <f>DATE(YEAR(G2378),MONTH(G2378),1)</f>
        <v/>
      </c>
    </row>
    <row r="2379">
      <c r="A2379" t="inlineStr">
        <is>
          <t>SPO-01291-1</t>
        </is>
      </c>
      <c r="B2379" t="inlineStr">
        <is>
          <t>SPO-01291</t>
        </is>
      </c>
      <c r="C2379" t="inlineStr">
        <is>
          <t>SUP-05</t>
        </is>
      </c>
      <c r="D2379" t="inlineStr">
        <is>
          <t>FLEET</t>
        </is>
      </c>
      <c r="E2379" t="inlineStr">
        <is>
          <t>FLEET-07</t>
        </is>
      </c>
      <c r="F2379" s="17" t="n">
        <v>45929</v>
      </c>
      <c r="G2379" s="17" t="n">
        <v>45943</v>
      </c>
      <c r="H2379" s="18" t="n">
        <v>6</v>
      </c>
      <c r="I2379" s="19" t="n">
        <v>117.78</v>
      </c>
      <c r="J2379" s="19" t="n">
        <v>118</v>
      </c>
      <c r="K2379" s="20" t="n">
        <v>0</v>
      </c>
      <c r="L2379" s="20" t="n">
        <v>0</v>
      </c>
      <c r="M2379" s="18" t="n">
        <v>6</v>
      </c>
      <c r="N2379" s="18" t="n">
        <v>6</v>
      </c>
      <c r="O2379" s="18" t="n">
        <v>0</v>
      </c>
      <c r="P2379" s="17" t="n">
        <v>45941</v>
      </c>
      <c r="Q2379" s="17" t="n">
        <v>45941</v>
      </c>
      <c r="R2379" s="17" t="n">
        <v>45941</v>
      </c>
      <c r="S2379" s="19">
        <f>H2379*I2379</f>
        <v/>
      </c>
      <c r="T2379" s="19">
        <f>H2379*J2379</f>
        <v/>
      </c>
      <c r="U2379">
        <f>IF(AND(K2379=0,G2379&lt;=Assumptions!$C$6),1,0)</f>
        <v/>
      </c>
      <c r="V2379">
        <f>IF(U2379=1,IF(M2379&gt;0,IF(P2379&lt;=G2379+Assumptions!$C$7,1,0),0),0)</f>
        <v/>
      </c>
      <c r="W2379">
        <f>IF(AND(U2379=1,M2379&gt;=H2379*(1-Assumptions!$C$8)),1,0)</f>
        <v/>
      </c>
      <c r="X2379">
        <f>IF(AND(U2379=1,N2379&gt;=H2379*(1-Assumptions!$C$8)),1,0)</f>
        <v/>
      </c>
      <c r="Y2379">
        <f>IF(ISNUMBER(Q2379),1,0)</f>
        <v/>
      </c>
      <c r="Z2379">
        <f>IF(AND(K2379=0,L2379=0,Y2379=0),1,0)</f>
        <v/>
      </c>
      <c r="AA2379">
        <f>IF(AND(Z2379=1,G2379&lt;Assumptions!$C$6),1,0)</f>
        <v/>
      </c>
      <c r="AB2379">
        <f>IF(U2379=0,"",IF(Y2379=1,MAX(0,Q2379-G2379),IF(L2379=1,MAX(0,R2379-G2379),MAX(0,Assumptions!$C$6-G2379))))</f>
        <v/>
      </c>
      <c r="AC2379">
        <f>IF(Y2379=1,Q2379-F2379,"")</f>
        <v/>
      </c>
      <c r="AD2379">
        <f>IF(Y2379=1,AC2379^2,"")</f>
        <v/>
      </c>
      <c r="AE2379" s="19">
        <f>IF(Z2379=1,(H2379-M2379)*I2379,0)</f>
        <v/>
      </c>
      <c r="AF2379">
        <f>IF(G2379&lt;EDATE(Assumptions!$C$6,-12)+1,"prior_12m","last_12m")</f>
        <v/>
      </c>
      <c r="AG2379" s="21">
        <f>DATE(YEAR(G2379),MONTH(G2379),1)</f>
        <v/>
      </c>
    </row>
    <row r="2380">
      <c r="A2380" t="inlineStr">
        <is>
          <t>SPO-01291-2</t>
        </is>
      </c>
      <c r="B2380" t="inlineStr">
        <is>
          <t>SPO-01291</t>
        </is>
      </c>
      <c r="C2380" t="inlineStr">
        <is>
          <t>SUP-05</t>
        </is>
      </c>
      <c r="D2380" t="inlineStr">
        <is>
          <t>FLEET</t>
        </is>
      </c>
      <c r="E2380" t="inlineStr">
        <is>
          <t>FLEET-04</t>
        </is>
      </c>
      <c r="F2380" s="17" t="n">
        <v>45929</v>
      </c>
      <c r="G2380" s="17" t="n">
        <v>45943</v>
      </c>
      <c r="H2380" s="18" t="n">
        <v>218</v>
      </c>
      <c r="I2380" s="19" t="n">
        <v>9.17</v>
      </c>
      <c r="J2380" s="19" t="n">
        <v>9</v>
      </c>
      <c r="K2380" s="20" t="n">
        <v>0</v>
      </c>
      <c r="L2380" s="20" t="n">
        <v>0</v>
      </c>
      <c r="M2380" s="18" t="n">
        <v>218</v>
      </c>
      <c r="N2380" s="18" t="n">
        <v>0</v>
      </c>
      <c r="O2380" s="18" t="n">
        <v>0</v>
      </c>
      <c r="P2380" s="17" t="n">
        <v>45944</v>
      </c>
      <c r="Q2380" s="17" t="n">
        <v>45944</v>
      </c>
      <c r="R2380" s="17" t="n">
        <v>45944</v>
      </c>
      <c r="S2380" s="19">
        <f>H2380*I2380</f>
        <v/>
      </c>
      <c r="T2380" s="19">
        <f>H2380*J2380</f>
        <v/>
      </c>
      <c r="U2380">
        <f>IF(AND(K2380=0,G2380&lt;=Assumptions!$C$6),1,0)</f>
        <v/>
      </c>
      <c r="V2380">
        <f>IF(U2380=1,IF(M2380&gt;0,IF(P2380&lt;=G2380+Assumptions!$C$7,1,0),0),0)</f>
        <v/>
      </c>
      <c r="W2380">
        <f>IF(AND(U2380=1,M2380&gt;=H2380*(1-Assumptions!$C$8)),1,0)</f>
        <v/>
      </c>
      <c r="X2380">
        <f>IF(AND(U2380=1,N2380&gt;=H2380*(1-Assumptions!$C$8)),1,0)</f>
        <v/>
      </c>
      <c r="Y2380">
        <f>IF(ISNUMBER(Q2380),1,0)</f>
        <v/>
      </c>
      <c r="Z2380">
        <f>IF(AND(K2380=0,L2380=0,Y2380=0),1,0)</f>
        <v/>
      </c>
      <c r="AA2380">
        <f>IF(AND(Z2380=1,G2380&lt;Assumptions!$C$6),1,0)</f>
        <v/>
      </c>
      <c r="AB2380">
        <f>IF(U2380=0,"",IF(Y2380=1,MAX(0,Q2380-G2380),IF(L2380=1,MAX(0,R2380-G2380),MAX(0,Assumptions!$C$6-G2380))))</f>
        <v/>
      </c>
      <c r="AC2380">
        <f>IF(Y2380=1,Q2380-F2380,"")</f>
        <v/>
      </c>
      <c r="AD2380">
        <f>IF(Y2380=1,AC2380^2,"")</f>
        <v/>
      </c>
      <c r="AE2380" s="19">
        <f>IF(Z2380=1,(H2380-M2380)*I2380,0)</f>
        <v/>
      </c>
      <c r="AF2380">
        <f>IF(G2380&lt;EDATE(Assumptions!$C$6,-12)+1,"prior_12m","last_12m")</f>
        <v/>
      </c>
      <c r="AG2380" s="21">
        <f>DATE(YEAR(G2380),MONTH(G2380),1)</f>
        <v/>
      </c>
    </row>
    <row r="2381">
      <c r="A2381" t="inlineStr">
        <is>
          <t>SPO-01291-3</t>
        </is>
      </c>
      <c r="B2381" t="inlineStr">
        <is>
          <t>SPO-01291</t>
        </is>
      </c>
      <c r="C2381" t="inlineStr">
        <is>
          <t>SUP-05</t>
        </is>
      </c>
      <c r="D2381" t="inlineStr">
        <is>
          <t>FLEET</t>
        </is>
      </c>
      <c r="E2381" t="inlineStr">
        <is>
          <t>FLEET-03</t>
        </is>
      </c>
      <c r="F2381" s="17" t="n">
        <v>45929</v>
      </c>
      <c r="G2381" s="17" t="n">
        <v>45943</v>
      </c>
      <c r="H2381" s="18" t="n">
        <v>77</v>
      </c>
      <c r="I2381" s="19" t="n">
        <v>22.62</v>
      </c>
      <c r="J2381" s="19" t="n">
        <v>21</v>
      </c>
      <c r="K2381" s="20" t="n">
        <v>0</v>
      </c>
      <c r="L2381" s="20" t="n">
        <v>0</v>
      </c>
      <c r="M2381" s="18" t="n">
        <v>77</v>
      </c>
      <c r="N2381" s="18" t="n">
        <v>77</v>
      </c>
      <c r="O2381" s="18" t="n">
        <v>0</v>
      </c>
      <c r="P2381" s="17" t="n">
        <v>45941</v>
      </c>
      <c r="Q2381" s="17" t="n">
        <v>45941</v>
      </c>
      <c r="R2381" s="17" t="n">
        <v>45941</v>
      </c>
      <c r="S2381" s="19">
        <f>H2381*I2381</f>
        <v/>
      </c>
      <c r="T2381" s="19">
        <f>H2381*J2381</f>
        <v/>
      </c>
      <c r="U2381">
        <f>IF(AND(K2381=0,G2381&lt;=Assumptions!$C$6),1,0)</f>
        <v/>
      </c>
      <c r="V2381">
        <f>IF(U2381=1,IF(M2381&gt;0,IF(P2381&lt;=G2381+Assumptions!$C$7,1,0),0),0)</f>
        <v/>
      </c>
      <c r="W2381">
        <f>IF(AND(U2381=1,M2381&gt;=H2381*(1-Assumptions!$C$8)),1,0)</f>
        <v/>
      </c>
      <c r="X2381">
        <f>IF(AND(U2381=1,N2381&gt;=H2381*(1-Assumptions!$C$8)),1,0)</f>
        <v/>
      </c>
      <c r="Y2381">
        <f>IF(ISNUMBER(Q2381),1,0)</f>
        <v/>
      </c>
      <c r="Z2381">
        <f>IF(AND(K2381=0,L2381=0,Y2381=0),1,0)</f>
        <v/>
      </c>
      <c r="AA2381">
        <f>IF(AND(Z2381=1,G2381&lt;Assumptions!$C$6),1,0)</f>
        <v/>
      </c>
      <c r="AB2381">
        <f>IF(U2381=0,"",IF(Y2381=1,MAX(0,Q2381-G2381),IF(L2381=1,MAX(0,R2381-G2381),MAX(0,Assumptions!$C$6-G2381))))</f>
        <v/>
      </c>
      <c r="AC2381">
        <f>IF(Y2381=1,Q2381-F2381,"")</f>
        <v/>
      </c>
      <c r="AD2381">
        <f>IF(Y2381=1,AC2381^2,"")</f>
        <v/>
      </c>
      <c r="AE2381" s="19">
        <f>IF(Z2381=1,(H2381-M2381)*I2381,0)</f>
        <v/>
      </c>
      <c r="AF2381">
        <f>IF(G2381&lt;EDATE(Assumptions!$C$6,-12)+1,"prior_12m","last_12m")</f>
        <v/>
      </c>
      <c r="AG2381" s="21">
        <f>DATE(YEAR(G2381),MONTH(G2381),1)</f>
        <v/>
      </c>
    </row>
    <row r="2382">
      <c r="A2382" t="inlineStr">
        <is>
          <t>SPO-01291-4</t>
        </is>
      </c>
      <c r="B2382" t="inlineStr">
        <is>
          <t>SPO-01291</t>
        </is>
      </c>
      <c r="C2382" t="inlineStr">
        <is>
          <t>SUP-05</t>
        </is>
      </c>
      <c r="D2382" t="inlineStr">
        <is>
          <t>FLEET</t>
        </is>
      </c>
      <c r="E2382" t="inlineStr">
        <is>
          <t>FLEET-06</t>
        </is>
      </c>
      <c r="F2382" s="17" t="n">
        <v>45929</v>
      </c>
      <c r="G2382" s="17" t="n">
        <v>45943</v>
      </c>
      <c r="H2382" s="18" t="n">
        <v>48</v>
      </c>
      <c r="I2382" s="19" t="n">
        <v>34.51</v>
      </c>
      <c r="J2382" s="19" t="n">
        <v>33</v>
      </c>
      <c r="K2382" s="20" t="n">
        <v>0</v>
      </c>
      <c r="L2382" s="20" t="n">
        <v>0</v>
      </c>
      <c r="M2382" s="18" t="n">
        <v>48</v>
      </c>
      <c r="N2382" s="18" t="n">
        <v>48</v>
      </c>
      <c r="O2382" s="18" t="n">
        <v>0</v>
      </c>
      <c r="P2382" s="17" t="n">
        <v>45938</v>
      </c>
      <c r="Q2382" s="17" t="n">
        <v>45938</v>
      </c>
      <c r="R2382" s="17" t="n">
        <v>45938</v>
      </c>
      <c r="S2382" s="19">
        <f>H2382*I2382</f>
        <v/>
      </c>
      <c r="T2382" s="19">
        <f>H2382*J2382</f>
        <v/>
      </c>
      <c r="U2382">
        <f>IF(AND(K2382=0,G2382&lt;=Assumptions!$C$6),1,0)</f>
        <v/>
      </c>
      <c r="V2382">
        <f>IF(U2382=1,IF(M2382&gt;0,IF(P2382&lt;=G2382+Assumptions!$C$7,1,0),0),0)</f>
        <v/>
      </c>
      <c r="W2382">
        <f>IF(AND(U2382=1,M2382&gt;=H2382*(1-Assumptions!$C$8)),1,0)</f>
        <v/>
      </c>
      <c r="X2382">
        <f>IF(AND(U2382=1,N2382&gt;=H2382*(1-Assumptions!$C$8)),1,0)</f>
        <v/>
      </c>
      <c r="Y2382">
        <f>IF(ISNUMBER(Q2382),1,0)</f>
        <v/>
      </c>
      <c r="Z2382">
        <f>IF(AND(K2382=0,L2382=0,Y2382=0),1,0)</f>
        <v/>
      </c>
      <c r="AA2382">
        <f>IF(AND(Z2382=1,G2382&lt;Assumptions!$C$6),1,0)</f>
        <v/>
      </c>
      <c r="AB2382">
        <f>IF(U2382=0,"",IF(Y2382=1,MAX(0,Q2382-G2382),IF(L2382=1,MAX(0,R2382-G2382),MAX(0,Assumptions!$C$6-G2382))))</f>
        <v/>
      </c>
      <c r="AC2382">
        <f>IF(Y2382=1,Q2382-F2382,"")</f>
        <v/>
      </c>
      <c r="AD2382">
        <f>IF(Y2382=1,AC2382^2,"")</f>
        <v/>
      </c>
      <c r="AE2382" s="19">
        <f>IF(Z2382=1,(H2382-M2382)*I2382,0)</f>
        <v/>
      </c>
      <c r="AF2382">
        <f>IF(G2382&lt;EDATE(Assumptions!$C$6,-12)+1,"prior_12m","last_12m")</f>
        <v/>
      </c>
      <c r="AG2382" s="21">
        <f>DATE(YEAR(G2382),MONTH(G2382),1)</f>
        <v/>
      </c>
    </row>
    <row r="2383">
      <c r="A2383" t="inlineStr">
        <is>
          <t>SPO-01292-1</t>
        </is>
      </c>
      <c r="B2383" t="inlineStr">
        <is>
          <t>SPO-01292</t>
        </is>
      </c>
      <c r="C2383" t="inlineStr">
        <is>
          <t>SUP-04</t>
        </is>
      </c>
      <c r="D2383" t="inlineStr">
        <is>
          <t>FLEET</t>
        </is>
      </c>
      <c r="E2383" t="inlineStr">
        <is>
          <t>FLEET-06</t>
        </is>
      </c>
      <c r="F2383" s="17" t="n">
        <v>45929</v>
      </c>
      <c r="G2383" s="17" t="n">
        <v>45942</v>
      </c>
      <c r="H2383" s="18" t="n">
        <v>47</v>
      </c>
      <c r="I2383" s="19" t="n">
        <v>31.16</v>
      </c>
      <c r="J2383" s="19" t="n">
        <v>33</v>
      </c>
      <c r="K2383" s="20" t="n">
        <v>0</v>
      </c>
      <c r="L2383" s="20" t="n">
        <v>0</v>
      </c>
      <c r="M2383" s="18" t="n">
        <v>47</v>
      </c>
      <c r="N2383" s="18" t="n">
        <v>47</v>
      </c>
      <c r="O2383" s="18" t="n">
        <v>0</v>
      </c>
      <c r="P2383" s="17" t="n">
        <v>45938</v>
      </c>
      <c r="Q2383" s="17" t="n">
        <v>45938</v>
      </c>
      <c r="R2383" s="17" t="n">
        <v>45938</v>
      </c>
      <c r="S2383" s="19">
        <f>H2383*I2383</f>
        <v/>
      </c>
      <c r="T2383" s="19">
        <f>H2383*J2383</f>
        <v/>
      </c>
      <c r="U2383">
        <f>IF(AND(K2383=0,G2383&lt;=Assumptions!$C$6),1,0)</f>
        <v/>
      </c>
      <c r="V2383">
        <f>IF(U2383=1,IF(M2383&gt;0,IF(P2383&lt;=G2383+Assumptions!$C$7,1,0),0),0)</f>
        <v/>
      </c>
      <c r="W2383">
        <f>IF(AND(U2383=1,M2383&gt;=H2383*(1-Assumptions!$C$8)),1,0)</f>
        <v/>
      </c>
      <c r="X2383">
        <f>IF(AND(U2383=1,N2383&gt;=H2383*(1-Assumptions!$C$8)),1,0)</f>
        <v/>
      </c>
      <c r="Y2383">
        <f>IF(ISNUMBER(Q2383),1,0)</f>
        <v/>
      </c>
      <c r="Z2383">
        <f>IF(AND(K2383=0,L2383=0,Y2383=0),1,0)</f>
        <v/>
      </c>
      <c r="AA2383">
        <f>IF(AND(Z2383=1,G2383&lt;Assumptions!$C$6),1,0)</f>
        <v/>
      </c>
      <c r="AB2383">
        <f>IF(U2383=0,"",IF(Y2383=1,MAX(0,Q2383-G2383),IF(L2383=1,MAX(0,R2383-G2383),MAX(0,Assumptions!$C$6-G2383))))</f>
        <v/>
      </c>
      <c r="AC2383">
        <f>IF(Y2383=1,Q2383-F2383,"")</f>
        <v/>
      </c>
      <c r="AD2383">
        <f>IF(Y2383=1,AC2383^2,"")</f>
        <v/>
      </c>
      <c r="AE2383" s="19">
        <f>IF(Z2383=1,(H2383-M2383)*I2383,0)</f>
        <v/>
      </c>
      <c r="AF2383">
        <f>IF(G2383&lt;EDATE(Assumptions!$C$6,-12)+1,"prior_12m","last_12m")</f>
        <v/>
      </c>
      <c r="AG2383" s="21">
        <f>DATE(YEAR(G2383),MONTH(G2383),1)</f>
        <v/>
      </c>
    </row>
    <row r="2384">
      <c r="A2384" t="inlineStr">
        <is>
          <t>SPO-01292-2</t>
        </is>
      </c>
      <c r="B2384" t="inlineStr">
        <is>
          <t>SPO-01292</t>
        </is>
      </c>
      <c r="C2384" t="inlineStr">
        <is>
          <t>SUP-04</t>
        </is>
      </c>
      <c r="D2384" t="inlineStr">
        <is>
          <t>FLEET</t>
        </is>
      </c>
      <c r="E2384" t="inlineStr">
        <is>
          <t>FLEET-04</t>
        </is>
      </c>
      <c r="F2384" s="17" t="n">
        <v>45929</v>
      </c>
      <c r="G2384" s="17" t="n">
        <v>45942</v>
      </c>
      <c r="H2384" s="18" t="n">
        <v>102</v>
      </c>
      <c r="I2384" s="19" t="n">
        <v>9.43</v>
      </c>
      <c r="J2384" s="19" t="n">
        <v>9</v>
      </c>
      <c r="K2384" s="20" t="n">
        <v>0</v>
      </c>
      <c r="L2384" s="20" t="n">
        <v>0</v>
      </c>
      <c r="M2384" s="18" t="n">
        <v>102</v>
      </c>
      <c r="N2384" s="18" t="n">
        <v>102</v>
      </c>
      <c r="O2384" s="18" t="n">
        <v>0</v>
      </c>
      <c r="P2384" s="17" t="n">
        <v>45931</v>
      </c>
      <c r="Q2384" s="17" t="n">
        <v>45931</v>
      </c>
      <c r="R2384" s="17" t="n">
        <v>45931</v>
      </c>
      <c r="S2384" s="19">
        <f>H2384*I2384</f>
        <v/>
      </c>
      <c r="T2384" s="19">
        <f>H2384*J2384</f>
        <v/>
      </c>
      <c r="U2384">
        <f>IF(AND(K2384=0,G2384&lt;=Assumptions!$C$6),1,0)</f>
        <v/>
      </c>
      <c r="V2384">
        <f>IF(U2384=1,IF(M2384&gt;0,IF(P2384&lt;=G2384+Assumptions!$C$7,1,0),0),0)</f>
        <v/>
      </c>
      <c r="W2384">
        <f>IF(AND(U2384=1,M2384&gt;=H2384*(1-Assumptions!$C$8)),1,0)</f>
        <v/>
      </c>
      <c r="X2384">
        <f>IF(AND(U2384=1,N2384&gt;=H2384*(1-Assumptions!$C$8)),1,0)</f>
        <v/>
      </c>
      <c r="Y2384">
        <f>IF(ISNUMBER(Q2384),1,0)</f>
        <v/>
      </c>
      <c r="Z2384">
        <f>IF(AND(K2384=0,L2384=0,Y2384=0),1,0)</f>
        <v/>
      </c>
      <c r="AA2384">
        <f>IF(AND(Z2384=1,G2384&lt;Assumptions!$C$6),1,0)</f>
        <v/>
      </c>
      <c r="AB2384">
        <f>IF(U2384=0,"",IF(Y2384=1,MAX(0,Q2384-G2384),IF(L2384=1,MAX(0,R2384-G2384),MAX(0,Assumptions!$C$6-G2384))))</f>
        <v/>
      </c>
      <c r="AC2384">
        <f>IF(Y2384=1,Q2384-F2384,"")</f>
        <v/>
      </c>
      <c r="AD2384">
        <f>IF(Y2384=1,AC2384^2,"")</f>
        <v/>
      </c>
      <c r="AE2384" s="19">
        <f>IF(Z2384=1,(H2384-M2384)*I2384,0)</f>
        <v/>
      </c>
      <c r="AF2384">
        <f>IF(G2384&lt;EDATE(Assumptions!$C$6,-12)+1,"prior_12m","last_12m")</f>
        <v/>
      </c>
      <c r="AG2384" s="21">
        <f>DATE(YEAR(G2384),MONTH(G2384),1)</f>
        <v/>
      </c>
    </row>
    <row r="2385">
      <c r="A2385" t="inlineStr">
        <is>
          <t>SPO-01293-1</t>
        </is>
      </c>
      <c r="B2385" t="inlineStr">
        <is>
          <t>SPO-01293</t>
        </is>
      </c>
      <c r="C2385" t="inlineStr">
        <is>
          <t>SUP-08</t>
        </is>
      </c>
      <c r="D2385" t="inlineStr">
        <is>
          <t>PPE</t>
        </is>
      </c>
      <c r="E2385" t="inlineStr">
        <is>
          <t>PPE-03</t>
        </is>
      </c>
      <c r="F2385" s="17" t="n">
        <v>45929</v>
      </c>
      <c r="G2385" s="17" t="n">
        <v>45940</v>
      </c>
      <c r="H2385" s="18" t="n">
        <v>55</v>
      </c>
      <c r="I2385" s="19" t="n">
        <v>21.21</v>
      </c>
      <c r="J2385" s="19" t="n">
        <v>21</v>
      </c>
      <c r="K2385" s="20" t="n">
        <v>0</v>
      </c>
      <c r="L2385" s="20" t="n">
        <v>0</v>
      </c>
      <c r="M2385" s="18" t="n">
        <v>55</v>
      </c>
      <c r="N2385" s="18" t="n">
        <v>55</v>
      </c>
      <c r="O2385" s="18" t="n">
        <v>0</v>
      </c>
      <c r="P2385" s="17" t="n">
        <v>45936</v>
      </c>
      <c r="Q2385" s="17" t="n">
        <v>45936</v>
      </c>
      <c r="R2385" s="17" t="n">
        <v>45936</v>
      </c>
      <c r="S2385" s="19">
        <f>H2385*I2385</f>
        <v/>
      </c>
      <c r="T2385" s="19">
        <f>H2385*J2385</f>
        <v/>
      </c>
      <c r="U2385">
        <f>IF(AND(K2385=0,G2385&lt;=Assumptions!$C$6),1,0)</f>
        <v/>
      </c>
      <c r="V2385">
        <f>IF(U2385=1,IF(M2385&gt;0,IF(P2385&lt;=G2385+Assumptions!$C$7,1,0),0),0)</f>
        <v/>
      </c>
      <c r="W2385">
        <f>IF(AND(U2385=1,M2385&gt;=H2385*(1-Assumptions!$C$8)),1,0)</f>
        <v/>
      </c>
      <c r="X2385">
        <f>IF(AND(U2385=1,N2385&gt;=H2385*(1-Assumptions!$C$8)),1,0)</f>
        <v/>
      </c>
      <c r="Y2385">
        <f>IF(ISNUMBER(Q2385),1,0)</f>
        <v/>
      </c>
      <c r="Z2385">
        <f>IF(AND(K2385=0,L2385=0,Y2385=0),1,0)</f>
        <v/>
      </c>
      <c r="AA2385">
        <f>IF(AND(Z2385=1,G2385&lt;Assumptions!$C$6),1,0)</f>
        <v/>
      </c>
      <c r="AB2385">
        <f>IF(U2385=0,"",IF(Y2385=1,MAX(0,Q2385-G2385),IF(L2385=1,MAX(0,R2385-G2385),MAX(0,Assumptions!$C$6-G2385))))</f>
        <v/>
      </c>
      <c r="AC2385">
        <f>IF(Y2385=1,Q2385-F2385,"")</f>
        <v/>
      </c>
      <c r="AD2385">
        <f>IF(Y2385=1,AC2385^2,"")</f>
        <v/>
      </c>
      <c r="AE2385" s="19">
        <f>IF(Z2385=1,(H2385-M2385)*I2385,0)</f>
        <v/>
      </c>
      <c r="AF2385">
        <f>IF(G2385&lt;EDATE(Assumptions!$C$6,-12)+1,"prior_12m","last_12m")</f>
        <v/>
      </c>
      <c r="AG2385" s="21">
        <f>DATE(YEAR(G2385),MONTH(G2385),1)</f>
        <v/>
      </c>
    </row>
    <row r="2386">
      <c r="A2386" t="inlineStr">
        <is>
          <t>SPO-01293-2</t>
        </is>
      </c>
      <c r="B2386" t="inlineStr">
        <is>
          <t>SPO-01293</t>
        </is>
      </c>
      <c r="C2386" t="inlineStr">
        <is>
          <t>SUP-08</t>
        </is>
      </c>
      <c r="D2386" t="inlineStr">
        <is>
          <t>PPE</t>
        </is>
      </c>
      <c r="E2386" t="inlineStr">
        <is>
          <t>PPE-05</t>
        </is>
      </c>
      <c r="F2386" s="17" t="n">
        <v>45929</v>
      </c>
      <c r="G2386" s="17" t="n">
        <v>45940</v>
      </c>
      <c r="H2386" s="18" t="n">
        <v>47</v>
      </c>
      <c r="I2386" s="19" t="n">
        <v>10.57</v>
      </c>
      <c r="J2386" s="19" t="n">
        <v>11</v>
      </c>
      <c r="K2386" s="20" t="n">
        <v>0</v>
      </c>
      <c r="L2386" s="20" t="n">
        <v>0</v>
      </c>
      <c r="M2386" s="18" t="n">
        <v>47</v>
      </c>
      <c r="N2386" s="18" t="n">
        <v>47</v>
      </c>
      <c r="O2386" s="18" t="n">
        <v>0</v>
      </c>
      <c r="P2386" s="17" t="n">
        <v>45938</v>
      </c>
      <c r="Q2386" s="17" t="n">
        <v>45938</v>
      </c>
      <c r="R2386" s="17" t="n">
        <v>45938</v>
      </c>
      <c r="S2386" s="19">
        <f>H2386*I2386</f>
        <v/>
      </c>
      <c r="T2386" s="19">
        <f>H2386*J2386</f>
        <v/>
      </c>
      <c r="U2386">
        <f>IF(AND(K2386=0,G2386&lt;=Assumptions!$C$6),1,0)</f>
        <v/>
      </c>
      <c r="V2386">
        <f>IF(U2386=1,IF(M2386&gt;0,IF(P2386&lt;=G2386+Assumptions!$C$7,1,0),0),0)</f>
        <v/>
      </c>
      <c r="W2386">
        <f>IF(AND(U2386=1,M2386&gt;=H2386*(1-Assumptions!$C$8)),1,0)</f>
        <v/>
      </c>
      <c r="X2386">
        <f>IF(AND(U2386=1,N2386&gt;=H2386*(1-Assumptions!$C$8)),1,0)</f>
        <v/>
      </c>
      <c r="Y2386">
        <f>IF(ISNUMBER(Q2386),1,0)</f>
        <v/>
      </c>
      <c r="Z2386">
        <f>IF(AND(K2386=0,L2386=0,Y2386=0),1,0)</f>
        <v/>
      </c>
      <c r="AA2386">
        <f>IF(AND(Z2386=1,G2386&lt;Assumptions!$C$6),1,0)</f>
        <v/>
      </c>
      <c r="AB2386">
        <f>IF(U2386=0,"",IF(Y2386=1,MAX(0,Q2386-G2386),IF(L2386=1,MAX(0,R2386-G2386),MAX(0,Assumptions!$C$6-G2386))))</f>
        <v/>
      </c>
      <c r="AC2386">
        <f>IF(Y2386=1,Q2386-F2386,"")</f>
        <v/>
      </c>
      <c r="AD2386">
        <f>IF(Y2386=1,AC2386^2,"")</f>
        <v/>
      </c>
      <c r="AE2386" s="19">
        <f>IF(Z2386=1,(H2386-M2386)*I2386,0)</f>
        <v/>
      </c>
      <c r="AF2386">
        <f>IF(G2386&lt;EDATE(Assumptions!$C$6,-12)+1,"prior_12m","last_12m")</f>
        <v/>
      </c>
      <c r="AG2386" s="21">
        <f>DATE(YEAR(G2386),MONTH(G2386),1)</f>
        <v/>
      </c>
    </row>
    <row r="2387">
      <c r="A2387" t="inlineStr">
        <is>
          <t>SPO-01293-3</t>
        </is>
      </c>
      <c r="B2387" t="inlineStr">
        <is>
          <t>SPO-01293</t>
        </is>
      </c>
      <c r="C2387" t="inlineStr">
        <is>
          <t>SUP-08</t>
        </is>
      </c>
      <c r="D2387" t="inlineStr">
        <is>
          <t>PPE</t>
        </is>
      </c>
      <c r="E2387" t="inlineStr">
        <is>
          <t>PPE-02</t>
        </is>
      </c>
      <c r="F2387" s="17" t="n">
        <v>45929</v>
      </c>
      <c r="G2387" s="17" t="n">
        <v>45940</v>
      </c>
      <c r="H2387" s="18" t="n">
        <v>81</v>
      </c>
      <c r="I2387" s="19" t="n">
        <v>12.49</v>
      </c>
      <c r="J2387" s="19" t="n">
        <v>12.5</v>
      </c>
      <c r="K2387" s="20" t="n">
        <v>0</v>
      </c>
      <c r="L2387" s="20" t="n">
        <v>0</v>
      </c>
      <c r="M2387" s="18" t="n">
        <v>81</v>
      </c>
      <c r="N2387" s="18" t="n">
        <v>81</v>
      </c>
      <c r="O2387" s="18" t="n">
        <v>0</v>
      </c>
      <c r="P2387" s="17" t="n">
        <v>45937</v>
      </c>
      <c r="Q2387" s="17" t="n">
        <v>45937</v>
      </c>
      <c r="R2387" s="17" t="n">
        <v>45937</v>
      </c>
      <c r="S2387" s="19">
        <f>H2387*I2387</f>
        <v/>
      </c>
      <c r="T2387" s="19">
        <f>H2387*J2387</f>
        <v/>
      </c>
      <c r="U2387">
        <f>IF(AND(K2387=0,G2387&lt;=Assumptions!$C$6),1,0)</f>
        <v/>
      </c>
      <c r="V2387">
        <f>IF(U2387=1,IF(M2387&gt;0,IF(P2387&lt;=G2387+Assumptions!$C$7,1,0),0),0)</f>
        <v/>
      </c>
      <c r="W2387">
        <f>IF(AND(U2387=1,M2387&gt;=H2387*(1-Assumptions!$C$8)),1,0)</f>
        <v/>
      </c>
      <c r="X2387">
        <f>IF(AND(U2387=1,N2387&gt;=H2387*(1-Assumptions!$C$8)),1,0)</f>
        <v/>
      </c>
      <c r="Y2387">
        <f>IF(ISNUMBER(Q2387),1,0)</f>
        <v/>
      </c>
      <c r="Z2387">
        <f>IF(AND(K2387=0,L2387=0,Y2387=0),1,0)</f>
        <v/>
      </c>
      <c r="AA2387">
        <f>IF(AND(Z2387=1,G2387&lt;Assumptions!$C$6),1,0)</f>
        <v/>
      </c>
      <c r="AB2387">
        <f>IF(U2387=0,"",IF(Y2387=1,MAX(0,Q2387-G2387),IF(L2387=1,MAX(0,R2387-G2387),MAX(0,Assumptions!$C$6-G2387))))</f>
        <v/>
      </c>
      <c r="AC2387">
        <f>IF(Y2387=1,Q2387-F2387,"")</f>
        <v/>
      </c>
      <c r="AD2387">
        <f>IF(Y2387=1,AC2387^2,"")</f>
        <v/>
      </c>
      <c r="AE2387" s="19">
        <f>IF(Z2387=1,(H2387-M2387)*I2387,0)</f>
        <v/>
      </c>
      <c r="AF2387">
        <f>IF(G2387&lt;EDATE(Assumptions!$C$6,-12)+1,"prior_12m","last_12m")</f>
        <v/>
      </c>
      <c r="AG2387" s="21">
        <f>DATE(YEAR(G2387),MONTH(G2387),1)</f>
        <v/>
      </c>
    </row>
    <row r="2388">
      <c r="A2388" t="inlineStr">
        <is>
          <t>SPO-01293-4</t>
        </is>
      </c>
      <c r="B2388" t="inlineStr">
        <is>
          <t>SPO-01293</t>
        </is>
      </c>
      <c r="C2388" t="inlineStr">
        <is>
          <t>SUP-08</t>
        </is>
      </c>
      <c r="D2388" t="inlineStr">
        <is>
          <t>PPE</t>
        </is>
      </c>
      <c r="E2388" t="inlineStr">
        <is>
          <t>PPE-01</t>
        </is>
      </c>
      <c r="F2388" s="17" t="n">
        <v>45929</v>
      </c>
      <c r="G2388" s="17" t="n">
        <v>45940</v>
      </c>
      <c r="H2388" s="18" t="n">
        <v>285</v>
      </c>
      <c r="I2388" s="19" t="n">
        <v>4.77</v>
      </c>
      <c r="J2388" s="19" t="n">
        <v>4.8</v>
      </c>
      <c r="K2388" s="20" t="n">
        <v>0</v>
      </c>
      <c r="L2388" s="20" t="n">
        <v>0</v>
      </c>
      <c r="M2388" s="18" t="n">
        <v>285</v>
      </c>
      <c r="N2388" s="18" t="n">
        <v>285</v>
      </c>
      <c r="O2388" s="18" t="n">
        <v>0</v>
      </c>
      <c r="P2388" s="17" t="n">
        <v>45933</v>
      </c>
      <c r="Q2388" s="17" t="n">
        <v>45933</v>
      </c>
      <c r="R2388" s="17" t="n">
        <v>45933</v>
      </c>
      <c r="S2388" s="19">
        <f>H2388*I2388</f>
        <v/>
      </c>
      <c r="T2388" s="19">
        <f>H2388*J2388</f>
        <v/>
      </c>
      <c r="U2388">
        <f>IF(AND(K2388=0,G2388&lt;=Assumptions!$C$6),1,0)</f>
        <v/>
      </c>
      <c r="V2388">
        <f>IF(U2388=1,IF(M2388&gt;0,IF(P2388&lt;=G2388+Assumptions!$C$7,1,0),0),0)</f>
        <v/>
      </c>
      <c r="W2388">
        <f>IF(AND(U2388=1,M2388&gt;=H2388*(1-Assumptions!$C$8)),1,0)</f>
        <v/>
      </c>
      <c r="X2388">
        <f>IF(AND(U2388=1,N2388&gt;=H2388*(1-Assumptions!$C$8)),1,0)</f>
        <v/>
      </c>
      <c r="Y2388">
        <f>IF(ISNUMBER(Q2388),1,0)</f>
        <v/>
      </c>
      <c r="Z2388">
        <f>IF(AND(K2388=0,L2388=0,Y2388=0),1,0)</f>
        <v/>
      </c>
      <c r="AA2388">
        <f>IF(AND(Z2388=1,G2388&lt;Assumptions!$C$6),1,0)</f>
        <v/>
      </c>
      <c r="AB2388">
        <f>IF(U2388=0,"",IF(Y2388=1,MAX(0,Q2388-G2388),IF(L2388=1,MAX(0,R2388-G2388),MAX(0,Assumptions!$C$6-G2388))))</f>
        <v/>
      </c>
      <c r="AC2388">
        <f>IF(Y2388=1,Q2388-F2388,"")</f>
        <v/>
      </c>
      <c r="AD2388">
        <f>IF(Y2388=1,AC2388^2,"")</f>
        <v/>
      </c>
      <c r="AE2388" s="19">
        <f>IF(Z2388=1,(H2388-M2388)*I2388,0)</f>
        <v/>
      </c>
      <c r="AF2388">
        <f>IF(G2388&lt;EDATE(Assumptions!$C$6,-12)+1,"prior_12m","last_12m")</f>
        <v/>
      </c>
      <c r="AG2388" s="21">
        <f>DATE(YEAR(G2388),MONTH(G2388),1)</f>
        <v/>
      </c>
    </row>
    <row r="2389">
      <c r="A2389" t="inlineStr">
        <is>
          <t>SPO-01294-1</t>
        </is>
      </c>
      <c r="B2389" t="inlineStr">
        <is>
          <t>SPO-01294</t>
        </is>
      </c>
      <c r="C2389" t="inlineStr">
        <is>
          <t>SUP-02</t>
        </is>
      </c>
      <c r="D2389" t="inlineStr">
        <is>
          <t>ELEC</t>
        </is>
      </c>
      <c r="E2389" t="inlineStr">
        <is>
          <t>ELEC-06</t>
        </is>
      </c>
      <c r="F2389" s="17" t="n">
        <v>45930</v>
      </c>
      <c r="G2389" s="17" t="n">
        <v>45946</v>
      </c>
      <c r="H2389" s="18" t="n">
        <v>5</v>
      </c>
      <c r="I2389" s="19" t="n">
        <v>146.92</v>
      </c>
      <c r="J2389" s="19" t="n">
        <v>145</v>
      </c>
      <c r="K2389" s="20" t="n">
        <v>0</v>
      </c>
      <c r="L2389" s="20" t="n">
        <v>0</v>
      </c>
      <c r="M2389" s="18" t="n">
        <v>5</v>
      </c>
      <c r="N2389" s="18" t="n">
        <v>5</v>
      </c>
      <c r="O2389" s="18" t="n">
        <v>0</v>
      </c>
      <c r="P2389" s="17" t="n">
        <v>45939</v>
      </c>
      <c r="Q2389" s="17" t="n">
        <v>45939</v>
      </c>
      <c r="R2389" s="17" t="n">
        <v>45939</v>
      </c>
      <c r="S2389" s="19">
        <f>H2389*I2389</f>
        <v/>
      </c>
      <c r="T2389" s="19">
        <f>H2389*J2389</f>
        <v/>
      </c>
      <c r="U2389">
        <f>IF(AND(K2389=0,G2389&lt;=Assumptions!$C$6),1,0)</f>
        <v/>
      </c>
      <c r="V2389">
        <f>IF(U2389=1,IF(M2389&gt;0,IF(P2389&lt;=G2389+Assumptions!$C$7,1,0),0),0)</f>
        <v/>
      </c>
      <c r="W2389">
        <f>IF(AND(U2389=1,M2389&gt;=H2389*(1-Assumptions!$C$8)),1,0)</f>
        <v/>
      </c>
      <c r="X2389">
        <f>IF(AND(U2389=1,N2389&gt;=H2389*(1-Assumptions!$C$8)),1,0)</f>
        <v/>
      </c>
      <c r="Y2389">
        <f>IF(ISNUMBER(Q2389),1,0)</f>
        <v/>
      </c>
      <c r="Z2389">
        <f>IF(AND(K2389=0,L2389=0,Y2389=0),1,0)</f>
        <v/>
      </c>
      <c r="AA2389">
        <f>IF(AND(Z2389=1,G2389&lt;Assumptions!$C$6),1,0)</f>
        <v/>
      </c>
      <c r="AB2389">
        <f>IF(U2389=0,"",IF(Y2389=1,MAX(0,Q2389-G2389),IF(L2389=1,MAX(0,R2389-G2389),MAX(0,Assumptions!$C$6-G2389))))</f>
        <v/>
      </c>
      <c r="AC2389">
        <f>IF(Y2389=1,Q2389-F2389,"")</f>
        <v/>
      </c>
      <c r="AD2389">
        <f>IF(Y2389=1,AC2389^2,"")</f>
        <v/>
      </c>
      <c r="AE2389" s="19">
        <f>IF(Z2389=1,(H2389-M2389)*I2389,0)</f>
        <v/>
      </c>
      <c r="AF2389">
        <f>IF(G2389&lt;EDATE(Assumptions!$C$6,-12)+1,"prior_12m","last_12m")</f>
        <v/>
      </c>
      <c r="AG2389" s="21">
        <f>DATE(YEAR(G2389),MONTH(G2389),1)</f>
        <v/>
      </c>
    </row>
    <row r="2390">
      <c r="A2390" t="inlineStr">
        <is>
          <t>SPO-01295-1</t>
        </is>
      </c>
      <c r="B2390" t="inlineStr">
        <is>
          <t>SPO-01295</t>
        </is>
      </c>
      <c r="C2390" t="inlineStr">
        <is>
          <t>SUP-10</t>
        </is>
      </c>
      <c r="D2390" t="inlineStr">
        <is>
          <t>PPE</t>
        </is>
      </c>
      <c r="E2390" t="inlineStr">
        <is>
          <t>PPE-06</t>
        </is>
      </c>
      <c r="F2390" s="17" t="n">
        <v>45930</v>
      </c>
      <c r="G2390" s="17" t="n">
        <v>45943</v>
      </c>
      <c r="H2390" s="18" t="n">
        <v>11</v>
      </c>
      <c r="I2390" s="19" t="n">
        <v>106.49</v>
      </c>
      <c r="J2390" s="19" t="n">
        <v>115</v>
      </c>
      <c r="K2390" s="20" t="n">
        <v>0</v>
      </c>
      <c r="L2390" s="20" t="n">
        <v>0</v>
      </c>
      <c r="M2390" s="18" t="n">
        <v>11</v>
      </c>
      <c r="N2390" s="18" t="n">
        <v>11</v>
      </c>
      <c r="O2390" s="18" t="n">
        <v>0</v>
      </c>
      <c r="P2390" s="17" t="n">
        <v>45938</v>
      </c>
      <c r="Q2390" s="17" t="n">
        <v>45938</v>
      </c>
      <c r="R2390" s="17" t="n">
        <v>45938</v>
      </c>
      <c r="S2390" s="19">
        <f>H2390*I2390</f>
        <v/>
      </c>
      <c r="T2390" s="19">
        <f>H2390*J2390</f>
        <v/>
      </c>
      <c r="U2390">
        <f>IF(AND(K2390=0,G2390&lt;=Assumptions!$C$6),1,0)</f>
        <v/>
      </c>
      <c r="V2390">
        <f>IF(U2390=1,IF(M2390&gt;0,IF(P2390&lt;=G2390+Assumptions!$C$7,1,0),0),0)</f>
        <v/>
      </c>
      <c r="W2390">
        <f>IF(AND(U2390=1,M2390&gt;=H2390*(1-Assumptions!$C$8)),1,0)</f>
        <v/>
      </c>
      <c r="X2390">
        <f>IF(AND(U2390=1,N2390&gt;=H2390*(1-Assumptions!$C$8)),1,0)</f>
        <v/>
      </c>
      <c r="Y2390">
        <f>IF(ISNUMBER(Q2390),1,0)</f>
        <v/>
      </c>
      <c r="Z2390">
        <f>IF(AND(K2390=0,L2390=0,Y2390=0),1,0)</f>
        <v/>
      </c>
      <c r="AA2390">
        <f>IF(AND(Z2390=1,G2390&lt;Assumptions!$C$6),1,0)</f>
        <v/>
      </c>
      <c r="AB2390">
        <f>IF(U2390=0,"",IF(Y2390=1,MAX(0,Q2390-G2390),IF(L2390=1,MAX(0,R2390-G2390),MAX(0,Assumptions!$C$6-G2390))))</f>
        <v/>
      </c>
      <c r="AC2390">
        <f>IF(Y2390=1,Q2390-F2390,"")</f>
        <v/>
      </c>
      <c r="AD2390">
        <f>IF(Y2390=1,AC2390^2,"")</f>
        <v/>
      </c>
      <c r="AE2390" s="19">
        <f>IF(Z2390=1,(H2390-M2390)*I2390,0)</f>
        <v/>
      </c>
      <c r="AF2390">
        <f>IF(G2390&lt;EDATE(Assumptions!$C$6,-12)+1,"prior_12m","last_12m")</f>
        <v/>
      </c>
      <c r="AG2390" s="21">
        <f>DATE(YEAR(G2390),MONTH(G2390),1)</f>
        <v/>
      </c>
    </row>
    <row r="2391">
      <c r="A2391" t="inlineStr">
        <is>
          <t>SPO-01296-1</t>
        </is>
      </c>
      <c r="B2391" t="inlineStr">
        <is>
          <t>SPO-01296</t>
        </is>
      </c>
      <c r="C2391" t="inlineStr">
        <is>
          <t>SUP-12</t>
        </is>
      </c>
      <c r="D2391" t="inlineStr">
        <is>
          <t>IT</t>
        </is>
      </c>
      <c r="E2391" t="inlineStr">
        <is>
          <t>IT-03</t>
        </is>
      </c>
      <c r="F2391" s="17" t="n">
        <v>45930</v>
      </c>
      <c r="G2391" s="17" t="n">
        <v>45940</v>
      </c>
      <c r="H2391" s="18" t="n">
        <v>79</v>
      </c>
      <c r="I2391" s="19" t="n">
        <v>44.18</v>
      </c>
      <c r="J2391" s="19" t="n">
        <v>38</v>
      </c>
      <c r="K2391" s="20" t="n">
        <v>0</v>
      </c>
      <c r="L2391" s="20" t="n">
        <v>0</v>
      </c>
      <c r="M2391" s="18" t="n">
        <v>79</v>
      </c>
      <c r="N2391" s="18" t="n">
        <v>79</v>
      </c>
      <c r="O2391" s="18" t="n">
        <v>0</v>
      </c>
      <c r="P2391" s="17" t="n">
        <v>45938</v>
      </c>
      <c r="Q2391" s="17" t="n">
        <v>45938</v>
      </c>
      <c r="R2391" s="17" t="n">
        <v>45938</v>
      </c>
      <c r="S2391" s="19">
        <f>H2391*I2391</f>
        <v/>
      </c>
      <c r="T2391" s="19">
        <f>H2391*J2391</f>
        <v/>
      </c>
      <c r="U2391">
        <f>IF(AND(K2391=0,G2391&lt;=Assumptions!$C$6),1,0)</f>
        <v/>
      </c>
      <c r="V2391">
        <f>IF(U2391=1,IF(M2391&gt;0,IF(P2391&lt;=G2391+Assumptions!$C$7,1,0),0),0)</f>
        <v/>
      </c>
      <c r="W2391">
        <f>IF(AND(U2391=1,M2391&gt;=H2391*(1-Assumptions!$C$8)),1,0)</f>
        <v/>
      </c>
      <c r="X2391">
        <f>IF(AND(U2391=1,N2391&gt;=H2391*(1-Assumptions!$C$8)),1,0)</f>
        <v/>
      </c>
      <c r="Y2391">
        <f>IF(ISNUMBER(Q2391),1,0)</f>
        <v/>
      </c>
      <c r="Z2391">
        <f>IF(AND(K2391=0,L2391=0,Y2391=0),1,0)</f>
        <v/>
      </c>
      <c r="AA2391">
        <f>IF(AND(Z2391=1,G2391&lt;Assumptions!$C$6),1,0)</f>
        <v/>
      </c>
      <c r="AB2391">
        <f>IF(U2391=0,"",IF(Y2391=1,MAX(0,Q2391-G2391),IF(L2391=1,MAX(0,R2391-G2391),MAX(0,Assumptions!$C$6-G2391))))</f>
        <v/>
      </c>
      <c r="AC2391">
        <f>IF(Y2391=1,Q2391-F2391,"")</f>
        <v/>
      </c>
      <c r="AD2391">
        <f>IF(Y2391=1,AC2391^2,"")</f>
        <v/>
      </c>
      <c r="AE2391" s="19">
        <f>IF(Z2391=1,(H2391-M2391)*I2391,0)</f>
        <v/>
      </c>
      <c r="AF2391">
        <f>IF(G2391&lt;EDATE(Assumptions!$C$6,-12)+1,"prior_12m","last_12m")</f>
        <v/>
      </c>
      <c r="AG2391" s="21">
        <f>DATE(YEAR(G2391),MONTH(G2391),1)</f>
        <v/>
      </c>
    </row>
    <row r="2392">
      <c r="A2392" t="inlineStr">
        <is>
          <t>SPO-01297-1</t>
        </is>
      </c>
      <c r="B2392" t="inlineStr">
        <is>
          <t>SPO-01297</t>
        </is>
      </c>
      <c r="C2392" t="inlineStr">
        <is>
          <t>SUP-11</t>
        </is>
      </c>
      <c r="D2392" t="inlineStr">
        <is>
          <t>PPE</t>
        </is>
      </c>
      <c r="E2392" t="inlineStr">
        <is>
          <t>PPE-06</t>
        </is>
      </c>
      <c r="F2392" s="17" t="n">
        <v>45931</v>
      </c>
      <c r="G2392" s="17" t="n">
        <v>45943</v>
      </c>
      <c r="H2392" s="18" t="n">
        <v>20</v>
      </c>
      <c r="I2392" s="19" t="n">
        <v>110.17</v>
      </c>
      <c r="J2392" s="19" t="n">
        <v>115</v>
      </c>
      <c r="K2392" s="20" t="n">
        <v>0</v>
      </c>
      <c r="L2392" s="20" t="n">
        <v>0</v>
      </c>
      <c r="M2392" s="18" t="n">
        <v>20</v>
      </c>
      <c r="N2392" s="18" t="n">
        <v>20</v>
      </c>
      <c r="O2392" s="18" t="n">
        <v>0</v>
      </c>
      <c r="P2392" s="17" t="n">
        <v>45941</v>
      </c>
      <c r="Q2392" s="17" t="n">
        <v>45941</v>
      </c>
      <c r="R2392" s="17" t="n">
        <v>45941</v>
      </c>
      <c r="S2392" s="19">
        <f>H2392*I2392</f>
        <v/>
      </c>
      <c r="T2392" s="19">
        <f>H2392*J2392</f>
        <v/>
      </c>
      <c r="U2392">
        <f>IF(AND(K2392=0,G2392&lt;=Assumptions!$C$6),1,0)</f>
        <v/>
      </c>
      <c r="V2392">
        <f>IF(U2392=1,IF(M2392&gt;0,IF(P2392&lt;=G2392+Assumptions!$C$7,1,0),0),0)</f>
        <v/>
      </c>
      <c r="W2392">
        <f>IF(AND(U2392=1,M2392&gt;=H2392*(1-Assumptions!$C$8)),1,0)</f>
        <v/>
      </c>
      <c r="X2392">
        <f>IF(AND(U2392=1,N2392&gt;=H2392*(1-Assumptions!$C$8)),1,0)</f>
        <v/>
      </c>
      <c r="Y2392">
        <f>IF(ISNUMBER(Q2392),1,0)</f>
        <v/>
      </c>
      <c r="Z2392">
        <f>IF(AND(K2392=0,L2392=0,Y2392=0),1,0)</f>
        <v/>
      </c>
      <c r="AA2392">
        <f>IF(AND(Z2392=1,G2392&lt;Assumptions!$C$6),1,0)</f>
        <v/>
      </c>
      <c r="AB2392">
        <f>IF(U2392=0,"",IF(Y2392=1,MAX(0,Q2392-G2392),IF(L2392=1,MAX(0,R2392-G2392),MAX(0,Assumptions!$C$6-G2392))))</f>
        <v/>
      </c>
      <c r="AC2392">
        <f>IF(Y2392=1,Q2392-F2392,"")</f>
        <v/>
      </c>
      <c r="AD2392">
        <f>IF(Y2392=1,AC2392^2,"")</f>
        <v/>
      </c>
      <c r="AE2392" s="19">
        <f>IF(Z2392=1,(H2392-M2392)*I2392,0)</f>
        <v/>
      </c>
      <c r="AF2392">
        <f>IF(G2392&lt;EDATE(Assumptions!$C$6,-12)+1,"prior_12m","last_12m")</f>
        <v/>
      </c>
      <c r="AG2392" s="21">
        <f>DATE(YEAR(G2392),MONTH(G2392),1)</f>
        <v/>
      </c>
    </row>
    <row r="2393">
      <c r="A2393" t="inlineStr">
        <is>
          <t>SPO-01297-2</t>
        </is>
      </c>
      <c r="B2393" t="inlineStr">
        <is>
          <t>SPO-01297</t>
        </is>
      </c>
      <c r="C2393" t="inlineStr">
        <is>
          <t>SUP-11</t>
        </is>
      </c>
      <c r="D2393" t="inlineStr">
        <is>
          <t>PPE</t>
        </is>
      </c>
      <c r="E2393" t="inlineStr">
        <is>
          <t>PPE-01</t>
        </is>
      </c>
      <c r="F2393" s="17" t="n">
        <v>45931</v>
      </c>
      <c r="G2393" s="17" t="n">
        <v>45943</v>
      </c>
      <c r="H2393" s="18" t="n">
        <v>948</v>
      </c>
      <c r="I2393" s="19" t="n">
        <v>4.81</v>
      </c>
      <c r="J2393" s="19" t="n">
        <v>4.8</v>
      </c>
      <c r="K2393" s="20" t="n">
        <v>0</v>
      </c>
      <c r="L2393" s="20" t="n">
        <v>0</v>
      </c>
      <c r="M2393" s="18" t="n">
        <v>948</v>
      </c>
      <c r="N2393" s="18" t="n">
        <v>948</v>
      </c>
      <c r="O2393" s="18" t="n">
        <v>0</v>
      </c>
      <c r="P2393" s="17" t="n">
        <v>45942</v>
      </c>
      <c r="Q2393" s="17" t="n">
        <v>45942</v>
      </c>
      <c r="R2393" s="17" t="n">
        <v>45942</v>
      </c>
      <c r="S2393" s="19">
        <f>H2393*I2393</f>
        <v/>
      </c>
      <c r="T2393" s="19">
        <f>H2393*J2393</f>
        <v/>
      </c>
      <c r="U2393">
        <f>IF(AND(K2393=0,G2393&lt;=Assumptions!$C$6),1,0)</f>
        <v/>
      </c>
      <c r="V2393">
        <f>IF(U2393=1,IF(M2393&gt;0,IF(P2393&lt;=G2393+Assumptions!$C$7,1,0),0),0)</f>
        <v/>
      </c>
      <c r="W2393">
        <f>IF(AND(U2393=1,M2393&gt;=H2393*(1-Assumptions!$C$8)),1,0)</f>
        <v/>
      </c>
      <c r="X2393">
        <f>IF(AND(U2393=1,N2393&gt;=H2393*(1-Assumptions!$C$8)),1,0)</f>
        <v/>
      </c>
      <c r="Y2393">
        <f>IF(ISNUMBER(Q2393),1,0)</f>
        <v/>
      </c>
      <c r="Z2393">
        <f>IF(AND(K2393=0,L2393=0,Y2393=0),1,0)</f>
        <v/>
      </c>
      <c r="AA2393">
        <f>IF(AND(Z2393=1,G2393&lt;Assumptions!$C$6),1,0)</f>
        <v/>
      </c>
      <c r="AB2393">
        <f>IF(U2393=0,"",IF(Y2393=1,MAX(0,Q2393-G2393),IF(L2393=1,MAX(0,R2393-G2393),MAX(0,Assumptions!$C$6-G2393))))</f>
        <v/>
      </c>
      <c r="AC2393">
        <f>IF(Y2393=1,Q2393-F2393,"")</f>
        <v/>
      </c>
      <c r="AD2393">
        <f>IF(Y2393=1,AC2393^2,"")</f>
        <v/>
      </c>
      <c r="AE2393" s="19">
        <f>IF(Z2393=1,(H2393-M2393)*I2393,0)</f>
        <v/>
      </c>
      <c r="AF2393">
        <f>IF(G2393&lt;EDATE(Assumptions!$C$6,-12)+1,"prior_12m","last_12m")</f>
        <v/>
      </c>
      <c r="AG2393" s="21">
        <f>DATE(YEAR(G2393),MONTH(G2393),1)</f>
        <v/>
      </c>
    </row>
    <row r="2394">
      <c r="A2394" t="inlineStr">
        <is>
          <t>SPO-01297-3</t>
        </is>
      </c>
      <c r="B2394" t="inlineStr">
        <is>
          <t>SPO-01297</t>
        </is>
      </c>
      <c r="C2394" t="inlineStr">
        <is>
          <t>SUP-11</t>
        </is>
      </c>
      <c r="D2394" t="inlineStr">
        <is>
          <t>PPE</t>
        </is>
      </c>
      <c r="E2394" t="inlineStr">
        <is>
          <t>PPE-02</t>
        </is>
      </c>
      <c r="F2394" s="17" t="n">
        <v>45931</v>
      </c>
      <c r="G2394" s="17" t="n">
        <v>45943</v>
      </c>
      <c r="H2394" s="18" t="n">
        <v>87</v>
      </c>
      <c r="I2394" s="19" t="n">
        <v>11.86</v>
      </c>
      <c r="J2394" s="19" t="n">
        <v>12.5</v>
      </c>
      <c r="K2394" s="20" t="n">
        <v>0</v>
      </c>
      <c r="L2394" s="20" t="n">
        <v>0</v>
      </c>
      <c r="M2394" s="18" t="n">
        <v>87</v>
      </c>
      <c r="N2394" s="18" t="n">
        <v>87</v>
      </c>
      <c r="O2394" s="18" t="n">
        <v>0</v>
      </c>
      <c r="P2394" s="17" t="n">
        <v>45942</v>
      </c>
      <c r="Q2394" s="17" t="n">
        <v>45942</v>
      </c>
      <c r="R2394" s="17" t="n">
        <v>45942</v>
      </c>
      <c r="S2394" s="19">
        <f>H2394*I2394</f>
        <v/>
      </c>
      <c r="T2394" s="19">
        <f>H2394*J2394</f>
        <v/>
      </c>
      <c r="U2394">
        <f>IF(AND(K2394=0,G2394&lt;=Assumptions!$C$6),1,0)</f>
        <v/>
      </c>
      <c r="V2394">
        <f>IF(U2394=1,IF(M2394&gt;0,IF(P2394&lt;=G2394+Assumptions!$C$7,1,0),0),0)</f>
        <v/>
      </c>
      <c r="W2394">
        <f>IF(AND(U2394=1,M2394&gt;=H2394*(1-Assumptions!$C$8)),1,0)</f>
        <v/>
      </c>
      <c r="X2394">
        <f>IF(AND(U2394=1,N2394&gt;=H2394*(1-Assumptions!$C$8)),1,0)</f>
        <v/>
      </c>
      <c r="Y2394">
        <f>IF(ISNUMBER(Q2394),1,0)</f>
        <v/>
      </c>
      <c r="Z2394">
        <f>IF(AND(K2394=0,L2394=0,Y2394=0),1,0)</f>
        <v/>
      </c>
      <c r="AA2394">
        <f>IF(AND(Z2394=1,G2394&lt;Assumptions!$C$6),1,0)</f>
        <v/>
      </c>
      <c r="AB2394">
        <f>IF(U2394=0,"",IF(Y2394=1,MAX(0,Q2394-G2394),IF(L2394=1,MAX(0,R2394-G2394),MAX(0,Assumptions!$C$6-G2394))))</f>
        <v/>
      </c>
      <c r="AC2394">
        <f>IF(Y2394=1,Q2394-F2394,"")</f>
        <v/>
      </c>
      <c r="AD2394">
        <f>IF(Y2394=1,AC2394^2,"")</f>
        <v/>
      </c>
      <c r="AE2394" s="19">
        <f>IF(Z2394=1,(H2394-M2394)*I2394,0)</f>
        <v/>
      </c>
      <c r="AF2394">
        <f>IF(G2394&lt;EDATE(Assumptions!$C$6,-12)+1,"prior_12m","last_12m")</f>
        <v/>
      </c>
      <c r="AG2394" s="21">
        <f>DATE(YEAR(G2394),MONTH(G2394),1)</f>
        <v/>
      </c>
    </row>
    <row r="2395">
      <c r="A2395" t="inlineStr">
        <is>
          <t>SPO-01298-1</t>
        </is>
      </c>
      <c r="B2395" t="inlineStr">
        <is>
          <t>SPO-01298</t>
        </is>
      </c>
      <c r="C2395" t="inlineStr">
        <is>
          <t>SUP-04</t>
        </is>
      </c>
      <c r="D2395" t="inlineStr">
        <is>
          <t>FLEET</t>
        </is>
      </c>
      <c r="E2395" t="inlineStr">
        <is>
          <t>FLEET-02</t>
        </is>
      </c>
      <c r="F2395" s="17" t="n">
        <v>45931</v>
      </c>
      <c r="G2395" s="17" t="n">
        <v>45944</v>
      </c>
      <c r="H2395" s="18" t="n">
        <v>206</v>
      </c>
      <c r="I2395" s="19" t="n">
        <v>7.18</v>
      </c>
      <c r="J2395" s="19" t="n">
        <v>7.5</v>
      </c>
      <c r="K2395" s="20" t="n">
        <v>0</v>
      </c>
      <c r="L2395" s="20" t="n">
        <v>0</v>
      </c>
      <c r="M2395" s="18" t="n">
        <v>206</v>
      </c>
      <c r="N2395" s="18" t="n">
        <v>206</v>
      </c>
      <c r="O2395" s="18" t="n">
        <v>0</v>
      </c>
      <c r="P2395" s="17" t="n">
        <v>45938</v>
      </c>
      <c r="Q2395" s="17" t="n">
        <v>45938</v>
      </c>
      <c r="R2395" s="17" t="n">
        <v>45938</v>
      </c>
      <c r="S2395" s="19">
        <f>H2395*I2395</f>
        <v/>
      </c>
      <c r="T2395" s="19">
        <f>H2395*J2395</f>
        <v/>
      </c>
      <c r="U2395">
        <f>IF(AND(K2395=0,G2395&lt;=Assumptions!$C$6),1,0)</f>
        <v/>
      </c>
      <c r="V2395">
        <f>IF(U2395=1,IF(M2395&gt;0,IF(P2395&lt;=G2395+Assumptions!$C$7,1,0),0),0)</f>
        <v/>
      </c>
      <c r="W2395">
        <f>IF(AND(U2395=1,M2395&gt;=H2395*(1-Assumptions!$C$8)),1,0)</f>
        <v/>
      </c>
      <c r="X2395">
        <f>IF(AND(U2395=1,N2395&gt;=H2395*(1-Assumptions!$C$8)),1,0)</f>
        <v/>
      </c>
      <c r="Y2395">
        <f>IF(ISNUMBER(Q2395),1,0)</f>
        <v/>
      </c>
      <c r="Z2395">
        <f>IF(AND(K2395=0,L2395=0,Y2395=0),1,0)</f>
        <v/>
      </c>
      <c r="AA2395">
        <f>IF(AND(Z2395=1,G2395&lt;Assumptions!$C$6),1,0)</f>
        <v/>
      </c>
      <c r="AB2395">
        <f>IF(U2395=0,"",IF(Y2395=1,MAX(0,Q2395-G2395),IF(L2395=1,MAX(0,R2395-G2395),MAX(0,Assumptions!$C$6-G2395))))</f>
        <v/>
      </c>
      <c r="AC2395">
        <f>IF(Y2395=1,Q2395-F2395,"")</f>
        <v/>
      </c>
      <c r="AD2395">
        <f>IF(Y2395=1,AC2395^2,"")</f>
        <v/>
      </c>
      <c r="AE2395" s="19">
        <f>IF(Z2395=1,(H2395-M2395)*I2395,0)</f>
        <v/>
      </c>
      <c r="AF2395">
        <f>IF(G2395&lt;EDATE(Assumptions!$C$6,-12)+1,"prior_12m","last_12m")</f>
        <v/>
      </c>
      <c r="AG2395" s="21">
        <f>DATE(YEAR(G2395),MONTH(G2395),1)</f>
        <v/>
      </c>
    </row>
    <row r="2396">
      <c r="A2396" t="inlineStr">
        <is>
          <t>SPO-01298-2</t>
        </is>
      </c>
      <c r="B2396" t="inlineStr">
        <is>
          <t>SPO-01298</t>
        </is>
      </c>
      <c r="C2396" t="inlineStr">
        <is>
          <t>SUP-04</t>
        </is>
      </c>
      <c r="D2396" t="inlineStr">
        <is>
          <t>FLEET</t>
        </is>
      </c>
      <c r="E2396" t="inlineStr">
        <is>
          <t>FLEET-07</t>
        </is>
      </c>
      <c r="F2396" s="17" t="n">
        <v>45931</v>
      </c>
      <c r="G2396" s="17" t="n">
        <v>45944</v>
      </c>
      <c r="H2396" s="18" t="n">
        <v>8</v>
      </c>
      <c r="I2396" s="19" t="n">
        <v>117.3</v>
      </c>
      <c r="J2396" s="19" t="n">
        <v>118</v>
      </c>
      <c r="K2396" s="20" t="n">
        <v>1</v>
      </c>
      <c r="L2396" s="20" t="n">
        <v>0</v>
      </c>
      <c r="M2396" s="18" t="n">
        <v>0</v>
      </c>
      <c r="N2396" s="18" t="n">
        <v>0</v>
      </c>
      <c r="O2396" s="18" t="n">
        <v>0</v>
      </c>
      <c r="P2396" s="17" t="n"/>
      <c r="Q2396" s="17" t="n"/>
      <c r="R2396" s="17" t="n"/>
      <c r="S2396" s="19">
        <f>H2396*I2396</f>
        <v/>
      </c>
      <c r="T2396" s="19">
        <f>H2396*J2396</f>
        <v/>
      </c>
      <c r="U2396">
        <f>IF(AND(K2396=0,G2396&lt;=Assumptions!$C$6),1,0)</f>
        <v/>
      </c>
      <c r="V2396">
        <f>IF(U2396=1,IF(M2396&gt;0,IF(P2396&lt;=G2396+Assumptions!$C$7,1,0),0),0)</f>
        <v/>
      </c>
      <c r="W2396">
        <f>IF(AND(U2396=1,M2396&gt;=H2396*(1-Assumptions!$C$8)),1,0)</f>
        <v/>
      </c>
      <c r="X2396">
        <f>IF(AND(U2396=1,N2396&gt;=H2396*(1-Assumptions!$C$8)),1,0)</f>
        <v/>
      </c>
      <c r="Y2396">
        <f>IF(ISNUMBER(Q2396),1,0)</f>
        <v/>
      </c>
      <c r="Z2396">
        <f>IF(AND(K2396=0,L2396=0,Y2396=0),1,0)</f>
        <v/>
      </c>
      <c r="AA2396">
        <f>IF(AND(Z2396=1,G2396&lt;Assumptions!$C$6),1,0)</f>
        <v/>
      </c>
      <c r="AB2396">
        <f>IF(U2396=0,"",IF(Y2396=1,MAX(0,Q2396-G2396),IF(L2396=1,MAX(0,R2396-G2396),MAX(0,Assumptions!$C$6-G2396))))</f>
        <v/>
      </c>
      <c r="AC2396">
        <f>IF(Y2396=1,Q2396-F2396,"")</f>
        <v/>
      </c>
      <c r="AD2396">
        <f>IF(Y2396=1,AC2396^2,"")</f>
        <v/>
      </c>
      <c r="AE2396" s="19">
        <f>IF(Z2396=1,(H2396-M2396)*I2396,0)</f>
        <v/>
      </c>
      <c r="AF2396">
        <f>IF(G2396&lt;EDATE(Assumptions!$C$6,-12)+1,"prior_12m","last_12m")</f>
        <v/>
      </c>
      <c r="AG2396" s="21">
        <f>DATE(YEAR(G2396),MONTH(G2396),1)</f>
        <v/>
      </c>
    </row>
    <row r="2397">
      <c r="A2397" t="inlineStr">
        <is>
          <t>SPO-01299-1</t>
        </is>
      </c>
      <c r="B2397" t="inlineStr">
        <is>
          <t>SPO-01299</t>
        </is>
      </c>
      <c r="C2397" t="inlineStr">
        <is>
          <t>SUP-12</t>
        </is>
      </c>
      <c r="D2397" t="inlineStr">
        <is>
          <t>IT</t>
        </is>
      </c>
      <c r="E2397" t="inlineStr">
        <is>
          <t>IT-02</t>
        </is>
      </c>
      <c r="F2397" s="17" t="n">
        <v>45931</v>
      </c>
      <c r="G2397" s="17" t="n">
        <v>45941</v>
      </c>
      <c r="H2397" s="18" t="n">
        <v>6</v>
      </c>
      <c r="I2397" s="19" t="n">
        <v>176.35</v>
      </c>
      <c r="J2397" s="19" t="n">
        <v>162</v>
      </c>
      <c r="K2397" s="20" t="n">
        <v>0</v>
      </c>
      <c r="L2397" s="20" t="n">
        <v>0</v>
      </c>
      <c r="M2397" s="18" t="n">
        <v>6</v>
      </c>
      <c r="N2397" s="18" t="n">
        <v>6</v>
      </c>
      <c r="O2397" s="18" t="n">
        <v>0</v>
      </c>
      <c r="P2397" s="17" t="n">
        <v>45936</v>
      </c>
      <c r="Q2397" s="17" t="n">
        <v>45936</v>
      </c>
      <c r="R2397" s="17" t="n">
        <v>45936</v>
      </c>
      <c r="S2397" s="19">
        <f>H2397*I2397</f>
        <v/>
      </c>
      <c r="T2397" s="19">
        <f>H2397*J2397</f>
        <v/>
      </c>
      <c r="U2397">
        <f>IF(AND(K2397=0,G2397&lt;=Assumptions!$C$6),1,0)</f>
        <v/>
      </c>
      <c r="V2397">
        <f>IF(U2397=1,IF(M2397&gt;0,IF(P2397&lt;=G2397+Assumptions!$C$7,1,0),0),0)</f>
        <v/>
      </c>
      <c r="W2397">
        <f>IF(AND(U2397=1,M2397&gt;=H2397*(1-Assumptions!$C$8)),1,0)</f>
        <v/>
      </c>
      <c r="X2397">
        <f>IF(AND(U2397=1,N2397&gt;=H2397*(1-Assumptions!$C$8)),1,0)</f>
        <v/>
      </c>
      <c r="Y2397">
        <f>IF(ISNUMBER(Q2397),1,0)</f>
        <v/>
      </c>
      <c r="Z2397">
        <f>IF(AND(K2397=0,L2397=0,Y2397=0),1,0)</f>
        <v/>
      </c>
      <c r="AA2397">
        <f>IF(AND(Z2397=1,G2397&lt;Assumptions!$C$6),1,0)</f>
        <v/>
      </c>
      <c r="AB2397">
        <f>IF(U2397=0,"",IF(Y2397=1,MAX(0,Q2397-G2397),IF(L2397=1,MAX(0,R2397-G2397),MAX(0,Assumptions!$C$6-G2397))))</f>
        <v/>
      </c>
      <c r="AC2397">
        <f>IF(Y2397=1,Q2397-F2397,"")</f>
        <v/>
      </c>
      <c r="AD2397">
        <f>IF(Y2397=1,AC2397^2,"")</f>
        <v/>
      </c>
      <c r="AE2397" s="19">
        <f>IF(Z2397=1,(H2397-M2397)*I2397,0)</f>
        <v/>
      </c>
      <c r="AF2397">
        <f>IF(G2397&lt;EDATE(Assumptions!$C$6,-12)+1,"prior_12m","last_12m")</f>
        <v/>
      </c>
      <c r="AG2397" s="21">
        <f>DATE(YEAR(G2397),MONTH(G2397),1)</f>
        <v/>
      </c>
    </row>
    <row r="2398">
      <c r="A2398" t="inlineStr">
        <is>
          <t>SPO-01299-2</t>
        </is>
      </c>
      <c r="B2398" t="inlineStr">
        <is>
          <t>SPO-01299</t>
        </is>
      </c>
      <c r="C2398" t="inlineStr">
        <is>
          <t>SUP-12</t>
        </is>
      </c>
      <c r="D2398" t="inlineStr">
        <is>
          <t>IT</t>
        </is>
      </c>
      <c r="E2398" t="inlineStr">
        <is>
          <t>IT-04</t>
        </is>
      </c>
      <c r="F2398" s="17" t="n">
        <v>45931</v>
      </c>
      <c r="G2398" s="17" t="n">
        <v>45941</v>
      </c>
      <c r="H2398" s="18" t="n">
        <v>145</v>
      </c>
      <c r="I2398" s="19" t="n">
        <v>13.46</v>
      </c>
      <c r="J2398" s="19" t="n">
        <v>12</v>
      </c>
      <c r="K2398" s="20" t="n">
        <v>0</v>
      </c>
      <c r="L2398" s="20" t="n">
        <v>0</v>
      </c>
      <c r="M2398" s="18" t="n">
        <v>145</v>
      </c>
      <c r="N2398" s="18" t="n">
        <v>145</v>
      </c>
      <c r="O2398" s="18" t="n">
        <v>0</v>
      </c>
      <c r="P2398" s="17" t="n">
        <v>45941</v>
      </c>
      <c r="Q2398" s="17" t="n">
        <v>45941</v>
      </c>
      <c r="R2398" s="17" t="n">
        <v>45941</v>
      </c>
      <c r="S2398" s="19">
        <f>H2398*I2398</f>
        <v/>
      </c>
      <c r="T2398" s="19">
        <f>H2398*J2398</f>
        <v/>
      </c>
      <c r="U2398">
        <f>IF(AND(K2398=0,G2398&lt;=Assumptions!$C$6),1,0)</f>
        <v/>
      </c>
      <c r="V2398">
        <f>IF(U2398=1,IF(M2398&gt;0,IF(P2398&lt;=G2398+Assumptions!$C$7,1,0),0),0)</f>
        <v/>
      </c>
      <c r="W2398">
        <f>IF(AND(U2398=1,M2398&gt;=H2398*(1-Assumptions!$C$8)),1,0)</f>
        <v/>
      </c>
      <c r="X2398">
        <f>IF(AND(U2398=1,N2398&gt;=H2398*(1-Assumptions!$C$8)),1,0)</f>
        <v/>
      </c>
      <c r="Y2398">
        <f>IF(ISNUMBER(Q2398),1,0)</f>
        <v/>
      </c>
      <c r="Z2398">
        <f>IF(AND(K2398=0,L2398=0,Y2398=0),1,0)</f>
        <v/>
      </c>
      <c r="AA2398">
        <f>IF(AND(Z2398=1,G2398&lt;Assumptions!$C$6),1,0)</f>
        <v/>
      </c>
      <c r="AB2398">
        <f>IF(U2398=0,"",IF(Y2398=1,MAX(0,Q2398-G2398),IF(L2398=1,MAX(0,R2398-G2398),MAX(0,Assumptions!$C$6-G2398))))</f>
        <v/>
      </c>
      <c r="AC2398">
        <f>IF(Y2398=1,Q2398-F2398,"")</f>
        <v/>
      </c>
      <c r="AD2398">
        <f>IF(Y2398=1,AC2398^2,"")</f>
        <v/>
      </c>
      <c r="AE2398" s="19">
        <f>IF(Z2398=1,(H2398-M2398)*I2398,0)</f>
        <v/>
      </c>
      <c r="AF2398">
        <f>IF(G2398&lt;EDATE(Assumptions!$C$6,-12)+1,"prior_12m","last_12m")</f>
        <v/>
      </c>
      <c r="AG2398" s="21">
        <f>DATE(YEAR(G2398),MONTH(G2398),1)</f>
        <v/>
      </c>
    </row>
    <row r="2399">
      <c r="A2399" t="inlineStr">
        <is>
          <t>SPO-01299-3</t>
        </is>
      </c>
      <c r="B2399" t="inlineStr">
        <is>
          <t>SPO-01299</t>
        </is>
      </c>
      <c r="C2399" t="inlineStr">
        <is>
          <t>SUP-12</t>
        </is>
      </c>
      <c r="D2399" t="inlineStr">
        <is>
          <t>IT</t>
        </is>
      </c>
      <c r="E2399" t="inlineStr">
        <is>
          <t>IT-07</t>
        </is>
      </c>
      <c r="F2399" s="17" t="n">
        <v>45931</v>
      </c>
      <c r="G2399" s="17" t="n">
        <v>45941</v>
      </c>
      <c r="H2399" s="18" t="n">
        <v>20</v>
      </c>
      <c r="I2399" s="19" t="n">
        <v>83.87</v>
      </c>
      <c r="J2399" s="19" t="n">
        <v>74</v>
      </c>
      <c r="K2399" s="20" t="n">
        <v>0</v>
      </c>
      <c r="L2399" s="20" t="n">
        <v>0</v>
      </c>
      <c r="M2399" s="18" t="n">
        <v>20</v>
      </c>
      <c r="N2399" s="18" t="n">
        <v>20</v>
      </c>
      <c r="O2399" s="18" t="n">
        <v>0</v>
      </c>
      <c r="P2399" s="17" t="n">
        <v>45932</v>
      </c>
      <c r="Q2399" s="17" t="n">
        <v>45932</v>
      </c>
      <c r="R2399" s="17" t="n">
        <v>45932</v>
      </c>
      <c r="S2399" s="19">
        <f>H2399*I2399</f>
        <v/>
      </c>
      <c r="T2399" s="19">
        <f>H2399*J2399</f>
        <v/>
      </c>
      <c r="U2399">
        <f>IF(AND(K2399=0,G2399&lt;=Assumptions!$C$6),1,0)</f>
        <v/>
      </c>
      <c r="V2399">
        <f>IF(U2399=1,IF(M2399&gt;0,IF(P2399&lt;=G2399+Assumptions!$C$7,1,0),0),0)</f>
        <v/>
      </c>
      <c r="W2399">
        <f>IF(AND(U2399=1,M2399&gt;=H2399*(1-Assumptions!$C$8)),1,0)</f>
        <v/>
      </c>
      <c r="X2399">
        <f>IF(AND(U2399=1,N2399&gt;=H2399*(1-Assumptions!$C$8)),1,0)</f>
        <v/>
      </c>
      <c r="Y2399">
        <f>IF(ISNUMBER(Q2399),1,0)</f>
        <v/>
      </c>
      <c r="Z2399">
        <f>IF(AND(K2399=0,L2399=0,Y2399=0),1,0)</f>
        <v/>
      </c>
      <c r="AA2399">
        <f>IF(AND(Z2399=1,G2399&lt;Assumptions!$C$6),1,0)</f>
        <v/>
      </c>
      <c r="AB2399">
        <f>IF(U2399=0,"",IF(Y2399=1,MAX(0,Q2399-G2399),IF(L2399=1,MAX(0,R2399-G2399),MAX(0,Assumptions!$C$6-G2399))))</f>
        <v/>
      </c>
      <c r="AC2399">
        <f>IF(Y2399=1,Q2399-F2399,"")</f>
        <v/>
      </c>
      <c r="AD2399">
        <f>IF(Y2399=1,AC2399^2,"")</f>
        <v/>
      </c>
      <c r="AE2399" s="19">
        <f>IF(Z2399=1,(H2399-M2399)*I2399,0)</f>
        <v/>
      </c>
      <c r="AF2399">
        <f>IF(G2399&lt;EDATE(Assumptions!$C$6,-12)+1,"prior_12m","last_12m")</f>
        <v/>
      </c>
      <c r="AG2399" s="21">
        <f>DATE(YEAR(G2399),MONTH(G2399),1)</f>
        <v/>
      </c>
    </row>
    <row r="2400">
      <c r="A2400" t="inlineStr">
        <is>
          <t>SPO-01299-4</t>
        </is>
      </c>
      <c r="B2400" t="inlineStr">
        <is>
          <t>SPO-01299</t>
        </is>
      </c>
      <c r="C2400" t="inlineStr">
        <is>
          <t>SUP-12</t>
        </is>
      </c>
      <c r="D2400" t="inlineStr">
        <is>
          <t>IT</t>
        </is>
      </c>
      <c r="E2400" t="inlineStr">
        <is>
          <t>IT-06</t>
        </is>
      </c>
      <c r="F2400" s="17" t="n">
        <v>45931</v>
      </c>
      <c r="G2400" s="17" t="n">
        <v>45941</v>
      </c>
      <c r="H2400" s="18" t="n">
        <v>9</v>
      </c>
      <c r="I2400" s="19" t="n">
        <v>97.27</v>
      </c>
      <c r="J2400" s="19" t="n">
        <v>89</v>
      </c>
      <c r="K2400" s="20" t="n">
        <v>0</v>
      </c>
      <c r="L2400" s="20" t="n">
        <v>0</v>
      </c>
      <c r="M2400" s="18" t="n">
        <v>9</v>
      </c>
      <c r="N2400" s="18" t="n">
        <v>9</v>
      </c>
      <c r="O2400" s="18" t="n">
        <v>0</v>
      </c>
      <c r="P2400" s="17" t="n">
        <v>45934</v>
      </c>
      <c r="Q2400" s="17" t="n">
        <v>45934</v>
      </c>
      <c r="R2400" s="17" t="n">
        <v>45934</v>
      </c>
      <c r="S2400" s="19">
        <f>H2400*I2400</f>
        <v/>
      </c>
      <c r="T2400" s="19">
        <f>H2400*J2400</f>
        <v/>
      </c>
      <c r="U2400">
        <f>IF(AND(K2400=0,G2400&lt;=Assumptions!$C$6),1,0)</f>
        <v/>
      </c>
      <c r="V2400">
        <f>IF(U2400=1,IF(M2400&gt;0,IF(P2400&lt;=G2400+Assumptions!$C$7,1,0),0),0)</f>
        <v/>
      </c>
      <c r="W2400">
        <f>IF(AND(U2400=1,M2400&gt;=H2400*(1-Assumptions!$C$8)),1,0)</f>
        <v/>
      </c>
      <c r="X2400">
        <f>IF(AND(U2400=1,N2400&gt;=H2400*(1-Assumptions!$C$8)),1,0)</f>
        <v/>
      </c>
      <c r="Y2400">
        <f>IF(ISNUMBER(Q2400),1,0)</f>
        <v/>
      </c>
      <c r="Z2400">
        <f>IF(AND(K2400=0,L2400=0,Y2400=0),1,0)</f>
        <v/>
      </c>
      <c r="AA2400">
        <f>IF(AND(Z2400=1,G2400&lt;Assumptions!$C$6),1,0)</f>
        <v/>
      </c>
      <c r="AB2400">
        <f>IF(U2400=0,"",IF(Y2400=1,MAX(0,Q2400-G2400),IF(L2400=1,MAX(0,R2400-G2400),MAX(0,Assumptions!$C$6-G2400))))</f>
        <v/>
      </c>
      <c r="AC2400">
        <f>IF(Y2400=1,Q2400-F2400,"")</f>
        <v/>
      </c>
      <c r="AD2400">
        <f>IF(Y2400=1,AC2400^2,"")</f>
        <v/>
      </c>
      <c r="AE2400" s="19">
        <f>IF(Z2400=1,(H2400-M2400)*I2400,0)</f>
        <v/>
      </c>
      <c r="AF2400">
        <f>IF(G2400&lt;EDATE(Assumptions!$C$6,-12)+1,"prior_12m","last_12m")</f>
        <v/>
      </c>
      <c r="AG2400" s="21">
        <f>DATE(YEAR(G2400),MONTH(G2400),1)</f>
        <v/>
      </c>
    </row>
    <row r="2401">
      <c r="A2401" t="inlineStr">
        <is>
          <t>SPO-01300-1</t>
        </is>
      </c>
      <c r="B2401" t="inlineStr">
        <is>
          <t>SPO-01300</t>
        </is>
      </c>
      <c r="C2401" t="inlineStr">
        <is>
          <t>SUP-02</t>
        </is>
      </c>
      <c r="D2401" t="inlineStr">
        <is>
          <t>ELEC</t>
        </is>
      </c>
      <c r="E2401" t="inlineStr">
        <is>
          <t>ELEC-03</t>
        </is>
      </c>
      <c r="F2401" s="17" t="n">
        <v>45931</v>
      </c>
      <c r="G2401" s="17" t="n">
        <v>45947</v>
      </c>
      <c r="H2401" s="18" t="n">
        <v>21</v>
      </c>
      <c r="I2401" s="19" t="n">
        <v>99.78</v>
      </c>
      <c r="J2401" s="19" t="n">
        <v>96</v>
      </c>
      <c r="K2401" s="20" t="n">
        <v>0</v>
      </c>
      <c r="L2401" s="20" t="n">
        <v>0</v>
      </c>
      <c r="M2401" s="18" t="n">
        <v>21</v>
      </c>
      <c r="N2401" s="18" t="n">
        <v>21</v>
      </c>
      <c r="O2401" s="18" t="n">
        <v>0</v>
      </c>
      <c r="P2401" s="17" t="n">
        <v>45944</v>
      </c>
      <c r="Q2401" s="17" t="n">
        <v>45944</v>
      </c>
      <c r="R2401" s="17" t="n">
        <v>45944</v>
      </c>
      <c r="S2401" s="19">
        <f>H2401*I2401</f>
        <v/>
      </c>
      <c r="T2401" s="19">
        <f>H2401*J2401</f>
        <v/>
      </c>
      <c r="U2401">
        <f>IF(AND(K2401=0,G2401&lt;=Assumptions!$C$6),1,0)</f>
        <v/>
      </c>
      <c r="V2401">
        <f>IF(U2401=1,IF(M2401&gt;0,IF(P2401&lt;=G2401+Assumptions!$C$7,1,0),0),0)</f>
        <v/>
      </c>
      <c r="W2401">
        <f>IF(AND(U2401=1,M2401&gt;=H2401*(1-Assumptions!$C$8)),1,0)</f>
        <v/>
      </c>
      <c r="X2401">
        <f>IF(AND(U2401=1,N2401&gt;=H2401*(1-Assumptions!$C$8)),1,0)</f>
        <v/>
      </c>
      <c r="Y2401">
        <f>IF(ISNUMBER(Q2401),1,0)</f>
        <v/>
      </c>
      <c r="Z2401">
        <f>IF(AND(K2401=0,L2401=0,Y2401=0),1,0)</f>
        <v/>
      </c>
      <c r="AA2401">
        <f>IF(AND(Z2401=1,G2401&lt;Assumptions!$C$6),1,0)</f>
        <v/>
      </c>
      <c r="AB2401">
        <f>IF(U2401=0,"",IF(Y2401=1,MAX(0,Q2401-G2401),IF(L2401=1,MAX(0,R2401-G2401),MAX(0,Assumptions!$C$6-G2401))))</f>
        <v/>
      </c>
      <c r="AC2401">
        <f>IF(Y2401=1,Q2401-F2401,"")</f>
        <v/>
      </c>
      <c r="AD2401">
        <f>IF(Y2401=1,AC2401^2,"")</f>
        <v/>
      </c>
      <c r="AE2401" s="19">
        <f>IF(Z2401=1,(H2401-M2401)*I2401,0)</f>
        <v/>
      </c>
      <c r="AF2401">
        <f>IF(G2401&lt;EDATE(Assumptions!$C$6,-12)+1,"prior_12m","last_12m")</f>
        <v/>
      </c>
      <c r="AG2401" s="21">
        <f>DATE(YEAR(G2401),MONTH(G2401),1)</f>
        <v/>
      </c>
    </row>
    <row r="2402">
      <c r="A2402" t="inlineStr">
        <is>
          <t>SPO-01300-2</t>
        </is>
      </c>
      <c r="B2402" t="inlineStr">
        <is>
          <t>SPO-01300</t>
        </is>
      </c>
      <c r="C2402" t="inlineStr">
        <is>
          <t>SUP-02</t>
        </is>
      </c>
      <c r="D2402" t="inlineStr">
        <is>
          <t>ELEC</t>
        </is>
      </c>
      <c r="E2402" t="inlineStr">
        <is>
          <t>ELEC-07</t>
        </is>
      </c>
      <c r="F2402" s="17" t="n">
        <v>45931</v>
      </c>
      <c r="G2402" s="17" t="n">
        <v>45947</v>
      </c>
      <c r="H2402" s="18" t="n">
        <v>264</v>
      </c>
      <c r="I2402" s="19" t="n">
        <v>9.529999999999999</v>
      </c>
      <c r="J2402" s="19" t="n">
        <v>9.800000000000001</v>
      </c>
      <c r="K2402" s="20" t="n">
        <v>0</v>
      </c>
      <c r="L2402" s="20" t="n">
        <v>0</v>
      </c>
      <c r="M2402" s="18" t="n">
        <v>264</v>
      </c>
      <c r="N2402" s="18" t="n">
        <v>264</v>
      </c>
      <c r="O2402" s="18" t="n">
        <v>0</v>
      </c>
      <c r="P2402" s="17" t="n">
        <v>45947</v>
      </c>
      <c r="Q2402" s="17" t="n">
        <v>45947</v>
      </c>
      <c r="R2402" s="17" t="n">
        <v>45947</v>
      </c>
      <c r="S2402" s="19">
        <f>H2402*I2402</f>
        <v/>
      </c>
      <c r="T2402" s="19">
        <f>H2402*J2402</f>
        <v/>
      </c>
      <c r="U2402">
        <f>IF(AND(K2402=0,G2402&lt;=Assumptions!$C$6),1,0)</f>
        <v/>
      </c>
      <c r="V2402">
        <f>IF(U2402=1,IF(M2402&gt;0,IF(P2402&lt;=G2402+Assumptions!$C$7,1,0),0),0)</f>
        <v/>
      </c>
      <c r="W2402">
        <f>IF(AND(U2402=1,M2402&gt;=H2402*(1-Assumptions!$C$8)),1,0)</f>
        <v/>
      </c>
      <c r="X2402">
        <f>IF(AND(U2402=1,N2402&gt;=H2402*(1-Assumptions!$C$8)),1,0)</f>
        <v/>
      </c>
      <c r="Y2402">
        <f>IF(ISNUMBER(Q2402),1,0)</f>
        <v/>
      </c>
      <c r="Z2402">
        <f>IF(AND(K2402=0,L2402=0,Y2402=0),1,0)</f>
        <v/>
      </c>
      <c r="AA2402">
        <f>IF(AND(Z2402=1,G2402&lt;Assumptions!$C$6),1,0)</f>
        <v/>
      </c>
      <c r="AB2402">
        <f>IF(U2402=0,"",IF(Y2402=1,MAX(0,Q2402-G2402),IF(L2402=1,MAX(0,R2402-G2402),MAX(0,Assumptions!$C$6-G2402))))</f>
        <v/>
      </c>
      <c r="AC2402">
        <f>IF(Y2402=1,Q2402-F2402,"")</f>
        <v/>
      </c>
      <c r="AD2402">
        <f>IF(Y2402=1,AC2402^2,"")</f>
        <v/>
      </c>
      <c r="AE2402" s="19">
        <f>IF(Z2402=1,(H2402-M2402)*I2402,0)</f>
        <v/>
      </c>
      <c r="AF2402">
        <f>IF(G2402&lt;EDATE(Assumptions!$C$6,-12)+1,"prior_12m","last_12m")</f>
        <v/>
      </c>
      <c r="AG2402" s="21">
        <f>DATE(YEAR(G2402),MONTH(G2402),1)</f>
        <v/>
      </c>
    </row>
    <row r="2403">
      <c r="A2403" t="inlineStr">
        <is>
          <t>SPO-01301-1</t>
        </is>
      </c>
      <c r="B2403" t="inlineStr">
        <is>
          <t>SPO-01301</t>
        </is>
      </c>
      <c r="C2403" t="inlineStr">
        <is>
          <t>SUP-12</t>
        </is>
      </c>
      <c r="D2403" t="inlineStr">
        <is>
          <t>IT</t>
        </is>
      </c>
      <c r="E2403" t="inlineStr">
        <is>
          <t>IT-04</t>
        </is>
      </c>
      <c r="F2403" s="17" t="n">
        <v>45932</v>
      </c>
      <c r="G2403" s="17" t="n">
        <v>45942</v>
      </c>
      <c r="H2403" s="18" t="n">
        <v>131</v>
      </c>
      <c r="I2403" s="19" t="n">
        <v>14.02</v>
      </c>
      <c r="J2403" s="19" t="n">
        <v>12</v>
      </c>
      <c r="K2403" s="20" t="n">
        <v>0</v>
      </c>
      <c r="L2403" s="20" t="n">
        <v>0</v>
      </c>
      <c r="M2403" s="18" t="n">
        <v>131</v>
      </c>
      <c r="N2403" s="18" t="n">
        <v>131</v>
      </c>
      <c r="O2403" s="18" t="n">
        <v>0</v>
      </c>
      <c r="P2403" s="17" t="n">
        <v>45940</v>
      </c>
      <c r="Q2403" s="17" t="n">
        <v>45940</v>
      </c>
      <c r="R2403" s="17" t="n">
        <v>45940</v>
      </c>
      <c r="S2403" s="19">
        <f>H2403*I2403</f>
        <v/>
      </c>
      <c r="T2403" s="19">
        <f>H2403*J2403</f>
        <v/>
      </c>
      <c r="U2403">
        <f>IF(AND(K2403=0,G2403&lt;=Assumptions!$C$6),1,0)</f>
        <v/>
      </c>
      <c r="V2403">
        <f>IF(U2403=1,IF(M2403&gt;0,IF(P2403&lt;=G2403+Assumptions!$C$7,1,0),0),0)</f>
        <v/>
      </c>
      <c r="W2403">
        <f>IF(AND(U2403=1,M2403&gt;=H2403*(1-Assumptions!$C$8)),1,0)</f>
        <v/>
      </c>
      <c r="X2403">
        <f>IF(AND(U2403=1,N2403&gt;=H2403*(1-Assumptions!$C$8)),1,0)</f>
        <v/>
      </c>
      <c r="Y2403">
        <f>IF(ISNUMBER(Q2403),1,0)</f>
        <v/>
      </c>
      <c r="Z2403">
        <f>IF(AND(K2403=0,L2403=0,Y2403=0),1,0)</f>
        <v/>
      </c>
      <c r="AA2403">
        <f>IF(AND(Z2403=1,G2403&lt;Assumptions!$C$6),1,0)</f>
        <v/>
      </c>
      <c r="AB2403">
        <f>IF(U2403=0,"",IF(Y2403=1,MAX(0,Q2403-G2403),IF(L2403=1,MAX(0,R2403-G2403),MAX(0,Assumptions!$C$6-G2403))))</f>
        <v/>
      </c>
      <c r="AC2403">
        <f>IF(Y2403=1,Q2403-F2403,"")</f>
        <v/>
      </c>
      <c r="AD2403">
        <f>IF(Y2403=1,AC2403^2,"")</f>
        <v/>
      </c>
      <c r="AE2403" s="19">
        <f>IF(Z2403=1,(H2403-M2403)*I2403,0)</f>
        <v/>
      </c>
      <c r="AF2403">
        <f>IF(G2403&lt;EDATE(Assumptions!$C$6,-12)+1,"prior_12m","last_12m")</f>
        <v/>
      </c>
      <c r="AG2403" s="21">
        <f>DATE(YEAR(G2403),MONTH(G2403),1)</f>
        <v/>
      </c>
    </row>
    <row r="2404">
      <c r="A2404" t="inlineStr">
        <is>
          <t>SPO-01301-2</t>
        </is>
      </c>
      <c r="B2404" t="inlineStr">
        <is>
          <t>SPO-01301</t>
        </is>
      </c>
      <c r="C2404" t="inlineStr">
        <is>
          <t>SUP-12</t>
        </is>
      </c>
      <c r="D2404" t="inlineStr">
        <is>
          <t>IT</t>
        </is>
      </c>
      <c r="E2404" t="inlineStr">
        <is>
          <t>IT-03</t>
        </is>
      </c>
      <c r="F2404" s="17" t="n">
        <v>45932</v>
      </c>
      <c r="G2404" s="17" t="n">
        <v>45942</v>
      </c>
      <c r="H2404" s="18" t="n">
        <v>61</v>
      </c>
      <c r="I2404" s="19" t="n">
        <v>41.87</v>
      </c>
      <c r="J2404" s="19" t="n">
        <v>38</v>
      </c>
      <c r="K2404" s="20" t="n">
        <v>0</v>
      </c>
      <c r="L2404" s="20" t="n">
        <v>0</v>
      </c>
      <c r="M2404" s="18" t="n">
        <v>61</v>
      </c>
      <c r="N2404" s="18" t="n">
        <v>61</v>
      </c>
      <c r="O2404" s="18" t="n">
        <v>0</v>
      </c>
      <c r="P2404" s="17" t="n">
        <v>45937</v>
      </c>
      <c r="Q2404" s="17" t="n">
        <v>45937</v>
      </c>
      <c r="R2404" s="17" t="n">
        <v>45937</v>
      </c>
      <c r="S2404" s="19">
        <f>H2404*I2404</f>
        <v/>
      </c>
      <c r="T2404" s="19">
        <f>H2404*J2404</f>
        <v/>
      </c>
      <c r="U2404">
        <f>IF(AND(K2404=0,G2404&lt;=Assumptions!$C$6),1,0)</f>
        <v/>
      </c>
      <c r="V2404">
        <f>IF(U2404=1,IF(M2404&gt;0,IF(P2404&lt;=G2404+Assumptions!$C$7,1,0),0),0)</f>
        <v/>
      </c>
      <c r="W2404">
        <f>IF(AND(U2404=1,M2404&gt;=H2404*(1-Assumptions!$C$8)),1,0)</f>
        <v/>
      </c>
      <c r="X2404">
        <f>IF(AND(U2404=1,N2404&gt;=H2404*(1-Assumptions!$C$8)),1,0)</f>
        <v/>
      </c>
      <c r="Y2404">
        <f>IF(ISNUMBER(Q2404),1,0)</f>
        <v/>
      </c>
      <c r="Z2404">
        <f>IF(AND(K2404=0,L2404=0,Y2404=0),1,0)</f>
        <v/>
      </c>
      <c r="AA2404">
        <f>IF(AND(Z2404=1,G2404&lt;Assumptions!$C$6),1,0)</f>
        <v/>
      </c>
      <c r="AB2404">
        <f>IF(U2404=0,"",IF(Y2404=1,MAX(0,Q2404-G2404),IF(L2404=1,MAX(0,R2404-G2404),MAX(0,Assumptions!$C$6-G2404))))</f>
        <v/>
      </c>
      <c r="AC2404">
        <f>IF(Y2404=1,Q2404-F2404,"")</f>
        <v/>
      </c>
      <c r="AD2404">
        <f>IF(Y2404=1,AC2404^2,"")</f>
        <v/>
      </c>
      <c r="AE2404" s="19">
        <f>IF(Z2404=1,(H2404-M2404)*I2404,0)</f>
        <v/>
      </c>
      <c r="AF2404">
        <f>IF(G2404&lt;EDATE(Assumptions!$C$6,-12)+1,"prior_12m","last_12m")</f>
        <v/>
      </c>
      <c r="AG2404" s="21">
        <f>DATE(YEAR(G2404),MONTH(G2404),1)</f>
        <v/>
      </c>
    </row>
    <row r="2405">
      <c r="A2405" t="inlineStr">
        <is>
          <t>SPO-01302-1</t>
        </is>
      </c>
      <c r="B2405" t="inlineStr">
        <is>
          <t>SPO-01302</t>
        </is>
      </c>
      <c r="C2405" t="inlineStr">
        <is>
          <t>SUP-09</t>
        </is>
      </c>
      <c r="D2405" t="inlineStr">
        <is>
          <t>CHEM</t>
        </is>
      </c>
      <c r="E2405" t="inlineStr">
        <is>
          <t>CHEM-06</t>
        </is>
      </c>
      <c r="F2405" s="17" t="n">
        <v>45932</v>
      </c>
      <c r="G2405" s="17" t="n">
        <v>45946</v>
      </c>
      <c r="H2405" s="18" t="n">
        <v>4</v>
      </c>
      <c r="I2405" s="19" t="n">
        <v>402.43</v>
      </c>
      <c r="J2405" s="19" t="n">
        <v>380</v>
      </c>
      <c r="K2405" s="20" t="n">
        <v>0</v>
      </c>
      <c r="L2405" s="20" t="n">
        <v>0</v>
      </c>
      <c r="M2405" s="18" t="n">
        <v>4</v>
      </c>
      <c r="N2405" s="18" t="n">
        <v>4</v>
      </c>
      <c r="O2405" s="18" t="n">
        <v>0</v>
      </c>
      <c r="P2405" s="17" t="n">
        <v>45942</v>
      </c>
      <c r="Q2405" s="17" t="n">
        <v>45942</v>
      </c>
      <c r="R2405" s="17" t="n">
        <v>45942</v>
      </c>
      <c r="S2405" s="19">
        <f>H2405*I2405</f>
        <v/>
      </c>
      <c r="T2405" s="19">
        <f>H2405*J2405</f>
        <v/>
      </c>
      <c r="U2405">
        <f>IF(AND(K2405=0,G2405&lt;=Assumptions!$C$6),1,0)</f>
        <v/>
      </c>
      <c r="V2405">
        <f>IF(U2405=1,IF(M2405&gt;0,IF(P2405&lt;=G2405+Assumptions!$C$7,1,0),0),0)</f>
        <v/>
      </c>
      <c r="W2405">
        <f>IF(AND(U2405=1,M2405&gt;=H2405*(1-Assumptions!$C$8)),1,0)</f>
        <v/>
      </c>
      <c r="X2405">
        <f>IF(AND(U2405=1,N2405&gt;=H2405*(1-Assumptions!$C$8)),1,0)</f>
        <v/>
      </c>
      <c r="Y2405">
        <f>IF(ISNUMBER(Q2405),1,0)</f>
        <v/>
      </c>
      <c r="Z2405">
        <f>IF(AND(K2405=0,L2405=0,Y2405=0),1,0)</f>
        <v/>
      </c>
      <c r="AA2405">
        <f>IF(AND(Z2405=1,G2405&lt;Assumptions!$C$6),1,0)</f>
        <v/>
      </c>
      <c r="AB2405">
        <f>IF(U2405=0,"",IF(Y2405=1,MAX(0,Q2405-G2405),IF(L2405=1,MAX(0,R2405-G2405),MAX(0,Assumptions!$C$6-G2405))))</f>
        <v/>
      </c>
      <c r="AC2405">
        <f>IF(Y2405=1,Q2405-F2405,"")</f>
        <v/>
      </c>
      <c r="AD2405">
        <f>IF(Y2405=1,AC2405^2,"")</f>
        <v/>
      </c>
      <c r="AE2405" s="19">
        <f>IF(Z2405=1,(H2405-M2405)*I2405,0)</f>
        <v/>
      </c>
      <c r="AF2405">
        <f>IF(G2405&lt;EDATE(Assumptions!$C$6,-12)+1,"prior_12m","last_12m")</f>
        <v/>
      </c>
      <c r="AG2405" s="21">
        <f>DATE(YEAR(G2405),MONTH(G2405),1)</f>
        <v/>
      </c>
    </row>
    <row r="2406">
      <c r="A2406" t="inlineStr">
        <is>
          <t>SPO-01302-2</t>
        </is>
      </c>
      <c r="B2406" t="inlineStr">
        <is>
          <t>SPO-01302</t>
        </is>
      </c>
      <c r="C2406" t="inlineStr">
        <is>
          <t>SUP-09</t>
        </is>
      </c>
      <c r="D2406" t="inlineStr">
        <is>
          <t>CHEM</t>
        </is>
      </c>
      <c r="E2406" t="inlineStr">
        <is>
          <t>CHEM-02</t>
        </is>
      </c>
      <c r="F2406" s="17" t="n">
        <v>45932</v>
      </c>
      <c r="G2406" s="17" t="n">
        <v>45946</v>
      </c>
      <c r="H2406" s="18" t="n">
        <v>5</v>
      </c>
      <c r="I2406" s="19" t="n">
        <v>412.04</v>
      </c>
      <c r="J2406" s="19" t="n">
        <v>410</v>
      </c>
      <c r="K2406" s="20" t="n">
        <v>0</v>
      </c>
      <c r="L2406" s="20" t="n">
        <v>0</v>
      </c>
      <c r="M2406" s="18" t="n">
        <v>5</v>
      </c>
      <c r="N2406" s="18" t="n">
        <v>5</v>
      </c>
      <c r="O2406" s="18" t="n">
        <v>0</v>
      </c>
      <c r="P2406" s="17" t="n">
        <v>45943</v>
      </c>
      <c r="Q2406" s="17" t="n">
        <v>45943</v>
      </c>
      <c r="R2406" s="17" t="n">
        <v>45943</v>
      </c>
      <c r="S2406" s="19">
        <f>H2406*I2406</f>
        <v/>
      </c>
      <c r="T2406" s="19">
        <f>H2406*J2406</f>
        <v/>
      </c>
      <c r="U2406">
        <f>IF(AND(K2406=0,G2406&lt;=Assumptions!$C$6),1,0)</f>
        <v/>
      </c>
      <c r="V2406">
        <f>IF(U2406=1,IF(M2406&gt;0,IF(P2406&lt;=G2406+Assumptions!$C$7,1,0),0),0)</f>
        <v/>
      </c>
      <c r="W2406">
        <f>IF(AND(U2406=1,M2406&gt;=H2406*(1-Assumptions!$C$8)),1,0)</f>
        <v/>
      </c>
      <c r="X2406">
        <f>IF(AND(U2406=1,N2406&gt;=H2406*(1-Assumptions!$C$8)),1,0)</f>
        <v/>
      </c>
      <c r="Y2406">
        <f>IF(ISNUMBER(Q2406),1,0)</f>
        <v/>
      </c>
      <c r="Z2406">
        <f>IF(AND(K2406=0,L2406=0,Y2406=0),1,0)</f>
        <v/>
      </c>
      <c r="AA2406">
        <f>IF(AND(Z2406=1,G2406&lt;Assumptions!$C$6),1,0)</f>
        <v/>
      </c>
      <c r="AB2406">
        <f>IF(U2406=0,"",IF(Y2406=1,MAX(0,Q2406-G2406),IF(L2406=1,MAX(0,R2406-G2406),MAX(0,Assumptions!$C$6-G2406))))</f>
        <v/>
      </c>
      <c r="AC2406">
        <f>IF(Y2406=1,Q2406-F2406,"")</f>
        <v/>
      </c>
      <c r="AD2406">
        <f>IF(Y2406=1,AC2406^2,"")</f>
        <v/>
      </c>
      <c r="AE2406" s="19">
        <f>IF(Z2406=1,(H2406-M2406)*I2406,0)</f>
        <v/>
      </c>
      <c r="AF2406">
        <f>IF(G2406&lt;EDATE(Assumptions!$C$6,-12)+1,"prior_12m","last_12m")</f>
        <v/>
      </c>
      <c r="AG2406" s="21">
        <f>DATE(YEAR(G2406),MONTH(G2406),1)</f>
        <v/>
      </c>
    </row>
    <row r="2407">
      <c r="A2407" t="inlineStr">
        <is>
          <t>SPO-01303-1</t>
        </is>
      </c>
      <c r="B2407" t="inlineStr">
        <is>
          <t>SPO-01303</t>
        </is>
      </c>
      <c r="C2407" t="inlineStr">
        <is>
          <t>SUP-07</t>
        </is>
      </c>
      <c r="D2407" t="inlineStr">
        <is>
          <t>MRO</t>
        </is>
      </c>
      <c r="E2407" t="inlineStr">
        <is>
          <t>MRO-01</t>
        </is>
      </c>
      <c r="F2407" s="17" t="n">
        <v>45932</v>
      </c>
      <c r="G2407" s="17" t="n">
        <v>45942</v>
      </c>
      <c r="H2407" s="18" t="n">
        <v>47</v>
      </c>
      <c r="I2407" s="19" t="n">
        <v>51.11</v>
      </c>
      <c r="J2407" s="19" t="n">
        <v>52</v>
      </c>
      <c r="K2407" s="20" t="n">
        <v>0</v>
      </c>
      <c r="L2407" s="20" t="n">
        <v>0</v>
      </c>
      <c r="M2407" s="18" t="n">
        <v>47</v>
      </c>
      <c r="N2407" s="18" t="n">
        <v>47</v>
      </c>
      <c r="O2407" s="18" t="n">
        <v>0</v>
      </c>
      <c r="P2407" s="17" t="n">
        <v>45942</v>
      </c>
      <c r="Q2407" s="17" t="n">
        <v>45942</v>
      </c>
      <c r="R2407" s="17" t="n">
        <v>45942</v>
      </c>
      <c r="S2407" s="19">
        <f>H2407*I2407</f>
        <v/>
      </c>
      <c r="T2407" s="19">
        <f>H2407*J2407</f>
        <v/>
      </c>
      <c r="U2407">
        <f>IF(AND(K2407=0,G2407&lt;=Assumptions!$C$6),1,0)</f>
        <v/>
      </c>
      <c r="V2407">
        <f>IF(U2407=1,IF(M2407&gt;0,IF(P2407&lt;=G2407+Assumptions!$C$7,1,0),0),0)</f>
        <v/>
      </c>
      <c r="W2407">
        <f>IF(AND(U2407=1,M2407&gt;=H2407*(1-Assumptions!$C$8)),1,0)</f>
        <v/>
      </c>
      <c r="X2407">
        <f>IF(AND(U2407=1,N2407&gt;=H2407*(1-Assumptions!$C$8)),1,0)</f>
        <v/>
      </c>
      <c r="Y2407">
        <f>IF(ISNUMBER(Q2407),1,0)</f>
        <v/>
      </c>
      <c r="Z2407">
        <f>IF(AND(K2407=0,L2407=0,Y2407=0),1,0)</f>
        <v/>
      </c>
      <c r="AA2407">
        <f>IF(AND(Z2407=1,G2407&lt;Assumptions!$C$6),1,0)</f>
        <v/>
      </c>
      <c r="AB2407">
        <f>IF(U2407=0,"",IF(Y2407=1,MAX(0,Q2407-G2407),IF(L2407=1,MAX(0,R2407-G2407),MAX(0,Assumptions!$C$6-G2407))))</f>
        <v/>
      </c>
      <c r="AC2407">
        <f>IF(Y2407=1,Q2407-F2407,"")</f>
        <v/>
      </c>
      <c r="AD2407">
        <f>IF(Y2407=1,AC2407^2,"")</f>
        <v/>
      </c>
      <c r="AE2407" s="19">
        <f>IF(Z2407=1,(H2407-M2407)*I2407,0)</f>
        <v/>
      </c>
      <c r="AF2407">
        <f>IF(G2407&lt;EDATE(Assumptions!$C$6,-12)+1,"prior_12m","last_12m")</f>
        <v/>
      </c>
      <c r="AG2407" s="21">
        <f>DATE(YEAR(G2407),MONTH(G2407),1)</f>
        <v/>
      </c>
    </row>
    <row r="2408">
      <c r="A2408" t="inlineStr">
        <is>
          <t>SPO-01304-1</t>
        </is>
      </c>
      <c r="B2408" t="inlineStr">
        <is>
          <t>SPO-01304</t>
        </is>
      </c>
      <c r="C2408" t="inlineStr">
        <is>
          <t>SUP-09</t>
        </is>
      </c>
      <c r="D2408" t="inlineStr">
        <is>
          <t>CHEM</t>
        </is>
      </c>
      <c r="E2408" t="inlineStr">
        <is>
          <t>CHEM-03</t>
        </is>
      </c>
      <c r="F2408" s="17" t="n">
        <v>45932</v>
      </c>
      <c r="G2408" s="17" t="n">
        <v>45946</v>
      </c>
      <c r="H2408" s="18" t="n">
        <v>11</v>
      </c>
      <c r="I2408" s="19" t="n">
        <v>284.57</v>
      </c>
      <c r="J2408" s="19" t="n">
        <v>265</v>
      </c>
      <c r="K2408" s="20" t="n">
        <v>0</v>
      </c>
      <c r="L2408" s="20" t="n">
        <v>0</v>
      </c>
      <c r="M2408" s="18" t="n">
        <v>11</v>
      </c>
      <c r="N2408" s="18" t="n">
        <v>11</v>
      </c>
      <c r="O2408" s="18" t="n">
        <v>0</v>
      </c>
      <c r="P2408" s="17" t="n">
        <v>45944</v>
      </c>
      <c r="Q2408" s="17" t="n">
        <v>45944</v>
      </c>
      <c r="R2408" s="17" t="n">
        <v>45944</v>
      </c>
      <c r="S2408" s="19">
        <f>H2408*I2408</f>
        <v/>
      </c>
      <c r="T2408" s="19">
        <f>H2408*J2408</f>
        <v/>
      </c>
      <c r="U2408">
        <f>IF(AND(K2408=0,G2408&lt;=Assumptions!$C$6),1,0)</f>
        <v/>
      </c>
      <c r="V2408">
        <f>IF(U2408=1,IF(M2408&gt;0,IF(P2408&lt;=G2408+Assumptions!$C$7,1,0),0),0)</f>
        <v/>
      </c>
      <c r="W2408">
        <f>IF(AND(U2408=1,M2408&gt;=H2408*(1-Assumptions!$C$8)),1,0)</f>
        <v/>
      </c>
      <c r="X2408">
        <f>IF(AND(U2408=1,N2408&gt;=H2408*(1-Assumptions!$C$8)),1,0)</f>
        <v/>
      </c>
      <c r="Y2408">
        <f>IF(ISNUMBER(Q2408),1,0)</f>
        <v/>
      </c>
      <c r="Z2408">
        <f>IF(AND(K2408=0,L2408=0,Y2408=0),1,0)</f>
        <v/>
      </c>
      <c r="AA2408">
        <f>IF(AND(Z2408=1,G2408&lt;Assumptions!$C$6),1,0)</f>
        <v/>
      </c>
      <c r="AB2408">
        <f>IF(U2408=0,"",IF(Y2408=1,MAX(0,Q2408-G2408),IF(L2408=1,MAX(0,R2408-G2408),MAX(0,Assumptions!$C$6-G2408))))</f>
        <v/>
      </c>
      <c r="AC2408">
        <f>IF(Y2408=1,Q2408-F2408,"")</f>
        <v/>
      </c>
      <c r="AD2408">
        <f>IF(Y2408=1,AC2408^2,"")</f>
        <v/>
      </c>
      <c r="AE2408" s="19">
        <f>IF(Z2408=1,(H2408-M2408)*I2408,0)</f>
        <v/>
      </c>
      <c r="AF2408">
        <f>IF(G2408&lt;EDATE(Assumptions!$C$6,-12)+1,"prior_12m","last_12m")</f>
        <v/>
      </c>
      <c r="AG2408" s="21">
        <f>DATE(YEAR(G2408),MONTH(G2408),1)</f>
        <v/>
      </c>
    </row>
    <row r="2409">
      <c r="A2409" t="inlineStr">
        <is>
          <t>SPO-01304-2</t>
        </is>
      </c>
      <c r="B2409" t="inlineStr">
        <is>
          <t>SPO-01304</t>
        </is>
      </c>
      <c r="C2409" t="inlineStr">
        <is>
          <t>SUP-09</t>
        </is>
      </c>
      <c r="D2409" t="inlineStr">
        <is>
          <t>CHEM</t>
        </is>
      </c>
      <c r="E2409" t="inlineStr">
        <is>
          <t>CHEM-01</t>
        </is>
      </c>
      <c r="F2409" s="17" t="n">
        <v>45932</v>
      </c>
      <c r="G2409" s="17" t="n">
        <v>45946</v>
      </c>
      <c r="H2409" s="18" t="n">
        <v>5</v>
      </c>
      <c r="I2409" s="19" t="n">
        <v>694.73</v>
      </c>
      <c r="J2409" s="19" t="n">
        <v>640</v>
      </c>
      <c r="K2409" s="20" t="n">
        <v>0</v>
      </c>
      <c r="L2409" s="20" t="n">
        <v>0</v>
      </c>
      <c r="M2409" s="18" t="n">
        <v>5</v>
      </c>
      <c r="N2409" s="18" t="n">
        <v>5</v>
      </c>
      <c r="O2409" s="18" t="n">
        <v>0</v>
      </c>
      <c r="P2409" s="17" t="n">
        <v>45942</v>
      </c>
      <c r="Q2409" s="17" t="n">
        <v>45942</v>
      </c>
      <c r="R2409" s="17" t="n">
        <v>45942</v>
      </c>
      <c r="S2409" s="19">
        <f>H2409*I2409</f>
        <v/>
      </c>
      <c r="T2409" s="19">
        <f>H2409*J2409</f>
        <v/>
      </c>
      <c r="U2409">
        <f>IF(AND(K2409=0,G2409&lt;=Assumptions!$C$6),1,0)</f>
        <v/>
      </c>
      <c r="V2409">
        <f>IF(U2409=1,IF(M2409&gt;0,IF(P2409&lt;=G2409+Assumptions!$C$7,1,0),0),0)</f>
        <v/>
      </c>
      <c r="W2409">
        <f>IF(AND(U2409=1,M2409&gt;=H2409*(1-Assumptions!$C$8)),1,0)</f>
        <v/>
      </c>
      <c r="X2409">
        <f>IF(AND(U2409=1,N2409&gt;=H2409*(1-Assumptions!$C$8)),1,0)</f>
        <v/>
      </c>
      <c r="Y2409">
        <f>IF(ISNUMBER(Q2409),1,0)</f>
        <v/>
      </c>
      <c r="Z2409">
        <f>IF(AND(K2409=0,L2409=0,Y2409=0),1,0)</f>
        <v/>
      </c>
      <c r="AA2409">
        <f>IF(AND(Z2409=1,G2409&lt;Assumptions!$C$6),1,0)</f>
        <v/>
      </c>
      <c r="AB2409">
        <f>IF(U2409=0,"",IF(Y2409=1,MAX(0,Q2409-G2409),IF(L2409=1,MAX(0,R2409-G2409),MAX(0,Assumptions!$C$6-G2409))))</f>
        <v/>
      </c>
      <c r="AC2409">
        <f>IF(Y2409=1,Q2409-F2409,"")</f>
        <v/>
      </c>
      <c r="AD2409">
        <f>IF(Y2409=1,AC2409^2,"")</f>
        <v/>
      </c>
      <c r="AE2409" s="19">
        <f>IF(Z2409=1,(H2409-M2409)*I2409,0)</f>
        <v/>
      </c>
      <c r="AF2409">
        <f>IF(G2409&lt;EDATE(Assumptions!$C$6,-12)+1,"prior_12m","last_12m")</f>
        <v/>
      </c>
      <c r="AG2409" s="21">
        <f>DATE(YEAR(G2409),MONTH(G2409),1)</f>
        <v/>
      </c>
    </row>
    <row r="2410">
      <c r="A2410" t="inlineStr">
        <is>
          <t>SPO-01304-3</t>
        </is>
      </c>
      <c r="B2410" t="inlineStr">
        <is>
          <t>SPO-01304</t>
        </is>
      </c>
      <c r="C2410" t="inlineStr">
        <is>
          <t>SUP-09</t>
        </is>
      </c>
      <c r="D2410" t="inlineStr">
        <is>
          <t>CHEM</t>
        </is>
      </c>
      <c r="E2410" t="inlineStr">
        <is>
          <t>CHEM-02</t>
        </is>
      </c>
      <c r="F2410" s="17" t="n">
        <v>45932</v>
      </c>
      <c r="G2410" s="17" t="n">
        <v>45946</v>
      </c>
      <c r="H2410" s="18" t="n">
        <v>4</v>
      </c>
      <c r="I2410" s="19" t="n">
        <v>404.18</v>
      </c>
      <c r="J2410" s="19" t="n">
        <v>410</v>
      </c>
      <c r="K2410" s="20" t="n">
        <v>0</v>
      </c>
      <c r="L2410" s="20" t="n">
        <v>0</v>
      </c>
      <c r="M2410" s="18" t="n">
        <v>4</v>
      </c>
      <c r="N2410" s="18" t="n">
        <v>4</v>
      </c>
      <c r="O2410" s="18" t="n">
        <v>0</v>
      </c>
      <c r="P2410" s="17" t="n">
        <v>45943</v>
      </c>
      <c r="Q2410" s="17" t="n">
        <v>45943</v>
      </c>
      <c r="R2410" s="17" t="n">
        <v>45943</v>
      </c>
      <c r="S2410" s="19">
        <f>H2410*I2410</f>
        <v/>
      </c>
      <c r="T2410" s="19">
        <f>H2410*J2410</f>
        <v/>
      </c>
      <c r="U2410">
        <f>IF(AND(K2410=0,G2410&lt;=Assumptions!$C$6),1,0)</f>
        <v/>
      </c>
      <c r="V2410">
        <f>IF(U2410=1,IF(M2410&gt;0,IF(P2410&lt;=G2410+Assumptions!$C$7,1,0),0),0)</f>
        <v/>
      </c>
      <c r="W2410">
        <f>IF(AND(U2410=1,M2410&gt;=H2410*(1-Assumptions!$C$8)),1,0)</f>
        <v/>
      </c>
      <c r="X2410">
        <f>IF(AND(U2410=1,N2410&gt;=H2410*(1-Assumptions!$C$8)),1,0)</f>
        <v/>
      </c>
      <c r="Y2410">
        <f>IF(ISNUMBER(Q2410),1,0)</f>
        <v/>
      </c>
      <c r="Z2410">
        <f>IF(AND(K2410=0,L2410=0,Y2410=0),1,0)</f>
        <v/>
      </c>
      <c r="AA2410">
        <f>IF(AND(Z2410=1,G2410&lt;Assumptions!$C$6),1,0)</f>
        <v/>
      </c>
      <c r="AB2410">
        <f>IF(U2410=0,"",IF(Y2410=1,MAX(0,Q2410-G2410),IF(L2410=1,MAX(0,R2410-G2410),MAX(0,Assumptions!$C$6-G2410))))</f>
        <v/>
      </c>
      <c r="AC2410">
        <f>IF(Y2410=1,Q2410-F2410,"")</f>
        <v/>
      </c>
      <c r="AD2410">
        <f>IF(Y2410=1,AC2410^2,"")</f>
        <v/>
      </c>
      <c r="AE2410" s="19">
        <f>IF(Z2410=1,(H2410-M2410)*I2410,0)</f>
        <v/>
      </c>
      <c r="AF2410">
        <f>IF(G2410&lt;EDATE(Assumptions!$C$6,-12)+1,"prior_12m","last_12m")</f>
        <v/>
      </c>
      <c r="AG2410" s="21">
        <f>DATE(YEAR(G2410),MONTH(G2410),1)</f>
        <v/>
      </c>
    </row>
    <row r="2411">
      <c r="A2411" t="inlineStr">
        <is>
          <t>SPO-01304-4</t>
        </is>
      </c>
      <c r="B2411" t="inlineStr">
        <is>
          <t>SPO-01304</t>
        </is>
      </c>
      <c r="C2411" t="inlineStr">
        <is>
          <t>SUP-09</t>
        </is>
      </c>
      <c r="D2411" t="inlineStr">
        <is>
          <t>CHEM</t>
        </is>
      </c>
      <c r="E2411" t="inlineStr">
        <is>
          <t>CHEM-04</t>
        </is>
      </c>
      <c r="F2411" s="17" t="n">
        <v>45932</v>
      </c>
      <c r="G2411" s="17" t="n">
        <v>45946</v>
      </c>
      <c r="H2411" s="18" t="n">
        <v>1</v>
      </c>
      <c r="I2411" s="19" t="n">
        <v>892</v>
      </c>
      <c r="J2411" s="19" t="n">
        <v>820</v>
      </c>
      <c r="K2411" s="20" t="n">
        <v>0</v>
      </c>
      <c r="L2411" s="20" t="n">
        <v>0</v>
      </c>
      <c r="M2411" s="18" t="n">
        <v>1</v>
      </c>
      <c r="N2411" s="18" t="n">
        <v>1</v>
      </c>
      <c r="O2411" s="18" t="n">
        <v>0</v>
      </c>
      <c r="P2411" s="17" t="n">
        <v>45943</v>
      </c>
      <c r="Q2411" s="17" t="n">
        <v>45943</v>
      </c>
      <c r="R2411" s="17" t="n">
        <v>45943</v>
      </c>
      <c r="S2411" s="19">
        <f>H2411*I2411</f>
        <v/>
      </c>
      <c r="T2411" s="19">
        <f>H2411*J2411</f>
        <v/>
      </c>
      <c r="U2411">
        <f>IF(AND(K2411=0,G2411&lt;=Assumptions!$C$6),1,0)</f>
        <v/>
      </c>
      <c r="V2411">
        <f>IF(U2411=1,IF(M2411&gt;0,IF(P2411&lt;=G2411+Assumptions!$C$7,1,0),0),0)</f>
        <v/>
      </c>
      <c r="W2411">
        <f>IF(AND(U2411=1,M2411&gt;=H2411*(1-Assumptions!$C$8)),1,0)</f>
        <v/>
      </c>
      <c r="X2411">
        <f>IF(AND(U2411=1,N2411&gt;=H2411*(1-Assumptions!$C$8)),1,0)</f>
        <v/>
      </c>
      <c r="Y2411">
        <f>IF(ISNUMBER(Q2411),1,0)</f>
        <v/>
      </c>
      <c r="Z2411">
        <f>IF(AND(K2411=0,L2411=0,Y2411=0),1,0)</f>
        <v/>
      </c>
      <c r="AA2411">
        <f>IF(AND(Z2411=1,G2411&lt;Assumptions!$C$6),1,0)</f>
        <v/>
      </c>
      <c r="AB2411">
        <f>IF(U2411=0,"",IF(Y2411=1,MAX(0,Q2411-G2411),IF(L2411=1,MAX(0,R2411-G2411),MAX(0,Assumptions!$C$6-G2411))))</f>
        <v/>
      </c>
      <c r="AC2411">
        <f>IF(Y2411=1,Q2411-F2411,"")</f>
        <v/>
      </c>
      <c r="AD2411">
        <f>IF(Y2411=1,AC2411^2,"")</f>
        <v/>
      </c>
      <c r="AE2411" s="19">
        <f>IF(Z2411=1,(H2411-M2411)*I2411,0)</f>
        <v/>
      </c>
      <c r="AF2411">
        <f>IF(G2411&lt;EDATE(Assumptions!$C$6,-12)+1,"prior_12m","last_12m")</f>
        <v/>
      </c>
      <c r="AG2411" s="21">
        <f>DATE(YEAR(G2411),MONTH(G2411),1)</f>
        <v/>
      </c>
    </row>
    <row r="2412">
      <c r="A2412" t="inlineStr">
        <is>
          <t>SPO-01305-1</t>
        </is>
      </c>
      <c r="B2412" t="inlineStr">
        <is>
          <t>SPO-01305</t>
        </is>
      </c>
      <c r="C2412" t="inlineStr">
        <is>
          <t>SUP-11</t>
        </is>
      </c>
      <c r="D2412" t="inlineStr">
        <is>
          <t>PPE</t>
        </is>
      </c>
      <c r="E2412" t="inlineStr">
        <is>
          <t>PPE-03</t>
        </is>
      </c>
      <c r="F2412" s="17" t="n">
        <v>45932</v>
      </c>
      <c r="G2412" s="17" t="n">
        <v>45944</v>
      </c>
      <c r="H2412" s="18" t="n">
        <v>143</v>
      </c>
      <c r="I2412" s="19" t="n">
        <v>20.33</v>
      </c>
      <c r="J2412" s="19" t="n">
        <v>21</v>
      </c>
      <c r="K2412" s="20" t="n">
        <v>0</v>
      </c>
      <c r="L2412" s="20" t="n">
        <v>0</v>
      </c>
      <c r="M2412" s="18" t="n">
        <v>143</v>
      </c>
      <c r="N2412" s="18" t="n">
        <v>143</v>
      </c>
      <c r="O2412" s="18" t="n">
        <v>0</v>
      </c>
      <c r="P2412" s="17" t="n">
        <v>45942</v>
      </c>
      <c r="Q2412" s="17" t="n">
        <v>45942</v>
      </c>
      <c r="R2412" s="17" t="n">
        <v>45942</v>
      </c>
      <c r="S2412" s="19">
        <f>H2412*I2412</f>
        <v/>
      </c>
      <c r="T2412" s="19">
        <f>H2412*J2412</f>
        <v/>
      </c>
      <c r="U2412">
        <f>IF(AND(K2412=0,G2412&lt;=Assumptions!$C$6),1,0)</f>
        <v/>
      </c>
      <c r="V2412">
        <f>IF(U2412=1,IF(M2412&gt;0,IF(P2412&lt;=G2412+Assumptions!$C$7,1,0),0),0)</f>
        <v/>
      </c>
      <c r="W2412">
        <f>IF(AND(U2412=1,M2412&gt;=H2412*(1-Assumptions!$C$8)),1,0)</f>
        <v/>
      </c>
      <c r="X2412">
        <f>IF(AND(U2412=1,N2412&gt;=H2412*(1-Assumptions!$C$8)),1,0)</f>
        <v/>
      </c>
      <c r="Y2412">
        <f>IF(ISNUMBER(Q2412),1,0)</f>
        <v/>
      </c>
      <c r="Z2412">
        <f>IF(AND(K2412=0,L2412=0,Y2412=0),1,0)</f>
        <v/>
      </c>
      <c r="AA2412">
        <f>IF(AND(Z2412=1,G2412&lt;Assumptions!$C$6),1,0)</f>
        <v/>
      </c>
      <c r="AB2412">
        <f>IF(U2412=0,"",IF(Y2412=1,MAX(0,Q2412-G2412),IF(L2412=1,MAX(0,R2412-G2412),MAX(0,Assumptions!$C$6-G2412))))</f>
        <v/>
      </c>
      <c r="AC2412">
        <f>IF(Y2412=1,Q2412-F2412,"")</f>
        <v/>
      </c>
      <c r="AD2412">
        <f>IF(Y2412=1,AC2412^2,"")</f>
        <v/>
      </c>
      <c r="AE2412" s="19">
        <f>IF(Z2412=1,(H2412-M2412)*I2412,0)</f>
        <v/>
      </c>
      <c r="AF2412">
        <f>IF(G2412&lt;EDATE(Assumptions!$C$6,-12)+1,"prior_12m","last_12m")</f>
        <v/>
      </c>
      <c r="AG2412" s="21">
        <f>DATE(YEAR(G2412),MONTH(G2412),1)</f>
        <v/>
      </c>
    </row>
    <row r="2413">
      <c r="A2413" t="inlineStr">
        <is>
          <t>SPO-01305-2</t>
        </is>
      </c>
      <c r="B2413" t="inlineStr">
        <is>
          <t>SPO-01305</t>
        </is>
      </c>
      <c r="C2413" t="inlineStr">
        <is>
          <t>SUP-11</t>
        </is>
      </c>
      <c r="D2413" t="inlineStr">
        <is>
          <t>PPE</t>
        </is>
      </c>
      <c r="E2413" t="inlineStr">
        <is>
          <t>PPE-01</t>
        </is>
      </c>
      <c r="F2413" s="17" t="n">
        <v>45932</v>
      </c>
      <c r="G2413" s="17" t="n">
        <v>45944</v>
      </c>
      <c r="H2413" s="18" t="n">
        <v>634</v>
      </c>
      <c r="I2413" s="19" t="n">
        <v>4.57</v>
      </c>
      <c r="J2413" s="19" t="n">
        <v>4.8</v>
      </c>
      <c r="K2413" s="20" t="n">
        <v>0</v>
      </c>
      <c r="L2413" s="20" t="n">
        <v>0</v>
      </c>
      <c r="M2413" s="18" t="n">
        <v>634</v>
      </c>
      <c r="N2413" s="18" t="n">
        <v>634</v>
      </c>
      <c r="O2413" s="18" t="n">
        <v>0</v>
      </c>
      <c r="P2413" s="17" t="n">
        <v>45942</v>
      </c>
      <c r="Q2413" s="17" t="n">
        <v>45942</v>
      </c>
      <c r="R2413" s="17" t="n">
        <v>45942</v>
      </c>
      <c r="S2413" s="19">
        <f>H2413*I2413</f>
        <v/>
      </c>
      <c r="T2413" s="19">
        <f>H2413*J2413</f>
        <v/>
      </c>
      <c r="U2413">
        <f>IF(AND(K2413=0,G2413&lt;=Assumptions!$C$6),1,0)</f>
        <v/>
      </c>
      <c r="V2413">
        <f>IF(U2413=1,IF(M2413&gt;0,IF(P2413&lt;=G2413+Assumptions!$C$7,1,0),0),0)</f>
        <v/>
      </c>
      <c r="W2413">
        <f>IF(AND(U2413=1,M2413&gt;=H2413*(1-Assumptions!$C$8)),1,0)</f>
        <v/>
      </c>
      <c r="X2413">
        <f>IF(AND(U2413=1,N2413&gt;=H2413*(1-Assumptions!$C$8)),1,0)</f>
        <v/>
      </c>
      <c r="Y2413">
        <f>IF(ISNUMBER(Q2413),1,0)</f>
        <v/>
      </c>
      <c r="Z2413">
        <f>IF(AND(K2413=0,L2413=0,Y2413=0),1,0)</f>
        <v/>
      </c>
      <c r="AA2413">
        <f>IF(AND(Z2413=1,G2413&lt;Assumptions!$C$6),1,0)</f>
        <v/>
      </c>
      <c r="AB2413">
        <f>IF(U2413=0,"",IF(Y2413=1,MAX(0,Q2413-G2413),IF(L2413=1,MAX(0,R2413-G2413),MAX(0,Assumptions!$C$6-G2413))))</f>
        <v/>
      </c>
      <c r="AC2413">
        <f>IF(Y2413=1,Q2413-F2413,"")</f>
        <v/>
      </c>
      <c r="AD2413">
        <f>IF(Y2413=1,AC2413^2,"")</f>
        <v/>
      </c>
      <c r="AE2413" s="19">
        <f>IF(Z2413=1,(H2413-M2413)*I2413,0)</f>
        <v/>
      </c>
      <c r="AF2413">
        <f>IF(G2413&lt;EDATE(Assumptions!$C$6,-12)+1,"prior_12m","last_12m")</f>
        <v/>
      </c>
      <c r="AG2413" s="21">
        <f>DATE(YEAR(G2413),MONTH(G2413),1)</f>
        <v/>
      </c>
    </row>
    <row r="2414">
      <c r="A2414" t="inlineStr">
        <is>
          <t>SPO-01305-3</t>
        </is>
      </c>
      <c r="B2414" t="inlineStr">
        <is>
          <t>SPO-01305</t>
        </is>
      </c>
      <c r="C2414" t="inlineStr">
        <is>
          <t>SUP-11</t>
        </is>
      </c>
      <c r="D2414" t="inlineStr">
        <is>
          <t>PPE</t>
        </is>
      </c>
      <c r="E2414" t="inlineStr">
        <is>
          <t>PPE-06</t>
        </is>
      </c>
      <c r="F2414" s="17" t="n">
        <v>45932</v>
      </c>
      <c r="G2414" s="17" t="n">
        <v>45944</v>
      </c>
      <c r="H2414" s="18" t="n">
        <v>25</v>
      </c>
      <c r="I2414" s="19" t="n">
        <v>119.97</v>
      </c>
      <c r="J2414" s="19" t="n">
        <v>115</v>
      </c>
      <c r="K2414" s="20" t="n">
        <v>0</v>
      </c>
      <c r="L2414" s="20" t="n">
        <v>0</v>
      </c>
      <c r="M2414" s="18" t="n">
        <v>25</v>
      </c>
      <c r="N2414" s="18" t="n">
        <v>25</v>
      </c>
      <c r="O2414" s="18" t="n">
        <v>0</v>
      </c>
      <c r="P2414" s="17" t="n">
        <v>45940</v>
      </c>
      <c r="Q2414" s="17" t="n">
        <v>45940</v>
      </c>
      <c r="R2414" s="17" t="n">
        <v>45940</v>
      </c>
      <c r="S2414" s="19">
        <f>H2414*I2414</f>
        <v/>
      </c>
      <c r="T2414" s="19">
        <f>H2414*J2414</f>
        <v/>
      </c>
      <c r="U2414">
        <f>IF(AND(K2414=0,G2414&lt;=Assumptions!$C$6),1,0)</f>
        <v/>
      </c>
      <c r="V2414">
        <f>IF(U2414=1,IF(M2414&gt;0,IF(P2414&lt;=G2414+Assumptions!$C$7,1,0),0),0)</f>
        <v/>
      </c>
      <c r="W2414">
        <f>IF(AND(U2414=1,M2414&gt;=H2414*(1-Assumptions!$C$8)),1,0)</f>
        <v/>
      </c>
      <c r="X2414">
        <f>IF(AND(U2414=1,N2414&gt;=H2414*(1-Assumptions!$C$8)),1,0)</f>
        <v/>
      </c>
      <c r="Y2414">
        <f>IF(ISNUMBER(Q2414),1,0)</f>
        <v/>
      </c>
      <c r="Z2414">
        <f>IF(AND(K2414=0,L2414=0,Y2414=0),1,0)</f>
        <v/>
      </c>
      <c r="AA2414">
        <f>IF(AND(Z2414=1,G2414&lt;Assumptions!$C$6),1,0)</f>
        <v/>
      </c>
      <c r="AB2414">
        <f>IF(U2414=0,"",IF(Y2414=1,MAX(0,Q2414-G2414),IF(L2414=1,MAX(0,R2414-G2414),MAX(0,Assumptions!$C$6-G2414))))</f>
        <v/>
      </c>
      <c r="AC2414">
        <f>IF(Y2414=1,Q2414-F2414,"")</f>
        <v/>
      </c>
      <c r="AD2414">
        <f>IF(Y2414=1,AC2414^2,"")</f>
        <v/>
      </c>
      <c r="AE2414" s="19">
        <f>IF(Z2414=1,(H2414-M2414)*I2414,0)</f>
        <v/>
      </c>
      <c r="AF2414">
        <f>IF(G2414&lt;EDATE(Assumptions!$C$6,-12)+1,"prior_12m","last_12m")</f>
        <v/>
      </c>
      <c r="AG2414" s="21">
        <f>DATE(YEAR(G2414),MONTH(G2414),1)</f>
        <v/>
      </c>
    </row>
    <row r="2415">
      <c r="A2415" t="inlineStr">
        <is>
          <t>SPO-01306-1</t>
        </is>
      </c>
      <c r="B2415" t="inlineStr">
        <is>
          <t>SPO-01306</t>
        </is>
      </c>
      <c r="C2415" t="inlineStr">
        <is>
          <t>SUP-04</t>
        </is>
      </c>
      <c r="D2415" t="inlineStr">
        <is>
          <t>FLEET</t>
        </is>
      </c>
      <c r="E2415" t="inlineStr">
        <is>
          <t>FLEET-03</t>
        </is>
      </c>
      <c r="F2415" s="17" t="n">
        <v>45933</v>
      </c>
      <c r="G2415" s="17" t="n">
        <v>45946</v>
      </c>
      <c r="H2415" s="18" t="n">
        <v>27</v>
      </c>
      <c r="I2415" s="19" t="n">
        <v>20.71</v>
      </c>
      <c r="J2415" s="19" t="n">
        <v>21</v>
      </c>
      <c r="K2415" s="20" t="n">
        <v>0</v>
      </c>
      <c r="L2415" s="20" t="n">
        <v>0</v>
      </c>
      <c r="M2415" s="18" t="n">
        <v>27</v>
      </c>
      <c r="N2415" s="18" t="n">
        <v>27</v>
      </c>
      <c r="O2415" s="18" t="n">
        <v>0</v>
      </c>
      <c r="P2415" s="17" t="n">
        <v>45934</v>
      </c>
      <c r="Q2415" s="17" t="n">
        <v>45934</v>
      </c>
      <c r="R2415" s="17" t="n">
        <v>45934</v>
      </c>
      <c r="S2415" s="19">
        <f>H2415*I2415</f>
        <v/>
      </c>
      <c r="T2415" s="19">
        <f>H2415*J2415</f>
        <v/>
      </c>
      <c r="U2415">
        <f>IF(AND(K2415=0,G2415&lt;=Assumptions!$C$6),1,0)</f>
        <v/>
      </c>
      <c r="V2415">
        <f>IF(U2415=1,IF(M2415&gt;0,IF(P2415&lt;=G2415+Assumptions!$C$7,1,0),0),0)</f>
        <v/>
      </c>
      <c r="W2415">
        <f>IF(AND(U2415=1,M2415&gt;=H2415*(1-Assumptions!$C$8)),1,0)</f>
        <v/>
      </c>
      <c r="X2415">
        <f>IF(AND(U2415=1,N2415&gt;=H2415*(1-Assumptions!$C$8)),1,0)</f>
        <v/>
      </c>
      <c r="Y2415">
        <f>IF(ISNUMBER(Q2415),1,0)</f>
        <v/>
      </c>
      <c r="Z2415">
        <f>IF(AND(K2415=0,L2415=0,Y2415=0),1,0)</f>
        <v/>
      </c>
      <c r="AA2415">
        <f>IF(AND(Z2415=1,G2415&lt;Assumptions!$C$6),1,0)</f>
        <v/>
      </c>
      <c r="AB2415">
        <f>IF(U2415=0,"",IF(Y2415=1,MAX(0,Q2415-G2415),IF(L2415=1,MAX(0,R2415-G2415),MAX(0,Assumptions!$C$6-G2415))))</f>
        <v/>
      </c>
      <c r="AC2415">
        <f>IF(Y2415=1,Q2415-F2415,"")</f>
        <v/>
      </c>
      <c r="AD2415">
        <f>IF(Y2415=1,AC2415^2,"")</f>
        <v/>
      </c>
      <c r="AE2415" s="19">
        <f>IF(Z2415=1,(H2415-M2415)*I2415,0)</f>
        <v/>
      </c>
      <c r="AF2415">
        <f>IF(G2415&lt;EDATE(Assumptions!$C$6,-12)+1,"prior_12m","last_12m")</f>
        <v/>
      </c>
      <c r="AG2415" s="21">
        <f>DATE(YEAR(G2415),MONTH(G2415),1)</f>
        <v/>
      </c>
    </row>
    <row r="2416">
      <c r="A2416" t="inlineStr">
        <is>
          <t>SPO-01306-2</t>
        </is>
      </c>
      <c r="B2416" t="inlineStr">
        <is>
          <t>SPO-01306</t>
        </is>
      </c>
      <c r="C2416" t="inlineStr">
        <is>
          <t>SUP-04</t>
        </is>
      </c>
      <c r="D2416" t="inlineStr">
        <is>
          <t>FLEET</t>
        </is>
      </c>
      <c r="E2416" t="inlineStr">
        <is>
          <t>FLEET-01</t>
        </is>
      </c>
      <c r="F2416" s="17" t="n">
        <v>45933</v>
      </c>
      <c r="G2416" s="17" t="n">
        <v>45946</v>
      </c>
      <c r="H2416" s="18" t="n">
        <v>27</v>
      </c>
      <c r="I2416" s="19" t="n">
        <v>62.59</v>
      </c>
      <c r="J2416" s="19" t="n">
        <v>64</v>
      </c>
      <c r="K2416" s="20" t="n">
        <v>0</v>
      </c>
      <c r="L2416" s="20" t="n">
        <v>0</v>
      </c>
      <c r="M2416" s="18" t="n">
        <v>27</v>
      </c>
      <c r="N2416" s="18" t="n">
        <v>0</v>
      </c>
      <c r="O2416" s="18" t="n">
        <v>0</v>
      </c>
      <c r="P2416" s="17" t="n">
        <v>45954</v>
      </c>
      <c r="Q2416" s="17" t="n">
        <v>45954</v>
      </c>
      <c r="R2416" s="17" t="n">
        <v>45954</v>
      </c>
      <c r="S2416" s="19">
        <f>H2416*I2416</f>
        <v/>
      </c>
      <c r="T2416" s="19">
        <f>H2416*J2416</f>
        <v/>
      </c>
      <c r="U2416">
        <f>IF(AND(K2416=0,G2416&lt;=Assumptions!$C$6),1,0)</f>
        <v/>
      </c>
      <c r="V2416">
        <f>IF(U2416=1,IF(M2416&gt;0,IF(P2416&lt;=G2416+Assumptions!$C$7,1,0),0),0)</f>
        <v/>
      </c>
      <c r="W2416">
        <f>IF(AND(U2416=1,M2416&gt;=H2416*(1-Assumptions!$C$8)),1,0)</f>
        <v/>
      </c>
      <c r="X2416">
        <f>IF(AND(U2416=1,N2416&gt;=H2416*(1-Assumptions!$C$8)),1,0)</f>
        <v/>
      </c>
      <c r="Y2416">
        <f>IF(ISNUMBER(Q2416),1,0)</f>
        <v/>
      </c>
      <c r="Z2416">
        <f>IF(AND(K2416=0,L2416=0,Y2416=0),1,0)</f>
        <v/>
      </c>
      <c r="AA2416">
        <f>IF(AND(Z2416=1,G2416&lt;Assumptions!$C$6),1,0)</f>
        <v/>
      </c>
      <c r="AB2416">
        <f>IF(U2416=0,"",IF(Y2416=1,MAX(0,Q2416-G2416),IF(L2416=1,MAX(0,R2416-G2416),MAX(0,Assumptions!$C$6-G2416))))</f>
        <v/>
      </c>
      <c r="AC2416">
        <f>IF(Y2416=1,Q2416-F2416,"")</f>
        <v/>
      </c>
      <c r="AD2416">
        <f>IF(Y2416=1,AC2416^2,"")</f>
        <v/>
      </c>
      <c r="AE2416" s="19">
        <f>IF(Z2416=1,(H2416-M2416)*I2416,0)</f>
        <v/>
      </c>
      <c r="AF2416">
        <f>IF(G2416&lt;EDATE(Assumptions!$C$6,-12)+1,"prior_12m","last_12m")</f>
        <v/>
      </c>
      <c r="AG2416" s="21">
        <f>DATE(YEAR(G2416),MONTH(G2416),1)</f>
        <v/>
      </c>
    </row>
    <row r="2417">
      <c r="A2417" t="inlineStr">
        <is>
          <t>SPO-01307-1</t>
        </is>
      </c>
      <c r="B2417" t="inlineStr">
        <is>
          <t>SPO-01307</t>
        </is>
      </c>
      <c r="C2417" t="inlineStr">
        <is>
          <t>SUP-01</t>
        </is>
      </c>
      <c r="D2417" t="inlineStr">
        <is>
          <t>ELEC</t>
        </is>
      </c>
      <c r="E2417" t="inlineStr">
        <is>
          <t>ELEC-02</t>
        </is>
      </c>
      <c r="F2417" s="17" t="n">
        <v>45933</v>
      </c>
      <c r="G2417" s="17" t="n">
        <v>45951</v>
      </c>
      <c r="H2417" s="18" t="n">
        <v>325</v>
      </c>
      <c r="I2417" s="19" t="n">
        <v>4.49</v>
      </c>
      <c r="J2417" s="19" t="n">
        <v>4.2</v>
      </c>
      <c r="K2417" s="20" t="n">
        <v>0</v>
      </c>
      <c r="L2417" s="20" t="n">
        <v>0</v>
      </c>
      <c r="M2417" s="18" t="n">
        <v>325</v>
      </c>
      <c r="N2417" s="18" t="n">
        <v>0</v>
      </c>
      <c r="O2417" s="18" t="n">
        <v>0</v>
      </c>
      <c r="P2417" s="17" t="n">
        <v>45955</v>
      </c>
      <c r="Q2417" s="17" t="n">
        <v>45955</v>
      </c>
      <c r="R2417" s="17" t="n">
        <v>45955</v>
      </c>
      <c r="S2417" s="19">
        <f>H2417*I2417</f>
        <v/>
      </c>
      <c r="T2417" s="19">
        <f>H2417*J2417</f>
        <v/>
      </c>
      <c r="U2417">
        <f>IF(AND(K2417=0,G2417&lt;=Assumptions!$C$6),1,0)</f>
        <v/>
      </c>
      <c r="V2417">
        <f>IF(U2417=1,IF(M2417&gt;0,IF(P2417&lt;=G2417+Assumptions!$C$7,1,0),0),0)</f>
        <v/>
      </c>
      <c r="W2417">
        <f>IF(AND(U2417=1,M2417&gt;=H2417*(1-Assumptions!$C$8)),1,0)</f>
        <v/>
      </c>
      <c r="X2417">
        <f>IF(AND(U2417=1,N2417&gt;=H2417*(1-Assumptions!$C$8)),1,0)</f>
        <v/>
      </c>
      <c r="Y2417">
        <f>IF(ISNUMBER(Q2417),1,0)</f>
        <v/>
      </c>
      <c r="Z2417">
        <f>IF(AND(K2417=0,L2417=0,Y2417=0),1,0)</f>
        <v/>
      </c>
      <c r="AA2417">
        <f>IF(AND(Z2417=1,G2417&lt;Assumptions!$C$6),1,0)</f>
        <v/>
      </c>
      <c r="AB2417">
        <f>IF(U2417=0,"",IF(Y2417=1,MAX(0,Q2417-G2417),IF(L2417=1,MAX(0,R2417-G2417),MAX(0,Assumptions!$C$6-G2417))))</f>
        <v/>
      </c>
      <c r="AC2417">
        <f>IF(Y2417=1,Q2417-F2417,"")</f>
        <v/>
      </c>
      <c r="AD2417">
        <f>IF(Y2417=1,AC2417^2,"")</f>
        <v/>
      </c>
      <c r="AE2417" s="19">
        <f>IF(Z2417=1,(H2417-M2417)*I2417,0)</f>
        <v/>
      </c>
      <c r="AF2417">
        <f>IF(G2417&lt;EDATE(Assumptions!$C$6,-12)+1,"prior_12m","last_12m")</f>
        <v/>
      </c>
      <c r="AG2417" s="21">
        <f>DATE(YEAR(G2417),MONTH(G2417),1)</f>
        <v/>
      </c>
    </row>
    <row r="2418">
      <c r="A2418" t="inlineStr">
        <is>
          <t>SPO-01308-1</t>
        </is>
      </c>
      <c r="B2418" t="inlineStr">
        <is>
          <t>SPO-01308</t>
        </is>
      </c>
      <c r="C2418" t="inlineStr">
        <is>
          <t>SUP-04</t>
        </is>
      </c>
      <c r="D2418" t="inlineStr">
        <is>
          <t>FLEET</t>
        </is>
      </c>
      <c r="E2418" t="inlineStr">
        <is>
          <t>FLEET-07</t>
        </is>
      </c>
      <c r="F2418" s="17" t="n">
        <v>45933</v>
      </c>
      <c r="G2418" s="17" t="n">
        <v>45946</v>
      </c>
      <c r="H2418" s="18" t="n">
        <v>12</v>
      </c>
      <c r="I2418" s="19" t="n">
        <v>120.97</v>
      </c>
      <c r="J2418" s="19" t="n">
        <v>118</v>
      </c>
      <c r="K2418" s="20" t="n">
        <v>0</v>
      </c>
      <c r="L2418" s="20" t="n">
        <v>0</v>
      </c>
      <c r="M2418" s="18" t="n">
        <v>12</v>
      </c>
      <c r="N2418" s="18" t="n">
        <v>0</v>
      </c>
      <c r="O2418" s="18" t="n">
        <v>0</v>
      </c>
      <c r="P2418" s="17" t="n">
        <v>45950</v>
      </c>
      <c r="Q2418" s="17" t="n">
        <v>45950</v>
      </c>
      <c r="R2418" s="17" t="n">
        <v>45950</v>
      </c>
      <c r="S2418" s="19">
        <f>H2418*I2418</f>
        <v/>
      </c>
      <c r="T2418" s="19">
        <f>H2418*J2418</f>
        <v/>
      </c>
      <c r="U2418">
        <f>IF(AND(K2418=0,G2418&lt;=Assumptions!$C$6),1,0)</f>
        <v/>
      </c>
      <c r="V2418">
        <f>IF(U2418=1,IF(M2418&gt;0,IF(P2418&lt;=G2418+Assumptions!$C$7,1,0),0),0)</f>
        <v/>
      </c>
      <c r="W2418">
        <f>IF(AND(U2418=1,M2418&gt;=H2418*(1-Assumptions!$C$8)),1,0)</f>
        <v/>
      </c>
      <c r="X2418">
        <f>IF(AND(U2418=1,N2418&gt;=H2418*(1-Assumptions!$C$8)),1,0)</f>
        <v/>
      </c>
      <c r="Y2418">
        <f>IF(ISNUMBER(Q2418),1,0)</f>
        <v/>
      </c>
      <c r="Z2418">
        <f>IF(AND(K2418=0,L2418=0,Y2418=0),1,0)</f>
        <v/>
      </c>
      <c r="AA2418">
        <f>IF(AND(Z2418=1,G2418&lt;Assumptions!$C$6),1,0)</f>
        <v/>
      </c>
      <c r="AB2418">
        <f>IF(U2418=0,"",IF(Y2418=1,MAX(0,Q2418-G2418),IF(L2418=1,MAX(0,R2418-G2418),MAX(0,Assumptions!$C$6-G2418))))</f>
        <v/>
      </c>
      <c r="AC2418">
        <f>IF(Y2418=1,Q2418-F2418,"")</f>
        <v/>
      </c>
      <c r="AD2418">
        <f>IF(Y2418=1,AC2418^2,"")</f>
        <v/>
      </c>
      <c r="AE2418" s="19">
        <f>IF(Z2418=1,(H2418-M2418)*I2418,0)</f>
        <v/>
      </c>
      <c r="AF2418">
        <f>IF(G2418&lt;EDATE(Assumptions!$C$6,-12)+1,"prior_12m","last_12m")</f>
        <v/>
      </c>
      <c r="AG2418" s="21">
        <f>DATE(YEAR(G2418),MONTH(G2418),1)</f>
        <v/>
      </c>
    </row>
    <row r="2419">
      <c r="A2419" t="inlineStr">
        <is>
          <t>SPO-01309-1</t>
        </is>
      </c>
      <c r="B2419" t="inlineStr">
        <is>
          <t>SPO-01309</t>
        </is>
      </c>
      <c r="C2419" t="inlineStr">
        <is>
          <t>SUP-09</t>
        </is>
      </c>
      <c r="D2419" t="inlineStr">
        <is>
          <t>CHEM</t>
        </is>
      </c>
      <c r="E2419" t="inlineStr">
        <is>
          <t>CHEM-04</t>
        </is>
      </c>
      <c r="F2419" s="17" t="n">
        <v>45933</v>
      </c>
      <c r="G2419" s="17" t="n">
        <v>45947</v>
      </c>
      <c r="H2419" s="18" t="n">
        <v>3</v>
      </c>
      <c r="I2419" s="19" t="n">
        <v>841.01</v>
      </c>
      <c r="J2419" s="19" t="n">
        <v>820</v>
      </c>
      <c r="K2419" s="20" t="n">
        <v>0</v>
      </c>
      <c r="L2419" s="20" t="n">
        <v>0</v>
      </c>
      <c r="M2419" s="18" t="n">
        <v>3</v>
      </c>
      <c r="N2419" s="18" t="n">
        <v>3</v>
      </c>
      <c r="O2419" s="18" t="n">
        <v>0</v>
      </c>
      <c r="P2419" s="17" t="n">
        <v>45943</v>
      </c>
      <c r="Q2419" s="17" t="n">
        <v>45943</v>
      </c>
      <c r="R2419" s="17" t="n">
        <v>45943</v>
      </c>
      <c r="S2419" s="19">
        <f>H2419*I2419</f>
        <v/>
      </c>
      <c r="T2419" s="19">
        <f>H2419*J2419</f>
        <v/>
      </c>
      <c r="U2419">
        <f>IF(AND(K2419=0,G2419&lt;=Assumptions!$C$6),1,0)</f>
        <v/>
      </c>
      <c r="V2419">
        <f>IF(U2419=1,IF(M2419&gt;0,IF(P2419&lt;=G2419+Assumptions!$C$7,1,0),0),0)</f>
        <v/>
      </c>
      <c r="W2419">
        <f>IF(AND(U2419=1,M2419&gt;=H2419*(1-Assumptions!$C$8)),1,0)</f>
        <v/>
      </c>
      <c r="X2419">
        <f>IF(AND(U2419=1,N2419&gt;=H2419*(1-Assumptions!$C$8)),1,0)</f>
        <v/>
      </c>
      <c r="Y2419">
        <f>IF(ISNUMBER(Q2419),1,0)</f>
        <v/>
      </c>
      <c r="Z2419">
        <f>IF(AND(K2419=0,L2419=0,Y2419=0),1,0)</f>
        <v/>
      </c>
      <c r="AA2419">
        <f>IF(AND(Z2419=1,G2419&lt;Assumptions!$C$6),1,0)</f>
        <v/>
      </c>
      <c r="AB2419">
        <f>IF(U2419=0,"",IF(Y2419=1,MAX(0,Q2419-G2419),IF(L2419=1,MAX(0,R2419-G2419),MAX(0,Assumptions!$C$6-G2419))))</f>
        <v/>
      </c>
      <c r="AC2419">
        <f>IF(Y2419=1,Q2419-F2419,"")</f>
        <v/>
      </c>
      <c r="AD2419">
        <f>IF(Y2419=1,AC2419^2,"")</f>
        <v/>
      </c>
      <c r="AE2419" s="19">
        <f>IF(Z2419=1,(H2419-M2419)*I2419,0)</f>
        <v/>
      </c>
      <c r="AF2419">
        <f>IF(G2419&lt;EDATE(Assumptions!$C$6,-12)+1,"prior_12m","last_12m")</f>
        <v/>
      </c>
      <c r="AG2419" s="21">
        <f>DATE(YEAR(G2419),MONTH(G2419),1)</f>
        <v/>
      </c>
    </row>
    <row r="2420">
      <c r="A2420" t="inlineStr">
        <is>
          <t>SPO-01310-1</t>
        </is>
      </c>
      <c r="B2420" t="inlineStr">
        <is>
          <t>SPO-01310</t>
        </is>
      </c>
      <c r="C2420" t="inlineStr">
        <is>
          <t>SUP-04</t>
        </is>
      </c>
      <c r="D2420" t="inlineStr">
        <is>
          <t>FLEET</t>
        </is>
      </c>
      <c r="E2420" t="inlineStr">
        <is>
          <t>FLEET-05</t>
        </is>
      </c>
      <c r="F2420" s="17" t="n">
        <v>45933</v>
      </c>
      <c r="G2420" s="17" t="n">
        <v>45946</v>
      </c>
      <c r="H2420" s="18" t="n">
        <v>19</v>
      </c>
      <c r="I2420" s="19" t="n">
        <v>171.62</v>
      </c>
      <c r="J2420" s="19" t="n">
        <v>168</v>
      </c>
      <c r="K2420" s="20" t="n">
        <v>0</v>
      </c>
      <c r="L2420" s="20" t="n">
        <v>0</v>
      </c>
      <c r="M2420" s="18" t="n">
        <v>19</v>
      </c>
      <c r="N2420" s="18" t="n">
        <v>19</v>
      </c>
      <c r="O2420" s="18" t="n">
        <v>0</v>
      </c>
      <c r="P2420" s="17" t="n">
        <v>45938</v>
      </c>
      <c r="Q2420" s="17" t="n">
        <v>45938</v>
      </c>
      <c r="R2420" s="17" t="n">
        <v>45938</v>
      </c>
      <c r="S2420" s="19">
        <f>H2420*I2420</f>
        <v/>
      </c>
      <c r="T2420" s="19">
        <f>H2420*J2420</f>
        <v/>
      </c>
      <c r="U2420">
        <f>IF(AND(K2420=0,G2420&lt;=Assumptions!$C$6),1,0)</f>
        <v/>
      </c>
      <c r="V2420">
        <f>IF(U2420=1,IF(M2420&gt;0,IF(P2420&lt;=G2420+Assumptions!$C$7,1,0),0),0)</f>
        <v/>
      </c>
      <c r="W2420">
        <f>IF(AND(U2420=1,M2420&gt;=H2420*(1-Assumptions!$C$8)),1,0)</f>
        <v/>
      </c>
      <c r="X2420">
        <f>IF(AND(U2420=1,N2420&gt;=H2420*(1-Assumptions!$C$8)),1,0)</f>
        <v/>
      </c>
      <c r="Y2420">
        <f>IF(ISNUMBER(Q2420),1,0)</f>
        <v/>
      </c>
      <c r="Z2420">
        <f>IF(AND(K2420=0,L2420=0,Y2420=0),1,0)</f>
        <v/>
      </c>
      <c r="AA2420">
        <f>IF(AND(Z2420=1,G2420&lt;Assumptions!$C$6),1,0)</f>
        <v/>
      </c>
      <c r="AB2420">
        <f>IF(U2420=0,"",IF(Y2420=1,MAX(0,Q2420-G2420),IF(L2420=1,MAX(0,R2420-G2420),MAX(0,Assumptions!$C$6-G2420))))</f>
        <v/>
      </c>
      <c r="AC2420">
        <f>IF(Y2420=1,Q2420-F2420,"")</f>
        <v/>
      </c>
      <c r="AD2420">
        <f>IF(Y2420=1,AC2420^2,"")</f>
        <v/>
      </c>
      <c r="AE2420" s="19">
        <f>IF(Z2420=1,(H2420-M2420)*I2420,0)</f>
        <v/>
      </c>
      <c r="AF2420">
        <f>IF(G2420&lt;EDATE(Assumptions!$C$6,-12)+1,"prior_12m","last_12m")</f>
        <v/>
      </c>
      <c r="AG2420" s="21">
        <f>DATE(YEAR(G2420),MONTH(G2420),1)</f>
        <v/>
      </c>
    </row>
    <row r="2421">
      <c r="A2421" t="inlineStr">
        <is>
          <t>SPO-01311-1</t>
        </is>
      </c>
      <c r="B2421" t="inlineStr">
        <is>
          <t>SPO-01311</t>
        </is>
      </c>
      <c r="C2421" t="inlineStr">
        <is>
          <t>SUP-04</t>
        </is>
      </c>
      <c r="D2421" t="inlineStr">
        <is>
          <t>FLEET</t>
        </is>
      </c>
      <c r="E2421" t="inlineStr">
        <is>
          <t>FLEET-06</t>
        </is>
      </c>
      <c r="F2421" s="17" t="n">
        <v>45934</v>
      </c>
      <c r="G2421" s="17" t="n">
        <v>45947</v>
      </c>
      <c r="H2421" s="18" t="n">
        <v>21</v>
      </c>
      <c r="I2421" s="19" t="n">
        <v>32.85</v>
      </c>
      <c r="J2421" s="19" t="n">
        <v>33</v>
      </c>
      <c r="K2421" s="20" t="n">
        <v>0</v>
      </c>
      <c r="L2421" s="20" t="n">
        <v>0</v>
      </c>
      <c r="M2421" s="18" t="n">
        <v>21</v>
      </c>
      <c r="N2421" s="18" t="n">
        <v>21</v>
      </c>
      <c r="O2421" s="18" t="n">
        <v>0</v>
      </c>
      <c r="P2421" s="17" t="n">
        <v>45935</v>
      </c>
      <c r="Q2421" s="17" t="n">
        <v>45935</v>
      </c>
      <c r="R2421" s="17" t="n">
        <v>45935</v>
      </c>
      <c r="S2421" s="19">
        <f>H2421*I2421</f>
        <v/>
      </c>
      <c r="T2421" s="19">
        <f>H2421*J2421</f>
        <v/>
      </c>
      <c r="U2421">
        <f>IF(AND(K2421=0,G2421&lt;=Assumptions!$C$6),1,0)</f>
        <v/>
      </c>
      <c r="V2421">
        <f>IF(U2421=1,IF(M2421&gt;0,IF(P2421&lt;=G2421+Assumptions!$C$7,1,0),0),0)</f>
        <v/>
      </c>
      <c r="W2421">
        <f>IF(AND(U2421=1,M2421&gt;=H2421*(1-Assumptions!$C$8)),1,0)</f>
        <v/>
      </c>
      <c r="X2421">
        <f>IF(AND(U2421=1,N2421&gt;=H2421*(1-Assumptions!$C$8)),1,0)</f>
        <v/>
      </c>
      <c r="Y2421">
        <f>IF(ISNUMBER(Q2421),1,0)</f>
        <v/>
      </c>
      <c r="Z2421">
        <f>IF(AND(K2421=0,L2421=0,Y2421=0),1,0)</f>
        <v/>
      </c>
      <c r="AA2421">
        <f>IF(AND(Z2421=1,G2421&lt;Assumptions!$C$6),1,0)</f>
        <v/>
      </c>
      <c r="AB2421">
        <f>IF(U2421=0,"",IF(Y2421=1,MAX(0,Q2421-G2421),IF(L2421=1,MAX(0,R2421-G2421),MAX(0,Assumptions!$C$6-G2421))))</f>
        <v/>
      </c>
      <c r="AC2421">
        <f>IF(Y2421=1,Q2421-F2421,"")</f>
        <v/>
      </c>
      <c r="AD2421">
        <f>IF(Y2421=1,AC2421^2,"")</f>
        <v/>
      </c>
      <c r="AE2421" s="19">
        <f>IF(Z2421=1,(H2421-M2421)*I2421,0)</f>
        <v/>
      </c>
      <c r="AF2421">
        <f>IF(G2421&lt;EDATE(Assumptions!$C$6,-12)+1,"prior_12m","last_12m")</f>
        <v/>
      </c>
      <c r="AG2421" s="21">
        <f>DATE(YEAR(G2421),MONTH(G2421),1)</f>
        <v/>
      </c>
    </row>
    <row r="2422">
      <c r="A2422" t="inlineStr">
        <is>
          <t>SPO-01312-1</t>
        </is>
      </c>
      <c r="B2422" t="inlineStr">
        <is>
          <t>SPO-01312</t>
        </is>
      </c>
      <c r="C2422" t="inlineStr">
        <is>
          <t>SUP-06</t>
        </is>
      </c>
      <c r="D2422" t="inlineStr">
        <is>
          <t>MRO</t>
        </is>
      </c>
      <c r="E2422" t="inlineStr">
        <is>
          <t>MRO-05</t>
        </is>
      </c>
      <c r="F2422" s="17" t="n">
        <v>45934</v>
      </c>
      <c r="G2422" s="17" t="n">
        <v>45942</v>
      </c>
      <c r="H2422" s="18" t="n">
        <v>57</v>
      </c>
      <c r="I2422" s="19" t="n">
        <v>36.59</v>
      </c>
      <c r="J2422" s="19" t="n">
        <v>36</v>
      </c>
      <c r="K2422" s="20" t="n">
        <v>0</v>
      </c>
      <c r="L2422" s="20" t="n">
        <v>0</v>
      </c>
      <c r="M2422" s="18" t="n">
        <v>57</v>
      </c>
      <c r="N2422" s="18" t="n">
        <v>57</v>
      </c>
      <c r="O2422" s="18" t="n">
        <v>0</v>
      </c>
      <c r="P2422" s="17" t="n">
        <v>45940</v>
      </c>
      <c r="Q2422" s="17" t="n">
        <v>45940</v>
      </c>
      <c r="R2422" s="17" t="n">
        <v>45940</v>
      </c>
      <c r="S2422" s="19">
        <f>H2422*I2422</f>
        <v/>
      </c>
      <c r="T2422" s="19">
        <f>H2422*J2422</f>
        <v/>
      </c>
      <c r="U2422">
        <f>IF(AND(K2422=0,G2422&lt;=Assumptions!$C$6),1,0)</f>
        <v/>
      </c>
      <c r="V2422">
        <f>IF(U2422=1,IF(M2422&gt;0,IF(P2422&lt;=G2422+Assumptions!$C$7,1,0),0),0)</f>
        <v/>
      </c>
      <c r="W2422">
        <f>IF(AND(U2422=1,M2422&gt;=H2422*(1-Assumptions!$C$8)),1,0)</f>
        <v/>
      </c>
      <c r="X2422">
        <f>IF(AND(U2422=1,N2422&gt;=H2422*(1-Assumptions!$C$8)),1,0)</f>
        <v/>
      </c>
      <c r="Y2422">
        <f>IF(ISNUMBER(Q2422),1,0)</f>
        <v/>
      </c>
      <c r="Z2422">
        <f>IF(AND(K2422=0,L2422=0,Y2422=0),1,0)</f>
        <v/>
      </c>
      <c r="AA2422">
        <f>IF(AND(Z2422=1,G2422&lt;Assumptions!$C$6),1,0)</f>
        <v/>
      </c>
      <c r="AB2422">
        <f>IF(U2422=0,"",IF(Y2422=1,MAX(0,Q2422-G2422),IF(L2422=1,MAX(0,R2422-G2422),MAX(0,Assumptions!$C$6-G2422))))</f>
        <v/>
      </c>
      <c r="AC2422">
        <f>IF(Y2422=1,Q2422-F2422,"")</f>
        <v/>
      </c>
      <c r="AD2422">
        <f>IF(Y2422=1,AC2422^2,"")</f>
        <v/>
      </c>
      <c r="AE2422" s="19">
        <f>IF(Z2422=1,(H2422-M2422)*I2422,0)</f>
        <v/>
      </c>
      <c r="AF2422">
        <f>IF(G2422&lt;EDATE(Assumptions!$C$6,-12)+1,"prior_12m","last_12m")</f>
        <v/>
      </c>
      <c r="AG2422" s="21">
        <f>DATE(YEAR(G2422),MONTH(G2422),1)</f>
        <v/>
      </c>
    </row>
    <row r="2423">
      <c r="A2423" t="inlineStr">
        <is>
          <t>SPO-01312-2</t>
        </is>
      </c>
      <c r="B2423" t="inlineStr">
        <is>
          <t>SPO-01312</t>
        </is>
      </c>
      <c r="C2423" t="inlineStr">
        <is>
          <t>SUP-06</t>
        </is>
      </c>
      <c r="D2423" t="inlineStr">
        <is>
          <t>MRO</t>
        </is>
      </c>
      <c r="E2423" t="inlineStr">
        <is>
          <t>MRO-02</t>
        </is>
      </c>
      <c r="F2423" s="17" t="n">
        <v>45934</v>
      </c>
      <c r="G2423" s="17" t="n">
        <v>45942</v>
      </c>
      <c r="H2423" s="18" t="n">
        <v>49</v>
      </c>
      <c r="I2423" s="19" t="n">
        <v>41.47</v>
      </c>
      <c r="J2423" s="19" t="n">
        <v>41</v>
      </c>
      <c r="K2423" s="20" t="n">
        <v>0</v>
      </c>
      <c r="L2423" s="20" t="n">
        <v>0</v>
      </c>
      <c r="M2423" s="18" t="n">
        <v>49</v>
      </c>
      <c r="N2423" s="18" t="n">
        <v>49</v>
      </c>
      <c r="O2423" s="18" t="n">
        <v>15</v>
      </c>
      <c r="P2423" s="17" t="n">
        <v>45941</v>
      </c>
      <c r="Q2423" s="17" t="n">
        <v>45941</v>
      </c>
      <c r="R2423" s="17" t="n">
        <v>45941</v>
      </c>
      <c r="S2423" s="19">
        <f>H2423*I2423</f>
        <v/>
      </c>
      <c r="T2423" s="19">
        <f>H2423*J2423</f>
        <v/>
      </c>
      <c r="U2423">
        <f>IF(AND(K2423=0,G2423&lt;=Assumptions!$C$6),1,0)</f>
        <v/>
      </c>
      <c r="V2423">
        <f>IF(U2423=1,IF(M2423&gt;0,IF(P2423&lt;=G2423+Assumptions!$C$7,1,0),0),0)</f>
        <v/>
      </c>
      <c r="W2423">
        <f>IF(AND(U2423=1,M2423&gt;=H2423*(1-Assumptions!$C$8)),1,0)</f>
        <v/>
      </c>
      <c r="X2423">
        <f>IF(AND(U2423=1,N2423&gt;=H2423*(1-Assumptions!$C$8)),1,0)</f>
        <v/>
      </c>
      <c r="Y2423">
        <f>IF(ISNUMBER(Q2423),1,0)</f>
        <v/>
      </c>
      <c r="Z2423">
        <f>IF(AND(K2423=0,L2423=0,Y2423=0),1,0)</f>
        <v/>
      </c>
      <c r="AA2423">
        <f>IF(AND(Z2423=1,G2423&lt;Assumptions!$C$6),1,0)</f>
        <v/>
      </c>
      <c r="AB2423">
        <f>IF(U2423=0,"",IF(Y2423=1,MAX(0,Q2423-G2423),IF(L2423=1,MAX(0,R2423-G2423),MAX(0,Assumptions!$C$6-G2423))))</f>
        <v/>
      </c>
      <c r="AC2423">
        <f>IF(Y2423=1,Q2423-F2423,"")</f>
        <v/>
      </c>
      <c r="AD2423">
        <f>IF(Y2423=1,AC2423^2,"")</f>
        <v/>
      </c>
      <c r="AE2423" s="19">
        <f>IF(Z2423=1,(H2423-M2423)*I2423,0)</f>
        <v/>
      </c>
      <c r="AF2423">
        <f>IF(G2423&lt;EDATE(Assumptions!$C$6,-12)+1,"prior_12m","last_12m")</f>
        <v/>
      </c>
      <c r="AG2423" s="21">
        <f>DATE(YEAR(G2423),MONTH(G2423),1)</f>
        <v/>
      </c>
    </row>
    <row r="2424">
      <c r="A2424" t="inlineStr">
        <is>
          <t>SPO-01313-1</t>
        </is>
      </c>
      <c r="B2424" t="inlineStr">
        <is>
          <t>SPO-01313</t>
        </is>
      </c>
      <c r="C2424" t="inlineStr">
        <is>
          <t>SUP-05</t>
        </is>
      </c>
      <c r="D2424" t="inlineStr">
        <is>
          <t>FLEET</t>
        </is>
      </c>
      <c r="E2424" t="inlineStr">
        <is>
          <t>FLEET-07</t>
        </is>
      </c>
      <c r="F2424" s="17" t="n">
        <v>45934</v>
      </c>
      <c r="G2424" s="17" t="n">
        <v>45948</v>
      </c>
      <c r="H2424" s="18" t="n">
        <v>14</v>
      </c>
      <c r="I2424" s="19" t="n">
        <v>119.45</v>
      </c>
      <c r="J2424" s="19" t="n">
        <v>118</v>
      </c>
      <c r="K2424" s="20" t="n">
        <v>1</v>
      </c>
      <c r="L2424" s="20" t="n">
        <v>0</v>
      </c>
      <c r="M2424" s="18" t="n">
        <v>0</v>
      </c>
      <c r="N2424" s="18" t="n">
        <v>0</v>
      </c>
      <c r="O2424" s="18" t="n">
        <v>0</v>
      </c>
      <c r="P2424" s="17" t="n"/>
      <c r="Q2424" s="17" t="n"/>
      <c r="R2424" s="17" t="n"/>
      <c r="S2424" s="19">
        <f>H2424*I2424</f>
        <v/>
      </c>
      <c r="T2424" s="19">
        <f>H2424*J2424</f>
        <v/>
      </c>
      <c r="U2424">
        <f>IF(AND(K2424=0,G2424&lt;=Assumptions!$C$6),1,0)</f>
        <v/>
      </c>
      <c r="V2424">
        <f>IF(U2424=1,IF(M2424&gt;0,IF(P2424&lt;=G2424+Assumptions!$C$7,1,0),0),0)</f>
        <v/>
      </c>
      <c r="W2424">
        <f>IF(AND(U2424=1,M2424&gt;=H2424*(1-Assumptions!$C$8)),1,0)</f>
        <v/>
      </c>
      <c r="X2424">
        <f>IF(AND(U2424=1,N2424&gt;=H2424*(1-Assumptions!$C$8)),1,0)</f>
        <v/>
      </c>
      <c r="Y2424">
        <f>IF(ISNUMBER(Q2424),1,0)</f>
        <v/>
      </c>
      <c r="Z2424">
        <f>IF(AND(K2424=0,L2424=0,Y2424=0),1,0)</f>
        <v/>
      </c>
      <c r="AA2424">
        <f>IF(AND(Z2424=1,G2424&lt;Assumptions!$C$6),1,0)</f>
        <v/>
      </c>
      <c r="AB2424">
        <f>IF(U2424=0,"",IF(Y2424=1,MAX(0,Q2424-G2424),IF(L2424=1,MAX(0,R2424-G2424),MAX(0,Assumptions!$C$6-G2424))))</f>
        <v/>
      </c>
      <c r="AC2424">
        <f>IF(Y2424=1,Q2424-F2424,"")</f>
        <v/>
      </c>
      <c r="AD2424">
        <f>IF(Y2424=1,AC2424^2,"")</f>
        <v/>
      </c>
      <c r="AE2424" s="19">
        <f>IF(Z2424=1,(H2424-M2424)*I2424,0)</f>
        <v/>
      </c>
      <c r="AF2424">
        <f>IF(G2424&lt;EDATE(Assumptions!$C$6,-12)+1,"prior_12m","last_12m")</f>
        <v/>
      </c>
      <c r="AG2424" s="21">
        <f>DATE(YEAR(G2424),MONTH(G2424),1)</f>
        <v/>
      </c>
    </row>
    <row r="2425">
      <c r="A2425" t="inlineStr">
        <is>
          <t>SPO-01314-1</t>
        </is>
      </c>
      <c r="B2425" t="inlineStr">
        <is>
          <t>SPO-01314</t>
        </is>
      </c>
      <c r="C2425" t="inlineStr">
        <is>
          <t>SUP-06</t>
        </is>
      </c>
      <c r="D2425" t="inlineStr">
        <is>
          <t>MRO</t>
        </is>
      </c>
      <c r="E2425" t="inlineStr">
        <is>
          <t>MRO-07</t>
        </is>
      </c>
      <c r="F2425" s="17" t="n">
        <v>45934</v>
      </c>
      <c r="G2425" s="17" t="n">
        <v>45942</v>
      </c>
      <c r="H2425" s="18" t="n">
        <v>157</v>
      </c>
      <c r="I2425" s="19" t="n">
        <v>13.93</v>
      </c>
      <c r="J2425" s="19" t="n">
        <v>14</v>
      </c>
      <c r="K2425" s="20" t="n">
        <v>0</v>
      </c>
      <c r="L2425" s="20" t="n">
        <v>0</v>
      </c>
      <c r="M2425" s="18" t="n">
        <v>157</v>
      </c>
      <c r="N2425" s="18" t="n">
        <v>157</v>
      </c>
      <c r="O2425" s="18" t="n">
        <v>0</v>
      </c>
      <c r="P2425" s="17" t="n">
        <v>45940</v>
      </c>
      <c r="Q2425" s="17" t="n">
        <v>45940</v>
      </c>
      <c r="R2425" s="17" t="n">
        <v>45940</v>
      </c>
      <c r="S2425" s="19">
        <f>H2425*I2425</f>
        <v/>
      </c>
      <c r="T2425" s="19">
        <f>H2425*J2425</f>
        <v/>
      </c>
      <c r="U2425">
        <f>IF(AND(K2425=0,G2425&lt;=Assumptions!$C$6),1,0)</f>
        <v/>
      </c>
      <c r="V2425">
        <f>IF(U2425=1,IF(M2425&gt;0,IF(P2425&lt;=G2425+Assumptions!$C$7,1,0),0),0)</f>
        <v/>
      </c>
      <c r="W2425">
        <f>IF(AND(U2425=1,M2425&gt;=H2425*(1-Assumptions!$C$8)),1,0)</f>
        <v/>
      </c>
      <c r="X2425">
        <f>IF(AND(U2425=1,N2425&gt;=H2425*(1-Assumptions!$C$8)),1,0)</f>
        <v/>
      </c>
      <c r="Y2425">
        <f>IF(ISNUMBER(Q2425),1,0)</f>
        <v/>
      </c>
      <c r="Z2425">
        <f>IF(AND(K2425=0,L2425=0,Y2425=0),1,0)</f>
        <v/>
      </c>
      <c r="AA2425">
        <f>IF(AND(Z2425=1,G2425&lt;Assumptions!$C$6),1,0)</f>
        <v/>
      </c>
      <c r="AB2425">
        <f>IF(U2425=0,"",IF(Y2425=1,MAX(0,Q2425-G2425),IF(L2425=1,MAX(0,R2425-G2425),MAX(0,Assumptions!$C$6-G2425))))</f>
        <v/>
      </c>
      <c r="AC2425">
        <f>IF(Y2425=1,Q2425-F2425,"")</f>
        <v/>
      </c>
      <c r="AD2425">
        <f>IF(Y2425=1,AC2425^2,"")</f>
        <v/>
      </c>
      <c r="AE2425" s="19">
        <f>IF(Z2425=1,(H2425-M2425)*I2425,0)</f>
        <v/>
      </c>
      <c r="AF2425">
        <f>IF(G2425&lt;EDATE(Assumptions!$C$6,-12)+1,"prior_12m","last_12m")</f>
        <v/>
      </c>
      <c r="AG2425" s="21">
        <f>DATE(YEAR(G2425),MONTH(G2425),1)</f>
        <v/>
      </c>
    </row>
    <row r="2426">
      <c r="A2426" t="inlineStr">
        <is>
          <t>SPO-01314-2</t>
        </is>
      </c>
      <c r="B2426" t="inlineStr">
        <is>
          <t>SPO-01314</t>
        </is>
      </c>
      <c r="C2426" t="inlineStr">
        <is>
          <t>SUP-06</t>
        </is>
      </c>
      <c r="D2426" t="inlineStr">
        <is>
          <t>MRO</t>
        </is>
      </c>
      <c r="E2426" t="inlineStr">
        <is>
          <t>MRO-02</t>
        </is>
      </c>
      <c r="F2426" s="17" t="n">
        <v>45934</v>
      </c>
      <c r="G2426" s="17" t="n">
        <v>45942</v>
      </c>
      <c r="H2426" s="18" t="n">
        <v>98</v>
      </c>
      <c r="I2426" s="19" t="n">
        <v>41.17</v>
      </c>
      <c r="J2426" s="19" t="n">
        <v>41</v>
      </c>
      <c r="K2426" s="20" t="n">
        <v>0</v>
      </c>
      <c r="L2426" s="20" t="n">
        <v>0</v>
      </c>
      <c r="M2426" s="18" t="n">
        <v>98</v>
      </c>
      <c r="N2426" s="18" t="n">
        <v>98</v>
      </c>
      <c r="O2426" s="18" t="n">
        <v>0</v>
      </c>
      <c r="P2426" s="17" t="n">
        <v>45939</v>
      </c>
      <c r="Q2426" s="17" t="n">
        <v>45939</v>
      </c>
      <c r="R2426" s="17" t="n">
        <v>45939</v>
      </c>
      <c r="S2426" s="19">
        <f>H2426*I2426</f>
        <v/>
      </c>
      <c r="T2426" s="19">
        <f>H2426*J2426</f>
        <v/>
      </c>
      <c r="U2426">
        <f>IF(AND(K2426=0,G2426&lt;=Assumptions!$C$6),1,0)</f>
        <v/>
      </c>
      <c r="V2426">
        <f>IF(U2426=1,IF(M2426&gt;0,IF(P2426&lt;=G2426+Assumptions!$C$7,1,0),0),0)</f>
        <v/>
      </c>
      <c r="W2426">
        <f>IF(AND(U2426=1,M2426&gt;=H2426*(1-Assumptions!$C$8)),1,0)</f>
        <v/>
      </c>
      <c r="X2426">
        <f>IF(AND(U2426=1,N2426&gt;=H2426*(1-Assumptions!$C$8)),1,0)</f>
        <v/>
      </c>
      <c r="Y2426">
        <f>IF(ISNUMBER(Q2426),1,0)</f>
        <v/>
      </c>
      <c r="Z2426">
        <f>IF(AND(K2426=0,L2426=0,Y2426=0),1,0)</f>
        <v/>
      </c>
      <c r="AA2426">
        <f>IF(AND(Z2426=1,G2426&lt;Assumptions!$C$6),1,0)</f>
        <v/>
      </c>
      <c r="AB2426">
        <f>IF(U2426=0,"",IF(Y2426=1,MAX(0,Q2426-G2426),IF(L2426=1,MAX(0,R2426-G2426),MAX(0,Assumptions!$C$6-G2426))))</f>
        <v/>
      </c>
      <c r="AC2426">
        <f>IF(Y2426=1,Q2426-F2426,"")</f>
        <v/>
      </c>
      <c r="AD2426">
        <f>IF(Y2426=1,AC2426^2,"")</f>
        <v/>
      </c>
      <c r="AE2426" s="19">
        <f>IF(Z2426=1,(H2426-M2426)*I2426,0)</f>
        <v/>
      </c>
      <c r="AF2426">
        <f>IF(G2426&lt;EDATE(Assumptions!$C$6,-12)+1,"prior_12m","last_12m")</f>
        <v/>
      </c>
      <c r="AG2426" s="21">
        <f>DATE(YEAR(G2426),MONTH(G2426),1)</f>
        <v/>
      </c>
    </row>
    <row r="2427">
      <c r="A2427" t="inlineStr">
        <is>
          <t>SPO-01315-1</t>
        </is>
      </c>
      <c r="B2427" t="inlineStr">
        <is>
          <t>SPO-01315</t>
        </is>
      </c>
      <c r="C2427" t="inlineStr">
        <is>
          <t>SUP-12</t>
        </is>
      </c>
      <c r="D2427" t="inlineStr">
        <is>
          <t>IT</t>
        </is>
      </c>
      <c r="E2427" t="inlineStr">
        <is>
          <t>IT-03</t>
        </is>
      </c>
      <c r="F2427" s="17" t="n">
        <v>45935</v>
      </c>
      <c r="G2427" s="17" t="n">
        <v>45945</v>
      </c>
      <c r="H2427" s="18" t="n">
        <v>33</v>
      </c>
      <c r="I2427" s="19" t="n">
        <v>42.2</v>
      </c>
      <c r="J2427" s="19" t="n">
        <v>38</v>
      </c>
      <c r="K2427" s="20" t="n">
        <v>0</v>
      </c>
      <c r="L2427" s="20" t="n">
        <v>0</v>
      </c>
      <c r="M2427" s="18" t="n">
        <v>33</v>
      </c>
      <c r="N2427" s="18" t="n">
        <v>0</v>
      </c>
      <c r="O2427" s="18" t="n">
        <v>0</v>
      </c>
      <c r="P2427" s="17" t="n">
        <v>45946</v>
      </c>
      <c r="Q2427" s="17" t="n">
        <v>45946</v>
      </c>
      <c r="R2427" s="17" t="n">
        <v>45946</v>
      </c>
      <c r="S2427" s="19">
        <f>H2427*I2427</f>
        <v/>
      </c>
      <c r="T2427" s="19">
        <f>H2427*J2427</f>
        <v/>
      </c>
      <c r="U2427">
        <f>IF(AND(K2427=0,G2427&lt;=Assumptions!$C$6),1,0)</f>
        <v/>
      </c>
      <c r="V2427">
        <f>IF(U2427=1,IF(M2427&gt;0,IF(P2427&lt;=G2427+Assumptions!$C$7,1,0),0),0)</f>
        <v/>
      </c>
      <c r="W2427">
        <f>IF(AND(U2427=1,M2427&gt;=H2427*(1-Assumptions!$C$8)),1,0)</f>
        <v/>
      </c>
      <c r="X2427">
        <f>IF(AND(U2427=1,N2427&gt;=H2427*(1-Assumptions!$C$8)),1,0)</f>
        <v/>
      </c>
      <c r="Y2427">
        <f>IF(ISNUMBER(Q2427),1,0)</f>
        <v/>
      </c>
      <c r="Z2427">
        <f>IF(AND(K2427=0,L2427=0,Y2427=0),1,0)</f>
        <v/>
      </c>
      <c r="AA2427">
        <f>IF(AND(Z2427=1,G2427&lt;Assumptions!$C$6),1,0)</f>
        <v/>
      </c>
      <c r="AB2427">
        <f>IF(U2427=0,"",IF(Y2427=1,MAX(0,Q2427-G2427),IF(L2427=1,MAX(0,R2427-G2427),MAX(0,Assumptions!$C$6-G2427))))</f>
        <v/>
      </c>
      <c r="AC2427">
        <f>IF(Y2427=1,Q2427-F2427,"")</f>
        <v/>
      </c>
      <c r="AD2427">
        <f>IF(Y2427=1,AC2427^2,"")</f>
        <v/>
      </c>
      <c r="AE2427" s="19">
        <f>IF(Z2427=1,(H2427-M2427)*I2427,0)</f>
        <v/>
      </c>
      <c r="AF2427">
        <f>IF(G2427&lt;EDATE(Assumptions!$C$6,-12)+1,"prior_12m","last_12m")</f>
        <v/>
      </c>
      <c r="AG2427" s="21">
        <f>DATE(YEAR(G2427),MONTH(G2427),1)</f>
        <v/>
      </c>
    </row>
    <row r="2428">
      <c r="A2428" t="inlineStr">
        <is>
          <t>SPO-01316-1</t>
        </is>
      </c>
      <c r="B2428" t="inlineStr">
        <is>
          <t>SPO-01316</t>
        </is>
      </c>
      <c r="C2428" t="inlineStr">
        <is>
          <t>SUP-12</t>
        </is>
      </c>
      <c r="D2428" t="inlineStr">
        <is>
          <t>IT</t>
        </is>
      </c>
      <c r="E2428" t="inlineStr">
        <is>
          <t>IT-02</t>
        </is>
      </c>
      <c r="F2428" s="17" t="n">
        <v>45935</v>
      </c>
      <c r="G2428" s="17" t="n">
        <v>45945</v>
      </c>
      <c r="H2428" s="18" t="n">
        <v>6</v>
      </c>
      <c r="I2428" s="19" t="n">
        <v>179.72</v>
      </c>
      <c r="J2428" s="19" t="n">
        <v>162</v>
      </c>
      <c r="K2428" s="20" t="n">
        <v>0</v>
      </c>
      <c r="L2428" s="20" t="n">
        <v>0</v>
      </c>
      <c r="M2428" s="18" t="n">
        <v>6</v>
      </c>
      <c r="N2428" s="18" t="n">
        <v>6</v>
      </c>
      <c r="O2428" s="18" t="n">
        <v>0</v>
      </c>
      <c r="P2428" s="17" t="n">
        <v>45942</v>
      </c>
      <c r="Q2428" s="17" t="n">
        <v>45942</v>
      </c>
      <c r="R2428" s="17" t="n">
        <v>45942</v>
      </c>
      <c r="S2428" s="19">
        <f>H2428*I2428</f>
        <v/>
      </c>
      <c r="T2428" s="19">
        <f>H2428*J2428</f>
        <v/>
      </c>
      <c r="U2428">
        <f>IF(AND(K2428=0,G2428&lt;=Assumptions!$C$6),1,0)</f>
        <v/>
      </c>
      <c r="V2428">
        <f>IF(U2428=1,IF(M2428&gt;0,IF(P2428&lt;=G2428+Assumptions!$C$7,1,0),0),0)</f>
        <v/>
      </c>
      <c r="W2428">
        <f>IF(AND(U2428=1,M2428&gt;=H2428*(1-Assumptions!$C$8)),1,0)</f>
        <v/>
      </c>
      <c r="X2428">
        <f>IF(AND(U2428=1,N2428&gt;=H2428*(1-Assumptions!$C$8)),1,0)</f>
        <v/>
      </c>
      <c r="Y2428">
        <f>IF(ISNUMBER(Q2428),1,0)</f>
        <v/>
      </c>
      <c r="Z2428">
        <f>IF(AND(K2428=0,L2428=0,Y2428=0),1,0)</f>
        <v/>
      </c>
      <c r="AA2428">
        <f>IF(AND(Z2428=1,G2428&lt;Assumptions!$C$6),1,0)</f>
        <v/>
      </c>
      <c r="AB2428">
        <f>IF(U2428=0,"",IF(Y2428=1,MAX(0,Q2428-G2428),IF(L2428=1,MAX(0,R2428-G2428),MAX(0,Assumptions!$C$6-G2428))))</f>
        <v/>
      </c>
      <c r="AC2428">
        <f>IF(Y2428=1,Q2428-F2428,"")</f>
        <v/>
      </c>
      <c r="AD2428">
        <f>IF(Y2428=1,AC2428^2,"")</f>
        <v/>
      </c>
      <c r="AE2428" s="19">
        <f>IF(Z2428=1,(H2428-M2428)*I2428,0)</f>
        <v/>
      </c>
      <c r="AF2428">
        <f>IF(G2428&lt;EDATE(Assumptions!$C$6,-12)+1,"prior_12m","last_12m")</f>
        <v/>
      </c>
      <c r="AG2428" s="21">
        <f>DATE(YEAR(G2428),MONTH(G2428),1)</f>
        <v/>
      </c>
    </row>
    <row r="2429">
      <c r="A2429" t="inlineStr">
        <is>
          <t>SPO-01317-1</t>
        </is>
      </c>
      <c r="B2429" t="inlineStr">
        <is>
          <t>SPO-01317</t>
        </is>
      </c>
      <c r="C2429" t="inlineStr">
        <is>
          <t>SUP-01</t>
        </is>
      </c>
      <c r="D2429" t="inlineStr">
        <is>
          <t>ELEC</t>
        </is>
      </c>
      <c r="E2429" t="inlineStr">
        <is>
          <t>ELEC-01</t>
        </is>
      </c>
      <c r="F2429" s="17" t="n">
        <v>45935</v>
      </c>
      <c r="G2429" s="17" t="n">
        <v>45953</v>
      </c>
      <c r="H2429" s="18" t="n">
        <v>52</v>
      </c>
      <c r="I2429" s="19" t="n">
        <v>37.9</v>
      </c>
      <c r="J2429" s="19" t="n">
        <v>38</v>
      </c>
      <c r="K2429" s="20" t="n">
        <v>0</v>
      </c>
      <c r="L2429" s="20" t="n">
        <v>0</v>
      </c>
      <c r="M2429" s="18" t="n">
        <v>52</v>
      </c>
      <c r="N2429" s="18" t="n">
        <v>52</v>
      </c>
      <c r="O2429" s="18" t="n">
        <v>0</v>
      </c>
      <c r="P2429" s="17" t="n">
        <v>45952</v>
      </c>
      <c r="Q2429" s="17" t="n">
        <v>45952</v>
      </c>
      <c r="R2429" s="17" t="n">
        <v>45952</v>
      </c>
      <c r="S2429" s="19">
        <f>H2429*I2429</f>
        <v/>
      </c>
      <c r="T2429" s="19">
        <f>H2429*J2429</f>
        <v/>
      </c>
      <c r="U2429">
        <f>IF(AND(K2429=0,G2429&lt;=Assumptions!$C$6),1,0)</f>
        <v/>
      </c>
      <c r="V2429">
        <f>IF(U2429=1,IF(M2429&gt;0,IF(P2429&lt;=G2429+Assumptions!$C$7,1,0),0),0)</f>
        <v/>
      </c>
      <c r="W2429">
        <f>IF(AND(U2429=1,M2429&gt;=H2429*(1-Assumptions!$C$8)),1,0)</f>
        <v/>
      </c>
      <c r="X2429">
        <f>IF(AND(U2429=1,N2429&gt;=H2429*(1-Assumptions!$C$8)),1,0)</f>
        <v/>
      </c>
      <c r="Y2429">
        <f>IF(ISNUMBER(Q2429),1,0)</f>
        <v/>
      </c>
      <c r="Z2429">
        <f>IF(AND(K2429=0,L2429=0,Y2429=0),1,0)</f>
        <v/>
      </c>
      <c r="AA2429">
        <f>IF(AND(Z2429=1,G2429&lt;Assumptions!$C$6),1,0)</f>
        <v/>
      </c>
      <c r="AB2429">
        <f>IF(U2429=0,"",IF(Y2429=1,MAX(0,Q2429-G2429),IF(L2429=1,MAX(0,R2429-G2429),MAX(0,Assumptions!$C$6-G2429))))</f>
        <v/>
      </c>
      <c r="AC2429">
        <f>IF(Y2429=1,Q2429-F2429,"")</f>
        <v/>
      </c>
      <c r="AD2429">
        <f>IF(Y2429=1,AC2429^2,"")</f>
        <v/>
      </c>
      <c r="AE2429" s="19">
        <f>IF(Z2429=1,(H2429-M2429)*I2429,0)</f>
        <v/>
      </c>
      <c r="AF2429">
        <f>IF(G2429&lt;EDATE(Assumptions!$C$6,-12)+1,"prior_12m","last_12m")</f>
        <v/>
      </c>
      <c r="AG2429" s="21">
        <f>DATE(YEAR(G2429),MONTH(G2429),1)</f>
        <v/>
      </c>
    </row>
    <row r="2430">
      <c r="A2430" t="inlineStr">
        <is>
          <t>SPO-01318-1</t>
        </is>
      </c>
      <c r="B2430" t="inlineStr">
        <is>
          <t>SPO-01318</t>
        </is>
      </c>
      <c r="C2430" t="inlineStr">
        <is>
          <t>SUP-04</t>
        </is>
      </c>
      <c r="D2430" t="inlineStr">
        <is>
          <t>FLEET</t>
        </is>
      </c>
      <c r="E2430" t="inlineStr">
        <is>
          <t>FLEET-07</t>
        </is>
      </c>
      <c r="F2430" s="17" t="n">
        <v>45935</v>
      </c>
      <c r="G2430" s="17" t="n">
        <v>45948</v>
      </c>
      <c r="H2430" s="18" t="n">
        <v>14</v>
      </c>
      <c r="I2430" s="19" t="n">
        <v>113.28</v>
      </c>
      <c r="J2430" s="19" t="n">
        <v>118</v>
      </c>
      <c r="K2430" s="20" t="n">
        <v>0</v>
      </c>
      <c r="L2430" s="20" t="n">
        <v>0</v>
      </c>
      <c r="M2430" s="18" t="n">
        <v>14</v>
      </c>
      <c r="N2430" s="18" t="n">
        <v>14</v>
      </c>
      <c r="O2430" s="18" t="n">
        <v>0</v>
      </c>
      <c r="P2430" s="17" t="n">
        <v>45940</v>
      </c>
      <c r="Q2430" s="17" t="n">
        <v>45940</v>
      </c>
      <c r="R2430" s="17" t="n">
        <v>45940</v>
      </c>
      <c r="S2430" s="19">
        <f>H2430*I2430</f>
        <v/>
      </c>
      <c r="T2430" s="19">
        <f>H2430*J2430</f>
        <v/>
      </c>
      <c r="U2430">
        <f>IF(AND(K2430=0,G2430&lt;=Assumptions!$C$6),1,0)</f>
        <v/>
      </c>
      <c r="V2430">
        <f>IF(U2430=1,IF(M2430&gt;0,IF(P2430&lt;=G2430+Assumptions!$C$7,1,0),0),0)</f>
        <v/>
      </c>
      <c r="W2430">
        <f>IF(AND(U2430=1,M2430&gt;=H2430*(1-Assumptions!$C$8)),1,0)</f>
        <v/>
      </c>
      <c r="X2430">
        <f>IF(AND(U2430=1,N2430&gt;=H2430*(1-Assumptions!$C$8)),1,0)</f>
        <v/>
      </c>
      <c r="Y2430">
        <f>IF(ISNUMBER(Q2430),1,0)</f>
        <v/>
      </c>
      <c r="Z2430">
        <f>IF(AND(K2430=0,L2430=0,Y2430=0),1,0)</f>
        <v/>
      </c>
      <c r="AA2430">
        <f>IF(AND(Z2430=1,G2430&lt;Assumptions!$C$6),1,0)</f>
        <v/>
      </c>
      <c r="AB2430">
        <f>IF(U2430=0,"",IF(Y2430=1,MAX(0,Q2430-G2430),IF(L2430=1,MAX(0,R2430-G2430),MAX(0,Assumptions!$C$6-G2430))))</f>
        <v/>
      </c>
      <c r="AC2430">
        <f>IF(Y2430=1,Q2430-F2430,"")</f>
        <v/>
      </c>
      <c r="AD2430">
        <f>IF(Y2430=1,AC2430^2,"")</f>
        <v/>
      </c>
      <c r="AE2430" s="19">
        <f>IF(Z2430=1,(H2430-M2430)*I2430,0)</f>
        <v/>
      </c>
      <c r="AF2430">
        <f>IF(G2430&lt;EDATE(Assumptions!$C$6,-12)+1,"prior_12m","last_12m")</f>
        <v/>
      </c>
      <c r="AG2430" s="21">
        <f>DATE(YEAR(G2430),MONTH(G2430),1)</f>
        <v/>
      </c>
    </row>
    <row r="2431">
      <c r="A2431" t="inlineStr">
        <is>
          <t>SPO-01318-2</t>
        </is>
      </c>
      <c r="B2431" t="inlineStr">
        <is>
          <t>SPO-01318</t>
        </is>
      </c>
      <c r="C2431" t="inlineStr">
        <is>
          <t>SUP-04</t>
        </is>
      </c>
      <c r="D2431" t="inlineStr">
        <is>
          <t>FLEET</t>
        </is>
      </c>
      <c r="E2431" t="inlineStr">
        <is>
          <t>FLEET-01</t>
        </is>
      </c>
      <c r="F2431" s="17" t="n">
        <v>45935</v>
      </c>
      <c r="G2431" s="17" t="n">
        <v>45948</v>
      </c>
      <c r="H2431" s="18" t="n">
        <v>21</v>
      </c>
      <c r="I2431" s="19" t="n">
        <v>64.69</v>
      </c>
      <c r="J2431" s="19" t="n">
        <v>64</v>
      </c>
      <c r="K2431" s="20" t="n">
        <v>0</v>
      </c>
      <c r="L2431" s="20" t="n">
        <v>0</v>
      </c>
      <c r="M2431" s="18" t="n">
        <v>21</v>
      </c>
      <c r="N2431" s="18" t="n">
        <v>0</v>
      </c>
      <c r="O2431" s="18" t="n">
        <v>0</v>
      </c>
      <c r="P2431" s="17" t="n">
        <v>45955</v>
      </c>
      <c r="Q2431" s="17" t="n">
        <v>45955</v>
      </c>
      <c r="R2431" s="17" t="n">
        <v>45955</v>
      </c>
      <c r="S2431" s="19">
        <f>H2431*I2431</f>
        <v/>
      </c>
      <c r="T2431" s="19">
        <f>H2431*J2431</f>
        <v/>
      </c>
      <c r="U2431">
        <f>IF(AND(K2431=0,G2431&lt;=Assumptions!$C$6),1,0)</f>
        <v/>
      </c>
      <c r="V2431">
        <f>IF(U2431=1,IF(M2431&gt;0,IF(P2431&lt;=G2431+Assumptions!$C$7,1,0),0),0)</f>
        <v/>
      </c>
      <c r="W2431">
        <f>IF(AND(U2431=1,M2431&gt;=H2431*(1-Assumptions!$C$8)),1,0)</f>
        <v/>
      </c>
      <c r="X2431">
        <f>IF(AND(U2431=1,N2431&gt;=H2431*(1-Assumptions!$C$8)),1,0)</f>
        <v/>
      </c>
      <c r="Y2431">
        <f>IF(ISNUMBER(Q2431),1,0)</f>
        <v/>
      </c>
      <c r="Z2431">
        <f>IF(AND(K2431=0,L2431=0,Y2431=0),1,0)</f>
        <v/>
      </c>
      <c r="AA2431">
        <f>IF(AND(Z2431=1,G2431&lt;Assumptions!$C$6),1,0)</f>
        <v/>
      </c>
      <c r="AB2431">
        <f>IF(U2431=0,"",IF(Y2431=1,MAX(0,Q2431-G2431),IF(L2431=1,MAX(0,R2431-G2431),MAX(0,Assumptions!$C$6-G2431))))</f>
        <v/>
      </c>
      <c r="AC2431">
        <f>IF(Y2431=1,Q2431-F2431,"")</f>
        <v/>
      </c>
      <c r="AD2431">
        <f>IF(Y2431=1,AC2431^2,"")</f>
        <v/>
      </c>
      <c r="AE2431" s="19">
        <f>IF(Z2431=1,(H2431-M2431)*I2431,0)</f>
        <v/>
      </c>
      <c r="AF2431">
        <f>IF(G2431&lt;EDATE(Assumptions!$C$6,-12)+1,"prior_12m","last_12m")</f>
        <v/>
      </c>
      <c r="AG2431" s="21">
        <f>DATE(YEAR(G2431),MONTH(G2431),1)</f>
        <v/>
      </c>
    </row>
    <row r="2432">
      <c r="A2432" t="inlineStr">
        <is>
          <t>SPO-01318-3</t>
        </is>
      </c>
      <c r="B2432" t="inlineStr">
        <is>
          <t>SPO-01318</t>
        </is>
      </c>
      <c r="C2432" t="inlineStr">
        <is>
          <t>SUP-04</t>
        </is>
      </c>
      <c r="D2432" t="inlineStr">
        <is>
          <t>FLEET</t>
        </is>
      </c>
      <c r="E2432" t="inlineStr">
        <is>
          <t>FLEET-06</t>
        </is>
      </c>
      <c r="F2432" s="17" t="n">
        <v>45935</v>
      </c>
      <c r="G2432" s="17" t="n">
        <v>45948</v>
      </c>
      <c r="H2432" s="18" t="n">
        <v>25</v>
      </c>
      <c r="I2432" s="19" t="n">
        <v>32.78</v>
      </c>
      <c r="J2432" s="19" t="n">
        <v>33</v>
      </c>
      <c r="K2432" s="20" t="n">
        <v>0</v>
      </c>
      <c r="L2432" s="20" t="n">
        <v>0</v>
      </c>
      <c r="M2432" s="18" t="n">
        <v>25</v>
      </c>
      <c r="N2432" s="18" t="n">
        <v>0</v>
      </c>
      <c r="O2432" s="18" t="n">
        <v>0</v>
      </c>
      <c r="P2432" s="17" t="n">
        <v>45951</v>
      </c>
      <c r="Q2432" s="17" t="n">
        <v>45951</v>
      </c>
      <c r="R2432" s="17" t="n">
        <v>45951</v>
      </c>
      <c r="S2432" s="19">
        <f>H2432*I2432</f>
        <v/>
      </c>
      <c r="T2432" s="19">
        <f>H2432*J2432</f>
        <v/>
      </c>
      <c r="U2432">
        <f>IF(AND(K2432=0,G2432&lt;=Assumptions!$C$6),1,0)</f>
        <v/>
      </c>
      <c r="V2432">
        <f>IF(U2432=1,IF(M2432&gt;0,IF(P2432&lt;=G2432+Assumptions!$C$7,1,0),0),0)</f>
        <v/>
      </c>
      <c r="W2432">
        <f>IF(AND(U2432=1,M2432&gt;=H2432*(1-Assumptions!$C$8)),1,0)</f>
        <v/>
      </c>
      <c r="X2432">
        <f>IF(AND(U2432=1,N2432&gt;=H2432*(1-Assumptions!$C$8)),1,0)</f>
        <v/>
      </c>
      <c r="Y2432">
        <f>IF(ISNUMBER(Q2432),1,0)</f>
        <v/>
      </c>
      <c r="Z2432">
        <f>IF(AND(K2432=0,L2432=0,Y2432=0),1,0)</f>
        <v/>
      </c>
      <c r="AA2432">
        <f>IF(AND(Z2432=1,G2432&lt;Assumptions!$C$6),1,0)</f>
        <v/>
      </c>
      <c r="AB2432">
        <f>IF(U2432=0,"",IF(Y2432=1,MAX(0,Q2432-G2432),IF(L2432=1,MAX(0,R2432-G2432),MAX(0,Assumptions!$C$6-G2432))))</f>
        <v/>
      </c>
      <c r="AC2432">
        <f>IF(Y2432=1,Q2432-F2432,"")</f>
        <v/>
      </c>
      <c r="AD2432">
        <f>IF(Y2432=1,AC2432^2,"")</f>
        <v/>
      </c>
      <c r="AE2432" s="19">
        <f>IF(Z2432=1,(H2432-M2432)*I2432,0)</f>
        <v/>
      </c>
      <c r="AF2432">
        <f>IF(G2432&lt;EDATE(Assumptions!$C$6,-12)+1,"prior_12m","last_12m")</f>
        <v/>
      </c>
      <c r="AG2432" s="21">
        <f>DATE(YEAR(G2432),MONTH(G2432),1)</f>
        <v/>
      </c>
    </row>
    <row r="2433">
      <c r="A2433" t="inlineStr">
        <is>
          <t>SPO-01319-1</t>
        </is>
      </c>
      <c r="B2433" t="inlineStr">
        <is>
          <t>SPO-01319</t>
        </is>
      </c>
      <c r="C2433" t="inlineStr">
        <is>
          <t>SUP-02</t>
        </is>
      </c>
      <c r="D2433" t="inlineStr">
        <is>
          <t>ELEC</t>
        </is>
      </c>
      <c r="E2433" t="inlineStr">
        <is>
          <t>ELEC-03</t>
        </is>
      </c>
      <c r="F2433" s="17" t="n">
        <v>45935</v>
      </c>
      <c r="G2433" s="17" t="n">
        <v>45951</v>
      </c>
      <c r="H2433" s="18" t="n">
        <v>9</v>
      </c>
      <c r="I2433" s="19" t="n">
        <v>97.81</v>
      </c>
      <c r="J2433" s="19" t="n">
        <v>96</v>
      </c>
      <c r="K2433" s="20" t="n">
        <v>0</v>
      </c>
      <c r="L2433" s="20" t="n">
        <v>0</v>
      </c>
      <c r="M2433" s="18" t="n">
        <v>9</v>
      </c>
      <c r="N2433" s="18" t="n">
        <v>7</v>
      </c>
      <c r="O2433" s="18" t="n">
        <v>0</v>
      </c>
      <c r="P2433" s="17" t="n">
        <v>45949</v>
      </c>
      <c r="Q2433" s="17" t="n">
        <v>45965</v>
      </c>
      <c r="R2433" s="17" t="n">
        <v>45965</v>
      </c>
      <c r="S2433" s="19">
        <f>H2433*I2433</f>
        <v/>
      </c>
      <c r="T2433" s="19">
        <f>H2433*J2433</f>
        <v/>
      </c>
      <c r="U2433">
        <f>IF(AND(K2433=0,G2433&lt;=Assumptions!$C$6),1,0)</f>
        <v/>
      </c>
      <c r="V2433">
        <f>IF(U2433=1,IF(M2433&gt;0,IF(P2433&lt;=G2433+Assumptions!$C$7,1,0),0),0)</f>
        <v/>
      </c>
      <c r="W2433">
        <f>IF(AND(U2433=1,M2433&gt;=H2433*(1-Assumptions!$C$8)),1,0)</f>
        <v/>
      </c>
      <c r="X2433">
        <f>IF(AND(U2433=1,N2433&gt;=H2433*(1-Assumptions!$C$8)),1,0)</f>
        <v/>
      </c>
      <c r="Y2433">
        <f>IF(ISNUMBER(Q2433),1,0)</f>
        <v/>
      </c>
      <c r="Z2433">
        <f>IF(AND(K2433=0,L2433=0,Y2433=0),1,0)</f>
        <v/>
      </c>
      <c r="AA2433">
        <f>IF(AND(Z2433=1,G2433&lt;Assumptions!$C$6),1,0)</f>
        <v/>
      </c>
      <c r="AB2433">
        <f>IF(U2433=0,"",IF(Y2433=1,MAX(0,Q2433-G2433),IF(L2433=1,MAX(0,R2433-G2433),MAX(0,Assumptions!$C$6-G2433))))</f>
        <v/>
      </c>
      <c r="AC2433">
        <f>IF(Y2433=1,Q2433-F2433,"")</f>
        <v/>
      </c>
      <c r="AD2433">
        <f>IF(Y2433=1,AC2433^2,"")</f>
        <v/>
      </c>
      <c r="AE2433" s="19">
        <f>IF(Z2433=1,(H2433-M2433)*I2433,0)</f>
        <v/>
      </c>
      <c r="AF2433">
        <f>IF(G2433&lt;EDATE(Assumptions!$C$6,-12)+1,"prior_12m","last_12m")</f>
        <v/>
      </c>
      <c r="AG2433" s="21">
        <f>DATE(YEAR(G2433),MONTH(G2433),1)</f>
        <v/>
      </c>
    </row>
    <row r="2434">
      <c r="A2434" t="inlineStr">
        <is>
          <t>SPO-01320-1</t>
        </is>
      </c>
      <c r="B2434" t="inlineStr">
        <is>
          <t>SPO-01320</t>
        </is>
      </c>
      <c r="C2434" t="inlineStr">
        <is>
          <t>SUP-12</t>
        </is>
      </c>
      <c r="D2434" t="inlineStr">
        <is>
          <t>IT</t>
        </is>
      </c>
      <c r="E2434" t="inlineStr">
        <is>
          <t>IT-01</t>
        </is>
      </c>
      <c r="F2434" s="17" t="n">
        <v>45935</v>
      </c>
      <c r="G2434" s="17" t="n">
        <v>45945</v>
      </c>
      <c r="H2434" s="18" t="n">
        <v>5</v>
      </c>
      <c r="I2434" s="19" t="n">
        <v>212.06</v>
      </c>
      <c r="J2434" s="19" t="n">
        <v>189</v>
      </c>
      <c r="K2434" s="20" t="n">
        <v>0</v>
      </c>
      <c r="L2434" s="20" t="n">
        <v>0</v>
      </c>
      <c r="M2434" s="18" t="n">
        <v>5</v>
      </c>
      <c r="N2434" s="18" t="n">
        <v>5</v>
      </c>
      <c r="O2434" s="18" t="n">
        <v>0</v>
      </c>
      <c r="P2434" s="17" t="n">
        <v>45940</v>
      </c>
      <c r="Q2434" s="17" t="n">
        <v>45940</v>
      </c>
      <c r="R2434" s="17" t="n">
        <v>45940</v>
      </c>
      <c r="S2434" s="19">
        <f>H2434*I2434</f>
        <v/>
      </c>
      <c r="T2434" s="19">
        <f>H2434*J2434</f>
        <v/>
      </c>
      <c r="U2434">
        <f>IF(AND(K2434=0,G2434&lt;=Assumptions!$C$6),1,0)</f>
        <v/>
      </c>
      <c r="V2434">
        <f>IF(U2434=1,IF(M2434&gt;0,IF(P2434&lt;=G2434+Assumptions!$C$7,1,0),0),0)</f>
        <v/>
      </c>
      <c r="W2434">
        <f>IF(AND(U2434=1,M2434&gt;=H2434*(1-Assumptions!$C$8)),1,0)</f>
        <v/>
      </c>
      <c r="X2434">
        <f>IF(AND(U2434=1,N2434&gt;=H2434*(1-Assumptions!$C$8)),1,0)</f>
        <v/>
      </c>
      <c r="Y2434">
        <f>IF(ISNUMBER(Q2434),1,0)</f>
        <v/>
      </c>
      <c r="Z2434">
        <f>IF(AND(K2434=0,L2434=0,Y2434=0),1,0)</f>
        <v/>
      </c>
      <c r="AA2434">
        <f>IF(AND(Z2434=1,G2434&lt;Assumptions!$C$6),1,0)</f>
        <v/>
      </c>
      <c r="AB2434">
        <f>IF(U2434=0,"",IF(Y2434=1,MAX(0,Q2434-G2434),IF(L2434=1,MAX(0,R2434-G2434),MAX(0,Assumptions!$C$6-G2434))))</f>
        <v/>
      </c>
      <c r="AC2434">
        <f>IF(Y2434=1,Q2434-F2434,"")</f>
        <v/>
      </c>
      <c r="AD2434">
        <f>IF(Y2434=1,AC2434^2,"")</f>
        <v/>
      </c>
      <c r="AE2434" s="19">
        <f>IF(Z2434=1,(H2434-M2434)*I2434,0)</f>
        <v/>
      </c>
      <c r="AF2434">
        <f>IF(G2434&lt;EDATE(Assumptions!$C$6,-12)+1,"prior_12m","last_12m")</f>
        <v/>
      </c>
      <c r="AG2434" s="21">
        <f>DATE(YEAR(G2434),MONTH(G2434),1)</f>
        <v/>
      </c>
    </row>
    <row r="2435">
      <c r="A2435" t="inlineStr">
        <is>
          <t>SPO-01321-1</t>
        </is>
      </c>
      <c r="B2435" t="inlineStr">
        <is>
          <t>SPO-01321</t>
        </is>
      </c>
      <c r="C2435" t="inlineStr">
        <is>
          <t>SUP-02</t>
        </is>
      </c>
      <c r="D2435" t="inlineStr">
        <is>
          <t>ELEC</t>
        </is>
      </c>
      <c r="E2435" t="inlineStr">
        <is>
          <t>ELEC-04</t>
        </is>
      </c>
      <c r="F2435" s="17" t="n">
        <v>45936</v>
      </c>
      <c r="G2435" s="17" t="n">
        <v>45952</v>
      </c>
      <c r="H2435" s="18" t="n">
        <v>49</v>
      </c>
      <c r="I2435" s="19" t="n">
        <v>72.23999999999999</v>
      </c>
      <c r="J2435" s="19" t="n">
        <v>72</v>
      </c>
      <c r="K2435" s="20" t="n">
        <v>0</v>
      </c>
      <c r="L2435" s="20" t="n">
        <v>0</v>
      </c>
      <c r="M2435" s="18" t="n">
        <v>49</v>
      </c>
      <c r="N2435" s="18" t="n">
        <v>49</v>
      </c>
      <c r="O2435" s="18" t="n">
        <v>0</v>
      </c>
      <c r="P2435" s="17" t="n">
        <v>45950</v>
      </c>
      <c r="Q2435" s="17" t="n">
        <v>45950</v>
      </c>
      <c r="R2435" s="17" t="n">
        <v>45950</v>
      </c>
      <c r="S2435" s="19">
        <f>H2435*I2435</f>
        <v/>
      </c>
      <c r="T2435" s="19">
        <f>H2435*J2435</f>
        <v/>
      </c>
      <c r="U2435">
        <f>IF(AND(K2435=0,G2435&lt;=Assumptions!$C$6),1,0)</f>
        <v/>
      </c>
      <c r="V2435">
        <f>IF(U2435=1,IF(M2435&gt;0,IF(P2435&lt;=G2435+Assumptions!$C$7,1,0),0),0)</f>
        <v/>
      </c>
      <c r="W2435">
        <f>IF(AND(U2435=1,M2435&gt;=H2435*(1-Assumptions!$C$8)),1,0)</f>
        <v/>
      </c>
      <c r="X2435">
        <f>IF(AND(U2435=1,N2435&gt;=H2435*(1-Assumptions!$C$8)),1,0)</f>
        <v/>
      </c>
      <c r="Y2435">
        <f>IF(ISNUMBER(Q2435),1,0)</f>
        <v/>
      </c>
      <c r="Z2435">
        <f>IF(AND(K2435=0,L2435=0,Y2435=0),1,0)</f>
        <v/>
      </c>
      <c r="AA2435">
        <f>IF(AND(Z2435=1,G2435&lt;Assumptions!$C$6),1,0)</f>
        <v/>
      </c>
      <c r="AB2435">
        <f>IF(U2435=0,"",IF(Y2435=1,MAX(0,Q2435-G2435),IF(L2435=1,MAX(0,R2435-G2435),MAX(0,Assumptions!$C$6-G2435))))</f>
        <v/>
      </c>
      <c r="AC2435">
        <f>IF(Y2435=1,Q2435-F2435,"")</f>
        <v/>
      </c>
      <c r="AD2435">
        <f>IF(Y2435=1,AC2435^2,"")</f>
        <v/>
      </c>
      <c r="AE2435" s="19">
        <f>IF(Z2435=1,(H2435-M2435)*I2435,0)</f>
        <v/>
      </c>
      <c r="AF2435">
        <f>IF(G2435&lt;EDATE(Assumptions!$C$6,-12)+1,"prior_12m","last_12m")</f>
        <v/>
      </c>
      <c r="AG2435" s="21">
        <f>DATE(YEAR(G2435),MONTH(G2435),1)</f>
        <v/>
      </c>
    </row>
    <row r="2436">
      <c r="A2436" t="inlineStr">
        <is>
          <t>SPO-01322-1</t>
        </is>
      </c>
      <c r="B2436" t="inlineStr">
        <is>
          <t>SPO-01322</t>
        </is>
      </c>
      <c r="C2436" t="inlineStr">
        <is>
          <t>SUP-01</t>
        </is>
      </c>
      <c r="D2436" t="inlineStr">
        <is>
          <t>ELEC</t>
        </is>
      </c>
      <c r="E2436" t="inlineStr">
        <is>
          <t>ELEC-07</t>
        </is>
      </c>
      <c r="F2436" s="17" t="n">
        <v>45936</v>
      </c>
      <c r="G2436" s="17" t="n">
        <v>45954</v>
      </c>
      <c r="H2436" s="18" t="n">
        <v>122</v>
      </c>
      <c r="I2436" s="19" t="n">
        <v>9.66</v>
      </c>
      <c r="J2436" s="19" t="n">
        <v>9.800000000000001</v>
      </c>
      <c r="K2436" s="20" t="n">
        <v>0</v>
      </c>
      <c r="L2436" s="20" t="n">
        <v>0</v>
      </c>
      <c r="M2436" s="18" t="n">
        <v>122</v>
      </c>
      <c r="N2436" s="18" t="n">
        <v>60</v>
      </c>
      <c r="O2436" s="18" t="n">
        <v>0</v>
      </c>
      <c r="P2436" s="17" t="n">
        <v>45946</v>
      </c>
      <c r="Q2436" s="17" t="n">
        <v>45955</v>
      </c>
      <c r="R2436" s="17" t="n">
        <v>45955</v>
      </c>
      <c r="S2436" s="19">
        <f>H2436*I2436</f>
        <v/>
      </c>
      <c r="T2436" s="19">
        <f>H2436*J2436</f>
        <v/>
      </c>
      <c r="U2436">
        <f>IF(AND(K2436=0,G2436&lt;=Assumptions!$C$6),1,0)</f>
        <v/>
      </c>
      <c r="V2436">
        <f>IF(U2436=1,IF(M2436&gt;0,IF(P2436&lt;=G2436+Assumptions!$C$7,1,0),0),0)</f>
        <v/>
      </c>
      <c r="W2436">
        <f>IF(AND(U2436=1,M2436&gt;=H2436*(1-Assumptions!$C$8)),1,0)</f>
        <v/>
      </c>
      <c r="X2436">
        <f>IF(AND(U2436=1,N2436&gt;=H2436*(1-Assumptions!$C$8)),1,0)</f>
        <v/>
      </c>
      <c r="Y2436">
        <f>IF(ISNUMBER(Q2436),1,0)</f>
        <v/>
      </c>
      <c r="Z2436">
        <f>IF(AND(K2436=0,L2436=0,Y2436=0),1,0)</f>
        <v/>
      </c>
      <c r="AA2436">
        <f>IF(AND(Z2436=1,G2436&lt;Assumptions!$C$6),1,0)</f>
        <v/>
      </c>
      <c r="AB2436">
        <f>IF(U2436=0,"",IF(Y2436=1,MAX(0,Q2436-G2436),IF(L2436=1,MAX(0,R2436-G2436),MAX(0,Assumptions!$C$6-G2436))))</f>
        <v/>
      </c>
      <c r="AC2436">
        <f>IF(Y2436=1,Q2436-F2436,"")</f>
        <v/>
      </c>
      <c r="AD2436">
        <f>IF(Y2436=1,AC2436^2,"")</f>
        <v/>
      </c>
      <c r="AE2436" s="19">
        <f>IF(Z2436=1,(H2436-M2436)*I2436,0)</f>
        <v/>
      </c>
      <c r="AF2436">
        <f>IF(G2436&lt;EDATE(Assumptions!$C$6,-12)+1,"prior_12m","last_12m")</f>
        <v/>
      </c>
      <c r="AG2436" s="21">
        <f>DATE(YEAR(G2436),MONTH(G2436),1)</f>
        <v/>
      </c>
    </row>
    <row r="2437">
      <c r="A2437" t="inlineStr">
        <is>
          <t>SPO-01322-2</t>
        </is>
      </c>
      <c r="B2437" t="inlineStr">
        <is>
          <t>SPO-01322</t>
        </is>
      </c>
      <c r="C2437" t="inlineStr">
        <is>
          <t>SUP-01</t>
        </is>
      </c>
      <c r="D2437" t="inlineStr">
        <is>
          <t>ELEC</t>
        </is>
      </c>
      <c r="E2437" t="inlineStr">
        <is>
          <t>ELEC-06</t>
        </is>
      </c>
      <c r="F2437" s="17" t="n">
        <v>45936</v>
      </c>
      <c r="G2437" s="17" t="n">
        <v>45954</v>
      </c>
      <c r="H2437" s="18" t="n">
        <v>19</v>
      </c>
      <c r="I2437" s="19" t="n">
        <v>146.88</v>
      </c>
      <c r="J2437" s="19" t="n">
        <v>145</v>
      </c>
      <c r="K2437" s="20" t="n">
        <v>0</v>
      </c>
      <c r="L2437" s="20" t="n">
        <v>0</v>
      </c>
      <c r="M2437" s="18" t="n">
        <v>19</v>
      </c>
      <c r="N2437" s="18" t="n">
        <v>13</v>
      </c>
      <c r="O2437" s="18" t="n">
        <v>0</v>
      </c>
      <c r="P2437" s="17" t="n">
        <v>45948</v>
      </c>
      <c r="Q2437" s="17" t="n">
        <v>45960</v>
      </c>
      <c r="R2437" s="17" t="n">
        <v>45960</v>
      </c>
      <c r="S2437" s="19">
        <f>H2437*I2437</f>
        <v/>
      </c>
      <c r="T2437" s="19">
        <f>H2437*J2437</f>
        <v/>
      </c>
      <c r="U2437">
        <f>IF(AND(K2437=0,G2437&lt;=Assumptions!$C$6),1,0)</f>
        <v/>
      </c>
      <c r="V2437">
        <f>IF(U2437=1,IF(M2437&gt;0,IF(P2437&lt;=G2437+Assumptions!$C$7,1,0),0),0)</f>
        <v/>
      </c>
      <c r="W2437">
        <f>IF(AND(U2437=1,M2437&gt;=H2437*(1-Assumptions!$C$8)),1,0)</f>
        <v/>
      </c>
      <c r="X2437">
        <f>IF(AND(U2437=1,N2437&gt;=H2437*(1-Assumptions!$C$8)),1,0)</f>
        <v/>
      </c>
      <c r="Y2437">
        <f>IF(ISNUMBER(Q2437),1,0)</f>
        <v/>
      </c>
      <c r="Z2437">
        <f>IF(AND(K2437=0,L2437=0,Y2437=0),1,0)</f>
        <v/>
      </c>
      <c r="AA2437">
        <f>IF(AND(Z2437=1,G2437&lt;Assumptions!$C$6),1,0)</f>
        <v/>
      </c>
      <c r="AB2437">
        <f>IF(U2437=0,"",IF(Y2437=1,MAX(0,Q2437-G2437),IF(L2437=1,MAX(0,R2437-G2437),MAX(0,Assumptions!$C$6-G2437))))</f>
        <v/>
      </c>
      <c r="AC2437">
        <f>IF(Y2437=1,Q2437-F2437,"")</f>
        <v/>
      </c>
      <c r="AD2437">
        <f>IF(Y2437=1,AC2437^2,"")</f>
        <v/>
      </c>
      <c r="AE2437" s="19">
        <f>IF(Z2437=1,(H2437-M2437)*I2437,0)</f>
        <v/>
      </c>
      <c r="AF2437">
        <f>IF(G2437&lt;EDATE(Assumptions!$C$6,-12)+1,"prior_12m","last_12m")</f>
        <v/>
      </c>
      <c r="AG2437" s="21">
        <f>DATE(YEAR(G2437),MONTH(G2437),1)</f>
        <v/>
      </c>
    </row>
    <row r="2438">
      <c r="A2438" t="inlineStr">
        <is>
          <t>SPO-01323-1</t>
        </is>
      </c>
      <c r="B2438" t="inlineStr">
        <is>
          <t>SPO-01323</t>
        </is>
      </c>
      <c r="C2438" t="inlineStr">
        <is>
          <t>SUP-06</t>
        </is>
      </c>
      <c r="D2438" t="inlineStr">
        <is>
          <t>MRO</t>
        </is>
      </c>
      <c r="E2438" t="inlineStr">
        <is>
          <t>MRO-01</t>
        </is>
      </c>
      <c r="F2438" s="17" t="n">
        <v>45937</v>
      </c>
      <c r="G2438" s="17" t="n">
        <v>45945</v>
      </c>
      <c r="H2438" s="18" t="n">
        <v>34</v>
      </c>
      <c r="I2438" s="19" t="n">
        <v>53.44</v>
      </c>
      <c r="J2438" s="19" t="n">
        <v>52</v>
      </c>
      <c r="K2438" s="20" t="n">
        <v>0</v>
      </c>
      <c r="L2438" s="20" t="n">
        <v>0</v>
      </c>
      <c r="M2438" s="18" t="n">
        <v>34</v>
      </c>
      <c r="N2438" s="18" t="n">
        <v>34</v>
      </c>
      <c r="O2438" s="18" t="n">
        <v>0</v>
      </c>
      <c r="P2438" s="17" t="n">
        <v>45942</v>
      </c>
      <c r="Q2438" s="17" t="n">
        <v>45942</v>
      </c>
      <c r="R2438" s="17" t="n">
        <v>45942</v>
      </c>
      <c r="S2438" s="19">
        <f>H2438*I2438</f>
        <v/>
      </c>
      <c r="T2438" s="19">
        <f>H2438*J2438</f>
        <v/>
      </c>
      <c r="U2438">
        <f>IF(AND(K2438=0,G2438&lt;=Assumptions!$C$6),1,0)</f>
        <v/>
      </c>
      <c r="V2438">
        <f>IF(U2438=1,IF(M2438&gt;0,IF(P2438&lt;=G2438+Assumptions!$C$7,1,0),0),0)</f>
        <v/>
      </c>
      <c r="W2438">
        <f>IF(AND(U2438=1,M2438&gt;=H2438*(1-Assumptions!$C$8)),1,0)</f>
        <v/>
      </c>
      <c r="X2438">
        <f>IF(AND(U2438=1,N2438&gt;=H2438*(1-Assumptions!$C$8)),1,0)</f>
        <v/>
      </c>
      <c r="Y2438">
        <f>IF(ISNUMBER(Q2438),1,0)</f>
        <v/>
      </c>
      <c r="Z2438">
        <f>IF(AND(K2438=0,L2438=0,Y2438=0),1,0)</f>
        <v/>
      </c>
      <c r="AA2438">
        <f>IF(AND(Z2438=1,G2438&lt;Assumptions!$C$6),1,0)</f>
        <v/>
      </c>
      <c r="AB2438">
        <f>IF(U2438=0,"",IF(Y2438=1,MAX(0,Q2438-G2438),IF(L2438=1,MAX(0,R2438-G2438),MAX(0,Assumptions!$C$6-G2438))))</f>
        <v/>
      </c>
      <c r="AC2438">
        <f>IF(Y2438=1,Q2438-F2438,"")</f>
        <v/>
      </c>
      <c r="AD2438">
        <f>IF(Y2438=1,AC2438^2,"")</f>
        <v/>
      </c>
      <c r="AE2438" s="19">
        <f>IF(Z2438=1,(H2438-M2438)*I2438,0)</f>
        <v/>
      </c>
      <c r="AF2438">
        <f>IF(G2438&lt;EDATE(Assumptions!$C$6,-12)+1,"prior_12m","last_12m")</f>
        <v/>
      </c>
      <c r="AG2438" s="21">
        <f>DATE(YEAR(G2438),MONTH(G2438),1)</f>
        <v/>
      </c>
    </row>
    <row r="2439">
      <c r="A2439" t="inlineStr">
        <is>
          <t>SPO-01323-2</t>
        </is>
      </c>
      <c r="B2439" t="inlineStr">
        <is>
          <t>SPO-01323</t>
        </is>
      </c>
      <c r="C2439" t="inlineStr">
        <is>
          <t>SUP-06</t>
        </is>
      </c>
      <c r="D2439" t="inlineStr">
        <is>
          <t>MRO</t>
        </is>
      </c>
      <c r="E2439" t="inlineStr">
        <is>
          <t>MRO-07</t>
        </is>
      </c>
      <c r="F2439" s="17" t="n">
        <v>45937</v>
      </c>
      <c r="G2439" s="17" t="n">
        <v>45945</v>
      </c>
      <c r="H2439" s="18" t="n">
        <v>167</v>
      </c>
      <c r="I2439" s="19" t="n">
        <v>13.97</v>
      </c>
      <c r="J2439" s="19" t="n">
        <v>14</v>
      </c>
      <c r="K2439" s="20" t="n">
        <v>0</v>
      </c>
      <c r="L2439" s="20" t="n">
        <v>0</v>
      </c>
      <c r="M2439" s="18" t="n">
        <v>167</v>
      </c>
      <c r="N2439" s="18" t="n">
        <v>167</v>
      </c>
      <c r="O2439" s="18" t="n">
        <v>0</v>
      </c>
      <c r="P2439" s="17" t="n">
        <v>45942</v>
      </c>
      <c r="Q2439" s="17" t="n">
        <v>45942</v>
      </c>
      <c r="R2439" s="17" t="n">
        <v>45942</v>
      </c>
      <c r="S2439" s="19">
        <f>H2439*I2439</f>
        <v/>
      </c>
      <c r="T2439" s="19">
        <f>H2439*J2439</f>
        <v/>
      </c>
      <c r="U2439">
        <f>IF(AND(K2439=0,G2439&lt;=Assumptions!$C$6),1,0)</f>
        <v/>
      </c>
      <c r="V2439">
        <f>IF(U2439=1,IF(M2439&gt;0,IF(P2439&lt;=G2439+Assumptions!$C$7,1,0),0),0)</f>
        <v/>
      </c>
      <c r="W2439">
        <f>IF(AND(U2439=1,M2439&gt;=H2439*(1-Assumptions!$C$8)),1,0)</f>
        <v/>
      </c>
      <c r="X2439">
        <f>IF(AND(U2439=1,N2439&gt;=H2439*(1-Assumptions!$C$8)),1,0)</f>
        <v/>
      </c>
      <c r="Y2439">
        <f>IF(ISNUMBER(Q2439),1,0)</f>
        <v/>
      </c>
      <c r="Z2439">
        <f>IF(AND(K2439=0,L2439=0,Y2439=0),1,0)</f>
        <v/>
      </c>
      <c r="AA2439">
        <f>IF(AND(Z2439=1,G2439&lt;Assumptions!$C$6),1,0)</f>
        <v/>
      </c>
      <c r="AB2439">
        <f>IF(U2439=0,"",IF(Y2439=1,MAX(0,Q2439-G2439),IF(L2439=1,MAX(0,R2439-G2439),MAX(0,Assumptions!$C$6-G2439))))</f>
        <v/>
      </c>
      <c r="AC2439">
        <f>IF(Y2439=1,Q2439-F2439,"")</f>
        <v/>
      </c>
      <c r="AD2439">
        <f>IF(Y2439=1,AC2439^2,"")</f>
        <v/>
      </c>
      <c r="AE2439" s="19">
        <f>IF(Z2439=1,(H2439-M2439)*I2439,0)</f>
        <v/>
      </c>
      <c r="AF2439">
        <f>IF(G2439&lt;EDATE(Assumptions!$C$6,-12)+1,"prior_12m","last_12m")</f>
        <v/>
      </c>
      <c r="AG2439" s="21">
        <f>DATE(YEAR(G2439),MONTH(G2439),1)</f>
        <v/>
      </c>
    </row>
    <row r="2440">
      <c r="A2440" t="inlineStr">
        <is>
          <t>SPO-01324-1</t>
        </is>
      </c>
      <c r="B2440" t="inlineStr">
        <is>
          <t>SPO-01324</t>
        </is>
      </c>
      <c r="C2440" t="inlineStr">
        <is>
          <t>SUP-02</t>
        </is>
      </c>
      <c r="D2440" t="inlineStr">
        <is>
          <t>ELEC</t>
        </is>
      </c>
      <c r="E2440" t="inlineStr">
        <is>
          <t>ELEC-08</t>
        </is>
      </c>
      <c r="F2440" s="17" t="n">
        <v>45937</v>
      </c>
      <c r="G2440" s="17" t="n">
        <v>45953</v>
      </c>
      <c r="H2440" s="18" t="n">
        <v>69</v>
      </c>
      <c r="I2440" s="19" t="n">
        <v>18.98</v>
      </c>
      <c r="J2440" s="19" t="n">
        <v>18</v>
      </c>
      <c r="K2440" s="20" t="n">
        <v>0</v>
      </c>
      <c r="L2440" s="20" t="n">
        <v>0</v>
      </c>
      <c r="M2440" s="18" t="n">
        <v>69</v>
      </c>
      <c r="N2440" s="18" t="n">
        <v>69</v>
      </c>
      <c r="O2440" s="18" t="n">
        <v>0</v>
      </c>
      <c r="P2440" s="17" t="n">
        <v>45950</v>
      </c>
      <c r="Q2440" s="17" t="n">
        <v>45950</v>
      </c>
      <c r="R2440" s="17" t="n">
        <v>45950</v>
      </c>
      <c r="S2440" s="19">
        <f>H2440*I2440</f>
        <v/>
      </c>
      <c r="T2440" s="19">
        <f>H2440*J2440</f>
        <v/>
      </c>
      <c r="U2440">
        <f>IF(AND(K2440=0,G2440&lt;=Assumptions!$C$6),1,0)</f>
        <v/>
      </c>
      <c r="V2440">
        <f>IF(U2440=1,IF(M2440&gt;0,IF(P2440&lt;=G2440+Assumptions!$C$7,1,0),0),0)</f>
        <v/>
      </c>
      <c r="W2440">
        <f>IF(AND(U2440=1,M2440&gt;=H2440*(1-Assumptions!$C$8)),1,0)</f>
        <v/>
      </c>
      <c r="X2440">
        <f>IF(AND(U2440=1,N2440&gt;=H2440*(1-Assumptions!$C$8)),1,0)</f>
        <v/>
      </c>
      <c r="Y2440">
        <f>IF(ISNUMBER(Q2440),1,0)</f>
        <v/>
      </c>
      <c r="Z2440">
        <f>IF(AND(K2440=0,L2440=0,Y2440=0),1,0)</f>
        <v/>
      </c>
      <c r="AA2440">
        <f>IF(AND(Z2440=1,G2440&lt;Assumptions!$C$6),1,0)</f>
        <v/>
      </c>
      <c r="AB2440">
        <f>IF(U2440=0,"",IF(Y2440=1,MAX(0,Q2440-G2440),IF(L2440=1,MAX(0,R2440-G2440),MAX(0,Assumptions!$C$6-G2440))))</f>
        <v/>
      </c>
      <c r="AC2440">
        <f>IF(Y2440=1,Q2440-F2440,"")</f>
        <v/>
      </c>
      <c r="AD2440">
        <f>IF(Y2440=1,AC2440^2,"")</f>
        <v/>
      </c>
      <c r="AE2440" s="19">
        <f>IF(Z2440=1,(H2440-M2440)*I2440,0)</f>
        <v/>
      </c>
      <c r="AF2440">
        <f>IF(G2440&lt;EDATE(Assumptions!$C$6,-12)+1,"prior_12m","last_12m")</f>
        <v/>
      </c>
      <c r="AG2440" s="21">
        <f>DATE(YEAR(G2440),MONTH(G2440),1)</f>
        <v/>
      </c>
    </row>
    <row r="2441">
      <c r="A2441" t="inlineStr">
        <is>
          <t>SPO-01324-2</t>
        </is>
      </c>
      <c r="B2441" t="inlineStr">
        <is>
          <t>SPO-01324</t>
        </is>
      </c>
      <c r="C2441" t="inlineStr">
        <is>
          <t>SUP-02</t>
        </is>
      </c>
      <c r="D2441" t="inlineStr">
        <is>
          <t>ELEC</t>
        </is>
      </c>
      <c r="E2441" t="inlineStr">
        <is>
          <t>ELEC-03</t>
        </is>
      </c>
      <c r="F2441" s="17" t="n">
        <v>45937</v>
      </c>
      <c r="G2441" s="17" t="n">
        <v>45953</v>
      </c>
      <c r="H2441" s="18" t="n">
        <v>17</v>
      </c>
      <c r="I2441" s="19" t="n">
        <v>95.05</v>
      </c>
      <c r="J2441" s="19" t="n">
        <v>96</v>
      </c>
      <c r="K2441" s="20" t="n">
        <v>0</v>
      </c>
      <c r="L2441" s="20" t="n">
        <v>0</v>
      </c>
      <c r="M2441" s="18" t="n">
        <v>17</v>
      </c>
      <c r="N2441" s="18" t="n">
        <v>17</v>
      </c>
      <c r="O2441" s="18" t="n">
        <v>0</v>
      </c>
      <c r="P2441" s="17" t="n">
        <v>45950</v>
      </c>
      <c r="Q2441" s="17" t="n">
        <v>45950</v>
      </c>
      <c r="R2441" s="17" t="n">
        <v>45950</v>
      </c>
      <c r="S2441" s="19">
        <f>H2441*I2441</f>
        <v/>
      </c>
      <c r="T2441" s="19">
        <f>H2441*J2441</f>
        <v/>
      </c>
      <c r="U2441">
        <f>IF(AND(K2441=0,G2441&lt;=Assumptions!$C$6),1,0)</f>
        <v/>
      </c>
      <c r="V2441">
        <f>IF(U2441=1,IF(M2441&gt;0,IF(P2441&lt;=G2441+Assumptions!$C$7,1,0),0),0)</f>
        <v/>
      </c>
      <c r="W2441">
        <f>IF(AND(U2441=1,M2441&gt;=H2441*(1-Assumptions!$C$8)),1,0)</f>
        <v/>
      </c>
      <c r="X2441">
        <f>IF(AND(U2441=1,N2441&gt;=H2441*(1-Assumptions!$C$8)),1,0)</f>
        <v/>
      </c>
      <c r="Y2441">
        <f>IF(ISNUMBER(Q2441),1,0)</f>
        <v/>
      </c>
      <c r="Z2441">
        <f>IF(AND(K2441=0,L2441=0,Y2441=0),1,0)</f>
        <v/>
      </c>
      <c r="AA2441">
        <f>IF(AND(Z2441=1,G2441&lt;Assumptions!$C$6),1,0)</f>
        <v/>
      </c>
      <c r="AB2441">
        <f>IF(U2441=0,"",IF(Y2441=1,MAX(0,Q2441-G2441),IF(L2441=1,MAX(0,R2441-G2441),MAX(0,Assumptions!$C$6-G2441))))</f>
        <v/>
      </c>
      <c r="AC2441">
        <f>IF(Y2441=1,Q2441-F2441,"")</f>
        <v/>
      </c>
      <c r="AD2441">
        <f>IF(Y2441=1,AC2441^2,"")</f>
        <v/>
      </c>
      <c r="AE2441" s="19">
        <f>IF(Z2441=1,(H2441-M2441)*I2441,0)</f>
        <v/>
      </c>
      <c r="AF2441">
        <f>IF(G2441&lt;EDATE(Assumptions!$C$6,-12)+1,"prior_12m","last_12m")</f>
        <v/>
      </c>
      <c r="AG2441" s="21">
        <f>DATE(YEAR(G2441),MONTH(G2441),1)</f>
        <v/>
      </c>
    </row>
    <row r="2442">
      <c r="A2442" t="inlineStr">
        <is>
          <t>SPO-01324-3</t>
        </is>
      </c>
      <c r="B2442" t="inlineStr">
        <is>
          <t>SPO-01324</t>
        </is>
      </c>
      <c r="C2442" t="inlineStr">
        <is>
          <t>SUP-02</t>
        </is>
      </c>
      <c r="D2442" t="inlineStr">
        <is>
          <t>ELEC</t>
        </is>
      </c>
      <c r="E2442" t="inlineStr">
        <is>
          <t>ELEC-06</t>
        </is>
      </c>
      <c r="F2442" s="17" t="n">
        <v>45937</v>
      </c>
      <c r="G2442" s="17" t="n">
        <v>45953</v>
      </c>
      <c r="H2442" s="18" t="n">
        <v>14</v>
      </c>
      <c r="I2442" s="19" t="n">
        <v>146.87</v>
      </c>
      <c r="J2442" s="19" t="n">
        <v>145</v>
      </c>
      <c r="K2442" s="20" t="n">
        <v>0</v>
      </c>
      <c r="L2442" s="20" t="n">
        <v>0</v>
      </c>
      <c r="M2442" s="18" t="n">
        <v>14</v>
      </c>
      <c r="N2442" s="18" t="n">
        <v>14</v>
      </c>
      <c r="O2442" s="18" t="n">
        <v>0</v>
      </c>
      <c r="P2442" s="17" t="n">
        <v>45950</v>
      </c>
      <c r="Q2442" s="17" t="n">
        <v>45950</v>
      </c>
      <c r="R2442" s="17" t="n">
        <v>45950</v>
      </c>
      <c r="S2442" s="19">
        <f>H2442*I2442</f>
        <v/>
      </c>
      <c r="T2442" s="19">
        <f>H2442*J2442</f>
        <v/>
      </c>
      <c r="U2442">
        <f>IF(AND(K2442=0,G2442&lt;=Assumptions!$C$6),1,0)</f>
        <v/>
      </c>
      <c r="V2442">
        <f>IF(U2442=1,IF(M2442&gt;0,IF(P2442&lt;=G2442+Assumptions!$C$7,1,0),0),0)</f>
        <v/>
      </c>
      <c r="W2442">
        <f>IF(AND(U2442=1,M2442&gt;=H2442*(1-Assumptions!$C$8)),1,0)</f>
        <v/>
      </c>
      <c r="X2442">
        <f>IF(AND(U2442=1,N2442&gt;=H2442*(1-Assumptions!$C$8)),1,0)</f>
        <v/>
      </c>
      <c r="Y2442">
        <f>IF(ISNUMBER(Q2442),1,0)</f>
        <v/>
      </c>
      <c r="Z2442">
        <f>IF(AND(K2442=0,L2442=0,Y2442=0),1,0)</f>
        <v/>
      </c>
      <c r="AA2442">
        <f>IF(AND(Z2442=1,G2442&lt;Assumptions!$C$6),1,0)</f>
        <v/>
      </c>
      <c r="AB2442">
        <f>IF(U2442=0,"",IF(Y2442=1,MAX(0,Q2442-G2442),IF(L2442=1,MAX(0,R2442-G2442),MAX(0,Assumptions!$C$6-G2442))))</f>
        <v/>
      </c>
      <c r="AC2442">
        <f>IF(Y2442=1,Q2442-F2442,"")</f>
        <v/>
      </c>
      <c r="AD2442">
        <f>IF(Y2442=1,AC2442^2,"")</f>
        <v/>
      </c>
      <c r="AE2442" s="19">
        <f>IF(Z2442=1,(H2442-M2442)*I2442,0)</f>
        <v/>
      </c>
      <c r="AF2442">
        <f>IF(G2442&lt;EDATE(Assumptions!$C$6,-12)+1,"prior_12m","last_12m")</f>
        <v/>
      </c>
      <c r="AG2442" s="21">
        <f>DATE(YEAR(G2442),MONTH(G2442),1)</f>
        <v/>
      </c>
    </row>
    <row r="2443">
      <c r="A2443" t="inlineStr">
        <is>
          <t>SPO-01324-4</t>
        </is>
      </c>
      <c r="B2443" t="inlineStr">
        <is>
          <t>SPO-01324</t>
        </is>
      </c>
      <c r="C2443" t="inlineStr">
        <is>
          <t>SUP-02</t>
        </is>
      </c>
      <c r="D2443" t="inlineStr">
        <is>
          <t>ELEC</t>
        </is>
      </c>
      <c r="E2443" t="inlineStr">
        <is>
          <t>ELEC-05</t>
        </is>
      </c>
      <c r="F2443" s="17" t="n">
        <v>45937</v>
      </c>
      <c r="G2443" s="17" t="n">
        <v>45953</v>
      </c>
      <c r="H2443" s="18" t="n">
        <v>115</v>
      </c>
      <c r="I2443" s="19" t="n">
        <v>11.52</v>
      </c>
      <c r="J2443" s="19" t="n">
        <v>11.5</v>
      </c>
      <c r="K2443" s="20" t="n">
        <v>0</v>
      </c>
      <c r="L2443" s="20" t="n">
        <v>0</v>
      </c>
      <c r="M2443" s="18" t="n">
        <v>115</v>
      </c>
      <c r="N2443" s="18" t="n">
        <v>115</v>
      </c>
      <c r="O2443" s="18" t="n">
        <v>0</v>
      </c>
      <c r="P2443" s="17" t="n">
        <v>45948</v>
      </c>
      <c r="Q2443" s="17" t="n">
        <v>45948</v>
      </c>
      <c r="R2443" s="17" t="n">
        <v>45948</v>
      </c>
      <c r="S2443" s="19">
        <f>H2443*I2443</f>
        <v/>
      </c>
      <c r="T2443" s="19">
        <f>H2443*J2443</f>
        <v/>
      </c>
      <c r="U2443">
        <f>IF(AND(K2443=0,G2443&lt;=Assumptions!$C$6),1,0)</f>
        <v/>
      </c>
      <c r="V2443">
        <f>IF(U2443=1,IF(M2443&gt;0,IF(P2443&lt;=G2443+Assumptions!$C$7,1,0),0),0)</f>
        <v/>
      </c>
      <c r="W2443">
        <f>IF(AND(U2443=1,M2443&gt;=H2443*(1-Assumptions!$C$8)),1,0)</f>
        <v/>
      </c>
      <c r="X2443">
        <f>IF(AND(U2443=1,N2443&gt;=H2443*(1-Assumptions!$C$8)),1,0)</f>
        <v/>
      </c>
      <c r="Y2443">
        <f>IF(ISNUMBER(Q2443),1,0)</f>
        <v/>
      </c>
      <c r="Z2443">
        <f>IF(AND(K2443=0,L2443=0,Y2443=0),1,0)</f>
        <v/>
      </c>
      <c r="AA2443">
        <f>IF(AND(Z2443=1,G2443&lt;Assumptions!$C$6),1,0)</f>
        <v/>
      </c>
      <c r="AB2443">
        <f>IF(U2443=0,"",IF(Y2443=1,MAX(0,Q2443-G2443),IF(L2443=1,MAX(0,R2443-G2443),MAX(0,Assumptions!$C$6-G2443))))</f>
        <v/>
      </c>
      <c r="AC2443">
        <f>IF(Y2443=1,Q2443-F2443,"")</f>
        <v/>
      </c>
      <c r="AD2443">
        <f>IF(Y2443=1,AC2443^2,"")</f>
        <v/>
      </c>
      <c r="AE2443" s="19">
        <f>IF(Z2443=1,(H2443-M2443)*I2443,0)</f>
        <v/>
      </c>
      <c r="AF2443">
        <f>IF(G2443&lt;EDATE(Assumptions!$C$6,-12)+1,"prior_12m","last_12m")</f>
        <v/>
      </c>
      <c r="AG2443" s="21">
        <f>DATE(YEAR(G2443),MONTH(G2443),1)</f>
        <v/>
      </c>
    </row>
    <row r="2444">
      <c r="A2444" t="inlineStr">
        <is>
          <t>SPO-01325-1</t>
        </is>
      </c>
      <c r="B2444" t="inlineStr">
        <is>
          <t>SPO-01325</t>
        </is>
      </c>
      <c r="C2444" t="inlineStr">
        <is>
          <t>SUP-04</t>
        </is>
      </c>
      <c r="D2444" t="inlineStr">
        <is>
          <t>FLEET</t>
        </is>
      </c>
      <c r="E2444" t="inlineStr">
        <is>
          <t>FLEET-04</t>
        </is>
      </c>
      <c r="F2444" s="17" t="n">
        <v>45937</v>
      </c>
      <c r="G2444" s="17" t="n">
        <v>45950</v>
      </c>
      <c r="H2444" s="18" t="n">
        <v>172</v>
      </c>
      <c r="I2444" s="19" t="n">
        <v>8.84</v>
      </c>
      <c r="J2444" s="19" t="n">
        <v>9</v>
      </c>
      <c r="K2444" s="20" t="n">
        <v>0</v>
      </c>
      <c r="L2444" s="20" t="n">
        <v>0</v>
      </c>
      <c r="M2444" s="18" t="n">
        <v>172</v>
      </c>
      <c r="N2444" s="18" t="n">
        <v>0</v>
      </c>
      <c r="O2444" s="18" t="n">
        <v>0</v>
      </c>
      <c r="P2444" s="17" t="n">
        <v>45952</v>
      </c>
      <c r="Q2444" s="17" t="n">
        <v>45952</v>
      </c>
      <c r="R2444" s="17" t="n">
        <v>45952</v>
      </c>
      <c r="S2444" s="19">
        <f>H2444*I2444</f>
        <v/>
      </c>
      <c r="T2444" s="19">
        <f>H2444*J2444</f>
        <v/>
      </c>
      <c r="U2444">
        <f>IF(AND(K2444=0,G2444&lt;=Assumptions!$C$6),1,0)</f>
        <v/>
      </c>
      <c r="V2444">
        <f>IF(U2444=1,IF(M2444&gt;0,IF(P2444&lt;=G2444+Assumptions!$C$7,1,0),0),0)</f>
        <v/>
      </c>
      <c r="W2444">
        <f>IF(AND(U2444=1,M2444&gt;=H2444*(1-Assumptions!$C$8)),1,0)</f>
        <v/>
      </c>
      <c r="X2444">
        <f>IF(AND(U2444=1,N2444&gt;=H2444*(1-Assumptions!$C$8)),1,0)</f>
        <v/>
      </c>
      <c r="Y2444">
        <f>IF(ISNUMBER(Q2444),1,0)</f>
        <v/>
      </c>
      <c r="Z2444">
        <f>IF(AND(K2444=0,L2444=0,Y2444=0),1,0)</f>
        <v/>
      </c>
      <c r="AA2444">
        <f>IF(AND(Z2444=1,G2444&lt;Assumptions!$C$6),1,0)</f>
        <v/>
      </c>
      <c r="AB2444">
        <f>IF(U2444=0,"",IF(Y2444=1,MAX(0,Q2444-G2444),IF(L2444=1,MAX(0,R2444-G2444),MAX(0,Assumptions!$C$6-G2444))))</f>
        <v/>
      </c>
      <c r="AC2444">
        <f>IF(Y2444=1,Q2444-F2444,"")</f>
        <v/>
      </c>
      <c r="AD2444">
        <f>IF(Y2444=1,AC2444^2,"")</f>
        <v/>
      </c>
      <c r="AE2444" s="19">
        <f>IF(Z2444=1,(H2444-M2444)*I2444,0)</f>
        <v/>
      </c>
      <c r="AF2444">
        <f>IF(G2444&lt;EDATE(Assumptions!$C$6,-12)+1,"prior_12m","last_12m")</f>
        <v/>
      </c>
      <c r="AG2444" s="21">
        <f>DATE(YEAR(G2444),MONTH(G2444),1)</f>
        <v/>
      </c>
    </row>
    <row r="2445">
      <c r="A2445" t="inlineStr">
        <is>
          <t>SPO-01326-1</t>
        </is>
      </c>
      <c r="B2445" t="inlineStr">
        <is>
          <t>SPO-01326</t>
        </is>
      </c>
      <c r="C2445" t="inlineStr">
        <is>
          <t>SUP-09</t>
        </is>
      </c>
      <c r="D2445" t="inlineStr">
        <is>
          <t>CHEM</t>
        </is>
      </c>
      <c r="E2445" t="inlineStr">
        <is>
          <t>CHEM-04</t>
        </is>
      </c>
      <c r="F2445" s="17" t="n">
        <v>45937</v>
      </c>
      <c r="G2445" s="17" t="n">
        <v>45951</v>
      </c>
      <c r="H2445" s="18" t="n">
        <v>2</v>
      </c>
      <c r="I2445" s="19" t="n">
        <v>805.97</v>
      </c>
      <c r="J2445" s="19" t="n">
        <v>820</v>
      </c>
      <c r="K2445" s="20" t="n">
        <v>0</v>
      </c>
      <c r="L2445" s="20" t="n">
        <v>0</v>
      </c>
      <c r="M2445" s="18" t="n">
        <v>2</v>
      </c>
      <c r="N2445" s="18" t="n">
        <v>2</v>
      </c>
      <c r="O2445" s="18" t="n">
        <v>0</v>
      </c>
      <c r="P2445" s="17" t="n">
        <v>45948</v>
      </c>
      <c r="Q2445" s="17" t="n">
        <v>45948</v>
      </c>
      <c r="R2445" s="17" t="n">
        <v>45948</v>
      </c>
      <c r="S2445" s="19">
        <f>H2445*I2445</f>
        <v/>
      </c>
      <c r="T2445" s="19">
        <f>H2445*J2445</f>
        <v/>
      </c>
      <c r="U2445">
        <f>IF(AND(K2445=0,G2445&lt;=Assumptions!$C$6),1,0)</f>
        <v/>
      </c>
      <c r="V2445">
        <f>IF(U2445=1,IF(M2445&gt;0,IF(P2445&lt;=G2445+Assumptions!$C$7,1,0),0),0)</f>
        <v/>
      </c>
      <c r="W2445">
        <f>IF(AND(U2445=1,M2445&gt;=H2445*(1-Assumptions!$C$8)),1,0)</f>
        <v/>
      </c>
      <c r="X2445">
        <f>IF(AND(U2445=1,N2445&gt;=H2445*(1-Assumptions!$C$8)),1,0)</f>
        <v/>
      </c>
      <c r="Y2445">
        <f>IF(ISNUMBER(Q2445),1,0)</f>
        <v/>
      </c>
      <c r="Z2445">
        <f>IF(AND(K2445=0,L2445=0,Y2445=0),1,0)</f>
        <v/>
      </c>
      <c r="AA2445">
        <f>IF(AND(Z2445=1,G2445&lt;Assumptions!$C$6),1,0)</f>
        <v/>
      </c>
      <c r="AB2445">
        <f>IF(U2445=0,"",IF(Y2445=1,MAX(0,Q2445-G2445),IF(L2445=1,MAX(0,R2445-G2445),MAX(0,Assumptions!$C$6-G2445))))</f>
        <v/>
      </c>
      <c r="AC2445">
        <f>IF(Y2445=1,Q2445-F2445,"")</f>
        <v/>
      </c>
      <c r="AD2445">
        <f>IF(Y2445=1,AC2445^2,"")</f>
        <v/>
      </c>
      <c r="AE2445" s="19">
        <f>IF(Z2445=1,(H2445-M2445)*I2445,0)</f>
        <v/>
      </c>
      <c r="AF2445">
        <f>IF(G2445&lt;EDATE(Assumptions!$C$6,-12)+1,"prior_12m","last_12m")</f>
        <v/>
      </c>
      <c r="AG2445" s="21">
        <f>DATE(YEAR(G2445),MONTH(G2445),1)</f>
        <v/>
      </c>
    </row>
    <row r="2446">
      <c r="A2446" t="inlineStr">
        <is>
          <t>SPO-01327-1</t>
        </is>
      </c>
      <c r="B2446" t="inlineStr">
        <is>
          <t>SPO-01327</t>
        </is>
      </c>
      <c r="C2446" t="inlineStr">
        <is>
          <t>SUP-07</t>
        </is>
      </c>
      <c r="D2446" t="inlineStr">
        <is>
          <t>MRO</t>
        </is>
      </c>
      <c r="E2446" t="inlineStr">
        <is>
          <t>MRO-08</t>
        </is>
      </c>
      <c r="F2446" s="17" t="n">
        <v>45937</v>
      </c>
      <c r="G2446" s="17" t="n">
        <v>45947</v>
      </c>
      <c r="H2446" s="18" t="n">
        <v>225</v>
      </c>
      <c r="I2446" s="19" t="n">
        <v>7.11</v>
      </c>
      <c r="J2446" s="19" t="n">
        <v>7.2</v>
      </c>
      <c r="K2446" s="20" t="n">
        <v>0</v>
      </c>
      <c r="L2446" s="20" t="n">
        <v>0</v>
      </c>
      <c r="M2446" s="18" t="n">
        <v>225</v>
      </c>
      <c r="N2446" s="18" t="n">
        <v>225</v>
      </c>
      <c r="O2446" s="18" t="n">
        <v>0</v>
      </c>
      <c r="P2446" s="17" t="n">
        <v>45946</v>
      </c>
      <c r="Q2446" s="17" t="n">
        <v>45946</v>
      </c>
      <c r="R2446" s="17" t="n">
        <v>45946</v>
      </c>
      <c r="S2446" s="19">
        <f>H2446*I2446</f>
        <v/>
      </c>
      <c r="T2446" s="19">
        <f>H2446*J2446</f>
        <v/>
      </c>
      <c r="U2446">
        <f>IF(AND(K2446=0,G2446&lt;=Assumptions!$C$6),1,0)</f>
        <v/>
      </c>
      <c r="V2446">
        <f>IF(U2446=1,IF(M2446&gt;0,IF(P2446&lt;=G2446+Assumptions!$C$7,1,0),0),0)</f>
        <v/>
      </c>
      <c r="W2446">
        <f>IF(AND(U2446=1,M2446&gt;=H2446*(1-Assumptions!$C$8)),1,0)</f>
        <v/>
      </c>
      <c r="X2446">
        <f>IF(AND(U2446=1,N2446&gt;=H2446*(1-Assumptions!$C$8)),1,0)</f>
        <v/>
      </c>
      <c r="Y2446">
        <f>IF(ISNUMBER(Q2446),1,0)</f>
        <v/>
      </c>
      <c r="Z2446">
        <f>IF(AND(K2446=0,L2446=0,Y2446=0),1,0)</f>
        <v/>
      </c>
      <c r="AA2446">
        <f>IF(AND(Z2446=1,G2446&lt;Assumptions!$C$6),1,0)</f>
        <v/>
      </c>
      <c r="AB2446">
        <f>IF(U2446=0,"",IF(Y2446=1,MAX(0,Q2446-G2446),IF(L2446=1,MAX(0,R2446-G2446),MAX(0,Assumptions!$C$6-G2446))))</f>
        <v/>
      </c>
      <c r="AC2446">
        <f>IF(Y2446=1,Q2446-F2446,"")</f>
        <v/>
      </c>
      <c r="AD2446">
        <f>IF(Y2446=1,AC2446^2,"")</f>
        <v/>
      </c>
      <c r="AE2446" s="19">
        <f>IF(Z2446=1,(H2446-M2446)*I2446,0)</f>
        <v/>
      </c>
      <c r="AF2446">
        <f>IF(G2446&lt;EDATE(Assumptions!$C$6,-12)+1,"prior_12m","last_12m")</f>
        <v/>
      </c>
      <c r="AG2446" s="21">
        <f>DATE(YEAR(G2446),MONTH(G2446),1)</f>
        <v/>
      </c>
    </row>
    <row r="2447">
      <c r="A2447" t="inlineStr">
        <is>
          <t>SPO-01327-2</t>
        </is>
      </c>
      <c r="B2447" t="inlineStr">
        <is>
          <t>SPO-01327</t>
        </is>
      </c>
      <c r="C2447" t="inlineStr">
        <is>
          <t>SUP-07</t>
        </is>
      </c>
      <c r="D2447" t="inlineStr">
        <is>
          <t>MRO</t>
        </is>
      </c>
      <c r="E2447" t="inlineStr">
        <is>
          <t>MRO-05</t>
        </is>
      </c>
      <c r="F2447" s="17" t="n">
        <v>45937</v>
      </c>
      <c r="G2447" s="17" t="n">
        <v>45947</v>
      </c>
      <c r="H2447" s="18" t="n">
        <v>31</v>
      </c>
      <c r="I2447" s="19" t="n">
        <v>37.9</v>
      </c>
      <c r="J2447" s="19" t="n">
        <v>36</v>
      </c>
      <c r="K2447" s="20" t="n">
        <v>0</v>
      </c>
      <c r="L2447" s="20" t="n">
        <v>0</v>
      </c>
      <c r="M2447" s="18" t="n">
        <v>31</v>
      </c>
      <c r="N2447" s="18" t="n">
        <v>31</v>
      </c>
      <c r="O2447" s="18" t="n">
        <v>0</v>
      </c>
      <c r="P2447" s="17" t="n">
        <v>45943</v>
      </c>
      <c r="Q2447" s="17" t="n">
        <v>45943</v>
      </c>
      <c r="R2447" s="17" t="n">
        <v>45943</v>
      </c>
      <c r="S2447" s="19">
        <f>H2447*I2447</f>
        <v/>
      </c>
      <c r="T2447" s="19">
        <f>H2447*J2447</f>
        <v/>
      </c>
      <c r="U2447">
        <f>IF(AND(K2447=0,G2447&lt;=Assumptions!$C$6),1,0)</f>
        <v/>
      </c>
      <c r="V2447">
        <f>IF(U2447=1,IF(M2447&gt;0,IF(P2447&lt;=G2447+Assumptions!$C$7,1,0),0),0)</f>
        <v/>
      </c>
      <c r="W2447">
        <f>IF(AND(U2447=1,M2447&gt;=H2447*(1-Assumptions!$C$8)),1,0)</f>
        <v/>
      </c>
      <c r="X2447">
        <f>IF(AND(U2447=1,N2447&gt;=H2447*(1-Assumptions!$C$8)),1,0)</f>
        <v/>
      </c>
      <c r="Y2447">
        <f>IF(ISNUMBER(Q2447),1,0)</f>
        <v/>
      </c>
      <c r="Z2447">
        <f>IF(AND(K2447=0,L2447=0,Y2447=0),1,0)</f>
        <v/>
      </c>
      <c r="AA2447">
        <f>IF(AND(Z2447=1,G2447&lt;Assumptions!$C$6),1,0)</f>
        <v/>
      </c>
      <c r="AB2447">
        <f>IF(U2447=0,"",IF(Y2447=1,MAX(0,Q2447-G2447),IF(L2447=1,MAX(0,R2447-G2447),MAX(0,Assumptions!$C$6-G2447))))</f>
        <v/>
      </c>
      <c r="AC2447">
        <f>IF(Y2447=1,Q2447-F2447,"")</f>
        <v/>
      </c>
      <c r="AD2447">
        <f>IF(Y2447=1,AC2447^2,"")</f>
        <v/>
      </c>
      <c r="AE2447" s="19">
        <f>IF(Z2447=1,(H2447-M2447)*I2447,0)</f>
        <v/>
      </c>
      <c r="AF2447">
        <f>IF(G2447&lt;EDATE(Assumptions!$C$6,-12)+1,"prior_12m","last_12m")</f>
        <v/>
      </c>
      <c r="AG2447" s="21">
        <f>DATE(YEAR(G2447),MONTH(G2447),1)</f>
        <v/>
      </c>
    </row>
    <row r="2448">
      <c r="A2448" t="inlineStr">
        <is>
          <t>SPO-01327-3</t>
        </is>
      </c>
      <c r="B2448" t="inlineStr">
        <is>
          <t>SPO-01327</t>
        </is>
      </c>
      <c r="C2448" t="inlineStr">
        <is>
          <t>SUP-07</t>
        </is>
      </c>
      <c r="D2448" t="inlineStr">
        <is>
          <t>MRO</t>
        </is>
      </c>
      <c r="E2448" t="inlineStr">
        <is>
          <t>MRO-03</t>
        </is>
      </c>
      <c r="F2448" s="17" t="n">
        <v>45937</v>
      </c>
      <c r="G2448" s="17" t="n">
        <v>45947</v>
      </c>
      <c r="H2448" s="18" t="n">
        <v>207</v>
      </c>
      <c r="I2448" s="19" t="n">
        <v>8.73</v>
      </c>
      <c r="J2448" s="19" t="n">
        <v>8.9</v>
      </c>
      <c r="K2448" s="20" t="n">
        <v>0</v>
      </c>
      <c r="L2448" s="20" t="n">
        <v>0</v>
      </c>
      <c r="M2448" s="18" t="n">
        <v>207</v>
      </c>
      <c r="N2448" s="18" t="n">
        <v>207</v>
      </c>
      <c r="O2448" s="18" t="n">
        <v>0</v>
      </c>
      <c r="P2448" s="17" t="n">
        <v>45945</v>
      </c>
      <c r="Q2448" s="17" t="n">
        <v>45945</v>
      </c>
      <c r="R2448" s="17" t="n">
        <v>45945</v>
      </c>
      <c r="S2448" s="19">
        <f>H2448*I2448</f>
        <v/>
      </c>
      <c r="T2448" s="19">
        <f>H2448*J2448</f>
        <v/>
      </c>
      <c r="U2448">
        <f>IF(AND(K2448=0,G2448&lt;=Assumptions!$C$6),1,0)</f>
        <v/>
      </c>
      <c r="V2448">
        <f>IF(U2448=1,IF(M2448&gt;0,IF(P2448&lt;=G2448+Assumptions!$C$7,1,0),0),0)</f>
        <v/>
      </c>
      <c r="W2448">
        <f>IF(AND(U2448=1,M2448&gt;=H2448*(1-Assumptions!$C$8)),1,0)</f>
        <v/>
      </c>
      <c r="X2448">
        <f>IF(AND(U2448=1,N2448&gt;=H2448*(1-Assumptions!$C$8)),1,0)</f>
        <v/>
      </c>
      <c r="Y2448">
        <f>IF(ISNUMBER(Q2448),1,0)</f>
        <v/>
      </c>
      <c r="Z2448">
        <f>IF(AND(K2448=0,L2448=0,Y2448=0),1,0)</f>
        <v/>
      </c>
      <c r="AA2448">
        <f>IF(AND(Z2448=1,G2448&lt;Assumptions!$C$6),1,0)</f>
        <v/>
      </c>
      <c r="AB2448">
        <f>IF(U2448=0,"",IF(Y2448=1,MAX(0,Q2448-G2448),IF(L2448=1,MAX(0,R2448-G2448),MAX(0,Assumptions!$C$6-G2448))))</f>
        <v/>
      </c>
      <c r="AC2448">
        <f>IF(Y2448=1,Q2448-F2448,"")</f>
        <v/>
      </c>
      <c r="AD2448">
        <f>IF(Y2448=1,AC2448^2,"")</f>
        <v/>
      </c>
      <c r="AE2448" s="19">
        <f>IF(Z2448=1,(H2448-M2448)*I2448,0)</f>
        <v/>
      </c>
      <c r="AF2448">
        <f>IF(G2448&lt;EDATE(Assumptions!$C$6,-12)+1,"prior_12m","last_12m")</f>
        <v/>
      </c>
      <c r="AG2448" s="21">
        <f>DATE(YEAR(G2448),MONTH(G2448),1)</f>
        <v/>
      </c>
    </row>
    <row r="2449">
      <c r="A2449" t="inlineStr">
        <is>
          <t>SPO-01327-4</t>
        </is>
      </c>
      <c r="B2449" t="inlineStr">
        <is>
          <t>SPO-01327</t>
        </is>
      </c>
      <c r="C2449" t="inlineStr">
        <is>
          <t>SUP-07</t>
        </is>
      </c>
      <c r="D2449" t="inlineStr">
        <is>
          <t>MRO</t>
        </is>
      </c>
      <c r="E2449" t="inlineStr">
        <is>
          <t>MRO-01</t>
        </is>
      </c>
      <c r="F2449" s="17" t="n">
        <v>45937</v>
      </c>
      <c r="G2449" s="17" t="n">
        <v>45947</v>
      </c>
      <c r="H2449" s="18" t="n">
        <v>32</v>
      </c>
      <c r="I2449" s="19" t="n">
        <v>50.75</v>
      </c>
      <c r="J2449" s="19" t="n">
        <v>52</v>
      </c>
      <c r="K2449" s="20" t="n">
        <v>1</v>
      </c>
      <c r="L2449" s="20" t="n">
        <v>0</v>
      </c>
      <c r="M2449" s="18" t="n">
        <v>0</v>
      </c>
      <c r="N2449" s="18" t="n">
        <v>0</v>
      </c>
      <c r="O2449" s="18" t="n">
        <v>0</v>
      </c>
      <c r="P2449" s="17" t="n"/>
      <c r="Q2449" s="17" t="n"/>
      <c r="R2449" s="17" t="n"/>
      <c r="S2449" s="19">
        <f>H2449*I2449</f>
        <v/>
      </c>
      <c r="T2449" s="19">
        <f>H2449*J2449</f>
        <v/>
      </c>
      <c r="U2449">
        <f>IF(AND(K2449=0,G2449&lt;=Assumptions!$C$6),1,0)</f>
        <v/>
      </c>
      <c r="V2449">
        <f>IF(U2449=1,IF(M2449&gt;0,IF(P2449&lt;=G2449+Assumptions!$C$7,1,0),0),0)</f>
        <v/>
      </c>
      <c r="W2449">
        <f>IF(AND(U2449=1,M2449&gt;=H2449*(1-Assumptions!$C$8)),1,0)</f>
        <v/>
      </c>
      <c r="X2449">
        <f>IF(AND(U2449=1,N2449&gt;=H2449*(1-Assumptions!$C$8)),1,0)</f>
        <v/>
      </c>
      <c r="Y2449">
        <f>IF(ISNUMBER(Q2449),1,0)</f>
        <v/>
      </c>
      <c r="Z2449">
        <f>IF(AND(K2449=0,L2449=0,Y2449=0),1,0)</f>
        <v/>
      </c>
      <c r="AA2449">
        <f>IF(AND(Z2449=1,G2449&lt;Assumptions!$C$6),1,0)</f>
        <v/>
      </c>
      <c r="AB2449">
        <f>IF(U2449=0,"",IF(Y2449=1,MAX(0,Q2449-G2449),IF(L2449=1,MAX(0,R2449-G2449),MAX(0,Assumptions!$C$6-G2449))))</f>
        <v/>
      </c>
      <c r="AC2449">
        <f>IF(Y2449=1,Q2449-F2449,"")</f>
        <v/>
      </c>
      <c r="AD2449">
        <f>IF(Y2449=1,AC2449^2,"")</f>
        <v/>
      </c>
      <c r="AE2449" s="19">
        <f>IF(Z2449=1,(H2449-M2449)*I2449,0)</f>
        <v/>
      </c>
      <c r="AF2449">
        <f>IF(G2449&lt;EDATE(Assumptions!$C$6,-12)+1,"prior_12m","last_12m")</f>
        <v/>
      </c>
      <c r="AG2449" s="21">
        <f>DATE(YEAR(G2449),MONTH(G2449),1)</f>
        <v/>
      </c>
    </row>
    <row r="2450">
      <c r="A2450" t="inlineStr">
        <is>
          <t>SPO-01328-1</t>
        </is>
      </c>
      <c r="B2450" t="inlineStr">
        <is>
          <t>SPO-01328</t>
        </is>
      </c>
      <c r="C2450" t="inlineStr">
        <is>
          <t>SUP-08</t>
        </is>
      </c>
      <c r="D2450" t="inlineStr">
        <is>
          <t>PPE</t>
        </is>
      </c>
      <c r="E2450" t="inlineStr">
        <is>
          <t>PPE-01</t>
        </is>
      </c>
      <c r="F2450" s="17" t="n">
        <v>45937</v>
      </c>
      <c r="G2450" s="17" t="n">
        <v>45948</v>
      </c>
      <c r="H2450" s="18" t="n">
        <v>352</v>
      </c>
      <c r="I2450" s="19" t="n">
        <v>5.02</v>
      </c>
      <c r="J2450" s="19" t="n">
        <v>4.8</v>
      </c>
      <c r="K2450" s="20" t="n">
        <v>0</v>
      </c>
      <c r="L2450" s="20" t="n">
        <v>0</v>
      </c>
      <c r="M2450" s="18" t="n">
        <v>352</v>
      </c>
      <c r="N2450" s="18" t="n">
        <v>352</v>
      </c>
      <c r="O2450" s="18" t="n">
        <v>0</v>
      </c>
      <c r="P2450" s="17" t="n">
        <v>45943</v>
      </c>
      <c r="Q2450" s="17" t="n">
        <v>45943</v>
      </c>
      <c r="R2450" s="17" t="n">
        <v>45943</v>
      </c>
      <c r="S2450" s="19">
        <f>H2450*I2450</f>
        <v/>
      </c>
      <c r="T2450" s="19">
        <f>H2450*J2450</f>
        <v/>
      </c>
      <c r="U2450">
        <f>IF(AND(K2450=0,G2450&lt;=Assumptions!$C$6),1,0)</f>
        <v/>
      </c>
      <c r="V2450">
        <f>IF(U2450=1,IF(M2450&gt;0,IF(P2450&lt;=G2450+Assumptions!$C$7,1,0),0),0)</f>
        <v/>
      </c>
      <c r="W2450">
        <f>IF(AND(U2450=1,M2450&gt;=H2450*(1-Assumptions!$C$8)),1,0)</f>
        <v/>
      </c>
      <c r="X2450">
        <f>IF(AND(U2450=1,N2450&gt;=H2450*(1-Assumptions!$C$8)),1,0)</f>
        <v/>
      </c>
      <c r="Y2450">
        <f>IF(ISNUMBER(Q2450),1,0)</f>
        <v/>
      </c>
      <c r="Z2450">
        <f>IF(AND(K2450=0,L2450=0,Y2450=0),1,0)</f>
        <v/>
      </c>
      <c r="AA2450">
        <f>IF(AND(Z2450=1,G2450&lt;Assumptions!$C$6),1,0)</f>
        <v/>
      </c>
      <c r="AB2450">
        <f>IF(U2450=0,"",IF(Y2450=1,MAX(0,Q2450-G2450),IF(L2450=1,MAX(0,R2450-G2450),MAX(0,Assumptions!$C$6-G2450))))</f>
        <v/>
      </c>
      <c r="AC2450">
        <f>IF(Y2450=1,Q2450-F2450,"")</f>
        <v/>
      </c>
      <c r="AD2450">
        <f>IF(Y2450=1,AC2450^2,"")</f>
        <v/>
      </c>
      <c r="AE2450" s="19">
        <f>IF(Z2450=1,(H2450-M2450)*I2450,0)</f>
        <v/>
      </c>
      <c r="AF2450">
        <f>IF(G2450&lt;EDATE(Assumptions!$C$6,-12)+1,"prior_12m","last_12m")</f>
        <v/>
      </c>
      <c r="AG2450" s="21">
        <f>DATE(YEAR(G2450),MONTH(G2450),1)</f>
        <v/>
      </c>
    </row>
    <row r="2451">
      <c r="A2451" t="inlineStr">
        <is>
          <t>SPO-01328-2</t>
        </is>
      </c>
      <c r="B2451" t="inlineStr">
        <is>
          <t>SPO-01328</t>
        </is>
      </c>
      <c r="C2451" t="inlineStr">
        <is>
          <t>SUP-08</t>
        </is>
      </c>
      <c r="D2451" t="inlineStr">
        <is>
          <t>PPE</t>
        </is>
      </c>
      <c r="E2451" t="inlineStr">
        <is>
          <t>PPE-07</t>
        </is>
      </c>
      <c r="F2451" s="17" t="n">
        <v>45937</v>
      </c>
      <c r="G2451" s="17" t="n">
        <v>45948</v>
      </c>
      <c r="H2451" s="18" t="n">
        <v>37</v>
      </c>
      <c r="I2451" s="19" t="n">
        <v>30.66</v>
      </c>
      <c r="J2451" s="19" t="n">
        <v>31</v>
      </c>
      <c r="K2451" s="20" t="n">
        <v>0</v>
      </c>
      <c r="L2451" s="20" t="n">
        <v>0</v>
      </c>
      <c r="M2451" s="18" t="n">
        <v>37</v>
      </c>
      <c r="N2451" s="18" t="n">
        <v>37</v>
      </c>
      <c r="O2451" s="18" t="n">
        <v>0</v>
      </c>
      <c r="P2451" s="17" t="n">
        <v>45942</v>
      </c>
      <c r="Q2451" s="17" t="n">
        <v>45942</v>
      </c>
      <c r="R2451" s="17" t="n">
        <v>45942</v>
      </c>
      <c r="S2451" s="19">
        <f>H2451*I2451</f>
        <v/>
      </c>
      <c r="T2451" s="19">
        <f>H2451*J2451</f>
        <v/>
      </c>
      <c r="U2451">
        <f>IF(AND(K2451=0,G2451&lt;=Assumptions!$C$6),1,0)</f>
        <v/>
      </c>
      <c r="V2451">
        <f>IF(U2451=1,IF(M2451&gt;0,IF(P2451&lt;=G2451+Assumptions!$C$7,1,0),0),0)</f>
        <v/>
      </c>
      <c r="W2451">
        <f>IF(AND(U2451=1,M2451&gt;=H2451*(1-Assumptions!$C$8)),1,0)</f>
        <v/>
      </c>
      <c r="X2451">
        <f>IF(AND(U2451=1,N2451&gt;=H2451*(1-Assumptions!$C$8)),1,0)</f>
        <v/>
      </c>
      <c r="Y2451">
        <f>IF(ISNUMBER(Q2451),1,0)</f>
        <v/>
      </c>
      <c r="Z2451">
        <f>IF(AND(K2451=0,L2451=0,Y2451=0),1,0)</f>
        <v/>
      </c>
      <c r="AA2451">
        <f>IF(AND(Z2451=1,G2451&lt;Assumptions!$C$6),1,0)</f>
        <v/>
      </c>
      <c r="AB2451">
        <f>IF(U2451=0,"",IF(Y2451=1,MAX(0,Q2451-G2451),IF(L2451=1,MAX(0,R2451-G2451),MAX(0,Assumptions!$C$6-G2451))))</f>
        <v/>
      </c>
      <c r="AC2451">
        <f>IF(Y2451=1,Q2451-F2451,"")</f>
        <v/>
      </c>
      <c r="AD2451">
        <f>IF(Y2451=1,AC2451^2,"")</f>
        <v/>
      </c>
      <c r="AE2451" s="19">
        <f>IF(Z2451=1,(H2451-M2451)*I2451,0)</f>
        <v/>
      </c>
      <c r="AF2451">
        <f>IF(G2451&lt;EDATE(Assumptions!$C$6,-12)+1,"prior_12m","last_12m")</f>
        <v/>
      </c>
      <c r="AG2451" s="21">
        <f>DATE(YEAR(G2451),MONTH(G2451),1)</f>
        <v/>
      </c>
    </row>
    <row r="2452">
      <c r="A2452" t="inlineStr">
        <is>
          <t>SPO-01328-3</t>
        </is>
      </c>
      <c r="B2452" t="inlineStr">
        <is>
          <t>SPO-01328</t>
        </is>
      </c>
      <c r="C2452" t="inlineStr">
        <is>
          <t>SUP-08</t>
        </is>
      </c>
      <c r="D2452" t="inlineStr">
        <is>
          <t>PPE</t>
        </is>
      </c>
      <c r="E2452" t="inlineStr">
        <is>
          <t>PPE-03</t>
        </is>
      </c>
      <c r="F2452" s="17" t="n">
        <v>45937</v>
      </c>
      <c r="G2452" s="17" t="n">
        <v>45948</v>
      </c>
      <c r="H2452" s="18" t="n">
        <v>37</v>
      </c>
      <c r="I2452" s="19" t="n">
        <v>22.03</v>
      </c>
      <c r="J2452" s="19" t="n">
        <v>21</v>
      </c>
      <c r="K2452" s="20" t="n">
        <v>0</v>
      </c>
      <c r="L2452" s="20" t="n">
        <v>0</v>
      </c>
      <c r="M2452" s="18" t="n">
        <v>37</v>
      </c>
      <c r="N2452" s="18" t="n">
        <v>37</v>
      </c>
      <c r="O2452" s="18" t="n">
        <v>0</v>
      </c>
      <c r="P2452" s="17" t="n">
        <v>45947</v>
      </c>
      <c r="Q2452" s="17" t="n">
        <v>45947</v>
      </c>
      <c r="R2452" s="17" t="n">
        <v>45947</v>
      </c>
      <c r="S2452" s="19">
        <f>H2452*I2452</f>
        <v/>
      </c>
      <c r="T2452" s="19">
        <f>H2452*J2452</f>
        <v/>
      </c>
      <c r="U2452">
        <f>IF(AND(K2452=0,G2452&lt;=Assumptions!$C$6),1,0)</f>
        <v/>
      </c>
      <c r="V2452">
        <f>IF(U2452=1,IF(M2452&gt;0,IF(P2452&lt;=G2452+Assumptions!$C$7,1,0),0),0)</f>
        <v/>
      </c>
      <c r="W2452">
        <f>IF(AND(U2452=1,M2452&gt;=H2452*(1-Assumptions!$C$8)),1,0)</f>
        <v/>
      </c>
      <c r="X2452">
        <f>IF(AND(U2452=1,N2452&gt;=H2452*(1-Assumptions!$C$8)),1,0)</f>
        <v/>
      </c>
      <c r="Y2452">
        <f>IF(ISNUMBER(Q2452),1,0)</f>
        <v/>
      </c>
      <c r="Z2452">
        <f>IF(AND(K2452=0,L2452=0,Y2452=0),1,0)</f>
        <v/>
      </c>
      <c r="AA2452">
        <f>IF(AND(Z2452=1,G2452&lt;Assumptions!$C$6),1,0)</f>
        <v/>
      </c>
      <c r="AB2452">
        <f>IF(U2452=0,"",IF(Y2452=1,MAX(0,Q2452-G2452),IF(L2452=1,MAX(0,R2452-G2452),MAX(0,Assumptions!$C$6-G2452))))</f>
        <v/>
      </c>
      <c r="AC2452">
        <f>IF(Y2452=1,Q2452-F2452,"")</f>
        <v/>
      </c>
      <c r="AD2452">
        <f>IF(Y2452=1,AC2452^2,"")</f>
        <v/>
      </c>
      <c r="AE2452" s="19">
        <f>IF(Z2452=1,(H2452-M2452)*I2452,0)</f>
        <v/>
      </c>
      <c r="AF2452">
        <f>IF(G2452&lt;EDATE(Assumptions!$C$6,-12)+1,"prior_12m","last_12m")</f>
        <v/>
      </c>
      <c r="AG2452" s="21">
        <f>DATE(YEAR(G2452),MONTH(G2452),1)</f>
        <v/>
      </c>
    </row>
    <row r="2453">
      <c r="A2453" t="inlineStr">
        <is>
          <t>SPO-01329-1</t>
        </is>
      </c>
      <c r="B2453" t="inlineStr">
        <is>
          <t>SPO-01329</t>
        </is>
      </c>
      <c r="C2453" t="inlineStr">
        <is>
          <t>SUP-01</t>
        </is>
      </c>
      <c r="D2453" t="inlineStr">
        <is>
          <t>ELEC</t>
        </is>
      </c>
      <c r="E2453" t="inlineStr">
        <is>
          <t>ELEC-03</t>
        </is>
      </c>
      <c r="F2453" s="17" t="n">
        <v>45938</v>
      </c>
      <c r="G2453" s="17" t="n">
        <v>45956</v>
      </c>
      <c r="H2453" s="18" t="n">
        <v>26</v>
      </c>
      <c r="I2453" s="19" t="n">
        <v>102.13</v>
      </c>
      <c r="J2453" s="19" t="n">
        <v>96</v>
      </c>
      <c r="K2453" s="20" t="n">
        <v>0</v>
      </c>
      <c r="L2453" s="20" t="n">
        <v>0</v>
      </c>
      <c r="M2453" s="18" t="n">
        <v>26</v>
      </c>
      <c r="N2453" s="18" t="n">
        <v>26</v>
      </c>
      <c r="O2453" s="18" t="n">
        <v>0</v>
      </c>
      <c r="P2453" s="17" t="n">
        <v>45955</v>
      </c>
      <c r="Q2453" s="17" t="n">
        <v>45955</v>
      </c>
      <c r="R2453" s="17" t="n">
        <v>45955</v>
      </c>
      <c r="S2453" s="19">
        <f>H2453*I2453</f>
        <v/>
      </c>
      <c r="T2453" s="19">
        <f>H2453*J2453</f>
        <v/>
      </c>
      <c r="U2453">
        <f>IF(AND(K2453=0,G2453&lt;=Assumptions!$C$6),1,0)</f>
        <v/>
      </c>
      <c r="V2453">
        <f>IF(U2453=1,IF(M2453&gt;0,IF(P2453&lt;=G2453+Assumptions!$C$7,1,0),0),0)</f>
        <v/>
      </c>
      <c r="W2453">
        <f>IF(AND(U2453=1,M2453&gt;=H2453*(1-Assumptions!$C$8)),1,0)</f>
        <v/>
      </c>
      <c r="X2453">
        <f>IF(AND(U2453=1,N2453&gt;=H2453*(1-Assumptions!$C$8)),1,0)</f>
        <v/>
      </c>
      <c r="Y2453">
        <f>IF(ISNUMBER(Q2453),1,0)</f>
        <v/>
      </c>
      <c r="Z2453">
        <f>IF(AND(K2453=0,L2453=0,Y2453=0),1,0)</f>
        <v/>
      </c>
      <c r="AA2453">
        <f>IF(AND(Z2453=1,G2453&lt;Assumptions!$C$6),1,0)</f>
        <v/>
      </c>
      <c r="AB2453">
        <f>IF(U2453=0,"",IF(Y2453=1,MAX(0,Q2453-G2453),IF(L2453=1,MAX(0,R2453-G2453),MAX(0,Assumptions!$C$6-G2453))))</f>
        <v/>
      </c>
      <c r="AC2453">
        <f>IF(Y2453=1,Q2453-F2453,"")</f>
        <v/>
      </c>
      <c r="AD2453">
        <f>IF(Y2453=1,AC2453^2,"")</f>
        <v/>
      </c>
      <c r="AE2453" s="19">
        <f>IF(Z2453=1,(H2453-M2453)*I2453,0)</f>
        <v/>
      </c>
      <c r="AF2453">
        <f>IF(G2453&lt;EDATE(Assumptions!$C$6,-12)+1,"prior_12m","last_12m")</f>
        <v/>
      </c>
      <c r="AG2453" s="21">
        <f>DATE(YEAR(G2453),MONTH(G2453),1)</f>
        <v/>
      </c>
    </row>
    <row r="2454">
      <c r="A2454" t="inlineStr">
        <is>
          <t>SPO-01330-1</t>
        </is>
      </c>
      <c r="B2454" t="inlineStr">
        <is>
          <t>SPO-01330</t>
        </is>
      </c>
      <c r="C2454" t="inlineStr">
        <is>
          <t>SUP-07</t>
        </is>
      </c>
      <c r="D2454" t="inlineStr">
        <is>
          <t>MRO</t>
        </is>
      </c>
      <c r="E2454" t="inlineStr">
        <is>
          <t>MRO-04</t>
        </is>
      </c>
      <c r="F2454" s="17" t="n">
        <v>45938</v>
      </c>
      <c r="G2454" s="17" t="n">
        <v>45948</v>
      </c>
      <c r="H2454" s="18" t="n">
        <v>25</v>
      </c>
      <c r="I2454" s="19" t="n">
        <v>56.58</v>
      </c>
      <c r="J2454" s="19" t="n">
        <v>58</v>
      </c>
      <c r="K2454" s="20" t="n">
        <v>0</v>
      </c>
      <c r="L2454" s="20" t="n">
        <v>1</v>
      </c>
      <c r="M2454" s="18" t="n">
        <v>11</v>
      </c>
      <c r="N2454" s="18" t="n">
        <v>11</v>
      </c>
      <c r="O2454" s="18" t="n">
        <v>0</v>
      </c>
      <c r="P2454" s="17" t="n">
        <v>45946</v>
      </c>
      <c r="Q2454" s="17" t="n"/>
      <c r="R2454" s="17" t="n">
        <v>45946</v>
      </c>
      <c r="S2454" s="19">
        <f>H2454*I2454</f>
        <v/>
      </c>
      <c r="T2454" s="19">
        <f>H2454*J2454</f>
        <v/>
      </c>
      <c r="U2454">
        <f>IF(AND(K2454=0,G2454&lt;=Assumptions!$C$6),1,0)</f>
        <v/>
      </c>
      <c r="V2454">
        <f>IF(U2454=1,IF(M2454&gt;0,IF(P2454&lt;=G2454+Assumptions!$C$7,1,0),0),0)</f>
        <v/>
      </c>
      <c r="W2454">
        <f>IF(AND(U2454=1,M2454&gt;=H2454*(1-Assumptions!$C$8)),1,0)</f>
        <v/>
      </c>
      <c r="X2454">
        <f>IF(AND(U2454=1,N2454&gt;=H2454*(1-Assumptions!$C$8)),1,0)</f>
        <v/>
      </c>
      <c r="Y2454">
        <f>IF(ISNUMBER(Q2454),1,0)</f>
        <v/>
      </c>
      <c r="Z2454">
        <f>IF(AND(K2454=0,L2454=0,Y2454=0),1,0)</f>
        <v/>
      </c>
      <c r="AA2454">
        <f>IF(AND(Z2454=1,G2454&lt;Assumptions!$C$6),1,0)</f>
        <v/>
      </c>
      <c r="AB2454">
        <f>IF(U2454=0,"",IF(Y2454=1,MAX(0,Q2454-G2454),IF(L2454=1,MAX(0,R2454-G2454),MAX(0,Assumptions!$C$6-G2454))))</f>
        <v/>
      </c>
      <c r="AC2454">
        <f>IF(Y2454=1,Q2454-F2454,"")</f>
        <v/>
      </c>
      <c r="AD2454">
        <f>IF(Y2454=1,AC2454^2,"")</f>
        <v/>
      </c>
      <c r="AE2454" s="19">
        <f>IF(Z2454=1,(H2454-M2454)*I2454,0)</f>
        <v/>
      </c>
      <c r="AF2454">
        <f>IF(G2454&lt;EDATE(Assumptions!$C$6,-12)+1,"prior_12m","last_12m")</f>
        <v/>
      </c>
      <c r="AG2454" s="21">
        <f>DATE(YEAR(G2454),MONTH(G2454),1)</f>
        <v/>
      </c>
    </row>
    <row r="2455">
      <c r="A2455" t="inlineStr">
        <is>
          <t>SPO-01330-2</t>
        </is>
      </c>
      <c r="B2455" t="inlineStr">
        <is>
          <t>SPO-01330</t>
        </is>
      </c>
      <c r="C2455" t="inlineStr">
        <is>
          <t>SUP-07</t>
        </is>
      </c>
      <c r="D2455" t="inlineStr">
        <is>
          <t>MRO</t>
        </is>
      </c>
      <c r="E2455" t="inlineStr">
        <is>
          <t>MRO-08</t>
        </is>
      </c>
      <c r="F2455" s="17" t="n">
        <v>45938</v>
      </c>
      <c r="G2455" s="17" t="n">
        <v>45948</v>
      </c>
      <c r="H2455" s="18" t="n">
        <v>190</v>
      </c>
      <c r="I2455" s="19" t="n">
        <v>6.68</v>
      </c>
      <c r="J2455" s="19" t="n">
        <v>7.2</v>
      </c>
      <c r="K2455" s="20" t="n">
        <v>0</v>
      </c>
      <c r="L2455" s="20" t="n">
        <v>0</v>
      </c>
      <c r="M2455" s="18" t="n">
        <v>190</v>
      </c>
      <c r="N2455" s="18" t="n">
        <v>116</v>
      </c>
      <c r="O2455" s="18" t="n">
        <v>0</v>
      </c>
      <c r="P2455" s="17" t="n">
        <v>45943</v>
      </c>
      <c r="Q2455" s="17" t="n">
        <v>45952</v>
      </c>
      <c r="R2455" s="17" t="n">
        <v>45952</v>
      </c>
      <c r="S2455" s="19">
        <f>H2455*I2455</f>
        <v/>
      </c>
      <c r="T2455" s="19">
        <f>H2455*J2455</f>
        <v/>
      </c>
      <c r="U2455">
        <f>IF(AND(K2455=0,G2455&lt;=Assumptions!$C$6),1,0)</f>
        <v/>
      </c>
      <c r="V2455">
        <f>IF(U2455=1,IF(M2455&gt;0,IF(P2455&lt;=G2455+Assumptions!$C$7,1,0),0),0)</f>
        <v/>
      </c>
      <c r="W2455">
        <f>IF(AND(U2455=1,M2455&gt;=H2455*(1-Assumptions!$C$8)),1,0)</f>
        <v/>
      </c>
      <c r="X2455">
        <f>IF(AND(U2455=1,N2455&gt;=H2455*(1-Assumptions!$C$8)),1,0)</f>
        <v/>
      </c>
      <c r="Y2455">
        <f>IF(ISNUMBER(Q2455),1,0)</f>
        <v/>
      </c>
      <c r="Z2455">
        <f>IF(AND(K2455=0,L2455=0,Y2455=0),1,0)</f>
        <v/>
      </c>
      <c r="AA2455">
        <f>IF(AND(Z2455=1,G2455&lt;Assumptions!$C$6),1,0)</f>
        <v/>
      </c>
      <c r="AB2455">
        <f>IF(U2455=0,"",IF(Y2455=1,MAX(0,Q2455-G2455),IF(L2455=1,MAX(0,R2455-G2455),MAX(0,Assumptions!$C$6-G2455))))</f>
        <v/>
      </c>
      <c r="AC2455">
        <f>IF(Y2455=1,Q2455-F2455,"")</f>
        <v/>
      </c>
      <c r="AD2455">
        <f>IF(Y2455=1,AC2455^2,"")</f>
        <v/>
      </c>
      <c r="AE2455" s="19">
        <f>IF(Z2455=1,(H2455-M2455)*I2455,0)</f>
        <v/>
      </c>
      <c r="AF2455">
        <f>IF(G2455&lt;EDATE(Assumptions!$C$6,-12)+1,"prior_12m","last_12m")</f>
        <v/>
      </c>
      <c r="AG2455" s="21">
        <f>DATE(YEAR(G2455),MONTH(G2455),1)</f>
        <v/>
      </c>
    </row>
    <row r="2456">
      <c r="A2456" t="inlineStr">
        <is>
          <t>SPO-01331-1</t>
        </is>
      </c>
      <c r="B2456" t="inlineStr">
        <is>
          <t>SPO-01331</t>
        </is>
      </c>
      <c r="C2456" t="inlineStr">
        <is>
          <t>SUP-01</t>
        </is>
      </c>
      <c r="D2456" t="inlineStr">
        <is>
          <t>ELEC</t>
        </is>
      </c>
      <c r="E2456" t="inlineStr">
        <is>
          <t>ELEC-04</t>
        </is>
      </c>
      <c r="F2456" s="17" t="n">
        <v>45938</v>
      </c>
      <c r="G2456" s="17" t="n">
        <v>45956</v>
      </c>
      <c r="H2456" s="18" t="n">
        <v>22</v>
      </c>
      <c r="I2456" s="19" t="n">
        <v>66.73999999999999</v>
      </c>
      <c r="J2456" s="19" t="n">
        <v>72</v>
      </c>
      <c r="K2456" s="20" t="n">
        <v>0</v>
      </c>
      <c r="L2456" s="20" t="n">
        <v>0</v>
      </c>
      <c r="M2456" s="18" t="n">
        <v>22</v>
      </c>
      <c r="N2456" s="18" t="n">
        <v>22</v>
      </c>
      <c r="O2456" s="18" t="n">
        <v>0</v>
      </c>
      <c r="P2456" s="17" t="n">
        <v>45943</v>
      </c>
      <c r="Q2456" s="17" t="n">
        <v>45943</v>
      </c>
      <c r="R2456" s="17" t="n">
        <v>45943</v>
      </c>
      <c r="S2456" s="19">
        <f>H2456*I2456</f>
        <v/>
      </c>
      <c r="T2456" s="19">
        <f>H2456*J2456</f>
        <v/>
      </c>
      <c r="U2456">
        <f>IF(AND(K2456=0,G2456&lt;=Assumptions!$C$6),1,0)</f>
        <v/>
      </c>
      <c r="V2456">
        <f>IF(U2456=1,IF(M2456&gt;0,IF(P2456&lt;=G2456+Assumptions!$C$7,1,0),0),0)</f>
        <v/>
      </c>
      <c r="W2456">
        <f>IF(AND(U2456=1,M2456&gt;=H2456*(1-Assumptions!$C$8)),1,0)</f>
        <v/>
      </c>
      <c r="X2456">
        <f>IF(AND(U2456=1,N2456&gt;=H2456*(1-Assumptions!$C$8)),1,0)</f>
        <v/>
      </c>
      <c r="Y2456">
        <f>IF(ISNUMBER(Q2456),1,0)</f>
        <v/>
      </c>
      <c r="Z2456">
        <f>IF(AND(K2456=0,L2456=0,Y2456=0),1,0)</f>
        <v/>
      </c>
      <c r="AA2456">
        <f>IF(AND(Z2456=1,G2456&lt;Assumptions!$C$6),1,0)</f>
        <v/>
      </c>
      <c r="AB2456">
        <f>IF(U2456=0,"",IF(Y2456=1,MAX(0,Q2456-G2456),IF(L2456=1,MAX(0,R2456-G2456),MAX(0,Assumptions!$C$6-G2456))))</f>
        <v/>
      </c>
      <c r="AC2456">
        <f>IF(Y2456=1,Q2456-F2456,"")</f>
        <v/>
      </c>
      <c r="AD2456">
        <f>IF(Y2456=1,AC2456^2,"")</f>
        <v/>
      </c>
      <c r="AE2456" s="19">
        <f>IF(Z2456=1,(H2456-M2456)*I2456,0)</f>
        <v/>
      </c>
      <c r="AF2456">
        <f>IF(G2456&lt;EDATE(Assumptions!$C$6,-12)+1,"prior_12m","last_12m")</f>
        <v/>
      </c>
      <c r="AG2456" s="21">
        <f>DATE(YEAR(G2456),MONTH(G2456),1)</f>
        <v/>
      </c>
    </row>
    <row r="2457">
      <c r="A2457" t="inlineStr">
        <is>
          <t>SPO-01331-2</t>
        </is>
      </c>
      <c r="B2457" t="inlineStr">
        <is>
          <t>SPO-01331</t>
        </is>
      </c>
      <c r="C2457" t="inlineStr">
        <is>
          <t>SUP-01</t>
        </is>
      </c>
      <c r="D2457" t="inlineStr">
        <is>
          <t>ELEC</t>
        </is>
      </c>
      <c r="E2457" t="inlineStr">
        <is>
          <t>ELEC-06</t>
        </is>
      </c>
      <c r="F2457" s="17" t="n">
        <v>45938</v>
      </c>
      <c r="G2457" s="17" t="n">
        <v>45956</v>
      </c>
      <c r="H2457" s="18" t="n">
        <v>10</v>
      </c>
      <c r="I2457" s="19" t="n">
        <v>142.56</v>
      </c>
      <c r="J2457" s="19" t="n">
        <v>145</v>
      </c>
      <c r="K2457" s="20" t="n">
        <v>0</v>
      </c>
      <c r="L2457" s="20" t="n">
        <v>0</v>
      </c>
      <c r="M2457" s="18" t="n">
        <v>10</v>
      </c>
      <c r="N2457" s="18" t="n">
        <v>10</v>
      </c>
      <c r="O2457" s="18" t="n">
        <v>0</v>
      </c>
      <c r="P2457" s="17" t="n">
        <v>45950</v>
      </c>
      <c r="Q2457" s="17" t="n">
        <v>45950</v>
      </c>
      <c r="R2457" s="17" t="n">
        <v>45950</v>
      </c>
      <c r="S2457" s="19">
        <f>H2457*I2457</f>
        <v/>
      </c>
      <c r="T2457" s="19">
        <f>H2457*J2457</f>
        <v/>
      </c>
      <c r="U2457">
        <f>IF(AND(K2457=0,G2457&lt;=Assumptions!$C$6),1,0)</f>
        <v/>
      </c>
      <c r="V2457">
        <f>IF(U2457=1,IF(M2457&gt;0,IF(P2457&lt;=G2457+Assumptions!$C$7,1,0),0),0)</f>
        <v/>
      </c>
      <c r="W2457">
        <f>IF(AND(U2457=1,M2457&gt;=H2457*(1-Assumptions!$C$8)),1,0)</f>
        <v/>
      </c>
      <c r="X2457">
        <f>IF(AND(U2457=1,N2457&gt;=H2457*(1-Assumptions!$C$8)),1,0)</f>
        <v/>
      </c>
      <c r="Y2457">
        <f>IF(ISNUMBER(Q2457),1,0)</f>
        <v/>
      </c>
      <c r="Z2457">
        <f>IF(AND(K2457=0,L2457=0,Y2457=0),1,0)</f>
        <v/>
      </c>
      <c r="AA2457">
        <f>IF(AND(Z2457=1,G2457&lt;Assumptions!$C$6),1,0)</f>
        <v/>
      </c>
      <c r="AB2457">
        <f>IF(U2457=0,"",IF(Y2457=1,MAX(0,Q2457-G2457),IF(L2457=1,MAX(0,R2457-G2457),MAX(0,Assumptions!$C$6-G2457))))</f>
        <v/>
      </c>
      <c r="AC2457">
        <f>IF(Y2457=1,Q2457-F2457,"")</f>
        <v/>
      </c>
      <c r="AD2457">
        <f>IF(Y2457=1,AC2457^2,"")</f>
        <v/>
      </c>
      <c r="AE2457" s="19">
        <f>IF(Z2457=1,(H2457-M2457)*I2457,0)</f>
        <v/>
      </c>
      <c r="AF2457">
        <f>IF(G2457&lt;EDATE(Assumptions!$C$6,-12)+1,"prior_12m","last_12m")</f>
        <v/>
      </c>
      <c r="AG2457" s="21">
        <f>DATE(YEAR(G2457),MONTH(G2457),1)</f>
        <v/>
      </c>
    </row>
    <row r="2458">
      <c r="A2458" t="inlineStr">
        <is>
          <t>SPO-01331-3</t>
        </is>
      </c>
      <c r="B2458" t="inlineStr">
        <is>
          <t>SPO-01331</t>
        </is>
      </c>
      <c r="C2458" t="inlineStr">
        <is>
          <t>SUP-01</t>
        </is>
      </c>
      <c r="D2458" t="inlineStr">
        <is>
          <t>ELEC</t>
        </is>
      </c>
      <c r="E2458" t="inlineStr">
        <is>
          <t>ELEC-01</t>
        </is>
      </c>
      <c r="F2458" s="17" t="n">
        <v>45938</v>
      </c>
      <c r="G2458" s="17" t="n">
        <v>45956</v>
      </c>
      <c r="H2458" s="18" t="n">
        <v>43</v>
      </c>
      <c r="I2458" s="19" t="n">
        <v>38.87</v>
      </c>
      <c r="J2458" s="19" t="n">
        <v>38</v>
      </c>
      <c r="K2458" s="20" t="n">
        <v>1</v>
      </c>
      <c r="L2458" s="20" t="n">
        <v>0</v>
      </c>
      <c r="M2458" s="18" t="n">
        <v>0</v>
      </c>
      <c r="N2458" s="18" t="n">
        <v>0</v>
      </c>
      <c r="O2458" s="18" t="n">
        <v>0</v>
      </c>
      <c r="P2458" s="17" t="n"/>
      <c r="Q2458" s="17" t="n"/>
      <c r="R2458" s="17" t="n"/>
      <c r="S2458" s="19">
        <f>H2458*I2458</f>
        <v/>
      </c>
      <c r="T2458" s="19">
        <f>H2458*J2458</f>
        <v/>
      </c>
      <c r="U2458">
        <f>IF(AND(K2458=0,G2458&lt;=Assumptions!$C$6),1,0)</f>
        <v/>
      </c>
      <c r="V2458">
        <f>IF(U2458=1,IF(M2458&gt;0,IF(P2458&lt;=G2458+Assumptions!$C$7,1,0),0),0)</f>
        <v/>
      </c>
      <c r="W2458">
        <f>IF(AND(U2458=1,M2458&gt;=H2458*(1-Assumptions!$C$8)),1,0)</f>
        <v/>
      </c>
      <c r="X2458">
        <f>IF(AND(U2458=1,N2458&gt;=H2458*(1-Assumptions!$C$8)),1,0)</f>
        <v/>
      </c>
      <c r="Y2458">
        <f>IF(ISNUMBER(Q2458),1,0)</f>
        <v/>
      </c>
      <c r="Z2458">
        <f>IF(AND(K2458=0,L2458=0,Y2458=0),1,0)</f>
        <v/>
      </c>
      <c r="AA2458">
        <f>IF(AND(Z2458=1,G2458&lt;Assumptions!$C$6),1,0)</f>
        <v/>
      </c>
      <c r="AB2458">
        <f>IF(U2458=0,"",IF(Y2458=1,MAX(0,Q2458-G2458),IF(L2458=1,MAX(0,R2458-G2458),MAX(0,Assumptions!$C$6-G2458))))</f>
        <v/>
      </c>
      <c r="AC2458">
        <f>IF(Y2458=1,Q2458-F2458,"")</f>
        <v/>
      </c>
      <c r="AD2458">
        <f>IF(Y2458=1,AC2458^2,"")</f>
        <v/>
      </c>
      <c r="AE2458" s="19">
        <f>IF(Z2458=1,(H2458-M2458)*I2458,0)</f>
        <v/>
      </c>
      <c r="AF2458">
        <f>IF(G2458&lt;EDATE(Assumptions!$C$6,-12)+1,"prior_12m","last_12m")</f>
        <v/>
      </c>
      <c r="AG2458" s="21">
        <f>DATE(YEAR(G2458),MONTH(G2458),1)</f>
        <v/>
      </c>
    </row>
    <row r="2459">
      <c r="A2459" t="inlineStr">
        <is>
          <t>SPO-01332-1</t>
        </is>
      </c>
      <c r="B2459" t="inlineStr">
        <is>
          <t>SPO-01332</t>
        </is>
      </c>
      <c r="C2459" t="inlineStr">
        <is>
          <t>SUP-02</t>
        </is>
      </c>
      <c r="D2459" t="inlineStr">
        <is>
          <t>ELEC</t>
        </is>
      </c>
      <c r="E2459" t="inlineStr">
        <is>
          <t>ELEC-07</t>
        </is>
      </c>
      <c r="F2459" s="17" t="n">
        <v>45939</v>
      </c>
      <c r="G2459" s="17" t="n">
        <v>45955</v>
      </c>
      <c r="H2459" s="18" t="n">
        <v>145</v>
      </c>
      <c r="I2459" s="19" t="n">
        <v>10.02</v>
      </c>
      <c r="J2459" s="19" t="n">
        <v>9.800000000000001</v>
      </c>
      <c r="K2459" s="20" t="n">
        <v>0</v>
      </c>
      <c r="L2459" s="20" t="n">
        <v>0</v>
      </c>
      <c r="M2459" s="18" t="n">
        <v>145</v>
      </c>
      <c r="N2459" s="18" t="n">
        <v>145</v>
      </c>
      <c r="O2459" s="18" t="n">
        <v>0</v>
      </c>
      <c r="P2459" s="17" t="n">
        <v>45952</v>
      </c>
      <c r="Q2459" s="17" t="n">
        <v>45952</v>
      </c>
      <c r="R2459" s="17" t="n">
        <v>45952</v>
      </c>
      <c r="S2459" s="19">
        <f>H2459*I2459</f>
        <v/>
      </c>
      <c r="T2459" s="19">
        <f>H2459*J2459</f>
        <v/>
      </c>
      <c r="U2459">
        <f>IF(AND(K2459=0,G2459&lt;=Assumptions!$C$6),1,0)</f>
        <v/>
      </c>
      <c r="V2459">
        <f>IF(U2459=1,IF(M2459&gt;0,IF(P2459&lt;=G2459+Assumptions!$C$7,1,0),0),0)</f>
        <v/>
      </c>
      <c r="W2459">
        <f>IF(AND(U2459=1,M2459&gt;=H2459*(1-Assumptions!$C$8)),1,0)</f>
        <v/>
      </c>
      <c r="X2459">
        <f>IF(AND(U2459=1,N2459&gt;=H2459*(1-Assumptions!$C$8)),1,0)</f>
        <v/>
      </c>
      <c r="Y2459">
        <f>IF(ISNUMBER(Q2459),1,0)</f>
        <v/>
      </c>
      <c r="Z2459">
        <f>IF(AND(K2459=0,L2459=0,Y2459=0),1,0)</f>
        <v/>
      </c>
      <c r="AA2459">
        <f>IF(AND(Z2459=1,G2459&lt;Assumptions!$C$6),1,0)</f>
        <v/>
      </c>
      <c r="AB2459">
        <f>IF(U2459=0,"",IF(Y2459=1,MAX(0,Q2459-G2459),IF(L2459=1,MAX(0,R2459-G2459),MAX(0,Assumptions!$C$6-G2459))))</f>
        <v/>
      </c>
      <c r="AC2459">
        <f>IF(Y2459=1,Q2459-F2459,"")</f>
        <v/>
      </c>
      <c r="AD2459">
        <f>IF(Y2459=1,AC2459^2,"")</f>
        <v/>
      </c>
      <c r="AE2459" s="19">
        <f>IF(Z2459=1,(H2459-M2459)*I2459,0)</f>
        <v/>
      </c>
      <c r="AF2459">
        <f>IF(G2459&lt;EDATE(Assumptions!$C$6,-12)+1,"prior_12m","last_12m")</f>
        <v/>
      </c>
      <c r="AG2459" s="21">
        <f>DATE(YEAR(G2459),MONTH(G2459),1)</f>
        <v/>
      </c>
    </row>
    <row r="2460">
      <c r="A2460" t="inlineStr">
        <is>
          <t>SPO-01332-2</t>
        </is>
      </c>
      <c r="B2460" t="inlineStr">
        <is>
          <t>SPO-01332</t>
        </is>
      </c>
      <c r="C2460" t="inlineStr">
        <is>
          <t>SUP-02</t>
        </is>
      </c>
      <c r="D2460" t="inlineStr">
        <is>
          <t>ELEC</t>
        </is>
      </c>
      <c r="E2460" t="inlineStr">
        <is>
          <t>ELEC-03</t>
        </is>
      </c>
      <c r="F2460" s="17" t="n">
        <v>45939</v>
      </c>
      <c r="G2460" s="17" t="n">
        <v>45955</v>
      </c>
      <c r="H2460" s="18" t="n">
        <v>17</v>
      </c>
      <c r="I2460" s="19" t="n">
        <v>95.90000000000001</v>
      </c>
      <c r="J2460" s="19" t="n">
        <v>96</v>
      </c>
      <c r="K2460" s="20" t="n">
        <v>0</v>
      </c>
      <c r="L2460" s="20" t="n">
        <v>0</v>
      </c>
      <c r="M2460" s="18" t="n">
        <v>17</v>
      </c>
      <c r="N2460" s="18" t="n">
        <v>17</v>
      </c>
      <c r="O2460" s="18" t="n">
        <v>0</v>
      </c>
      <c r="P2460" s="17" t="n">
        <v>45951</v>
      </c>
      <c r="Q2460" s="17" t="n">
        <v>45951</v>
      </c>
      <c r="R2460" s="17" t="n">
        <v>45951</v>
      </c>
      <c r="S2460" s="19">
        <f>H2460*I2460</f>
        <v/>
      </c>
      <c r="T2460" s="19">
        <f>H2460*J2460</f>
        <v/>
      </c>
      <c r="U2460">
        <f>IF(AND(K2460=0,G2460&lt;=Assumptions!$C$6),1,0)</f>
        <v/>
      </c>
      <c r="V2460">
        <f>IF(U2460=1,IF(M2460&gt;0,IF(P2460&lt;=G2460+Assumptions!$C$7,1,0),0),0)</f>
        <v/>
      </c>
      <c r="W2460">
        <f>IF(AND(U2460=1,M2460&gt;=H2460*(1-Assumptions!$C$8)),1,0)</f>
        <v/>
      </c>
      <c r="X2460">
        <f>IF(AND(U2460=1,N2460&gt;=H2460*(1-Assumptions!$C$8)),1,0)</f>
        <v/>
      </c>
      <c r="Y2460">
        <f>IF(ISNUMBER(Q2460),1,0)</f>
        <v/>
      </c>
      <c r="Z2460">
        <f>IF(AND(K2460=0,L2460=0,Y2460=0),1,0)</f>
        <v/>
      </c>
      <c r="AA2460">
        <f>IF(AND(Z2460=1,G2460&lt;Assumptions!$C$6),1,0)</f>
        <v/>
      </c>
      <c r="AB2460">
        <f>IF(U2460=0,"",IF(Y2460=1,MAX(0,Q2460-G2460),IF(L2460=1,MAX(0,R2460-G2460),MAX(0,Assumptions!$C$6-G2460))))</f>
        <v/>
      </c>
      <c r="AC2460">
        <f>IF(Y2460=1,Q2460-F2460,"")</f>
        <v/>
      </c>
      <c r="AD2460">
        <f>IF(Y2460=1,AC2460^2,"")</f>
        <v/>
      </c>
      <c r="AE2460" s="19">
        <f>IF(Z2460=1,(H2460-M2460)*I2460,0)</f>
        <v/>
      </c>
      <c r="AF2460">
        <f>IF(G2460&lt;EDATE(Assumptions!$C$6,-12)+1,"prior_12m","last_12m")</f>
        <v/>
      </c>
      <c r="AG2460" s="21">
        <f>DATE(YEAR(G2460),MONTH(G2460),1)</f>
        <v/>
      </c>
    </row>
    <row r="2461">
      <c r="A2461" t="inlineStr">
        <is>
          <t>SPO-01333-1</t>
        </is>
      </c>
      <c r="B2461" t="inlineStr">
        <is>
          <t>SPO-01333</t>
        </is>
      </c>
      <c r="C2461" t="inlineStr">
        <is>
          <t>SUP-01</t>
        </is>
      </c>
      <c r="D2461" t="inlineStr">
        <is>
          <t>ELEC</t>
        </is>
      </c>
      <c r="E2461" t="inlineStr">
        <is>
          <t>ELEC-05</t>
        </is>
      </c>
      <c r="F2461" s="17" t="n">
        <v>45939</v>
      </c>
      <c r="G2461" s="17" t="n">
        <v>45957</v>
      </c>
      <c r="H2461" s="18" t="n">
        <v>164</v>
      </c>
      <c r="I2461" s="19" t="n">
        <v>11.17</v>
      </c>
      <c r="J2461" s="19" t="n">
        <v>11.5</v>
      </c>
      <c r="K2461" s="20" t="n">
        <v>0</v>
      </c>
      <c r="L2461" s="20" t="n">
        <v>0</v>
      </c>
      <c r="M2461" s="18" t="n">
        <v>164</v>
      </c>
      <c r="N2461" s="18" t="n">
        <v>164</v>
      </c>
      <c r="O2461" s="18" t="n">
        <v>0</v>
      </c>
      <c r="P2461" s="17" t="n">
        <v>45952</v>
      </c>
      <c r="Q2461" s="17" t="n">
        <v>45952</v>
      </c>
      <c r="R2461" s="17" t="n">
        <v>45952</v>
      </c>
      <c r="S2461" s="19">
        <f>H2461*I2461</f>
        <v/>
      </c>
      <c r="T2461" s="19">
        <f>H2461*J2461</f>
        <v/>
      </c>
      <c r="U2461">
        <f>IF(AND(K2461=0,G2461&lt;=Assumptions!$C$6),1,0)</f>
        <v/>
      </c>
      <c r="V2461">
        <f>IF(U2461=1,IF(M2461&gt;0,IF(P2461&lt;=G2461+Assumptions!$C$7,1,0),0),0)</f>
        <v/>
      </c>
      <c r="W2461">
        <f>IF(AND(U2461=1,M2461&gt;=H2461*(1-Assumptions!$C$8)),1,0)</f>
        <v/>
      </c>
      <c r="X2461">
        <f>IF(AND(U2461=1,N2461&gt;=H2461*(1-Assumptions!$C$8)),1,0)</f>
        <v/>
      </c>
      <c r="Y2461">
        <f>IF(ISNUMBER(Q2461),1,0)</f>
        <v/>
      </c>
      <c r="Z2461">
        <f>IF(AND(K2461=0,L2461=0,Y2461=0),1,0)</f>
        <v/>
      </c>
      <c r="AA2461">
        <f>IF(AND(Z2461=1,G2461&lt;Assumptions!$C$6),1,0)</f>
        <v/>
      </c>
      <c r="AB2461">
        <f>IF(U2461=0,"",IF(Y2461=1,MAX(0,Q2461-G2461),IF(L2461=1,MAX(0,R2461-G2461),MAX(0,Assumptions!$C$6-G2461))))</f>
        <v/>
      </c>
      <c r="AC2461">
        <f>IF(Y2461=1,Q2461-F2461,"")</f>
        <v/>
      </c>
      <c r="AD2461">
        <f>IF(Y2461=1,AC2461^2,"")</f>
        <v/>
      </c>
      <c r="AE2461" s="19">
        <f>IF(Z2461=1,(H2461-M2461)*I2461,0)</f>
        <v/>
      </c>
      <c r="AF2461">
        <f>IF(G2461&lt;EDATE(Assumptions!$C$6,-12)+1,"prior_12m","last_12m")</f>
        <v/>
      </c>
      <c r="AG2461" s="21">
        <f>DATE(YEAR(G2461),MONTH(G2461),1)</f>
        <v/>
      </c>
    </row>
    <row r="2462">
      <c r="A2462" t="inlineStr">
        <is>
          <t>SPO-01334-1</t>
        </is>
      </c>
      <c r="B2462" t="inlineStr">
        <is>
          <t>SPO-01334</t>
        </is>
      </c>
      <c r="C2462" t="inlineStr">
        <is>
          <t>SUP-01</t>
        </is>
      </c>
      <c r="D2462" t="inlineStr">
        <is>
          <t>ELEC</t>
        </is>
      </c>
      <c r="E2462" t="inlineStr">
        <is>
          <t>ELEC-07</t>
        </is>
      </c>
      <c r="F2462" s="17" t="n">
        <v>45939</v>
      </c>
      <c r="G2462" s="17" t="n">
        <v>45957</v>
      </c>
      <c r="H2462" s="18" t="n">
        <v>210</v>
      </c>
      <c r="I2462" s="19" t="n">
        <v>9.59</v>
      </c>
      <c r="J2462" s="19" t="n">
        <v>9.800000000000001</v>
      </c>
      <c r="K2462" s="20" t="n">
        <v>0</v>
      </c>
      <c r="L2462" s="20" t="n">
        <v>0</v>
      </c>
      <c r="M2462" s="18" t="n">
        <v>210</v>
      </c>
      <c r="N2462" s="18" t="n">
        <v>210</v>
      </c>
      <c r="O2462" s="18" t="n">
        <v>0</v>
      </c>
      <c r="P2462" s="17" t="n">
        <v>45953</v>
      </c>
      <c r="Q2462" s="17" t="n">
        <v>45953</v>
      </c>
      <c r="R2462" s="17" t="n">
        <v>45953</v>
      </c>
      <c r="S2462" s="19">
        <f>H2462*I2462</f>
        <v/>
      </c>
      <c r="T2462" s="19">
        <f>H2462*J2462</f>
        <v/>
      </c>
      <c r="U2462">
        <f>IF(AND(K2462=0,G2462&lt;=Assumptions!$C$6),1,0)</f>
        <v/>
      </c>
      <c r="V2462">
        <f>IF(U2462=1,IF(M2462&gt;0,IF(P2462&lt;=G2462+Assumptions!$C$7,1,0),0),0)</f>
        <v/>
      </c>
      <c r="W2462">
        <f>IF(AND(U2462=1,M2462&gt;=H2462*(1-Assumptions!$C$8)),1,0)</f>
        <v/>
      </c>
      <c r="X2462">
        <f>IF(AND(U2462=1,N2462&gt;=H2462*(1-Assumptions!$C$8)),1,0)</f>
        <v/>
      </c>
      <c r="Y2462">
        <f>IF(ISNUMBER(Q2462),1,0)</f>
        <v/>
      </c>
      <c r="Z2462">
        <f>IF(AND(K2462=0,L2462=0,Y2462=0),1,0)</f>
        <v/>
      </c>
      <c r="AA2462">
        <f>IF(AND(Z2462=1,G2462&lt;Assumptions!$C$6),1,0)</f>
        <v/>
      </c>
      <c r="AB2462">
        <f>IF(U2462=0,"",IF(Y2462=1,MAX(0,Q2462-G2462),IF(L2462=1,MAX(0,R2462-G2462),MAX(0,Assumptions!$C$6-G2462))))</f>
        <v/>
      </c>
      <c r="AC2462">
        <f>IF(Y2462=1,Q2462-F2462,"")</f>
        <v/>
      </c>
      <c r="AD2462">
        <f>IF(Y2462=1,AC2462^2,"")</f>
        <v/>
      </c>
      <c r="AE2462" s="19">
        <f>IF(Z2462=1,(H2462-M2462)*I2462,0)</f>
        <v/>
      </c>
      <c r="AF2462">
        <f>IF(G2462&lt;EDATE(Assumptions!$C$6,-12)+1,"prior_12m","last_12m")</f>
        <v/>
      </c>
      <c r="AG2462" s="21">
        <f>DATE(YEAR(G2462),MONTH(G2462),1)</f>
        <v/>
      </c>
    </row>
    <row r="2463">
      <c r="A2463" t="inlineStr">
        <is>
          <t>SPO-01334-2</t>
        </is>
      </c>
      <c r="B2463" t="inlineStr">
        <is>
          <t>SPO-01334</t>
        </is>
      </c>
      <c r="C2463" t="inlineStr">
        <is>
          <t>SUP-01</t>
        </is>
      </c>
      <c r="D2463" t="inlineStr">
        <is>
          <t>ELEC</t>
        </is>
      </c>
      <c r="E2463" t="inlineStr">
        <is>
          <t>ELEC-05</t>
        </is>
      </c>
      <c r="F2463" s="17" t="n">
        <v>45939</v>
      </c>
      <c r="G2463" s="17" t="n">
        <v>45957</v>
      </c>
      <c r="H2463" s="18" t="n">
        <v>107</v>
      </c>
      <c r="I2463" s="19" t="n">
        <v>12.39</v>
      </c>
      <c r="J2463" s="19" t="n">
        <v>11.5</v>
      </c>
      <c r="K2463" s="20" t="n">
        <v>0</v>
      </c>
      <c r="L2463" s="20" t="n">
        <v>0</v>
      </c>
      <c r="M2463" s="18" t="n">
        <v>107</v>
      </c>
      <c r="N2463" s="18" t="n">
        <v>107</v>
      </c>
      <c r="O2463" s="18" t="n">
        <v>0</v>
      </c>
      <c r="P2463" s="17" t="n">
        <v>45947</v>
      </c>
      <c r="Q2463" s="17" t="n">
        <v>45947</v>
      </c>
      <c r="R2463" s="17" t="n">
        <v>45947</v>
      </c>
      <c r="S2463" s="19">
        <f>H2463*I2463</f>
        <v/>
      </c>
      <c r="T2463" s="19">
        <f>H2463*J2463</f>
        <v/>
      </c>
      <c r="U2463">
        <f>IF(AND(K2463=0,G2463&lt;=Assumptions!$C$6),1,0)</f>
        <v/>
      </c>
      <c r="V2463">
        <f>IF(U2463=1,IF(M2463&gt;0,IF(P2463&lt;=G2463+Assumptions!$C$7,1,0),0),0)</f>
        <v/>
      </c>
      <c r="W2463">
        <f>IF(AND(U2463=1,M2463&gt;=H2463*(1-Assumptions!$C$8)),1,0)</f>
        <v/>
      </c>
      <c r="X2463">
        <f>IF(AND(U2463=1,N2463&gt;=H2463*(1-Assumptions!$C$8)),1,0)</f>
        <v/>
      </c>
      <c r="Y2463">
        <f>IF(ISNUMBER(Q2463),1,0)</f>
        <v/>
      </c>
      <c r="Z2463">
        <f>IF(AND(K2463=0,L2463=0,Y2463=0),1,0)</f>
        <v/>
      </c>
      <c r="AA2463">
        <f>IF(AND(Z2463=1,G2463&lt;Assumptions!$C$6),1,0)</f>
        <v/>
      </c>
      <c r="AB2463">
        <f>IF(U2463=0,"",IF(Y2463=1,MAX(0,Q2463-G2463),IF(L2463=1,MAX(0,R2463-G2463),MAX(0,Assumptions!$C$6-G2463))))</f>
        <v/>
      </c>
      <c r="AC2463">
        <f>IF(Y2463=1,Q2463-F2463,"")</f>
        <v/>
      </c>
      <c r="AD2463">
        <f>IF(Y2463=1,AC2463^2,"")</f>
        <v/>
      </c>
      <c r="AE2463" s="19">
        <f>IF(Z2463=1,(H2463-M2463)*I2463,0)</f>
        <v/>
      </c>
      <c r="AF2463">
        <f>IF(G2463&lt;EDATE(Assumptions!$C$6,-12)+1,"prior_12m","last_12m")</f>
        <v/>
      </c>
      <c r="AG2463" s="21">
        <f>DATE(YEAR(G2463),MONTH(G2463),1)</f>
        <v/>
      </c>
    </row>
    <row r="2464">
      <c r="A2464" t="inlineStr">
        <is>
          <t>SPO-01334-3</t>
        </is>
      </c>
      <c r="B2464" t="inlineStr">
        <is>
          <t>SPO-01334</t>
        </is>
      </c>
      <c r="C2464" t="inlineStr">
        <is>
          <t>SUP-01</t>
        </is>
      </c>
      <c r="D2464" t="inlineStr">
        <is>
          <t>ELEC</t>
        </is>
      </c>
      <c r="E2464" t="inlineStr">
        <is>
          <t>ELEC-08</t>
        </is>
      </c>
      <c r="F2464" s="17" t="n">
        <v>45939</v>
      </c>
      <c r="G2464" s="17" t="n">
        <v>45957</v>
      </c>
      <c r="H2464" s="18" t="n">
        <v>194</v>
      </c>
      <c r="I2464" s="19" t="n">
        <v>18.62</v>
      </c>
      <c r="J2464" s="19" t="n">
        <v>18</v>
      </c>
      <c r="K2464" s="20" t="n">
        <v>0</v>
      </c>
      <c r="L2464" s="20" t="n">
        <v>0</v>
      </c>
      <c r="M2464" s="18" t="n">
        <v>194</v>
      </c>
      <c r="N2464" s="18" t="n">
        <v>194</v>
      </c>
      <c r="O2464" s="18" t="n">
        <v>0</v>
      </c>
      <c r="P2464" s="17" t="n">
        <v>45957</v>
      </c>
      <c r="Q2464" s="17" t="n">
        <v>45957</v>
      </c>
      <c r="R2464" s="17" t="n">
        <v>45957</v>
      </c>
      <c r="S2464" s="19">
        <f>H2464*I2464</f>
        <v/>
      </c>
      <c r="T2464" s="19">
        <f>H2464*J2464</f>
        <v/>
      </c>
      <c r="U2464">
        <f>IF(AND(K2464=0,G2464&lt;=Assumptions!$C$6),1,0)</f>
        <v/>
      </c>
      <c r="V2464">
        <f>IF(U2464=1,IF(M2464&gt;0,IF(P2464&lt;=G2464+Assumptions!$C$7,1,0),0),0)</f>
        <v/>
      </c>
      <c r="W2464">
        <f>IF(AND(U2464=1,M2464&gt;=H2464*(1-Assumptions!$C$8)),1,0)</f>
        <v/>
      </c>
      <c r="X2464">
        <f>IF(AND(U2464=1,N2464&gt;=H2464*(1-Assumptions!$C$8)),1,0)</f>
        <v/>
      </c>
      <c r="Y2464">
        <f>IF(ISNUMBER(Q2464),1,0)</f>
        <v/>
      </c>
      <c r="Z2464">
        <f>IF(AND(K2464=0,L2464=0,Y2464=0),1,0)</f>
        <v/>
      </c>
      <c r="AA2464">
        <f>IF(AND(Z2464=1,G2464&lt;Assumptions!$C$6),1,0)</f>
        <v/>
      </c>
      <c r="AB2464">
        <f>IF(U2464=0,"",IF(Y2464=1,MAX(0,Q2464-G2464),IF(L2464=1,MAX(0,R2464-G2464),MAX(0,Assumptions!$C$6-G2464))))</f>
        <v/>
      </c>
      <c r="AC2464">
        <f>IF(Y2464=1,Q2464-F2464,"")</f>
        <v/>
      </c>
      <c r="AD2464">
        <f>IF(Y2464=1,AC2464^2,"")</f>
        <v/>
      </c>
      <c r="AE2464" s="19">
        <f>IF(Z2464=1,(H2464-M2464)*I2464,0)</f>
        <v/>
      </c>
      <c r="AF2464">
        <f>IF(G2464&lt;EDATE(Assumptions!$C$6,-12)+1,"prior_12m","last_12m")</f>
        <v/>
      </c>
      <c r="AG2464" s="21">
        <f>DATE(YEAR(G2464),MONTH(G2464),1)</f>
        <v/>
      </c>
    </row>
    <row r="2465">
      <c r="A2465" t="inlineStr">
        <is>
          <t>SPO-01334-4</t>
        </is>
      </c>
      <c r="B2465" t="inlineStr">
        <is>
          <t>SPO-01334</t>
        </is>
      </c>
      <c r="C2465" t="inlineStr">
        <is>
          <t>SUP-01</t>
        </is>
      </c>
      <c r="D2465" t="inlineStr">
        <is>
          <t>ELEC</t>
        </is>
      </c>
      <c r="E2465" t="inlineStr">
        <is>
          <t>ELEC-01</t>
        </is>
      </c>
      <c r="F2465" s="17" t="n">
        <v>45939</v>
      </c>
      <c r="G2465" s="17" t="n">
        <v>45957</v>
      </c>
      <c r="H2465" s="18" t="n">
        <v>39</v>
      </c>
      <c r="I2465" s="19" t="n">
        <v>37.67</v>
      </c>
      <c r="J2465" s="19" t="n">
        <v>38</v>
      </c>
      <c r="K2465" s="20" t="n">
        <v>0</v>
      </c>
      <c r="L2465" s="20" t="n">
        <v>0</v>
      </c>
      <c r="M2465" s="18" t="n">
        <v>39</v>
      </c>
      <c r="N2465" s="18" t="n">
        <v>39</v>
      </c>
      <c r="O2465" s="18" t="n">
        <v>0</v>
      </c>
      <c r="P2465" s="17" t="n">
        <v>45955</v>
      </c>
      <c r="Q2465" s="17" t="n">
        <v>45955</v>
      </c>
      <c r="R2465" s="17" t="n">
        <v>45955</v>
      </c>
      <c r="S2465" s="19">
        <f>H2465*I2465</f>
        <v/>
      </c>
      <c r="T2465" s="19">
        <f>H2465*J2465</f>
        <v/>
      </c>
      <c r="U2465">
        <f>IF(AND(K2465=0,G2465&lt;=Assumptions!$C$6),1,0)</f>
        <v/>
      </c>
      <c r="V2465">
        <f>IF(U2465=1,IF(M2465&gt;0,IF(P2465&lt;=G2465+Assumptions!$C$7,1,0),0),0)</f>
        <v/>
      </c>
      <c r="W2465">
        <f>IF(AND(U2465=1,M2465&gt;=H2465*(1-Assumptions!$C$8)),1,0)</f>
        <v/>
      </c>
      <c r="X2465">
        <f>IF(AND(U2465=1,N2465&gt;=H2465*(1-Assumptions!$C$8)),1,0)</f>
        <v/>
      </c>
      <c r="Y2465">
        <f>IF(ISNUMBER(Q2465),1,0)</f>
        <v/>
      </c>
      <c r="Z2465">
        <f>IF(AND(K2465=0,L2465=0,Y2465=0),1,0)</f>
        <v/>
      </c>
      <c r="AA2465">
        <f>IF(AND(Z2465=1,G2465&lt;Assumptions!$C$6),1,0)</f>
        <v/>
      </c>
      <c r="AB2465">
        <f>IF(U2465=0,"",IF(Y2465=1,MAX(0,Q2465-G2465),IF(L2465=1,MAX(0,R2465-G2465),MAX(0,Assumptions!$C$6-G2465))))</f>
        <v/>
      </c>
      <c r="AC2465">
        <f>IF(Y2465=1,Q2465-F2465,"")</f>
        <v/>
      </c>
      <c r="AD2465">
        <f>IF(Y2465=1,AC2465^2,"")</f>
        <v/>
      </c>
      <c r="AE2465" s="19">
        <f>IF(Z2465=1,(H2465-M2465)*I2465,0)</f>
        <v/>
      </c>
      <c r="AF2465">
        <f>IF(G2465&lt;EDATE(Assumptions!$C$6,-12)+1,"prior_12m","last_12m")</f>
        <v/>
      </c>
      <c r="AG2465" s="21">
        <f>DATE(YEAR(G2465),MONTH(G2465),1)</f>
        <v/>
      </c>
    </row>
    <row r="2466">
      <c r="A2466" t="inlineStr">
        <is>
          <t>SPO-01335-1</t>
        </is>
      </c>
      <c r="B2466" t="inlineStr">
        <is>
          <t>SPO-01335</t>
        </is>
      </c>
      <c r="C2466" t="inlineStr">
        <is>
          <t>SUP-12</t>
        </is>
      </c>
      <c r="D2466" t="inlineStr">
        <is>
          <t>IT</t>
        </is>
      </c>
      <c r="E2466" t="inlineStr">
        <is>
          <t>IT-01</t>
        </is>
      </c>
      <c r="F2466" s="17" t="n">
        <v>45939</v>
      </c>
      <c r="G2466" s="17" t="n">
        <v>45949</v>
      </c>
      <c r="H2466" s="18" t="n">
        <v>14</v>
      </c>
      <c r="I2466" s="19" t="n">
        <v>225.06</v>
      </c>
      <c r="J2466" s="19" t="n">
        <v>189</v>
      </c>
      <c r="K2466" s="20" t="n">
        <v>0</v>
      </c>
      <c r="L2466" s="20" t="n">
        <v>0</v>
      </c>
      <c r="M2466" s="18" t="n">
        <v>14</v>
      </c>
      <c r="N2466" s="18" t="n">
        <v>14</v>
      </c>
      <c r="O2466" s="18" t="n">
        <v>0</v>
      </c>
      <c r="P2466" s="17" t="n">
        <v>45944</v>
      </c>
      <c r="Q2466" s="17" t="n">
        <v>45944</v>
      </c>
      <c r="R2466" s="17" t="n">
        <v>45944</v>
      </c>
      <c r="S2466" s="19">
        <f>H2466*I2466</f>
        <v/>
      </c>
      <c r="T2466" s="19">
        <f>H2466*J2466</f>
        <v/>
      </c>
      <c r="U2466">
        <f>IF(AND(K2466=0,G2466&lt;=Assumptions!$C$6),1,0)</f>
        <v/>
      </c>
      <c r="V2466">
        <f>IF(U2466=1,IF(M2466&gt;0,IF(P2466&lt;=G2466+Assumptions!$C$7,1,0),0),0)</f>
        <v/>
      </c>
      <c r="W2466">
        <f>IF(AND(U2466=1,M2466&gt;=H2466*(1-Assumptions!$C$8)),1,0)</f>
        <v/>
      </c>
      <c r="X2466">
        <f>IF(AND(U2466=1,N2466&gt;=H2466*(1-Assumptions!$C$8)),1,0)</f>
        <v/>
      </c>
      <c r="Y2466">
        <f>IF(ISNUMBER(Q2466),1,0)</f>
        <v/>
      </c>
      <c r="Z2466">
        <f>IF(AND(K2466=0,L2466=0,Y2466=0),1,0)</f>
        <v/>
      </c>
      <c r="AA2466">
        <f>IF(AND(Z2466=1,G2466&lt;Assumptions!$C$6),1,0)</f>
        <v/>
      </c>
      <c r="AB2466">
        <f>IF(U2466=0,"",IF(Y2466=1,MAX(0,Q2466-G2466),IF(L2466=1,MAX(0,R2466-G2466),MAX(0,Assumptions!$C$6-G2466))))</f>
        <v/>
      </c>
      <c r="AC2466">
        <f>IF(Y2466=1,Q2466-F2466,"")</f>
        <v/>
      </c>
      <c r="AD2466">
        <f>IF(Y2466=1,AC2466^2,"")</f>
        <v/>
      </c>
      <c r="AE2466" s="19">
        <f>IF(Z2466=1,(H2466-M2466)*I2466,0)</f>
        <v/>
      </c>
      <c r="AF2466">
        <f>IF(G2466&lt;EDATE(Assumptions!$C$6,-12)+1,"prior_12m","last_12m")</f>
        <v/>
      </c>
      <c r="AG2466" s="21">
        <f>DATE(YEAR(G2466),MONTH(G2466),1)</f>
        <v/>
      </c>
    </row>
    <row r="2467">
      <c r="A2467" t="inlineStr">
        <is>
          <t>SPO-01335-2</t>
        </is>
      </c>
      <c r="B2467" t="inlineStr">
        <is>
          <t>SPO-01335</t>
        </is>
      </c>
      <c r="C2467" t="inlineStr">
        <is>
          <t>SUP-12</t>
        </is>
      </c>
      <c r="D2467" t="inlineStr">
        <is>
          <t>IT</t>
        </is>
      </c>
      <c r="E2467" t="inlineStr">
        <is>
          <t>IT-03</t>
        </is>
      </c>
      <c r="F2467" s="17" t="n">
        <v>45939</v>
      </c>
      <c r="G2467" s="17" t="n">
        <v>45949</v>
      </c>
      <c r="H2467" s="18" t="n">
        <v>43</v>
      </c>
      <c r="I2467" s="19" t="n">
        <v>43.91</v>
      </c>
      <c r="J2467" s="19" t="n">
        <v>38</v>
      </c>
      <c r="K2467" s="20" t="n">
        <v>0</v>
      </c>
      <c r="L2467" s="20" t="n">
        <v>0</v>
      </c>
      <c r="M2467" s="18" t="n">
        <v>43</v>
      </c>
      <c r="N2467" s="18" t="n">
        <v>43</v>
      </c>
      <c r="O2467" s="18" t="n">
        <v>0</v>
      </c>
      <c r="P2467" s="17" t="n">
        <v>45948</v>
      </c>
      <c r="Q2467" s="17" t="n">
        <v>45948</v>
      </c>
      <c r="R2467" s="17" t="n">
        <v>45948</v>
      </c>
      <c r="S2467" s="19">
        <f>H2467*I2467</f>
        <v/>
      </c>
      <c r="T2467" s="19">
        <f>H2467*J2467</f>
        <v/>
      </c>
      <c r="U2467">
        <f>IF(AND(K2467=0,G2467&lt;=Assumptions!$C$6),1,0)</f>
        <v/>
      </c>
      <c r="V2467">
        <f>IF(U2467=1,IF(M2467&gt;0,IF(P2467&lt;=G2467+Assumptions!$C$7,1,0),0),0)</f>
        <v/>
      </c>
      <c r="W2467">
        <f>IF(AND(U2467=1,M2467&gt;=H2467*(1-Assumptions!$C$8)),1,0)</f>
        <v/>
      </c>
      <c r="X2467">
        <f>IF(AND(U2467=1,N2467&gt;=H2467*(1-Assumptions!$C$8)),1,0)</f>
        <v/>
      </c>
      <c r="Y2467">
        <f>IF(ISNUMBER(Q2467),1,0)</f>
        <v/>
      </c>
      <c r="Z2467">
        <f>IF(AND(K2467=0,L2467=0,Y2467=0),1,0)</f>
        <v/>
      </c>
      <c r="AA2467">
        <f>IF(AND(Z2467=1,G2467&lt;Assumptions!$C$6),1,0)</f>
        <v/>
      </c>
      <c r="AB2467">
        <f>IF(U2467=0,"",IF(Y2467=1,MAX(0,Q2467-G2467),IF(L2467=1,MAX(0,R2467-G2467),MAX(0,Assumptions!$C$6-G2467))))</f>
        <v/>
      </c>
      <c r="AC2467">
        <f>IF(Y2467=1,Q2467-F2467,"")</f>
        <v/>
      </c>
      <c r="AD2467">
        <f>IF(Y2467=1,AC2467^2,"")</f>
        <v/>
      </c>
      <c r="AE2467" s="19">
        <f>IF(Z2467=1,(H2467-M2467)*I2467,0)</f>
        <v/>
      </c>
      <c r="AF2467">
        <f>IF(G2467&lt;EDATE(Assumptions!$C$6,-12)+1,"prior_12m","last_12m")</f>
        <v/>
      </c>
      <c r="AG2467" s="21">
        <f>DATE(YEAR(G2467),MONTH(G2467),1)</f>
        <v/>
      </c>
    </row>
    <row r="2468">
      <c r="A2468" t="inlineStr">
        <is>
          <t>SPO-01335-3</t>
        </is>
      </c>
      <c r="B2468" t="inlineStr">
        <is>
          <t>SPO-01335</t>
        </is>
      </c>
      <c r="C2468" t="inlineStr">
        <is>
          <t>SUP-12</t>
        </is>
      </c>
      <c r="D2468" t="inlineStr">
        <is>
          <t>IT</t>
        </is>
      </c>
      <c r="E2468" t="inlineStr">
        <is>
          <t>IT-06</t>
        </is>
      </c>
      <c r="F2468" s="17" t="n">
        <v>45939</v>
      </c>
      <c r="G2468" s="17" t="n">
        <v>45949</v>
      </c>
      <c r="H2468" s="18" t="n">
        <v>24</v>
      </c>
      <c r="I2468" s="19" t="n">
        <v>103.28</v>
      </c>
      <c r="J2468" s="19" t="n">
        <v>89</v>
      </c>
      <c r="K2468" s="20" t="n">
        <v>0</v>
      </c>
      <c r="L2468" s="20" t="n">
        <v>0</v>
      </c>
      <c r="M2468" s="18" t="n">
        <v>24</v>
      </c>
      <c r="N2468" s="18" t="n">
        <v>24</v>
      </c>
      <c r="O2468" s="18" t="n">
        <v>0</v>
      </c>
      <c r="P2468" s="17" t="n">
        <v>45943</v>
      </c>
      <c r="Q2468" s="17" t="n">
        <v>45943</v>
      </c>
      <c r="R2468" s="17" t="n">
        <v>45943</v>
      </c>
      <c r="S2468" s="19">
        <f>H2468*I2468</f>
        <v/>
      </c>
      <c r="T2468" s="19">
        <f>H2468*J2468</f>
        <v/>
      </c>
      <c r="U2468">
        <f>IF(AND(K2468=0,G2468&lt;=Assumptions!$C$6),1,0)</f>
        <v/>
      </c>
      <c r="V2468">
        <f>IF(U2468=1,IF(M2468&gt;0,IF(P2468&lt;=G2468+Assumptions!$C$7,1,0),0),0)</f>
        <v/>
      </c>
      <c r="W2468">
        <f>IF(AND(U2468=1,M2468&gt;=H2468*(1-Assumptions!$C$8)),1,0)</f>
        <v/>
      </c>
      <c r="X2468">
        <f>IF(AND(U2468=1,N2468&gt;=H2468*(1-Assumptions!$C$8)),1,0)</f>
        <v/>
      </c>
      <c r="Y2468">
        <f>IF(ISNUMBER(Q2468),1,0)</f>
        <v/>
      </c>
      <c r="Z2468">
        <f>IF(AND(K2468=0,L2468=0,Y2468=0),1,0)</f>
        <v/>
      </c>
      <c r="AA2468">
        <f>IF(AND(Z2468=1,G2468&lt;Assumptions!$C$6),1,0)</f>
        <v/>
      </c>
      <c r="AB2468">
        <f>IF(U2468=0,"",IF(Y2468=1,MAX(0,Q2468-G2468),IF(L2468=1,MAX(0,R2468-G2468),MAX(0,Assumptions!$C$6-G2468))))</f>
        <v/>
      </c>
      <c r="AC2468">
        <f>IF(Y2468=1,Q2468-F2468,"")</f>
        <v/>
      </c>
      <c r="AD2468">
        <f>IF(Y2468=1,AC2468^2,"")</f>
        <v/>
      </c>
      <c r="AE2468" s="19">
        <f>IF(Z2468=1,(H2468-M2468)*I2468,0)</f>
        <v/>
      </c>
      <c r="AF2468">
        <f>IF(G2468&lt;EDATE(Assumptions!$C$6,-12)+1,"prior_12m","last_12m")</f>
        <v/>
      </c>
      <c r="AG2468" s="21">
        <f>DATE(YEAR(G2468),MONTH(G2468),1)</f>
        <v/>
      </c>
    </row>
    <row r="2469">
      <c r="A2469" t="inlineStr">
        <is>
          <t>SPO-01336-1</t>
        </is>
      </c>
      <c r="B2469" t="inlineStr">
        <is>
          <t>SPO-01336</t>
        </is>
      </c>
      <c r="C2469" t="inlineStr">
        <is>
          <t>SUP-06</t>
        </is>
      </c>
      <c r="D2469" t="inlineStr">
        <is>
          <t>MRO</t>
        </is>
      </c>
      <c r="E2469" t="inlineStr">
        <is>
          <t>MRO-07</t>
        </is>
      </c>
      <c r="F2469" s="17" t="n">
        <v>45940</v>
      </c>
      <c r="G2469" s="17" t="n">
        <v>45948</v>
      </c>
      <c r="H2469" s="18" t="n">
        <v>178</v>
      </c>
      <c r="I2469" s="19" t="n">
        <v>13.81</v>
      </c>
      <c r="J2469" s="19" t="n">
        <v>14</v>
      </c>
      <c r="K2469" s="20" t="n">
        <v>0</v>
      </c>
      <c r="L2469" s="20" t="n">
        <v>0</v>
      </c>
      <c r="M2469" s="18" t="n">
        <v>178</v>
      </c>
      <c r="N2469" s="18" t="n">
        <v>178</v>
      </c>
      <c r="O2469" s="18" t="n">
        <v>0</v>
      </c>
      <c r="P2469" s="17" t="n">
        <v>45947</v>
      </c>
      <c r="Q2469" s="17" t="n">
        <v>45947</v>
      </c>
      <c r="R2469" s="17" t="n">
        <v>45947</v>
      </c>
      <c r="S2469" s="19">
        <f>H2469*I2469</f>
        <v/>
      </c>
      <c r="T2469" s="19">
        <f>H2469*J2469</f>
        <v/>
      </c>
      <c r="U2469">
        <f>IF(AND(K2469=0,G2469&lt;=Assumptions!$C$6),1,0)</f>
        <v/>
      </c>
      <c r="V2469">
        <f>IF(U2469=1,IF(M2469&gt;0,IF(P2469&lt;=G2469+Assumptions!$C$7,1,0),0),0)</f>
        <v/>
      </c>
      <c r="W2469">
        <f>IF(AND(U2469=1,M2469&gt;=H2469*(1-Assumptions!$C$8)),1,0)</f>
        <v/>
      </c>
      <c r="X2469">
        <f>IF(AND(U2469=1,N2469&gt;=H2469*(1-Assumptions!$C$8)),1,0)</f>
        <v/>
      </c>
      <c r="Y2469">
        <f>IF(ISNUMBER(Q2469),1,0)</f>
        <v/>
      </c>
      <c r="Z2469">
        <f>IF(AND(K2469=0,L2469=0,Y2469=0),1,0)</f>
        <v/>
      </c>
      <c r="AA2469">
        <f>IF(AND(Z2469=1,G2469&lt;Assumptions!$C$6),1,0)</f>
        <v/>
      </c>
      <c r="AB2469">
        <f>IF(U2469=0,"",IF(Y2469=1,MAX(0,Q2469-G2469),IF(L2469=1,MAX(0,R2469-G2469),MAX(0,Assumptions!$C$6-G2469))))</f>
        <v/>
      </c>
      <c r="AC2469">
        <f>IF(Y2469=1,Q2469-F2469,"")</f>
        <v/>
      </c>
      <c r="AD2469">
        <f>IF(Y2469=1,AC2469^2,"")</f>
        <v/>
      </c>
      <c r="AE2469" s="19">
        <f>IF(Z2469=1,(H2469-M2469)*I2469,0)</f>
        <v/>
      </c>
      <c r="AF2469">
        <f>IF(G2469&lt;EDATE(Assumptions!$C$6,-12)+1,"prior_12m","last_12m")</f>
        <v/>
      </c>
      <c r="AG2469" s="21">
        <f>DATE(YEAR(G2469),MONTH(G2469),1)</f>
        <v/>
      </c>
    </row>
    <row r="2470">
      <c r="A2470" t="inlineStr">
        <is>
          <t>SPO-01336-2</t>
        </is>
      </c>
      <c r="B2470" t="inlineStr">
        <is>
          <t>SPO-01336</t>
        </is>
      </c>
      <c r="C2470" t="inlineStr">
        <is>
          <t>SUP-06</t>
        </is>
      </c>
      <c r="D2470" t="inlineStr">
        <is>
          <t>MRO</t>
        </is>
      </c>
      <c r="E2470" t="inlineStr">
        <is>
          <t>MRO-02</t>
        </is>
      </c>
      <c r="F2470" s="17" t="n">
        <v>45940</v>
      </c>
      <c r="G2470" s="17" t="n">
        <v>45948</v>
      </c>
      <c r="H2470" s="18" t="n">
        <v>12</v>
      </c>
      <c r="I2470" s="19" t="n">
        <v>41.55</v>
      </c>
      <c r="J2470" s="19" t="n">
        <v>41</v>
      </c>
      <c r="K2470" s="20" t="n">
        <v>0</v>
      </c>
      <c r="L2470" s="20" t="n">
        <v>0</v>
      </c>
      <c r="M2470" s="18" t="n">
        <v>12</v>
      </c>
      <c r="N2470" s="18" t="n">
        <v>12</v>
      </c>
      <c r="O2470" s="18" t="n">
        <v>0</v>
      </c>
      <c r="P2470" s="17" t="n">
        <v>45945</v>
      </c>
      <c r="Q2470" s="17" t="n">
        <v>45945</v>
      </c>
      <c r="R2470" s="17" t="n">
        <v>45945</v>
      </c>
      <c r="S2470" s="19">
        <f>H2470*I2470</f>
        <v/>
      </c>
      <c r="T2470" s="19">
        <f>H2470*J2470</f>
        <v/>
      </c>
      <c r="U2470">
        <f>IF(AND(K2470=0,G2470&lt;=Assumptions!$C$6),1,0)</f>
        <v/>
      </c>
      <c r="V2470">
        <f>IF(U2470=1,IF(M2470&gt;0,IF(P2470&lt;=G2470+Assumptions!$C$7,1,0),0),0)</f>
        <v/>
      </c>
      <c r="W2470">
        <f>IF(AND(U2470=1,M2470&gt;=H2470*(1-Assumptions!$C$8)),1,0)</f>
        <v/>
      </c>
      <c r="X2470">
        <f>IF(AND(U2470=1,N2470&gt;=H2470*(1-Assumptions!$C$8)),1,0)</f>
        <v/>
      </c>
      <c r="Y2470">
        <f>IF(ISNUMBER(Q2470),1,0)</f>
        <v/>
      </c>
      <c r="Z2470">
        <f>IF(AND(K2470=0,L2470=0,Y2470=0),1,0)</f>
        <v/>
      </c>
      <c r="AA2470">
        <f>IF(AND(Z2470=1,G2470&lt;Assumptions!$C$6),1,0)</f>
        <v/>
      </c>
      <c r="AB2470">
        <f>IF(U2470=0,"",IF(Y2470=1,MAX(0,Q2470-G2470),IF(L2470=1,MAX(0,R2470-G2470),MAX(0,Assumptions!$C$6-G2470))))</f>
        <v/>
      </c>
      <c r="AC2470">
        <f>IF(Y2470=1,Q2470-F2470,"")</f>
        <v/>
      </c>
      <c r="AD2470">
        <f>IF(Y2470=1,AC2470^2,"")</f>
        <v/>
      </c>
      <c r="AE2470" s="19">
        <f>IF(Z2470=1,(H2470-M2470)*I2470,0)</f>
        <v/>
      </c>
      <c r="AF2470">
        <f>IF(G2470&lt;EDATE(Assumptions!$C$6,-12)+1,"prior_12m","last_12m")</f>
        <v/>
      </c>
      <c r="AG2470" s="21">
        <f>DATE(YEAR(G2470),MONTH(G2470),1)</f>
        <v/>
      </c>
    </row>
    <row r="2471">
      <c r="A2471" t="inlineStr">
        <is>
          <t>SPO-01336-3</t>
        </is>
      </c>
      <c r="B2471" t="inlineStr">
        <is>
          <t>SPO-01336</t>
        </is>
      </c>
      <c r="C2471" t="inlineStr">
        <is>
          <t>SUP-06</t>
        </is>
      </c>
      <c r="D2471" t="inlineStr">
        <is>
          <t>MRO</t>
        </is>
      </c>
      <c r="E2471" t="inlineStr">
        <is>
          <t>MRO-03</t>
        </is>
      </c>
      <c r="F2471" s="17" t="n">
        <v>45940</v>
      </c>
      <c r="G2471" s="17" t="n">
        <v>45948</v>
      </c>
      <c r="H2471" s="18" t="n">
        <v>110</v>
      </c>
      <c r="I2471" s="19" t="n">
        <v>9.35</v>
      </c>
      <c r="J2471" s="19" t="n">
        <v>8.9</v>
      </c>
      <c r="K2471" s="20" t="n">
        <v>0</v>
      </c>
      <c r="L2471" s="20" t="n">
        <v>0</v>
      </c>
      <c r="M2471" s="18" t="n">
        <v>110</v>
      </c>
      <c r="N2471" s="18" t="n">
        <v>110</v>
      </c>
      <c r="O2471" s="18" t="n">
        <v>0</v>
      </c>
      <c r="P2471" s="17" t="n">
        <v>45946</v>
      </c>
      <c r="Q2471" s="17" t="n">
        <v>45946</v>
      </c>
      <c r="R2471" s="17" t="n">
        <v>45946</v>
      </c>
      <c r="S2471" s="19">
        <f>H2471*I2471</f>
        <v/>
      </c>
      <c r="T2471" s="19">
        <f>H2471*J2471</f>
        <v/>
      </c>
      <c r="U2471">
        <f>IF(AND(K2471=0,G2471&lt;=Assumptions!$C$6),1,0)</f>
        <v/>
      </c>
      <c r="V2471">
        <f>IF(U2471=1,IF(M2471&gt;0,IF(P2471&lt;=G2471+Assumptions!$C$7,1,0),0),0)</f>
        <v/>
      </c>
      <c r="W2471">
        <f>IF(AND(U2471=1,M2471&gt;=H2471*(1-Assumptions!$C$8)),1,0)</f>
        <v/>
      </c>
      <c r="X2471">
        <f>IF(AND(U2471=1,N2471&gt;=H2471*(1-Assumptions!$C$8)),1,0)</f>
        <v/>
      </c>
      <c r="Y2471">
        <f>IF(ISNUMBER(Q2471),1,0)</f>
        <v/>
      </c>
      <c r="Z2471">
        <f>IF(AND(K2471=0,L2471=0,Y2471=0),1,0)</f>
        <v/>
      </c>
      <c r="AA2471">
        <f>IF(AND(Z2471=1,G2471&lt;Assumptions!$C$6),1,0)</f>
        <v/>
      </c>
      <c r="AB2471">
        <f>IF(U2471=0,"",IF(Y2471=1,MAX(0,Q2471-G2471),IF(L2471=1,MAX(0,R2471-G2471),MAX(0,Assumptions!$C$6-G2471))))</f>
        <v/>
      </c>
      <c r="AC2471">
        <f>IF(Y2471=1,Q2471-F2471,"")</f>
        <v/>
      </c>
      <c r="AD2471">
        <f>IF(Y2471=1,AC2471^2,"")</f>
        <v/>
      </c>
      <c r="AE2471" s="19">
        <f>IF(Z2471=1,(H2471-M2471)*I2471,0)</f>
        <v/>
      </c>
      <c r="AF2471">
        <f>IF(G2471&lt;EDATE(Assumptions!$C$6,-12)+1,"prior_12m","last_12m")</f>
        <v/>
      </c>
      <c r="AG2471" s="21">
        <f>DATE(YEAR(G2471),MONTH(G2471),1)</f>
        <v/>
      </c>
    </row>
    <row r="2472">
      <c r="A2472" t="inlineStr">
        <is>
          <t>SPO-01336-4</t>
        </is>
      </c>
      <c r="B2472" t="inlineStr">
        <is>
          <t>SPO-01336</t>
        </is>
      </c>
      <c r="C2472" t="inlineStr">
        <is>
          <t>SUP-06</t>
        </is>
      </c>
      <c r="D2472" t="inlineStr">
        <is>
          <t>MRO</t>
        </is>
      </c>
      <c r="E2472" t="inlineStr">
        <is>
          <t>MRO-01</t>
        </is>
      </c>
      <c r="F2472" s="17" t="n">
        <v>45940</v>
      </c>
      <c r="G2472" s="17" t="n">
        <v>45948</v>
      </c>
      <c r="H2472" s="18" t="n">
        <v>28</v>
      </c>
      <c r="I2472" s="19" t="n">
        <v>52.21</v>
      </c>
      <c r="J2472" s="19" t="n">
        <v>52</v>
      </c>
      <c r="K2472" s="20" t="n">
        <v>0</v>
      </c>
      <c r="L2472" s="20" t="n">
        <v>0</v>
      </c>
      <c r="M2472" s="18" t="n">
        <v>28</v>
      </c>
      <c r="N2472" s="18" t="n">
        <v>28</v>
      </c>
      <c r="O2472" s="18" t="n">
        <v>0</v>
      </c>
      <c r="P2472" s="17" t="n">
        <v>45946</v>
      </c>
      <c r="Q2472" s="17" t="n">
        <v>45946</v>
      </c>
      <c r="R2472" s="17" t="n">
        <v>45946</v>
      </c>
      <c r="S2472" s="19">
        <f>H2472*I2472</f>
        <v/>
      </c>
      <c r="T2472" s="19">
        <f>H2472*J2472</f>
        <v/>
      </c>
      <c r="U2472">
        <f>IF(AND(K2472=0,G2472&lt;=Assumptions!$C$6),1,0)</f>
        <v/>
      </c>
      <c r="V2472">
        <f>IF(U2472=1,IF(M2472&gt;0,IF(P2472&lt;=G2472+Assumptions!$C$7,1,0),0),0)</f>
        <v/>
      </c>
      <c r="W2472">
        <f>IF(AND(U2472=1,M2472&gt;=H2472*(1-Assumptions!$C$8)),1,0)</f>
        <v/>
      </c>
      <c r="X2472">
        <f>IF(AND(U2472=1,N2472&gt;=H2472*(1-Assumptions!$C$8)),1,0)</f>
        <v/>
      </c>
      <c r="Y2472">
        <f>IF(ISNUMBER(Q2472),1,0)</f>
        <v/>
      </c>
      <c r="Z2472">
        <f>IF(AND(K2472=0,L2472=0,Y2472=0),1,0)</f>
        <v/>
      </c>
      <c r="AA2472">
        <f>IF(AND(Z2472=1,G2472&lt;Assumptions!$C$6),1,0)</f>
        <v/>
      </c>
      <c r="AB2472">
        <f>IF(U2472=0,"",IF(Y2472=1,MAX(0,Q2472-G2472),IF(L2472=1,MAX(0,R2472-G2472),MAX(0,Assumptions!$C$6-G2472))))</f>
        <v/>
      </c>
      <c r="AC2472">
        <f>IF(Y2472=1,Q2472-F2472,"")</f>
        <v/>
      </c>
      <c r="AD2472">
        <f>IF(Y2472=1,AC2472^2,"")</f>
        <v/>
      </c>
      <c r="AE2472" s="19">
        <f>IF(Z2472=1,(H2472-M2472)*I2472,0)</f>
        <v/>
      </c>
      <c r="AF2472">
        <f>IF(G2472&lt;EDATE(Assumptions!$C$6,-12)+1,"prior_12m","last_12m")</f>
        <v/>
      </c>
      <c r="AG2472" s="21">
        <f>DATE(YEAR(G2472),MONTH(G2472),1)</f>
        <v/>
      </c>
    </row>
    <row r="2473">
      <c r="A2473" t="inlineStr">
        <is>
          <t>SPO-01337-1</t>
        </is>
      </c>
      <c r="B2473" t="inlineStr">
        <is>
          <t>SPO-01337</t>
        </is>
      </c>
      <c r="C2473" t="inlineStr">
        <is>
          <t>SUP-05</t>
        </is>
      </c>
      <c r="D2473" t="inlineStr">
        <is>
          <t>FLEET</t>
        </is>
      </c>
      <c r="E2473" t="inlineStr">
        <is>
          <t>FLEET-07</t>
        </is>
      </c>
      <c r="F2473" s="17" t="n">
        <v>45941</v>
      </c>
      <c r="G2473" s="17" t="n">
        <v>45955</v>
      </c>
      <c r="H2473" s="18" t="n">
        <v>12</v>
      </c>
      <c r="I2473" s="19" t="n">
        <v>117.68</v>
      </c>
      <c r="J2473" s="19" t="n">
        <v>118</v>
      </c>
      <c r="K2473" s="20" t="n">
        <v>0</v>
      </c>
      <c r="L2473" s="20" t="n">
        <v>0</v>
      </c>
      <c r="M2473" s="18" t="n">
        <v>12</v>
      </c>
      <c r="N2473" s="18" t="n">
        <v>12</v>
      </c>
      <c r="O2473" s="18" t="n">
        <v>0</v>
      </c>
      <c r="P2473" s="17" t="n">
        <v>45953</v>
      </c>
      <c r="Q2473" s="17" t="n">
        <v>45953</v>
      </c>
      <c r="R2473" s="17" t="n">
        <v>45953</v>
      </c>
      <c r="S2473" s="19">
        <f>H2473*I2473</f>
        <v/>
      </c>
      <c r="T2473" s="19">
        <f>H2473*J2473</f>
        <v/>
      </c>
      <c r="U2473">
        <f>IF(AND(K2473=0,G2473&lt;=Assumptions!$C$6),1,0)</f>
        <v/>
      </c>
      <c r="V2473">
        <f>IF(U2473=1,IF(M2473&gt;0,IF(P2473&lt;=G2473+Assumptions!$C$7,1,0),0),0)</f>
        <v/>
      </c>
      <c r="W2473">
        <f>IF(AND(U2473=1,M2473&gt;=H2473*(1-Assumptions!$C$8)),1,0)</f>
        <v/>
      </c>
      <c r="X2473">
        <f>IF(AND(U2473=1,N2473&gt;=H2473*(1-Assumptions!$C$8)),1,0)</f>
        <v/>
      </c>
      <c r="Y2473">
        <f>IF(ISNUMBER(Q2473),1,0)</f>
        <v/>
      </c>
      <c r="Z2473">
        <f>IF(AND(K2473=0,L2473=0,Y2473=0),1,0)</f>
        <v/>
      </c>
      <c r="AA2473">
        <f>IF(AND(Z2473=1,G2473&lt;Assumptions!$C$6),1,0)</f>
        <v/>
      </c>
      <c r="AB2473">
        <f>IF(U2473=0,"",IF(Y2473=1,MAX(0,Q2473-G2473),IF(L2473=1,MAX(0,R2473-G2473),MAX(0,Assumptions!$C$6-G2473))))</f>
        <v/>
      </c>
      <c r="AC2473">
        <f>IF(Y2473=1,Q2473-F2473,"")</f>
        <v/>
      </c>
      <c r="AD2473">
        <f>IF(Y2473=1,AC2473^2,"")</f>
        <v/>
      </c>
      <c r="AE2473" s="19">
        <f>IF(Z2473=1,(H2473-M2473)*I2473,0)</f>
        <v/>
      </c>
      <c r="AF2473">
        <f>IF(G2473&lt;EDATE(Assumptions!$C$6,-12)+1,"prior_12m","last_12m")</f>
        <v/>
      </c>
      <c r="AG2473" s="21">
        <f>DATE(YEAR(G2473),MONTH(G2473),1)</f>
        <v/>
      </c>
    </row>
    <row r="2474">
      <c r="A2474" t="inlineStr">
        <is>
          <t>SPO-01337-2</t>
        </is>
      </c>
      <c r="B2474" t="inlineStr">
        <is>
          <t>SPO-01337</t>
        </is>
      </c>
      <c r="C2474" t="inlineStr">
        <is>
          <t>SUP-05</t>
        </is>
      </c>
      <c r="D2474" t="inlineStr">
        <is>
          <t>FLEET</t>
        </is>
      </c>
      <c r="E2474" t="inlineStr">
        <is>
          <t>FLEET-08</t>
        </is>
      </c>
      <c r="F2474" s="17" t="n">
        <v>45941</v>
      </c>
      <c r="G2474" s="17" t="n">
        <v>45955</v>
      </c>
      <c r="H2474" s="18" t="n">
        <v>281</v>
      </c>
      <c r="I2474" s="19" t="n">
        <v>6.51</v>
      </c>
      <c r="J2474" s="19" t="n">
        <v>6.4</v>
      </c>
      <c r="K2474" s="20" t="n">
        <v>0</v>
      </c>
      <c r="L2474" s="20" t="n">
        <v>0</v>
      </c>
      <c r="M2474" s="18" t="n">
        <v>281</v>
      </c>
      <c r="N2474" s="18" t="n">
        <v>281</v>
      </c>
      <c r="O2474" s="18" t="n">
        <v>0</v>
      </c>
      <c r="P2474" s="17" t="n">
        <v>45952</v>
      </c>
      <c r="Q2474" s="17" t="n">
        <v>45952</v>
      </c>
      <c r="R2474" s="17" t="n">
        <v>45952</v>
      </c>
      <c r="S2474" s="19">
        <f>H2474*I2474</f>
        <v/>
      </c>
      <c r="T2474" s="19">
        <f>H2474*J2474</f>
        <v/>
      </c>
      <c r="U2474">
        <f>IF(AND(K2474=0,G2474&lt;=Assumptions!$C$6),1,0)</f>
        <v/>
      </c>
      <c r="V2474">
        <f>IF(U2474=1,IF(M2474&gt;0,IF(P2474&lt;=G2474+Assumptions!$C$7,1,0),0),0)</f>
        <v/>
      </c>
      <c r="W2474">
        <f>IF(AND(U2474=1,M2474&gt;=H2474*(1-Assumptions!$C$8)),1,0)</f>
        <v/>
      </c>
      <c r="X2474">
        <f>IF(AND(U2474=1,N2474&gt;=H2474*(1-Assumptions!$C$8)),1,0)</f>
        <v/>
      </c>
      <c r="Y2474">
        <f>IF(ISNUMBER(Q2474),1,0)</f>
        <v/>
      </c>
      <c r="Z2474">
        <f>IF(AND(K2474=0,L2474=0,Y2474=0),1,0)</f>
        <v/>
      </c>
      <c r="AA2474">
        <f>IF(AND(Z2474=1,G2474&lt;Assumptions!$C$6),1,0)</f>
        <v/>
      </c>
      <c r="AB2474">
        <f>IF(U2474=0,"",IF(Y2474=1,MAX(0,Q2474-G2474),IF(L2474=1,MAX(0,R2474-G2474),MAX(0,Assumptions!$C$6-G2474))))</f>
        <v/>
      </c>
      <c r="AC2474">
        <f>IF(Y2474=1,Q2474-F2474,"")</f>
        <v/>
      </c>
      <c r="AD2474">
        <f>IF(Y2474=1,AC2474^2,"")</f>
        <v/>
      </c>
      <c r="AE2474" s="19">
        <f>IF(Z2474=1,(H2474-M2474)*I2474,0)</f>
        <v/>
      </c>
      <c r="AF2474">
        <f>IF(G2474&lt;EDATE(Assumptions!$C$6,-12)+1,"prior_12m","last_12m")</f>
        <v/>
      </c>
      <c r="AG2474" s="21">
        <f>DATE(YEAR(G2474),MONTH(G2474),1)</f>
        <v/>
      </c>
    </row>
    <row r="2475">
      <c r="A2475" t="inlineStr">
        <is>
          <t>SPO-01337-3</t>
        </is>
      </c>
      <c r="B2475" t="inlineStr">
        <is>
          <t>SPO-01337</t>
        </is>
      </c>
      <c r="C2475" t="inlineStr">
        <is>
          <t>SUP-05</t>
        </is>
      </c>
      <c r="D2475" t="inlineStr">
        <is>
          <t>FLEET</t>
        </is>
      </c>
      <c r="E2475" t="inlineStr">
        <is>
          <t>FLEET-02</t>
        </is>
      </c>
      <c r="F2475" s="17" t="n">
        <v>45941</v>
      </c>
      <c r="G2475" s="17" t="n">
        <v>45955</v>
      </c>
      <c r="H2475" s="18" t="n">
        <v>555</v>
      </c>
      <c r="I2475" s="19" t="n">
        <v>8.17</v>
      </c>
      <c r="J2475" s="19" t="n">
        <v>7.5</v>
      </c>
      <c r="K2475" s="20" t="n">
        <v>0</v>
      </c>
      <c r="L2475" s="20" t="n">
        <v>0</v>
      </c>
      <c r="M2475" s="18" t="n">
        <v>555</v>
      </c>
      <c r="N2475" s="18" t="n">
        <v>555</v>
      </c>
      <c r="O2475" s="18" t="n">
        <v>0</v>
      </c>
      <c r="P2475" s="17" t="n">
        <v>45950</v>
      </c>
      <c r="Q2475" s="17" t="n">
        <v>45950</v>
      </c>
      <c r="R2475" s="17" t="n">
        <v>45950</v>
      </c>
      <c r="S2475" s="19">
        <f>H2475*I2475</f>
        <v/>
      </c>
      <c r="T2475" s="19">
        <f>H2475*J2475</f>
        <v/>
      </c>
      <c r="U2475">
        <f>IF(AND(K2475=0,G2475&lt;=Assumptions!$C$6),1,0)</f>
        <v/>
      </c>
      <c r="V2475">
        <f>IF(U2475=1,IF(M2475&gt;0,IF(P2475&lt;=G2475+Assumptions!$C$7,1,0),0),0)</f>
        <v/>
      </c>
      <c r="W2475">
        <f>IF(AND(U2475=1,M2475&gt;=H2475*(1-Assumptions!$C$8)),1,0)</f>
        <v/>
      </c>
      <c r="X2475">
        <f>IF(AND(U2475=1,N2475&gt;=H2475*(1-Assumptions!$C$8)),1,0)</f>
        <v/>
      </c>
      <c r="Y2475">
        <f>IF(ISNUMBER(Q2475),1,0)</f>
        <v/>
      </c>
      <c r="Z2475">
        <f>IF(AND(K2475=0,L2475=0,Y2475=0),1,0)</f>
        <v/>
      </c>
      <c r="AA2475">
        <f>IF(AND(Z2475=1,G2475&lt;Assumptions!$C$6),1,0)</f>
        <v/>
      </c>
      <c r="AB2475">
        <f>IF(U2475=0,"",IF(Y2475=1,MAX(0,Q2475-G2475),IF(L2475=1,MAX(0,R2475-G2475),MAX(0,Assumptions!$C$6-G2475))))</f>
        <v/>
      </c>
      <c r="AC2475">
        <f>IF(Y2475=1,Q2475-F2475,"")</f>
        <v/>
      </c>
      <c r="AD2475">
        <f>IF(Y2475=1,AC2475^2,"")</f>
        <v/>
      </c>
      <c r="AE2475" s="19">
        <f>IF(Z2475=1,(H2475-M2475)*I2475,0)</f>
        <v/>
      </c>
      <c r="AF2475">
        <f>IF(G2475&lt;EDATE(Assumptions!$C$6,-12)+1,"prior_12m","last_12m")</f>
        <v/>
      </c>
      <c r="AG2475" s="21">
        <f>DATE(YEAR(G2475),MONTH(G2475),1)</f>
        <v/>
      </c>
    </row>
    <row r="2476">
      <c r="A2476" t="inlineStr">
        <is>
          <t>SPO-01338-1</t>
        </is>
      </c>
      <c r="B2476" t="inlineStr">
        <is>
          <t>SPO-01338</t>
        </is>
      </c>
      <c r="C2476" t="inlineStr">
        <is>
          <t>SUP-02</t>
        </is>
      </c>
      <c r="D2476" t="inlineStr">
        <is>
          <t>ELEC</t>
        </is>
      </c>
      <c r="E2476" t="inlineStr">
        <is>
          <t>ELEC-05</t>
        </is>
      </c>
      <c r="F2476" s="17" t="n">
        <v>45941</v>
      </c>
      <c r="G2476" s="17" t="n">
        <v>45957</v>
      </c>
      <c r="H2476" s="18" t="n">
        <v>163</v>
      </c>
      <c r="I2476" s="19" t="n">
        <v>11.55</v>
      </c>
      <c r="J2476" s="19" t="n">
        <v>11.5</v>
      </c>
      <c r="K2476" s="20" t="n">
        <v>0</v>
      </c>
      <c r="L2476" s="20" t="n">
        <v>0</v>
      </c>
      <c r="M2476" s="18" t="n">
        <v>163</v>
      </c>
      <c r="N2476" s="18" t="n">
        <v>163</v>
      </c>
      <c r="O2476" s="18" t="n">
        <v>0</v>
      </c>
      <c r="P2476" s="17" t="n">
        <v>45955</v>
      </c>
      <c r="Q2476" s="17" t="n">
        <v>45955</v>
      </c>
      <c r="R2476" s="17" t="n">
        <v>45955</v>
      </c>
      <c r="S2476" s="19">
        <f>H2476*I2476</f>
        <v/>
      </c>
      <c r="T2476" s="19">
        <f>H2476*J2476</f>
        <v/>
      </c>
      <c r="U2476">
        <f>IF(AND(K2476=0,G2476&lt;=Assumptions!$C$6),1,0)</f>
        <v/>
      </c>
      <c r="V2476">
        <f>IF(U2476=1,IF(M2476&gt;0,IF(P2476&lt;=G2476+Assumptions!$C$7,1,0),0),0)</f>
        <v/>
      </c>
      <c r="W2476">
        <f>IF(AND(U2476=1,M2476&gt;=H2476*(1-Assumptions!$C$8)),1,0)</f>
        <v/>
      </c>
      <c r="X2476">
        <f>IF(AND(U2476=1,N2476&gt;=H2476*(1-Assumptions!$C$8)),1,0)</f>
        <v/>
      </c>
      <c r="Y2476">
        <f>IF(ISNUMBER(Q2476),1,0)</f>
        <v/>
      </c>
      <c r="Z2476">
        <f>IF(AND(K2476=0,L2476=0,Y2476=0),1,0)</f>
        <v/>
      </c>
      <c r="AA2476">
        <f>IF(AND(Z2476=1,G2476&lt;Assumptions!$C$6),1,0)</f>
        <v/>
      </c>
      <c r="AB2476">
        <f>IF(U2476=0,"",IF(Y2476=1,MAX(0,Q2476-G2476),IF(L2476=1,MAX(0,R2476-G2476),MAX(0,Assumptions!$C$6-G2476))))</f>
        <v/>
      </c>
      <c r="AC2476">
        <f>IF(Y2476=1,Q2476-F2476,"")</f>
        <v/>
      </c>
      <c r="AD2476">
        <f>IF(Y2476=1,AC2476^2,"")</f>
        <v/>
      </c>
      <c r="AE2476" s="19">
        <f>IF(Z2476=1,(H2476-M2476)*I2476,0)</f>
        <v/>
      </c>
      <c r="AF2476">
        <f>IF(G2476&lt;EDATE(Assumptions!$C$6,-12)+1,"prior_12m","last_12m")</f>
        <v/>
      </c>
      <c r="AG2476" s="21">
        <f>DATE(YEAR(G2476),MONTH(G2476),1)</f>
        <v/>
      </c>
    </row>
    <row r="2477">
      <c r="A2477" t="inlineStr">
        <is>
          <t>SPO-01339-1</t>
        </is>
      </c>
      <c r="B2477" t="inlineStr">
        <is>
          <t>SPO-01339</t>
        </is>
      </c>
      <c r="C2477" t="inlineStr">
        <is>
          <t>SUP-07</t>
        </is>
      </c>
      <c r="D2477" t="inlineStr">
        <is>
          <t>MRO</t>
        </is>
      </c>
      <c r="E2477" t="inlineStr">
        <is>
          <t>MRO-03</t>
        </is>
      </c>
      <c r="F2477" s="17" t="n">
        <v>45941</v>
      </c>
      <c r="G2477" s="17" t="n">
        <v>45951</v>
      </c>
      <c r="H2477" s="18" t="n">
        <v>200</v>
      </c>
      <c r="I2477" s="19" t="n">
        <v>8.869999999999999</v>
      </c>
      <c r="J2477" s="19" t="n">
        <v>8.9</v>
      </c>
      <c r="K2477" s="20" t="n">
        <v>0</v>
      </c>
      <c r="L2477" s="20" t="n">
        <v>1</v>
      </c>
      <c r="M2477" s="18" t="n">
        <v>158</v>
      </c>
      <c r="N2477" s="18" t="n">
        <v>158</v>
      </c>
      <c r="O2477" s="18" t="n">
        <v>0</v>
      </c>
      <c r="P2477" s="17" t="n">
        <v>45950</v>
      </c>
      <c r="Q2477" s="17" t="n"/>
      <c r="R2477" s="17" t="n">
        <v>45950</v>
      </c>
      <c r="S2477" s="19">
        <f>H2477*I2477</f>
        <v/>
      </c>
      <c r="T2477" s="19">
        <f>H2477*J2477</f>
        <v/>
      </c>
      <c r="U2477">
        <f>IF(AND(K2477=0,G2477&lt;=Assumptions!$C$6),1,0)</f>
        <v/>
      </c>
      <c r="V2477">
        <f>IF(U2477=1,IF(M2477&gt;0,IF(P2477&lt;=G2477+Assumptions!$C$7,1,0),0),0)</f>
        <v/>
      </c>
      <c r="W2477">
        <f>IF(AND(U2477=1,M2477&gt;=H2477*(1-Assumptions!$C$8)),1,0)</f>
        <v/>
      </c>
      <c r="X2477">
        <f>IF(AND(U2477=1,N2477&gt;=H2477*(1-Assumptions!$C$8)),1,0)</f>
        <v/>
      </c>
      <c r="Y2477">
        <f>IF(ISNUMBER(Q2477),1,0)</f>
        <v/>
      </c>
      <c r="Z2477">
        <f>IF(AND(K2477=0,L2477=0,Y2477=0),1,0)</f>
        <v/>
      </c>
      <c r="AA2477">
        <f>IF(AND(Z2477=1,G2477&lt;Assumptions!$C$6),1,0)</f>
        <v/>
      </c>
      <c r="AB2477">
        <f>IF(U2477=0,"",IF(Y2477=1,MAX(0,Q2477-G2477),IF(L2477=1,MAX(0,R2477-G2477),MAX(0,Assumptions!$C$6-G2477))))</f>
        <v/>
      </c>
      <c r="AC2477">
        <f>IF(Y2477=1,Q2477-F2477,"")</f>
        <v/>
      </c>
      <c r="AD2477">
        <f>IF(Y2477=1,AC2477^2,"")</f>
        <v/>
      </c>
      <c r="AE2477" s="19">
        <f>IF(Z2477=1,(H2477-M2477)*I2477,0)</f>
        <v/>
      </c>
      <c r="AF2477">
        <f>IF(G2477&lt;EDATE(Assumptions!$C$6,-12)+1,"prior_12m","last_12m")</f>
        <v/>
      </c>
      <c r="AG2477" s="21">
        <f>DATE(YEAR(G2477),MONTH(G2477),1)</f>
        <v/>
      </c>
    </row>
    <row r="2478">
      <c r="A2478" t="inlineStr">
        <is>
          <t>SPO-01339-2</t>
        </is>
      </c>
      <c r="B2478" t="inlineStr">
        <is>
          <t>SPO-01339</t>
        </is>
      </c>
      <c r="C2478" t="inlineStr">
        <is>
          <t>SUP-07</t>
        </is>
      </c>
      <c r="D2478" t="inlineStr">
        <is>
          <t>MRO</t>
        </is>
      </c>
      <c r="E2478" t="inlineStr">
        <is>
          <t>MRO-04</t>
        </is>
      </c>
      <c r="F2478" s="17" t="n">
        <v>45941</v>
      </c>
      <c r="G2478" s="17" t="n">
        <v>45951</v>
      </c>
      <c r="H2478" s="18" t="n">
        <v>48</v>
      </c>
      <c r="I2478" s="19" t="n">
        <v>55.02</v>
      </c>
      <c r="J2478" s="19" t="n">
        <v>58</v>
      </c>
      <c r="K2478" s="20" t="n">
        <v>0</v>
      </c>
      <c r="L2478" s="20" t="n">
        <v>0</v>
      </c>
      <c r="M2478" s="18" t="n">
        <v>48</v>
      </c>
      <c r="N2478" s="18" t="n">
        <v>0</v>
      </c>
      <c r="O2478" s="18" t="n">
        <v>0</v>
      </c>
      <c r="P2478" s="17" t="n">
        <v>45952</v>
      </c>
      <c r="Q2478" s="17" t="n">
        <v>45952</v>
      </c>
      <c r="R2478" s="17" t="n">
        <v>45952</v>
      </c>
      <c r="S2478" s="19">
        <f>H2478*I2478</f>
        <v/>
      </c>
      <c r="T2478" s="19">
        <f>H2478*J2478</f>
        <v/>
      </c>
      <c r="U2478">
        <f>IF(AND(K2478=0,G2478&lt;=Assumptions!$C$6),1,0)</f>
        <v/>
      </c>
      <c r="V2478">
        <f>IF(U2478=1,IF(M2478&gt;0,IF(P2478&lt;=G2478+Assumptions!$C$7,1,0),0),0)</f>
        <v/>
      </c>
      <c r="W2478">
        <f>IF(AND(U2478=1,M2478&gt;=H2478*(1-Assumptions!$C$8)),1,0)</f>
        <v/>
      </c>
      <c r="X2478">
        <f>IF(AND(U2478=1,N2478&gt;=H2478*(1-Assumptions!$C$8)),1,0)</f>
        <v/>
      </c>
      <c r="Y2478">
        <f>IF(ISNUMBER(Q2478),1,0)</f>
        <v/>
      </c>
      <c r="Z2478">
        <f>IF(AND(K2478=0,L2478=0,Y2478=0),1,0)</f>
        <v/>
      </c>
      <c r="AA2478">
        <f>IF(AND(Z2478=1,G2478&lt;Assumptions!$C$6),1,0)</f>
        <v/>
      </c>
      <c r="AB2478">
        <f>IF(U2478=0,"",IF(Y2478=1,MAX(0,Q2478-G2478),IF(L2478=1,MAX(0,R2478-G2478),MAX(0,Assumptions!$C$6-G2478))))</f>
        <v/>
      </c>
      <c r="AC2478">
        <f>IF(Y2478=1,Q2478-F2478,"")</f>
        <v/>
      </c>
      <c r="AD2478">
        <f>IF(Y2478=1,AC2478^2,"")</f>
        <v/>
      </c>
      <c r="AE2478" s="19">
        <f>IF(Z2478=1,(H2478-M2478)*I2478,0)</f>
        <v/>
      </c>
      <c r="AF2478">
        <f>IF(G2478&lt;EDATE(Assumptions!$C$6,-12)+1,"prior_12m","last_12m")</f>
        <v/>
      </c>
      <c r="AG2478" s="21">
        <f>DATE(YEAR(G2478),MONTH(G2478),1)</f>
        <v/>
      </c>
    </row>
    <row r="2479">
      <c r="A2479" t="inlineStr">
        <is>
          <t>SPO-01339-3</t>
        </is>
      </c>
      <c r="B2479" t="inlineStr">
        <is>
          <t>SPO-01339</t>
        </is>
      </c>
      <c r="C2479" t="inlineStr">
        <is>
          <t>SUP-07</t>
        </is>
      </c>
      <c r="D2479" t="inlineStr">
        <is>
          <t>MRO</t>
        </is>
      </c>
      <c r="E2479" t="inlineStr">
        <is>
          <t>MRO-05</t>
        </is>
      </c>
      <c r="F2479" s="17" t="n">
        <v>45941</v>
      </c>
      <c r="G2479" s="17" t="n">
        <v>45951</v>
      </c>
      <c r="H2479" s="18" t="n">
        <v>35</v>
      </c>
      <c r="I2479" s="19" t="n">
        <v>35.59</v>
      </c>
      <c r="J2479" s="19" t="n">
        <v>36</v>
      </c>
      <c r="K2479" s="20" t="n">
        <v>0</v>
      </c>
      <c r="L2479" s="20" t="n">
        <v>0</v>
      </c>
      <c r="M2479" s="18" t="n">
        <v>35</v>
      </c>
      <c r="N2479" s="18" t="n">
        <v>35</v>
      </c>
      <c r="O2479" s="18" t="n">
        <v>0</v>
      </c>
      <c r="P2479" s="17" t="n">
        <v>45948</v>
      </c>
      <c r="Q2479" s="17" t="n">
        <v>45948</v>
      </c>
      <c r="R2479" s="17" t="n">
        <v>45948</v>
      </c>
      <c r="S2479" s="19">
        <f>H2479*I2479</f>
        <v/>
      </c>
      <c r="T2479" s="19">
        <f>H2479*J2479</f>
        <v/>
      </c>
      <c r="U2479">
        <f>IF(AND(K2479=0,G2479&lt;=Assumptions!$C$6),1,0)</f>
        <v/>
      </c>
      <c r="V2479">
        <f>IF(U2479=1,IF(M2479&gt;0,IF(P2479&lt;=G2479+Assumptions!$C$7,1,0),0),0)</f>
        <v/>
      </c>
      <c r="W2479">
        <f>IF(AND(U2479=1,M2479&gt;=H2479*(1-Assumptions!$C$8)),1,0)</f>
        <v/>
      </c>
      <c r="X2479">
        <f>IF(AND(U2479=1,N2479&gt;=H2479*(1-Assumptions!$C$8)),1,0)</f>
        <v/>
      </c>
      <c r="Y2479">
        <f>IF(ISNUMBER(Q2479),1,0)</f>
        <v/>
      </c>
      <c r="Z2479">
        <f>IF(AND(K2479=0,L2479=0,Y2479=0),1,0)</f>
        <v/>
      </c>
      <c r="AA2479">
        <f>IF(AND(Z2479=1,G2479&lt;Assumptions!$C$6),1,0)</f>
        <v/>
      </c>
      <c r="AB2479">
        <f>IF(U2479=0,"",IF(Y2479=1,MAX(0,Q2479-G2479),IF(L2479=1,MAX(0,R2479-G2479),MAX(0,Assumptions!$C$6-G2479))))</f>
        <v/>
      </c>
      <c r="AC2479">
        <f>IF(Y2479=1,Q2479-F2479,"")</f>
        <v/>
      </c>
      <c r="AD2479">
        <f>IF(Y2479=1,AC2479^2,"")</f>
        <v/>
      </c>
      <c r="AE2479" s="19">
        <f>IF(Z2479=1,(H2479-M2479)*I2479,0)</f>
        <v/>
      </c>
      <c r="AF2479">
        <f>IF(G2479&lt;EDATE(Assumptions!$C$6,-12)+1,"prior_12m","last_12m")</f>
        <v/>
      </c>
      <c r="AG2479" s="21">
        <f>DATE(YEAR(G2479),MONTH(G2479),1)</f>
        <v/>
      </c>
    </row>
    <row r="2480">
      <c r="A2480" t="inlineStr">
        <is>
          <t>SPO-01340-1</t>
        </is>
      </c>
      <c r="B2480" t="inlineStr">
        <is>
          <t>SPO-01340</t>
        </is>
      </c>
      <c r="C2480" t="inlineStr">
        <is>
          <t>SUP-02</t>
        </is>
      </c>
      <c r="D2480" t="inlineStr">
        <is>
          <t>ELEC</t>
        </is>
      </c>
      <c r="E2480" t="inlineStr">
        <is>
          <t>ELEC-04</t>
        </is>
      </c>
      <c r="F2480" s="17" t="n">
        <v>45941</v>
      </c>
      <c r="G2480" s="17" t="n">
        <v>45957</v>
      </c>
      <c r="H2480" s="18" t="n">
        <v>22</v>
      </c>
      <c r="I2480" s="19" t="n">
        <v>72.31999999999999</v>
      </c>
      <c r="J2480" s="19" t="n">
        <v>72</v>
      </c>
      <c r="K2480" s="20" t="n">
        <v>0</v>
      </c>
      <c r="L2480" s="20" t="n">
        <v>0</v>
      </c>
      <c r="M2480" s="18" t="n">
        <v>22</v>
      </c>
      <c r="N2480" s="18" t="n">
        <v>22</v>
      </c>
      <c r="O2480" s="18" t="n">
        <v>0</v>
      </c>
      <c r="P2480" s="17" t="n">
        <v>45953</v>
      </c>
      <c r="Q2480" s="17" t="n">
        <v>45953</v>
      </c>
      <c r="R2480" s="17" t="n">
        <v>45953</v>
      </c>
      <c r="S2480" s="19">
        <f>H2480*I2480</f>
        <v/>
      </c>
      <c r="T2480" s="19">
        <f>H2480*J2480</f>
        <v/>
      </c>
      <c r="U2480">
        <f>IF(AND(K2480=0,G2480&lt;=Assumptions!$C$6),1,0)</f>
        <v/>
      </c>
      <c r="V2480">
        <f>IF(U2480=1,IF(M2480&gt;0,IF(P2480&lt;=G2480+Assumptions!$C$7,1,0),0),0)</f>
        <v/>
      </c>
      <c r="W2480">
        <f>IF(AND(U2480=1,M2480&gt;=H2480*(1-Assumptions!$C$8)),1,0)</f>
        <v/>
      </c>
      <c r="X2480">
        <f>IF(AND(U2480=1,N2480&gt;=H2480*(1-Assumptions!$C$8)),1,0)</f>
        <v/>
      </c>
      <c r="Y2480">
        <f>IF(ISNUMBER(Q2480),1,0)</f>
        <v/>
      </c>
      <c r="Z2480">
        <f>IF(AND(K2480=0,L2480=0,Y2480=0),1,0)</f>
        <v/>
      </c>
      <c r="AA2480">
        <f>IF(AND(Z2480=1,G2480&lt;Assumptions!$C$6),1,0)</f>
        <v/>
      </c>
      <c r="AB2480">
        <f>IF(U2480=0,"",IF(Y2480=1,MAX(0,Q2480-G2480),IF(L2480=1,MAX(0,R2480-G2480),MAX(0,Assumptions!$C$6-G2480))))</f>
        <v/>
      </c>
      <c r="AC2480">
        <f>IF(Y2480=1,Q2480-F2480,"")</f>
        <v/>
      </c>
      <c r="AD2480">
        <f>IF(Y2480=1,AC2480^2,"")</f>
        <v/>
      </c>
      <c r="AE2480" s="19">
        <f>IF(Z2480=1,(H2480-M2480)*I2480,0)</f>
        <v/>
      </c>
      <c r="AF2480">
        <f>IF(G2480&lt;EDATE(Assumptions!$C$6,-12)+1,"prior_12m","last_12m")</f>
        <v/>
      </c>
      <c r="AG2480" s="21">
        <f>DATE(YEAR(G2480),MONTH(G2480),1)</f>
        <v/>
      </c>
    </row>
    <row r="2481">
      <c r="A2481" t="inlineStr">
        <is>
          <t>SPO-01340-2</t>
        </is>
      </c>
      <c r="B2481" t="inlineStr">
        <is>
          <t>SPO-01340</t>
        </is>
      </c>
      <c r="C2481" t="inlineStr">
        <is>
          <t>SUP-02</t>
        </is>
      </c>
      <c r="D2481" t="inlineStr">
        <is>
          <t>ELEC</t>
        </is>
      </c>
      <c r="E2481" t="inlineStr">
        <is>
          <t>ELEC-05</t>
        </is>
      </c>
      <c r="F2481" s="17" t="n">
        <v>45941</v>
      </c>
      <c r="G2481" s="17" t="n">
        <v>45957</v>
      </c>
      <c r="H2481" s="18" t="n">
        <v>106</v>
      </c>
      <c r="I2481" s="19" t="n">
        <v>11.6</v>
      </c>
      <c r="J2481" s="19" t="n">
        <v>11.5</v>
      </c>
      <c r="K2481" s="20" t="n">
        <v>0</v>
      </c>
      <c r="L2481" s="20" t="n">
        <v>0</v>
      </c>
      <c r="M2481" s="18" t="n">
        <v>106</v>
      </c>
      <c r="N2481" s="18" t="n">
        <v>106</v>
      </c>
      <c r="O2481" s="18" t="n">
        <v>0</v>
      </c>
      <c r="P2481" s="17" t="n">
        <v>45952</v>
      </c>
      <c r="Q2481" s="17" t="n">
        <v>45952</v>
      </c>
      <c r="R2481" s="17" t="n">
        <v>45952</v>
      </c>
      <c r="S2481" s="19">
        <f>H2481*I2481</f>
        <v/>
      </c>
      <c r="T2481" s="19">
        <f>H2481*J2481</f>
        <v/>
      </c>
      <c r="U2481">
        <f>IF(AND(K2481=0,G2481&lt;=Assumptions!$C$6),1,0)</f>
        <v/>
      </c>
      <c r="V2481">
        <f>IF(U2481=1,IF(M2481&gt;0,IF(P2481&lt;=G2481+Assumptions!$C$7,1,0),0),0)</f>
        <v/>
      </c>
      <c r="W2481">
        <f>IF(AND(U2481=1,M2481&gt;=H2481*(1-Assumptions!$C$8)),1,0)</f>
        <v/>
      </c>
      <c r="X2481">
        <f>IF(AND(U2481=1,N2481&gt;=H2481*(1-Assumptions!$C$8)),1,0)</f>
        <v/>
      </c>
      <c r="Y2481">
        <f>IF(ISNUMBER(Q2481),1,0)</f>
        <v/>
      </c>
      <c r="Z2481">
        <f>IF(AND(K2481=0,L2481=0,Y2481=0),1,0)</f>
        <v/>
      </c>
      <c r="AA2481">
        <f>IF(AND(Z2481=1,G2481&lt;Assumptions!$C$6),1,0)</f>
        <v/>
      </c>
      <c r="AB2481">
        <f>IF(U2481=0,"",IF(Y2481=1,MAX(0,Q2481-G2481),IF(L2481=1,MAX(0,R2481-G2481),MAX(0,Assumptions!$C$6-G2481))))</f>
        <v/>
      </c>
      <c r="AC2481">
        <f>IF(Y2481=1,Q2481-F2481,"")</f>
        <v/>
      </c>
      <c r="AD2481">
        <f>IF(Y2481=1,AC2481^2,"")</f>
        <v/>
      </c>
      <c r="AE2481" s="19">
        <f>IF(Z2481=1,(H2481-M2481)*I2481,0)</f>
        <v/>
      </c>
      <c r="AF2481">
        <f>IF(G2481&lt;EDATE(Assumptions!$C$6,-12)+1,"prior_12m","last_12m")</f>
        <v/>
      </c>
      <c r="AG2481" s="21">
        <f>DATE(YEAR(G2481),MONTH(G2481),1)</f>
        <v/>
      </c>
    </row>
    <row r="2482">
      <c r="A2482" t="inlineStr">
        <is>
          <t>SPO-01340-3</t>
        </is>
      </c>
      <c r="B2482" t="inlineStr">
        <is>
          <t>SPO-01340</t>
        </is>
      </c>
      <c r="C2482" t="inlineStr">
        <is>
          <t>SUP-02</t>
        </is>
      </c>
      <c r="D2482" t="inlineStr">
        <is>
          <t>ELEC</t>
        </is>
      </c>
      <c r="E2482" t="inlineStr">
        <is>
          <t>ELEC-08</t>
        </is>
      </c>
      <c r="F2482" s="17" t="n">
        <v>45941</v>
      </c>
      <c r="G2482" s="17" t="n">
        <v>45957</v>
      </c>
      <c r="H2482" s="18" t="n">
        <v>45</v>
      </c>
      <c r="I2482" s="19" t="n">
        <v>17.84</v>
      </c>
      <c r="J2482" s="19" t="n">
        <v>18</v>
      </c>
      <c r="K2482" s="20" t="n">
        <v>0</v>
      </c>
      <c r="L2482" s="20" t="n">
        <v>0</v>
      </c>
      <c r="M2482" s="18" t="n">
        <v>45</v>
      </c>
      <c r="N2482" s="18" t="n">
        <v>45</v>
      </c>
      <c r="O2482" s="18" t="n">
        <v>0</v>
      </c>
      <c r="P2482" s="17" t="n">
        <v>45954</v>
      </c>
      <c r="Q2482" s="17" t="n">
        <v>45954</v>
      </c>
      <c r="R2482" s="17" t="n">
        <v>45954</v>
      </c>
      <c r="S2482" s="19">
        <f>H2482*I2482</f>
        <v/>
      </c>
      <c r="T2482" s="19">
        <f>H2482*J2482</f>
        <v/>
      </c>
      <c r="U2482">
        <f>IF(AND(K2482=0,G2482&lt;=Assumptions!$C$6),1,0)</f>
        <v/>
      </c>
      <c r="V2482">
        <f>IF(U2482=1,IF(M2482&gt;0,IF(P2482&lt;=G2482+Assumptions!$C$7,1,0),0),0)</f>
        <v/>
      </c>
      <c r="W2482">
        <f>IF(AND(U2482=1,M2482&gt;=H2482*(1-Assumptions!$C$8)),1,0)</f>
        <v/>
      </c>
      <c r="X2482">
        <f>IF(AND(U2482=1,N2482&gt;=H2482*(1-Assumptions!$C$8)),1,0)</f>
        <v/>
      </c>
      <c r="Y2482">
        <f>IF(ISNUMBER(Q2482),1,0)</f>
        <v/>
      </c>
      <c r="Z2482">
        <f>IF(AND(K2482=0,L2482=0,Y2482=0),1,0)</f>
        <v/>
      </c>
      <c r="AA2482">
        <f>IF(AND(Z2482=1,G2482&lt;Assumptions!$C$6),1,0)</f>
        <v/>
      </c>
      <c r="AB2482">
        <f>IF(U2482=0,"",IF(Y2482=1,MAX(0,Q2482-G2482),IF(L2482=1,MAX(0,R2482-G2482),MAX(0,Assumptions!$C$6-G2482))))</f>
        <v/>
      </c>
      <c r="AC2482">
        <f>IF(Y2482=1,Q2482-F2482,"")</f>
        <v/>
      </c>
      <c r="AD2482">
        <f>IF(Y2482=1,AC2482^2,"")</f>
        <v/>
      </c>
      <c r="AE2482" s="19">
        <f>IF(Z2482=1,(H2482-M2482)*I2482,0)</f>
        <v/>
      </c>
      <c r="AF2482">
        <f>IF(G2482&lt;EDATE(Assumptions!$C$6,-12)+1,"prior_12m","last_12m")</f>
        <v/>
      </c>
      <c r="AG2482" s="21">
        <f>DATE(YEAR(G2482),MONTH(G2482),1)</f>
        <v/>
      </c>
    </row>
    <row r="2483">
      <c r="A2483" t="inlineStr">
        <is>
          <t>SPO-01340-4</t>
        </is>
      </c>
      <c r="B2483" t="inlineStr">
        <is>
          <t>SPO-01340</t>
        </is>
      </c>
      <c r="C2483" t="inlineStr">
        <is>
          <t>SUP-02</t>
        </is>
      </c>
      <c r="D2483" t="inlineStr">
        <is>
          <t>ELEC</t>
        </is>
      </c>
      <c r="E2483" t="inlineStr">
        <is>
          <t>ELEC-03</t>
        </is>
      </c>
      <c r="F2483" s="17" t="n">
        <v>45941</v>
      </c>
      <c r="G2483" s="17" t="n">
        <v>45957</v>
      </c>
      <c r="H2483" s="18" t="n">
        <v>6</v>
      </c>
      <c r="I2483" s="19" t="n">
        <v>94.36</v>
      </c>
      <c r="J2483" s="19" t="n">
        <v>96</v>
      </c>
      <c r="K2483" s="20" t="n">
        <v>0</v>
      </c>
      <c r="L2483" s="20" t="n">
        <v>0</v>
      </c>
      <c r="M2483" s="18" t="n">
        <v>6</v>
      </c>
      <c r="N2483" s="18" t="n">
        <v>6</v>
      </c>
      <c r="O2483" s="18" t="n">
        <v>0</v>
      </c>
      <c r="P2483" s="17" t="n">
        <v>45955</v>
      </c>
      <c r="Q2483" s="17" t="n">
        <v>45955</v>
      </c>
      <c r="R2483" s="17" t="n">
        <v>45955</v>
      </c>
      <c r="S2483" s="19">
        <f>H2483*I2483</f>
        <v/>
      </c>
      <c r="T2483" s="19">
        <f>H2483*J2483</f>
        <v/>
      </c>
      <c r="U2483">
        <f>IF(AND(K2483=0,G2483&lt;=Assumptions!$C$6),1,0)</f>
        <v/>
      </c>
      <c r="V2483">
        <f>IF(U2483=1,IF(M2483&gt;0,IF(P2483&lt;=G2483+Assumptions!$C$7,1,0),0),0)</f>
        <v/>
      </c>
      <c r="W2483">
        <f>IF(AND(U2483=1,M2483&gt;=H2483*(1-Assumptions!$C$8)),1,0)</f>
        <v/>
      </c>
      <c r="X2483">
        <f>IF(AND(U2483=1,N2483&gt;=H2483*(1-Assumptions!$C$8)),1,0)</f>
        <v/>
      </c>
      <c r="Y2483">
        <f>IF(ISNUMBER(Q2483),1,0)</f>
        <v/>
      </c>
      <c r="Z2483">
        <f>IF(AND(K2483=0,L2483=0,Y2483=0),1,0)</f>
        <v/>
      </c>
      <c r="AA2483">
        <f>IF(AND(Z2483=1,G2483&lt;Assumptions!$C$6),1,0)</f>
        <v/>
      </c>
      <c r="AB2483">
        <f>IF(U2483=0,"",IF(Y2483=1,MAX(0,Q2483-G2483),IF(L2483=1,MAX(0,R2483-G2483),MAX(0,Assumptions!$C$6-G2483))))</f>
        <v/>
      </c>
      <c r="AC2483">
        <f>IF(Y2483=1,Q2483-F2483,"")</f>
        <v/>
      </c>
      <c r="AD2483">
        <f>IF(Y2483=1,AC2483^2,"")</f>
        <v/>
      </c>
      <c r="AE2483" s="19">
        <f>IF(Z2483=1,(H2483-M2483)*I2483,0)</f>
        <v/>
      </c>
      <c r="AF2483">
        <f>IF(G2483&lt;EDATE(Assumptions!$C$6,-12)+1,"prior_12m","last_12m")</f>
        <v/>
      </c>
      <c r="AG2483" s="21">
        <f>DATE(YEAR(G2483),MONTH(G2483),1)</f>
        <v/>
      </c>
    </row>
    <row r="2484">
      <c r="A2484" t="inlineStr">
        <is>
          <t>SPO-01341-1</t>
        </is>
      </c>
      <c r="B2484" t="inlineStr">
        <is>
          <t>SPO-01341</t>
        </is>
      </c>
      <c r="C2484" t="inlineStr">
        <is>
          <t>SUP-14</t>
        </is>
      </c>
      <c r="D2484" t="inlineStr">
        <is>
          <t>FLEET</t>
        </is>
      </c>
      <c r="E2484" t="inlineStr">
        <is>
          <t>FLEET-03</t>
        </is>
      </c>
      <c r="F2484" s="17" t="n">
        <v>45941</v>
      </c>
      <c r="G2484" s="17" t="n">
        <v>45955</v>
      </c>
      <c r="H2484" s="18" t="n">
        <v>91</v>
      </c>
      <c r="I2484" s="19" t="n">
        <v>21.18</v>
      </c>
      <c r="J2484" s="19" t="n">
        <v>21</v>
      </c>
      <c r="K2484" s="20" t="n">
        <v>0</v>
      </c>
      <c r="L2484" s="20" t="n">
        <v>0</v>
      </c>
      <c r="M2484" s="18" t="n">
        <v>91</v>
      </c>
      <c r="N2484" s="18" t="n">
        <v>91</v>
      </c>
      <c r="O2484" s="18" t="n">
        <v>0</v>
      </c>
      <c r="P2484" s="17" t="n">
        <v>45948</v>
      </c>
      <c r="Q2484" s="17" t="n">
        <v>45948</v>
      </c>
      <c r="R2484" s="17" t="n">
        <v>45948</v>
      </c>
      <c r="S2484" s="19">
        <f>H2484*I2484</f>
        <v/>
      </c>
      <c r="T2484" s="19">
        <f>H2484*J2484</f>
        <v/>
      </c>
      <c r="U2484">
        <f>IF(AND(K2484=0,G2484&lt;=Assumptions!$C$6),1,0)</f>
        <v/>
      </c>
      <c r="V2484">
        <f>IF(U2484=1,IF(M2484&gt;0,IF(P2484&lt;=G2484+Assumptions!$C$7,1,0),0),0)</f>
        <v/>
      </c>
      <c r="W2484">
        <f>IF(AND(U2484=1,M2484&gt;=H2484*(1-Assumptions!$C$8)),1,0)</f>
        <v/>
      </c>
      <c r="X2484">
        <f>IF(AND(U2484=1,N2484&gt;=H2484*(1-Assumptions!$C$8)),1,0)</f>
        <v/>
      </c>
      <c r="Y2484">
        <f>IF(ISNUMBER(Q2484),1,0)</f>
        <v/>
      </c>
      <c r="Z2484">
        <f>IF(AND(K2484=0,L2484=0,Y2484=0),1,0)</f>
        <v/>
      </c>
      <c r="AA2484">
        <f>IF(AND(Z2484=1,G2484&lt;Assumptions!$C$6),1,0)</f>
        <v/>
      </c>
      <c r="AB2484">
        <f>IF(U2484=0,"",IF(Y2484=1,MAX(0,Q2484-G2484),IF(L2484=1,MAX(0,R2484-G2484),MAX(0,Assumptions!$C$6-G2484))))</f>
        <v/>
      </c>
      <c r="AC2484">
        <f>IF(Y2484=1,Q2484-F2484,"")</f>
        <v/>
      </c>
      <c r="AD2484">
        <f>IF(Y2484=1,AC2484^2,"")</f>
        <v/>
      </c>
      <c r="AE2484" s="19">
        <f>IF(Z2484=1,(H2484-M2484)*I2484,0)</f>
        <v/>
      </c>
      <c r="AF2484">
        <f>IF(G2484&lt;EDATE(Assumptions!$C$6,-12)+1,"prior_12m","last_12m")</f>
        <v/>
      </c>
      <c r="AG2484" s="21">
        <f>DATE(YEAR(G2484),MONTH(G2484),1)</f>
        <v/>
      </c>
    </row>
    <row r="2485">
      <c r="A2485" t="inlineStr">
        <is>
          <t>SPO-01341-2</t>
        </is>
      </c>
      <c r="B2485" t="inlineStr">
        <is>
          <t>SPO-01341</t>
        </is>
      </c>
      <c r="C2485" t="inlineStr">
        <is>
          <t>SUP-14</t>
        </is>
      </c>
      <c r="D2485" t="inlineStr">
        <is>
          <t>FLEET</t>
        </is>
      </c>
      <c r="E2485" t="inlineStr">
        <is>
          <t>FLEET-04</t>
        </is>
      </c>
      <c r="F2485" s="17" t="n">
        <v>45941</v>
      </c>
      <c r="G2485" s="17" t="n">
        <v>45955</v>
      </c>
      <c r="H2485" s="18" t="n">
        <v>232</v>
      </c>
      <c r="I2485" s="19" t="n">
        <v>9.029999999999999</v>
      </c>
      <c r="J2485" s="19" t="n">
        <v>9</v>
      </c>
      <c r="K2485" s="20" t="n">
        <v>0</v>
      </c>
      <c r="L2485" s="20" t="n">
        <v>0</v>
      </c>
      <c r="M2485" s="18" t="n">
        <v>232</v>
      </c>
      <c r="N2485" s="18" t="n">
        <v>232</v>
      </c>
      <c r="O2485" s="18" t="n">
        <v>0</v>
      </c>
      <c r="P2485" s="17" t="n">
        <v>45954</v>
      </c>
      <c r="Q2485" s="17" t="n">
        <v>45954</v>
      </c>
      <c r="R2485" s="17" t="n">
        <v>45954</v>
      </c>
      <c r="S2485" s="19">
        <f>H2485*I2485</f>
        <v/>
      </c>
      <c r="T2485" s="19">
        <f>H2485*J2485</f>
        <v/>
      </c>
      <c r="U2485">
        <f>IF(AND(K2485=0,G2485&lt;=Assumptions!$C$6),1,0)</f>
        <v/>
      </c>
      <c r="V2485">
        <f>IF(U2485=1,IF(M2485&gt;0,IF(P2485&lt;=G2485+Assumptions!$C$7,1,0),0),0)</f>
        <v/>
      </c>
      <c r="W2485">
        <f>IF(AND(U2485=1,M2485&gt;=H2485*(1-Assumptions!$C$8)),1,0)</f>
        <v/>
      </c>
      <c r="X2485">
        <f>IF(AND(U2485=1,N2485&gt;=H2485*(1-Assumptions!$C$8)),1,0)</f>
        <v/>
      </c>
      <c r="Y2485">
        <f>IF(ISNUMBER(Q2485),1,0)</f>
        <v/>
      </c>
      <c r="Z2485">
        <f>IF(AND(K2485=0,L2485=0,Y2485=0),1,0)</f>
        <v/>
      </c>
      <c r="AA2485">
        <f>IF(AND(Z2485=1,G2485&lt;Assumptions!$C$6),1,0)</f>
        <v/>
      </c>
      <c r="AB2485">
        <f>IF(U2485=0,"",IF(Y2485=1,MAX(0,Q2485-G2485),IF(L2485=1,MAX(0,R2485-G2485),MAX(0,Assumptions!$C$6-G2485))))</f>
        <v/>
      </c>
      <c r="AC2485">
        <f>IF(Y2485=1,Q2485-F2485,"")</f>
        <v/>
      </c>
      <c r="AD2485">
        <f>IF(Y2485=1,AC2485^2,"")</f>
        <v/>
      </c>
      <c r="AE2485" s="19">
        <f>IF(Z2485=1,(H2485-M2485)*I2485,0)</f>
        <v/>
      </c>
      <c r="AF2485">
        <f>IF(G2485&lt;EDATE(Assumptions!$C$6,-12)+1,"prior_12m","last_12m")</f>
        <v/>
      </c>
      <c r="AG2485" s="21">
        <f>DATE(YEAR(G2485),MONTH(G2485),1)</f>
        <v/>
      </c>
    </row>
    <row r="2486">
      <c r="A2486" t="inlineStr">
        <is>
          <t>SPO-01342-1</t>
        </is>
      </c>
      <c r="B2486" t="inlineStr">
        <is>
          <t>SPO-01342</t>
        </is>
      </c>
      <c r="C2486" t="inlineStr">
        <is>
          <t>SUP-12</t>
        </is>
      </c>
      <c r="D2486" t="inlineStr">
        <is>
          <t>IT</t>
        </is>
      </c>
      <c r="E2486" t="inlineStr">
        <is>
          <t>IT-05</t>
        </is>
      </c>
      <c r="F2486" s="17" t="n">
        <v>45941</v>
      </c>
      <c r="G2486" s="17" t="n">
        <v>45951</v>
      </c>
      <c r="H2486" s="18" t="n">
        <v>1</v>
      </c>
      <c r="I2486" s="19" t="n">
        <v>713.33</v>
      </c>
      <c r="J2486" s="19" t="n">
        <v>640</v>
      </c>
      <c r="K2486" s="20" t="n">
        <v>0</v>
      </c>
      <c r="L2486" s="20" t="n">
        <v>0</v>
      </c>
      <c r="M2486" s="18" t="n">
        <v>1</v>
      </c>
      <c r="N2486" s="18" t="n">
        <v>1</v>
      </c>
      <c r="O2486" s="18" t="n">
        <v>0</v>
      </c>
      <c r="P2486" s="17" t="n">
        <v>45945</v>
      </c>
      <c r="Q2486" s="17" t="n">
        <v>45945</v>
      </c>
      <c r="R2486" s="17" t="n">
        <v>45945</v>
      </c>
      <c r="S2486" s="19">
        <f>H2486*I2486</f>
        <v/>
      </c>
      <c r="T2486" s="19">
        <f>H2486*J2486</f>
        <v/>
      </c>
      <c r="U2486">
        <f>IF(AND(K2486=0,G2486&lt;=Assumptions!$C$6),1,0)</f>
        <v/>
      </c>
      <c r="V2486">
        <f>IF(U2486=1,IF(M2486&gt;0,IF(P2486&lt;=G2486+Assumptions!$C$7,1,0),0),0)</f>
        <v/>
      </c>
      <c r="W2486">
        <f>IF(AND(U2486=1,M2486&gt;=H2486*(1-Assumptions!$C$8)),1,0)</f>
        <v/>
      </c>
      <c r="X2486">
        <f>IF(AND(U2486=1,N2486&gt;=H2486*(1-Assumptions!$C$8)),1,0)</f>
        <v/>
      </c>
      <c r="Y2486">
        <f>IF(ISNUMBER(Q2486),1,0)</f>
        <v/>
      </c>
      <c r="Z2486">
        <f>IF(AND(K2486=0,L2486=0,Y2486=0),1,0)</f>
        <v/>
      </c>
      <c r="AA2486">
        <f>IF(AND(Z2486=1,G2486&lt;Assumptions!$C$6),1,0)</f>
        <v/>
      </c>
      <c r="AB2486">
        <f>IF(U2486=0,"",IF(Y2486=1,MAX(0,Q2486-G2486),IF(L2486=1,MAX(0,R2486-G2486),MAX(0,Assumptions!$C$6-G2486))))</f>
        <v/>
      </c>
      <c r="AC2486">
        <f>IF(Y2486=1,Q2486-F2486,"")</f>
        <v/>
      </c>
      <c r="AD2486">
        <f>IF(Y2486=1,AC2486^2,"")</f>
        <v/>
      </c>
      <c r="AE2486" s="19">
        <f>IF(Z2486=1,(H2486-M2486)*I2486,0)</f>
        <v/>
      </c>
      <c r="AF2486">
        <f>IF(G2486&lt;EDATE(Assumptions!$C$6,-12)+1,"prior_12m","last_12m")</f>
        <v/>
      </c>
      <c r="AG2486" s="21">
        <f>DATE(YEAR(G2486),MONTH(G2486),1)</f>
        <v/>
      </c>
    </row>
    <row r="2487">
      <c r="A2487" t="inlineStr">
        <is>
          <t>SPO-01343-1</t>
        </is>
      </c>
      <c r="B2487" t="inlineStr">
        <is>
          <t>SPO-01343</t>
        </is>
      </c>
      <c r="C2487" t="inlineStr">
        <is>
          <t>SUP-06</t>
        </is>
      </c>
      <c r="D2487" t="inlineStr">
        <is>
          <t>MRO</t>
        </is>
      </c>
      <c r="E2487" t="inlineStr">
        <is>
          <t>MRO-08</t>
        </is>
      </c>
      <c r="F2487" s="17" t="n">
        <v>45941</v>
      </c>
      <c r="G2487" s="17" t="n">
        <v>45949</v>
      </c>
      <c r="H2487" s="18" t="n">
        <v>240</v>
      </c>
      <c r="I2487" s="19" t="n">
        <v>7.05</v>
      </c>
      <c r="J2487" s="19" t="n">
        <v>7.2</v>
      </c>
      <c r="K2487" s="20" t="n">
        <v>0</v>
      </c>
      <c r="L2487" s="20" t="n">
        <v>0</v>
      </c>
      <c r="M2487" s="18" t="n">
        <v>240</v>
      </c>
      <c r="N2487" s="18" t="n">
        <v>240</v>
      </c>
      <c r="O2487" s="18" t="n">
        <v>0</v>
      </c>
      <c r="P2487" s="17" t="n">
        <v>45946</v>
      </c>
      <c r="Q2487" s="17" t="n">
        <v>45946</v>
      </c>
      <c r="R2487" s="17" t="n">
        <v>45946</v>
      </c>
      <c r="S2487" s="19">
        <f>H2487*I2487</f>
        <v/>
      </c>
      <c r="T2487" s="19">
        <f>H2487*J2487</f>
        <v/>
      </c>
      <c r="U2487">
        <f>IF(AND(K2487=0,G2487&lt;=Assumptions!$C$6),1,0)</f>
        <v/>
      </c>
      <c r="V2487">
        <f>IF(U2487=1,IF(M2487&gt;0,IF(P2487&lt;=G2487+Assumptions!$C$7,1,0),0),0)</f>
        <v/>
      </c>
      <c r="W2487">
        <f>IF(AND(U2487=1,M2487&gt;=H2487*(1-Assumptions!$C$8)),1,0)</f>
        <v/>
      </c>
      <c r="X2487">
        <f>IF(AND(U2487=1,N2487&gt;=H2487*(1-Assumptions!$C$8)),1,0)</f>
        <v/>
      </c>
      <c r="Y2487">
        <f>IF(ISNUMBER(Q2487),1,0)</f>
        <v/>
      </c>
      <c r="Z2487">
        <f>IF(AND(K2487=0,L2487=0,Y2487=0),1,0)</f>
        <v/>
      </c>
      <c r="AA2487">
        <f>IF(AND(Z2487=1,G2487&lt;Assumptions!$C$6),1,0)</f>
        <v/>
      </c>
      <c r="AB2487">
        <f>IF(U2487=0,"",IF(Y2487=1,MAX(0,Q2487-G2487),IF(L2487=1,MAX(0,R2487-G2487),MAX(0,Assumptions!$C$6-G2487))))</f>
        <v/>
      </c>
      <c r="AC2487">
        <f>IF(Y2487=1,Q2487-F2487,"")</f>
        <v/>
      </c>
      <c r="AD2487">
        <f>IF(Y2487=1,AC2487^2,"")</f>
        <v/>
      </c>
      <c r="AE2487" s="19">
        <f>IF(Z2487=1,(H2487-M2487)*I2487,0)</f>
        <v/>
      </c>
      <c r="AF2487">
        <f>IF(G2487&lt;EDATE(Assumptions!$C$6,-12)+1,"prior_12m","last_12m")</f>
        <v/>
      </c>
      <c r="AG2487" s="21">
        <f>DATE(YEAR(G2487),MONTH(G2487),1)</f>
        <v/>
      </c>
    </row>
    <row r="2488">
      <c r="A2488" t="inlineStr">
        <is>
          <t>SPO-01344-1</t>
        </is>
      </c>
      <c r="B2488" t="inlineStr">
        <is>
          <t>SPO-01344</t>
        </is>
      </c>
      <c r="C2488" t="inlineStr">
        <is>
          <t>SUP-01</t>
        </is>
      </c>
      <c r="D2488" t="inlineStr">
        <is>
          <t>ELEC</t>
        </is>
      </c>
      <c r="E2488" t="inlineStr">
        <is>
          <t>ELEC-08</t>
        </is>
      </c>
      <c r="F2488" s="17" t="n">
        <v>45941</v>
      </c>
      <c r="G2488" s="17" t="n">
        <v>45959</v>
      </c>
      <c r="H2488" s="18" t="n">
        <v>125</v>
      </c>
      <c r="I2488" s="19" t="n">
        <v>17.98</v>
      </c>
      <c r="J2488" s="19" t="n">
        <v>18</v>
      </c>
      <c r="K2488" s="20" t="n">
        <v>0</v>
      </c>
      <c r="L2488" s="20" t="n">
        <v>0</v>
      </c>
      <c r="M2488" s="18" t="n">
        <v>125</v>
      </c>
      <c r="N2488" s="18" t="n">
        <v>0</v>
      </c>
      <c r="O2488" s="18" t="n">
        <v>0</v>
      </c>
      <c r="P2488" s="17" t="n">
        <v>46005</v>
      </c>
      <c r="Q2488" s="17" t="n">
        <v>46005</v>
      </c>
      <c r="R2488" s="17" t="n">
        <v>46005</v>
      </c>
      <c r="S2488" s="19">
        <f>H2488*I2488</f>
        <v/>
      </c>
      <c r="T2488" s="19">
        <f>H2488*J2488</f>
        <v/>
      </c>
      <c r="U2488">
        <f>IF(AND(K2488=0,G2488&lt;=Assumptions!$C$6),1,0)</f>
        <v/>
      </c>
      <c r="V2488">
        <f>IF(U2488=1,IF(M2488&gt;0,IF(P2488&lt;=G2488+Assumptions!$C$7,1,0),0),0)</f>
        <v/>
      </c>
      <c r="W2488">
        <f>IF(AND(U2488=1,M2488&gt;=H2488*(1-Assumptions!$C$8)),1,0)</f>
        <v/>
      </c>
      <c r="X2488">
        <f>IF(AND(U2488=1,N2488&gt;=H2488*(1-Assumptions!$C$8)),1,0)</f>
        <v/>
      </c>
      <c r="Y2488">
        <f>IF(ISNUMBER(Q2488),1,0)</f>
        <v/>
      </c>
      <c r="Z2488">
        <f>IF(AND(K2488=0,L2488=0,Y2488=0),1,0)</f>
        <v/>
      </c>
      <c r="AA2488">
        <f>IF(AND(Z2488=1,G2488&lt;Assumptions!$C$6),1,0)</f>
        <v/>
      </c>
      <c r="AB2488">
        <f>IF(U2488=0,"",IF(Y2488=1,MAX(0,Q2488-G2488),IF(L2488=1,MAX(0,R2488-G2488),MAX(0,Assumptions!$C$6-G2488))))</f>
        <v/>
      </c>
      <c r="AC2488">
        <f>IF(Y2488=1,Q2488-F2488,"")</f>
        <v/>
      </c>
      <c r="AD2488">
        <f>IF(Y2488=1,AC2488^2,"")</f>
        <v/>
      </c>
      <c r="AE2488" s="19">
        <f>IF(Z2488=1,(H2488-M2488)*I2488,0)</f>
        <v/>
      </c>
      <c r="AF2488">
        <f>IF(G2488&lt;EDATE(Assumptions!$C$6,-12)+1,"prior_12m","last_12m")</f>
        <v/>
      </c>
      <c r="AG2488" s="21">
        <f>DATE(YEAR(G2488),MONTH(G2488),1)</f>
        <v/>
      </c>
    </row>
    <row r="2489">
      <c r="A2489" t="inlineStr">
        <is>
          <t>SPO-01345-1</t>
        </is>
      </c>
      <c r="B2489" t="inlineStr">
        <is>
          <t>SPO-01345</t>
        </is>
      </c>
      <c r="C2489" t="inlineStr">
        <is>
          <t>SUP-08</t>
        </is>
      </c>
      <c r="D2489" t="inlineStr">
        <is>
          <t>PPE</t>
        </is>
      </c>
      <c r="E2489" t="inlineStr">
        <is>
          <t>PPE-01</t>
        </is>
      </c>
      <c r="F2489" s="17" t="n">
        <v>45942</v>
      </c>
      <c r="G2489" s="17" t="n">
        <v>45953</v>
      </c>
      <c r="H2489" s="18" t="n">
        <v>224</v>
      </c>
      <c r="I2489" s="19" t="n">
        <v>4.8</v>
      </c>
      <c r="J2489" s="19" t="n">
        <v>4.8</v>
      </c>
      <c r="K2489" s="20" t="n">
        <v>0</v>
      </c>
      <c r="L2489" s="20" t="n">
        <v>0</v>
      </c>
      <c r="M2489" s="18" t="n">
        <v>224</v>
      </c>
      <c r="N2489" s="18" t="n">
        <v>224</v>
      </c>
      <c r="O2489" s="18" t="n">
        <v>0</v>
      </c>
      <c r="P2489" s="17" t="n">
        <v>45950</v>
      </c>
      <c r="Q2489" s="17" t="n">
        <v>45950</v>
      </c>
      <c r="R2489" s="17" t="n">
        <v>45950</v>
      </c>
      <c r="S2489" s="19">
        <f>H2489*I2489</f>
        <v/>
      </c>
      <c r="T2489" s="19">
        <f>H2489*J2489</f>
        <v/>
      </c>
      <c r="U2489">
        <f>IF(AND(K2489=0,G2489&lt;=Assumptions!$C$6),1,0)</f>
        <v/>
      </c>
      <c r="V2489">
        <f>IF(U2489=1,IF(M2489&gt;0,IF(P2489&lt;=G2489+Assumptions!$C$7,1,0),0),0)</f>
        <v/>
      </c>
      <c r="W2489">
        <f>IF(AND(U2489=1,M2489&gt;=H2489*(1-Assumptions!$C$8)),1,0)</f>
        <v/>
      </c>
      <c r="X2489">
        <f>IF(AND(U2489=1,N2489&gt;=H2489*(1-Assumptions!$C$8)),1,0)</f>
        <v/>
      </c>
      <c r="Y2489">
        <f>IF(ISNUMBER(Q2489),1,0)</f>
        <v/>
      </c>
      <c r="Z2489">
        <f>IF(AND(K2489=0,L2489=0,Y2489=0),1,0)</f>
        <v/>
      </c>
      <c r="AA2489">
        <f>IF(AND(Z2489=1,G2489&lt;Assumptions!$C$6),1,0)</f>
        <v/>
      </c>
      <c r="AB2489">
        <f>IF(U2489=0,"",IF(Y2489=1,MAX(0,Q2489-G2489),IF(L2489=1,MAX(0,R2489-G2489),MAX(0,Assumptions!$C$6-G2489))))</f>
        <v/>
      </c>
      <c r="AC2489">
        <f>IF(Y2489=1,Q2489-F2489,"")</f>
        <v/>
      </c>
      <c r="AD2489">
        <f>IF(Y2489=1,AC2489^2,"")</f>
        <v/>
      </c>
      <c r="AE2489" s="19">
        <f>IF(Z2489=1,(H2489-M2489)*I2489,0)</f>
        <v/>
      </c>
      <c r="AF2489">
        <f>IF(G2489&lt;EDATE(Assumptions!$C$6,-12)+1,"prior_12m","last_12m")</f>
        <v/>
      </c>
      <c r="AG2489" s="21">
        <f>DATE(YEAR(G2489),MONTH(G2489),1)</f>
        <v/>
      </c>
    </row>
    <row r="2490">
      <c r="A2490" t="inlineStr">
        <is>
          <t>SPO-01346-1</t>
        </is>
      </c>
      <c r="B2490" t="inlineStr">
        <is>
          <t>SPO-01346</t>
        </is>
      </c>
      <c r="C2490" t="inlineStr">
        <is>
          <t>SUP-01</t>
        </is>
      </c>
      <c r="D2490" t="inlineStr">
        <is>
          <t>ELEC</t>
        </is>
      </c>
      <c r="E2490" t="inlineStr">
        <is>
          <t>ELEC-05</t>
        </is>
      </c>
      <c r="F2490" s="17" t="n">
        <v>45942</v>
      </c>
      <c r="G2490" s="17" t="n">
        <v>45960</v>
      </c>
      <c r="H2490" s="18" t="n">
        <v>186</v>
      </c>
      <c r="I2490" s="19" t="n">
        <v>12.19</v>
      </c>
      <c r="J2490" s="19" t="n">
        <v>11.5</v>
      </c>
      <c r="K2490" s="20" t="n">
        <v>0</v>
      </c>
      <c r="L2490" s="20" t="n">
        <v>0</v>
      </c>
      <c r="M2490" s="18" t="n">
        <v>186</v>
      </c>
      <c r="N2490" s="18" t="n">
        <v>186</v>
      </c>
      <c r="O2490" s="18" t="n">
        <v>0</v>
      </c>
      <c r="P2490" s="17" t="n">
        <v>45956</v>
      </c>
      <c r="Q2490" s="17" t="n">
        <v>45956</v>
      </c>
      <c r="R2490" s="17" t="n">
        <v>45956</v>
      </c>
      <c r="S2490" s="19">
        <f>H2490*I2490</f>
        <v/>
      </c>
      <c r="T2490" s="19">
        <f>H2490*J2490</f>
        <v/>
      </c>
      <c r="U2490">
        <f>IF(AND(K2490=0,G2490&lt;=Assumptions!$C$6),1,0)</f>
        <v/>
      </c>
      <c r="V2490">
        <f>IF(U2490=1,IF(M2490&gt;0,IF(P2490&lt;=G2490+Assumptions!$C$7,1,0),0),0)</f>
        <v/>
      </c>
      <c r="W2490">
        <f>IF(AND(U2490=1,M2490&gt;=H2490*(1-Assumptions!$C$8)),1,0)</f>
        <v/>
      </c>
      <c r="X2490">
        <f>IF(AND(U2490=1,N2490&gt;=H2490*(1-Assumptions!$C$8)),1,0)</f>
        <v/>
      </c>
      <c r="Y2490">
        <f>IF(ISNUMBER(Q2490),1,0)</f>
        <v/>
      </c>
      <c r="Z2490">
        <f>IF(AND(K2490=0,L2490=0,Y2490=0),1,0)</f>
        <v/>
      </c>
      <c r="AA2490">
        <f>IF(AND(Z2490=1,G2490&lt;Assumptions!$C$6),1,0)</f>
        <v/>
      </c>
      <c r="AB2490">
        <f>IF(U2490=0,"",IF(Y2490=1,MAX(0,Q2490-G2490),IF(L2490=1,MAX(0,R2490-G2490),MAX(0,Assumptions!$C$6-G2490))))</f>
        <v/>
      </c>
      <c r="AC2490">
        <f>IF(Y2490=1,Q2490-F2490,"")</f>
        <v/>
      </c>
      <c r="AD2490">
        <f>IF(Y2490=1,AC2490^2,"")</f>
        <v/>
      </c>
      <c r="AE2490" s="19">
        <f>IF(Z2490=1,(H2490-M2490)*I2490,0)</f>
        <v/>
      </c>
      <c r="AF2490">
        <f>IF(G2490&lt;EDATE(Assumptions!$C$6,-12)+1,"prior_12m","last_12m")</f>
        <v/>
      </c>
      <c r="AG2490" s="21">
        <f>DATE(YEAR(G2490),MONTH(G2490),1)</f>
        <v/>
      </c>
    </row>
    <row r="2491">
      <c r="A2491" t="inlineStr">
        <is>
          <t>SPO-01347-1</t>
        </is>
      </c>
      <c r="B2491" t="inlineStr">
        <is>
          <t>SPO-01347</t>
        </is>
      </c>
      <c r="C2491" t="inlineStr">
        <is>
          <t>SUP-12</t>
        </is>
      </c>
      <c r="D2491" t="inlineStr">
        <is>
          <t>IT</t>
        </is>
      </c>
      <c r="E2491" t="inlineStr">
        <is>
          <t>IT-02</t>
        </is>
      </c>
      <c r="F2491" s="17" t="n">
        <v>45942</v>
      </c>
      <c r="G2491" s="17" t="n">
        <v>45952</v>
      </c>
      <c r="H2491" s="18" t="n">
        <v>11</v>
      </c>
      <c r="I2491" s="19" t="n">
        <v>180.26</v>
      </c>
      <c r="J2491" s="19" t="n">
        <v>162</v>
      </c>
      <c r="K2491" s="20" t="n">
        <v>0</v>
      </c>
      <c r="L2491" s="20" t="n">
        <v>0</v>
      </c>
      <c r="M2491" s="18" t="n">
        <v>11</v>
      </c>
      <c r="N2491" s="18" t="n">
        <v>11</v>
      </c>
      <c r="O2491" s="18" t="n">
        <v>0</v>
      </c>
      <c r="P2491" s="17" t="n">
        <v>45951</v>
      </c>
      <c r="Q2491" s="17" t="n">
        <v>45951</v>
      </c>
      <c r="R2491" s="17" t="n">
        <v>45951</v>
      </c>
      <c r="S2491" s="19">
        <f>H2491*I2491</f>
        <v/>
      </c>
      <c r="T2491" s="19">
        <f>H2491*J2491</f>
        <v/>
      </c>
      <c r="U2491">
        <f>IF(AND(K2491=0,G2491&lt;=Assumptions!$C$6),1,0)</f>
        <v/>
      </c>
      <c r="V2491">
        <f>IF(U2491=1,IF(M2491&gt;0,IF(P2491&lt;=G2491+Assumptions!$C$7,1,0),0),0)</f>
        <v/>
      </c>
      <c r="W2491">
        <f>IF(AND(U2491=1,M2491&gt;=H2491*(1-Assumptions!$C$8)),1,0)</f>
        <v/>
      </c>
      <c r="X2491">
        <f>IF(AND(U2491=1,N2491&gt;=H2491*(1-Assumptions!$C$8)),1,0)</f>
        <v/>
      </c>
      <c r="Y2491">
        <f>IF(ISNUMBER(Q2491),1,0)</f>
        <v/>
      </c>
      <c r="Z2491">
        <f>IF(AND(K2491=0,L2491=0,Y2491=0),1,0)</f>
        <v/>
      </c>
      <c r="AA2491">
        <f>IF(AND(Z2491=1,G2491&lt;Assumptions!$C$6),1,0)</f>
        <v/>
      </c>
      <c r="AB2491">
        <f>IF(U2491=0,"",IF(Y2491=1,MAX(0,Q2491-G2491),IF(L2491=1,MAX(0,R2491-G2491),MAX(0,Assumptions!$C$6-G2491))))</f>
        <v/>
      </c>
      <c r="AC2491">
        <f>IF(Y2491=1,Q2491-F2491,"")</f>
        <v/>
      </c>
      <c r="AD2491">
        <f>IF(Y2491=1,AC2491^2,"")</f>
        <v/>
      </c>
      <c r="AE2491" s="19">
        <f>IF(Z2491=1,(H2491-M2491)*I2491,0)</f>
        <v/>
      </c>
      <c r="AF2491">
        <f>IF(G2491&lt;EDATE(Assumptions!$C$6,-12)+1,"prior_12m","last_12m")</f>
        <v/>
      </c>
      <c r="AG2491" s="21">
        <f>DATE(YEAR(G2491),MONTH(G2491),1)</f>
        <v/>
      </c>
    </row>
    <row r="2492">
      <c r="A2492" t="inlineStr">
        <is>
          <t>SPO-01347-2</t>
        </is>
      </c>
      <c r="B2492" t="inlineStr">
        <is>
          <t>SPO-01347</t>
        </is>
      </c>
      <c r="C2492" t="inlineStr">
        <is>
          <t>SUP-12</t>
        </is>
      </c>
      <c r="D2492" t="inlineStr">
        <is>
          <t>IT</t>
        </is>
      </c>
      <c r="E2492" t="inlineStr">
        <is>
          <t>IT-01</t>
        </is>
      </c>
      <c r="F2492" s="17" t="n">
        <v>45942</v>
      </c>
      <c r="G2492" s="17" t="n">
        <v>45952</v>
      </c>
      <c r="H2492" s="18" t="n">
        <v>10</v>
      </c>
      <c r="I2492" s="19" t="n">
        <v>207.83</v>
      </c>
      <c r="J2492" s="19" t="n">
        <v>189</v>
      </c>
      <c r="K2492" s="20" t="n">
        <v>0</v>
      </c>
      <c r="L2492" s="20" t="n">
        <v>0</v>
      </c>
      <c r="M2492" s="18" t="n">
        <v>10</v>
      </c>
      <c r="N2492" s="18" t="n">
        <v>10</v>
      </c>
      <c r="O2492" s="18" t="n">
        <v>0</v>
      </c>
      <c r="P2492" s="17" t="n">
        <v>45952</v>
      </c>
      <c r="Q2492" s="17" t="n">
        <v>45952</v>
      </c>
      <c r="R2492" s="17" t="n">
        <v>45952</v>
      </c>
      <c r="S2492" s="19">
        <f>H2492*I2492</f>
        <v/>
      </c>
      <c r="T2492" s="19">
        <f>H2492*J2492</f>
        <v/>
      </c>
      <c r="U2492">
        <f>IF(AND(K2492=0,G2492&lt;=Assumptions!$C$6),1,0)</f>
        <v/>
      </c>
      <c r="V2492">
        <f>IF(U2492=1,IF(M2492&gt;0,IF(P2492&lt;=G2492+Assumptions!$C$7,1,0),0),0)</f>
        <v/>
      </c>
      <c r="W2492">
        <f>IF(AND(U2492=1,M2492&gt;=H2492*(1-Assumptions!$C$8)),1,0)</f>
        <v/>
      </c>
      <c r="X2492">
        <f>IF(AND(U2492=1,N2492&gt;=H2492*(1-Assumptions!$C$8)),1,0)</f>
        <v/>
      </c>
      <c r="Y2492">
        <f>IF(ISNUMBER(Q2492),1,0)</f>
        <v/>
      </c>
      <c r="Z2492">
        <f>IF(AND(K2492=0,L2492=0,Y2492=0),1,0)</f>
        <v/>
      </c>
      <c r="AA2492">
        <f>IF(AND(Z2492=1,G2492&lt;Assumptions!$C$6),1,0)</f>
        <v/>
      </c>
      <c r="AB2492">
        <f>IF(U2492=0,"",IF(Y2492=1,MAX(0,Q2492-G2492),IF(L2492=1,MAX(0,R2492-G2492),MAX(0,Assumptions!$C$6-G2492))))</f>
        <v/>
      </c>
      <c r="AC2492">
        <f>IF(Y2492=1,Q2492-F2492,"")</f>
        <v/>
      </c>
      <c r="AD2492">
        <f>IF(Y2492=1,AC2492^2,"")</f>
        <v/>
      </c>
      <c r="AE2492" s="19">
        <f>IF(Z2492=1,(H2492-M2492)*I2492,0)</f>
        <v/>
      </c>
      <c r="AF2492">
        <f>IF(G2492&lt;EDATE(Assumptions!$C$6,-12)+1,"prior_12m","last_12m")</f>
        <v/>
      </c>
      <c r="AG2492" s="21">
        <f>DATE(YEAR(G2492),MONTH(G2492),1)</f>
        <v/>
      </c>
    </row>
    <row r="2493">
      <c r="A2493" t="inlineStr">
        <is>
          <t>SPO-01347-3</t>
        </is>
      </c>
      <c r="B2493" t="inlineStr">
        <is>
          <t>SPO-01347</t>
        </is>
      </c>
      <c r="C2493" t="inlineStr">
        <is>
          <t>SUP-12</t>
        </is>
      </c>
      <c r="D2493" t="inlineStr">
        <is>
          <t>IT</t>
        </is>
      </c>
      <c r="E2493" t="inlineStr">
        <is>
          <t>IT-04</t>
        </is>
      </c>
      <c r="F2493" s="17" t="n">
        <v>45942</v>
      </c>
      <c r="G2493" s="17" t="n">
        <v>45952</v>
      </c>
      <c r="H2493" s="18" t="n">
        <v>61</v>
      </c>
      <c r="I2493" s="19" t="n">
        <v>13.77</v>
      </c>
      <c r="J2493" s="19" t="n">
        <v>12</v>
      </c>
      <c r="K2493" s="20" t="n">
        <v>0</v>
      </c>
      <c r="L2493" s="20" t="n">
        <v>0</v>
      </c>
      <c r="M2493" s="18" t="n">
        <v>61</v>
      </c>
      <c r="N2493" s="18" t="n">
        <v>61</v>
      </c>
      <c r="O2493" s="18" t="n">
        <v>0</v>
      </c>
      <c r="P2493" s="17" t="n">
        <v>45945</v>
      </c>
      <c r="Q2493" s="17" t="n">
        <v>45945</v>
      </c>
      <c r="R2493" s="17" t="n">
        <v>45945</v>
      </c>
      <c r="S2493" s="19">
        <f>H2493*I2493</f>
        <v/>
      </c>
      <c r="T2493" s="19">
        <f>H2493*J2493</f>
        <v/>
      </c>
      <c r="U2493">
        <f>IF(AND(K2493=0,G2493&lt;=Assumptions!$C$6),1,0)</f>
        <v/>
      </c>
      <c r="V2493">
        <f>IF(U2493=1,IF(M2493&gt;0,IF(P2493&lt;=G2493+Assumptions!$C$7,1,0),0),0)</f>
        <v/>
      </c>
      <c r="W2493">
        <f>IF(AND(U2493=1,M2493&gt;=H2493*(1-Assumptions!$C$8)),1,0)</f>
        <v/>
      </c>
      <c r="X2493">
        <f>IF(AND(U2493=1,N2493&gt;=H2493*(1-Assumptions!$C$8)),1,0)</f>
        <v/>
      </c>
      <c r="Y2493">
        <f>IF(ISNUMBER(Q2493),1,0)</f>
        <v/>
      </c>
      <c r="Z2493">
        <f>IF(AND(K2493=0,L2493=0,Y2493=0),1,0)</f>
        <v/>
      </c>
      <c r="AA2493">
        <f>IF(AND(Z2493=1,G2493&lt;Assumptions!$C$6),1,0)</f>
        <v/>
      </c>
      <c r="AB2493">
        <f>IF(U2493=0,"",IF(Y2493=1,MAX(0,Q2493-G2493),IF(L2493=1,MAX(0,R2493-G2493),MAX(0,Assumptions!$C$6-G2493))))</f>
        <v/>
      </c>
      <c r="AC2493">
        <f>IF(Y2493=1,Q2493-F2493,"")</f>
        <v/>
      </c>
      <c r="AD2493">
        <f>IF(Y2493=1,AC2493^2,"")</f>
        <v/>
      </c>
      <c r="AE2493" s="19">
        <f>IF(Z2493=1,(H2493-M2493)*I2493,0)</f>
        <v/>
      </c>
      <c r="AF2493">
        <f>IF(G2493&lt;EDATE(Assumptions!$C$6,-12)+1,"prior_12m","last_12m")</f>
        <v/>
      </c>
      <c r="AG2493" s="21">
        <f>DATE(YEAR(G2493),MONTH(G2493),1)</f>
        <v/>
      </c>
    </row>
    <row r="2494">
      <c r="A2494" t="inlineStr">
        <is>
          <t>SPO-01347-4</t>
        </is>
      </c>
      <c r="B2494" t="inlineStr">
        <is>
          <t>SPO-01347</t>
        </is>
      </c>
      <c r="C2494" t="inlineStr">
        <is>
          <t>SUP-12</t>
        </is>
      </c>
      <c r="D2494" t="inlineStr">
        <is>
          <t>IT</t>
        </is>
      </c>
      <c r="E2494" t="inlineStr">
        <is>
          <t>IT-06</t>
        </is>
      </c>
      <c r="F2494" s="17" t="n">
        <v>45942</v>
      </c>
      <c r="G2494" s="17" t="n">
        <v>45952</v>
      </c>
      <c r="H2494" s="18" t="n">
        <v>11</v>
      </c>
      <c r="I2494" s="19" t="n">
        <v>103.9</v>
      </c>
      <c r="J2494" s="19" t="n">
        <v>89</v>
      </c>
      <c r="K2494" s="20" t="n">
        <v>0</v>
      </c>
      <c r="L2494" s="20" t="n">
        <v>0</v>
      </c>
      <c r="M2494" s="18" t="n">
        <v>11</v>
      </c>
      <c r="N2494" s="18" t="n">
        <v>6</v>
      </c>
      <c r="O2494" s="18" t="n">
        <v>0</v>
      </c>
      <c r="P2494" s="17" t="n">
        <v>45950</v>
      </c>
      <c r="Q2494" s="17" t="n">
        <v>45956</v>
      </c>
      <c r="R2494" s="17" t="n">
        <v>45956</v>
      </c>
      <c r="S2494" s="19">
        <f>H2494*I2494</f>
        <v/>
      </c>
      <c r="T2494" s="19">
        <f>H2494*J2494</f>
        <v/>
      </c>
      <c r="U2494">
        <f>IF(AND(K2494=0,G2494&lt;=Assumptions!$C$6),1,0)</f>
        <v/>
      </c>
      <c r="V2494">
        <f>IF(U2494=1,IF(M2494&gt;0,IF(P2494&lt;=G2494+Assumptions!$C$7,1,0),0),0)</f>
        <v/>
      </c>
      <c r="W2494">
        <f>IF(AND(U2494=1,M2494&gt;=H2494*(1-Assumptions!$C$8)),1,0)</f>
        <v/>
      </c>
      <c r="X2494">
        <f>IF(AND(U2494=1,N2494&gt;=H2494*(1-Assumptions!$C$8)),1,0)</f>
        <v/>
      </c>
      <c r="Y2494">
        <f>IF(ISNUMBER(Q2494),1,0)</f>
        <v/>
      </c>
      <c r="Z2494">
        <f>IF(AND(K2494=0,L2494=0,Y2494=0),1,0)</f>
        <v/>
      </c>
      <c r="AA2494">
        <f>IF(AND(Z2494=1,G2494&lt;Assumptions!$C$6),1,0)</f>
        <v/>
      </c>
      <c r="AB2494">
        <f>IF(U2494=0,"",IF(Y2494=1,MAX(0,Q2494-G2494),IF(L2494=1,MAX(0,R2494-G2494),MAX(0,Assumptions!$C$6-G2494))))</f>
        <v/>
      </c>
      <c r="AC2494">
        <f>IF(Y2494=1,Q2494-F2494,"")</f>
        <v/>
      </c>
      <c r="AD2494">
        <f>IF(Y2494=1,AC2494^2,"")</f>
        <v/>
      </c>
      <c r="AE2494" s="19">
        <f>IF(Z2494=1,(H2494-M2494)*I2494,0)</f>
        <v/>
      </c>
      <c r="AF2494">
        <f>IF(G2494&lt;EDATE(Assumptions!$C$6,-12)+1,"prior_12m","last_12m")</f>
        <v/>
      </c>
      <c r="AG2494" s="21">
        <f>DATE(YEAR(G2494),MONTH(G2494),1)</f>
        <v/>
      </c>
    </row>
    <row r="2495">
      <c r="A2495" t="inlineStr">
        <is>
          <t>SPO-01348-1</t>
        </is>
      </c>
      <c r="B2495" t="inlineStr">
        <is>
          <t>SPO-01348</t>
        </is>
      </c>
      <c r="C2495" t="inlineStr">
        <is>
          <t>SUP-04</t>
        </is>
      </c>
      <c r="D2495" t="inlineStr">
        <is>
          <t>FLEET</t>
        </is>
      </c>
      <c r="E2495" t="inlineStr">
        <is>
          <t>FLEET-01</t>
        </is>
      </c>
      <c r="F2495" s="17" t="n">
        <v>45942</v>
      </c>
      <c r="G2495" s="17" t="n">
        <v>45955</v>
      </c>
      <c r="H2495" s="18" t="n">
        <v>27</v>
      </c>
      <c r="I2495" s="19" t="n">
        <v>63.42</v>
      </c>
      <c r="J2495" s="19" t="n">
        <v>64</v>
      </c>
      <c r="K2495" s="20" t="n">
        <v>0</v>
      </c>
      <c r="L2495" s="20" t="n">
        <v>0</v>
      </c>
      <c r="M2495" s="18" t="n">
        <v>27</v>
      </c>
      <c r="N2495" s="18" t="n">
        <v>27</v>
      </c>
      <c r="O2495" s="18" t="n">
        <v>0</v>
      </c>
      <c r="P2495" s="17" t="n">
        <v>45953</v>
      </c>
      <c r="Q2495" s="17" t="n">
        <v>45953</v>
      </c>
      <c r="R2495" s="17" t="n">
        <v>45953</v>
      </c>
      <c r="S2495" s="19">
        <f>H2495*I2495</f>
        <v/>
      </c>
      <c r="T2495" s="19">
        <f>H2495*J2495</f>
        <v/>
      </c>
      <c r="U2495">
        <f>IF(AND(K2495=0,G2495&lt;=Assumptions!$C$6),1,0)</f>
        <v/>
      </c>
      <c r="V2495">
        <f>IF(U2495=1,IF(M2495&gt;0,IF(P2495&lt;=G2495+Assumptions!$C$7,1,0),0),0)</f>
        <v/>
      </c>
      <c r="W2495">
        <f>IF(AND(U2495=1,M2495&gt;=H2495*(1-Assumptions!$C$8)),1,0)</f>
        <v/>
      </c>
      <c r="X2495">
        <f>IF(AND(U2495=1,N2495&gt;=H2495*(1-Assumptions!$C$8)),1,0)</f>
        <v/>
      </c>
      <c r="Y2495">
        <f>IF(ISNUMBER(Q2495),1,0)</f>
        <v/>
      </c>
      <c r="Z2495">
        <f>IF(AND(K2495=0,L2495=0,Y2495=0),1,0)</f>
        <v/>
      </c>
      <c r="AA2495">
        <f>IF(AND(Z2495=1,G2495&lt;Assumptions!$C$6),1,0)</f>
        <v/>
      </c>
      <c r="AB2495">
        <f>IF(U2495=0,"",IF(Y2495=1,MAX(0,Q2495-G2495),IF(L2495=1,MAX(0,R2495-G2495),MAX(0,Assumptions!$C$6-G2495))))</f>
        <v/>
      </c>
      <c r="AC2495">
        <f>IF(Y2495=1,Q2495-F2495,"")</f>
        <v/>
      </c>
      <c r="AD2495">
        <f>IF(Y2495=1,AC2495^2,"")</f>
        <v/>
      </c>
      <c r="AE2495" s="19">
        <f>IF(Z2495=1,(H2495-M2495)*I2495,0)</f>
        <v/>
      </c>
      <c r="AF2495">
        <f>IF(G2495&lt;EDATE(Assumptions!$C$6,-12)+1,"prior_12m","last_12m")</f>
        <v/>
      </c>
      <c r="AG2495" s="21">
        <f>DATE(YEAR(G2495),MONTH(G2495),1)</f>
        <v/>
      </c>
    </row>
    <row r="2496">
      <c r="A2496" t="inlineStr">
        <is>
          <t>SPO-01349-1</t>
        </is>
      </c>
      <c r="B2496" t="inlineStr">
        <is>
          <t>SPO-01349</t>
        </is>
      </c>
      <c r="C2496" t="inlineStr">
        <is>
          <t>SUP-11</t>
        </is>
      </c>
      <c r="D2496" t="inlineStr">
        <is>
          <t>PPE</t>
        </is>
      </c>
      <c r="E2496" t="inlineStr">
        <is>
          <t>PPE-03</t>
        </is>
      </c>
      <c r="F2496" s="17" t="n">
        <v>45944</v>
      </c>
      <c r="G2496" s="17" t="n">
        <v>45956</v>
      </c>
      <c r="H2496" s="18" t="n">
        <v>63</v>
      </c>
      <c r="I2496" s="19" t="n">
        <v>20.12</v>
      </c>
      <c r="J2496" s="19" t="n">
        <v>21</v>
      </c>
      <c r="K2496" s="20" t="n">
        <v>0</v>
      </c>
      <c r="L2496" s="20" t="n">
        <v>0</v>
      </c>
      <c r="M2496" s="18" t="n">
        <v>63</v>
      </c>
      <c r="N2496" s="18" t="n">
        <v>63</v>
      </c>
      <c r="O2496" s="18" t="n">
        <v>0</v>
      </c>
      <c r="P2496" s="17" t="n">
        <v>45955</v>
      </c>
      <c r="Q2496" s="17" t="n">
        <v>45955</v>
      </c>
      <c r="R2496" s="17" t="n">
        <v>45955</v>
      </c>
      <c r="S2496" s="19">
        <f>H2496*I2496</f>
        <v/>
      </c>
      <c r="T2496" s="19">
        <f>H2496*J2496</f>
        <v/>
      </c>
      <c r="U2496">
        <f>IF(AND(K2496=0,G2496&lt;=Assumptions!$C$6),1,0)</f>
        <v/>
      </c>
      <c r="V2496">
        <f>IF(U2496=1,IF(M2496&gt;0,IF(P2496&lt;=G2496+Assumptions!$C$7,1,0),0),0)</f>
        <v/>
      </c>
      <c r="W2496">
        <f>IF(AND(U2496=1,M2496&gt;=H2496*(1-Assumptions!$C$8)),1,0)</f>
        <v/>
      </c>
      <c r="X2496">
        <f>IF(AND(U2496=1,N2496&gt;=H2496*(1-Assumptions!$C$8)),1,0)</f>
        <v/>
      </c>
      <c r="Y2496">
        <f>IF(ISNUMBER(Q2496),1,0)</f>
        <v/>
      </c>
      <c r="Z2496">
        <f>IF(AND(K2496=0,L2496=0,Y2496=0),1,0)</f>
        <v/>
      </c>
      <c r="AA2496">
        <f>IF(AND(Z2496=1,G2496&lt;Assumptions!$C$6),1,0)</f>
        <v/>
      </c>
      <c r="AB2496">
        <f>IF(U2496=0,"",IF(Y2496=1,MAX(0,Q2496-G2496),IF(L2496=1,MAX(0,R2496-G2496),MAX(0,Assumptions!$C$6-G2496))))</f>
        <v/>
      </c>
      <c r="AC2496">
        <f>IF(Y2496=1,Q2496-F2496,"")</f>
        <v/>
      </c>
      <c r="AD2496">
        <f>IF(Y2496=1,AC2496^2,"")</f>
        <v/>
      </c>
      <c r="AE2496" s="19">
        <f>IF(Z2496=1,(H2496-M2496)*I2496,0)</f>
        <v/>
      </c>
      <c r="AF2496">
        <f>IF(G2496&lt;EDATE(Assumptions!$C$6,-12)+1,"prior_12m","last_12m")</f>
        <v/>
      </c>
      <c r="AG2496" s="21">
        <f>DATE(YEAR(G2496),MONTH(G2496),1)</f>
        <v/>
      </c>
    </row>
    <row r="2497">
      <c r="A2497" t="inlineStr">
        <is>
          <t>SPO-01350-1</t>
        </is>
      </c>
      <c r="B2497" t="inlineStr">
        <is>
          <t>SPO-01350</t>
        </is>
      </c>
      <c r="C2497" t="inlineStr">
        <is>
          <t>SUP-12</t>
        </is>
      </c>
      <c r="D2497" t="inlineStr">
        <is>
          <t>IT</t>
        </is>
      </c>
      <c r="E2497" t="inlineStr">
        <is>
          <t>IT-06</t>
        </is>
      </c>
      <c r="F2497" s="17" t="n">
        <v>45944</v>
      </c>
      <c r="G2497" s="17" t="n">
        <v>45954</v>
      </c>
      <c r="H2497" s="18" t="n">
        <v>11</v>
      </c>
      <c r="I2497" s="19" t="n">
        <v>103.22</v>
      </c>
      <c r="J2497" s="19" t="n">
        <v>89</v>
      </c>
      <c r="K2497" s="20" t="n">
        <v>0</v>
      </c>
      <c r="L2497" s="20" t="n">
        <v>0</v>
      </c>
      <c r="M2497" s="18" t="n">
        <v>11</v>
      </c>
      <c r="N2497" s="18" t="n">
        <v>11</v>
      </c>
      <c r="O2497" s="18" t="n">
        <v>0</v>
      </c>
      <c r="P2497" s="17" t="n">
        <v>45951</v>
      </c>
      <c r="Q2497" s="17" t="n">
        <v>45951</v>
      </c>
      <c r="R2497" s="17" t="n">
        <v>45951</v>
      </c>
      <c r="S2497" s="19">
        <f>H2497*I2497</f>
        <v/>
      </c>
      <c r="T2497" s="19">
        <f>H2497*J2497</f>
        <v/>
      </c>
      <c r="U2497">
        <f>IF(AND(K2497=0,G2497&lt;=Assumptions!$C$6),1,0)</f>
        <v/>
      </c>
      <c r="V2497">
        <f>IF(U2497=1,IF(M2497&gt;0,IF(P2497&lt;=G2497+Assumptions!$C$7,1,0),0),0)</f>
        <v/>
      </c>
      <c r="W2497">
        <f>IF(AND(U2497=1,M2497&gt;=H2497*(1-Assumptions!$C$8)),1,0)</f>
        <v/>
      </c>
      <c r="X2497">
        <f>IF(AND(U2497=1,N2497&gt;=H2497*(1-Assumptions!$C$8)),1,0)</f>
        <v/>
      </c>
      <c r="Y2497">
        <f>IF(ISNUMBER(Q2497),1,0)</f>
        <v/>
      </c>
      <c r="Z2497">
        <f>IF(AND(K2497=0,L2497=0,Y2497=0),1,0)</f>
        <v/>
      </c>
      <c r="AA2497">
        <f>IF(AND(Z2497=1,G2497&lt;Assumptions!$C$6),1,0)</f>
        <v/>
      </c>
      <c r="AB2497">
        <f>IF(U2497=0,"",IF(Y2497=1,MAX(0,Q2497-G2497),IF(L2497=1,MAX(0,R2497-G2497),MAX(0,Assumptions!$C$6-G2497))))</f>
        <v/>
      </c>
      <c r="AC2497">
        <f>IF(Y2497=1,Q2497-F2497,"")</f>
        <v/>
      </c>
      <c r="AD2497">
        <f>IF(Y2497=1,AC2497^2,"")</f>
        <v/>
      </c>
      <c r="AE2497" s="19">
        <f>IF(Z2497=1,(H2497-M2497)*I2497,0)</f>
        <v/>
      </c>
      <c r="AF2497">
        <f>IF(G2497&lt;EDATE(Assumptions!$C$6,-12)+1,"prior_12m","last_12m")</f>
        <v/>
      </c>
      <c r="AG2497" s="21">
        <f>DATE(YEAR(G2497),MONTH(G2497),1)</f>
        <v/>
      </c>
    </row>
    <row r="2498">
      <c r="A2498" t="inlineStr">
        <is>
          <t>SPO-01350-2</t>
        </is>
      </c>
      <c r="B2498" t="inlineStr">
        <is>
          <t>SPO-01350</t>
        </is>
      </c>
      <c r="C2498" t="inlineStr">
        <is>
          <t>SUP-12</t>
        </is>
      </c>
      <c r="D2498" t="inlineStr">
        <is>
          <t>IT</t>
        </is>
      </c>
      <c r="E2498" t="inlineStr">
        <is>
          <t>IT-05</t>
        </is>
      </c>
      <c r="F2498" s="17" t="n">
        <v>45944</v>
      </c>
      <c r="G2498" s="17" t="n">
        <v>45954</v>
      </c>
      <c r="H2498" s="18" t="n">
        <v>2</v>
      </c>
      <c r="I2498" s="19" t="n">
        <v>730.71</v>
      </c>
      <c r="J2498" s="19" t="n">
        <v>640</v>
      </c>
      <c r="K2498" s="20" t="n">
        <v>0</v>
      </c>
      <c r="L2498" s="20" t="n">
        <v>0</v>
      </c>
      <c r="M2498" s="18" t="n">
        <v>2</v>
      </c>
      <c r="N2498" s="18" t="n">
        <v>2</v>
      </c>
      <c r="O2498" s="18" t="n">
        <v>0</v>
      </c>
      <c r="P2498" s="17" t="n">
        <v>45950</v>
      </c>
      <c r="Q2498" s="17" t="n">
        <v>45950</v>
      </c>
      <c r="R2498" s="17" t="n">
        <v>45950</v>
      </c>
      <c r="S2498" s="19">
        <f>H2498*I2498</f>
        <v/>
      </c>
      <c r="T2498" s="19">
        <f>H2498*J2498</f>
        <v/>
      </c>
      <c r="U2498">
        <f>IF(AND(K2498=0,G2498&lt;=Assumptions!$C$6),1,0)</f>
        <v/>
      </c>
      <c r="V2498">
        <f>IF(U2498=1,IF(M2498&gt;0,IF(P2498&lt;=G2498+Assumptions!$C$7,1,0),0),0)</f>
        <v/>
      </c>
      <c r="W2498">
        <f>IF(AND(U2498=1,M2498&gt;=H2498*(1-Assumptions!$C$8)),1,0)</f>
        <v/>
      </c>
      <c r="X2498">
        <f>IF(AND(U2498=1,N2498&gt;=H2498*(1-Assumptions!$C$8)),1,0)</f>
        <v/>
      </c>
      <c r="Y2498">
        <f>IF(ISNUMBER(Q2498),1,0)</f>
        <v/>
      </c>
      <c r="Z2498">
        <f>IF(AND(K2498=0,L2498=0,Y2498=0),1,0)</f>
        <v/>
      </c>
      <c r="AA2498">
        <f>IF(AND(Z2498=1,G2498&lt;Assumptions!$C$6),1,0)</f>
        <v/>
      </c>
      <c r="AB2498">
        <f>IF(U2498=0,"",IF(Y2498=1,MAX(0,Q2498-G2498),IF(L2498=1,MAX(0,R2498-G2498),MAX(0,Assumptions!$C$6-G2498))))</f>
        <v/>
      </c>
      <c r="AC2498">
        <f>IF(Y2498=1,Q2498-F2498,"")</f>
        <v/>
      </c>
      <c r="AD2498">
        <f>IF(Y2498=1,AC2498^2,"")</f>
        <v/>
      </c>
      <c r="AE2498" s="19">
        <f>IF(Z2498=1,(H2498-M2498)*I2498,0)</f>
        <v/>
      </c>
      <c r="AF2498">
        <f>IF(G2498&lt;EDATE(Assumptions!$C$6,-12)+1,"prior_12m","last_12m")</f>
        <v/>
      </c>
      <c r="AG2498" s="21">
        <f>DATE(YEAR(G2498),MONTH(G2498),1)</f>
        <v/>
      </c>
    </row>
    <row r="2499">
      <c r="A2499" t="inlineStr">
        <is>
          <t>SPO-01350-3</t>
        </is>
      </c>
      <c r="B2499" t="inlineStr">
        <is>
          <t>SPO-01350</t>
        </is>
      </c>
      <c r="C2499" t="inlineStr">
        <is>
          <t>SUP-12</t>
        </is>
      </c>
      <c r="D2499" t="inlineStr">
        <is>
          <t>IT</t>
        </is>
      </c>
      <c r="E2499" t="inlineStr">
        <is>
          <t>IT-07</t>
        </is>
      </c>
      <c r="F2499" s="17" t="n">
        <v>45944</v>
      </c>
      <c r="G2499" s="17" t="n">
        <v>45954</v>
      </c>
      <c r="H2499" s="18" t="n">
        <v>14</v>
      </c>
      <c r="I2499" s="19" t="n">
        <v>88.42</v>
      </c>
      <c r="J2499" s="19" t="n">
        <v>74</v>
      </c>
      <c r="K2499" s="20" t="n">
        <v>0</v>
      </c>
      <c r="L2499" s="20" t="n">
        <v>0</v>
      </c>
      <c r="M2499" s="18" t="n">
        <v>14</v>
      </c>
      <c r="N2499" s="18" t="n">
        <v>14</v>
      </c>
      <c r="O2499" s="18" t="n">
        <v>2</v>
      </c>
      <c r="P2499" s="17" t="n">
        <v>45949</v>
      </c>
      <c r="Q2499" s="17" t="n">
        <v>45949</v>
      </c>
      <c r="R2499" s="17" t="n">
        <v>45949</v>
      </c>
      <c r="S2499" s="19">
        <f>H2499*I2499</f>
        <v/>
      </c>
      <c r="T2499" s="19">
        <f>H2499*J2499</f>
        <v/>
      </c>
      <c r="U2499">
        <f>IF(AND(K2499=0,G2499&lt;=Assumptions!$C$6),1,0)</f>
        <v/>
      </c>
      <c r="V2499">
        <f>IF(U2499=1,IF(M2499&gt;0,IF(P2499&lt;=G2499+Assumptions!$C$7,1,0),0),0)</f>
        <v/>
      </c>
      <c r="W2499">
        <f>IF(AND(U2499=1,M2499&gt;=H2499*(1-Assumptions!$C$8)),1,0)</f>
        <v/>
      </c>
      <c r="X2499">
        <f>IF(AND(U2499=1,N2499&gt;=H2499*(1-Assumptions!$C$8)),1,0)</f>
        <v/>
      </c>
      <c r="Y2499">
        <f>IF(ISNUMBER(Q2499),1,0)</f>
        <v/>
      </c>
      <c r="Z2499">
        <f>IF(AND(K2499=0,L2499=0,Y2499=0),1,0)</f>
        <v/>
      </c>
      <c r="AA2499">
        <f>IF(AND(Z2499=1,G2499&lt;Assumptions!$C$6),1,0)</f>
        <v/>
      </c>
      <c r="AB2499">
        <f>IF(U2499=0,"",IF(Y2499=1,MAX(0,Q2499-G2499),IF(L2499=1,MAX(0,R2499-G2499),MAX(0,Assumptions!$C$6-G2499))))</f>
        <v/>
      </c>
      <c r="AC2499">
        <f>IF(Y2499=1,Q2499-F2499,"")</f>
        <v/>
      </c>
      <c r="AD2499">
        <f>IF(Y2499=1,AC2499^2,"")</f>
        <v/>
      </c>
      <c r="AE2499" s="19">
        <f>IF(Z2499=1,(H2499-M2499)*I2499,0)</f>
        <v/>
      </c>
      <c r="AF2499">
        <f>IF(G2499&lt;EDATE(Assumptions!$C$6,-12)+1,"prior_12m","last_12m")</f>
        <v/>
      </c>
      <c r="AG2499" s="21">
        <f>DATE(YEAR(G2499),MONTH(G2499),1)</f>
        <v/>
      </c>
    </row>
    <row r="2500">
      <c r="A2500" t="inlineStr">
        <is>
          <t>SPO-01350-4</t>
        </is>
      </c>
      <c r="B2500" t="inlineStr">
        <is>
          <t>SPO-01350</t>
        </is>
      </c>
      <c r="C2500" t="inlineStr">
        <is>
          <t>SUP-12</t>
        </is>
      </c>
      <c r="D2500" t="inlineStr">
        <is>
          <t>IT</t>
        </is>
      </c>
      <c r="E2500" t="inlineStr">
        <is>
          <t>IT-02</t>
        </is>
      </c>
      <c r="F2500" s="17" t="n">
        <v>45944</v>
      </c>
      <c r="G2500" s="17" t="n">
        <v>45954</v>
      </c>
      <c r="H2500" s="18" t="n">
        <v>10</v>
      </c>
      <c r="I2500" s="19" t="n">
        <v>180.17</v>
      </c>
      <c r="J2500" s="19" t="n">
        <v>162</v>
      </c>
      <c r="K2500" s="20" t="n">
        <v>0</v>
      </c>
      <c r="L2500" s="20" t="n">
        <v>0</v>
      </c>
      <c r="M2500" s="18" t="n">
        <v>10</v>
      </c>
      <c r="N2500" s="18" t="n">
        <v>10</v>
      </c>
      <c r="O2500" s="18" t="n">
        <v>0</v>
      </c>
      <c r="P2500" s="17" t="n">
        <v>45952</v>
      </c>
      <c r="Q2500" s="17" t="n">
        <v>45952</v>
      </c>
      <c r="R2500" s="17" t="n">
        <v>45952</v>
      </c>
      <c r="S2500" s="19">
        <f>H2500*I2500</f>
        <v/>
      </c>
      <c r="T2500" s="19">
        <f>H2500*J2500</f>
        <v/>
      </c>
      <c r="U2500">
        <f>IF(AND(K2500=0,G2500&lt;=Assumptions!$C$6),1,0)</f>
        <v/>
      </c>
      <c r="V2500">
        <f>IF(U2500=1,IF(M2500&gt;0,IF(P2500&lt;=G2500+Assumptions!$C$7,1,0),0),0)</f>
        <v/>
      </c>
      <c r="W2500">
        <f>IF(AND(U2500=1,M2500&gt;=H2500*(1-Assumptions!$C$8)),1,0)</f>
        <v/>
      </c>
      <c r="X2500">
        <f>IF(AND(U2500=1,N2500&gt;=H2500*(1-Assumptions!$C$8)),1,0)</f>
        <v/>
      </c>
      <c r="Y2500">
        <f>IF(ISNUMBER(Q2500),1,0)</f>
        <v/>
      </c>
      <c r="Z2500">
        <f>IF(AND(K2500=0,L2500=0,Y2500=0),1,0)</f>
        <v/>
      </c>
      <c r="AA2500">
        <f>IF(AND(Z2500=1,G2500&lt;Assumptions!$C$6),1,0)</f>
        <v/>
      </c>
      <c r="AB2500">
        <f>IF(U2500=0,"",IF(Y2500=1,MAX(0,Q2500-G2500),IF(L2500=1,MAX(0,R2500-G2500),MAX(0,Assumptions!$C$6-G2500))))</f>
        <v/>
      </c>
      <c r="AC2500">
        <f>IF(Y2500=1,Q2500-F2500,"")</f>
        <v/>
      </c>
      <c r="AD2500">
        <f>IF(Y2500=1,AC2500^2,"")</f>
        <v/>
      </c>
      <c r="AE2500" s="19">
        <f>IF(Z2500=1,(H2500-M2500)*I2500,0)</f>
        <v/>
      </c>
      <c r="AF2500">
        <f>IF(G2500&lt;EDATE(Assumptions!$C$6,-12)+1,"prior_12m","last_12m")</f>
        <v/>
      </c>
      <c r="AG2500" s="21">
        <f>DATE(YEAR(G2500),MONTH(G2500),1)</f>
        <v/>
      </c>
    </row>
    <row r="2501">
      <c r="A2501" t="inlineStr">
        <is>
          <t>SPO-01351-1</t>
        </is>
      </c>
      <c r="B2501" t="inlineStr">
        <is>
          <t>SPO-01351</t>
        </is>
      </c>
      <c r="C2501" t="inlineStr">
        <is>
          <t>SUP-08</t>
        </is>
      </c>
      <c r="D2501" t="inlineStr">
        <is>
          <t>PPE</t>
        </is>
      </c>
      <c r="E2501" t="inlineStr">
        <is>
          <t>PPE-04</t>
        </is>
      </c>
      <c r="F2501" s="17" t="n">
        <v>45944</v>
      </c>
      <c r="G2501" s="17" t="n">
        <v>45955</v>
      </c>
      <c r="H2501" s="18" t="n">
        <v>58</v>
      </c>
      <c r="I2501" s="19" t="n">
        <v>25.37</v>
      </c>
      <c r="J2501" s="19" t="n">
        <v>26</v>
      </c>
      <c r="K2501" s="20" t="n">
        <v>0</v>
      </c>
      <c r="L2501" s="20" t="n">
        <v>0</v>
      </c>
      <c r="M2501" s="18" t="n">
        <v>58</v>
      </c>
      <c r="N2501" s="18" t="n">
        <v>58</v>
      </c>
      <c r="O2501" s="18" t="n">
        <v>0</v>
      </c>
      <c r="P2501" s="17" t="n">
        <v>45955</v>
      </c>
      <c r="Q2501" s="17" t="n">
        <v>45955</v>
      </c>
      <c r="R2501" s="17" t="n">
        <v>45955</v>
      </c>
      <c r="S2501" s="19">
        <f>H2501*I2501</f>
        <v/>
      </c>
      <c r="T2501" s="19">
        <f>H2501*J2501</f>
        <v/>
      </c>
      <c r="U2501">
        <f>IF(AND(K2501=0,G2501&lt;=Assumptions!$C$6),1,0)</f>
        <v/>
      </c>
      <c r="V2501">
        <f>IF(U2501=1,IF(M2501&gt;0,IF(P2501&lt;=G2501+Assumptions!$C$7,1,0),0),0)</f>
        <v/>
      </c>
      <c r="W2501">
        <f>IF(AND(U2501=1,M2501&gt;=H2501*(1-Assumptions!$C$8)),1,0)</f>
        <v/>
      </c>
      <c r="X2501">
        <f>IF(AND(U2501=1,N2501&gt;=H2501*(1-Assumptions!$C$8)),1,0)</f>
        <v/>
      </c>
      <c r="Y2501">
        <f>IF(ISNUMBER(Q2501),1,0)</f>
        <v/>
      </c>
      <c r="Z2501">
        <f>IF(AND(K2501=0,L2501=0,Y2501=0),1,0)</f>
        <v/>
      </c>
      <c r="AA2501">
        <f>IF(AND(Z2501=1,G2501&lt;Assumptions!$C$6),1,0)</f>
        <v/>
      </c>
      <c r="AB2501">
        <f>IF(U2501=0,"",IF(Y2501=1,MAX(0,Q2501-G2501),IF(L2501=1,MAX(0,R2501-G2501),MAX(0,Assumptions!$C$6-G2501))))</f>
        <v/>
      </c>
      <c r="AC2501">
        <f>IF(Y2501=1,Q2501-F2501,"")</f>
        <v/>
      </c>
      <c r="AD2501">
        <f>IF(Y2501=1,AC2501^2,"")</f>
        <v/>
      </c>
      <c r="AE2501" s="19">
        <f>IF(Z2501=1,(H2501-M2501)*I2501,0)</f>
        <v/>
      </c>
      <c r="AF2501">
        <f>IF(G2501&lt;EDATE(Assumptions!$C$6,-12)+1,"prior_12m","last_12m")</f>
        <v/>
      </c>
      <c r="AG2501" s="21">
        <f>DATE(YEAR(G2501),MONTH(G2501),1)</f>
        <v/>
      </c>
    </row>
    <row r="2502">
      <c r="A2502" t="inlineStr">
        <is>
          <t>SPO-01351-2</t>
        </is>
      </c>
      <c r="B2502" t="inlineStr">
        <is>
          <t>SPO-01351</t>
        </is>
      </c>
      <c r="C2502" t="inlineStr">
        <is>
          <t>SUP-08</t>
        </is>
      </c>
      <c r="D2502" t="inlineStr">
        <is>
          <t>PPE</t>
        </is>
      </c>
      <c r="E2502" t="inlineStr">
        <is>
          <t>PPE-05</t>
        </is>
      </c>
      <c r="F2502" s="17" t="n">
        <v>45944</v>
      </c>
      <c r="G2502" s="17" t="n">
        <v>45955</v>
      </c>
      <c r="H2502" s="18" t="n">
        <v>176</v>
      </c>
      <c r="I2502" s="19" t="n">
        <v>11.21</v>
      </c>
      <c r="J2502" s="19" t="n">
        <v>11</v>
      </c>
      <c r="K2502" s="20" t="n">
        <v>0</v>
      </c>
      <c r="L2502" s="20" t="n">
        <v>0</v>
      </c>
      <c r="M2502" s="18" t="n">
        <v>176</v>
      </c>
      <c r="N2502" s="18" t="n">
        <v>176</v>
      </c>
      <c r="O2502" s="18" t="n">
        <v>0</v>
      </c>
      <c r="P2502" s="17" t="n">
        <v>45951</v>
      </c>
      <c r="Q2502" s="17" t="n">
        <v>45951</v>
      </c>
      <c r="R2502" s="17" t="n">
        <v>45951</v>
      </c>
      <c r="S2502" s="19">
        <f>H2502*I2502</f>
        <v/>
      </c>
      <c r="T2502" s="19">
        <f>H2502*J2502</f>
        <v/>
      </c>
      <c r="U2502">
        <f>IF(AND(K2502=0,G2502&lt;=Assumptions!$C$6),1,0)</f>
        <v/>
      </c>
      <c r="V2502">
        <f>IF(U2502=1,IF(M2502&gt;0,IF(P2502&lt;=G2502+Assumptions!$C$7,1,0),0),0)</f>
        <v/>
      </c>
      <c r="W2502">
        <f>IF(AND(U2502=1,M2502&gt;=H2502*(1-Assumptions!$C$8)),1,0)</f>
        <v/>
      </c>
      <c r="X2502">
        <f>IF(AND(U2502=1,N2502&gt;=H2502*(1-Assumptions!$C$8)),1,0)</f>
        <v/>
      </c>
      <c r="Y2502">
        <f>IF(ISNUMBER(Q2502),1,0)</f>
        <v/>
      </c>
      <c r="Z2502">
        <f>IF(AND(K2502=0,L2502=0,Y2502=0),1,0)</f>
        <v/>
      </c>
      <c r="AA2502">
        <f>IF(AND(Z2502=1,G2502&lt;Assumptions!$C$6),1,0)</f>
        <v/>
      </c>
      <c r="AB2502">
        <f>IF(U2502=0,"",IF(Y2502=1,MAX(0,Q2502-G2502),IF(L2502=1,MAX(0,R2502-G2502),MAX(0,Assumptions!$C$6-G2502))))</f>
        <v/>
      </c>
      <c r="AC2502">
        <f>IF(Y2502=1,Q2502-F2502,"")</f>
        <v/>
      </c>
      <c r="AD2502">
        <f>IF(Y2502=1,AC2502^2,"")</f>
        <v/>
      </c>
      <c r="AE2502" s="19">
        <f>IF(Z2502=1,(H2502-M2502)*I2502,0)</f>
        <v/>
      </c>
      <c r="AF2502">
        <f>IF(G2502&lt;EDATE(Assumptions!$C$6,-12)+1,"prior_12m","last_12m")</f>
        <v/>
      </c>
      <c r="AG2502" s="21">
        <f>DATE(YEAR(G2502),MONTH(G2502),1)</f>
        <v/>
      </c>
    </row>
    <row r="2503">
      <c r="A2503" t="inlineStr">
        <is>
          <t>SPO-01351-3</t>
        </is>
      </c>
      <c r="B2503" t="inlineStr">
        <is>
          <t>SPO-01351</t>
        </is>
      </c>
      <c r="C2503" t="inlineStr">
        <is>
          <t>SUP-08</t>
        </is>
      </c>
      <c r="D2503" t="inlineStr">
        <is>
          <t>PPE</t>
        </is>
      </c>
      <c r="E2503" t="inlineStr">
        <is>
          <t>PPE-07</t>
        </is>
      </c>
      <c r="F2503" s="17" t="n">
        <v>45944</v>
      </c>
      <c r="G2503" s="17" t="n">
        <v>45955</v>
      </c>
      <c r="H2503" s="18" t="n">
        <v>51</v>
      </c>
      <c r="I2503" s="19" t="n">
        <v>30.55</v>
      </c>
      <c r="J2503" s="19" t="n">
        <v>31</v>
      </c>
      <c r="K2503" s="20" t="n">
        <v>0</v>
      </c>
      <c r="L2503" s="20" t="n">
        <v>0</v>
      </c>
      <c r="M2503" s="18" t="n">
        <v>51</v>
      </c>
      <c r="N2503" s="18" t="n">
        <v>51</v>
      </c>
      <c r="O2503" s="18" t="n">
        <v>0</v>
      </c>
      <c r="P2503" s="17" t="n">
        <v>45955</v>
      </c>
      <c r="Q2503" s="17" t="n">
        <v>45955</v>
      </c>
      <c r="R2503" s="17" t="n">
        <v>45955</v>
      </c>
      <c r="S2503" s="19">
        <f>H2503*I2503</f>
        <v/>
      </c>
      <c r="T2503" s="19">
        <f>H2503*J2503</f>
        <v/>
      </c>
      <c r="U2503">
        <f>IF(AND(K2503=0,G2503&lt;=Assumptions!$C$6),1,0)</f>
        <v/>
      </c>
      <c r="V2503">
        <f>IF(U2503=1,IF(M2503&gt;0,IF(P2503&lt;=G2503+Assumptions!$C$7,1,0),0),0)</f>
        <v/>
      </c>
      <c r="W2503">
        <f>IF(AND(U2503=1,M2503&gt;=H2503*(1-Assumptions!$C$8)),1,0)</f>
        <v/>
      </c>
      <c r="X2503">
        <f>IF(AND(U2503=1,N2503&gt;=H2503*(1-Assumptions!$C$8)),1,0)</f>
        <v/>
      </c>
      <c r="Y2503">
        <f>IF(ISNUMBER(Q2503),1,0)</f>
        <v/>
      </c>
      <c r="Z2503">
        <f>IF(AND(K2503=0,L2503=0,Y2503=0),1,0)</f>
        <v/>
      </c>
      <c r="AA2503">
        <f>IF(AND(Z2503=1,G2503&lt;Assumptions!$C$6),1,0)</f>
        <v/>
      </c>
      <c r="AB2503">
        <f>IF(U2503=0,"",IF(Y2503=1,MAX(0,Q2503-G2503),IF(L2503=1,MAX(0,R2503-G2503),MAX(0,Assumptions!$C$6-G2503))))</f>
        <v/>
      </c>
      <c r="AC2503">
        <f>IF(Y2503=1,Q2503-F2503,"")</f>
        <v/>
      </c>
      <c r="AD2503">
        <f>IF(Y2503=1,AC2503^2,"")</f>
        <v/>
      </c>
      <c r="AE2503" s="19">
        <f>IF(Z2503=1,(H2503-M2503)*I2503,0)</f>
        <v/>
      </c>
      <c r="AF2503">
        <f>IF(G2503&lt;EDATE(Assumptions!$C$6,-12)+1,"prior_12m","last_12m")</f>
        <v/>
      </c>
      <c r="AG2503" s="21">
        <f>DATE(YEAR(G2503),MONTH(G2503),1)</f>
        <v/>
      </c>
    </row>
    <row r="2504">
      <c r="A2504" t="inlineStr">
        <is>
          <t>SPO-01352-1</t>
        </is>
      </c>
      <c r="B2504" t="inlineStr">
        <is>
          <t>SPO-01352</t>
        </is>
      </c>
      <c r="C2504" t="inlineStr">
        <is>
          <t>SUP-01</t>
        </is>
      </c>
      <c r="D2504" t="inlineStr">
        <is>
          <t>ELEC</t>
        </is>
      </c>
      <c r="E2504" t="inlineStr">
        <is>
          <t>ELEC-01</t>
        </is>
      </c>
      <c r="F2504" s="17" t="n">
        <v>45944</v>
      </c>
      <c r="G2504" s="17" t="n">
        <v>45962</v>
      </c>
      <c r="H2504" s="18" t="n">
        <v>82</v>
      </c>
      <c r="I2504" s="19" t="n">
        <v>37.94</v>
      </c>
      <c r="J2504" s="19" t="n">
        <v>38</v>
      </c>
      <c r="K2504" s="20" t="n">
        <v>0</v>
      </c>
      <c r="L2504" s="20" t="n">
        <v>0</v>
      </c>
      <c r="M2504" s="18" t="n">
        <v>82</v>
      </c>
      <c r="N2504" s="18" t="n">
        <v>0</v>
      </c>
      <c r="O2504" s="18" t="n">
        <v>0</v>
      </c>
      <c r="P2504" s="17" t="n">
        <v>45968</v>
      </c>
      <c r="Q2504" s="17" t="n">
        <v>45968</v>
      </c>
      <c r="R2504" s="17" t="n">
        <v>45968</v>
      </c>
      <c r="S2504" s="19">
        <f>H2504*I2504</f>
        <v/>
      </c>
      <c r="T2504" s="19">
        <f>H2504*J2504</f>
        <v/>
      </c>
      <c r="U2504">
        <f>IF(AND(K2504=0,G2504&lt;=Assumptions!$C$6),1,0)</f>
        <v/>
      </c>
      <c r="V2504">
        <f>IF(U2504=1,IF(M2504&gt;0,IF(P2504&lt;=G2504+Assumptions!$C$7,1,0),0),0)</f>
        <v/>
      </c>
      <c r="W2504">
        <f>IF(AND(U2504=1,M2504&gt;=H2504*(1-Assumptions!$C$8)),1,0)</f>
        <v/>
      </c>
      <c r="X2504">
        <f>IF(AND(U2504=1,N2504&gt;=H2504*(1-Assumptions!$C$8)),1,0)</f>
        <v/>
      </c>
      <c r="Y2504">
        <f>IF(ISNUMBER(Q2504),1,0)</f>
        <v/>
      </c>
      <c r="Z2504">
        <f>IF(AND(K2504=0,L2504=0,Y2504=0),1,0)</f>
        <v/>
      </c>
      <c r="AA2504">
        <f>IF(AND(Z2504=1,G2504&lt;Assumptions!$C$6),1,0)</f>
        <v/>
      </c>
      <c r="AB2504">
        <f>IF(U2504=0,"",IF(Y2504=1,MAX(0,Q2504-G2504),IF(L2504=1,MAX(0,R2504-G2504),MAX(0,Assumptions!$C$6-G2504))))</f>
        <v/>
      </c>
      <c r="AC2504">
        <f>IF(Y2504=1,Q2504-F2504,"")</f>
        <v/>
      </c>
      <c r="AD2504">
        <f>IF(Y2504=1,AC2504^2,"")</f>
        <v/>
      </c>
      <c r="AE2504" s="19">
        <f>IF(Z2504=1,(H2504-M2504)*I2504,0)</f>
        <v/>
      </c>
      <c r="AF2504">
        <f>IF(G2504&lt;EDATE(Assumptions!$C$6,-12)+1,"prior_12m","last_12m")</f>
        <v/>
      </c>
      <c r="AG2504" s="21">
        <f>DATE(YEAR(G2504),MONTH(G2504),1)</f>
        <v/>
      </c>
    </row>
    <row r="2505">
      <c r="A2505" t="inlineStr">
        <is>
          <t>SPO-01353-1</t>
        </is>
      </c>
      <c r="B2505" t="inlineStr">
        <is>
          <t>SPO-01353</t>
        </is>
      </c>
      <c r="C2505" t="inlineStr">
        <is>
          <t>SUP-06</t>
        </is>
      </c>
      <c r="D2505" t="inlineStr">
        <is>
          <t>MRO</t>
        </is>
      </c>
      <c r="E2505" t="inlineStr">
        <is>
          <t>MRO-06</t>
        </is>
      </c>
      <c r="F2505" s="17" t="n">
        <v>45945</v>
      </c>
      <c r="G2505" s="17" t="n">
        <v>45953</v>
      </c>
      <c r="H2505" s="18" t="n">
        <v>156</v>
      </c>
      <c r="I2505" s="19" t="n">
        <v>6.16</v>
      </c>
      <c r="J2505" s="19" t="n">
        <v>6.1</v>
      </c>
      <c r="K2505" s="20" t="n">
        <v>0</v>
      </c>
      <c r="L2505" s="20" t="n">
        <v>0</v>
      </c>
      <c r="M2505" s="18" t="n">
        <v>156</v>
      </c>
      <c r="N2505" s="18" t="n">
        <v>156</v>
      </c>
      <c r="O2505" s="18" t="n">
        <v>0</v>
      </c>
      <c r="P2505" s="17" t="n">
        <v>45951</v>
      </c>
      <c r="Q2505" s="17" t="n">
        <v>45951</v>
      </c>
      <c r="R2505" s="17" t="n">
        <v>45951</v>
      </c>
      <c r="S2505" s="19">
        <f>H2505*I2505</f>
        <v/>
      </c>
      <c r="T2505" s="19">
        <f>H2505*J2505</f>
        <v/>
      </c>
      <c r="U2505">
        <f>IF(AND(K2505=0,G2505&lt;=Assumptions!$C$6),1,0)</f>
        <v/>
      </c>
      <c r="V2505">
        <f>IF(U2505=1,IF(M2505&gt;0,IF(P2505&lt;=G2505+Assumptions!$C$7,1,0),0),0)</f>
        <v/>
      </c>
      <c r="W2505">
        <f>IF(AND(U2505=1,M2505&gt;=H2505*(1-Assumptions!$C$8)),1,0)</f>
        <v/>
      </c>
      <c r="X2505">
        <f>IF(AND(U2505=1,N2505&gt;=H2505*(1-Assumptions!$C$8)),1,0)</f>
        <v/>
      </c>
      <c r="Y2505">
        <f>IF(ISNUMBER(Q2505),1,0)</f>
        <v/>
      </c>
      <c r="Z2505">
        <f>IF(AND(K2505=0,L2505=0,Y2505=0),1,0)</f>
        <v/>
      </c>
      <c r="AA2505">
        <f>IF(AND(Z2505=1,G2505&lt;Assumptions!$C$6),1,0)</f>
        <v/>
      </c>
      <c r="AB2505">
        <f>IF(U2505=0,"",IF(Y2505=1,MAX(0,Q2505-G2505),IF(L2505=1,MAX(0,R2505-G2505),MAX(0,Assumptions!$C$6-G2505))))</f>
        <v/>
      </c>
      <c r="AC2505">
        <f>IF(Y2505=1,Q2505-F2505,"")</f>
        <v/>
      </c>
      <c r="AD2505">
        <f>IF(Y2505=1,AC2505^2,"")</f>
        <v/>
      </c>
      <c r="AE2505" s="19">
        <f>IF(Z2505=1,(H2505-M2505)*I2505,0)</f>
        <v/>
      </c>
      <c r="AF2505">
        <f>IF(G2505&lt;EDATE(Assumptions!$C$6,-12)+1,"prior_12m","last_12m")</f>
        <v/>
      </c>
      <c r="AG2505" s="21">
        <f>DATE(YEAR(G2505),MONTH(G2505),1)</f>
        <v/>
      </c>
    </row>
    <row r="2506">
      <c r="A2506" t="inlineStr">
        <is>
          <t>SPO-01353-2</t>
        </is>
      </c>
      <c r="B2506" t="inlineStr">
        <is>
          <t>SPO-01353</t>
        </is>
      </c>
      <c r="C2506" t="inlineStr">
        <is>
          <t>SUP-06</t>
        </is>
      </c>
      <c r="D2506" t="inlineStr">
        <is>
          <t>MRO</t>
        </is>
      </c>
      <c r="E2506" t="inlineStr">
        <is>
          <t>MRO-02</t>
        </is>
      </c>
      <c r="F2506" s="17" t="n">
        <v>45945</v>
      </c>
      <c r="G2506" s="17" t="n">
        <v>45953</v>
      </c>
      <c r="H2506" s="18" t="n">
        <v>27</v>
      </c>
      <c r="I2506" s="19" t="n">
        <v>41.38</v>
      </c>
      <c r="J2506" s="19" t="n">
        <v>41</v>
      </c>
      <c r="K2506" s="20" t="n">
        <v>0</v>
      </c>
      <c r="L2506" s="20" t="n">
        <v>0</v>
      </c>
      <c r="M2506" s="18" t="n">
        <v>27</v>
      </c>
      <c r="N2506" s="18" t="n">
        <v>27</v>
      </c>
      <c r="O2506" s="18" t="n">
        <v>0</v>
      </c>
      <c r="P2506" s="17" t="n">
        <v>45952</v>
      </c>
      <c r="Q2506" s="17" t="n">
        <v>45952</v>
      </c>
      <c r="R2506" s="17" t="n">
        <v>45952</v>
      </c>
      <c r="S2506" s="19">
        <f>H2506*I2506</f>
        <v/>
      </c>
      <c r="T2506" s="19">
        <f>H2506*J2506</f>
        <v/>
      </c>
      <c r="U2506">
        <f>IF(AND(K2506=0,G2506&lt;=Assumptions!$C$6),1,0)</f>
        <v/>
      </c>
      <c r="V2506">
        <f>IF(U2506=1,IF(M2506&gt;0,IF(P2506&lt;=G2506+Assumptions!$C$7,1,0),0),0)</f>
        <v/>
      </c>
      <c r="W2506">
        <f>IF(AND(U2506=1,M2506&gt;=H2506*(1-Assumptions!$C$8)),1,0)</f>
        <v/>
      </c>
      <c r="X2506">
        <f>IF(AND(U2506=1,N2506&gt;=H2506*(1-Assumptions!$C$8)),1,0)</f>
        <v/>
      </c>
      <c r="Y2506">
        <f>IF(ISNUMBER(Q2506),1,0)</f>
        <v/>
      </c>
      <c r="Z2506">
        <f>IF(AND(K2506=0,L2506=0,Y2506=0),1,0)</f>
        <v/>
      </c>
      <c r="AA2506">
        <f>IF(AND(Z2506=1,G2506&lt;Assumptions!$C$6),1,0)</f>
        <v/>
      </c>
      <c r="AB2506">
        <f>IF(U2506=0,"",IF(Y2506=1,MAX(0,Q2506-G2506),IF(L2506=1,MAX(0,R2506-G2506),MAX(0,Assumptions!$C$6-G2506))))</f>
        <v/>
      </c>
      <c r="AC2506">
        <f>IF(Y2506=1,Q2506-F2506,"")</f>
        <v/>
      </c>
      <c r="AD2506">
        <f>IF(Y2506=1,AC2506^2,"")</f>
        <v/>
      </c>
      <c r="AE2506" s="19">
        <f>IF(Z2506=1,(H2506-M2506)*I2506,0)</f>
        <v/>
      </c>
      <c r="AF2506">
        <f>IF(G2506&lt;EDATE(Assumptions!$C$6,-12)+1,"prior_12m","last_12m")</f>
        <v/>
      </c>
      <c r="AG2506" s="21">
        <f>DATE(YEAR(G2506),MONTH(G2506),1)</f>
        <v/>
      </c>
    </row>
    <row r="2507">
      <c r="A2507" t="inlineStr">
        <is>
          <t>SPO-01354-1</t>
        </is>
      </c>
      <c r="B2507" t="inlineStr">
        <is>
          <t>SPO-01354</t>
        </is>
      </c>
      <c r="C2507" t="inlineStr">
        <is>
          <t>SUP-11</t>
        </is>
      </c>
      <c r="D2507" t="inlineStr">
        <is>
          <t>PPE</t>
        </is>
      </c>
      <c r="E2507" t="inlineStr">
        <is>
          <t>PPE-07</t>
        </is>
      </c>
      <c r="F2507" s="17" t="n">
        <v>45945</v>
      </c>
      <c r="G2507" s="17" t="n">
        <v>45957</v>
      </c>
      <c r="H2507" s="18" t="n">
        <v>62</v>
      </c>
      <c r="I2507" s="19" t="n">
        <v>32.22</v>
      </c>
      <c r="J2507" s="19" t="n">
        <v>31</v>
      </c>
      <c r="K2507" s="20" t="n">
        <v>0</v>
      </c>
      <c r="L2507" s="20" t="n">
        <v>0</v>
      </c>
      <c r="M2507" s="18" t="n">
        <v>62</v>
      </c>
      <c r="N2507" s="18" t="n">
        <v>62</v>
      </c>
      <c r="O2507" s="18" t="n">
        <v>0</v>
      </c>
      <c r="P2507" s="17" t="n">
        <v>45954</v>
      </c>
      <c r="Q2507" s="17" t="n">
        <v>45954</v>
      </c>
      <c r="R2507" s="17" t="n">
        <v>45954</v>
      </c>
      <c r="S2507" s="19">
        <f>H2507*I2507</f>
        <v/>
      </c>
      <c r="T2507" s="19">
        <f>H2507*J2507</f>
        <v/>
      </c>
      <c r="U2507">
        <f>IF(AND(K2507=0,G2507&lt;=Assumptions!$C$6),1,0)</f>
        <v/>
      </c>
      <c r="V2507">
        <f>IF(U2507=1,IF(M2507&gt;0,IF(P2507&lt;=G2507+Assumptions!$C$7,1,0),0),0)</f>
        <v/>
      </c>
      <c r="W2507">
        <f>IF(AND(U2507=1,M2507&gt;=H2507*(1-Assumptions!$C$8)),1,0)</f>
        <v/>
      </c>
      <c r="X2507">
        <f>IF(AND(U2507=1,N2507&gt;=H2507*(1-Assumptions!$C$8)),1,0)</f>
        <v/>
      </c>
      <c r="Y2507">
        <f>IF(ISNUMBER(Q2507),1,0)</f>
        <v/>
      </c>
      <c r="Z2507">
        <f>IF(AND(K2507=0,L2507=0,Y2507=0),1,0)</f>
        <v/>
      </c>
      <c r="AA2507">
        <f>IF(AND(Z2507=1,G2507&lt;Assumptions!$C$6),1,0)</f>
        <v/>
      </c>
      <c r="AB2507">
        <f>IF(U2507=0,"",IF(Y2507=1,MAX(0,Q2507-G2507),IF(L2507=1,MAX(0,R2507-G2507),MAX(0,Assumptions!$C$6-G2507))))</f>
        <v/>
      </c>
      <c r="AC2507">
        <f>IF(Y2507=1,Q2507-F2507,"")</f>
        <v/>
      </c>
      <c r="AD2507">
        <f>IF(Y2507=1,AC2507^2,"")</f>
        <v/>
      </c>
      <c r="AE2507" s="19">
        <f>IF(Z2507=1,(H2507-M2507)*I2507,0)</f>
        <v/>
      </c>
      <c r="AF2507">
        <f>IF(G2507&lt;EDATE(Assumptions!$C$6,-12)+1,"prior_12m","last_12m")</f>
        <v/>
      </c>
      <c r="AG2507" s="21">
        <f>DATE(YEAR(G2507),MONTH(G2507),1)</f>
        <v/>
      </c>
    </row>
    <row r="2508">
      <c r="A2508" t="inlineStr">
        <is>
          <t>SPO-01354-2</t>
        </is>
      </c>
      <c r="B2508" t="inlineStr">
        <is>
          <t>SPO-01354</t>
        </is>
      </c>
      <c r="C2508" t="inlineStr">
        <is>
          <t>SUP-11</t>
        </is>
      </c>
      <c r="D2508" t="inlineStr">
        <is>
          <t>PPE</t>
        </is>
      </c>
      <c r="E2508" t="inlineStr">
        <is>
          <t>PPE-03</t>
        </is>
      </c>
      <c r="F2508" s="17" t="n">
        <v>45945</v>
      </c>
      <c r="G2508" s="17" t="n">
        <v>45957</v>
      </c>
      <c r="H2508" s="18" t="n">
        <v>39</v>
      </c>
      <c r="I2508" s="19" t="n">
        <v>21.87</v>
      </c>
      <c r="J2508" s="19" t="n">
        <v>21</v>
      </c>
      <c r="K2508" s="20" t="n">
        <v>0</v>
      </c>
      <c r="L2508" s="20" t="n">
        <v>0</v>
      </c>
      <c r="M2508" s="18" t="n">
        <v>39</v>
      </c>
      <c r="N2508" s="18" t="n">
        <v>39</v>
      </c>
      <c r="O2508" s="18" t="n">
        <v>0</v>
      </c>
      <c r="P2508" s="17" t="n">
        <v>45956</v>
      </c>
      <c r="Q2508" s="17" t="n">
        <v>45956</v>
      </c>
      <c r="R2508" s="17" t="n">
        <v>45956</v>
      </c>
      <c r="S2508" s="19">
        <f>H2508*I2508</f>
        <v/>
      </c>
      <c r="T2508" s="19">
        <f>H2508*J2508</f>
        <v/>
      </c>
      <c r="U2508">
        <f>IF(AND(K2508=0,G2508&lt;=Assumptions!$C$6),1,0)</f>
        <v/>
      </c>
      <c r="V2508">
        <f>IF(U2508=1,IF(M2508&gt;0,IF(P2508&lt;=G2508+Assumptions!$C$7,1,0),0),0)</f>
        <v/>
      </c>
      <c r="W2508">
        <f>IF(AND(U2508=1,M2508&gt;=H2508*(1-Assumptions!$C$8)),1,0)</f>
        <v/>
      </c>
      <c r="X2508">
        <f>IF(AND(U2508=1,N2508&gt;=H2508*(1-Assumptions!$C$8)),1,0)</f>
        <v/>
      </c>
      <c r="Y2508">
        <f>IF(ISNUMBER(Q2508),1,0)</f>
        <v/>
      </c>
      <c r="Z2508">
        <f>IF(AND(K2508=0,L2508=0,Y2508=0),1,0)</f>
        <v/>
      </c>
      <c r="AA2508">
        <f>IF(AND(Z2508=1,G2508&lt;Assumptions!$C$6),1,0)</f>
        <v/>
      </c>
      <c r="AB2508">
        <f>IF(U2508=0,"",IF(Y2508=1,MAX(0,Q2508-G2508),IF(L2508=1,MAX(0,R2508-G2508),MAX(0,Assumptions!$C$6-G2508))))</f>
        <v/>
      </c>
      <c r="AC2508">
        <f>IF(Y2508=1,Q2508-F2508,"")</f>
        <v/>
      </c>
      <c r="AD2508">
        <f>IF(Y2508=1,AC2508^2,"")</f>
        <v/>
      </c>
      <c r="AE2508" s="19">
        <f>IF(Z2508=1,(H2508-M2508)*I2508,0)</f>
        <v/>
      </c>
      <c r="AF2508">
        <f>IF(G2508&lt;EDATE(Assumptions!$C$6,-12)+1,"prior_12m","last_12m")</f>
        <v/>
      </c>
      <c r="AG2508" s="21">
        <f>DATE(YEAR(G2508),MONTH(G2508),1)</f>
        <v/>
      </c>
    </row>
    <row r="2509">
      <c r="A2509" t="inlineStr">
        <is>
          <t>SPO-01354-3</t>
        </is>
      </c>
      <c r="B2509" t="inlineStr">
        <is>
          <t>SPO-01354</t>
        </is>
      </c>
      <c r="C2509" t="inlineStr">
        <is>
          <t>SUP-11</t>
        </is>
      </c>
      <c r="D2509" t="inlineStr">
        <is>
          <t>PPE</t>
        </is>
      </c>
      <c r="E2509" t="inlineStr">
        <is>
          <t>PPE-04</t>
        </is>
      </c>
      <c r="F2509" s="17" t="n">
        <v>45945</v>
      </c>
      <c r="G2509" s="17" t="n">
        <v>45957</v>
      </c>
      <c r="H2509" s="18" t="n">
        <v>101</v>
      </c>
      <c r="I2509" s="19" t="n">
        <v>25.95</v>
      </c>
      <c r="J2509" s="19" t="n">
        <v>26</v>
      </c>
      <c r="K2509" s="20" t="n">
        <v>0</v>
      </c>
      <c r="L2509" s="20" t="n">
        <v>0</v>
      </c>
      <c r="M2509" s="18" t="n">
        <v>101</v>
      </c>
      <c r="N2509" s="18" t="n">
        <v>101</v>
      </c>
      <c r="O2509" s="18" t="n">
        <v>0</v>
      </c>
      <c r="P2509" s="17" t="n">
        <v>45954</v>
      </c>
      <c r="Q2509" s="17" t="n">
        <v>45954</v>
      </c>
      <c r="R2509" s="17" t="n">
        <v>45954</v>
      </c>
      <c r="S2509" s="19">
        <f>H2509*I2509</f>
        <v/>
      </c>
      <c r="T2509" s="19">
        <f>H2509*J2509</f>
        <v/>
      </c>
      <c r="U2509">
        <f>IF(AND(K2509=0,G2509&lt;=Assumptions!$C$6),1,0)</f>
        <v/>
      </c>
      <c r="V2509">
        <f>IF(U2509=1,IF(M2509&gt;0,IF(P2509&lt;=G2509+Assumptions!$C$7,1,0),0),0)</f>
        <v/>
      </c>
      <c r="W2509">
        <f>IF(AND(U2509=1,M2509&gt;=H2509*(1-Assumptions!$C$8)),1,0)</f>
        <v/>
      </c>
      <c r="X2509">
        <f>IF(AND(U2509=1,N2509&gt;=H2509*(1-Assumptions!$C$8)),1,0)</f>
        <v/>
      </c>
      <c r="Y2509">
        <f>IF(ISNUMBER(Q2509),1,0)</f>
        <v/>
      </c>
      <c r="Z2509">
        <f>IF(AND(K2509=0,L2509=0,Y2509=0),1,0)</f>
        <v/>
      </c>
      <c r="AA2509">
        <f>IF(AND(Z2509=1,G2509&lt;Assumptions!$C$6),1,0)</f>
        <v/>
      </c>
      <c r="AB2509">
        <f>IF(U2509=0,"",IF(Y2509=1,MAX(0,Q2509-G2509),IF(L2509=1,MAX(0,R2509-G2509),MAX(0,Assumptions!$C$6-G2509))))</f>
        <v/>
      </c>
      <c r="AC2509">
        <f>IF(Y2509=1,Q2509-F2509,"")</f>
        <v/>
      </c>
      <c r="AD2509">
        <f>IF(Y2509=1,AC2509^2,"")</f>
        <v/>
      </c>
      <c r="AE2509" s="19">
        <f>IF(Z2509=1,(H2509-M2509)*I2509,0)</f>
        <v/>
      </c>
      <c r="AF2509">
        <f>IF(G2509&lt;EDATE(Assumptions!$C$6,-12)+1,"prior_12m","last_12m")</f>
        <v/>
      </c>
      <c r="AG2509" s="21">
        <f>DATE(YEAR(G2509),MONTH(G2509),1)</f>
        <v/>
      </c>
    </row>
    <row r="2510">
      <c r="A2510" t="inlineStr">
        <is>
          <t>SPO-01354-4</t>
        </is>
      </c>
      <c r="B2510" t="inlineStr">
        <is>
          <t>SPO-01354</t>
        </is>
      </c>
      <c r="C2510" t="inlineStr">
        <is>
          <t>SUP-11</t>
        </is>
      </c>
      <c r="D2510" t="inlineStr">
        <is>
          <t>PPE</t>
        </is>
      </c>
      <c r="E2510" t="inlineStr">
        <is>
          <t>PPE-01</t>
        </is>
      </c>
      <c r="F2510" s="17" t="n">
        <v>45945</v>
      </c>
      <c r="G2510" s="17" t="n">
        <v>45957</v>
      </c>
      <c r="H2510" s="18" t="n">
        <v>369</v>
      </c>
      <c r="I2510" s="19" t="n">
        <v>4.65</v>
      </c>
      <c r="J2510" s="19" t="n">
        <v>4.8</v>
      </c>
      <c r="K2510" s="20" t="n">
        <v>0</v>
      </c>
      <c r="L2510" s="20" t="n">
        <v>0</v>
      </c>
      <c r="M2510" s="18" t="n">
        <v>369</v>
      </c>
      <c r="N2510" s="18" t="n">
        <v>369</v>
      </c>
      <c r="O2510" s="18" t="n">
        <v>0</v>
      </c>
      <c r="P2510" s="17" t="n">
        <v>45953</v>
      </c>
      <c r="Q2510" s="17" t="n">
        <v>45953</v>
      </c>
      <c r="R2510" s="17" t="n">
        <v>45953</v>
      </c>
      <c r="S2510" s="19">
        <f>H2510*I2510</f>
        <v/>
      </c>
      <c r="T2510" s="19">
        <f>H2510*J2510</f>
        <v/>
      </c>
      <c r="U2510">
        <f>IF(AND(K2510=0,G2510&lt;=Assumptions!$C$6),1,0)</f>
        <v/>
      </c>
      <c r="V2510">
        <f>IF(U2510=1,IF(M2510&gt;0,IF(P2510&lt;=G2510+Assumptions!$C$7,1,0),0),0)</f>
        <v/>
      </c>
      <c r="W2510">
        <f>IF(AND(U2510=1,M2510&gt;=H2510*(1-Assumptions!$C$8)),1,0)</f>
        <v/>
      </c>
      <c r="X2510">
        <f>IF(AND(U2510=1,N2510&gt;=H2510*(1-Assumptions!$C$8)),1,0)</f>
        <v/>
      </c>
      <c r="Y2510">
        <f>IF(ISNUMBER(Q2510),1,0)</f>
        <v/>
      </c>
      <c r="Z2510">
        <f>IF(AND(K2510=0,L2510=0,Y2510=0),1,0)</f>
        <v/>
      </c>
      <c r="AA2510">
        <f>IF(AND(Z2510=1,G2510&lt;Assumptions!$C$6),1,0)</f>
        <v/>
      </c>
      <c r="AB2510">
        <f>IF(U2510=0,"",IF(Y2510=1,MAX(0,Q2510-G2510),IF(L2510=1,MAX(0,R2510-G2510),MAX(0,Assumptions!$C$6-G2510))))</f>
        <v/>
      </c>
      <c r="AC2510">
        <f>IF(Y2510=1,Q2510-F2510,"")</f>
        <v/>
      </c>
      <c r="AD2510">
        <f>IF(Y2510=1,AC2510^2,"")</f>
        <v/>
      </c>
      <c r="AE2510" s="19">
        <f>IF(Z2510=1,(H2510-M2510)*I2510,0)</f>
        <v/>
      </c>
      <c r="AF2510">
        <f>IF(G2510&lt;EDATE(Assumptions!$C$6,-12)+1,"prior_12m","last_12m")</f>
        <v/>
      </c>
      <c r="AG2510" s="21">
        <f>DATE(YEAR(G2510),MONTH(G2510),1)</f>
        <v/>
      </c>
    </row>
    <row r="2511">
      <c r="A2511" t="inlineStr">
        <is>
          <t>SPO-01355-1</t>
        </is>
      </c>
      <c r="B2511" t="inlineStr">
        <is>
          <t>SPO-01355</t>
        </is>
      </c>
      <c r="C2511" t="inlineStr">
        <is>
          <t>SUP-02</t>
        </is>
      </c>
      <c r="D2511" t="inlineStr">
        <is>
          <t>ELEC</t>
        </is>
      </c>
      <c r="E2511" t="inlineStr">
        <is>
          <t>ELEC-06</t>
        </is>
      </c>
      <c r="F2511" s="17" t="n">
        <v>45945</v>
      </c>
      <c r="G2511" s="17" t="n">
        <v>45961</v>
      </c>
      <c r="H2511" s="18" t="n">
        <v>15</v>
      </c>
      <c r="I2511" s="19" t="n">
        <v>135.37</v>
      </c>
      <c r="J2511" s="19" t="n">
        <v>145</v>
      </c>
      <c r="K2511" s="20" t="n">
        <v>0</v>
      </c>
      <c r="L2511" s="20" t="n">
        <v>0</v>
      </c>
      <c r="M2511" s="18" t="n">
        <v>15</v>
      </c>
      <c r="N2511" s="18" t="n">
        <v>15</v>
      </c>
      <c r="O2511" s="18" t="n">
        <v>0</v>
      </c>
      <c r="P2511" s="17" t="n">
        <v>45959</v>
      </c>
      <c r="Q2511" s="17" t="n">
        <v>45959</v>
      </c>
      <c r="R2511" s="17" t="n">
        <v>45959</v>
      </c>
      <c r="S2511" s="19">
        <f>H2511*I2511</f>
        <v/>
      </c>
      <c r="T2511" s="19">
        <f>H2511*J2511</f>
        <v/>
      </c>
      <c r="U2511">
        <f>IF(AND(K2511=0,G2511&lt;=Assumptions!$C$6),1,0)</f>
        <v/>
      </c>
      <c r="V2511">
        <f>IF(U2511=1,IF(M2511&gt;0,IF(P2511&lt;=G2511+Assumptions!$C$7,1,0),0),0)</f>
        <v/>
      </c>
      <c r="W2511">
        <f>IF(AND(U2511=1,M2511&gt;=H2511*(1-Assumptions!$C$8)),1,0)</f>
        <v/>
      </c>
      <c r="X2511">
        <f>IF(AND(U2511=1,N2511&gt;=H2511*(1-Assumptions!$C$8)),1,0)</f>
        <v/>
      </c>
      <c r="Y2511">
        <f>IF(ISNUMBER(Q2511),1,0)</f>
        <v/>
      </c>
      <c r="Z2511">
        <f>IF(AND(K2511=0,L2511=0,Y2511=0),1,0)</f>
        <v/>
      </c>
      <c r="AA2511">
        <f>IF(AND(Z2511=1,G2511&lt;Assumptions!$C$6),1,0)</f>
        <v/>
      </c>
      <c r="AB2511">
        <f>IF(U2511=0,"",IF(Y2511=1,MAX(0,Q2511-G2511),IF(L2511=1,MAX(0,R2511-G2511),MAX(0,Assumptions!$C$6-G2511))))</f>
        <v/>
      </c>
      <c r="AC2511">
        <f>IF(Y2511=1,Q2511-F2511,"")</f>
        <v/>
      </c>
      <c r="AD2511">
        <f>IF(Y2511=1,AC2511^2,"")</f>
        <v/>
      </c>
      <c r="AE2511" s="19">
        <f>IF(Z2511=1,(H2511-M2511)*I2511,0)</f>
        <v/>
      </c>
      <c r="AF2511">
        <f>IF(G2511&lt;EDATE(Assumptions!$C$6,-12)+1,"prior_12m","last_12m")</f>
        <v/>
      </c>
      <c r="AG2511" s="21">
        <f>DATE(YEAR(G2511),MONTH(G2511),1)</f>
        <v/>
      </c>
    </row>
    <row r="2512">
      <c r="A2512" t="inlineStr">
        <is>
          <t>SPO-01356-1</t>
        </is>
      </c>
      <c r="B2512" t="inlineStr">
        <is>
          <t>SPO-01356</t>
        </is>
      </c>
      <c r="C2512" t="inlineStr">
        <is>
          <t>SUP-09</t>
        </is>
      </c>
      <c r="D2512" t="inlineStr">
        <is>
          <t>CHEM</t>
        </is>
      </c>
      <c r="E2512" t="inlineStr">
        <is>
          <t>CHEM-04</t>
        </is>
      </c>
      <c r="F2512" s="17" t="n">
        <v>45946</v>
      </c>
      <c r="G2512" s="17" t="n">
        <v>45960</v>
      </c>
      <c r="H2512" s="18" t="n">
        <v>2</v>
      </c>
      <c r="I2512" s="19" t="n">
        <v>851.72</v>
      </c>
      <c r="J2512" s="19" t="n">
        <v>820</v>
      </c>
      <c r="K2512" s="20" t="n">
        <v>0</v>
      </c>
      <c r="L2512" s="20" t="n">
        <v>0</v>
      </c>
      <c r="M2512" s="18" t="n">
        <v>2</v>
      </c>
      <c r="N2512" s="18" t="n">
        <v>2</v>
      </c>
      <c r="O2512" s="18" t="n">
        <v>0</v>
      </c>
      <c r="P2512" s="17" t="n">
        <v>45958</v>
      </c>
      <c r="Q2512" s="17" t="n">
        <v>45958</v>
      </c>
      <c r="R2512" s="17" t="n">
        <v>45958</v>
      </c>
      <c r="S2512" s="19">
        <f>H2512*I2512</f>
        <v/>
      </c>
      <c r="T2512" s="19">
        <f>H2512*J2512</f>
        <v/>
      </c>
      <c r="U2512">
        <f>IF(AND(K2512=0,G2512&lt;=Assumptions!$C$6),1,0)</f>
        <v/>
      </c>
      <c r="V2512">
        <f>IF(U2512=1,IF(M2512&gt;0,IF(P2512&lt;=G2512+Assumptions!$C$7,1,0),0),0)</f>
        <v/>
      </c>
      <c r="W2512">
        <f>IF(AND(U2512=1,M2512&gt;=H2512*(1-Assumptions!$C$8)),1,0)</f>
        <v/>
      </c>
      <c r="X2512">
        <f>IF(AND(U2512=1,N2512&gt;=H2512*(1-Assumptions!$C$8)),1,0)</f>
        <v/>
      </c>
      <c r="Y2512">
        <f>IF(ISNUMBER(Q2512),1,0)</f>
        <v/>
      </c>
      <c r="Z2512">
        <f>IF(AND(K2512=0,L2512=0,Y2512=0),1,0)</f>
        <v/>
      </c>
      <c r="AA2512">
        <f>IF(AND(Z2512=1,G2512&lt;Assumptions!$C$6),1,0)</f>
        <v/>
      </c>
      <c r="AB2512">
        <f>IF(U2512=0,"",IF(Y2512=1,MAX(0,Q2512-G2512),IF(L2512=1,MAX(0,R2512-G2512),MAX(0,Assumptions!$C$6-G2512))))</f>
        <v/>
      </c>
      <c r="AC2512">
        <f>IF(Y2512=1,Q2512-F2512,"")</f>
        <v/>
      </c>
      <c r="AD2512">
        <f>IF(Y2512=1,AC2512^2,"")</f>
        <v/>
      </c>
      <c r="AE2512" s="19">
        <f>IF(Z2512=1,(H2512-M2512)*I2512,0)</f>
        <v/>
      </c>
      <c r="AF2512">
        <f>IF(G2512&lt;EDATE(Assumptions!$C$6,-12)+1,"prior_12m","last_12m")</f>
        <v/>
      </c>
      <c r="AG2512" s="21">
        <f>DATE(YEAR(G2512),MONTH(G2512),1)</f>
        <v/>
      </c>
    </row>
    <row r="2513">
      <c r="A2513" t="inlineStr">
        <is>
          <t>SPO-01357-1</t>
        </is>
      </c>
      <c r="B2513" t="inlineStr">
        <is>
          <t>SPO-01357</t>
        </is>
      </c>
      <c r="C2513" t="inlineStr">
        <is>
          <t>SUP-11</t>
        </is>
      </c>
      <c r="D2513" t="inlineStr">
        <is>
          <t>PPE</t>
        </is>
      </c>
      <c r="E2513" t="inlineStr">
        <is>
          <t>PPE-05</t>
        </is>
      </c>
      <c r="F2513" s="17" t="n">
        <v>45946</v>
      </c>
      <c r="G2513" s="17" t="n">
        <v>45958</v>
      </c>
      <c r="H2513" s="18" t="n">
        <v>349</v>
      </c>
      <c r="I2513" s="19" t="n">
        <v>11.58</v>
      </c>
      <c r="J2513" s="19" t="n">
        <v>11</v>
      </c>
      <c r="K2513" s="20" t="n">
        <v>0</v>
      </c>
      <c r="L2513" s="20" t="n">
        <v>0</v>
      </c>
      <c r="M2513" s="18" t="n">
        <v>349</v>
      </c>
      <c r="N2513" s="18" t="n">
        <v>349</v>
      </c>
      <c r="O2513" s="18" t="n">
        <v>0</v>
      </c>
      <c r="P2513" s="17" t="n">
        <v>45954</v>
      </c>
      <c r="Q2513" s="17" t="n">
        <v>45954</v>
      </c>
      <c r="R2513" s="17" t="n">
        <v>45954</v>
      </c>
      <c r="S2513" s="19">
        <f>H2513*I2513</f>
        <v/>
      </c>
      <c r="T2513" s="19">
        <f>H2513*J2513</f>
        <v/>
      </c>
      <c r="U2513">
        <f>IF(AND(K2513=0,G2513&lt;=Assumptions!$C$6),1,0)</f>
        <v/>
      </c>
      <c r="V2513">
        <f>IF(U2513=1,IF(M2513&gt;0,IF(P2513&lt;=G2513+Assumptions!$C$7,1,0),0),0)</f>
        <v/>
      </c>
      <c r="W2513">
        <f>IF(AND(U2513=1,M2513&gt;=H2513*(1-Assumptions!$C$8)),1,0)</f>
        <v/>
      </c>
      <c r="X2513">
        <f>IF(AND(U2513=1,N2513&gt;=H2513*(1-Assumptions!$C$8)),1,0)</f>
        <v/>
      </c>
      <c r="Y2513">
        <f>IF(ISNUMBER(Q2513),1,0)</f>
        <v/>
      </c>
      <c r="Z2513">
        <f>IF(AND(K2513=0,L2513=0,Y2513=0),1,0)</f>
        <v/>
      </c>
      <c r="AA2513">
        <f>IF(AND(Z2513=1,G2513&lt;Assumptions!$C$6),1,0)</f>
        <v/>
      </c>
      <c r="AB2513">
        <f>IF(U2513=0,"",IF(Y2513=1,MAX(0,Q2513-G2513),IF(L2513=1,MAX(0,R2513-G2513),MAX(0,Assumptions!$C$6-G2513))))</f>
        <v/>
      </c>
      <c r="AC2513">
        <f>IF(Y2513=1,Q2513-F2513,"")</f>
        <v/>
      </c>
      <c r="AD2513">
        <f>IF(Y2513=1,AC2513^2,"")</f>
        <v/>
      </c>
      <c r="AE2513" s="19">
        <f>IF(Z2513=1,(H2513-M2513)*I2513,0)</f>
        <v/>
      </c>
      <c r="AF2513">
        <f>IF(G2513&lt;EDATE(Assumptions!$C$6,-12)+1,"prior_12m","last_12m")</f>
        <v/>
      </c>
      <c r="AG2513" s="21">
        <f>DATE(YEAR(G2513),MONTH(G2513),1)</f>
        <v/>
      </c>
    </row>
    <row r="2514">
      <c r="A2514" t="inlineStr">
        <is>
          <t>SPO-01357-2</t>
        </is>
      </c>
      <c r="B2514" t="inlineStr">
        <is>
          <t>SPO-01357</t>
        </is>
      </c>
      <c r="C2514" t="inlineStr">
        <is>
          <t>SUP-11</t>
        </is>
      </c>
      <c r="D2514" t="inlineStr">
        <is>
          <t>PPE</t>
        </is>
      </c>
      <c r="E2514" t="inlineStr">
        <is>
          <t>PPE-01</t>
        </is>
      </c>
      <c r="F2514" s="17" t="n">
        <v>45946</v>
      </c>
      <c r="G2514" s="17" t="n">
        <v>45958</v>
      </c>
      <c r="H2514" s="18" t="n">
        <v>471</v>
      </c>
      <c r="I2514" s="19" t="n">
        <v>4.9</v>
      </c>
      <c r="J2514" s="19" t="n">
        <v>4.8</v>
      </c>
      <c r="K2514" s="20" t="n">
        <v>0</v>
      </c>
      <c r="L2514" s="20" t="n">
        <v>0</v>
      </c>
      <c r="M2514" s="18" t="n">
        <v>471</v>
      </c>
      <c r="N2514" s="18" t="n">
        <v>471</v>
      </c>
      <c r="O2514" s="18" t="n">
        <v>0</v>
      </c>
      <c r="P2514" s="17" t="n">
        <v>45956</v>
      </c>
      <c r="Q2514" s="17" t="n">
        <v>45956</v>
      </c>
      <c r="R2514" s="17" t="n">
        <v>45956</v>
      </c>
      <c r="S2514" s="19">
        <f>H2514*I2514</f>
        <v/>
      </c>
      <c r="T2514" s="19">
        <f>H2514*J2514</f>
        <v/>
      </c>
      <c r="U2514">
        <f>IF(AND(K2514=0,G2514&lt;=Assumptions!$C$6),1,0)</f>
        <v/>
      </c>
      <c r="V2514">
        <f>IF(U2514=1,IF(M2514&gt;0,IF(P2514&lt;=G2514+Assumptions!$C$7,1,0),0),0)</f>
        <v/>
      </c>
      <c r="W2514">
        <f>IF(AND(U2514=1,M2514&gt;=H2514*(1-Assumptions!$C$8)),1,0)</f>
        <v/>
      </c>
      <c r="X2514">
        <f>IF(AND(U2514=1,N2514&gt;=H2514*(1-Assumptions!$C$8)),1,0)</f>
        <v/>
      </c>
      <c r="Y2514">
        <f>IF(ISNUMBER(Q2514),1,0)</f>
        <v/>
      </c>
      <c r="Z2514">
        <f>IF(AND(K2514=0,L2514=0,Y2514=0),1,0)</f>
        <v/>
      </c>
      <c r="AA2514">
        <f>IF(AND(Z2514=1,G2514&lt;Assumptions!$C$6),1,0)</f>
        <v/>
      </c>
      <c r="AB2514">
        <f>IF(U2514=0,"",IF(Y2514=1,MAX(0,Q2514-G2514),IF(L2514=1,MAX(0,R2514-G2514),MAX(0,Assumptions!$C$6-G2514))))</f>
        <v/>
      </c>
      <c r="AC2514">
        <f>IF(Y2514=1,Q2514-F2514,"")</f>
        <v/>
      </c>
      <c r="AD2514">
        <f>IF(Y2514=1,AC2514^2,"")</f>
        <v/>
      </c>
      <c r="AE2514" s="19">
        <f>IF(Z2514=1,(H2514-M2514)*I2514,0)</f>
        <v/>
      </c>
      <c r="AF2514">
        <f>IF(G2514&lt;EDATE(Assumptions!$C$6,-12)+1,"prior_12m","last_12m")</f>
        <v/>
      </c>
      <c r="AG2514" s="21">
        <f>DATE(YEAR(G2514),MONTH(G2514),1)</f>
        <v/>
      </c>
    </row>
    <row r="2515">
      <c r="A2515" t="inlineStr">
        <is>
          <t>SPO-01358-1</t>
        </is>
      </c>
      <c r="B2515" t="inlineStr">
        <is>
          <t>SPO-01358</t>
        </is>
      </c>
      <c r="C2515" t="inlineStr">
        <is>
          <t>SUP-12</t>
        </is>
      </c>
      <c r="D2515" t="inlineStr">
        <is>
          <t>IT</t>
        </is>
      </c>
      <c r="E2515" t="inlineStr">
        <is>
          <t>IT-06</t>
        </is>
      </c>
      <c r="F2515" s="17" t="n">
        <v>45946</v>
      </c>
      <c r="G2515" s="17" t="n">
        <v>45956</v>
      </c>
      <c r="H2515" s="18" t="n">
        <v>18</v>
      </c>
      <c r="I2515" s="19" t="n">
        <v>96.65000000000001</v>
      </c>
      <c r="J2515" s="19" t="n">
        <v>89</v>
      </c>
      <c r="K2515" s="20" t="n">
        <v>0</v>
      </c>
      <c r="L2515" s="20" t="n">
        <v>0</v>
      </c>
      <c r="M2515" s="18" t="n">
        <v>18</v>
      </c>
      <c r="N2515" s="18" t="n">
        <v>18</v>
      </c>
      <c r="O2515" s="18" t="n">
        <v>0</v>
      </c>
      <c r="P2515" s="17" t="n">
        <v>45952</v>
      </c>
      <c r="Q2515" s="17" t="n">
        <v>45952</v>
      </c>
      <c r="R2515" s="17" t="n">
        <v>45952</v>
      </c>
      <c r="S2515" s="19">
        <f>H2515*I2515</f>
        <v/>
      </c>
      <c r="T2515" s="19">
        <f>H2515*J2515</f>
        <v/>
      </c>
      <c r="U2515">
        <f>IF(AND(K2515=0,G2515&lt;=Assumptions!$C$6),1,0)</f>
        <v/>
      </c>
      <c r="V2515">
        <f>IF(U2515=1,IF(M2515&gt;0,IF(P2515&lt;=G2515+Assumptions!$C$7,1,0),0),0)</f>
        <v/>
      </c>
      <c r="W2515">
        <f>IF(AND(U2515=1,M2515&gt;=H2515*(1-Assumptions!$C$8)),1,0)</f>
        <v/>
      </c>
      <c r="X2515">
        <f>IF(AND(U2515=1,N2515&gt;=H2515*(1-Assumptions!$C$8)),1,0)</f>
        <v/>
      </c>
      <c r="Y2515">
        <f>IF(ISNUMBER(Q2515),1,0)</f>
        <v/>
      </c>
      <c r="Z2515">
        <f>IF(AND(K2515=0,L2515=0,Y2515=0),1,0)</f>
        <v/>
      </c>
      <c r="AA2515">
        <f>IF(AND(Z2515=1,G2515&lt;Assumptions!$C$6),1,0)</f>
        <v/>
      </c>
      <c r="AB2515">
        <f>IF(U2515=0,"",IF(Y2515=1,MAX(0,Q2515-G2515),IF(L2515=1,MAX(0,R2515-G2515),MAX(0,Assumptions!$C$6-G2515))))</f>
        <v/>
      </c>
      <c r="AC2515">
        <f>IF(Y2515=1,Q2515-F2515,"")</f>
        <v/>
      </c>
      <c r="AD2515">
        <f>IF(Y2515=1,AC2515^2,"")</f>
        <v/>
      </c>
      <c r="AE2515" s="19">
        <f>IF(Z2515=1,(H2515-M2515)*I2515,0)</f>
        <v/>
      </c>
      <c r="AF2515">
        <f>IF(G2515&lt;EDATE(Assumptions!$C$6,-12)+1,"prior_12m","last_12m")</f>
        <v/>
      </c>
      <c r="AG2515" s="21">
        <f>DATE(YEAR(G2515),MONTH(G2515),1)</f>
        <v/>
      </c>
    </row>
    <row r="2516">
      <c r="A2516" t="inlineStr">
        <is>
          <t>SPO-01358-2</t>
        </is>
      </c>
      <c r="B2516" t="inlineStr">
        <is>
          <t>SPO-01358</t>
        </is>
      </c>
      <c r="C2516" t="inlineStr">
        <is>
          <t>SUP-12</t>
        </is>
      </c>
      <c r="D2516" t="inlineStr">
        <is>
          <t>IT</t>
        </is>
      </c>
      <c r="E2516" t="inlineStr">
        <is>
          <t>IT-04</t>
        </is>
      </c>
      <c r="F2516" s="17" t="n">
        <v>45946</v>
      </c>
      <c r="G2516" s="17" t="n">
        <v>45956</v>
      </c>
      <c r="H2516" s="18" t="n">
        <v>149</v>
      </c>
      <c r="I2516" s="19" t="n">
        <v>14.02</v>
      </c>
      <c r="J2516" s="19" t="n">
        <v>12</v>
      </c>
      <c r="K2516" s="20" t="n">
        <v>0</v>
      </c>
      <c r="L2516" s="20" t="n">
        <v>0</v>
      </c>
      <c r="M2516" s="18" t="n">
        <v>149</v>
      </c>
      <c r="N2516" s="18" t="n">
        <v>149</v>
      </c>
      <c r="O2516" s="18" t="n">
        <v>0</v>
      </c>
      <c r="P2516" s="17" t="n">
        <v>45955</v>
      </c>
      <c r="Q2516" s="17" t="n">
        <v>45955</v>
      </c>
      <c r="R2516" s="17" t="n">
        <v>45955</v>
      </c>
      <c r="S2516" s="19">
        <f>H2516*I2516</f>
        <v/>
      </c>
      <c r="T2516" s="19">
        <f>H2516*J2516</f>
        <v/>
      </c>
      <c r="U2516">
        <f>IF(AND(K2516=0,G2516&lt;=Assumptions!$C$6),1,0)</f>
        <v/>
      </c>
      <c r="V2516">
        <f>IF(U2516=1,IF(M2516&gt;0,IF(P2516&lt;=G2516+Assumptions!$C$7,1,0),0),0)</f>
        <v/>
      </c>
      <c r="W2516">
        <f>IF(AND(U2516=1,M2516&gt;=H2516*(1-Assumptions!$C$8)),1,0)</f>
        <v/>
      </c>
      <c r="X2516">
        <f>IF(AND(U2516=1,N2516&gt;=H2516*(1-Assumptions!$C$8)),1,0)</f>
        <v/>
      </c>
      <c r="Y2516">
        <f>IF(ISNUMBER(Q2516),1,0)</f>
        <v/>
      </c>
      <c r="Z2516">
        <f>IF(AND(K2516=0,L2516=0,Y2516=0),1,0)</f>
        <v/>
      </c>
      <c r="AA2516">
        <f>IF(AND(Z2516=1,G2516&lt;Assumptions!$C$6),1,0)</f>
        <v/>
      </c>
      <c r="AB2516">
        <f>IF(U2516=0,"",IF(Y2516=1,MAX(0,Q2516-G2516),IF(L2516=1,MAX(0,R2516-G2516),MAX(0,Assumptions!$C$6-G2516))))</f>
        <v/>
      </c>
      <c r="AC2516">
        <f>IF(Y2516=1,Q2516-F2516,"")</f>
        <v/>
      </c>
      <c r="AD2516">
        <f>IF(Y2516=1,AC2516^2,"")</f>
        <v/>
      </c>
      <c r="AE2516" s="19">
        <f>IF(Z2516=1,(H2516-M2516)*I2516,0)</f>
        <v/>
      </c>
      <c r="AF2516">
        <f>IF(G2516&lt;EDATE(Assumptions!$C$6,-12)+1,"prior_12m","last_12m")</f>
        <v/>
      </c>
      <c r="AG2516" s="21">
        <f>DATE(YEAR(G2516),MONTH(G2516),1)</f>
        <v/>
      </c>
    </row>
    <row r="2517">
      <c r="A2517" t="inlineStr">
        <is>
          <t>SPO-01358-3</t>
        </is>
      </c>
      <c r="B2517" t="inlineStr">
        <is>
          <t>SPO-01358</t>
        </is>
      </c>
      <c r="C2517" t="inlineStr">
        <is>
          <t>SUP-12</t>
        </is>
      </c>
      <c r="D2517" t="inlineStr">
        <is>
          <t>IT</t>
        </is>
      </c>
      <c r="E2517" t="inlineStr">
        <is>
          <t>IT-01</t>
        </is>
      </c>
      <c r="F2517" s="17" t="n">
        <v>45946</v>
      </c>
      <c r="G2517" s="17" t="n">
        <v>45956</v>
      </c>
      <c r="H2517" s="18" t="n">
        <v>8</v>
      </c>
      <c r="I2517" s="19" t="n">
        <v>218.03</v>
      </c>
      <c r="J2517" s="19" t="n">
        <v>189</v>
      </c>
      <c r="K2517" s="20" t="n">
        <v>0</v>
      </c>
      <c r="L2517" s="20" t="n">
        <v>0</v>
      </c>
      <c r="M2517" s="18" t="n">
        <v>8</v>
      </c>
      <c r="N2517" s="18" t="n">
        <v>8</v>
      </c>
      <c r="O2517" s="18" t="n">
        <v>0</v>
      </c>
      <c r="P2517" s="17" t="n">
        <v>45952</v>
      </c>
      <c r="Q2517" s="17" t="n">
        <v>45952</v>
      </c>
      <c r="R2517" s="17" t="n">
        <v>45952</v>
      </c>
      <c r="S2517" s="19">
        <f>H2517*I2517</f>
        <v/>
      </c>
      <c r="T2517" s="19">
        <f>H2517*J2517</f>
        <v/>
      </c>
      <c r="U2517">
        <f>IF(AND(K2517=0,G2517&lt;=Assumptions!$C$6),1,0)</f>
        <v/>
      </c>
      <c r="V2517">
        <f>IF(U2517=1,IF(M2517&gt;0,IF(P2517&lt;=G2517+Assumptions!$C$7,1,0),0),0)</f>
        <v/>
      </c>
      <c r="W2517">
        <f>IF(AND(U2517=1,M2517&gt;=H2517*(1-Assumptions!$C$8)),1,0)</f>
        <v/>
      </c>
      <c r="X2517">
        <f>IF(AND(U2517=1,N2517&gt;=H2517*(1-Assumptions!$C$8)),1,0)</f>
        <v/>
      </c>
      <c r="Y2517">
        <f>IF(ISNUMBER(Q2517),1,0)</f>
        <v/>
      </c>
      <c r="Z2517">
        <f>IF(AND(K2517=0,L2517=0,Y2517=0),1,0)</f>
        <v/>
      </c>
      <c r="AA2517">
        <f>IF(AND(Z2517=1,G2517&lt;Assumptions!$C$6),1,0)</f>
        <v/>
      </c>
      <c r="AB2517">
        <f>IF(U2517=0,"",IF(Y2517=1,MAX(0,Q2517-G2517),IF(L2517=1,MAX(0,R2517-G2517),MAX(0,Assumptions!$C$6-G2517))))</f>
        <v/>
      </c>
      <c r="AC2517">
        <f>IF(Y2517=1,Q2517-F2517,"")</f>
        <v/>
      </c>
      <c r="AD2517">
        <f>IF(Y2517=1,AC2517^2,"")</f>
        <v/>
      </c>
      <c r="AE2517" s="19">
        <f>IF(Z2517=1,(H2517-M2517)*I2517,0)</f>
        <v/>
      </c>
      <c r="AF2517">
        <f>IF(G2517&lt;EDATE(Assumptions!$C$6,-12)+1,"prior_12m","last_12m")</f>
        <v/>
      </c>
      <c r="AG2517" s="21">
        <f>DATE(YEAR(G2517),MONTH(G2517),1)</f>
        <v/>
      </c>
    </row>
    <row r="2518">
      <c r="A2518" t="inlineStr">
        <is>
          <t>SPO-01358-4</t>
        </is>
      </c>
      <c r="B2518" t="inlineStr">
        <is>
          <t>SPO-01358</t>
        </is>
      </c>
      <c r="C2518" t="inlineStr">
        <is>
          <t>SUP-12</t>
        </is>
      </c>
      <c r="D2518" t="inlineStr">
        <is>
          <t>IT</t>
        </is>
      </c>
      <c r="E2518" t="inlineStr">
        <is>
          <t>IT-08</t>
        </is>
      </c>
      <c r="F2518" s="17" t="n">
        <v>45946</v>
      </c>
      <c r="G2518" s="17" t="n">
        <v>45956</v>
      </c>
      <c r="H2518" s="18" t="n">
        <v>5</v>
      </c>
      <c r="I2518" s="19" t="n">
        <v>281.71</v>
      </c>
      <c r="J2518" s="19" t="n">
        <v>245</v>
      </c>
      <c r="K2518" s="20" t="n">
        <v>0</v>
      </c>
      <c r="L2518" s="20" t="n">
        <v>0</v>
      </c>
      <c r="M2518" s="18" t="n">
        <v>5</v>
      </c>
      <c r="N2518" s="18" t="n">
        <v>5</v>
      </c>
      <c r="O2518" s="18" t="n">
        <v>0</v>
      </c>
      <c r="P2518" s="17" t="n">
        <v>45955</v>
      </c>
      <c r="Q2518" s="17" t="n">
        <v>45955</v>
      </c>
      <c r="R2518" s="17" t="n">
        <v>45955</v>
      </c>
      <c r="S2518" s="19">
        <f>H2518*I2518</f>
        <v/>
      </c>
      <c r="T2518" s="19">
        <f>H2518*J2518</f>
        <v/>
      </c>
      <c r="U2518">
        <f>IF(AND(K2518=0,G2518&lt;=Assumptions!$C$6),1,0)</f>
        <v/>
      </c>
      <c r="V2518">
        <f>IF(U2518=1,IF(M2518&gt;0,IF(P2518&lt;=G2518+Assumptions!$C$7,1,0),0),0)</f>
        <v/>
      </c>
      <c r="W2518">
        <f>IF(AND(U2518=1,M2518&gt;=H2518*(1-Assumptions!$C$8)),1,0)</f>
        <v/>
      </c>
      <c r="X2518">
        <f>IF(AND(U2518=1,N2518&gt;=H2518*(1-Assumptions!$C$8)),1,0)</f>
        <v/>
      </c>
      <c r="Y2518">
        <f>IF(ISNUMBER(Q2518),1,0)</f>
        <v/>
      </c>
      <c r="Z2518">
        <f>IF(AND(K2518=0,L2518=0,Y2518=0),1,0)</f>
        <v/>
      </c>
      <c r="AA2518">
        <f>IF(AND(Z2518=1,G2518&lt;Assumptions!$C$6),1,0)</f>
        <v/>
      </c>
      <c r="AB2518">
        <f>IF(U2518=0,"",IF(Y2518=1,MAX(0,Q2518-G2518),IF(L2518=1,MAX(0,R2518-G2518),MAX(0,Assumptions!$C$6-G2518))))</f>
        <v/>
      </c>
      <c r="AC2518">
        <f>IF(Y2518=1,Q2518-F2518,"")</f>
        <v/>
      </c>
      <c r="AD2518">
        <f>IF(Y2518=1,AC2518^2,"")</f>
        <v/>
      </c>
      <c r="AE2518" s="19">
        <f>IF(Z2518=1,(H2518-M2518)*I2518,0)</f>
        <v/>
      </c>
      <c r="AF2518">
        <f>IF(G2518&lt;EDATE(Assumptions!$C$6,-12)+1,"prior_12m","last_12m")</f>
        <v/>
      </c>
      <c r="AG2518" s="21">
        <f>DATE(YEAR(G2518),MONTH(G2518),1)</f>
        <v/>
      </c>
    </row>
    <row r="2519">
      <c r="A2519" t="inlineStr">
        <is>
          <t>SPO-01359-1</t>
        </is>
      </c>
      <c r="B2519" t="inlineStr">
        <is>
          <t>SPO-01359</t>
        </is>
      </c>
      <c r="C2519" t="inlineStr">
        <is>
          <t>SUP-01</t>
        </is>
      </c>
      <c r="D2519" t="inlineStr">
        <is>
          <t>ELEC</t>
        </is>
      </c>
      <c r="E2519" t="inlineStr">
        <is>
          <t>ELEC-04</t>
        </is>
      </c>
      <c r="F2519" s="17" t="n">
        <v>45946</v>
      </c>
      <c r="G2519" s="17" t="n">
        <v>45964</v>
      </c>
      <c r="H2519" s="18" t="n">
        <v>21</v>
      </c>
      <c r="I2519" s="19" t="n">
        <v>68.94</v>
      </c>
      <c r="J2519" s="19" t="n">
        <v>72</v>
      </c>
      <c r="K2519" s="20" t="n">
        <v>0</v>
      </c>
      <c r="L2519" s="20" t="n">
        <v>0</v>
      </c>
      <c r="M2519" s="18" t="n">
        <v>21</v>
      </c>
      <c r="N2519" s="18" t="n">
        <v>0</v>
      </c>
      <c r="O2519" s="18" t="n">
        <v>0</v>
      </c>
      <c r="P2519" s="17" t="n">
        <v>46080</v>
      </c>
      <c r="Q2519" s="17" t="n">
        <v>46080</v>
      </c>
      <c r="R2519" s="17" t="n">
        <v>46080</v>
      </c>
      <c r="S2519" s="19">
        <f>H2519*I2519</f>
        <v/>
      </c>
      <c r="T2519" s="19">
        <f>H2519*J2519</f>
        <v/>
      </c>
      <c r="U2519">
        <f>IF(AND(K2519=0,G2519&lt;=Assumptions!$C$6),1,0)</f>
        <v/>
      </c>
      <c r="V2519">
        <f>IF(U2519=1,IF(M2519&gt;0,IF(P2519&lt;=G2519+Assumptions!$C$7,1,0),0),0)</f>
        <v/>
      </c>
      <c r="W2519">
        <f>IF(AND(U2519=1,M2519&gt;=H2519*(1-Assumptions!$C$8)),1,0)</f>
        <v/>
      </c>
      <c r="X2519">
        <f>IF(AND(U2519=1,N2519&gt;=H2519*(1-Assumptions!$C$8)),1,0)</f>
        <v/>
      </c>
      <c r="Y2519">
        <f>IF(ISNUMBER(Q2519),1,0)</f>
        <v/>
      </c>
      <c r="Z2519">
        <f>IF(AND(K2519=0,L2519=0,Y2519=0),1,0)</f>
        <v/>
      </c>
      <c r="AA2519">
        <f>IF(AND(Z2519=1,G2519&lt;Assumptions!$C$6),1,0)</f>
        <v/>
      </c>
      <c r="AB2519">
        <f>IF(U2519=0,"",IF(Y2519=1,MAX(0,Q2519-G2519),IF(L2519=1,MAX(0,R2519-G2519),MAX(0,Assumptions!$C$6-G2519))))</f>
        <v/>
      </c>
      <c r="AC2519">
        <f>IF(Y2519=1,Q2519-F2519,"")</f>
        <v/>
      </c>
      <c r="AD2519">
        <f>IF(Y2519=1,AC2519^2,"")</f>
        <v/>
      </c>
      <c r="AE2519" s="19">
        <f>IF(Z2519=1,(H2519-M2519)*I2519,0)</f>
        <v/>
      </c>
      <c r="AF2519">
        <f>IF(G2519&lt;EDATE(Assumptions!$C$6,-12)+1,"prior_12m","last_12m")</f>
        <v/>
      </c>
      <c r="AG2519" s="21">
        <f>DATE(YEAR(G2519),MONTH(G2519),1)</f>
        <v/>
      </c>
    </row>
    <row r="2520">
      <c r="A2520" t="inlineStr">
        <is>
          <t>SPO-01360-1</t>
        </is>
      </c>
      <c r="B2520" t="inlineStr">
        <is>
          <t>SPO-01360</t>
        </is>
      </c>
      <c r="C2520" t="inlineStr">
        <is>
          <t>SUP-02</t>
        </is>
      </c>
      <c r="D2520" t="inlineStr">
        <is>
          <t>ELEC</t>
        </is>
      </c>
      <c r="E2520" t="inlineStr">
        <is>
          <t>ELEC-06</t>
        </is>
      </c>
      <c r="F2520" s="17" t="n">
        <v>45947</v>
      </c>
      <c r="G2520" s="17" t="n">
        <v>45963</v>
      </c>
      <c r="H2520" s="18" t="n">
        <v>6</v>
      </c>
      <c r="I2520" s="19" t="n">
        <v>143.7</v>
      </c>
      <c r="J2520" s="19" t="n">
        <v>145</v>
      </c>
      <c r="K2520" s="20" t="n">
        <v>0</v>
      </c>
      <c r="L2520" s="20" t="n">
        <v>0</v>
      </c>
      <c r="M2520" s="18" t="n">
        <v>6</v>
      </c>
      <c r="N2520" s="18" t="n">
        <v>6</v>
      </c>
      <c r="O2520" s="18" t="n">
        <v>0</v>
      </c>
      <c r="P2520" s="17" t="n">
        <v>45962</v>
      </c>
      <c r="Q2520" s="17" t="n">
        <v>45962</v>
      </c>
      <c r="R2520" s="17" t="n">
        <v>45962</v>
      </c>
      <c r="S2520" s="19">
        <f>H2520*I2520</f>
        <v/>
      </c>
      <c r="T2520" s="19">
        <f>H2520*J2520</f>
        <v/>
      </c>
      <c r="U2520">
        <f>IF(AND(K2520=0,G2520&lt;=Assumptions!$C$6),1,0)</f>
        <v/>
      </c>
      <c r="V2520">
        <f>IF(U2520=1,IF(M2520&gt;0,IF(P2520&lt;=G2520+Assumptions!$C$7,1,0),0),0)</f>
        <v/>
      </c>
      <c r="W2520">
        <f>IF(AND(U2520=1,M2520&gt;=H2520*(1-Assumptions!$C$8)),1,0)</f>
        <v/>
      </c>
      <c r="X2520">
        <f>IF(AND(U2520=1,N2520&gt;=H2520*(1-Assumptions!$C$8)),1,0)</f>
        <v/>
      </c>
      <c r="Y2520">
        <f>IF(ISNUMBER(Q2520),1,0)</f>
        <v/>
      </c>
      <c r="Z2520">
        <f>IF(AND(K2520=0,L2520=0,Y2520=0),1,0)</f>
        <v/>
      </c>
      <c r="AA2520">
        <f>IF(AND(Z2520=1,G2520&lt;Assumptions!$C$6),1,0)</f>
        <v/>
      </c>
      <c r="AB2520">
        <f>IF(U2520=0,"",IF(Y2520=1,MAX(0,Q2520-G2520),IF(L2520=1,MAX(0,R2520-G2520),MAX(0,Assumptions!$C$6-G2520))))</f>
        <v/>
      </c>
      <c r="AC2520">
        <f>IF(Y2520=1,Q2520-F2520,"")</f>
        <v/>
      </c>
      <c r="AD2520">
        <f>IF(Y2520=1,AC2520^2,"")</f>
        <v/>
      </c>
      <c r="AE2520" s="19">
        <f>IF(Z2520=1,(H2520-M2520)*I2520,0)</f>
        <v/>
      </c>
      <c r="AF2520">
        <f>IF(G2520&lt;EDATE(Assumptions!$C$6,-12)+1,"prior_12m","last_12m")</f>
        <v/>
      </c>
      <c r="AG2520" s="21">
        <f>DATE(YEAR(G2520),MONTH(G2520),1)</f>
        <v/>
      </c>
    </row>
    <row r="2521">
      <c r="A2521" t="inlineStr">
        <is>
          <t>SPO-01361-1</t>
        </is>
      </c>
      <c r="B2521" t="inlineStr">
        <is>
          <t>SPO-01361</t>
        </is>
      </c>
      <c r="C2521" t="inlineStr">
        <is>
          <t>SUP-09</t>
        </is>
      </c>
      <c r="D2521" t="inlineStr">
        <is>
          <t>CHEM</t>
        </is>
      </c>
      <c r="E2521" t="inlineStr">
        <is>
          <t>CHEM-04</t>
        </is>
      </c>
      <c r="F2521" s="17" t="n">
        <v>45947</v>
      </c>
      <c r="G2521" s="17" t="n">
        <v>45961</v>
      </c>
      <c r="H2521" s="18" t="n">
        <v>2</v>
      </c>
      <c r="I2521" s="19" t="n">
        <v>851.76</v>
      </c>
      <c r="J2521" s="19" t="n">
        <v>820</v>
      </c>
      <c r="K2521" s="20" t="n">
        <v>0</v>
      </c>
      <c r="L2521" s="20" t="n">
        <v>0</v>
      </c>
      <c r="M2521" s="18" t="n">
        <v>2</v>
      </c>
      <c r="N2521" s="18" t="n">
        <v>2</v>
      </c>
      <c r="O2521" s="18" t="n">
        <v>0</v>
      </c>
      <c r="P2521" s="17" t="n">
        <v>45959</v>
      </c>
      <c r="Q2521" s="17" t="n">
        <v>45959</v>
      </c>
      <c r="R2521" s="17" t="n">
        <v>45959</v>
      </c>
      <c r="S2521" s="19">
        <f>H2521*I2521</f>
        <v/>
      </c>
      <c r="T2521" s="19">
        <f>H2521*J2521</f>
        <v/>
      </c>
      <c r="U2521">
        <f>IF(AND(K2521=0,G2521&lt;=Assumptions!$C$6),1,0)</f>
        <v/>
      </c>
      <c r="V2521">
        <f>IF(U2521=1,IF(M2521&gt;0,IF(P2521&lt;=G2521+Assumptions!$C$7,1,0),0),0)</f>
        <v/>
      </c>
      <c r="W2521">
        <f>IF(AND(U2521=1,M2521&gt;=H2521*(1-Assumptions!$C$8)),1,0)</f>
        <v/>
      </c>
      <c r="X2521">
        <f>IF(AND(U2521=1,N2521&gt;=H2521*(1-Assumptions!$C$8)),1,0)</f>
        <v/>
      </c>
      <c r="Y2521">
        <f>IF(ISNUMBER(Q2521),1,0)</f>
        <v/>
      </c>
      <c r="Z2521">
        <f>IF(AND(K2521=0,L2521=0,Y2521=0),1,0)</f>
        <v/>
      </c>
      <c r="AA2521">
        <f>IF(AND(Z2521=1,G2521&lt;Assumptions!$C$6),1,0)</f>
        <v/>
      </c>
      <c r="AB2521">
        <f>IF(U2521=0,"",IF(Y2521=1,MAX(0,Q2521-G2521),IF(L2521=1,MAX(0,R2521-G2521),MAX(0,Assumptions!$C$6-G2521))))</f>
        <v/>
      </c>
      <c r="AC2521">
        <f>IF(Y2521=1,Q2521-F2521,"")</f>
        <v/>
      </c>
      <c r="AD2521">
        <f>IF(Y2521=1,AC2521^2,"")</f>
        <v/>
      </c>
      <c r="AE2521" s="19">
        <f>IF(Z2521=1,(H2521-M2521)*I2521,0)</f>
        <v/>
      </c>
      <c r="AF2521">
        <f>IF(G2521&lt;EDATE(Assumptions!$C$6,-12)+1,"prior_12m","last_12m")</f>
        <v/>
      </c>
      <c r="AG2521" s="21">
        <f>DATE(YEAR(G2521),MONTH(G2521),1)</f>
        <v/>
      </c>
    </row>
    <row r="2522">
      <c r="A2522" t="inlineStr">
        <is>
          <t>SPO-01362-1</t>
        </is>
      </c>
      <c r="B2522" t="inlineStr">
        <is>
          <t>SPO-01362</t>
        </is>
      </c>
      <c r="C2522" t="inlineStr">
        <is>
          <t>SUP-09</t>
        </is>
      </c>
      <c r="D2522" t="inlineStr">
        <is>
          <t>CHEM</t>
        </is>
      </c>
      <c r="E2522" t="inlineStr">
        <is>
          <t>CHEM-04</t>
        </is>
      </c>
      <c r="F2522" s="17" t="n">
        <v>45947</v>
      </c>
      <c r="G2522" s="17" t="n">
        <v>45961</v>
      </c>
      <c r="H2522" s="18" t="n">
        <v>2</v>
      </c>
      <c r="I2522" s="19" t="n">
        <v>872.26</v>
      </c>
      <c r="J2522" s="19" t="n">
        <v>820</v>
      </c>
      <c r="K2522" s="20" t="n">
        <v>0</v>
      </c>
      <c r="L2522" s="20" t="n">
        <v>0</v>
      </c>
      <c r="M2522" s="18" t="n">
        <v>2</v>
      </c>
      <c r="N2522" s="18" t="n">
        <v>2</v>
      </c>
      <c r="O2522" s="18" t="n">
        <v>0</v>
      </c>
      <c r="P2522" s="17" t="n">
        <v>45959</v>
      </c>
      <c r="Q2522" s="17" t="n">
        <v>45959</v>
      </c>
      <c r="R2522" s="17" t="n">
        <v>45959</v>
      </c>
      <c r="S2522" s="19">
        <f>H2522*I2522</f>
        <v/>
      </c>
      <c r="T2522" s="19">
        <f>H2522*J2522</f>
        <v/>
      </c>
      <c r="U2522">
        <f>IF(AND(K2522=0,G2522&lt;=Assumptions!$C$6),1,0)</f>
        <v/>
      </c>
      <c r="V2522">
        <f>IF(U2522=1,IF(M2522&gt;0,IF(P2522&lt;=G2522+Assumptions!$C$7,1,0),0),0)</f>
        <v/>
      </c>
      <c r="W2522">
        <f>IF(AND(U2522=1,M2522&gt;=H2522*(1-Assumptions!$C$8)),1,0)</f>
        <v/>
      </c>
      <c r="X2522">
        <f>IF(AND(U2522=1,N2522&gt;=H2522*(1-Assumptions!$C$8)),1,0)</f>
        <v/>
      </c>
      <c r="Y2522">
        <f>IF(ISNUMBER(Q2522),1,0)</f>
        <v/>
      </c>
      <c r="Z2522">
        <f>IF(AND(K2522=0,L2522=0,Y2522=0),1,0)</f>
        <v/>
      </c>
      <c r="AA2522">
        <f>IF(AND(Z2522=1,G2522&lt;Assumptions!$C$6),1,0)</f>
        <v/>
      </c>
      <c r="AB2522">
        <f>IF(U2522=0,"",IF(Y2522=1,MAX(0,Q2522-G2522),IF(L2522=1,MAX(0,R2522-G2522),MAX(0,Assumptions!$C$6-G2522))))</f>
        <v/>
      </c>
      <c r="AC2522">
        <f>IF(Y2522=1,Q2522-F2522,"")</f>
        <v/>
      </c>
      <c r="AD2522">
        <f>IF(Y2522=1,AC2522^2,"")</f>
        <v/>
      </c>
      <c r="AE2522" s="19">
        <f>IF(Z2522=1,(H2522-M2522)*I2522,0)</f>
        <v/>
      </c>
      <c r="AF2522">
        <f>IF(G2522&lt;EDATE(Assumptions!$C$6,-12)+1,"prior_12m","last_12m")</f>
        <v/>
      </c>
      <c r="AG2522" s="21">
        <f>DATE(YEAR(G2522),MONTH(G2522),1)</f>
        <v/>
      </c>
    </row>
    <row r="2523">
      <c r="A2523" t="inlineStr">
        <is>
          <t>SPO-01363-1</t>
        </is>
      </c>
      <c r="B2523" t="inlineStr">
        <is>
          <t>SPO-01363</t>
        </is>
      </c>
      <c r="C2523" t="inlineStr">
        <is>
          <t>SUP-12</t>
        </is>
      </c>
      <c r="D2523" t="inlineStr">
        <is>
          <t>IT</t>
        </is>
      </c>
      <c r="E2523" t="inlineStr">
        <is>
          <t>IT-08</t>
        </is>
      </c>
      <c r="F2523" s="17" t="n">
        <v>45947</v>
      </c>
      <c r="G2523" s="17" t="n">
        <v>45957</v>
      </c>
      <c r="H2523" s="18" t="n">
        <v>16</v>
      </c>
      <c r="I2523" s="19" t="n">
        <v>289.75</v>
      </c>
      <c r="J2523" s="19" t="n">
        <v>245</v>
      </c>
      <c r="K2523" s="20" t="n">
        <v>0</v>
      </c>
      <c r="L2523" s="20" t="n">
        <v>0</v>
      </c>
      <c r="M2523" s="18" t="n">
        <v>16</v>
      </c>
      <c r="N2523" s="18" t="n">
        <v>16</v>
      </c>
      <c r="O2523" s="18" t="n">
        <v>0</v>
      </c>
      <c r="P2523" s="17" t="n">
        <v>45954</v>
      </c>
      <c r="Q2523" s="17" t="n">
        <v>45954</v>
      </c>
      <c r="R2523" s="17" t="n">
        <v>45954</v>
      </c>
      <c r="S2523" s="19">
        <f>H2523*I2523</f>
        <v/>
      </c>
      <c r="T2523" s="19">
        <f>H2523*J2523</f>
        <v/>
      </c>
      <c r="U2523">
        <f>IF(AND(K2523=0,G2523&lt;=Assumptions!$C$6),1,0)</f>
        <v/>
      </c>
      <c r="V2523">
        <f>IF(U2523=1,IF(M2523&gt;0,IF(P2523&lt;=G2523+Assumptions!$C$7,1,0),0),0)</f>
        <v/>
      </c>
      <c r="W2523">
        <f>IF(AND(U2523=1,M2523&gt;=H2523*(1-Assumptions!$C$8)),1,0)</f>
        <v/>
      </c>
      <c r="X2523">
        <f>IF(AND(U2523=1,N2523&gt;=H2523*(1-Assumptions!$C$8)),1,0)</f>
        <v/>
      </c>
      <c r="Y2523">
        <f>IF(ISNUMBER(Q2523),1,0)</f>
        <v/>
      </c>
      <c r="Z2523">
        <f>IF(AND(K2523=0,L2523=0,Y2523=0),1,0)</f>
        <v/>
      </c>
      <c r="AA2523">
        <f>IF(AND(Z2523=1,G2523&lt;Assumptions!$C$6),1,0)</f>
        <v/>
      </c>
      <c r="AB2523">
        <f>IF(U2523=0,"",IF(Y2523=1,MAX(0,Q2523-G2523),IF(L2523=1,MAX(0,R2523-G2523),MAX(0,Assumptions!$C$6-G2523))))</f>
        <v/>
      </c>
      <c r="AC2523">
        <f>IF(Y2523=1,Q2523-F2523,"")</f>
        <v/>
      </c>
      <c r="AD2523">
        <f>IF(Y2523=1,AC2523^2,"")</f>
        <v/>
      </c>
      <c r="AE2523" s="19">
        <f>IF(Z2523=1,(H2523-M2523)*I2523,0)</f>
        <v/>
      </c>
      <c r="AF2523">
        <f>IF(G2523&lt;EDATE(Assumptions!$C$6,-12)+1,"prior_12m","last_12m")</f>
        <v/>
      </c>
      <c r="AG2523" s="21">
        <f>DATE(YEAR(G2523),MONTH(G2523),1)</f>
        <v/>
      </c>
    </row>
    <row r="2524">
      <c r="A2524" t="inlineStr">
        <is>
          <t>SPO-01363-2</t>
        </is>
      </c>
      <c r="B2524" t="inlineStr">
        <is>
          <t>SPO-01363</t>
        </is>
      </c>
      <c r="C2524" t="inlineStr">
        <is>
          <t>SUP-12</t>
        </is>
      </c>
      <c r="D2524" t="inlineStr">
        <is>
          <t>IT</t>
        </is>
      </c>
      <c r="E2524" t="inlineStr">
        <is>
          <t>IT-03</t>
        </is>
      </c>
      <c r="F2524" s="17" t="n">
        <v>45947</v>
      </c>
      <c r="G2524" s="17" t="n">
        <v>45957</v>
      </c>
      <c r="H2524" s="18" t="n">
        <v>106</v>
      </c>
      <c r="I2524" s="19" t="n">
        <v>44.26</v>
      </c>
      <c r="J2524" s="19" t="n">
        <v>38</v>
      </c>
      <c r="K2524" s="20" t="n">
        <v>0</v>
      </c>
      <c r="L2524" s="20" t="n">
        <v>0</v>
      </c>
      <c r="M2524" s="18" t="n">
        <v>106</v>
      </c>
      <c r="N2524" s="18" t="n">
        <v>106</v>
      </c>
      <c r="O2524" s="18" t="n">
        <v>0</v>
      </c>
      <c r="P2524" s="17" t="n">
        <v>45957</v>
      </c>
      <c r="Q2524" s="17" t="n">
        <v>45957</v>
      </c>
      <c r="R2524" s="17" t="n">
        <v>45957</v>
      </c>
      <c r="S2524" s="19">
        <f>H2524*I2524</f>
        <v/>
      </c>
      <c r="T2524" s="19">
        <f>H2524*J2524</f>
        <v/>
      </c>
      <c r="U2524">
        <f>IF(AND(K2524=0,G2524&lt;=Assumptions!$C$6),1,0)</f>
        <v/>
      </c>
      <c r="V2524">
        <f>IF(U2524=1,IF(M2524&gt;0,IF(P2524&lt;=G2524+Assumptions!$C$7,1,0),0),0)</f>
        <v/>
      </c>
      <c r="W2524">
        <f>IF(AND(U2524=1,M2524&gt;=H2524*(1-Assumptions!$C$8)),1,0)</f>
        <v/>
      </c>
      <c r="X2524">
        <f>IF(AND(U2524=1,N2524&gt;=H2524*(1-Assumptions!$C$8)),1,0)</f>
        <v/>
      </c>
      <c r="Y2524">
        <f>IF(ISNUMBER(Q2524),1,0)</f>
        <v/>
      </c>
      <c r="Z2524">
        <f>IF(AND(K2524=0,L2524=0,Y2524=0),1,0)</f>
        <v/>
      </c>
      <c r="AA2524">
        <f>IF(AND(Z2524=1,G2524&lt;Assumptions!$C$6),1,0)</f>
        <v/>
      </c>
      <c r="AB2524">
        <f>IF(U2524=0,"",IF(Y2524=1,MAX(0,Q2524-G2524),IF(L2524=1,MAX(0,R2524-G2524),MAX(0,Assumptions!$C$6-G2524))))</f>
        <v/>
      </c>
      <c r="AC2524">
        <f>IF(Y2524=1,Q2524-F2524,"")</f>
        <v/>
      </c>
      <c r="AD2524">
        <f>IF(Y2524=1,AC2524^2,"")</f>
        <v/>
      </c>
      <c r="AE2524" s="19">
        <f>IF(Z2524=1,(H2524-M2524)*I2524,0)</f>
        <v/>
      </c>
      <c r="AF2524">
        <f>IF(G2524&lt;EDATE(Assumptions!$C$6,-12)+1,"prior_12m","last_12m")</f>
        <v/>
      </c>
      <c r="AG2524" s="21">
        <f>DATE(YEAR(G2524),MONTH(G2524),1)</f>
        <v/>
      </c>
    </row>
    <row r="2525">
      <c r="A2525" t="inlineStr">
        <is>
          <t>SPO-01364-1</t>
        </is>
      </c>
      <c r="B2525" t="inlineStr">
        <is>
          <t>SPO-01364</t>
        </is>
      </c>
      <c r="C2525" t="inlineStr">
        <is>
          <t>SUP-12</t>
        </is>
      </c>
      <c r="D2525" t="inlineStr">
        <is>
          <t>IT</t>
        </is>
      </c>
      <c r="E2525" t="inlineStr">
        <is>
          <t>IT-02</t>
        </is>
      </c>
      <c r="F2525" s="17" t="n">
        <v>45947</v>
      </c>
      <c r="G2525" s="17" t="n">
        <v>45957</v>
      </c>
      <c r="H2525" s="18" t="n">
        <v>9</v>
      </c>
      <c r="I2525" s="19" t="n">
        <v>182.13</v>
      </c>
      <c r="J2525" s="19" t="n">
        <v>162</v>
      </c>
      <c r="K2525" s="20" t="n">
        <v>0</v>
      </c>
      <c r="L2525" s="20" t="n">
        <v>0</v>
      </c>
      <c r="M2525" s="18" t="n">
        <v>9</v>
      </c>
      <c r="N2525" s="18" t="n">
        <v>9</v>
      </c>
      <c r="O2525" s="18" t="n">
        <v>0</v>
      </c>
      <c r="P2525" s="17" t="n">
        <v>45956</v>
      </c>
      <c r="Q2525" s="17" t="n">
        <v>45956</v>
      </c>
      <c r="R2525" s="17" t="n">
        <v>45956</v>
      </c>
      <c r="S2525" s="19">
        <f>H2525*I2525</f>
        <v/>
      </c>
      <c r="T2525" s="19">
        <f>H2525*J2525</f>
        <v/>
      </c>
      <c r="U2525">
        <f>IF(AND(K2525=0,G2525&lt;=Assumptions!$C$6),1,0)</f>
        <v/>
      </c>
      <c r="V2525">
        <f>IF(U2525=1,IF(M2525&gt;0,IF(P2525&lt;=G2525+Assumptions!$C$7,1,0),0),0)</f>
        <v/>
      </c>
      <c r="W2525">
        <f>IF(AND(U2525=1,M2525&gt;=H2525*(1-Assumptions!$C$8)),1,0)</f>
        <v/>
      </c>
      <c r="X2525">
        <f>IF(AND(U2525=1,N2525&gt;=H2525*(1-Assumptions!$C$8)),1,0)</f>
        <v/>
      </c>
      <c r="Y2525">
        <f>IF(ISNUMBER(Q2525),1,0)</f>
        <v/>
      </c>
      <c r="Z2525">
        <f>IF(AND(K2525=0,L2525=0,Y2525=0),1,0)</f>
        <v/>
      </c>
      <c r="AA2525">
        <f>IF(AND(Z2525=1,G2525&lt;Assumptions!$C$6),1,0)</f>
        <v/>
      </c>
      <c r="AB2525">
        <f>IF(U2525=0,"",IF(Y2525=1,MAX(0,Q2525-G2525),IF(L2525=1,MAX(0,R2525-G2525),MAX(0,Assumptions!$C$6-G2525))))</f>
        <v/>
      </c>
      <c r="AC2525">
        <f>IF(Y2525=1,Q2525-F2525,"")</f>
        <v/>
      </c>
      <c r="AD2525">
        <f>IF(Y2525=1,AC2525^2,"")</f>
        <v/>
      </c>
      <c r="AE2525" s="19">
        <f>IF(Z2525=1,(H2525-M2525)*I2525,0)</f>
        <v/>
      </c>
      <c r="AF2525">
        <f>IF(G2525&lt;EDATE(Assumptions!$C$6,-12)+1,"prior_12m","last_12m")</f>
        <v/>
      </c>
      <c r="AG2525" s="21">
        <f>DATE(YEAR(G2525),MONTH(G2525),1)</f>
        <v/>
      </c>
    </row>
    <row r="2526">
      <c r="A2526" t="inlineStr">
        <is>
          <t>SPO-01364-2</t>
        </is>
      </c>
      <c r="B2526" t="inlineStr">
        <is>
          <t>SPO-01364</t>
        </is>
      </c>
      <c r="C2526" t="inlineStr">
        <is>
          <t>SUP-12</t>
        </is>
      </c>
      <c r="D2526" t="inlineStr">
        <is>
          <t>IT</t>
        </is>
      </c>
      <c r="E2526" t="inlineStr">
        <is>
          <t>IT-06</t>
        </is>
      </c>
      <c r="F2526" s="17" t="n">
        <v>45947</v>
      </c>
      <c r="G2526" s="17" t="n">
        <v>45957</v>
      </c>
      <c r="H2526" s="18" t="n">
        <v>11</v>
      </c>
      <c r="I2526" s="19" t="n">
        <v>97.63</v>
      </c>
      <c r="J2526" s="19" t="n">
        <v>89</v>
      </c>
      <c r="K2526" s="20" t="n">
        <v>0</v>
      </c>
      <c r="L2526" s="20" t="n">
        <v>0</v>
      </c>
      <c r="M2526" s="18" t="n">
        <v>11</v>
      </c>
      <c r="N2526" s="18" t="n">
        <v>11</v>
      </c>
      <c r="O2526" s="18" t="n">
        <v>0</v>
      </c>
      <c r="P2526" s="17" t="n">
        <v>45955</v>
      </c>
      <c r="Q2526" s="17" t="n">
        <v>45955</v>
      </c>
      <c r="R2526" s="17" t="n">
        <v>45955</v>
      </c>
      <c r="S2526" s="19">
        <f>H2526*I2526</f>
        <v/>
      </c>
      <c r="T2526" s="19">
        <f>H2526*J2526</f>
        <v/>
      </c>
      <c r="U2526">
        <f>IF(AND(K2526=0,G2526&lt;=Assumptions!$C$6),1,0)</f>
        <v/>
      </c>
      <c r="V2526">
        <f>IF(U2526=1,IF(M2526&gt;0,IF(P2526&lt;=G2526+Assumptions!$C$7,1,0),0),0)</f>
        <v/>
      </c>
      <c r="W2526">
        <f>IF(AND(U2526=1,M2526&gt;=H2526*(1-Assumptions!$C$8)),1,0)</f>
        <v/>
      </c>
      <c r="X2526">
        <f>IF(AND(U2526=1,N2526&gt;=H2526*(1-Assumptions!$C$8)),1,0)</f>
        <v/>
      </c>
      <c r="Y2526">
        <f>IF(ISNUMBER(Q2526),1,0)</f>
        <v/>
      </c>
      <c r="Z2526">
        <f>IF(AND(K2526=0,L2526=0,Y2526=0),1,0)</f>
        <v/>
      </c>
      <c r="AA2526">
        <f>IF(AND(Z2526=1,G2526&lt;Assumptions!$C$6),1,0)</f>
        <v/>
      </c>
      <c r="AB2526">
        <f>IF(U2526=0,"",IF(Y2526=1,MAX(0,Q2526-G2526),IF(L2526=1,MAX(0,R2526-G2526),MAX(0,Assumptions!$C$6-G2526))))</f>
        <v/>
      </c>
      <c r="AC2526">
        <f>IF(Y2526=1,Q2526-F2526,"")</f>
        <v/>
      </c>
      <c r="AD2526">
        <f>IF(Y2526=1,AC2526^2,"")</f>
        <v/>
      </c>
      <c r="AE2526" s="19">
        <f>IF(Z2526=1,(H2526-M2526)*I2526,0)</f>
        <v/>
      </c>
      <c r="AF2526">
        <f>IF(G2526&lt;EDATE(Assumptions!$C$6,-12)+1,"prior_12m","last_12m")</f>
        <v/>
      </c>
      <c r="AG2526" s="21">
        <f>DATE(YEAR(G2526),MONTH(G2526),1)</f>
        <v/>
      </c>
    </row>
    <row r="2527">
      <c r="A2527" t="inlineStr">
        <is>
          <t>SPO-01365-1</t>
        </is>
      </c>
      <c r="B2527" t="inlineStr">
        <is>
          <t>SPO-01365</t>
        </is>
      </c>
      <c r="C2527" t="inlineStr">
        <is>
          <t>SUP-11</t>
        </is>
      </c>
      <c r="D2527" t="inlineStr">
        <is>
          <t>PPE</t>
        </is>
      </c>
      <c r="E2527" t="inlineStr">
        <is>
          <t>PPE-05</t>
        </is>
      </c>
      <c r="F2527" s="17" t="n">
        <v>45947</v>
      </c>
      <c r="G2527" s="17" t="n">
        <v>45959</v>
      </c>
      <c r="H2527" s="18" t="n">
        <v>103</v>
      </c>
      <c r="I2527" s="19" t="n">
        <v>10.99</v>
      </c>
      <c r="J2527" s="19" t="n">
        <v>11</v>
      </c>
      <c r="K2527" s="20" t="n">
        <v>0</v>
      </c>
      <c r="L2527" s="20" t="n">
        <v>0</v>
      </c>
      <c r="M2527" s="18" t="n">
        <v>103</v>
      </c>
      <c r="N2527" s="18" t="n">
        <v>103</v>
      </c>
      <c r="O2527" s="18" t="n">
        <v>0</v>
      </c>
      <c r="P2527" s="17" t="n">
        <v>45958</v>
      </c>
      <c r="Q2527" s="17" t="n">
        <v>45958</v>
      </c>
      <c r="R2527" s="17" t="n">
        <v>45958</v>
      </c>
      <c r="S2527" s="19">
        <f>H2527*I2527</f>
        <v/>
      </c>
      <c r="T2527" s="19">
        <f>H2527*J2527</f>
        <v/>
      </c>
      <c r="U2527">
        <f>IF(AND(K2527=0,G2527&lt;=Assumptions!$C$6),1,0)</f>
        <v/>
      </c>
      <c r="V2527">
        <f>IF(U2527=1,IF(M2527&gt;0,IF(P2527&lt;=G2527+Assumptions!$C$7,1,0),0),0)</f>
        <v/>
      </c>
      <c r="W2527">
        <f>IF(AND(U2527=1,M2527&gt;=H2527*(1-Assumptions!$C$8)),1,0)</f>
        <v/>
      </c>
      <c r="X2527">
        <f>IF(AND(U2527=1,N2527&gt;=H2527*(1-Assumptions!$C$8)),1,0)</f>
        <v/>
      </c>
      <c r="Y2527">
        <f>IF(ISNUMBER(Q2527),1,0)</f>
        <v/>
      </c>
      <c r="Z2527">
        <f>IF(AND(K2527=0,L2527=0,Y2527=0),1,0)</f>
        <v/>
      </c>
      <c r="AA2527">
        <f>IF(AND(Z2527=1,G2527&lt;Assumptions!$C$6),1,0)</f>
        <v/>
      </c>
      <c r="AB2527">
        <f>IF(U2527=0,"",IF(Y2527=1,MAX(0,Q2527-G2527),IF(L2527=1,MAX(0,R2527-G2527),MAX(0,Assumptions!$C$6-G2527))))</f>
        <v/>
      </c>
      <c r="AC2527">
        <f>IF(Y2527=1,Q2527-F2527,"")</f>
        <v/>
      </c>
      <c r="AD2527">
        <f>IF(Y2527=1,AC2527^2,"")</f>
        <v/>
      </c>
      <c r="AE2527" s="19">
        <f>IF(Z2527=1,(H2527-M2527)*I2527,0)</f>
        <v/>
      </c>
      <c r="AF2527">
        <f>IF(G2527&lt;EDATE(Assumptions!$C$6,-12)+1,"prior_12m","last_12m")</f>
        <v/>
      </c>
      <c r="AG2527" s="21">
        <f>DATE(YEAR(G2527),MONTH(G2527),1)</f>
        <v/>
      </c>
    </row>
    <row r="2528">
      <c r="A2528" t="inlineStr">
        <is>
          <t>SPO-01365-2</t>
        </is>
      </c>
      <c r="B2528" t="inlineStr">
        <is>
          <t>SPO-01365</t>
        </is>
      </c>
      <c r="C2528" t="inlineStr">
        <is>
          <t>SUP-11</t>
        </is>
      </c>
      <c r="D2528" t="inlineStr">
        <is>
          <t>PPE</t>
        </is>
      </c>
      <c r="E2528" t="inlineStr">
        <is>
          <t>PPE-02</t>
        </is>
      </c>
      <c r="F2528" s="17" t="n">
        <v>45947</v>
      </c>
      <c r="G2528" s="17" t="n">
        <v>45959</v>
      </c>
      <c r="H2528" s="18" t="n">
        <v>68</v>
      </c>
      <c r="I2528" s="19" t="n">
        <v>12.28</v>
      </c>
      <c r="J2528" s="19" t="n">
        <v>12.5</v>
      </c>
      <c r="K2528" s="20" t="n">
        <v>0</v>
      </c>
      <c r="L2528" s="20" t="n">
        <v>0</v>
      </c>
      <c r="M2528" s="18" t="n">
        <v>68</v>
      </c>
      <c r="N2528" s="18" t="n">
        <v>68</v>
      </c>
      <c r="O2528" s="18" t="n">
        <v>0</v>
      </c>
      <c r="P2528" s="17" t="n">
        <v>45957</v>
      </c>
      <c r="Q2528" s="17" t="n">
        <v>45957</v>
      </c>
      <c r="R2528" s="17" t="n">
        <v>45957</v>
      </c>
      <c r="S2528" s="19">
        <f>H2528*I2528</f>
        <v/>
      </c>
      <c r="T2528" s="19">
        <f>H2528*J2528</f>
        <v/>
      </c>
      <c r="U2528">
        <f>IF(AND(K2528=0,G2528&lt;=Assumptions!$C$6),1,0)</f>
        <v/>
      </c>
      <c r="V2528">
        <f>IF(U2528=1,IF(M2528&gt;0,IF(P2528&lt;=G2528+Assumptions!$C$7,1,0),0),0)</f>
        <v/>
      </c>
      <c r="W2528">
        <f>IF(AND(U2528=1,M2528&gt;=H2528*(1-Assumptions!$C$8)),1,0)</f>
        <v/>
      </c>
      <c r="X2528">
        <f>IF(AND(U2528=1,N2528&gt;=H2528*(1-Assumptions!$C$8)),1,0)</f>
        <v/>
      </c>
      <c r="Y2528">
        <f>IF(ISNUMBER(Q2528),1,0)</f>
        <v/>
      </c>
      <c r="Z2528">
        <f>IF(AND(K2528=0,L2528=0,Y2528=0),1,0)</f>
        <v/>
      </c>
      <c r="AA2528">
        <f>IF(AND(Z2528=1,G2528&lt;Assumptions!$C$6),1,0)</f>
        <v/>
      </c>
      <c r="AB2528">
        <f>IF(U2528=0,"",IF(Y2528=1,MAX(0,Q2528-G2528),IF(L2528=1,MAX(0,R2528-G2528),MAX(0,Assumptions!$C$6-G2528))))</f>
        <v/>
      </c>
      <c r="AC2528">
        <f>IF(Y2528=1,Q2528-F2528,"")</f>
        <v/>
      </c>
      <c r="AD2528">
        <f>IF(Y2528=1,AC2528^2,"")</f>
        <v/>
      </c>
      <c r="AE2528" s="19">
        <f>IF(Z2528=1,(H2528-M2528)*I2528,0)</f>
        <v/>
      </c>
      <c r="AF2528">
        <f>IF(G2528&lt;EDATE(Assumptions!$C$6,-12)+1,"prior_12m","last_12m")</f>
        <v/>
      </c>
      <c r="AG2528" s="21">
        <f>DATE(YEAR(G2528),MONTH(G2528),1)</f>
        <v/>
      </c>
    </row>
    <row r="2529">
      <c r="A2529" t="inlineStr">
        <is>
          <t>SPO-01365-3</t>
        </is>
      </c>
      <c r="B2529" t="inlineStr">
        <is>
          <t>SPO-01365</t>
        </is>
      </c>
      <c r="C2529" t="inlineStr">
        <is>
          <t>SUP-11</t>
        </is>
      </c>
      <c r="D2529" t="inlineStr">
        <is>
          <t>PPE</t>
        </is>
      </c>
      <c r="E2529" t="inlineStr">
        <is>
          <t>PPE-01</t>
        </is>
      </c>
      <c r="F2529" s="17" t="n">
        <v>45947</v>
      </c>
      <c r="G2529" s="17" t="n">
        <v>45959</v>
      </c>
      <c r="H2529" s="18" t="n">
        <v>250</v>
      </c>
      <c r="I2529" s="19" t="n">
        <v>4.68</v>
      </c>
      <c r="J2529" s="19" t="n">
        <v>4.8</v>
      </c>
      <c r="K2529" s="20" t="n">
        <v>0</v>
      </c>
      <c r="L2529" s="20" t="n">
        <v>0</v>
      </c>
      <c r="M2529" s="18" t="n">
        <v>250</v>
      </c>
      <c r="N2529" s="18" t="n">
        <v>250</v>
      </c>
      <c r="O2529" s="18" t="n">
        <v>0</v>
      </c>
      <c r="P2529" s="17" t="n">
        <v>45956</v>
      </c>
      <c r="Q2529" s="17" t="n">
        <v>45956</v>
      </c>
      <c r="R2529" s="17" t="n">
        <v>45956</v>
      </c>
      <c r="S2529" s="19">
        <f>H2529*I2529</f>
        <v/>
      </c>
      <c r="T2529" s="19">
        <f>H2529*J2529</f>
        <v/>
      </c>
      <c r="U2529">
        <f>IF(AND(K2529=0,G2529&lt;=Assumptions!$C$6),1,0)</f>
        <v/>
      </c>
      <c r="V2529">
        <f>IF(U2529=1,IF(M2529&gt;0,IF(P2529&lt;=G2529+Assumptions!$C$7,1,0),0),0)</f>
        <v/>
      </c>
      <c r="W2529">
        <f>IF(AND(U2529=1,M2529&gt;=H2529*(1-Assumptions!$C$8)),1,0)</f>
        <v/>
      </c>
      <c r="X2529">
        <f>IF(AND(U2529=1,N2529&gt;=H2529*(1-Assumptions!$C$8)),1,0)</f>
        <v/>
      </c>
      <c r="Y2529">
        <f>IF(ISNUMBER(Q2529),1,0)</f>
        <v/>
      </c>
      <c r="Z2529">
        <f>IF(AND(K2529=0,L2529=0,Y2529=0),1,0)</f>
        <v/>
      </c>
      <c r="AA2529">
        <f>IF(AND(Z2529=1,G2529&lt;Assumptions!$C$6),1,0)</f>
        <v/>
      </c>
      <c r="AB2529">
        <f>IF(U2529=0,"",IF(Y2529=1,MAX(0,Q2529-G2529),IF(L2529=1,MAX(0,R2529-G2529),MAX(0,Assumptions!$C$6-G2529))))</f>
        <v/>
      </c>
      <c r="AC2529">
        <f>IF(Y2529=1,Q2529-F2529,"")</f>
        <v/>
      </c>
      <c r="AD2529">
        <f>IF(Y2529=1,AC2529^2,"")</f>
        <v/>
      </c>
      <c r="AE2529" s="19">
        <f>IF(Z2529=1,(H2529-M2529)*I2529,0)</f>
        <v/>
      </c>
      <c r="AF2529">
        <f>IF(G2529&lt;EDATE(Assumptions!$C$6,-12)+1,"prior_12m","last_12m")</f>
        <v/>
      </c>
      <c r="AG2529" s="21">
        <f>DATE(YEAR(G2529),MONTH(G2529),1)</f>
        <v/>
      </c>
    </row>
    <row r="2530">
      <c r="A2530" t="inlineStr">
        <is>
          <t>SPO-01366-1</t>
        </is>
      </c>
      <c r="B2530" t="inlineStr">
        <is>
          <t>SPO-01366</t>
        </is>
      </c>
      <c r="C2530" t="inlineStr">
        <is>
          <t>SUP-06</t>
        </is>
      </c>
      <c r="D2530" t="inlineStr">
        <is>
          <t>MRO</t>
        </is>
      </c>
      <c r="E2530" t="inlineStr">
        <is>
          <t>MRO-01</t>
        </is>
      </c>
      <c r="F2530" s="17" t="n">
        <v>45948</v>
      </c>
      <c r="G2530" s="17" t="n">
        <v>45956</v>
      </c>
      <c r="H2530" s="18" t="n">
        <v>78</v>
      </c>
      <c r="I2530" s="19" t="n">
        <v>52.26</v>
      </c>
      <c r="J2530" s="19" t="n">
        <v>52</v>
      </c>
      <c r="K2530" s="20" t="n">
        <v>0</v>
      </c>
      <c r="L2530" s="20" t="n">
        <v>0</v>
      </c>
      <c r="M2530" s="18" t="n">
        <v>78</v>
      </c>
      <c r="N2530" s="18" t="n">
        <v>78</v>
      </c>
      <c r="O2530" s="18" t="n">
        <v>0</v>
      </c>
      <c r="P2530" s="17" t="n">
        <v>45955</v>
      </c>
      <c r="Q2530" s="17" t="n">
        <v>45955</v>
      </c>
      <c r="R2530" s="17" t="n">
        <v>45955</v>
      </c>
      <c r="S2530" s="19">
        <f>H2530*I2530</f>
        <v/>
      </c>
      <c r="T2530" s="19">
        <f>H2530*J2530</f>
        <v/>
      </c>
      <c r="U2530">
        <f>IF(AND(K2530=0,G2530&lt;=Assumptions!$C$6),1,0)</f>
        <v/>
      </c>
      <c r="V2530">
        <f>IF(U2530=1,IF(M2530&gt;0,IF(P2530&lt;=G2530+Assumptions!$C$7,1,0),0),0)</f>
        <v/>
      </c>
      <c r="W2530">
        <f>IF(AND(U2530=1,M2530&gt;=H2530*(1-Assumptions!$C$8)),1,0)</f>
        <v/>
      </c>
      <c r="X2530">
        <f>IF(AND(U2530=1,N2530&gt;=H2530*(1-Assumptions!$C$8)),1,0)</f>
        <v/>
      </c>
      <c r="Y2530">
        <f>IF(ISNUMBER(Q2530),1,0)</f>
        <v/>
      </c>
      <c r="Z2530">
        <f>IF(AND(K2530=0,L2530=0,Y2530=0),1,0)</f>
        <v/>
      </c>
      <c r="AA2530">
        <f>IF(AND(Z2530=1,G2530&lt;Assumptions!$C$6),1,0)</f>
        <v/>
      </c>
      <c r="AB2530">
        <f>IF(U2530=0,"",IF(Y2530=1,MAX(0,Q2530-G2530),IF(L2530=1,MAX(0,R2530-G2530),MAX(0,Assumptions!$C$6-G2530))))</f>
        <v/>
      </c>
      <c r="AC2530">
        <f>IF(Y2530=1,Q2530-F2530,"")</f>
        <v/>
      </c>
      <c r="AD2530">
        <f>IF(Y2530=1,AC2530^2,"")</f>
        <v/>
      </c>
      <c r="AE2530" s="19">
        <f>IF(Z2530=1,(H2530-M2530)*I2530,0)</f>
        <v/>
      </c>
      <c r="AF2530">
        <f>IF(G2530&lt;EDATE(Assumptions!$C$6,-12)+1,"prior_12m","last_12m")</f>
        <v/>
      </c>
      <c r="AG2530" s="21">
        <f>DATE(YEAR(G2530),MONTH(G2530),1)</f>
        <v/>
      </c>
    </row>
    <row r="2531">
      <c r="A2531" t="inlineStr">
        <is>
          <t>SPO-01366-2</t>
        </is>
      </c>
      <c r="B2531" t="inlineStr">
        <is>
          <t>SPO-01366</t>
        </is>
      </c>
      <c r="C2531" t="inlineStr">
        <is>
          <t>SUP-06</t>
        </is>
      </c>
      <c r="D2531" t="inlineStr">
        <is>
          <t>MRO</t>
        </is>
      </c>
      <c r="E2531" t="inlineStr">
        <is>
          <t>MRO-02</t>
        </is>
      </c>
      <c r="F2531" s="17" t="n">
        <v>45948</v>
      </c>
      <c r="G2531" s="17" t="n">
        <v>45956</v>
      </c>
      <c r="H2531" s="18" t="n">
        <v>22</v>
      </c>
      <c r="I2531" s="19" t="n">
        <v>40.34</v>
      </c>
      <c r="J2531" s="19" t="n">
        <v>41</v>
      </c>
      <c r="K2531" s="20" t="n">
        <v>0</v>
      </c>
      <c r="L2531" s="20" t="n">
        <v>0</v>
      </c>
      <c r="M2531" s="18" t="n">
        <v>22</v>
      </c>
      <c r="N2531" s="18" t="n">
        <v>22</v>
      </c>
      <c r="O2531" s="18" t="n">
        <v>0</v>
      </c>
      <c r="P2531" s="17" t="n">
        <v>45953</v>
      </c>
      <c r="Q2531" s="17" t="n">
        <v>45953</v>
      </c>
      <c r="R2531" s="17" t="n">
        <v>45953</v>
      </c>
      <c r="S2531" s="19">
        <f>H2531*I2531</f>
        <v/>
      </c>
      <c r="T2531" s="19">
        <f>H2531*J2531</f>
        <v/>
      </c>
      <c r="U2531">
        <f>IF(AND(K2531=0,G2531&lt;=Assumptions!$C$6),1,0)</f>
        <v/>
      </c>
      <c r="V2531">
        <f>IF(U2531=1,IF(M2531&gt;0,IF(P2531&lt;=G2531+Assumptions!$C$7,1,0),0),0)</f>
        <v/>
      </c>
      <c r="W2531">
        <f>IF(AND(U2531=1,M2531&gt;=H2531*(1-Assumptions!$C$8)),1,0)</f>
        <v/>
      </c>
      <c r="X2531">
        <f>IF(AND(U2531=1,N2531&gt;=H2531*(1-Assumptions!$C$8)),1,0)</f>
        <v/>
      </c>
      <c r="Y2531">
        <f>IF(ISNUMBER(Q2531),1,0)</f>
        <v/>
      </c>
      <c r="Z2531">
        <f>IF(AND(K2531=0,L2531=0,Y2531=0),1,0)</f>
        <v/>
      </c>
      <c r="AA2531">
        <f>IF(AND(Z2531=1,G2531&lt;Assumptions!$C$6),1,0)</f>
        <v/>
      </c>
      <c r="AB2531">
        <f>IF(U2531=0,"",IF(Y2531=1,MAX(0,Q2531-G2531),IF(L2531=1,MAX(0,R2531-G2531),MAX(0,Assumptions!$C$6-G2531))))</f>
        <v/>
      </c>
      <c r="AC2531">
        <f>IF(Y2531=1,Q2531-F2531,"")</f>
        <v/>
      </c>
      <c r="AD2531">
        <f>IF(Y2531=1,AC2531^2,"")</f>
        <v/>
      </c>
      <c r="AE2531" s="19">
        <f>IF(Z2531=1,(H2531-M2531)*I2531,0)</f>
        <v/>
      </c>
      <c r="AF2531">
        <f>IF(G2531&lt;EDATE(Assumptions!$C$6,-12)+1,"prior_12m","last_12m")</f>
        <v/>
      </c>
      <c r="AG2531" s="21">
        <f>DATE(YEAR(G2531),MONTH(G2531),1)</f>
        <v/>
      </c>
    </row>
    <row r="2532">
      <c r="A2532" t="inlineStr">
        <is>
          <t>SPO-01367-1</t>
        </is>
      </c>
      <c r="B2532" t="inlineStr">
        <is>
          <t>SPO-01367</t>
        </is>
      </c>
      <c r="C2532" t="inlineStr">
        <is>
          <t>SUP-01</t>
        </is>
      </c>
      <c r="D2532" t="inlineStr">
        <is>
          <t>ELEC</t>
        </is>
      </c>
      <c r="E2532" t="inlineStr">
        <is>
          <t>ELEC-01</t>
        </is>
      </c>
      <c r="F2532" s="17" t="n">
        <v>45948</v>
      </c>
      <c r="G2532" s="17" t="n">
        <v>45966</v>
      </c>
      <c r="H2532" s="18" t="n">
        <v>53</v>
      </c>
      <c r="I2532" s="19" t="n">
        <v>38.12</v>
      </c>
      <c r="J2532" s="19" t="n">
        <v>38</v>
      </c>
      <c r="K2532" s="20" t="n">
        <v>0</v>
      </c>
      <c r="L2532" s="20" t="n">
        <v>0</v>
      </c>
      <c r="M2532" s="18" t="n">
        <v>53</v>
      </c>
      <c r="N2532" s="18" t="n">
        <v>0</v>
      </c>
      <c r="O2532" s="18" t="n">
        <v>0</v>
      </c>
      <c r="P2532" s="17" t="n">
        <v>45967</v>
      </c>
      <c r="Q2532" s="17" t="n">
        <v>45967</v>
      </c>
      <c r="R2532" s="17" t="n">
        <v>45967</v>
      </c>
      <c r="S2532" s="19">
        <f>H2532*I2532</f>
        <v/>
      </c>
      <c r="T2532" s="19">
        <f>H2532*J2532</f>
        <v/>
      </c>
      <c r="U2532">
        <f>IF(AND(K2532=0,G2532&lt;=Assumptions!$C$6),1,0)</f>
        <v/>
      </c>
      <c r="V2532">
        <f>IF(U2532=1,IF(M2532&gt;0,IF(P2532&lt;=G2532+Assumptions!$C$7,1,0),0),0)</f>
        <v/>
      </c>
      <c r="W2532">
        <f>IF(AND(U2532=1,M2532&gt;=H2532*(1-Assumptions!$C$8)),1,0)</f>
        <v/>
      </c>
      <c r="X2532">
        <f>IF(AND(U2532=1,N2532&gt;=H2532*(1-Assumptions!$C$8)),1,0)</f>
        <v/>
      </c>
      <c r="Y2532">
        <f>IF(ISNUMBER(Q2532),1,0)</f>
        <v/>
      </c>
      <c r="Z2532">
        <f>IF(AND(K2532=0,L2532=0,Y2532=0),1,0)</f>
        <v/>
      </c>
      <c r="AA2532">
        <f>IF(AND(Z2532=1,G2532&lt;Assumptions!$C$6),1,0)</f>
        <v/>
      </c>
      <c r="AB2532">
        <f>IF(U2532=0,"",IF(Y2532=1,MAX(0,Q2532-G2532),IF(L2532=1,MAX(0,R2532-G2532),MAX(0,Assumptions!$C$6-G2532))))</f>
        <v/>
      </c>
      <c r="AC2532">
        <f>IF(Y2532=1,Q2532-F2532,"")</f>
        <v/>
      </c>
      <c r="AD2532">
        <f>IF(Y2532=1,AC2532^2,"")</f>
        <v/>
      </c>
      <c r="AE2532" s="19">
        <f>IF(Z2532=1,(H2532-M2532)*I2532,0)</f>
        <v/>
      </c>
      <c r="AF2532">
        <f>IF(G2532&lt;EDATE(Assumptions!$C$6,-12)+1,"prior_12m","last_12m")</f>
        <v/>
      </c>
      <c r="AG2532" s="21">
        <f>DATE(YEAR(G2532),MONTH(G2532),1)</f>
        <v/>
      </c>
    </row>
    <row r="2533">
      <c r="A2533" t="inlineStr">
        <is>
          <t>SPO-01368-1</t>
        </is>
      </c>
      <c r="B2533" t="inlineStr">
        <is>
          <t>SPO-01368</t>
        </is>
      </c>
      <c r="C2533" t="inlineStr">
        <is>
          <t>SUP-08</t>
        </is>
      </c>
      <c r="D2533" t="inlineStr">
        <is>
          <t>PPE</t>
        </is>
      </c>
      <c r="E2533" t="inlineStr">
        <is>
          <t>PPE-04</t>
        </is>
      </c>
      <c r="F2533" s="17" t="n">
        <v>45948</v>
      </c>
      <c r="G2533" s="17" t="n">
        <v>45959</v>
      </c>
      <c r="H2533" s="18" t="n">
        <v>73</v>
      </c>
      <c r="I2533" s="19" t="n">
        <v>26.23</v>
      </c>
      <c r="J2533" s="19" t="n">
        <v>26</v>
      </c>
      <c r="K2533" s="20" t="n">
        <v>1</v>
      </c>
      <c r="L2533" s="20" t="n">
        <v>0</v>
      </c>
      <c r="M2533" s="18" t="n">
        <v>0</v>
      </c>
      <c r="N2533" s="18" t="n">
        <v>0</v>
      </c>
      <c r="O2533" s="18" t="n">
        <v>0</v>
      </c>
      <c r="P2533" s="17" t="n"/>
      <c r="Q2533" s="17" t="n"/>
      <c r="R2533" s="17" t="n"/>
      <c r="S2533" s="19">
        <f>H2533*I2533</f>
        <v/>
      </c>
      <c r="T2533" s="19">
        <f>H2533*J2533</f>
        <v/>
      </c>
      <c r="U2533">
        <f>IF(AND(K2533=0,G2533&lt;=Assumptions!$C$6),1,0)</f>
        <v/>
      </c>
      <c r="V2533">
        <f>IF(U2533=1,IF(M2533&gt;0,IF(P2533&lt;=G2533+Assumptions!$C$7,1,0),0),0)</f>
        <v/>
      </c>
      <c r="W2533">
        <f>IF(AND(U2533=1,M2533&gt;=H2533*(1-Assumptions!$C$8)),1,0)</f>
        <v/>
      </c>
      <c r="X2533">
        <f>IF(AND(U2533=1,N2533&gt;=H2533*(1-Assumptions!$C$8)),1,0)</f>
        <v/>
      </c>
      <c r="Y2533">
        <f>IF(ISNUMBER(Q2533),1,0)</f>
        <v/>
      </c>
      <c r="Z2533">
        <f>IF(AND(K2533=0,L2533=0,Y2533=0),1,0)</f>
        <v/>
      </c>
      <c r="AA2533">
        <f>IF(AND(Z2533=1,G2533&lt;Assumptions!$C$6),1,0)</f>
        <v/>
      </c>
      <c r="AB2533">
        <f>IF(U2533=0,"",IF(Y2533=1,MAX(0,Q2533-G2533),IF(L2533=1,MAX(0,R2533-G2533),MAX(0,Assumptions!$C$6-G2533))))</f>
        <v/>
      </c>
      <c r="AC2533">
        <f>IF(Y2533=1,Q2533-F2533,"")</f>
        <v/>
      </c>
      <c r="AD2533">
        <f>IF(Y2533=1,AC2533^2,"")</f>
        <v/>
      </c>
      <c r="AE2533" s="19">
        <f>IF(Z2533=1,(H2533-M2533)*I2533,0)</f>
        <v/>
      </c>
      <c r="AF2533">
        <f>IF(G2533&lt;EDATE(Assumptions!$C$6,-12)+1,"prior_12m","last_12m")</f>
        <v/>
      </c>
      <c r="AG2533" s="21">
        <f>DATE(YEAR(G2533),MONTH(G2533),1)</f>
        <v/>
      </c>
    </row>
    <row r="2534">
      <c r="A2534" t="inlineStr">
        <is>
          <t>SPO-01368-2</t>
        </is>
      </c>
      <c r="B2534" t="inlineStr">
        <is>
          <t>SPO-01368</t>
        </is>
      </c>
      <c r="C2534" t="inlineStr">
        <is>
          <t>SUP-08</t>
        </is>
      </c>
      <c r="D2534" t="inlineStr">
        <is>
          <t>PPE</t>
        </is>
      </c>
      <c r="E2534" t="inlineStr">
        <is>
          <t>PPE-03</t>
        </is>
      </c>
      <c r="F2534" s="17" t="n">
        <v>45948</v>
      </c>
      <c r="G2534" s="17" t="n">
        <v>45959</v>
      </c>
      <c r="H2534" s="18" t="n">
        <v>39</v>
      </c>
      <c r="I2534" s="19" t="n">
        <v>20.95</v>
      </c>
      <c r="J2534" s="19" t="n">
        <v>21</v>
      </c>
      <c r="K2534" s="20" t="n">
        <v>0</v>
      </c>
      <c r="L2534" s="20" t="n">
        <v>0</v>
      </c>
      <c r="M2534" s="18" t="n">
        <v>39</v>
      </c>
      <c r="N2534" s="18" t="n">
        <v>39</v>
      </c>
      <c r="O2534" s="18" t="n">
        <v>0</v>
      </c>
      <c r="P2534" s="17" t="n">
        <v>45955</v>
      </c>
      <c r="Q2534" s="17" t="n">
        <v>45955</v>
      </c>
      <c r="R2534" s="17" t="n">
        <v>45955</v>
      </c>
      <c r="S2534" s="19">
        <f>H2534*I2534</f>
        <v/>
      </c>
      <c r="T2534" s="19">
        <f>H2534*J2534</f>
        <v/>
      </c>
      <c r="U2534">
        <f>IF(AND(K2534=0,G2534&lt;=Assumptions!$C$6),1,0)</f>
        <v/>
      </c>
      <c r="V2534">
        <f>IF(U2534=1,IF(M2534&gt;0,IF(P2534&lt;=G2534+Assumptions!$C$7,1,0),0),0)</f>
        <v/>
      </c>
      <c r="W2534">
        <f>IF(AND(U2534=1,M2534&gt;=H2534*(1-Assumptions!$C$8)),1,0)</f>
        <v/>
      </c>
      <c r="X2534">
        <f>IF(AND(U2534=1,N2534&gt;=H2534*(1-Assumptions!$C$8)),1,0)</f>
        <v/>
      </c>
      <c r="Y2534">
        <f>IF(ISNUMBER(Q2534),1,0)</f>
        <v/>
      </c>
      <c r="Z2534">
        <f>IF(AND(K2534=0,L2534=0,Y2534=0),1,0)</f>
        <v/>
      </c>
      <c r="AA2534">
        <f>IF(AND(Z2534=1,G2534&lt;Assumptions!$C$6),1,0)</f>
        <v/>
      </c>
      <c r="AB2534">
        <f>IF(U2534=0,"",IF(Y2534=1,MAX(0,Q2534-G2534),IF(L2534=1,MAX(0,R2534-G2534),MAX(0,Assumptions!$C$6-G2534))))</f>
        <v/>
      </c>
      <c r="AC2534">
        <f>IF(Y2534=1,Q2534-F2534,"")</f>
        <v/>
      </c>
      <c r="AD2534">
        <f>IF(Y2534=1,AC2534^2,"")</f>
        <v/>
      </c>
      <c r="AE2534" s="19">
        <f>IF(Z2534=1,(H2534-M2534)*I2534,0)</f>
        <v/>
      </c>
      <c r="AF2534">
        <f>IF(G2534&lt;EDATE(Assumptions!$C$6,-12)+1,"prior_12m","last_12m")</f>
        <v/>
      </c>
      <c r="AG2534" s="21">
        <f>DATE(YEAR(G2534),MONTH(G2534),1)</f>
        <v/>
      </c>
    </row>
    <row r="2535">
      <c r="A2535" t="inlineStr">
        <is>
          <t>SPO-01369-1</t>
        </is>
      </c>
      <c r="B2535" t="inlineStr">
        <is>
          <t>SPO-01369</t>
        </is>
      </c>
      <c r="C2535" t="inlineStr">
        <is>
          <t>SUP-05</t>
        </is>
      </c>
      <c r="D2535" t="inlineStr">
        <is>
          <t>FLEET</t>
        </is>
      </c>
      <c r="E2535" t="inlineStr">
        <is>
          <t>FLEET-02</t>
        </is>
      </c>
      <c r="F2535" s="17" t="n">
        <v>45948</v>
      </c>
      <c r="G2535" s="17" t="n">
        <v>45962</v>
      </c>
      <c r="H2535" s="18" t="n">
        <v>217</v>
      </c>
      <c r="I2535" s="19" t="n">
        <v>7.57</v>
      </c>
      <c r="J2535" s="19" t="n">
        <v>7.5</v>
      </c>
      <c r="K2535" s="20" t="n">
        <v>0</v>
      </c>
      <c r="L2535" s="20" t="n">
        <v>0</v>
      </c>
      <c r="M2535" s="18" t="n">
        <v>217</v>
      </c>
      <c r="N2535" s="18" t="n">
        <v>217</v>
      </c>
      <c r="O2535" s="18" t="n">
        <v>0</v>
      </c>
      <c r="P2535" s="17" t="n">
        <v>45962</v>
      </c>
      <c r="Q2535" s="17" t="n">
        <v>45962</v>
      </c>
      <c r="R2535" s="17" t="n">
        <v>45962</v>
      </c>
      <c r="S2535" s="19">
        <f>H2535*I2535</f>
        <v/>
      </c>
      <c r="T2535" s="19">
        <f>H2535*J2535</f>
        <v/>
      </c>
      <c r="U2535">
        <f>IF(AND(K2535=0,G2535&lt;=Assumptions!$C$6),1,0)</f>
        <v/>
      </c>
      <c r="V2535">
        <f>IF(U2535=1,IF(M2535&gt;0,IF(P2535&lt;=G2535+Assumptions!$C$7,1,0),0),0)</f>
        <v/>
      </c>
      <c r="W2535">
        <f>IF(AND(U2535=1,M2535&gt;=H2535*(1-Assumptions!$C$8)),1,0)</f>
        <v/>
      </c>
      <c r="X2535">
        <f>IF(AND(U2535=1,N2535&gt;=H2535*(1-Assumptions!$C$8)),1,0)</f>
        <v/>
      </c>
      <c r="Y2535">
        <f>IF(ISNUMBER(Q2535),1,0)</f>
        <v/>
      </c>
      <c r="Z2535">
        <f>IF(AND(K2535=0,L2535=0,Y2535=0),1,0)</f>
        <v/>
      </c>
      <c r="AA2535">
        <f>IF(AND(Z2535=1,G2535&lt;Assumptions!$C$6),1,0)</f>
        <v/>
      </c>
      <c r="AB2535">
        <f>IF(U2535=0,"",IF(Y2535=1,MAX(0,Q2535-G2535),IF(L2535=1,MAX(0,R2535-G2535),MAX(0,Assumptions!$C$6-G2535))))</f>
        <v/>
      </c>
      <c r="AC2535">
        <f>IF(Y2535=1,Q2535-F2535,"")</f>
        <v/>
      </c>
      <c r="AD2535">
        <f>IF(Y2535=1,AC2535^2,"")</f>
        <v/>
      </c>
      <c r="AE2535" s="19">
        <f>IF(Z2535=1,(H2535-M2535)*I2535,0)</f>
        <v/>
      </c>
      <c r="AF2535">
        <f>IF(G2535&lt;EDATE(Assumptions!$C$6,-12)+1,"prior_12m","last_12m")</f>
        <v/>
      </c>
      <c r="AG2535" s="21">
        <f>DATE(YEAR(G2535),MONTH(G2535),1)</f>
        <v/>
      </c>
    </row>
    <row r="2536">
      <c r="A2536" t="inlineStr">
        <is>
          <t>SPO-01370-1</t>
        </is>
      </c>
      <c r="B2536" t="inlineStr">
        <is>
          <t>SPO-01370</t>
        </is>
      </c>
      <c r="C2536" t="inlineStr">
        <is>
          <t>SUP-05</t>
        </is>
      </c>
      <c r="D2536" t="inlineStr">
        <is>
          <t>FLEET</t>
        </is>
      </c>
      <c r="E2536" t="inlineStr">
        <is>
          <t>FLEET-08</t>
        </is>
      </c>
      <c r="F2536" s="17" t="n">
        <v>45948</v>
      </c>
      <c r="G2536" s="17" t="n">
        <v>45962</v>
      </c>
      <c r="H2536" s="18" t="n">
        <v>333</v>
      </c>
      <c r="I2536" s="19" t="n">
        <v>6.35</v>
      </c>
      <c r="J2536" s="19" t="n">
        <v>6.4</v>
      </c>
      <c r="K2536" s="20" t="n">
        <v>0</v>
      </c>
      <c r="L2536" s="20" t="n">
        <v>0</v>
      </c>
      <c r="M2536" s="18" t="n">
        <v>333</v>
      </c>
      <c r="N2536" s="18" t="n">
        <v>333</v>
      </c>
      <c r="O2536" s="18" t="n">
        <v>0</v>
      </c>
      <c r="P2536" s="17" t="n">
        <v>45960</v>
      </c>
      <c r="Q2536" s="17" t="n">
        <v>45960</v>
      </c>
      <c r="R2536" s="17" t="n">
        <v>45960</v>
      </c>
      <c r="S2536" s="19">
        <f>H2536*I2536</f>
        <v/>
      </c>
      <c r="T2536" s="19">
        <f>H2536*J2536</f>
        <v/>
      </c>
      <c r="U2536">
        <f>IF(AND(K2536=0,G2536&lt;=Assumptions!$C$6),1,0)</f>
        <v/>
      </c>
      <c r="V2536">
        <f>IF(U2536=1,IF(M2536&gt;0,IF(P2536&lt;=G2536+Assumptions!$C$7,1,0),0),0)</f>
        <v/>
      </c>
      <c r="W2536">
        <f>IF(AND(U2536=1,M2536&gt;=H2536*(1-Assumptions!$C$8)),1,0)</f>
        <v/>
      </c>
      <c r="X2536">
        <f>IF(AND(U2536=1,N2536&gt;=H2536*(1-Assumptions!$C$8)),1,0)</f>
        <v/>
      </c>
      <c r="Y2536">
        <f>IF(ISNUMBER(Q2536),1,0)</f>
        <v/>
      </c>
      <c r="Z2536">
        <f>IF(AND(K2536=0,L2536=0,Y2536=0),1,0)</f>
        <v/>
      </c>
      <c r="AA2536">
        <f>IF(AND(Z2536=1,G2536&lt;Assumptions!$C$6),1,0)</f>
        <v/>
      </c>
      <c r="AB2536">
        <f>IF(U2536=0,"",IF(Y2536=1,MAX(0,Q2536-G2536),IF(L2536=1,MAX(0,R2536-G2536),MAX(0,Assumptions!$C$6-G2536))))</f>
        <v/>
      </c>
      <c r="AC2536">
        <f>IF(Y2536=1,Q2536-F2536,"")</f>
        <v/>
      </c>
      <c r="AD2536">
        <f>IF(Y2536=1,AC2536^2,"")</f>
        <v/>
      </c>
      <c r="AE2536" s="19">
        <f>IF(Z2536=1,(H2536-M2536)*I2536,0)</f>
        <v/>
      </c>
      <c r="AF2536">
        <f>IF(G2536&lt;EDATE(Assumptions!$C$6,-12)+1,"prior_12m","last_12m")</f>
        <v/>
      </c>
      <c r="AG2536" s="21">
        <f>DATE(YEAR(G2536),MONTH(G2536),1)</f>
        <v/>
      </c>
    </row>
    <row r="2537">
      <c r="A2537" t="inlineStr">
        <is>
          <t>SPO-01371-1</t>
        </is>
      </c>
      <c r="B2537" t="inlineStr">
        <is>
          <t>SPO-01371</t>
        </is>
      </c>
      <c r="C2537" t="inlineStr">
        <is>
          <t>SUP-09</t>
        </is>
      </c>
      <c r="D2537" t="inlineStr">
        <is>
          <t>CHEM</t>
        </is>
      </c>
      <c r="E2537" t="inlineStr">
        <is>
          <t>CHEM-03</t>
        </is>
      </c>
      <c r="F2537" s="17" t="n">
        <v>45948</v>
      </c>
      <c r="G2537" s="17" t="n">
        <v>45962</v>
      </c>
      <c r="H2537" s="18" t="n">
        <v>4</v>
      </c>
      <c r="I2537" s="19" t="n">
        <v>288.22</v>
      </c>
      <c r="J2537" s="19" t="n">
        <v>265</v>
      </c>
      <c r="K2537" s="20" t="n">
        <v>0</v>
      </c>
      <c r="L2537" s="20" t="n">
        <v>0</v>
      </c>
      <c r="M2537" s="18" t="n">
        <v>4</v>
      </c>
      <c r="N2537" s="18" t="n">
        <v>4</v>
      </c>
      <c r="O2537" s="18" t="n">
        <v>0</v>
      </c>
      <c r="P2537" s="17" t="n">
        <v>45956</v>
      </c>
      <c r="Q2537" s="17" t="n">
        <v>45956</v>
      </c>
      <c r="R2537" s="17" t="n">
        <v>45956</v>
      </c>
      <c r="S2537" s="19">
        <f>H2537*I2537</f>
        <v/>
      </c>
      <c r="T2537" s="19">
        <f>H2537*J2537</f>
        <v/>
      </c>
      <c r="U2537">
        <f>IF(AND(K2537=0,G2537&lt;=Assumptions!$C$6),1,0)</f>
        <v/>
      </c>
      <c r="V2537">
        <f>IF(U2537=1,IF(M2537&gt;0,IF(P2537&lt;=G2537+Assumptions!$C$7,1,0),0),0)</f>
        <v/>
      </c>
      <c r="W2537">
        <f>IF(AND(U2537=1,M2537&gt;=H2537*(1-Assumptions!$C$8)),1,0)</f>
        <v/>
      </c>
      <c r="X2537">
        <f>IF(AND(U2537=1,N2537&gt;=H2537*(1-Assumptions!$C$8)),1,0)</f>
        <v/>
      </c>
      <c r="Y2537">
        <f>IF(ISNUMBER(Q2537),1,0)</f>
        <v/>
      </c>
      <c r="Z2537">
        <f>IF(AND(K2537=0,L2537=0,Y2537=0),1,0)</f>
        <v/>
      </c>
      <c r="AA2537">
        <f>IF(AND(Z2537=1,G2537&lt;Assumptions!$C$6),1,0)</f>
        <v/>
      </c>
      <c r="AB2537">
        <f>IF(U2537=0,"",IF(Y2537=1,MAX(0,Q2537-G2537),IF(L2537=1,MAX(0,R2537-G2537),MAX(0,Assumptions!$C$6-G2537))))</f>
        <v/>
      </c>
      <c r="AC2537">
        <f>IF(Y2537=1,Q2537-F2537,"")</f>
        <v/>
      </c>
      <c r="AD2537">
        <f>IF(Y2537=1,AC2537^2,"")</f>
        <v/>
      </c>
      <c r="AE2537" s="19">
        <f>IF(Z2537=1,(H2537-M2537)*I2537,0)</f>
        <v/>
      </c>
      <c r="AF2537">
        <f>IF(G2537&lt;EDATE(Assumptions!$C$6,-12)+1,"prior_12m","last_12m")</f>
        <v/>
      </c>
      <c r="AG2537" s="21">
        <f>DATE(YEAR(G2537),MONTH(G2537),1)</f>
        <v/>
      </c>
    </row>
    <row r="2538">
      <c r="A2538" t="inlineStr">
        <is>
          <t>SPO-01371-2</t>
        </is>
      </c>
      <c r="B2538" t="inlineStr">
        <is>
          <t>SPO-01371</t>
        </is>
      </c>
      <c r="C2538" t="inlineStr">
        <is>
          <t>SUP-09</t>
        </is>
      </c>
      <c r="D2538" t="inlineStr">
        <is>
          <t>CHEM</t>
        </is>
      </c>
      <c r="E2538" t="inlineStr">
        <is>
          <t>CHEM-06</t>
        </is>
      </c>
      <c r="F2538" s="17" t="n">
        <v>45948</v>
      </c>
      <c r="G2538" s="17" t="n">
        <v>45962</v>
      </c>
      <c r="H2538" s="18" t="n">
        <v>3</v>
      </c>
      <c r="I2538" s="19" t="n">
        <v>391.3</v>
      </c>
      <c r="J2538" s="19" t="n">
        <v>380</v>
      </c>
      <c r="K2538" s="20" t="n">
        <v>0</v>
      </c>
      <c r="L2538" s="20" t="n">
        <v>0</v>
      </c>
      <c r="M2538" s="18" t="n">
        <v>3</v>
      </c>
      <c r="N2538" s="18" t="n">
        <v>2</v>
      </c>
      <c r="O2538" s="18" t="n">
        <v>0</v>
      </c>
      <c r="P2538" s="17" t="n">
        <v>45957</v>
      </c>
      <c r="Q2538" s="17" t="n">
        <v>45973</v>
      </c>
      <c r="R2538" s="17" t="n">
        <v>45973</v>
      </c>
      <c r="S2538" s="19">
        <f>H2538*I2538</f>
        <v/>
      </c>
      <c r="T2538" s="19">
        <f>H2538*J2538</f>
        <v/>
      </c>
      <c r="U2538">
        <f>IF(AND(K2538=0,G2538&lt;=Assumptions!$C$6),1,0)</f>
        <v/>
      </c>
      <c r="V2538">
        <f>IF(U2538=1,IF(M2538&gt;0,IF(P2538&lt;=G2538+Assumptions!$C$7,1,0),0),0)</f>
        <v/>
      </c>
      <c r="W2538">
        <f>IF(AND(U2538=1,M2538&gt;=H2538*(1-Assumptions!$C$8)),1,0)</f>
        <v/>
      </c>
      <c r="X2538">
        <f>IF(AND(U2538=1,N2538&gt;=H2538*(1-Assumptions!$C$8)),1,0)</f>
        <v/>
      </c>
      <c r="Y2538">
        <f>IF(ISNUMBER(Q2538),1,0)</f>
        <v/>
      </c>
      <c r="Z2538">
        <f>IF(AND(K2538=0,L2538=0,Y2538=0),1,0)</f>
        <v/>
      </c>
      <c r="AA2538">
        <f>IF(AND(Z2538=1,G2538&lt;Assumptions!$C$6),1,0)</f>
        <v/>
      </c>
      <c r="AB2538">
        <f>IF(U2538=0,"",IF(Y2538=1,MAX(0,Q2538-G2538),IF(L2538=1,MAX(0,R2538-G2538),MAX(0,Assumptions!$C$6-G2538))))</f>
        <v/>
      </c>
      <c r="AC2538">
        <f>IF(Y2538=1,Q2538-F2538,"")</f>
        <v/>
      </c>
      <c r="AD2538">
        <f>IF(Y2538=1,AC2538^2,"")</f>
        <v/>
      </c>
      <c r="AE2538" s="19">
        <f>IF(Z2538=1,(H2538-M2538)*I2538,0)</f>
        <v/>
      </c>
      <c r="AF2538">
        <f>IF(G2538&lt;EDATE(Assumptions!$C$6,-12)+1,"prior_12m","last_12m")</f>
        <v/>
      </c>
      <c r="AG2538" s="21">
        <f>DATE(YEAR(G2538),MONTH(G2538),1)</f>
        <v/>
      </c>
    </row>
    <row r="2539">
      <c r="A2539" t="inlineStr">
        <is>
          <t>SPO-01371-3</t>
        </is>
      </c>
      <c r="B2539" t="inlineStr">
        <is>
          <t>SPO-01371</t>
        </is>
      </c>
      <c r="C2539" t="inlineStr">
        <is>
          <t>SUP-09</t>
        </is>
      </c>
      <c r="D2539" t="inlineStr">
        <is>
          <t>CHEM</t>
        </is>
      </c>
      <c r="E2539" t="inlineStr">
        <is>
          <t>CHEM-04</t>
        </is>
      </c>
      <c r="F2539" s="17" t="n">
        <v>45948</v>
      </c>
      <c r="G2539" s="17" t="n">
        <v>45962</v>
      </c>
      <c r="H2539" s="18" t="n">
        <v>4</v>
      </c>
      <c r="I2539" s="19" t="n">
        <v>812.26</v>
      </c>
      <c r="J2539" s="19" t="n">
        <v>820</v>
      </c>
      <c r="K2539" s="20" t="n">
        <v>0</v>
      </c>
      <c r="L2539" s="20" t="n">
        <v>0</v>
      </c>
      <c r="M2539" s="18" t="n">
        <v>4</v>
      </c>
      <c r="N2539" s="18" t="n">
        <v>4</v>
      </c>
      <c r="O2539" s="18" t="n">
        <v>0</v>
      </c>
      <c r="P2539" s="17" t="n">
        <v>45960</v>
      </c>
      <c r="Q2539" s="17" t="n">
        <v>45960</v>
      </c>
      <c r="R2539" s="17" t="n">
        <v>45960</v>
      </c>
      <c r="S2539" s="19">
        <f>H2539*I2539</f>
        <v/>
      </c>
      <c r="T2539" s="19">
        <f>H2539*J2539</f>
        <v/>
      </c>
      <c r="U2539">
        <f>IF(AND(K2539=0,G2539&lt;=Assumptions!$C$6),1,0)</f>
        <v/>
      </c>
      <c r="V2539">
        <f>IF(U2539=1,IF(M2539&gt;0,IF(P2539&lt;=G2539+Assumptions!$C$7,1,0),0),0)</f>
        <v/>
      </c>
      <c r="W2539">
        <f>IF(AND(U2539=1,M2539&gt;=H2539*(1-Assumptions!$C$8)),1,0)</f>
        <v/>
      </c>
      <c r="X2539">
        <f>IF(AND(U2539=1,N2539&gt;=H2539*(1-Assumptions!$C$8)),1,0)</f>
        <v/>
      </c>
      <c r="Y2539">
        <f>IF(ISNUMBER(Q2539),1,0)</f>
        <v/>
      </c>
      <c r="Z2539">
        <f>IF(AND(K2539=0,L2539=0,Y2539=0),1,0)</f>
        <v/>
      </c>
      <c r="AA2539">
        <f>IF(AND(Z2539=1,G2539&lt;Assumptions!$C$6),1,0)</f>
        <v/>
      </c>
      <c r="AB2539">
        <f>IF(U2539=0,"",IF(Y2539=1,MAX(0,Q2539-G2539),IF(L2539=1,MAX(0,R2539-G2539),MAX(0,Assumptions!$C$6-G2539))))</f>
        <v/>
      </c>
      <c r="AC2539">
        <f>IF(Y2539=1,Q2539-F2539,"")</f>
        <v/>
      </c>
      <c r="AD2539">
        <f>IF(Y2539=1,AC2539^2,"")</f>
        <v/>
      </c>
      <c r="AE2539" s="19">
        <f>IF(Z2539=1,(H2539-M2539)*I2539,0)</f>
        <v/>
      </c>
      <c r="AF2539">
        <f>IF(G2539&lt;EDATE(Assumptions!$C$6,-12)+1,"prior_12m","last_12m")</f>
        <v/>
      </c>
      <c r="AG2539" s="21">
        <f>DATE(YEAR(G2539),MONTH(G2539),1)</f>
        <v/>
      </c>
    </row>
    <row r="2540">
      <c r="A2540" t="inlineStr">
        <is>
          <t>SPO-01372-1</t>
        </is>
      </c>
      <c r="B2540" t="inlineStr">
        <is>
          <t>SPO-01372</t>
        </is>
      </c>
      <c r="C2540" t="inlineStr">
        <is>
          <t>SUP-05</t>
        </is>
      </c>
      <c r="D2540" t="inlineStr">
        <is>
          <t>FLEET</t>
        </is>
      </c>
      <c r="E2540" t="inlineStr">
        <is>
          <t>FLEET-07</t>
        </is>
      </c>
      <c r="F2540" s="17" t="n">
        <v>45949</v>
      </c>
      <c r="G2540" s="17" t="n">
        <v>45963</v>
      </c>
      <c r="H2540" s="18" t="n">
        <v>6</v>
      </c>
      <c r="I2540" s="19" t="n">
        <v>118.22</v>
      </c>
      <c r="J2540" s="19" t="n">
        <v>118</v>
      </c>
      <c r="K2540" s="20" t="n">
        <v>0</v>
      </c>
      <c r="L2540" s="20" t="n">
        <v>0</v>
      </c>
      <c r="M2540" s="18" t="n">
        <v>6</v>
      </c>
      <c r="N2540" s="18" t="n">
        <v>6</v>
      </c>
      <c r="O2540" s="18" t="n">
        <v>0</v>
      </c>
      <c r="P2540" s="17" t="n">
        <v>45957</v>
      </c>
      <c r="Q2540" s="17" t="n">
        <v>45957</v>
      </c>
      <c r="R2540" s="17" t="n">
        <v>45957</v>
      </c>
      <c r="S2540" s="19">
        <f>H2540*I2540</f>
        <v/>
      </c>
      <c r="T2540" s="19">
        <f>H2540*J2540</f>
        <v/>
      </c>
      <c r="U2540">
        <f>IF(AND(K2540=0,G2540&lt;=Assumptions!$C$6),1,0)</f>
        <v/>
      </c>
      <c r="V2540">
        <f>IF(U2540=1,IF(M2540&gt;0,IF(P2540&lt;=G2540+Assumptions!$C$7,1,0),0),0)</f>
        <v/>
      </c>
      <c r="W2540">
        <f>IF(AND(U2540=1,M2540&gt;=H2540*(1-Assumptions!$C$8)),1,0)</f>
        <v/>
      </c>
      <c r="X2540">
        <f>IF(AND(U2540=1,N2540&gt;=H2540*(1-Assumptions!$C$8)),1,0)</f>
        <v/>
      </c>
      <c r="Y2540">
        <f>IF(ISNUMBER(Q2540),1,0)</f>
        <v/>
      </c>
      <c r="Z2540">
        <f>IF(AND(K2540=0,L2540=0,Y2540=0),1,0)</f>
        <v/>
      </c>
      <c r="AA2540">
        <f>IF(AND(Z2540=1,G2540&lt;Assumptions!$C$6),1,0)</f>
        <v/>
      </c>
      <c r="AB2540">
        <f>IF(U2540=0,"",IF(Y2540=1,MAX(0,Q2540-G2540),IF(L2540=1,MAX(0,R2540-G2540),MAX(0,Assumptions!$C$6-G2540))))</f>
        <v/>
      </c>
      <c r="AC2540">
        <f>IF(Y2540=1,Q2540-F2540,"")</f>
        <v/>
      </c>
      <c r="AD2540">
        <f>IF(Y2540=1,AC2540^2,"")</f>
        <v/>
      </c>
      <c r="AE2540" s="19">
        <f>IF(Z2540=1,(H2540-M2540)*I2540,0)</f>
        <v/>
      </c>
      <c r="AF2540">
        <f>IF(G2540&lt;EDATE(Assumptions!$C$6,-12)+1,"prior_12m","last_12m")</f>
        <v/>
      </c>
      <c r="AG2540" s="21">
        <f>DATE(YEAR(G2540),MONTH(G2540),1)</f>
        <v/>
      </c>
    </row>
    <row r="2541">
      <c r="A2541" t="inlineStr">
        <is>
          <t>SPO-01372-2</t>
        </is>
      </c>
      <c r="B2541" t="inlineStr">
        <is>
          <t>SPO-01372</t>
        </is>
      </c>
      <c r="C2541" t="inlineStr">
        <is>
          <t>SUP-05</t>
        </is>
      </c>
      <c r="D2541" t="inlineStr">
        <is>
          <t>FLEET</t>
        </is>
      </c>
      <c r="E2541" t="inlineStr">
        <is>
          <t>FLEET-06</t>
        </is>
      </c>
      <c r="F2541" s="17" t="n">
        <v>45949</v>
      </c>
      <c r="G2541" s="17" t="n">
        <v>45963</v>
      </c>
      <c r="H2541" s="18" t="n">
        <v>41</v>
      </c>
      <c r="I2541" s="19" t="n">
        <v>33.29</v>
      </c>
      <c r="J2541" s="19" t="n">
        <v>33</v>
      </c>
      <c r="K2541" s="20" t="n">
        <v>0</v>
      </c>
      <c r="L2541" s="20" t="n">
        <v>0</v>
      </c>
      <c r="M2541" s="18" t="n">
        <v>41</v>
      </c>
      <c r="N2541" s="18" t="n">
        <v>41</v>
      </c>
      <c r="O2541" s="18" t="n">
        <v>0</v>
      </c>
      <c r="P2541" s="17" t="n">
        <v>45958</v>
      </c>
      <c r="Q2541" s="17" t="n">
        <v>45958</v>
      </c>
      <c r="R2541" s="17" t="n">
        <v>45958</v>
      </c>
      <c r="S2541" s="19">
        <f>H2541*I2541</f>
        <v/>
      </c>
      <c r="T2541" s="19">
        <f>H2541*J2541</f>
        <v/>
      </c>
      <c r="U2541">
        <f>IF(AND(K2541=0,G2541&lt;=Assumptions!$C$6),1,0)</f>
        <v/>
      </c>
      <c r="V2541">
        <f>IF(U2541=1,IF(M2541&gt;0,IF(P2541&lt;=G2541+Assumptions!$C$7,1,0),0),0)</f>
        <v/>
      </c>
      <c r="W2541">
        <f>IF(AND(U2541=1,M2541&gt;=H2541*(1-Assumptions!$C$8)),1,0)</f>
        <v/>
      </c>
      <c r="X2541">
        <f>IF(AND(U2541=1,N2541&gt;=H2541*(1-Assumptions!$C$8)),1,0)</f>
        <v/>
      </c>
      <c r="Y2541">
        <f>IF(ISNUMBER(Q2541),1,0)</f>
        <v/>
      </c>
      <c r="Z2541">
        <f>IF(AND(K2541=0,L2541=0,Y2541=0),1,0)</f>
        <v/>
      </c>
      <c r="AA2541">
        <f>IF(AND(Z2541=1,G2541&lt;Assumptions!$C$6),1,0)</f>
        <v/>
      </c>
      <c r="AB2541">
        <f>IF(U2541=0,"",IF(Y2541=1,MAX(0,Q2541-G2541),IF(L2541=1,MAX(0,R2541-G2541),MAX(0,Assumptions!$C$6-G2541))))</f>
        <v/>
      </c>
      <c r="AC2541">
        <f>IF(Y2541=1,Q2541-F2541,"")</f>
        <v/>
      </c>
      <c r="AD2541">
        <f>IF(Y2541=1,AC2541^2,"")</f>
        <v/>
      </c>
      <c r="AE2541" s="19">
        <f>IF(Z2541=1,(H2541-M2541)*I2541,0)</f>
        <v/>
      </c>
      <c r="AF2541">
        <f>IF(G2541&lt;EDATE(Assumptions!$C$6,-12)+1,"prior_12m","last_12m")</f>
        <v/>
      </c>
      <c r="AG2541" s="21">
        <f>DATE(YEAR(G2541),MONTH(G2541),1)</f>
        <v/>
      </c>
    </row>
    <row r="2542">
      <c r="A2542" t="inlineStr">
        <is>
          <t>SPO-01372-3</t>
        </is>
      </c>
      <c r="B2542" t="inlineStr">
        <is>
          <t>SPO-01372</t>
        </is>
      </c>
      <c r="C2542" t="inlineStr">
        <is>
          <t>SUP-05</t>
        </is>
      </c>
      <c r="D2542" t="inlineStr">
        <is>
          <t>FLEET</t>
        </is>
      </c>
      <c r="E2542" t="inlineStr">
        <is>
          <t>FLEET-04</t>
        </is>
      </c>
      <c r="F2542" s="17" t="n">
        <v>45949</v>
      </c>
      <c r="G2542" s="17" t="n">
        <v>45963</v>
      </c>
      <c r="H2542" s="18" t="n">
        <v>346</v>
      </c>
      <c r="I2542" s="19" t="n">
        <v>9.32</v>
      </c>
      <c r="J2542" s="19" t="n">
        <v>9</v>
      </c>
      <c r="K2542" s="20" t="n">
        <v>0</v>
      </c>
      <c r="L2542" s="20" t="n">
        <v>0</v>
      </c>
      <c r="M2542" s="18" t="n">
        <v>346</v>
      </c>
      <c r="N2542" s="18" t="n">
        <v>346</v>
      </c>
      <c r="O2542" s="18" t="n">
        <v>0</v>
      </c>
      <c r="P2542" s="17" t="n">
        <v>45959</v>
      </c>
      <c r="Q2542" s="17" t="n">
        <v>45959</v>
      </c>
      <c r="R2542" s="17" t="n">
        <v>45959</v>
      </c>
      <c r="S2542" s="19">
        <f>H2542*I2542</f>
        <v/>
      </c>
      <c r="T2542" s="19">
        <f>H2542*J2542</f>
        <v/>
      </c>
      <c r="U2542">
        <f>IF(AND(K2542=0,G2542&lt;=Assumptions!$C$6),1,0)</f>
        <v/>
      </c>
      <c r="V2542">
        <f>IF(U2542=1,IF(M2542&gt;0,IF(P2542&lt;=G2542+Assumptions!$C$7,1,0),0),0)</f>
        <v/>
      </c>
      <c r="W2542">
        <f>IF(AND(U2542=1,M2542&gt;=H2542*(1-Assumptions!$C$8)),1,0)</f>
        <v/>
      </c>
      <c r="X2542">
        <f>IF(AND(U2542=1,N2542&gt;=H2542*(1-Assumptions!$C$8)),1,0)</f>
        <v/>
      </c>
      <c r="Y2542">
        <f>IF(ISNUMBER(Q2542),1,0)</f>
        <v/>
      </c>
      <c r="Z2542">
        <f>IF(AND(K2542=0,L2542=0,Y2542=0),1,0)</f>
        <v/>
      </c>
      <c r="AA2542">
        <f>IF(AND(Z2542=1,G2542&lt;Assumptions!$C$6),1,0)</f>
        <v/>
      </c>
      <c r="AB2542">
        <f>IF(U2542=0,"",IF(Y2542=1,MAX(0,Q2542-G2542),IF(L2542=1,MAX(0,R2542-G2542),MAX(0,Assumptions!$C$6-G2542))))</f>
        <v/>
      </c>
      <c r="AC2542">
        <f>IF(Y2542=1,Q2542-F2542,"")</f>
        <v/>
      </c>
      <c r="AD2542">
        <f>IF(Y2542=1,AC2542^2,"")</f>
        <v/>
      </c>
      <c r="AE2542" s="19">
        <f>IF(Z2542=1,(H2542-M2542)*I2542,0)</f>
        <v/>
      </c>
      <c r="AF2542">
        <f>IF(G2542&lt;EDATE(Assumptions!$C$6,-12)+1,"prior_12m","last_12m")</f>
        <v/>
      </c>
      <c r="AG2542" s="21">
        <f>DATE(YEAR(G2542),MONTH(G2542),1)</f>
        <v/>
      </c>
    </row>
    <row r="2543">
      <c r="A2543" t="inlineStr">
        <is>
          <t>SPO-01372-4</t>
        </is>
      </c>
      <c r="B2543" t="inlineStr">
        <is>
          <t>SPO-01372</t>
        </is>
      </c>
      <c r="C2543" t="inlineStr">
        <is>
          <t>SUP-05</t>
        </is>
      </c>
      <c r="D2543" t="inlineStr">
        <is>
          <t>FLEET</t>
        </is>
      </c>
      <c r="E2543" t="inlineStr">
        <is>
          <t>FLEET-02</t>
        </is>
      </c>
      <c r="F2543" s="17" t="n">
        <v>45949</v>
      </c>
      <c r="G2543" s="17" t="n">
        <v>45963</v>
      </c>
      <c r="H2543" s="18" t="n">
        <v>617</v>
      </c>
      <c r="I2543" s="19" t="n">
        <v>7.93</v>
      </c>
      <c r="J2543" s="19" t="n">
        <v>7.5</v>
      </c>
      <c r="K2543" s="20" t="n">
        <v>0</v>
      </c>
      <c r="L2543" s="20" t="n">
        <v>0</v>
      </c>
      <c r="M2543" s="18" t="n">
        <v>617</v>
      </c>
      <c r="N2543" s="18" t="n">
        <v>617</v>
      </c>
      <c r="O2543" s="18" t="n">
        <v>0</v>
      </c>
      <c r="P2543" s="17" t="n">
        <v>45962</v>
      </c>
      <c r="Q2543" s="17" t="n">
        <v>45962</v>
      </c>
      <c r="R2543" s="17" t="n">
        <v>45962</v>
      </c>
      <c r="S2543" s="19">
        <f>H2543*I2543</f>
        <v/>
      </c>
      <c r="T2543" s="19">
        <f>H2543*J2543</f>
        <v/>
      </c>
      <c r="U2543">
        <f>IF(AND(K2543=0,G2543&lt;=Assumptions!$C$6),1,0)</f>
        <v/>
      </c>
      <c r="V2543">
        <f>IF(U2543=1,IF(M2543&gt;0,IF(P2543&lt;=G2543+Assumptions!$C$7,1,0),0),0)</f>
        <v/>
      </c>
      <c r="W2543">
        <f>IF(AND(U2543=1,M2543&gt;=H2543*(1-Assumptions!$C$8)),1,0)</f>
        <v/>
      </c>
      <c r="X2543">
        <f>IF(AND(U2543=1,N2543&gt;=H2543*(1-Assumptions!$C$8)),1,0)</f>
        <v/>
      </c>
      <c r="Y2543">
        <f>IF(ISNUMBER(Q2543),1,0)</f>
        <v/>
      </c>
      <c r="Z2543">
        <f>IF(AND(K2543=0,L2543=0,Y2543=0),1,0)</f>
        <v/>
      </c>
      <c r="AA2543">
        <f>IF(AND(Z2543=1,G2543&lt;Assumptions!$C$6),1,0)</f>
        <v/>
      </c>
      <c r="AB2543">
        <f>IF(U2543=0,"",IF(Y2543=1,MAX(0,Q2543-G2543),IF(L2543=1,MAX(0,R2543-G2543),MAX(0,Assumptions!$C$6-G2543))))</f>
        <v/>
      </c>
      <c r="AC2543">
        <f>IF(Y2543=1,Q2543-F2543,"")</f>
        <v/>
      </c>
      <c r="AD2543">
        <f>IF(Y2543=1,AC2543^2,"")</f>
        <v/>
      </c>
      <c r="AE2543" s="19">
        <f>IF(Z2543=1,(H2543-M2543)*I2543,0)</f>
        <v/>
      </c>
      <c r="AF2543">
        <f>IF(G2543&lt;EDATE(Assumptions!$C$6,-12)+1,"prior_12m","last_12m")</f>
        <v/>
      </c>
      <c r="AG2543" s="21">
        <f>DATE(YEAR(G2543),MONTH(G2543),1)</f>
        <v/>
      </c>
    </row>
    <row r="2544">
      <c r="A2544" t="inlineStr">
        <is>
          <t>SPO-01373-1</t>
        </is>
      </c>
      <c r="B2544" t="inlineStr">
        <is>
          <t>SPO-01373</t>
        </is>
      </c>
      <c r="C2544" t="inlineStr">
        <is>
          <t>SUP-12</t>
        </is>
      </c>
      <c r="D2544" t="inlineStr">
        <is>
          <t>IT</t>
        </is>
      </c>
      <c r="E2544" t="inlineStr">
        <is>
          <t>IT-06</t>
        </is>
      </c>
      <c r="F2544" s="17" t="n">
        <v>45949</v>
      </c>
      <c r="G2544" s="17" t="n">
        <v>45959</v>
      </c>
      <c r="H2544" s="18" t="n">
        <v>11</v>
      </c>
      <c r="I2544" s="19" t="n">
        <v>102.22</v>
      </c>
      <c r="J2544" s="19" t="n">
        <v>89</v>
      </c>
      <c r="K2544" s="20" t="n">
        <v>0</v>
      </c>
      <c r="L2544" s="20" t="n">
        <v>0</v>
      </c>
      <c r="M2544" s="18" t="n">
        <v>11</v>
      </c>
      <c r="N2544" s="18" t="n">
        <v>11</v>
      </c>
      <c r="O2544" s="18" t="n">
        <v>0</v>
      </c>
      <c r="P2544" s="17" t="n">
        <v>45959</v>
      </c>
      <c r="Q2544" s="17" t="n">
        <v>45959</v>
      </c>
      <c r="R2544" s="17" t="n">
        <v>45959</v>
      </c>
      <c r="S2544" s="19">
        <f>H2544*I2544</f>
        <v/>
      </c>
      <c r="T2544" s="19">
        <f>H2544*J2544</f>
        <v/>
      </c>
      <c r="U2544">
        <f>IF(AND(K2544=0,G2544&lt;=Assumptions!$C$6),1,0)</f>
        <v/>
      </c>
      <c r="V2544">
        <f>IF(U2544=1,IF(M2544&gt;0,IF(P2544&lt;=G2544+Assumptions!$C$7,1,0),0),0)</f>
        <v/>
      </c>
      <c r="W2544">
        <f>IF(AND(U2544=1,M2544&gt;=H2544*(1-Assumptions!$C$8)),1,0)</f>
        <v/>
      </c>
      <c r="X2544">
        <f>IF(AND(U2544=1,N2544&gt;=H2544*(1-Assumptions!$C$8)),1,0)</f>
        <v/>
      </c>
      <c r="Y2544">
        <f>IF(ISNUMBER(Q2544),1,0)</f>
        <v/>
      </c>
      <c r="Z2544">
        <f>IF(AND(K2544=0,L2544=0,Y2544=0),1,0)</f>
        <v/>
      </c>
      <c r="AA2544">
        <f>IF(AND(Z2544=1,G2544&lt;Assumptions!$C$6),1,0)</f>
        <v/>
      </c>
      <c r="AB2544">
        <f>IF(U2544=0,"",IF(Y2544=1,MAX(0,Q2544-G2544),IF(L2544=1,MAX(0,R2544-G2544),MAX(0,Assumptions!$C$6-G2544))))</f>
        <v/>
      </c>
      <c r="AC2544">
        <f>IF(Y2544=1,Q2544-F2544,"")</f>
        <v/>
      </c>
      <c r="AD2544">
        <f>IF(Y2544=1,AC2544^2,"")</f>
        <v/>
      </c>
      <c r="AE2544" s="19">
        <f>IF(Z2544=1,(H2544-M2544)*I2544,0)</f>
        <v/>
      </c>
      <c r="AF2544">
        <f>IF(G2544&lt;EDATE(Assumptions!$C$6,-12)+1,"prior_12m","last_12m")</f>
        <v/>
      </c>
      <c r="AG2544" s="21">
        <f>DATE(YEAR(G2544),MONTH(G2544),1)</f>
        <v/>
      </c>
    </row>
    <row r="2545">
      <c r="A2545" t="inlineStr">
        <is>
          <t>SPO-01374-1</t>
        </is>
      </c>
      <c r="B2545" t="inlineStr">
        <is>
          <t>SPO-01374</t>
        </is>
      </c>
      <c r="C2545" t="inlineStr">
        <is>
          <t>SUP-08</t>
        </is>
      </c>
      <c r="D2545" t="inlineStr">
        <is>
          <t>MRO</t>
        </is>
      </c>
      <c r="E2545" t="inlineStr">
        <is>
          <t>MRO-04</t>
        </is>
      </c>
      <c r="F2545" s="17" t="n">
        <v>45949</v>
      </c>
      <c r="G2545" s="17" t="n">
        <v>45960</v>
      </c>
      <c r="H2545" s="18" t="n">
        <v>19</v>
      </c>
      <c r="I2545" s="19" t="n">
        <v>58.98</v>
      </c>
      <c r="J2545" s="19" t="n">
        <v>58</v>
      </c>
      <c r="K2545" s="20" t="n">
        <v>0</v>
      </c>
      <c r="L2545" s="20" t="n">
        <v>0</v>
      </c>
      <c r="M2545" s="18" t="n">
        <v>19</v>
      </c>
      <c r="N2545" s="18" t="n">
        <v>19</v>
      </c>
      <c r="O2545" s="18" t="n">
        <v>0</v>
      </c>
      <c r="P2545" s="17" t="n">
        <v>45957</v>
      </c>
      <c r="Q2545" s="17" t="n">
        <v>45957</v>
      </c>
      <c r="R2545" s="17" t="n">
        <v>45957</v>
      </c>
      <c r="S2545" s="19">
        <f>H2545*I2545</f>
        <v/>
      </c>
      <c r="T2545" s="19">
        <f>H2545*J2545</f>
        <v/>
      </c>
      <c r="U2545">
        <f>IF(AND(K2545=0,G2545&lt;=Assumptions!$C$6),1,0)</f>
        <v/>
      </c>
      <c r="V2545">
        <f>IF(U2545=1,IF(M2545&gt;0,IF(P2545&lt;=G2545+Assumptions!$C$7,1,0),0),0)</f>
        <v/>
      </c>
      <c r="W2545">
        <f>IF(AND(U2545=1,M2545&gt;=H2545*(1-Assumptions!$C$8)),1,0)</f>
        <v/>
      </c>
      <c r="X2545">
        <f>IF(AND(U2545=1,N2545&gt;=H2545*(1-Assumptions!$C$8)),1,0)</f>
        <v/>
      </c>
      <c r="Y2545">
        <f>IF(ISNUMBER(Q2545),1,0)</f>
        <v/>
      </c>
      <c r="Z2545">
        <f>IF(AND(K2545=0,L2545=0,Y2545=0),1,0)</f>
        <v/>
      </c>
      <c r="AA2545">
        <f>IF(AND(Z2545=1,G2545&lt;Assumptions!$C$6),1,0)</f>
        <v/>
      </c>
      <c r="AB2545">
        <f>IF(U2545=0,"",IF(Y2545=1,MAX(0,Q2545-G2545),IF(L2545=1,MAX(0,R2545-G2545),MAX(0,Assumptions!$C$6-G2545))))</f>
        <v/>
      </c>
      <c r="AC2545">
        <f>IF(Y2545=1,Q2545-F2545,"")</f>
        <v/>
      </c>
      <c r="AD2545">
        <f>IF(Y2545=1,AC2545^2,"")</f>
        <v/>
      </c>
      <c r="AE2545" s="19">
        <f>IF(Z2545=1,(H2545-M2545)*I2545,0)</f>
        <v/>
      </c>
      <c r="AF2545">
        <f>IF(G2545&lt;EDATE(Assumptions!$C$6,-12)+1,"prior_12m","last_12m")</f>
        <v/>
      </c>
      <c r="AG2545" s="21">
        <f>DATE(YEAR(G2545),MONTH(G2545),1)</f>
        <v/>
      </c>
    </row>
    <row r="2546">
      <c r="A2546" t="inlineStr">
        <is>
          <t>SPO-01375-1</t>
        </is>
      </c>
      <c r="B2546" t="inlineStr">
        <is>
          <t>SPO-01375</t>
        </is>
      </c>
      <c r="C2546" t="inlineStr">
        <is>
          <t>SUP-12</t>
        </is>
      </c>
      <c r="D2546" t="inlineStr">
        <is>
          <t>IT</t>
        </is>
      </c>
      <c r="E2546" t="inlineStr">
        <is>
          <t>IT-01</t>
        </is>
      </c>
      <c r="F2546" s="17" t="n">
        <v>45950</v>
      </c>
      <c r="G2546" s="17" t="n">
        <v>45960</v>
      </c>
      <c r="H2546" s="18" t="n">
        <v>11</v>
      </c>
      <c r="I2546" s="19" t="n">
        <v>202.56</v>
      </c>
      <c r="J2546" s="19" t="n">
        <v>189</v>
      </c>
      <c r="K2546" s="20" t="n">
        <v>0</v>
      </c>
      <c r="L2546" s="20" t="n">
        <v>0</v>
      </c>
      <c r="M2546" s="18" t="n">
        <v>11</v>
      </c>
      <c r="N2546" s="18" t="n">
        <v>11</v>
      </c>
      <c r="O2546" s="18" t="n">
        <v>0</v>
      </c>
      <c r="P2546" s="17" t="n">
        <v>45954</v>
      </c>
      <c r="Q2546" s="17" t="n">
        <v>45954</v>
      </c>
      <c r="R2546" s="17" t="n">
        <v>45954</v>
      </c>
      <c r="S2546" s="19">
        <f>H2546*I2546</f>
        <v/>
      </c>
      <c r="T2546" s="19">
        <f>H2546*J2546</f>
        <v/>
      </c>
      <c r="U2546">
        <f>IF(AND(K2546=0,G2546&lt;=Assumptions!$C$6),1,0)</f>
        <v/>
      </c>
      <c r="V2546">
        <f>IF(U2546=1,IF(M2546&gt;0,IF(P2546&lt;=G2546+Assumptions!$C$7,1,0),0),0)</f>
        <v/>
      </c>
      <c r="W2546">
        <f>IF(AND(U2546=1,M2546&gt;=H2546*(1-Assumptions!$C$8)),1,0)</f>
        <v/>
      </c>
      <c r="X2546">
        <f>IF(AND(U2546=1,N2546&gt;=H2546*(1-Assumptions!$C$8)),1,0)</f>
        <v/>
      </c>
      <c r="Y2546">
        <f>IF(ISNUMBER(Q2546),1,0)</f>
        <v/>
      </c>
      <c r="Z2546">
        <f>IF(AND(K2546=0,L2546=0,Y2546=0),1,0)</f>
        <v/>
      </c>
      <c r="AA2546">
        <f>IF(AND(Z2546=1,G2546&lt;Assumptions!$C$6),1,0)</f>
        <v/>
      </c>
      <c r="AB2546">
        <f>IF(U2546=0,"",IF(Y2546=1,MAX(0,Q2546-G2546),IF(L2546=1,MAX(0,R2546-G2546),MAX(0,Assumptions!$C$6-G2546))))</f>
        <v/>
      </c>
      <c r="AC2546">
        <f>IF(Y2546=1,Q2546-F2546,"")</f>
        <v/>
      </c>
      <c r="AD2546">
        <f>IF(Y2546=1,AC2546^2,"")</f>
        <v/>
      </c>
      <c r="AE2546" s="19">
        <f>IF(Z2546=1,(H2546-M2546)*I2546,0)</f>
        <v/>
      </c>
      <c r="AF2546">
        <f>IF(G2546&lt;EDATE(Assumptions!$C$6,-12)+1,"prior_12m","last_12m")</f>
        <v/>
      </c>
      <c r="AG2546" s="21">
        <f>DATE(YEAR(G2546),MONTH(G2546),1)</f>
        <v/>
      </c>
    </row>
    <row r="2547">
      <c r="A2547" t="inlineStr">
        <is>
          <t>SPO-01376-1</t>
        </is>
      </c>
      <c r="B2547" t="inlineStr">
        <is>
          <t>SPO-01376</t>
        </is>
      </c>
      <c r="C2547" t="inlineStr">
        <is>
          <t>SUP-09</t>
        </is>
      </c>
      <c r="D2547" t="inlineStr">
        <is>
          <t>CHEM</t>
        </is>
      </c>
      <c r="E2547" t="inlineStr">
        <is>
          <t>CHEM-04</t>
        </is>
      </c>
      <c r="F2547" s="17" t="n">
        <v>45950</v>
      </c>
      <c r="G2547" s="17" t="n">
        <v>45964</v>
      </c>
      <c r="H2547" s="18" t="n">
        <v>3</v>
      </c>
      <c r="I2547" s="19" t="n">
        <v>876.1799999999999</v>
      </c>
      <c r="J2547" s="19" t="n">
        <v>820</v>
      </c>
      <c r="K2547" s="20" t="n">
        <v>0</v>
      </c>
      <c r="L2547" s="20" t="n">
        <v>0</v>
      </c>
      <c r="M2547" s="18" t="n">
        <v>3</v>
      </c>
      <c r="N2547" s="18" t="n">
        <v>3</v>
      </c>
      <c r="O2547" s="18" t="n">
        <v>0</v>
      </c>
      <c r="P2547" s="17" t="n">
        <v>45964</v>
      </c>
      <c r="Q2547" s="17" t="n">
        <v>45964</v>
      </c>
      <c r="R2547" s="17" t="n">
        <v>45964</v>
      </c>
      <c r="S2547" s="19">
        <f>H2547*I2547</f>
        <v/>
      </c>
      <c r="T2547" s="19">
        <f>H2547*J2547</f>
        <v/>
      </c>
      <c r="U2547">
        <f>IF(AND(K2547=0,G2547&lt;=Assumptions!$C$6),1,0)</f>
        <v/>
      </c>
      <c r="V2547">
        <f>IF(U2547=1,IF(M2547&gt;0,IF(P2547&lt;=G2547+Assumptions!$C$7,1,0),0),0)</f>
        <v/>
      </c>
      <c r="W2547">
        <f>IF(AND(U2547=1,M2547&gt;=H2547*(1-Assumptions!$C$8)),1,0)</f>
        <v/>
      </c>
      <c r="X2547">
        <f>IF(AND(U2547=1,N2547&gt;=H2547*(1-Assumptions!$C$8)),1,0)</f>
        <v/>
      </c>
      <c r="Y2547">
        <f>IF(ISNUMBER(Q2547),1,0)</f>
        <v/>
      </c>
      <c r="Z2547">
        <f>IF(AND(K2547=0,L2547=0,Y2547=0),1,0)</f>
        <v/>
      </c>
      <c r="AA2547">
        <f>IF(AND(Z2547=1,G2547&lt;Assumptions!$C$6),1,0)</f>
        <v/>
      </c>
      <c r="AB2547">
        <f>IF(U2547=0,"",IF(Y2547=1,MAX(0,Q2547-G2547),IF(L2547=1,MAX(0,R2547-G2547),MAX(0,Assumptions!$C$6-G2547))))</f>
        <v/>
      </c>
      <c r="AC2547">
        <f>IF(Y2547=1,Q2547-F2547,"")</f>
        <v/>
      </c>
      <c r="AD2547">
        <f>IF(Y2547=1,AC2547^2,"")</f>
        <v/>
      </c>
      <c r="AE2547" s="19">
        <f>IF(Z2547=1,(H2547-M2547)*I2547,0)</f>
        <v/>
      </c>
      <c r="AF2547">
        <f>IF(G2547&lt;EDATE(Assumptions!$C$6,-12)+1,"prior_12m","last_12m")</f>
        <v/>
      </c>
      <c r="AG2547" s="21">
        <f>DATE(YEAR(G2547),MONTH(G2547),1)</f>
        <v/>
      </c>
    </row>
    <row r="2548">
      <c r="A2548" t="inlineStr">
        <is>
          <t>SPO-01377-1</t>
        </is>
      </c>
      <c r="B2548" t="inlineStr">
        <is>
          <t>SPO-01377</t>
        </is>
      </c>
      <c r="C2548" t="inlineStr">
        <is>
          <t>SUP-01</t>
        </is>
      </c>
      <c r="D2548" t="inlineStr">
        <is>
          <t>ELEC</t>
        </is>
      </c>
      <c r="E2548" t="inlineStr">
        <is>
          <t>ELEC-03</t>
        </is>
      </c>
      <c r="F2548" s="17" t="n">
        <v>45950</v>
      </c>
      <c r="G2548" s="17" t="n">
        <v>45968</v>
      </c>
      <c r="H2548" s="18" t="n">
        <v>11</v>
      </c>
      <c r="I2548" s="19" t="n">
        <v>99.25</v>
      </c>
      <c r="J2548" s="19" t="n">
        <v>96</v>
      </c>
      <c r="K2548" s="20" t="n">
        <v>0</v>
      </c>
      <c r="L2548" s="20" t="n">
        <v>0</v>
      </c>
      <c r="M2548" s="18" t="n">
        <v>11</v>
      </c>
      <c r="N2548" s="18" t="n">
        <v>0</v>
      </c>
      <c r="O2548" s="18" t="n">
        <v>0</v>
      </c>
      <c r="P2548" s="17" t="n">
        <v>45970</v>
      </c>
      <c r="Q2548" s="17" t="n">
        <v>45970</v>
      </c>
      <c r="R2548" s="17" t="n">
        <v>45970</v>
      </c>
      <c r="S2548" s="19">
        <f>H2548*I2548</f>
        <v/>
      </c>
      <c r="T2548" s="19">
        <f>H2548*J2548</f>
        <v/>
      </c>
      <c r="U2548">
        <f>IF(AND(K2548=0,G2548&lt;=Assumptions!$C$6),1,0)</f>
        <v/>
      </c>
      <c r="V2548">
        <f>IF(U2548=1,IF(M2548&gt;0,IF(P2548&lt;=G2548+Assumptions!$C$7,1,0),0),0)</f>
        <v/>
      </c>
      <c r="W2548">
        <f>IF(AND(U2548=1,M2548&gt;=H2548*(1-Assumptions!$C$8)),1,0)</f>
        <v/>
      </c>
      <c r="X2548">
        <f>IF(AND(U2548=1,N2548&gt;=H2548*(1-Assumptions!$C$8)),1,0)</f>
        <v/>
      </c>
      <c r="Y2548">
        <f>IF(ISNUMBER(Q2548),1,0)</f>
        <v/>
      </c>
      <c r="Z2548">
        <f>IF(AND(K2548=0,L2548=0,Y2548=0),1,0)</f>
        <v/>
      </c>
      <c r="AA2548">
        <f>IF(AND(Z2548=1,G2548&lt;Assumptions!$C$6),1,0)</f>
        <v/>
      </c>
      <c r="AB2548">
        <f>IF(U2548=0,"",IF(Y2548=1,MAX(0,Q2548-G2548),IF(L2548=1,MAX(0,R2548-G2548),MAX(0,Assumptions!$C$6-G2548))))</f>
        <v/>
      </c>
      <c r="AC2548">
        <f>IF(Y2548=1,Q2548-F2548,"")</f>
        <v/>
      </c>
      <c r="AD2548">
        <f>IF(Y2548=1,AC2548^2,"")</f>
        <v/>
      </c>
      <c r="AE2548" s="19">
        <f>IF(Z2548=1,(H2548-M2548)*I2548,0)</f>
        <v/>
      </c>
      <c r="AF2548">
        <f>IF(G2548&lt;EDATE(Assumptions!$C$6,-12)+1,"prior_12m","last_12m")</f>
        <v/>
      </c>
      <c r="AG2548" s="21">
        <f>DATE(YEAR(G2548),MONTH(G2548),1)</f>
        <v/>
      </c>
    </row>
    <row r="2549">
      <c r="A2549" t="inlineStr">
        <is>
          <t>SPO-01378-1</t>
        </is>
      </c>
      <c r="B2549" t="inlineStr">
        <is>
          <t>SPO-01378</t>
        </is>
      </c>
      <c r="C2549" t="inlineStr">
        <is>
          <t>SUP-12</t>
        </is>
      </c>
      <c r="D2549" t="inlineStr">
        <is>
          <t>IT</t>
        </is>
      </c>
      <c r="E2549" t="inlineStr">
        <is>
          <t>IT-01</t>
        </is>
      </c>
      <c r="F2549" s="17" t="n">
        <v>45950</v>
      </c>
      <c r="G2549" s="17" t="n">
        <v>45960</v>
      </c>
      <c r="H2549" s="18" t="n">
        <v>17</v>
      </c>
      <c r="I2549" s="19" t="n">
        <v>221.33</v>
      </c>
      <c r="J2549" s="19" t="n">
        <v>189</v>
      </c>
      <c r="K2549" s="20" t="n">
        <v>0</v>
      </c>
      <c r="L2549" s="20" t="n">
        <v>0</v>
      </c>
      <c r="M2549" s="18" t="n">
        <v>17</v>
      </c>
      <c r="N2549" s="18" t="n">
        <v>17</v>
      </c>
      <c r="O2549" s="18" t="n">
        <v>0</v>
      </c>
      <c r="P2549" s="17" t="n">
        <v>45960</v>
      </c>
      <c r="Q2549" s="17" t="n">
        <v>45960</v>
      </c>
      <c r="R2549" s="17" t="n">
        <v>45960</v>
      </c>
      <c r="S2549" s="19">
        <f>H2549*I2549</f>
        <v/>
      </c>
      <c r="T2549" s="19">
        <f>H2549*J2549</f>
        <v/>
      </c>
      <c r="U2549">
        <f>IF(AND(K2549=0,G2549&lt;=Assumptions!$C$6),1,0)</f>
        <v/>
      </c>
      <c r="V2549">
        <f>IF(U2549=1,IF(M2549&gt;0,IF(P2549&lt;=G2549+Assumptions!$C$7,1,0),0),0)</f>
        <v/>
      </c>
      <c r="W2549">
        <f>IF(AND(U2549=1,M2549&gt;=H2549*(1-Assumptions!$C$8)),1,0)</f>
        <v/>
      </c>
      <c r="X2549">
        <f>IF(AND(U2549=1,N2549&gt;=H2549*(1-Assumptions!$C$8)),1,0)</f>
        <v/>
      </c>
      <c r="Y2549">
        <f>IF(ISNUMBER(Q2549),1,0)</f>
        <v/>
      </c>
      <c r="Z2549">
        <f>IF(AND(K2549=0,L2549=0,Y2549=0),1,0)</f>
        <v/>
      </c>
      <c r="AA2549">
        <f>IF(AND(Z2549=1,G2549&lt;Assumptions!$C$6),1,0)</f>
        <v/>
      </c>
      <c r="AB2549">
        <f>IF(U2549=0,"",IF(Y2549=1,MAX(0,Q2549-G2549),IF(L2549=1,MAX(0,R2549-G2549),MAX(0,Assumptions!$C$6-G2549))))</f>
        <v/>
      </c>
      <c r="AC2549">
        <f>IF(Y2549=1,Q2549-F2549,"")</f>
        <v/>
      </c>
      <c r="AD2549">
        <f>IF(Y2549=1,AC2549^2,"")</f>
        <v/>
      </c>
      <c r="AE2549" s="19">
        <f>IF(Z2549=1,(H2549-M2549)*I2549,0)</f>
        <v/>
      </c>
      <c r="AF2549">
        <f>IF(G2549&lt;EDATE(Assumptions!$C$6,-12)+1,"prior_12m","last_12m")</f>
        <v/>
      </c>
      <c r="AG2549" s="21">
        <f>DATE(YEAR(G2549),MONTH(G2549),1)</f>
        <v/>
      </c>
    </row>
    <row r="2550">
      <c r="A2550" t="inlineStr">
        <is>
          <t>SPO-01379-1</t>
        </is>
      </c>
      <c r="B2550" t="inlineStr">
        <is>
          <t>SPO-01379</t>
        </is>
      </c>
      <c r="C2550" t="inlineStr">
        <is>
          <t>SUP-07</t>
        </is>
      </c>
      <c r="D2550" t="inlineStr">
        <is>
          <t>MRO</t>
        </is>
      </c>
      <c r="E2550" t="inlineStr">
        <is>
          <t>MRO-02</t>
        </is>
      </c>
      <c r="F2550" s="17" t="n">
        <v>45950</v>
      </c>
      <c r="G2550" s="17" t="n">
        <v>45960</v>
      </c>
      <c r="H2550" s="18" t="n">
        <v>47</v>
      </c>
      <c r="I2550" s="19" t="n">
        <v>42.22</v>
      </c>
      <c r="J2550" s="19" t="n">
        <v>41</v>
      </c>
      <c r="K2550" s="20" t="n">
        <v>0</v>
      </c>
      <c r="L2550" s="20" t="n">
        <v>0</v>
      </c>
      <c r="M2550" s="18" t="n">
        <v>47</v>
      </c>
      <c r="N2550" s="18" t="n">
        <v>26</v>
      </c>
      <c r="O2550" s="18" t="n">
        <v>0</v>
      </c>
      <c r="P2550" s="17" t="n">
        <v>45958</v>
      </c>
      <c r="Q2550" s="17" t="n">
        <v>45971</v>
      </c>
      <c r="R2550" s="17" t="n">
        <v>45971</v>
      </c>
      <c r="S2550" s="19">
        <f>H2550*I2550</f>
        <v/>
      </c>
      <c r="T2550" s="19">
        <f>H2550*J2550</f>
        <v/>
      </c>
      <c r="U2550">
        <f>IF(AND(K2550=0,G2550&lt;=Assumptions!$C$6),1,0)</f>
        <v/>
      </c>
      <c r="V2550">
        <f>IF(U2550=1,IF(M2550&gt;0,IF(P2550&lt;=G2550+Assumptions!$C$7,1,0),0),0)</f>
        <v/>
      </c>
      <c r="W2550">
        <f>IF(AND(U2550=1,M2550&gt;=H2550*(1-Assumptions!$C$8)),1,0)</f>
        <v/>
      </c>
      <c r="X2550">
        <f>IF(AND(U2550=1,N2550&gt;=H2550*(1-Assumptions!$C$8)),1,0)</f>
        <v/>
      </c>
      <c r="Y2550">
        <f>IF(ISNUMBER(Q2550),1,0)</f>
        <v/>
      </c>
      <c r="Z2550">
        <f>IF(AND(K2550=0,L2550=0,Y2550=0),1,0)</f>
        <v/>
      </c>
      <c r="AA2550">
        <f>IF(AND(Z2550=1,G2550&lt;Assumptions!$C$6),1,0)</f>
        <v/>
      </c>
      <c r="AB2550">
        <f>IF(U2550=0,"",IF(Y2550=1,MAX(0,Q2550-G2550),IF(L2550=1,MAX(0,R2550-G2550),MAX(0,Assumptions!$C$6-G2550))))</f>
        <v/>
      </c>
      <c r="AC2550">
        <f>IF(Y2550=1,Q2550-F2550,"")</f>
        <v/>
      </c>
      <c r="AD2550">
        <f>IF(Y2550=1,AC2550^2,"")</f>
        <v/>
      </c>
      <c r="AE2550" s="19">
        <f>IF(Z2550=1,(H2550-M2550)*I2550,0)</f>
        <v/>
      </c>
      <c r="AF2550">
        <f>IF(G2550&lt;EDATE(Assumptions!$C$6,-12)+1,"prior_12m","last_12m")</f>
        <v/>
      </c>
      <c r="AG2550" s="21">
        <f>DATE(YEAR(G2550),MONTH(G2550),1)</f>
        <v/>
      </c>
    </row>
    <row r="2551">
      <c r="A2551" t="inlineStr">
        <is>
          <t>SPO-01380-1</t>
        </is>
      </c>
      <c r="B2551" t="inlineStr">
        <is>
          <t>SPO-01380</t>
        </is>
      </c>
      <c r="C2551" t="inlineStr">
        <is>
          <t>SUP-02</t>
        </is>
      </c>
      <c r="D2551" t="inlineStr">
        <is>
          <t>ELEC</t>
        </is>
      </c>
      <c r="E2551" t="inlineStr">
        <is>
          <t>ELEC-08</t>
        </is>
      </c>
      <c r="F2551" s="17" t="n">
        <v>45950</v>
      </c>
      <c r="G2551" s="17" t="n">
        <v>45966</v>
      </c>
      <c r="H2551" s="18" t="n">
        <v>72</v>
      </c>
      <c r="I2551" s="19" t="n">
        <v>18.06</v>
      </c>
      <c r="J2551" s="19" t="n">
        <v>18</v>
      </c>
      <c r="K2551" s="20" t="n">
        <v>0</v>
      </c>
      <c r="L2551" s="20" t="n">
        <v>0</v>
      </c>
      <c r="M2551" s="18" t="n">
        <v>72</v>
      </c>
      <c r="N2551" s="18" t="n">
        <v>72</v>
      </c>
      <c r="O2551" s="18" t="n">
        <v>0</v>
      </c>
      <c r="P2551" s="17" t="n">
        <v>45964</v>
      </c>
      <c r="Q2551" s="17" t="n">
        <v>45964</v>
      </c>
      <c r="R2551" s="17" t="n">
        <v>45964</v>
      </c>
      <c r="S2551" s="19">
        <f>H2551*I2551</f>
        <v/>
      </c>
      <c r="T2551" s="19">
        <f>H2551*J2551</f>
        <v/>
      </c>
      <c r="U2551">
        <f>IF(AND(K2551=0,G2551&lt;=Assumptions!$C$6),1,0)</f>
        <v/>
      </c>
      <c r="V2551">
        <f>IF(U2551=1,IF(M2551&gt;0,IF(P2551&lt;=G2551+Assumptions!$C$7,1,0),0),0)</f>
        <v/>
      </c>
      <c r="W2551">
        <f>IF(AND(U2551=1,M2551&gt;=H2551*(1-Assumptions!$C$8)),1,0)</f>
        <v/>
      </c>
      <c r="X2551">
        <f>IF(AND(U2551=1,N2551&gt;=H2551*(1-Assumptions!$C$8)),1,0)</f>
        <v/>
      </c>
      <c r="Y2551">
        <f>IF(ISNUMBER(Q2551),1,0)</f>
        <v/>
      </c>
      <c r="Z2551">
        <f>IF(AND(K2551=0,L2551=0,Y2551=0),1,0)</f>
        <v/>
      </c>
      <c r="AA2551">
        <f>IF(AND(Z2551=1,G2551&lt;Assumptions!$C$6),1,0)</f>
        <v/>
      </c>
      <c r="AB2551">
        <f>IF(U2551=0,"",IF(Y2551=1,MAX(0,Q2551-G2551),IF(L2551=1,MAX(0,R2551-G2551),MAX(0,Assumptions!$C$6-G2551))))</f>
        <v/>
      </c>
      <c r="AC2551">
        <f>IF(Y2551=1,Q2551-F2551,"")</f>
        <v/>
      </c>
      <c r="AD2551">
        <f>IF(Y2551=1,AC2551^2,"")</f>
        <v/>
      </c>
      <c r="AE2551" s="19">
        <f>IF(Z2551=1,(H2551-M2551)*I2551,0)</f>
        <v/>
      </c>
      <c r="AF2551">
        <f>IF(G2551&lt;EDATE(Assumptions!$C$6,-12)+1,"prior_12m","last_12m")</f>
        <v/>
      </c>
      <c r="AG2551" s="21">
        <f>DATE(YEAR(G2551),MONTH(G2551),1)</f>
        <v/>
      </c>
    </row>
    <row r="2552">
      <c r="A2552" t="inlineStr">
        <is>
          <t>SPO-01380-2</t>
        </is>
      </c>
      <c r="B2552" t="inlineStr">
        <is>
          <t>SPO-01380</t>
        </is>
      </c>
      <c r="C2552" t="inlineStr">
        <is>
          <t>SUP-02</t>
        </is>
      </c>
      <c r="D2552" t="inlineStr">
        <is>
          <t>ELEC</t>
        </is>
      </c>
      <c r="E2552" t="inlineStr">
        <is>
          <t>ELEC-05</t>
        </is>
      </c>
      <c r="F2552" s="17" t="n">
        <v>45950</v>
      </c>
      <c r="G2552" s="17" t="n">
        <v>45966</v>
      </c>
      <c r="H2552" s="18" t="n">
        <v>118</v>
      </c>
      <c r="I2552" s="19" t="n">
        <v>12.11</v>
      </c>
      <c r="J2552" s="19" t="n">
        <v>11.5</v>
      </c>
      <c r="K2552" s="20" t="n">
        <v>0</v>
      </c>
      <c r="L2552" s="20" t="n">
        <v>0</v>
      </c>
      <c r="M2552" s="18" t="n">
        <v>118</v>
      </c>
      <c r="N2552" s="18" t="n">
        <v>118</v>
      </c>
      <c r="O2552" s="18" t="n">
        <v>0</v>
      </c>
      <c r="P2552" s="17" t="n">
        <v>45962</v>
      </c>
      <c r="Q2552" s="17" t="n">
        <v>45962</v>
      </c>
      <c r="R2552" s="17" t="n">
        <v>45962</v>
      </c>
      <c r="S2552" s="19">
        <f>H2552*I2552</f>
        <v/>
      </c>
      <c r="T2552" s="19">
        <f>H2552*J2552</f>
        <v/>
      </c>
      <c r="U2552">
        <f>IF(AND(K2552=0,G2552&lt;=Assumptions!$C$6),1,0)</f>
        <v/>
      </c>
      <c r="V2552">
        <f>IF(U2552=1,IF(M2552&gt;0,IF(P2552&lt;=G2552+Assumptions!$C$7,1,0),0),0)</f>
        <v/>
      </c>
      <c r="W2552">
        <f>IF(AND(U2552=1,M2552&gt;=H2552*(1-Assumptions!$C$8)),1,0)</f>
        <v/>
      </c>
      <c r="X2552">
        <f>IF(AND(U2552=1,N2552&gt;=H2552*(1-Assumptions!$C$8)),1,0)</f>
        <v/>
      </c>
      <c r="Y2552">
        <f>IF(ISNUMBER(Q2552),1,0)</f>
        <v/>
      </c>
      <c r="Z2552">
        <f>IF(AND(K2552=0,L2552=0,Y2552=0),1,0)</f>
        <v/>
      </c>
      <c r="AA2552">
        <f>IF(AND(Z2552=1,G2552&lt;Assumptions!$C$6),1,0)</f>
        <v/>
      </c>
      <c r="AB2552">
        <f>IF(U2552=0,"",IF(Y2552=1,MAX(0,Q2552-G2552),IF(L2552=1,MAX(0,R2552-G2552),MAX(0,Assumptions!$C$6-G2552))))</f>
        <v/>
      </c>
      <c r="AC2552">
        <f>IF(Y2552=1,Q2552-F2552,"")</f>
        <v/>
      </c>
      <c r="AD2552">
        <f>IF(Y2552=1,AC2552^2,"")</f>
        <v/>
      </c>
      <c r="AE2552" s="19">
        <f>IF(Z2552=1,(H2552-M2552)*I2552,0)</f>
        <v/>
      </c>
      <c r="AF2552">
        <f>IF(G2552&lt;EDATE(Assumptions!$C$6,-12)+1,"prior_12m","last_12m")</f>
        <v/>
      </c>
      <c r="AG2552" s="21">
        <f>DATE(YEAR(G2552),MONTH(G2552),1)</f>
        <v/>
      </c>
    </row>
    <row r="2553">
      <c r="A2553" t="inlineStr">
        <is>
          <t>SPO-01381-1</t>
        </is>
      </c>
      <c r="B2553" t="inlineStr">
        <is>
          <t>SPO-01381</t>
        </is>
      </c>
      <c r="C2553" t="inlineStr">
        <is>
          <t>SUP-14</t>
        </is>
      </c>
      <c r="D2553" t="inlineStr">
        <is>
          <t>FLEET</t>
        </is>
      </c>
      <c r="E2553" t="inlineStr">
        <is>
          <t>FLEET-02</t>
        </is>
      </c>
      <c r="F2553" s="17" t="n">
        <v>45950</v>
      </c>
      <c r="G2553" s="17" t="n">
        <v>45964</v>
      </c>
      <c r="H2553" s="18" t="n">
        <v>299</v>
      </c>
      <c r="I2553" s="19" t="n">
        <v>7.28</v>
      </c>
      <c r="J2553" s="19" t="n">
        <v>7.5</v>
      </c>
      <c r="K2553" s="20" t="n">
        <v>0</v>
      </c>
      <c r="L2553" s="20" t="n">
        <v>0</v>
      </c>
      <c r="M2553" s="18" t="n">
        <v>299</v>
      </c>
      <c r="N2553" s="18" t="n">
        <v>299</v>
      </c>
      <c r="O2553" s="18" t="n">
        <v>0</v>
      </c>
      <c r="P2553" s="17" t="n">
        <v>45964</v>
      </c>
      <c r="Q2553" s="17" t="n">
        <v>45964</v>
      </c>
      <c r="R2553" s="17" t="n">
        <v>45964</v>
      </c>
      <c r="S2553" s="19">
        <f>H2553*I2553</f>
        <v/>
      </c>
      <c r="T2553" s="19">
        <f>H2553*J2553</f>
        <v/>
      </c>
      <c r="U2553">
        <f>IF(AND(K2553=0,G2553&lt;=Assumptions!$C$6),1,0)</f>
        <v/>
      </c>
      <c r="V2553">
        <f>IF(U2553=1,IF(M2553&gt;0,IF(P2553&lt;=G2553+Assumptions!$C$7,1,0),0),0)</f>
        <v/>
      </c>
      <c r="W2553">
        <f>IF(AND(U2553=1,M2553&gt;=H2553*(1-Assumptions!$C$8)),1,0)</f>
        <v/>
      </c>
      <c r="X2553">
        <f>IF(AND(U2553=1,N2553&gt;=H2553*(1-Assumptions!$C$8)),1,0)</f>
        <v/>
      </c>
      <c r="Y2553">
        <f>IF(ISNUMBER(Q2553),1,0)</f>
        <v/>
      </c>
      <c r="Z2553">
        <f>IF(AND(K2553=0,L2553=0,Y2553=0),1,0)</f>
        <v/>
      </c>
      <c r="AA2553">
        <f>IF(AND(Z2553=1,G2553&lt;Assumptions!$C$6),1,0)</f>
        <v/>
      </c>
      <c r="AB2553">
        <f>IF(U2553=0,"",IF(Y2553=1,MAX(0,Q2553-G2553),IF(L2553=1,MAX(0,R2553-G2553),MAX(0,Assumptions!$C$6-G2553))))</f>
        <v/>
      </c>
      <c r="AC2553">
        <f>IF(Y2553=1,Q2553-F2553,"")</f>
        <v/>
      </c>
      <c r="AD2553">
        <f>IF(Y2553=1,AC2553^2,"")</f>
        <v/>
      </c>
      <c r="AE2553" s="19">
        <f>IF(Z2553=1,(H2553-M2553)*I2553,0)</f>
        <v/>
      </c>
      <c r="AF2553">
        <f>IF(G2553&lt;EDATE(Assumptions!$C$6,-12)+1,"prior_12m","last_12m")</f>
        <v/>
      </c>
      <c r="AG2553" s="21">
        <f>DATE(YEAR(G2553),MONTH(G2553),1)</f>
        <v/>
      </c>
    </row>
    <row r="2554">
      <c r="A2554" t="inlineStr">
        <is>
          <t>SPO-01381-2</t>
        </is>
      </c>
      <c r="B2554" t="inlineStr">
        <is>
          <t>SPO-01381</t>
        </is>
      </c>
      <c r="C2554" t="inlineStr">
        <is>
          <t>SUP-14</t>
        </is>
      </c>
      <c r="D2554" t="inlineStr">
        <is>
          <t>FLEET</t>
        </is>
      </c>
      <c r="E2554" t="inlineStr">
        <is>
          <t>FLEET-06</t>
        </is>
      </c>
      <c r="F2554" s="17" t="n">
        <v>45950</v>
      </c>
      <c r="G2554" s="17" t="n">
        <v>45964</v>
      </c>
      <c r="H2554" s="18" t="n">
        <v>31</v>
      </c>
      <c r="I2554" s="19" t="n">
        <v>32.83</v>
      </c>
      <c r="J2554" s="19" t="n">
        <v>33</v>
      </c>
      <c r="K2554" s="20" t="n">
        <v>0</v>
      </c>
      <c r="L2554" s="20" t="n">
        <v>0</v>
      </c>
      <c r="M2554" s="18" t="n">
        <v>31</v>
      </c>
      <c r="N2554" s="18" t="n">
        <v>31</v>
      </c>
      <c r="O2554" s="18" t="n">
        <v>0</v>
      </c>
      <c r="P2554" s="17" t="n">
        <v>45957</v>
      </c>
      <c r="Q2554" s="17" t="n">
        <v>45957</v>
      </c>
      <c r="R2554" s="17" t="n">
        <v>45957</v>
      </c>
      <c r="S2554" s="19">
        <f>H2554*I2554</f>
        <v/>
      </c>
      <c r="T2554" s="19">
        <f>H2554*J2554</f>
        <v/>
      </c>
      <c r="U2554">
        <f>IF(AND(K2554=0,G2554&lt;=Assumptions!$C$6),1,0)</f>
        <v/>
      </c>
      <c r="V2554">
        <f>IF(U2554=1,IF(M2554&gt;0,IF(P2554&lt;=G2554+Assumptions!$C$7,1,0),0),0)</f>
        <v/>
      </c>
      <c r="W2554">
        <f>IF(AND(U2554=1,M2554&gt;=H2554*(1-Assumptions!$C$8)),1,0)</f>
        <v/>
      </c>
      <c r="X2554">
        <f>IF(AND(U2554=1,N2554&gt;=H2554*(1-Assumptions!$C$8)),1,0)</f>
        <v/>
      </c>
      <c r="Y2554">
        <f>IF(ISNUMBER(Q2554),1,0)</f>
        <v/>
      </c>
      <c r="Z2554">
        <f>IF(AND(K2554=0,L2554=0,Y2554=0),1,0)</f>
        <v/>
      </c>
      <c r="AA2554">
        <f>IF(AND(Z2554=1,G2554&lt;Assumptions!$C$6),1,0)</f>
        <v/>
      </c>
      <c r="AB2554">
        <f>IF(U2554=0,"",IF(Y2554=1,MAX(0,Q2554-G2554),IF(L2554=1,MAX(0,R2554-G2554),MAX(0,Assumptions!$C$6-G2554))))</f>
        <v/>
      </c>
      <c r="AC2554">
        <f>IF(Y2554=1,Q2554-F2554,"")</f>
        <v/>
      </c>
      <c r="AD2554">
        <f>IF(Y2554=1,AC2554^2,"")</f>
        <v/>
      </c>
      <c r="AE2554" s="19">
        <f>IF(Z2554=1,(H2554-M2554)*I2554,0)</f>
        <v/>
      </c>
      <c r="AF2554">
        <f>IF(G2554&lt;EDATE(Assumptions!$C$6,-12)+1,"prior_12m","last_12m")</f>
        <v/>
      </c>
      <c r="AG2554" s="21">
        <f>DATE(YEAR(G2554),MONTH(G2554),1)</f>
        <v/>
      </c>
    </row>
    <row r="2555">
      <c r="A2555" t="inlineStr">
        <is>
          <t>SPO-01382-1</t>
        </is>
      </c>
      <c r="B2555" t="inlineStr">
        <is>
          <t>SPO-01382</t>
        </is>
      </c>
      <c r="C2555" t="inlineStr">
        <is>
          <t>SUP-01</t>
        </is>
      </c>
      <c r="D2555" t="inlineStr">
        <is>
          <t>ELEC</t>
        </is>
      </c>
      <c r="E2555" t="inlineStr">
        <is>
          <t>ELEC-06</t>
        </is>
      </c>
      <c r="F2555" s="17" t="n">
        <v>45951</v>
      </c>
      <c r="G2555" s="17" t="n">
        <v>45969</v>
      </c>
      <c r="H2555" s="18" t="n">
        <v>17</v>
      </c>
      <c r="I2555" s="19" t="n">
        <v>148.4</v>
      </c>
      <c r="J2555" s="19" t="n">
        <v>145</v>
      </c>
      <c r="K2555" s="20" t="n">
        <v>0</v>
      </c>
      <c r="L2555" s="20" t="n">
        <v>0</v>
      </c>
      <c r="M2555" s="18" t="n">
        <v>17</v>
      </c>
      <c r="N2555" s="18" t="n">
        <v>0</v>
      </c>
      <c r="O2555" s="18" t="n">
        <v>0</v>
      </c>
      <c r="P2555" s="17" t="n">
        <v>45974</v>
      </c>
      <c r="Q2555" s="17" t="n">
        <v>45974</v>
      </c>
      <c r="R2555" s="17" t="n">
        <v>45974</v>
      </c>
      <c r="S2555" s="19">
        <f>H2555*I2555</f>
        <v/>
      </c>
      <c r="T2555" s="19">
        <f>H2555*J2555</f>
        <v/>
      </c>
      <c r="U2555">
        <f>IF(AND(K2555=0,G2555&lt;=Assumptions!$C$6),1,0)</f>
        <v/>
      </c>
      <c r="V2555">
        <f>IF(U2555=1,IF(M2555&gt;0,IF(P2555&lt;=G2555+Assumptions!$C$7,1,0),0),0)</f>
        <v/>
      </c>
      <c r="W2555">
        <f>IF(AND(U2555=1,M2555&gt;=H2555*(1-Assumptions!$C$8)),1,0)</f>
        <v/>
      </c>
      <c r="X2555">
        <f>IF(AND(U2555=1,N2555&gt;=H2555*(1-Assumptions!$C$8)),1,0)</f>
        <v/>
      </c>
      <c r="Y2555">
        <f>IF(ISNUMBER(Q2555),1,0)</f>
        <v/>
      </c>
      <c r="Z2555">
        <f>IF(AND(K2555=0,L2555=0,Y2555=0),1,0)</f>
        <v/>
      </c>
      <c r="AA2555">
        <f>IF(AND(Z2555=1,G2555&lt;Assumptions!$C$6),1,0)</f>
        <v/>
      </c>
      <c r="AB2555">
        <f>IF(U2555=0,"",IF(Y2555=1,MAX(0,Q2555-G2555),IF(L2555=1,MAX(0,R2555-G2555),MAX(0,Assumptions!$C$6-G2555))))</f>
        <v/>
      </c>
      <c r="AC2555">
        <f>IF(Y2555=1,Q2555-F2555,"")</f>
        <v/>
      </c>
      <c r="AD2555">
        <f>IF(Y2555=1,AC2555^2,"")</f>
        <v/>
      </c>
      <c r="AE2555" s="19">
        <f>IF(Z2555=1,(H2555-M2555)*I2555,0)</f>
        <v/>
      </c>
      <c r="AF2555">
        <f>IF(G2555&lt;EDATE(Assumptions!$C$6,-12)+1,"prior_12m","last_12m")</f>
        <v/>
      </c>
      <c r="AG2555" s="21">
        <f>DATE(YEAR(G2555),MONTH(G2555),1)</f>
        <v/>
      </c>
    </row>
    <row r="2556">
      <c r="A2556" t="inlineStr">
        <is>
          <t>SPO-01383-1</t>
        </is>
      </c>
      <c r="B2556" t="inlineStr">
        <is>
          <t>SPO-01383</t>
        </is>
      </c>
      <c r="C2556" t="inlineStr">
        <is>
          <t>SUP-12</t>
        </is>
      </c>
      <c r="D2556" t="inlineStr">
        <is>
          <t>IT</t>
        </is>
      </c>
      <c r="E2556" t="inlineStr">
        <is>
          <t>IT-04</t>
        </is>
      </c>
      <c r="F2556" s="17" t="n">
        <v>45951</v>
      </c>
      <c r="G2556" s="17" t="n">
        <v>45961</v>
      </c>
      <c r="H2556" s="18" t="n">
        <v>215</v>
      </c>
      <c r="I2556" s="19" t="n">
        <v>14.18</v>
      </c>
      <c r="J2556" s="19" t="n">
        <v>12</v>
      </c>
      <c r="K2556" s="20" t="n">
        <v>0</v>
      </c>
      <c r="L2556" s="20" t="n">
        <v>0</v>
      </c>
      <c r="M2556" s="18" t="n">
        <v>215</v>
      </c>
      <c r="N2556" s="18" t="n">
        <v>129</v>
      </c>
      <c r="O2556" s="18" t="n">
        <v>0</v>
      </c>
      <c r="P2556" s="17" t="n">
        <v>45960</v>
      </c>
      <c r="Q2556" s="17" t="n">
        <v>45978</v>
      </c>
      <c r="R2556" s="17" t="n">
        <v>45978</v>
      </c>
      <c r="S2556" s="19">
        <f>H2556*I2556</f>
        <v/>
      </c>
      <c r="T2556" s="19">
        <f>H2556*J2556</f>
        <v/>
      </c>
      <c r="U2556">
        <f>IF(AND(K2556=0,G2556&lt;=Assumptions!$C$6),1,0)</f>
        <v/>
      </c>
      <c r="V2556">
        <f>IF(U2556=1,IF(M2556&gt;0,IF(P2556&lt;=G2556+Assumptions!$C$7,1,0),0),0)</f>
        <v/>
      </c>
      <c r="W2556">
        <f>IF(AND(U2556=1,M2556&gt;=H2556*(1-Assumptions!$C$8)),1,0)</f>
        <v/>
      </c>
      <c r="X2556">
        <f>IF(AND(U2556=1,N2556&gt;=H2556*(1-Assumptions!$C$8)),1,0)</f>
        <v/>
      </c>
      <c r="Y2556">
        <f>IF(ISNUMBER(Q2556),1,0)</f>
        <v/>
      </c>
      <c r="Z2556">
        <f>IF(AND(K2556=0,L2556=0,Y2556=0),1,0)</f>
        <v/>
      </c>
      <c r="AA2556">
        <f>IF(AND(Z2556=1,G2556&lt;Assumptions!$C$6),1,0)</f>
        <v/>
      </c>
      <c r="AB2556">
        <f>IF(U2556=0,"",IF(Y2556=1,MAX(0,Q2556-G2556),IF(L2556=1,MAX(0,R2556-G2556),MAX(0,Assumptions!$C$6-G2556))))</f>
        <v/>
      </c>
      <c r="AC2556">
        <f>IF(Y2556=1,Q2556-F2556,"")</f>
        <v/>
      </c>
      <c r="AD2556">
        <f>IF(Y2556=1,AC2556^2,"")</f>
        <v/>
      </c>
      <c r="AE2556" s="19">
        <f>IF(Z2556=1,(H2556-M2556)*I2556,0)</f>
        <v/>
      </c>
      <c r="AF2556">
        <f>IF(G2556&lt;EDATE(Assumptions!$C$6,-12)+1,"prior_12m","last_12m")</f>
        <v/>
      </c>
      <c r="AG2556" s="21">
        <f>DATE(YEAR(G2556),MONTH(G2556),1)</f>
        <v/>
      </c>
    </row>
    <row r="2557">
      <c r="A2557" t="inlineStr">
        <is>
          <t>SPO-01383-2</t>
        </is>
      </c>
      <c r="B2557" t="inlineStr">
        <is>
          <t>SPO-01383</t>
        </is>
      </c>
      <c r="C2557" t="inlineStr">
        <is>
          <t>SUP-12</t>
        </is>
      </c>
      <c r="D2557" t="inlineStr">
        <is>
          <t>IT</t>
        </is>
      </c>
      <c r="E2557" t="inlineStr">
        <is>
          <t>IT-08</t>
        </is>
      </c>
      <c r="F2557" s="17" t="n">
        <v>45951</v>
      </c>
      <c r="G2557" s="17" t="n">
        <v>45961</v>
      </c>
      <c r="H2557" s="18" t="n">
        <v>9</v>
      </c>
      <c r="I2557" s="19" t="n">
        <v>261.29</v>
      </c>
      <c r="J2557" s="19" t="n">
        <v>245</v>
      </c>
      <c r="K2557" s="20" t="n">
        <v>0</v>
      </c>
      <c r="L2557" s="20" t="n">
        <v>0</v>
      </c>
      <c r="M2557" s="18" t="n">
        <v>9</v>
      </c>
      <c r="N2557" s="18" t="n">
        <v>9</v>
      </c>
      <c r="O2557" s="18" t="n">
        <v>0</v>
      </c>
      <c r="P2557" s="17" t="n">
        <v>45959</v>
      </c>
      <c r="Q2557" s="17" t="n">
        <v>45959</v>
      </c>
      <c r="R2557" s="17" t="n">
        <v>45959</v>
      </c>
      <c r="S2557" s="19">
        <f>H2557*I2557</f>
        <v/>
      </c>
      <c r="T2557" s="19">
        <f>H2557*J2557</f>
        <v/>
      </c>
      <c r="U2557">
        <f>IF(AND(K2557=0,G2557&lt;=Assumptions!$C$6),1,0)</f>
        <v/>
      </c>
      <c r="V2557">
        <f>IF(U2557=1,IF(M2557&gt;0,IF(P2557&lt;=G2557+Assumptions!$C$7,1,0),0),0)</f>
        <v/>
      </c>
      <c r="W2557">
        <f>IF(AND(U2557=1,M2557&gt;=H2557*(1-Assumptions!$C$8)),1,0)</f>
        <v/>
      </c>
      <c r="X2557">
        <f>IF(AND(U2557=1,N2557&gt;=H2557*(1-Assumptions!$C$8)),1,0)</f>
        <v/>
      </c>
      <c r="Y2557">
        <f>IF(ISNUMBER(Q2557),1,0)</f>
        <v/>
      </c>
      <c r="Z2557">
        <f>IF(AND(K2557=0,L2557=0,Y2557=0),1,0)</f>
        <v/>
      </c>
      <c r="AA2557">
        <f>IF(AND(Z2557=1,G2557&lt;Assumptions!$C$6),1,0)</f>
        <v/>
      </c>
      <c r="AB2557">
        <f>IF(U2557=0,"",IF(Y2557=1,MAX(0,Q2557-G2557),IF(L2557=1,MAX(0,R2557-G2557),MAX(0,Assumptions!$C$6-G2557))))</f>
        <v/>
      </c>
      <c r="AC2557">
        <f>IF(Y2557=1,Q2557-F2557,"")</f>
        <v/>
      </c>
      <c r="AD2557">
        <f>IF(Y2557=1,AC2557^2,"")</f>
        <v/>
      </c>
      <c r="AE2557" s="19">
        <f>IF(Z2557=1,(H2557-M2557)*I2557,0)</f>
        <v/>
      </c>
      <c r="AF2557">
        <f>IF(G2557&lt;EDATE(Assumptions!$C$6,-12)+1,"prior_12m","last_12m")</f>
        <v/>
      </c>
      <c r="AG2557" s="21">
        <f>DATE(YEAR(G2557),MONTH(G2557),1)</f>
        <v/>
      </c>
    </row>
    <row r="2558">
      <c r="A2558" t="inlineStr">
        <is>
          <t>SPO-01383-3</t>
        </is>
      </c>
      <c r="B2558" t="inlineStr">
        <is>
          <t>SPO-01383</t>
        </is>
      </c>
      <c r="C2558" t="inlineStr">
        <is>
          <t>SUP-12</t>
        </is>
      </c>
      <c r="D2558" t="inlineStr">
        <is>
          <t>IT</t>
        </is>
      </c>
      <c r="E2558" t="inlineStr">
        <is>
          <t>IT-02</t>
        </is>
      </c>
      <c r="F2558" s="17" t="n">
        <v>45951</v>
      </c>
      <c r="G2558" s="17" t="n">
        <v>45961</v>
      </c>
      <c r="H2558" s="18" t="n">
        <v>6</v>
      </c>
      <c r="I2558" s="19" t="n">
        <v>193.15</v>
      </c>
      <c r="J2558" s="19" t="n">
        <v>162</v>
      </c>
      <c r="K2558" s="20" t="n">
        <v>0</v>
      </c>
      <c r="L2558" s="20" t="n">
        <v>0</v>
      </c>
      <c r="M2558" s="18" t="n">
        <v>6</v>
      </c>
      <c r="N2558" s="18" t="n">
        <v>6</v>
      </c>
      <c r="O2558" s="18" t="n">
        <v>1</v>
      </c>
      <c r="P2558" s="17" t="n">
        <v>45961</v>
      </c>
      <c r="Q2558" s="17" t="n">
        <v>45961</v>
      </c>
      <c r="R2558" s="17" t="n">
        <v>45961</v>
      </c>
      <c r="S2558" s="19">
        <f>H2558*I2558</f>
        <v/>
      </c>
      <c r="T2558" s="19">
        <f>H2558*J2558</f>
        <v/>
      </c>
      <c r="U2558">
        <f>IF(AND(K2558=0,G2558&lt;=Assumptions!$C$6),1,0)</f>
        <v/>
      </c>
      <c r="V2558">
        <f>IF(U2558=1,IF(M2558&gt;0,IF(P2558&lt;=G2558+Assumptions!$C$7,1,0),0),0)</f>
        <v/>
      </c>
      <c r="W2558">
        <f>IF(AND(U2558=1,M2558&gt;=H2558*(1-Assumptions!$C$8)),1,0)</f>
        <v/>
      </c>
      <c r="X2558">
        <f>IF(AND(U2558=1,N2558&gt;=H2558*(1-Assumptions!$C$8)),1,0)</f>
        <v/>
      </c>
      <c r="Y2558">
        <f>IF(ISNUMBER(Q2558),1,0)</f>
        <v/>
      </c>
      <c r="Z2558">
        <f>IF(AND(K2558=0,L2558=0,Y2558=0),1,0)</f>
        <v/>
      </c>
      <c r="AA2558">
        <f>IF(AND(Z2558=1,G2558&lt;Assumptions!$C$6),1,0)</f>
        <v/>
      </c>
      <c r="AB2558">
        <f>IF(U2558=0,"",IF(Y2558=1,MAX(0,Q2558-G2558),IF(L2558=1,MAX(0,R2558-G2558),MAX(0,Assumptions!$C$6-G2558))))</f>
        <v/>
      </c>
      <c r="AC2558">
        <f>IF(Y2558=1,Q2558-F2558,"")</f>
        <v/>
      </c>
      <c r="AD2558">
        <f>IF(Y2558=1,AC2558^2,"")</f>
        <v/>
      </c>
      <c r="AE2558" s="19">
        <f>IF(Z2558=1,(H2558-M2558)*I2558,0)</f>
        <v/>
      </c>
      <c r="AF2558">
        <f>IF(G2558&lt;EDATE(Assumptions!$C$6,-12)+1,"prior_12m","last_12m")</f>
        <v/>
      </c>
      <c r="AG2558" s="21">
        <f>DATE(YEAR(G2558),MONTH(G2558),1)</f>
        <v/>
      </c>
    </row>
    <row r="2559">
      <c r="A2559" t="inlineStr">
        <is>
          <t>SPO-01384-1</t>
        </is>
      </c>
      <c r="B2559" t="inlineStr">
        <is>
          <t>SPO-01384</t>
        </is>
      </c>
      <c r="C2559" t="inlineStr">
        <is>
          <t>SUP-04</t>
        </is>
      </c>
      <c r="D2559" t="inlineStr">
        <is>
          <t>FLEET</t>
        </is>
      </c>
      <c r="E2559" t="inlineStr">
        <is>
          <t>FLEET-07</t>
        </is>
      </c>
      <c r="F2559" s="17" t="n">
        <v>45951</v>
      </c>
      <c r="G2559" s="17" t="n">
        <v>45964</v>
      </c>
      <c r="H2559" s="18" t="n">
        <v>12</v>
      </c>
      <c r="I2559" s="19" t="n">
        <v>117.26</v>
      </c>
      <c r="J2559" s="19" t="n">
        <v>118</v>
      </c>
      <c r="K2559" s="20" t="n">
        <v>0</v>
      </c>
      <c r="L2559" s="20" t="n">
        <v>0</v>
      </c>
      <c r="M2559" s="18" t="n">
        <v>12</v>
      </c>
      <c r="N2559" s="18" t="n">
        <v>12</v>
      </c>
      <c r="O2559" s="18" t="n">
        <v>0</v>
      </c>
      <c r="P2559" s="17" t="n">
        <v>45962</v>
      </c>
      <c r="Q2559" s="17" t="n">
        <v>45962</v>
      </c>
      <c r="R2559" s="17" t="n">
        <v>45962</v>
      </c>
      <c r="S2559" s="19">
        <f>H2559*I2559</f>
        <v/>
      </c>
      <c r="T2559" s="19">
        <f>H2559*J2559</f>
        <v/>
      </c>
      <c r="U2559">
        <f>IF(AND(K2559=0,G2559&lt;=Assumptions!$C$6),1,0)</f>
        <v/>
      </c>
      <c r="V2559">
        <f>IF(U2559=1,IF(M2559&gt;0,IF(P2559&lt;=G2559+Assumptions!$C$7,1,0),0),0)</f>
        <v/>
      </c>
      <c r="W2559">
        <f>IF(AND(U2559=1,M2559&gt;=H2559*(1-Assumptions!$C$8)),1,0)</f>
        <v/>
      </c>
      <c r="X2559">
        <f>IF(AND(U2559=1,N2559&gt;=H2559*(1-Assumptions!$C$8)),1,0)</f>
        <v/>
      </c>
      <c r="Y2559">
        <f>IF(ISNUMBER(Q2559),1,0)</f>
        <v/>
      </c>
      <c r="Z2559">
        <f>IF(AND(K2559=0,L2559=0,Y2559=0),1,0)</f>
        <v/>
      </c>
      <c r="AA2559">
        <f>IF(AND(Z2559=1,G2559&lt;Assumptions!$C$6),1,0)</f>
        <v/>
      </c>
      <c r="AB2559">
        <f>IF(U2559=0,"",IF(Y2559=1,MAX(0,Q2559-G2559),IF(L2559=1,MAX(0,R2559-G2559),MAX(0,Assumptions!$C$6-G2559))))</f>
        <v/>
      </c>
      <c r="AC2559">
        <f>IF(Y2559=1,Q2559-F2559,"")</f>
        <v/>
      </c>
      <c r="AD2559">
        <f>IF(Y2559=1,AC2559^2,"")</f>
        <v/>
      </c>
      <c r="AE2559" s="19">
        <f>IF(Z2559=1,(H2559-M2559)*I2559,0)</f>
        <v/>
      </c>
      <c r="AF2559">
        <f>IF(G2559&lt;EDATE(Assumptions!$C$6,-12)+1,"prior_12m","last_12m")</f>
        <v/>
      </c>
      <c r="AG2559" s="21">
        <f>DATE(YEAR(G2559),MONTH(G2559),1)</f>
        <v/>
      </c>
    </row>
    <row r="2560">
      <c r="A2560" t="inlineStr">
        <is>
          <t>SPO-01384-2</t>
        </is>
      </c>
      <c r="B2560" t="inlineStr">
        <is>
          <t>SPO-01384</t>
        </is>
      </c>
      <c r="C2560" t="inlineStr">
        <is>
          <t>SUP-04</t>
        </is>
      </c>
      <c r="D2560" t="inlineStr">
        <is>
          <t>FLEET</t>
        </is>
      </c>
      <c r="E2560" t="inlineStr">
        <is>
          <t>FLEET-03</t>
        </is>
      </c>
      <c r="F2560" s="17" t="n">
        <v>45951</v>
      </c>
      <c r="G2560" s="17" t="n">
        <v>45964</v>
      </c>
      <c r="H2560" s="18" t="n">
        <v>129</v>
      </c>
      <c r="I2560" s="19" t="n">
        <v>20.18</v>
      </c>
      <c r="J2560" s="19" t="n">
        <v>21</v>
      </c>
      <c r="K2560" s="20" t="n">
        <v>0</v>
      </c>
      <c r="L2560" s="20" t="n">
        <v>0</v>
      </c>
      <c r="M2560" s="18" t="n">
        <v>129</v>
      </c>
      <c r="N2560" s="18" t="n">
        <v>129</v>
      </c>
      <c r="O2560" s="18" t="n">
        <v>0</v>
      </c>
      <c r="P2560" s="17" t="n">
        <v>45961</v>
      </c>
      <c r="Q2560" s="17" t="n">
        <v>45961</v>
      </c>
      <c r="R2560" s="17" t="n">
        <v>45961</v>
      </c>
      <c r="S2560" s="19">
        <f>H2560*I2560</f>
        <v/>
      </c>
      <c r="T2560" s="19">
        <f>H2560*J2560</f>
        <v/>
      </c>
      <c r="U2560">
        <f>IF(AND(K2560=0,G2560&lt;=Assumptions!$C$6),1,0)</f>
        <v/>
      </c>
      <c r="V2560">
        <f>IF(U2560=1,IF(M2560&gt;0,IF(P2560&lt;=G2560+Assumptions!$C$7,1,0),0),0)</f>
        <v/>
      </c>
      <c r="W2560">
        <f>IF(AND(U2560=1,M2560&gt;=H2560*(1-Assumptions!$C$8)),1,0)</f>
        <v/>
      </c>
      <c r="X2560">
        <f>IF(AND(U2560=1,N2560&gt;=H2560*(1-Assumptions!$C$8)),1,0)</f>
        <v/>
      </c>
      <c r="Y2560">
        <f>IF(ISNUMBER(Q2560),1,0)</f>
        <v/>
      </c>
      <c r="Z2560">
        <f>IF(AND(K2560=0,L2560=0,Y2560=0),1,0)</f>
        <v/>
      </c>
      <c r="AA2560">
        <f>IF(AND(Z2560=1,G2560&lt;Assumptions!$C$6),1,0)</f>
        <v/>
      </c>
      <c r="AB2560">
        <f>IF(U2560=0,"",IF(Y2560=1,MAX(0,Q2560-G2560),IF(L2560=1,MAX(0,R2560-G2560),MAX(0,Assumptions!$C$6-G2560))))</f>
        <v/>
      </c>
      <c r="AC2560">
        <f>IF(Y2560=1,Q2560-F2560,"")</f>
        <v/>
      </c>
      <c r="AD2560">
        <f>IF(Y2560=1,AC2560^2,"")</f>
        <v/>
      </c>
      <c r="AE2560" s="19">
        <f>IF(Z2560=1,(H2560-M2560)*I2560,0)</f>
        <v/>
      </c>
      <c r="AF2560">
        <f>IF(G2560&lt;EDATE(Assumptions!$C$6,-12)+1,"prior_12m","last_12m")</f>
        <v/>
      </c>
      <c r="AG2560" s="21">
        <f>DATE(YEAR(G2560),MONTH(G2560),1)</f>
        <v/>
      </c>
    </row>
    <row r="2561">
      <c r="A2561" t="inlineStr">
        <is>
          <t>SPO-01385-1</t>
        </is>
      </c>
      <c r="B2561" t="inlineStr">
        <is>
          <t>SPO-01385</t>
        </is>
      </c>
      <c r="C2561" t="inlineStr">
        <is>
          <t>SUP-08</t>
        </is>
      </c>
      <c r="D2561" t="inlineStr">
        <is>
          <t>MRO</t>
        </is>
      </c>
      <c r="E2561" t="inlineStr">
        <is>
          <t>MRO-03</t>
        </is>
      </c>
      <c r="F2561" s="17" t="n">
        <v>45951</v>
      </c>
      <c r="G2561" s="17" t="n">
        <v>45962</v>
      </c>
      <c r="H2561" s="18" t="n">
        <v>62</v>
      </c>
      <c r="I2561" s="19" t="n">
        <v>9</v>
      </c>
      <c r="J2561" s="19" t="n">
        <v>8.9</v>
      </c>
      <c r="K2561" s="20" t="n">
        <v>0</v>
      </c>
      <c r="L2561" s="20" t="n">
        <v>0</v>
      </c>
      <c r="M2561" s="18" t="n">
        <v>62</v>
      </c>
      <c r="N2561" s="18" t="n">
        <v>62</v>
      </c>
      <c r="O2561" s="18" t="n">
        <v>0</v>
      </c>
      <c r="P2561" s="17" t="n">
        <v>45958</v>
      </c>
      <c r="Q2561" s="17" t="n">
        <v>45958</v>
      </c>
      <c r="R2561" s="17" t="n">
        <v>45958</v>
      </c>
      <c r="S2561" s="19">
        <f>H2561*I2561</f>
        <v/>
      </c>
      <c r="T2561" s="19">
        <f>H2561*J2561</f>
        <v/>
      </c>
      <c r="U2561">
        <f>IF(AND(K2561=0,G2561&lt;=Assumptions!$C$6),1,0)</f>
        <v/>
      </c>
      <c r="V2561">
        <f>IF(U2561=1,IF(M2561&gt;0,IF(P2561&lt;=G2561+Assumptions!$C$7,1,0),0),0)</f>
        <v/>
      </c>
      <c r="W2561">
        <f>IF(AND(U2561=1,M2561&gt;=H2561*(1-Assumptions!$C$8)),1,0)</f>
        <v/>
      </c>
      <c r="X2561">
        <f>IF(AND(U2561=1,N2561&gt;=H2561*(1-Assumptions!$C$8)),1,0)</f>
        <v/>
      </c>
      <c r="Y2561">
        <f>IF(ISNUMBER(Q2561),1,0)</f>
        <v/>
      </c>
      <c r="Z2561">
        <f>IF(AND(K2561=0,L2561=0,Y2561=0),1,0)</f>
        <v/>
      </c>
      <c r="AA2561">
        <f>IF(AND(Z2561=1,G2561&lt;Assumptions!$C$6),1,0)</f>
        <v/>
      </c>
      <c r="AB2561">
        <f>IF(U2561=0,"",IF(Y2561=1,MAX(0,Q2561-G2561),IF(L2561=1,MAX(0,R2561-G2561),MAX(0,Assumptions!$C$6-G2561))))</f>
        <v/>
      </c>
      <c r="AC2561">
        <f>IF(Y2561=1,Q2561-F2561,"")</f>
        <v/>
      </c>
      <c r="AD2561">
        <f>IF(Y2561=1,AC2561^2,"")</f>
        <v/>
      </c>
      <c r="AE2561" s="19">
        <f>IF(Z2561=1,(H2561-M2561)*I2561,0)</f>
        <v/>
      </c>
      <c r="AF2561">
        <f>IF(G2561&lt;EDATE(Assumptions!$C$6,-12)+1,"prior_12m","last_12m")</f>
        <v/>
      </c>
      <c r="AG2561" s="21">
        <f>DATE(YEAR(G2561),MONTH(G2561),1)</f>
        <v/>
      </c>
    </row>
    <row r="2562">
      <c r="A2562" t="inlineStr">
        <is>
          <t>SPO-01385-2</t>
        </is>
      </c>
      <c r="B2562" t="inlineStr">
        <is>
          <t>SPO-01385</t>
        </is>
      </c>
      <c r="C2562" t="inlineStr">
        <is>
          <t>SUP-08</t>
        </is>
      </c>
      <c r="D2562" t="inlineStr">
        <is>
          <t>MRO</t>
        </is>
      </c>
      <c r="E2562" t="inlineStr">
        <is>
          <t>MRO-05</t>
        </is>
      </c>
      <c r="F2562" s="17" t="n">
        <v>45951</v>
      </c>
      <c r="G2562" s="17" t="n">
        <v>45962</v>
      </c>
      <c r="H2562" s="18" t="n">
        <v>57</v>
      </c>
      <c r="I2562" s="19" t="n">
        <v>34.57</v>
      </c>
      <c r="J2562" s="19" t="n">
        <v>36</v>
      </c>
      <c r="K2562" s="20" t="n">
        <v>0</v>
      </c>
      <c r="L2562" s="20" t="n">
        <v>0</v>
      </c>
      <c r="M2562" s="18" t="n">
        <v>57</v>
      </c>
      <c r="N2562" s="18" t="n">
        <v>0</v>
      </c>
      <c r="O2562" s="18" t="n">
        <v>0</v>
      </c>
      <c r="P2562" s="17" t="n">
        <v>45963</v>
      </c>
      <c r="Q2562" s="17" t="n">
        <v>45963</v>
      </c>
      <c r="R2562" s="17" t="n">
        <v>45963</v>
      </c>
      <c r="S2562" s="19">
        <f>H2562*I2562</f>
        <v/>
      </c>
      <c r="T2562" s="19">
        <f>H2562*J2562</f>
        <v/>
      </c>
      <c r="U2562">
        <f>IF(AND(K2562=0,G2562&lt;=Assumptions!$C$6),1,0)</f>
        <v/>
      </c>
      <c r="V2562">
        <f>IF(U2562=1,IF(M2562&gt;0,IF(P2562&lt;=G2562+Assumptions!$C$7,1,0),0),0)</f>
        <v/>
      </c>
      <c r="W2562">
        <f>IF(AND(U2562=1,M2562&gt;=H2562*(1-Assumptions!$C$8)),1,0)</f>
        <v/>
      </c>
      <c r="X2562">
        <f>IF(AND(U2562=1,N2562&gt;=H2562*(1-Assumptions!$C$8)),1,0)</f>
        <v/>
      </c>
      <c r="Y2562">
        <f>IF(ISNUMBER(Q2562),1,0)</f>
        <v/>
      </c>
      <c r="Z2562">
        <f>IF(AND(K2562=0,L2562=0,Y2562=0),1,0)</f>
        <v/>
      </c>
      <c r="AA2562">
        <f>IF(AND(Z2562=1,G2562&lt;Assumptions!$C$6),1,0)</f>
        <v/>
      </c>
      <c r="AB2562">
        <f>IF(U2562=0,"",IF(Y2562=1,MAX(0,Q2562-G2562),IF(L2562=1,MAX(0,R2562-G2562),MAX(0,Assumptions!$C$6-G2562))))</f>
        <v/>
      </c>
      <c r="AC2562">
        <f>IF(Y2562=1,Q2562-F2562,"")</f>
        <v/>
      </c>
      <c r="AD2562">
        <f>IF(Y2562=1,AC2562^2,"")</f>
        <v/>
      </c>
      <c r="AE2562" s="19">
        <f>IF(Z2562=1,(H2562-M2562)*I2562,0)</f>
        <v/>
      </c>
      <c r="AF2562">
        <f>IF(G2562&lt;EDATE(Assumptions!$C$6,-12)+1,"prior_12m","last_12m")</f>
        <v/>
      </c>
      <c r="AG2562" s="21">
        <f>DATE(YEAR(G2562),MONTH(G2562),1)</f>
        <v/>
      </c>
    </row>
    <row r="2563">
      <c r="A2563" t="inlineStr">
        <is>
          <t>SPO-01386-1</t>
        </is>
      </c>
      <c r="B2563" t="inlineStr">
        <is>
          <t>SPO-01386</t>
        </is>
      </c>
      <c r="C2563" t="inlineStr">
        <is>
          <t>SUP-10</t>
        </is>
      </c>
      <c r="D2563" t="inlineStr">
        <is>
          <t>PPE</t>
        </is>
      </c>
      <c r="E2563" t="inlineStr">
        <is>
          <t>PPE-02</t>
        </is>
      </c>
      <c r="F2563" s="17" t="n">
        <v>45952</v>
      </c>
      <c r="G2563" s="17" t="n">
        <v>45965</v>
      </c>
      <c r="H2563" s="18" t="n">
        <v>97</v>
      </c>
      <c r="I2563" s="19" t="n">
        <v>12.24</v>
      </c>
      <c r="J2563" s="19" t="n">
        <v>12.5</v>
      </c>
      <c r="K2563" s="20" t="n">
        <v>0</v>
      </c>
      <c r="L2563" s="20" t="n">
        <v>0</v>
      </c>
      <c r="M2563" s="18" t="n">
        <v>97</v>
      </c>
      <c r="N2563" s="18" t="n">
        <v>0</v>
      </c>
      <c r="O2563" s="18" t="n">
        <v>26</v>
      </c>
      <c r="P2563" s="17" t="n">
        <v>45967</v>
      </c>
      <c r="Q2563" s="17" t="n">
        <v>45967</v>
      </c>
      <c r="R2563" s="17" t="n">
        <v>45967</v>
      </c>
      <c r="S2563" s="19">
        <f>H2563*I2563</f>
        <v/>
      </c>
      <c r="T2563" s="19">
        <f>H2563*J2563</f>
        <v/>
      </c>
      <c r="U2563">
        <f>IF(AND(K2563=0,G2563&lt;=Assumptions!$C$6),1,0)</f>
        <v/>
      </c>
      <c r="V2563">
        <f>IF(U2563=1,IF(M2563&gt;0,IF(P2563&lt;=G2563+Assumptions!$C$7,1,0),0),0)</f>
        <v/>
      </c>
      <c r="W2563">
        <f>IF(AND(U2563=1,M2563&gt;=H2563*(1-Assumptions!$C$8)),1,0)</f>
        <v/>
      </c>
      <c r="X2563">
        <f>IF(AND(U2563=1,N2563&gt;=H2563*(1-Assumptions!$C$8)),1,0)</f>
        <v/>
      </c>
      <c r="Y2563">
        <f>IF(ISNUMBER(Q2563),1,0)</f>
        <v/>
      </c>
      <c r="Z2563">
        <f>IF(AND(K2563=0,L2563=0,Y2563=0),1,0)</f>
        <v/>
      </c>
      <c r="AA2563">
        <f>IF(AND(Z2563=1,G2563&lt;Assumptions!$C$6),1,0)</f>
        <v/>
      </c>
      <c r="AB2563">
        <f>IF(U2563=0,"",IF(Y2563=1,MAX(0,Q2563-G2563),IF(L2563=1,MAX(0,R2563-G2563),MAX(0,Assumptions!$C$6-G2563))))</f>
        <v/>
      </c>
      <c r="AC2563">
        <f>IF(Y2563=1,Q2563-F2563,"")</f>
        <v/>
      </c>
      <c r="AD2563">
        <f>IF(Y2563=1,AC2563^2,"")</f>
        <v/>
      </c>
      <c r="AE2563" s="19">
        <f>IF(Z2563=1,(H2563-M2563)*I2563,0)</f>
        <v/>
      </c>
      <c r="AF2563">
        <f>IF(G2563&lt;EDATE(Assumptions!$C$6,-12)+1,"prior_12m","last_12m")</f>
        <v/>
      </c>
      <c r="AG2563" s="21">
        <f>DATE(YEAR(G2563),MONTH(G2563),1)</f>
        <v/>
      </c>
    </row>
    <row r="2564">
      <c r="A2564" t="inlineStr">
        <is>
          <t>SPO-01386-2</t>
        </is>
      </c>
      <c r="B2564" t="inlineStr">
        <is>
          <t>SPO-01386</t>
        </is>
      </c>
      <c r="C2564" t="inlineStr">
        <is>
          <t>SUP-10</t>
        </is>
      </c>
      <c r="D2564" t="inlineStr">
        <is>
          <t>PPE</t>
        </is>
      </c>
      <c r="E2564" t="inlineStr">
        <is>
          <t>PPE-06</t>
        </is>
      </c>
      <c r="F2564" s="17" t="n">
        <v>45952</v>
      </c>
      <c r="G2564" s="17" t="n">
        <v>45965</v>
      </c>
      <c r="H2564" s="18" t="n">
        <v>16</v>
      </c>
      <c r="I2564" s="19" t="n">
        <v>106.29</v>
      </c>
      <c r="J2564" s="19" t="n">
        <v>115</v>
      </c>
      <c r="K2564" s="20" t="n">
        <v>0</v>
      </c>
      <c r="L2564" s="20" t="n">
        <v>0</v>
      </c>
      <c r="M2564" s="18" t="n">
        <v>16</v>
      </c>
      <c r="N2564" s="18" t="n">
        <v>12</v>
      </c>
      <c r="O2564" s="18" t="n">
        <v>0</v>
      </c>
      <c r="P2564" s="17" t="n">
        <v>45961</v>
      </c>
      <c r="Q2564" s="17" t="n">
        <v>45977</v>
      </c>
      <c r="R2564" s="17" t="n">
        <v>45977</v>
      </c>
      <c r="S2564" s="19">
        <f>H2564*I2564</f>
        <v/>
      </c>
      <c r="T2564" s="19">
        <f>H2564*J2564</f>
        <v/>
      </c>
      <c r="U2564">
        <f>IF(AND(K2564=0,G2564&lt;=Assumptions!$C$6),1,0)</f>
        <v/>
      </c>
      <c r="V2564">
        <f>IF(U2564=1,IF(M2564&gt;0,IF(P2564&lt;=G2564+Assumptions!$C$7,1,0),0),0)</f>
        <v/>
      </c>
      <c r="W2564">
        <f>IF(AND(U2564=1,M2564&gt;=H2564*(1-Assumptions!$C$8)),1,0)</f>
        <v/>
      </c>
      <c r="X2564">
        <f>IF(AND(U2564=1,N2564&gt;=H2564*(1-Assumptions!$C$8)),1,0)</f>
        <v/>
      </c>
      <c r="Y2564">
        <f>IF(ISNUMBER(Q2564),1,0)</f>
        <v/>
      </c>
      <c r="Z2564">
        <f>IF(AND(K2564=0,L2564=0,Y2564=0),1,0)</f>
        <v/>
      </c>
      <c r="AA2564">
        <f>IF(AND(Z2564=1,G2564&lt;Assumptions!$C$6),1,0)</f>
        <v/>
      </c>
      <c r="AB2564">
        <f>IF(U2564=0,"",IF(Y2564=1,MAX(0,Q2564-G2564),IF(L2564=1,MAX(0,R2564-G2564),MAX(0,Assumptions!$C$6-G2564))))</f>
        <v/>
      </c>
      <c r="AC2564">
        <f>IF(Y2564=1,Q2564-F2564,"")</f>
        <v/>
      </c>
      <c r="AD2564">
        <f>IF(Y2564=1,AC2564^2,"")</f>
        <v/>
      </c>
      <c r="AE2564" s="19">
        <f>IF(Z2564=1,(H2564-M2564)*I2564,0)</f>
        <v/>
      </c>
      <c r="AF2564">
        <f>IF(G2564&lt;EDATE(Assumptions!$C$6,-12)+1,"prior_12m","last_12m")</f>
        <v/>
      </c>
      <c r="AG2564" s="21">
        <f>DATE(YEAR(G2564),MONTH(G2564),1)</f>
        <v/>
      </c>
    </row>
    <row r="2565">
      <c r="A2565" t="inlineStr">
        <is>
          <t>SPO-01387-1</t>
        </is>
      </c>
      <c r="B2565" t="inlineStr">
        <is>
          <t>SPO-01387</t>
        </is>
      </c>
      <c r="C2565" t="inlineStr">
        <is>
          <t>SUP-12</t>
        </is>
      </c>
      <c r="D2565" t="inlineStr">
        <is>
          <t>IT</t>
        </is>
      </c>
      <c r="E2565" t="inlineStr">
        <is>
          <t>IT-01</t>
        </is>
      </c>
      <c r="F2565" s="17" t="n">
        <v>45953</v>
      </c>
      <c r="G2565" s="17" t="n">
        <v>45963</v>
      </c>
      <c r="H2565" s="18" t="n">
        <v>5</v>
      </c>
      <c r="I2565" s="19" t="n">
        <v>212.18</v>
      </c>
      <c r="J2565" s="19" t="n">
        <v>189</v>
      </c>
      <c r="K2565" s="20" t="n">
        <v>0</v>
      </c>
      <c r="L2565" s="20" t="n">
        <v>0</v>
      </c>
      <c r="M2565" s="18" t="n">
        <v>5</v>
      </c>
      <c r="N2565" s="18" t="n">
        <v>5</v>
      </c>
      <c r="O2565" s="18" t="n">
        <v>0</v>
      </c>
      <c r="P2565" s="17" t="n">
        <v>45959</v>
      </c>
      <c r="Q2565" s="17" t="n">
        <v>45959</v>
      </c>
      <c r="R2565" s="17" t="n">
        <v>45959</v>
      </c>
      <c r="S2565" s="19">
        <f>H2565*I2565</f>
        <v/>
      </c>
      <c r="T2565" s="19">
        <f>H2565*J2565</f>
        <v/>
      </c>
      <c r="U2565">
        <f>IF(AND(K2565=0,G2565&lt;=Assumptions!$C$6),1,0)</f>
        <v/>
      </c>
      <c r="V2565">
        <f>IF(U2565=1,IF(M2565&gt;0,IF(P2565&lt;=G2565+Assumptions!$C$7,1,0),0),0)</f>
        <v/>
      </c>
      <c r="W2565">
        <f>IF(AND(U2565=1,M2565&gt;=H2565*(1-Assumptions!$C$8)),1,0)</f>
        <v/>
      </c>
      <c r="X2565">
        <f>IF(AND(U2565=1,N2565&gt;=H2565*(1-Assumptions!$C$8)),1,0)</f>
        <v/>
      </c>
      <c r="Y2565">
        <f>IF(ISNUMBER(Q2565),1,0)</f>
        <v/>
      </c>
      <c r="Z2565">
        <f>IF(AND(K2565=0,L2565=0,Y2565=0),1,0)</f>
        <v/>
      </c>
      <c r="AA2565">
        <f>IF(AND(Z2565=1,G2565&lt;Assumptions!$C$6),1,0)</f>
        <v/>
      </c>
      <c r="AB2565">
        <f>IF(U2565=0,"",IF(Y2565=1,MAX(0,Q2565-G2565),IF(L2565=1,MAX(0,R2565-G2565),MAX(0,Assumptions!$C$6-G2565))))</f>
        <v/>
      </c>
      <c r="AC2565">
        <f>IF(Y2565=1,Q2565-F2565,"")</f>
        <v/>
      </c>
      <c r="AD2565">
        <f>IF(Y2565=1,AC2565^2,"")</f>
        <v/>
      </c>
      <c r="AE2565" s="19">
        <f>IF(Z2565=1,(H2565-M2565)*I2565,0)</f>
        <v/>
      </c>
      <c r="AF2565">
        <f>IF(G2565&lt;EDATE(Assumptions!$C$6,-12)+1,"prior_12m","last_12m")</f>
        <v/>
      </c>
      <c r="AG2565" s="21">
        <f>DATE(YEAR(G2565),MONTH(G2565),1)</f>
        <v/>
      </c>
    </row>
    <row r="2566">
      <c r="A2566" t="inlineStr">
        <is>
          <t>SPO-01387-2</t>
        </is>
      </c>
      <c r="B2566" t="inlineStr">
        <is>
          <t>SPO-01387</t>
        </is>
      </c>
      <c r="C2566" t="inlineStr">
        <is>
          <t>SUP-12</t>
        </is>
      </c>
      <c r="D2566" t="inlineStr">
        <is>
          <t>IT</t>
        </is>
      </c>
      <c r="E2566" t="inlineStr">
        <is>
          <t>IT-06</t>
        </is>
      </c>
      <c r="F2566" s="17" t="n">
        <v>45953</v>
      </c>
      <c r="G2566" s="17" t="n">
        <v>45963</v>
      </c>
      <c r="H2566" s="18" t="n">
        <v>6</v>
      </c>
      <c r="I2566" s="19" t="n">
        <v>101.38</v>
      </c>
      <c r="J2566" s="19" t="n">
        <v>89</v>
      </c>
      <c r="K2566" s="20" t="n">
        <v>0</v>
      </c>
      <c r="L2566" s="20" t="n">
        <v>0</v>
      </c>
      <c r="M2566" s="18" t="n">
        <v>6</v>
      </c>
      <c r="N2566" s="18" t="n">
        <v>6</v>
      </c>
      <c r="O2566" s="18" t="n">
        <v>0</v>
      </c>
      <c r="P2566" s="17" t="n">
        <v>45959</v>
      </c>
      <c r="Q2566" s="17" t="n">
        <v>45959</v>
      </c>
      <c r="R2566" s="17" t="n">
        <v>45959</v>
      </c>
      <c r="S2566" s="19">
        <f>H2566*I2566</f>
        <v/>
      </c>
      <c r="T2566" s="19">
        <f>H2566*J2566</f>
        <v/>
      </c>
      <c r="U2566">
        <f>IF(AND(K2566=0,G2566&lt;=Assumptions!$C$6),1,0)</f>
        <v/>
      </c>
      <c r="V2566">
        <f>IF(U2566=1,IF(M2566&gt;0,IF(P2566&lt;=G2566+Assumptions!$C$7,1,0),0),0)</f>
        <v/>
      </c>
      <c r="W2566">
        <f>IF(AND(U2566=1,M2566&gt;=H2566*(1-Assumptions!$C$8)),1,0)</f>
        <v/>
      </c>
      <c r="X2566">
        <f>IF(AND(U2566=1,N2566&gt;=H2566*(1-Assumptions!$C$8)),1,0)</f>
        <v/>
      </c>
      <c r="Y2566">
        <f>IF(ISNUMBER(Q2566),1,0)</f>
        <v/>
      </c>
      <c r="Z2566">
        <f>IF(AND(K2566=0,L2566=0,Y2566=0),1,0)</f>
        <v/>
      </c>
      <c r="AA2566">
        <f>IF(AND(Z2566=1,G2566&lt;Assumptions!$C$6),1,0)</f>
        <v/>
      </c>
      <c r="AB2566">
        <f>IF(U2566=0,"",IF(Y2566=1,MAX(0,Q2566-G2566),IF(L2566=1,MAX(0,R2566-G2566),MAX(0,Assumptions!$C$6-G2566))))</f>
        <v/>
      </c>
      <c r="AC2566">
        <f>IF(Y2566=1,Q2566-F2566,"")</f>
        <v/>
      </c>
      <c r="AD2566">
        <f>IF(Y2566=1,AC2566^2,"")</f>
        <v/>
      </c>
      <c r="AE2566" s="19">
        <f>IF(Z2566=1,(H2566-M2566)*I2566,0)</f>
        <v/>
      </c>
      <c r="AF2566">
        <f>IF(G2566&lt;EDATE(Assumptions!$C$6,-12)+1,"prior_12m","last_12m")</f>
        <v/>
      </c>
      <c r="AG2566" s="21">
        <f>DATE(YEAR(G2566),MONTH(G2566),1)</f>
        <v/>
      </c>
    </row>
    <row r="2567">
      <c r="A2567" t="inlineStr">
        <is>
          <t>SPO-01388-1</t>
        </is>
      </c>
      <c r="B2567" t="inlineStr">
        <is>
          <t>SPO-01388</t>
        </is>
      </c>
      <c r="C2567" t="inlineStr">
        <is>
          <t>SUP-07</t>
        </is>
      </c>
      <c r="D2567" t="inlineStr">
        <is>
          <t>MRO</t>
        </is>
      </c>
      <c r="E2567" t="inlineStr">
        <is>
          <t>MRO-02</t>
        </is>
      </c>
      <c r="F2567" s="17" t="n">
        <v>45953</v>
      </c>
      <c r="G2567" s="17" t="n">
        <v>45963</v>
      </c>
      <c r="H2567" s="18" t="n">
        <v>21</v>
      </c>
      <c r="I2567" s="19" t="n">
        <v>40.96</v>
      </c>
      <c r="J2567" s="19" t="n">
        <v>41</v>
      </c>
      <c r="K2567" s="20" t="n">
        <v>0</v>
      </c>
      <c r="L2567" s="20" t="n">
        <v>0</v>
      </c>
      <c r="M2567" s="18" t="n">
        <v>21</v>
      </c>
      <c r="N2567" s="18" t="n">
        <v>21</v>
      </c>
      <c r="O2567" s="18" t="n">
        <v>0</v>
      </c>
      <c r="P2567" s="17" t="n">
        <v>45959</v>
      </c>
      <c r="Q2567" s="17" t="n">
        <v>45959</v>
      </c>
      <c r="R2567" s="17" t="n">
        <v>45959</v>
      </c>
      <c r="S2567" s="19">
        <f>H2567*I2567</f>
        <v/>
      </c>
      <c r="T2567" s="19">
        <f>H2567*J2567</f>
        <v/>
      </c>
      <c r="U2567">
        <f>IF(AND(K2567=0,G2567&lt;=Assumptions!$C$6),1,0)</f>
        <v/>
      </c>
      <c r="V2567">
        <f>IF(U2567=1,IF(M2567&gt;0,IF(P2567&lt;=G2567+Assumptions!$C$7,1,0),0),0)</f>
        <v/>
      </c>
      <c r="W2567">
        <f>IF(AND(U2567=1,M2567&gt;=H2567*(1-Assumptions!$C$8)),1,0)</f>
        <v/>
      </c>
      <c r="X2567">
        <f>IF(AND(U2567=1,N2567&gt;=H2567*(1-Assumptions!$C$8)),1,0)</f>
        <v/>
      </c>
      <c r="Y2567">
        <f>IF(ISNUMBER(Q2567),1,0)</f>
        <v/>
      </c>
      <c r="Z2567">
        <f>IF(AND(K2567=0,L2567=0,Y2567=0),1,0)</f>
        <v/>
      </c>
      <c r="AA2567">
        <f>IF(AND(Z2567=1,G2567&lt;Assumptions!$C$6),1,0)</f>
        <v/>
      </c>
      <c r="AB2567">
        <f>IF(U2567=0,"",IF(Y2567=1,MAX(0,Q2567-G2567),IF(L2567=1,MAX(0,R2567-G2567),MAX(0,Assumptions!$C$6-G2567))))</f>
        <v/>
      </c>
      <c r="AC2567">
        <f>IF(Y2567=1,Q2567-F2567,"")</f>
        <v/>
      </c>
      <c r="AD2567">
        <f>IF(Y2567=1,AC2567^2,"")</f>
        <v/>
      </c>
      <c r="AE2567" s="19">
        <f>IF(Z2567=1,(H2567-M2567)*I2567,0)</f>
        <v/>
      </c>
      <c r="AF2567">
        <f>IF(G2567&lt;EDATE(Assumptions!$C$6,-12)+1,"prior_12m","last_12m")</f>
        <v/>
      </c>
      <c r="AG2567" s="21">
        <f>DATE(YEAR(G2567),MONTH(G2567),1)</f>
        <v/>
      </c>
    </row>
    <row r="2568">
      <c r="A2568" t="inlineStr">
        <is>
          <t>SPO-01388-2</t>
        </is>
      </c>
      <c r="B2568" t="inlineStr">
        <is>
          <t>SPO-01388</t>
        </is>
      </c>
      <c r="C2568" t="inlineStr">
        <is>
          <t>SUP-07</t>
        </is>
      </c>
      <c r="D2568" t="inlineStr">
        <is>
          <t>MRO</t>
        </is>
      </c>
      <c r="E2568" t="inlineStr">
        <is>
          <t>MRO-07</t>
        </is>
      </c>
      <c r="F2568" s="17" t="n">
        <v>45953</v>
      </c>
      <c r="G2568" s="17" t="n">
        <v>45963</v>
      </c>
      <c r="H2568" s="18" t="n">
        <v>380</v>
      </c>
      <c r="I2568" s="19" t="n">
        <v>14.17</v>
      </c>
      <c r="J2568" s="19" t="n">
        <v>14</v>
      </c>
      <c r="K2568" s="20" t="n">
        <v>0</v>
      </c>
      <c r="L2568" s="20" t="n">
        <v>0</v>
      </c>
      <c r="M2568" s="18" t="n">
        <v>380</v>
      </c>
      <c r="N2568" s="18" t="n">
        <v>380</v>
      </c>
      <c r="O2568" s="18" t="n">
        <v>0</v>
      </c>
      <c r="P2568" s="17" t="n">
        <v>45958</v>
      </c>
      <c r="Q2568" s="17" t="n">
        <v>45958</v>
      </c>
      <c r="R2568" s="17" t="n">
        <v>45958</v>
      </c>
      <c r="S2568" s="19">
        <f>H2568*I2568</f>
        <v/>
      </c>
      <c r="T2568" s="19">
        <f>H2568*J2568</f>
        <v/>
      </c>
      <c r="U2568">
        <f>IF(AND(K2568=0,G2568&lt;=Assumptions!$C$6),1,0)</f>
        <v/>
      </c>
      <c r="V2568">
        <f>IF(U2568=1,IF(M2568&gt;0,IF(P2568&lt;=G2568+Assumptions!$C$7,1,0),0),0)</f>
        <v/>
      </c>
      <c r="W2568">
        <f>IF(AND(U2568=1,M2568&gt;=H2568*(1-Assumptions!$C$8)),1,0)</f>
        <v/>
      </c>
      <c r="X2568">
        <f>IF(AND(U2568=1,N2568&gt;=H2568*(1-Assumptions!$C$8)),1,0)</f>
        <v/>
      </c>
      <c r="Y2568">
        <f>IF(ISNUMBER(Q2568),1,0)</f>
        <v/>
      </c>
      <c r="Z2568">
        <f>IF(AND(K2568=0,L2568=0,Y2568=0),1,0)</f>
        <v/>
      </c>
      <c r="AA2568">
        <f>IF(AND(Z2568=1,G2568&lt;Assumptions!$C$6),1,0)</f>
        <v/>
      </c>
      <c r="AB2568">
        <f>IF(U2568=0,"",IF(Y2568=1,MAX(0,Q2568-G2568),IF(L2568=1,MAX(0,R2568-G2568),MAX(0,Assumptions!$C$6-G2568))))</f>
        <v/>
      </c>
      <c r="AC2568">
        <f>IF(Y2568=1,Q2568-F2568,"")</f>
        <v/>
      </c>
      <c r="AD2568">
        <f>IF(Y2568=1,AC2568^2,"")</f>
        <v/>
      </c>
      <c r="AE2568" s="19">
        <f>IF(Z2568=1,(H2568-M2568)*I2568,0)</f>
        <v/>
      </c>
      <c r="AF2568">
        <f>IF(G2568&lt;EDATE(Assumptions!$C$6,-12)+1,"prior_12m","last_12m")</f>
        <v/>
      </c>
      <c r="AG2568" s="21">
        <f>DATE(YEAR(G2568),MONTH(G2568),1)</f>
        <v/>
      </c>
    </row>
    <row r="2569">
      <c r="A2569" t="inlineStr">
        <is>
          <t>SPO-01388-3</t>
        </is>
      </c>
      <c r="B2569" t="inlineStr">
        <is>
          <t>SPO-01388</t>
        </is>
      </c>
      <c r="C2569" t="inlineStr">
        <is>
          <t>SUP-07</t>
        </is>
      </c>
      <c r="D2569" t="inlineStr">
        <is>
          <t>MRO</t>
        </is>
      </c>
      <c r="E2569" t="inlineStr">
        <is>
          <t>MRO-04</t>
        </is>
      </c>
      <c r="F2569" s="17" t="n">
        <v>45953</v>
      </c>
      <c r="G2569" s="17" t="n">
        <v>45963</v>
      </c>
      <c r="H2569" s="18" t="n">
        <v>29</v>
      </c>
      <c r="I2569" s="19" t="n">
        <v>59.36</v>
      </c>
      <c r="J2569" s="19" t="n">
        <v>58</v>
      </c>
      <c r="K2569" s="20" t="n">
        <v>1</v>
      </c>
      <c r="L2569" s="20" t="n">
        <v>0</v>
      </c>
      <c r="M2569" s="18" t="n">
        <v>0</v>
      </c>
      <c r="N2569" s="18" t="n">
        <v>0</v>
      </c>
      <c r="O2569" s="18" t="n">
        <v>0</v>
      </c>
      <c r="P2569" s="17" t="n"/>
      <c r="Q2569" s="17" t="n"/>
      <c r="R2569" s="17" t="n"/>
      <c r="S2569" s="19">
        <f>H2569*I2569</f>
        <v/>
      </c>
      <c r="T2569" s="19">
        <f>H2569*J2569</f>
        <v/>
      </c>
      <c r="U2569">
        <f>IF(AND(K2569=0,G2569&lt;=Assumptions!$C$6),1,0)</f>
        <v/>
      </c>
      <c r="V2569">
        <f>IF(U2569=1,IF(M2569&gt;0,IF(P2569&lt;=G2569+Assumptions!$C$7,1,0),0),0)</f>
        <v/>
      </c>
      <c r="W2569">
        <f>IF(AND(U2569=1,M2569&gt;=H2569*(1-Assumptions!$C$8)),1,0)</f>
        <v/>
      </c>
      <c r="X2569">
        <f>IF(AND(U2569=1,N2569&gt;=H2569*(1-Assumptions!$C$8)),1,0)</f>
        <v/>
      </c>
      <c r="Y2569">
        <f>IF(ISNUMBER(Q2569),1,0)</f>
        <v/>
      </c>
      <c r="Z2569">
        <f>IF(AND(K2569=0,L2569=0,Y2569=0),1,0)</f>
        <v/>
      </c>
      <c r="AA2569">
        <f>IF(AND(Z2569=1,G2569&lt;Assumptions!$C$6),1,0)</f>
        <v/>
      </c>
      <c r="AB2569">
        <f>IF(U2569=0,"",IF(Y2569=1,MAX(0,Q2569-G2569),IF(L2569=1,MAX(0,R2569-G2569),MAX(0,Assumptions!$C$6-G2569))))</f>
        <v/>
      </c>
      <c r="AC2569">
        <f>IF(Y2569=1,Q2569-F2569,"")</f>
        <v/>
      </c>
      <c r="AD2569">
        <f>IF(Y2569=1,AC2569^2,"")</f>
        <v/>
      </c>
      <c r="AE2569" s="19">
        <f>IF(Z2569=1,(H2569-M2569)*I2569,0)</f>
        <v/>
      </c>
      <c r="AF2569">
        <f>IF(G2569&lt;EDATE(Assumptions!$C$6,-12)+1,"prior_12m","last_12m")</f>
        <v/>
      </c>
      <c r="AG2569" s="21">
        <f>DATE(YEAR(G2569),MONTH(G2569),1)</f>
        <v/>
      </c>
    </row>
    <row r="2570">
      <c r="A2570" t="inlineStr">
        <is>
          <t>SPO-01389-1</t>
        </is>
      </c>
      <c r="B2570" t="inlineStr">
        <is>
          <t>SPO-01389</t>
        </is>
      </c>
      <c r="C2570" t="inlineStr">
        <is>
          <t>SUP-12</t>
        </is>
      </c>
      <c r="D2570" t="inlineStr">
        <is>
          <t>IT</t>
        </is>
      </c>
      <c r="E2570" t="inlineStr">
        <is>
          <t>IT-02</t>
        </is>
      </c>
      <c r="F2570" s="17" t="n">
        <v>45953</v>
      </c>
      <c r="G2570" s="17" t="n">
        <v>45963</v>
      </c>
      <c r="H2570" s="18" t="n">
        <v>7</v>
      </c>
      <c r="I2570" s="19" t="n">
        <v>186.25</v>
      </c>
      <c r="J2570" s="19" t="n">
        <v>162</v>
      </c>
      <c r="K2570" s="20" t="n">
        <v>0</v>
      </c>
      <c r="L2570" s="20" t="n">
        <v>0</v>
      </c>
      <c r="M2570" s="18" t="n">
        <v>7</v>
      </c>
      <c r="N2570" s="18" t="n">
        <v>7</v>
      </c>
      <c r="O2570" s="18" t="n">
        <v>0</v>
      </c>
      <c r="P2570" s="17" t="n">
        <v>45957</v>
      </c>
      <c r="Q2570" s="17" t="n">
        <v>45957</v>
      </c>
      <c r="R2570" s="17" t="n">
        <v>45957</v>
      </c>
      <c r="S2570" s="19">
        <f>H2570*I2570</f>
        <v/>
      </c>
      <c r="T2570" s="19">
        <f>H2570*J2570</f>
        <v/>
      </c>
      <c r="U2570">
        <f>IF(AND(K2570=0,G2570&lt;=Assumptions!$C$6),1,0)</f>
        <v/>
      </c>
      <c r="V2570">
        <f>IF(U2570=1,IF(M2570&gt;0,IF(P2570&lt;=G2570+Assumptions!$C$7,1,0),0),0)</f>
        <v/>
      </c>
      <c r="W2570">
        <f>IF(AND(U2570=1,M2570&gt;=H2570*(1-Assumptions!$C$8)),1,0)</f>
        <v/>
      </c>
      <c r="X2570">
        <f>IF(AND(U2570=1,N2570&gt;=H2570*(1-Assumptions!$C$8)),1,0)</f>
        <v/>
      </c>
      <c r="Y2570">
        <f>IF(ISNUMBER(Q2570),1,0)</f>
        <v/>
      </c>
      <c r="Z2570">
        <f>IF(AND(K2570=0,L2570=0,Y2570=0),1,0)</f>
        <v/>
      </c>
      <c r="AA2570">
        <f>IF(AND(Z2570=1,G2570&lt;Assumptions!$C$6),1,0)</f>
        <v/>
      </c>
      <c r="AB2570">
        <f>IF(U2570=0,"",IF(Y2570=1,MAX(0,Q2570-G2570),IF(L2570=1,MAX(0,R2570-G2570),MAX(0,Assumptions!$C$6-G2570))))</f>
        <v/>
      </c>
      <c r="AC2570">
        <f>IF(Y2570=1,Q2570-F2570,"")</f>
        <v/>
      </c>
      <c r="AD2570">
        <f>IF(Y2570=1,AC2570^2,"")</f>
        <v/>
      </c>
      <c r="AE2570" s="19">
        <f>IF(Z2570=1,(H2570-M2570)*I2570,0)</f>
        <v/>
      </c>
      <c r="AF2570">
        <f>IF(G2570&lt;EDATE(Assumptions!$C$6,-12)+1,"prior_12m","last_12m")</f>
        <v/>
      </c>
      <c r="AG2570" s="21">
        <f>DATE(YEAR(G2570),MONTH(G2570),1)</f>
        <v/>
      </c>
    </row>
    <row r="2571">
      <c r="A2571" t="inlineStr">
        <is>
          <t>SPO-01389-2</t>
        </is>
      </c>
      <c r="B2571" t="inlineStr">
        <is>
          <t>SPO-01389</t>
        </is>
      </c>
      <c r="C2571" t="inlineStr">
        <is>
          <t>SUP-12</t>
        </is>
      </c>
      <c r="D2571" t="inlineStr">
        <is>
          <t>IT</t>
        </is>
      </c>
      <c r="E2571" t="inlineStr">
        <is>
          <t>IT-01</t>
        </is>
      </c>
      <c r="F2571" s="17" t="n">
        <v>45953</v>
      </c>
      <c r="G2571" s="17" t="n">
        <v>45963</v>
      </c>
      <c r="H2571" s="18" t="n">
        <v>9</v>
      </c>
      <c r="I2571" s="19" t="n">
        <v>222.22</v>
      </c>
      <c r="J2571" s="19" t="n">
        <v>189</v>
      </c>
      <c r="K2571" s="20" t="n">
        <v>0</v>
      </c>
      <c r="L2571" s="20" t="n">
        <v>0</v>
      </c>
      <c r="M2571" s="18" t="n">
        <v>9</v>
      </c>
      <c r="N2571" s="18" t="n">
        <v>9</v>
      </c>
      <c r="O2571" s="18" t="n">
        <v>0</v>
      </c>
      <c r="P2571" s="17" t="n">
        <v>45962</v>
      </c>
      <c r="Q2571" s="17" t="n">
        <v>45962</v>
      </c>
      <c r="R2571" s="17" t="n">
        <v>45962</v>
      </c>
      <c r="S2571" s="19">
        <f>H2571*I2571</f>
        <v/>
      </c>
      <c r="T2571" s="19">
        <f>H2571*J2571</f>
        <v/>
      </c>
      <c r="U2571">
        <f>IF(AND(K2571=0,G2571&lt;=Assumptions!$C$6),1,0)</f>
        <v/>
      </c>
      <c r="V2571">
        <f>IF(U2571=1,IF(M2571&gt;0,IF(P2571&lt;=G2571+Assumptions!$C$7,1,0),0),0)</f>
        <v/>
      </c>
      <c r="W2571">
        <f>IF(AND(U2571=1,M2571&gt;=H2571*(1-Assumptions!$C$8)),1,0)</f>
        <v/>
      </c>
      <c r="X2571">
        <f>IF(AND(U2571=1,N2571&gt;=H2571*(1-Assumptions!$C$8)),1,0)</f>
        <v/>
      </c>
      <c r="Y2571">
        <f>IF(ISNUMBER(Q2571),1,0)</f>
        <v/>
      </c>
      <c r="Z2571">
        <f>IF(AND(K2571=0,L2571=0,Y2571=0),1,0)</f>
        <v/>
      </c>
      <c r="AA2571">
        <f>IF(AND(Z2571=1,G2571&lt;Assumptions!$C$6),1,0)</f>
        <v/>
      </c>
      <c r="AB2571">
        <f>IF(U2571=0,"",IF(Y2571=1,MAX(0,Q2571-G2571),IF(L2571=1,MAX(0,R2571-G2571),MAX(0,Assumptions!$C$6-G2571))))</f>
        <v/>
      </c>
      <c r="AC2571">
        <f>IF(Y2571=1,Q2571-F2571,"")</f>
        <v/>
      </c>
      <c r="AD2571">
        <f>IF(Y2571=1,AC2571^2,"")</f>
        <v/>
      </c>
      <c r="AE2571" s="19">
        <f>IF(Z2571=1,(H2571-M2571)*I2571,0)</f>
        <v/>
      </c>
      <c r="AF2571">
        <f>IF(G2571&lt;EDATE(Assumptions!$C$6,-12)+1,"prior_12m","last_12m")</f>
        <v/>
      </c>
      <c r="AG2571" s="21">
        <f>DATE(YEAR(G2571),MONTH(G2571),1)</f>
        <v/>
      </c>
    </row>
    <row r="2572">
      <c r="A2572" t="inlineStr">
        <is>
          <t>SPO-01390-1</t>
        </is>
      </c>
      <c r="B2572" t="inlineStr">
        <is>
          <t>SPO-01390</t>
        </is>
      </c>
      <c r="C2572" t="inlineStr">
        <is>
          <t>SUP-06</t>
        </is>
      </c>
      <c r="D2572" t="inlineStr">
        <is>
          <t>MRO</t>
        </is>
      </c>
      <c r="E2572" t="inlineStr">
        <is>
          <t>MRO-06</t>
        </is>
      </c>
      <c r="F2572" s="17" t="n">
        <v>45954</v>
      </c>
      <c r="G2572" s="17" t="n">
        <v>45962</v>
      </c>
      <c r="H2572" s="18" t="n">
        <v>227</v>
      </c>
      <c r="I2572" s="19" t="n">
        <v>6.12</v>
      </c>
      <c r="J2572" s="19" t="n">
        <v>6.1</v>
      </c>
      <c r="K2572" s="20" t="n">
        <v>0</v>
      </c>
      <c r="L2572" s="20" t="n">
        <v>0</v>
      </c>
      <c r="M2572" s="18" t="n">
        <v>227</v>
      </c>
      <c r="N2572" s="18" t="n">
        <v>227</v>
      </c>
      <c r="O2572" s="18" t="n">
        <v>0</v>
      </c>
      <c r="P2572" s="17" t="n">
        <v>45959</v>
      </c>
      <c r="Q2572" s="17" t="n">
        <v>45959</v>
      </c>
      <c r="R2572" s="17" t="n">
        <v>45959</v>
      </c>
      <c r="S2572" s="19">
        <f>H2572*I2572</f>
        <v/>
      </c>
      <c r="T2572" s="19">
        <f>H2572*J2572</f>
        <v/>
      </c>
      <c r="U2572">
        <f>IF(AND(K2572=0,G2572&lt;=Assumptions!$C$6),1,0)</f>
        <v/>
      </c>
      <c r="V2572">
        <f>IF(U2572=1,IF(M2572&gt;0,IF(P2572&lt;=G2572+Assumptions!$C$7,1,0),0),0)</f>
        <v/>
      </c>
      <c r="W2572">
        <f>IF(AND(U2572=1,M2572&gt;=H2572*(1-Assumptions!$C$8)),1,0)</f>
        <v/>
      </c>
      <c r="X2572">
        <f>IF(AND(U2572=1,N2572&gt;=H2572*(1-Assumptions!$C$8)),1,0)</f>
        <v/>
      </c>
      <c r="Y2572">
        <f>IF(ISNUMBER(Q2572),1,0)</f>
        <v/>
      </c>
      <c r="Z2572">
        <f>IF(AND(K2572=0,L2572=0,Y2572=0),1,0)</f>
        <v/>
      </c>
      <c r="AA2572">
        <f>IF(AND(Z2572=1,G2572&lt;Assumptions!$C$6),1,0)</f>
        <v/>
      </c>
      <c r="AB2572">
        <f>IF(U2572=0,"",IF(Y2572=1,MAX(0,Q2572-G2572),IF(L2572=1,MAX(0,R2572-G2572),MAX(0,Assumptions!$C$6-G2572))))</f>
        <v/>
      </c>
      <c r="AC2572">
        <f>IF(Y2572=1,Q2572-F2572,"")</f>
        <v/>
      </c>
      <c r="AD2572">
        <f>IF(Y2572=1,AC2572^2,"")</f>
        <v/>
      </c>
      <c r="AE2572" s="19">
        <f>IF(Z2572=1,(H2572-M2572)*I2572,0)</f>
        <v/>
      </c>
      <c r="AF2572">
        <f>IF(G2572&lt;EDATE(Assumptions!$C$6,-12)+1,"prior_12m","last_12m")</f>
        <v/>
      </c>
      <c r="AG2572" s="21">
        <f>DATE(YEAR(G2572),MONTH(G2572),1)</f>
        <v/>
      </c>
    </row>
    <row r="2573">
      <c r="A2573" t="inlineStr">
        <is>
          <t>SPO-01390-2</t>
        </is>
      </c>
      <c r="B2573" t="inlineStr">
        <is>
          <t>SPO-01390</t>
        </is>
      </c>
      <c r="C2573" t="inlineStr">
        <is>
          <t>SUP-06</t>
        </is>
      </c>
      <c r="D2573" t="inlineStr">
        <is>
          <t>MRO</t>
        </is>
      </c>
      <c r="E2573" t="inlineStr">
        <is>
          <t>MRO-07</t>
        </is>
      </c>
      <c r="F2573" s="17" t="n">
        <v>45954</v>
      </c>
      <c r="G2573" s="17" t="n">
        <v>45962</v>
      </c>
      <c r="H2573" s="18" t="n">
        <v>87</v>
      </c>
      <c r="I2573" s="19" t="n">
        <v>14.03</v>
      </c>
      <c r="J2573" s="19" t="n">
        <v>14</v>
      </c>
      <c r="K2573" s="20" t="n">
        <v>0</v>
      </c>
      <c r="L2573" s="20" t="n">
        <v>0</v>
      </c>
      <c r="M2573" s="18" t="n">
        <v>87</v>
      </c>
      <c r="N2573" s="18" t="n">
        <v>87</v>
      </c>
      <c r="O2573" s="18" t="n">
        <v>0</v>
      </c>
      <c r="P2573" s="17" t="n">
        <v>45959</v>
      </c>
      <c r="Q2573" s="17" t="n">
        <v>45959</v>
      </c>
      <c r="R2573" s="17" t="n">
        <v>45959</v>
      </c>
      <c r="S2573" s="19">
        <f>H2573*I2573</f>
        <v/>
      </c>
      <c r="T2573" s="19">
        <f>H2573*J2573</f>
        <v/>
      </c>
      <c r="U2573">
        <f>IF(AND(K2573=0,G2573&lt;=Assumptions!$C$6),1,0)</f>
        <v/>
      </c>
      <c r="V2573">
        <f>IF(U2573=1,IF(M2573&gt;0,IF(P2573&lt;=G2573+Assumptions!$C$7,1,0),0),0)</f>
        <v/>
      </c>
      <c r="W2573">
        <f>IF(AND(U2573=1,M2573&gt;=H2573*(1-Assumptions!$C$8)),1,0)</f>
        <v/>
      </c>
      <c r="X2573">
        <f>IF(AND(U2573=1,N2573&gt;=H2573*(1-Assumptions!$C$8)),1,0)</f>
        <v/>
      </c>
      <c r="Y2573">
        <f>IF(ISNUMBER(Q2573),1,0)</f>
        <v/>
      </c>
      <c r="Z2573">
        <f>IF(AND(K2573=0,L2573=0,Y2573=0),1,0)</f>
        <v/>
      </c>
      <c r="AA2573">
        <f>IF(AND(Z2573=1,G2573&lt;Assumptions!$C$6),1,0)</f>
        <v/>
      </c>
      <c r="AB2573">
        <f>IF(U2573=0,"",IF(Y2573=1,MAX(0,Q2573-G2573),IF(L2573=1,MAX(0,R2573-G2573),MAX(0,Assumptions!$C$6-G2573))))</f>
        <v/>
      </c>
      <c r="AC2573">
        <f>IF(Y2573=1,Q2573-F2573,"")</f>
        <v/>
      </c>
      <c r="AD2573">
        <f>IF(Y2573=1,AC2573^2,"")</f>
        <v/>
      </c>
      <c r="AE2573" s="19">
        <f>IF(Z2573=1,(H2573-M2573)*I2573,0)</f>
        <v/>
      </c>
      <c r="AF2573">
        <f>IF(G2573&lt;EDATE(Assumptions!$C$6,-12)+1,"prior_12m","last_12m")</f>
        <v/>
      </c>
      <c r="AG2573" s="21">
        <f>DATE(YEAR(G2573),MONTH(G2573),1)</f>
        <v/>
      </c>
    </row>
    <row r="2574">
      <c r="A2574" t="inlineStr">
        <is>
          <t>SPO-01391-1</t>
        </is>
      </c>
      <c r="B2574" t="inlineStr">
        <is>
          <t>SPO-01391</t>
        </is>
      </c>
      <c r="C2574" t="inlineStr">
        <is>
          <t>SUP-14</t>
        </is>
      </c>
      <c r="D2574" t="inlineStr">
        <is>
          <t>FLEET</t>
        </is>
      </c>
      <c r="E2574" t="inlineStr">
        <is>
          <t>FLEET-08</t>
        </is>
      </c>
      <c r="F2574" s="17" t="n">
        <v>45954</v>
      </c>
      <c r="G2574" s="17" t="n">
        <v>45968</v>
      </c>
      <c r="H2574" s="18" t="n">
        <v>200</v>
      </c>
      <c r="I2574" s="19" t="n">
        <v>6.62</v>
      </c>
      <c r="J2574" s="19" t="n">
        <v>6.4</v>
      </c>
      <c r="K2574" s="20" t="n">
        <v>0</v>
      </c>
      <c r="L2574" s="20" t="n">
        <v>0</v>
      </c>
      <c r="M2574" s="18" t="n">
        <v>200</v>
      </c>
      <c r="N2574" s="18" t="n">
        <v>200</v>
      </c>
      <c r="O2574" s="18" t="n">
        <v>0</v>
      </c>
      <c r="P2574" s="17" t="n">
        <v>45966</v>
      </c>
      <c r="Q2574" s="17" t="n">
        <v>45966</v>
      </c>
      <c r="R2574" s="17" t="n">
        <v>45966</v>
      </c>
      <c r="S2574" s="19">
        <f>H2574*I2574</f>
        <v/>
      </c>
      <c r="T2574" s="19">
        <f>H2574*J2574</f>
        <v/>
      </c>
      <c r="U2574">
        <f>IF(AND(K2574=0,G2574&lt;=Assumptions!$C$6),1,0)</f>
        <v/>
      </c>
      <c r="V2574">
        <f>IF(U2574=1,IF(M2574&gt;0,IF(P2574&lt;=G2574+Assumptions!$C$7,1,0),0),0)</f>
        <v/>
      </c>
      <c r="W2574">
        <f>IF(AND(U2574=1,M2574&gt;=H2574*(1-Assumptions!$C$8)),1,0)</f>
        <v/>
      </c>
      <c r="X2574">
        <f>IF(AND(U2574=1,N2574&gt;=H2574*(1-Assumptions!$C$8)),1,0)</f>
        <v/>
      </c>
      <c r="Y2574">
        <f>IF(ISNUMBER(Q2574),1,0)</f>
        <v/>
      </c>
      <c r="Z2574">
        <f>IF(AND(K2574=0,L2574=0,Y2574=0),1,0)</f>
        <v/>
      </c>
      <c r="AA2574">
        <f>IF(AND(Z2574=1,G2574&lt;Assumptions!$C$6),1,0)</f>
        <v/>
      </c>
      <c r="AB2574">
        <f>IF(U2574=0,"",IF(Y2574=1,MAX(0,Q2574-G2574),IF(L2574=1,MAX(0,R2574-G2574),MAX(0,Assumptions!$C$6-G2574))))</f>
        <v/>
      </c>
      <c r="AC2574">
        <f>IF(Y2574=1,Q2574-F2574,"")</f>
        <v/>
      </c>
      <c r="AD2574">
        <f>IF(Y2574=1,AC2574^2,"")</f>
        <v/>
      </c>
      <c r="AE2574" s="19">
        <f>IF(Z2574=1,(H2574-M2574)*I2574,0)</f>
        <v/>
      </c>
      <c r="AF2574">
        <f>IF(G2574&lt;EDATE(Assumptions!$C$6,-12)+1,"prior_12m","last_12m")</f>
        <v/>
      </c>
      <c r="AG2574" s="21">
        <f>DATE(YEAR(G2574),MONTH(G2574),1)</f>
        <v/>
      </c>
    </row>
    <row r="2575">
      <c r="A2575" t="inlineStr">
        <is>
          <t>SPO-01392-1</t>
        </is>
      </c>
      <c r="B2575" t="inlineStr">
        <is>
          <t>SPO-01392</t>
        </is>
      </c>
      <c r="C2575" t="inlineStr">
        <is>
          <t>SUP-01</t>
        </is>
      </c>
      <c r="D2575" t="inlineStr">
        <is>
          <t>ELEC</t>
        </is>
      </c>
      <c r="E2575" t="inlineStr">
        <is>
          <t>ELEC-02</t>
        </is>
      </c>
      <c r="F2575" s="17" t="n">
        <v>45954</v>
      </c>
      <c r="G2575" s="17" t="n">
        <v>45972</v>
      </c>
      <c r="H2575" s="18" t="n">
        <v>452</v>
      </c>
      <c r="I2575" s="19" t="n">
        <v>4.09</v>
      </c>
      <c r="J2575" s="19" t="n">
        <v>4.2</v>
      </c>
      <c r="K2575" s="20" t="n">
        <v>0</v>
      </c>
      <c r="L2575" s="20" t="n">
        <v>0</v>
      </c>
      <c r="M2575" s="18" t="n">
        <v>452</v>
      </c>
      <c r="N2575" s="18" t="n">
        <v>0</v>
      </c>
      <c r="O2575" s="18" t="n">
        <v>0</v>
      </c>
      <c r="P2575" s="17" t="n">
        <v>45975</v>
      </c>
      <c r="Q2575" s="17" t="n">
        <v>45975</v>
      </c>
      <c r="R2575" s="17" t="n">
        <v>45975</v>
      </c>
      <c r="S2575" s="19">
        <f>H2575*I2575</f>
        <v/>
      </c>
      <c r="T2575" s="19">
        <f>H2575*J2575</f>
        <v/>
      </c>
      <c r="U2575">
        <f>IF(AND(K2575=0,G2575&lt;=Assumptions!$C$6),1,0)</f>
        <v/>
      </c>
      <c r="V2575">
        <f>IF(U2575=1,IF(M2575&gt;0,IF(P2575&lt;=G2575+Assumptions!$C$7,1,0),0),0)</f>
        <v/>
      </c>
      <c r="W2575">
        <f>IF(AND(U2575=1,M2575&gt;=H2575*(1-Assumptions!$C$8)),1,0)</f>
        <v/>
      </c>
      <c r="X2575">
        <f>IF(AND(U2575=1,N2575&gt;=H2575*(1-Assumptions!$C$8)),1,0)</f>
        <v/>
      </c>
      <c r="Y2575">
        <f>IF(ISNUMBER(Q2575),1,0)</f>
        <v/>
      </c>
      <c r="Z2575">
        <f>IF(AND(K2575=0,L2575=0,Y2575=0),1,0)</f>
        <v/>
      </c>
      <c r="AA2575">
        <f>IF(AND(Z2575=1,G2575&lt;Assumptions!$C$6),1,0)</f>
        <v/>
      </c>
      <c r="AB2575">
        <f>IF(U2575=0,"",IF(Y2575=1,MAX(0,Q2575-G2575),IF(L2575=1,MAX(0,R2575-G2575),MAX(0,Assumptions!$C$6-G2575))))</f>
        <v/>
      </c>
      <c r="AC2575">
        <f>IF(Y2575=1,Q2575-F2575,"")</f>
        <v/>
      </c>
      <c r="AD2575">
        <f>IF(Y2575=1,AC2575^2,"")</f>
        <v/>
      </c>
      <c r="AE2575" s="19">
        <f>IF(Z2575=1,(H2575-M2575)*I2575,0)</f>
        <v/>
      </c>
      <c r="AF2575">
        <f>IF(G2575&lt;EDATE(Assumptions!$C$6,-12)+1,"prior_12m","last_12m")</f>
        <v/>
      </c>
      <c r="AG2575" s="21">
        <f>DATE(YEAR(G2575),MONTH(G2575),1)</f>
        <v/>
      </c>
    </row>
    <row r="2576">
      <c r="A2576" t="inlineStr">
        <is>
          <t>SPO-01392-2</t>
        </is>
      </c>
      <c r="B2576" t="inlineStr">
        <is>
          <t>SPO-01392</t>
        </is>
      </c>
      <c r="C2576" t="inlineStr">
        <is>
          <t>SUP-01</t>
        </is>
      </c>
      <c r="D2576" t="inlineStr">
        <is>
          <t>ELEC</t>
        </is>
      </c>
      <c r="E2576" t="inlineStr">
        <is>
          <t>ELEC-08</t>
        </is>
      </c>
      <c r="F2576" s="17" t="n">
        <v>45954</v>
      </c>
      <c r="G2576" s="17" t="n">
        <v>45972</v>
      </c>
      <c r="H2576" s="18" t="n">
        <v>212</v>
      </c>
      <c r="I2576" s="19" t="n">
        <v>18.93</v>
      </c>
      <c r="J2576" s="19" t="n">
        <v>18</v>
      </c>
      <c r="K2576" s="20" t="n">
        <v>0</v>
      </c>
      <c r="L2576" s="20" t="n">
        <v>0</v>
      </c>
      <c r="M2576" s="18" t="n">
        <v>212</v>
      </c>
      <c r="N2576" s="18" t="n">
        <v>0</v>
      </c>
      <c r="O2576" s="18" t="n">
        <v>0</v>
      </c>
      <c r="P2576" s="17" t="n">
        <v>45977</v>
      </c>
      <c r="Q2576" s="17" t="n">
        <v>45977</v>
      </c>
      <c r="R2576" s="17" t="n">
        <v>45977</v>
      </c>
      <c r="S2576" s="19">
        <f>H2576*I2576</f>
        <v/>
      </c>
      <c r="T2576" s="19">
        <f>H2576*J2576</f>
        <v/>
      </c>
      <c r="U2576">
        <f>IF(AND(K2576=0,G2576&lt;=Assumptions!$C$6),1,0)</f>
        <v/>
      </c>
      <c r="V2576">
        <f>IF(U2576=1,IF(M2576&gt;0,IF(P2576&lt;=G2576+Assumptions!$C$7,1,0),0),0)</f>
        <v/>
      </c>
      <c r="W2576">
        <f>IF(AND(U2576=1,M2576&gt;=H2576*(1-Assumptions!$C$8)),1,0)</f>
        <v/>
      </c>
      <c r="X2576">
        <f>IF(AND(U2576=1,N2576&gt;=H2576*(1-Assumptions!$C$8)),1,0)</f>
        <v/>
      </c>
      <c r="Y2576">
        <f>IF(ISNUMBER(Q2576),1,0)</f>
        <v/>
      </c>
      <c r="Z2576">
        <f>IF(AND(K2576=0,L2576=0,Y2576=0),1,0)</f>
        <v/>
      </c>
      <c r="AA2576">
        <f>IF(AND(Z2576=1,G2576&lt;Assumptions!$C$6),1,0)</f>
        <v/>
      </c>
      <c r="AB2576">
        <f>IF(U2576=0,"",IF(Y2576=1,MAX(0,Q2576-G2576),IF(L2576=1,MAX(0,R2576-G2576),MAX(0,Assumptions!$C$6-G2576))))</f>
        <v/>
      </c>
      <c r="AC2576">
        <f>IF(Y2576=1,Q2576-F2576,"")</f>
        <v/>
      </c>
      <c r="AD2576">
        <f>IF(Y2576=1,AC2576^2,"")</f>
        <v/>
      </c>
      <c r="AE2576" s="19">
        <f>IF(Z2576=1,(H2576-M2576)*I2576,0)</f>
        <v/>
      </c>
      <c r="AF2576">
        <f>IF(G2576&lt;EDATE(Assumptions!$C$6,-12)+1,"prior_12m","last_12m")</f>
        <v/>
      </c>
      <c r="AG2576" s="21">
        <f>DATE(YEAR(G2576),MONTH(G2576),1)</f>
        <v/>
      </c>
    </row>
    <row r="2577">
      <c r="A2577" t="inlineStr">
        <is>
          <t>SPO-01392-3</t>
        </is>
      </c>
      <c r="B2577" t="inlineStr">
        <is>
          <t>SPO-01392</t>
        </is>
      </c>
      <c r="C2577" t="inlineStr">
        <is>
          <t>SUP-01</t>
        </is>
      </c>
      <c r="D2577" t="inlineStr">
        <is>
          <t>ELEC</t>
        </is>
      </c>
      <c r="E2577" t="inlineStr">
        <is>
          <t>ELEC-04</t>
        </is>
      </c>
      <c r="F2577" s="17" t="n">
        <v>45954</v>
      </c>
      <c r="G2577" s="17" t="n">
        <v>45972</v>
      </c>
      <c r="H2577" s="18" t="n">
        <v>54</v>
      </c>
      <c r="I2577" s="19" t="n">
        <v>70.14</v>
      </c>
      <c r="J2577" s="19" t="n">
        <v>72</v>
      </c>
      <c r="K2577" s="20" t="n">
        <v>0</v>
      </c>
      <c r="L2577" s="20" t="n">
        <v>0</v>
      </c>
      <c r="M2577" s="18" t="n">
        <v>54</v>
      </c>
      <c r="N2577" s="18" t="n">
        <v>0</v>
      </c>
      <c r="O2577" s="18" t="n">
        <v>0</v>
      </c>
      <c r="P2577" s="17" t="n">
        <v>45980</v>
      </c>
      <c r="Q2577" s="17" t="n">
        <v>45980</v>
      </c>
      <c r="R2577" s="17" t="n">
        <v>45980</v>
      </c>
      <c r="S2577" s="19">
        <f>H2577*I2577</f>
        <v/>
      </c>
      <c r="T2577" s="19">
        <f>H2577*J2577</f>
        <v/>
      </c>
      <c r="U2577">
        <f>IF(AND(K2577=0,G2577&lt;=Assumptions!$C$6),1,0)</f>
        <v/>
      </c>
      <c r="V2577">
        <f>IF(U2577=1,IF(M2577&gt;0,IF(P2577&lt;=G2577+Assumptions!$C$7,1,0),0),0)</f>
        <v/>
      </c>
      <c r="W2577">
        <f>IF(AND(U2577=1,M2577&gt;=H2577*(1-Assumptions!$C$8)),1,0)</f>
        <v/>
      </c>
      <c r="X2577">
        <f>IF(AND(U2577=1,N2577&gt;=H2577*(1-Assumptions!$C$8)),1,0)</f>
        <v/>
      </c>
      <c r="Y2577">
        <f>IF(ISNUMBER(Q2577),1,0)</f>
        <v/>
      </c>
      <c r="Z2577">
        <f>IF(AND(K2577=0,L2577=0,Y2577=0),1,0)</f>
        <v/>
      </c>
      <c r="AA2577">
        <f>IF(AND(Z2577=1,G2577&lt;Assumptions!$C$6),1,0)</f>
        <v/>
      </c>
      <c r="AB2577">
        <f>IF(U2577=0,"",IF(Y2577=1,MAX(0,Q2577-G2577),IF(L2577=1,MAX(0,R2577-G2577),MAX(0,Assumptions!$C$6-G2577))))</f>
        <v/>
      </c>
      <c r="AC2577">
        <f>IF(Y2577=1,Q2577-F2577,"")</f>
        <v/>
      </c>
      <c r="AD2577">
        <f>IF(Y2577=1,AC2577^2,"")</f>
        <v/>
      </c>
      <c r="AE2577" s="19">
        <f>IF(Z2577=1,(H2577-M2577)*I2577,0)</f>
        <v/>
      </c>
      <c r="AF2577">
        <f>IF(G2577&lt;EDATE(Assumptions!$C$6,-12)+1,"prior_12m","last_12m")</f>
        <v/>
      </c>
      <c r="AG2577" s="21">
        <f>DATE(YEAR(G2577),MONTH(G2577),1)</f>
        <v/>
      </c>
    </row>
    <row r="2578">
      <c r="A2578" t="inlineStr">
        <is>
          <t>SPO-01392-4</t>
        </is>
      </c>
      <c r="B2578" t="inlineStr">
        <is>
          <t>SPO-01392</t>
        </is>
      </c>
      <c r="C2578" t="inlineStr">
        <is>
          <t>SUP-01</t>
        </is>
      </c>
      <c r="D2578" t="inlineStr">
        <is>
          <t>ELEC</t>
        </is>
      </c>
      <c r="E2578" t="inlineStr">
        <is>
          <t>ELEC-01</t>
        </is>
      </c>
      <c r="F2578" s="17" t="n">
        <v>45954</v>
      </c>
      <c r="G2578" s="17" t="n">
        <v>45972</v>
      </c>
      <c r="H2578" s="18" t="n">
        <v>36</v>
      </c>
      <c r="I2578" s="19" t="n">
        <v>37.41</v>
      </c>
      <c r="J2578" s="19" t="n">
        <v>38</v>
      </c>
      <c r="K2578" s="20" t="n">
        <v>0</v>
      </c>
      <c r="L2578" s="20" t="n">
        <v>0</v>
      </c>
      <c r="M2578" s="18" t="n">
        <v>36</v>
      </c>
      <c r="N2578" s="18" t="n">
        <v>36</v>
      </c>
      <c r="O2578" s="18" t="n">
        <v>0</v>
      </c>
      <c r="P2578" s="17" t="n">
        <v>45969</v>
      </c>
      <c r="Q2578" s="17" t="n">
        <v>45969</v>
      </c>
      <c r="R2578" s="17" t="n">
        <v>45969</v>
      </c>
      <c r="S2578" s="19">
        <f>H2578*I2578</f>
        <v/>
      </c>
      <c r="T2578" s="19">
        <f>H2578*J2578</f>
        <v/>
      </c>
      <c r="U2578">
        <f>IF(AND(K2578=0,G2578&lt;=Assumptions!$C$6),1,0)</f>
        <v/>
      </c>
      <c r="V2578">
        <f>IF(U2578=1,IF(M2578&gt;0,IF(P2578&lt;=G2578+Assumptions!$C$7,1,0),0),0)</f>
        <v/>
      </c>
      <c r="W2578">
        <f>IF(AND(U2578=1,M2578&gt;=H2578*(1-Assumptions!$C$8)),1,0)</f>
        <v/>
      </c>
      <c r="X2578">
        <f>IF(AND(U2578=1,N2578&gt;=H2578*(1-Assumptions!$C$8)),1,0)</f>
        <v/>
      </c>
      <c r="Y2578">
        <f>IF(ISNUMBER(Q2578),1,0)</f>
        <v/>
      </c>
      <c r="Z2578">
        <f>IF(AND(K2578=0,L2578=0,Y2578=0),1,0)</f>
        <v/>
      </c>
      <c r="AA2578">
        <f>IF(AND(Z2578=1,G2578&lt;Assumptions!$C$6),1,0)</f>
        <v/>
      </c>
      <c r="AB2578">
        <f>IF(U2578=0,"",IF(Y2578=1,MAX(0,Q2578-G2578),IF(L2578=1,MAX(0,R2578-G2578),MAX(0,Assumptions!$C$6-G2578))))</f>
        <v/>
      </c>
      <c r="AC2578">
        <f>IF(Y2578=1,Q2578-F2578,"")</f>
        <v/>
      </c>
      <c r="AD2578">
        <f>IF(Y2578=1,AC2578^2,"")</f>
        <v/>
      </c>
      <c r="AE2578" s="19">
        <f>IF(Z2578=1,(H2578-M2578)*I2578,0)</f>
        <v/>
      </c>
      <c r="AF2578">
        <f>IF(G2578&lt;EDATE(Assumptions!$C$6,-12)+1,"prior_12m","last_12m")</f>
        <v/>
      </c>
      <c r="AG2578" s="21">
        <f>DATE(YEAR(G2578),MONTH(G2578),1)</f>
        <v/>
      </c>
    </row>
    <row r="2579">
      <c r="A2579" t="inlineStr">
        <is>
          <t>SPO-01393-1</t>
        </is>
      </c>
      <c r="B2579" t="inlineStr">
        <is>
          <t>SPO-01393</t>
        </is>
      </c>
      <c r="C2579" t="inlineStr">
        <is>
          <t>SUP-12</t>
        </is>
      </c>
      <c r="D2579" t="inlineStr">
        <is>
          <t>IT</t>
        </is>
      </c>
      <c r="E2579" t="inlineStr">
        <is>
          <t>IT-08</t>
        </is>
      </c>
      <c r="F2579" s="17" t="n">
        <v>45954</v>
      </c>
      <c r="G2579" s="17" t="n">
        <v>45964</v>
      </c>
      <c r="H2579" s="18" t="n">
        <v>3</v>
      </c>
      <c r="I2579" s="19" t="n">
        <v>272.25</v>
      </c>
      <c r="J2579" s="19" t="n">
        <v>245</v>
      </c>
      <c r="K2579" s="20" t="n">
        <v>0</v>
      </c>
      <c r="L2579" s="20" t="n">
        <v>0</v>
      </c>
      <c r="M2579" s="18" t="n">
        <v>3</v>
      </c>
      <c r="N2579" s="18" t="n">
        <v>0</v>
      </c>
      <c r="O2579" s="18" t="n">
        <v>0</v>
      </c>
      <c r="P2579" s="17" t="n">
        <v>45965</v>
      </c>
      <c r="Q2579" s="17" t="n">
        <v>45972</v>
      </c>
      <c r="R2579" s="17" t="n">
        <v>45972</v>
      </c>
      <c r="S2579" s="19">
        <f>H2579*I2579</f>
        <v/>
      </c>
      <c r="T2579" s="19">
        <f>H2579*J2579</f>
        <v/>
      </c>
      <c r="U2579">
        <f>IF(AND(K2579=0,G2579&lt;=Assumptions!$C$6),1,0)</f>
        <v/>
      </c>
      <c r="V2579">
        <f>IF(U2579=1,IF(M2579&gt;0,IF(P2579&lt;=G2579+Assumptions!$C$7,1,0),0),0)</f>
        <v/>
      </c>
      <c r="W2579">
        <f>IF(AND(U2579=1,M2579&gt;=H2579*(1-Assumptions!$C$8)),1,0)</f>
        <v/>
      </c>
      <c r="X2579">
        <f>IF(AND(U2579=1,N2579&gt;=H2579*(1-Assumptions!$C$8)),1,0)</f>
        <v/>
      </c>
      <c r="Y2579">
        <f>IF(ISNUMBER(Q2579),1,0)</f>
        <v/>
      </c>
      <c r="Z2579">
        <f>IF(AND(K2579=0,L2579=0,Y2579=0),1,0)</f>
        <v/>
      </c>
      <c r="AA2579">
        <f>IF(AND(Z2579=1,G2579&lt;Assumptions!$C$6),1,0)</f>
        <v/>
      </c>
      <c r="AB2579">
        <f>IF(U2579=0,"",IF(Y2579=1,MAX(0,Q2579-G2579),IF(L2579=1,MAX(0,R2579-G2579),MAX(0,Assumptions!$C$6-G2579))))</f>
        <v/>
      </c>
      <c r="AC2579">
        <f>IF(Y2579=1,Q2579-F2579,"")</f>
        <v/>
      </c>
      <c r="AD2579">
        <f>IF(Y2579=1,AC2579^2,"")</f>
        <v/>
      </c>
      <c r="AE2579" s="19">
        <f>IF(Z2579=1,(H2579-M2579)*I2579,0)</f>
        <v/>
      </c>
      <c r="AF2579">
        <f>IF(G2579&lt;EDATE(Assumptions!$C$6,-12)+1,"prior_12m","last_12m")</f>
        <v/>
      </c>
      <c r="AG2579" s="21">
        <f>DATE(YEAR(G2579),MONTH(G2579),1)</f>
        <v/>
      </c>
    </row>
    <row r="2580">
      <c r="A2580" t="inlineStr">
        <is>
          <t>SPO-01394-1</t>
        </is>
      </c>
      <c r="B2580" t="inlineStr">
        <is>
          <t>SPO-01394</t>
        </is>
      </c>
      <c r="C2580" t="inlineStr">
        <is>
          <t>SUP-12</t>
        </is>
      </c>
      <c r="D2580" t="inlineStr">
        <is>
          <t>IT</t>
        </is>
      </c>
      <c r="E2580" t="inlineStr">
        <is>
          <t>IT-06</t>
        </is>
      </c>
      <c r="F2580" s="17" t="n">
        <v>45955</v>
      </c>
      <c r="G2580" s="17" t="n">
        <v>45965</v>
      </c>
      <c r="H2580" s="18" t="n">
        <v>29</v>
      </c>
      <c r="I2580" s="19" t="n">
        <v>103.72</v>
      </c>
      <c r="J2580" s="19" t="n">
        <v>89</v>
      </c>
      <c r="K2580" s="20" t="n">
        <v>0</v>
      </c>
      <c r="L2580" s="20" t="n">
        <v>0</v>
      </c>
      <c r="M2580" s="18" t="n">
        <v>29</v>
      </c>
      <c r="N2580" s="18" t="n">
        <v>29</v>
      </c>
      <c r="O2580" s="18" t="n">
        <v>0</v>
      </c>
      <c r="P2580" s="17" t="n">
        <v>45961</v>
      </c>
      <c r="Q2580" s="17" t="n">
        <v>45961</v>
      </c>
      <c r="R2580" s="17" t="n">
        <v>45961</v>
      </c>
      <c r="S2580" s="19">
        <f>H2580*I2580</f>
        <v/>
      </c>
      <c r="T2580" s="19">
        <f>H2580*J2580</f>
        <v/>
      </c>
      <c r="U2580">
        <f>IF(AND(K2580=0,G2580&lt;=Assumptions!$C$6),1,0)</f>
        <v/>
      </c>
      <c r="V2580">
        <f>IF(U2580=1,IF(M2580&gt;0,IF(P2580&lt;=G2580+Assumptions!$C$7,1,0),0),0)</f>
        <v/>
      </c>
      <c r="W2580">
        <f>IF(AND(U2580=1,M2580&gt;=H2580*(1-Assumptions!$C$8)),1,0)</f>
        <v/>
      </c>
      <c r="X2580">
        <f>IF(AND(U2580=1,N2580&gt;=H2580*(1-Assumptions!$C$8)),1,0)</f>
        <v/>
      </c>
      <c r="Y2580">
        <f>IF(ISNUMBER(Q2580),1,0)</f>
        <v/>
      </c>
      <c r="Z2580">
        <f>IF(AND(K2580=0,L2580=0,Y2580=0),1,0)</f>
        <v/>
      </c>
      <c r="AA2580">
        <f>IF(AND(Z2580=1,G2580&lt;Assumptions!$C$6),1,0)</f>
        <v/>
      </c>
      <c r="AB2580">
        <f>IF(U2580=0,"",IF(Y2580=1,MAX(0,Q2580-G2580),IF(L2580=1,MAX(0,R2580-G2580),MAX(0,Assumptions!$C$6-G2580))))</f>
        <v/>
      </c>
      <c r="AC2580">
        <f>IF(Y2580=1,Q2580-F2580,"")</f>
        <v/>
      </c>
      <c r="AD2580">
        <f>IF(Y2580=1,AC2580^2,"")</f>
        <v/>
      </c>
      <c r="AE2580" s="19">
        <f>IF(Z2580=1,(H2580-M2580)*I2580,0)</f>
        <v/>
      </c>
      <c r="AF2580">
        <f>IF(G2580&lt;EDATE(Assumptions!$C$6,-12)+1,"prior_12m","last_12m")</f>
        <v/>
      </c>
      <c r="AG2580" s="21">
        <f>DATE(YEAR(G2580),MONTH(G2580),1)</f>
        <v/>
      </c>
    </row>
    <row r="2581">
      <c r="A2581" t="inlineStr">
        <is>
          <t>SPO-01395-1</t>
        </is>
      </c>
      <c r="B2581" t="inlineStr">
        <is>
          <t>SPO-01395</t>
        </is>
      </c>
      <c r="C2581" t="inlineStr">
        <is>
          <t>SUP-12</t>
        </is>
      </c>
      <c r="D2581" t="inlineStr">
        <is>
          <t>IT</t>
        </is>
      </c>
      <c r="E2581" t="inlineStr">
        <is>
          <t>IT-07</t>
        </is>
      </c>
      <c r="F2581" s="17" t="n">
        <v>45955</v>
      </c>
      <c r="G2581" s="17" t="n">
        <v>45965</v>
      </c>
      <c r="H2581" s="18" t="n">
        <v>26</v>
      </c>
      <c r="I2581" s="19" t="n">
        <v>82.79000000000001</v>
      </c>
      <c r="J2581" s="19" t="n">
        <v>74</v>
      </c>
      <c r="K2581" s="20" t="n">
        <v>0</v>
      </c>
      <c r="L2581" s="20" t="n">
        <v>0</v>
      </c>
      <c r="M2581" s="18" t="n">
        <v>26</v>
      </c>
      <c r="N2581" s="18" t="n">
        <v>26</v>
      </c>
      <c r="O2581" s="18" t="n">
        <v>0</v>
      </c>
      <c r="P2581" s="17" t="n">
        <v>45958</v>
      </c>
      <c r="Q2581" s="17" t="n">
        <v>45958</v>
      </c>
      <c r="R2581" s="17" t="n">
        <v>45958</v>
      </c>
      <c r="S2581" s="19">
        <f>H2581*I2581</f>
        <v/>
      </c>
      <c r="T2581" s="19">
        <f>H2581*J2581</f>
        <v/>
      </c>
      <c r="U2581">
        <f>IF(AND(K2581=0,G2581&lt;=Assumptions!$C$6),1,0)</f>
        <v/>
      </c>
      <c r="V2581">
        <f>IF(U2581=1,IF(M2581&gt;0,IF(P2581&lt;=G2581+Assumptions!$C$7,1,0),0),0)</f>
        <v/>
      </c>
      <c r="W2581">
        <f>IF(AND(U2581=1,M2581&gt;=H2581*(1-Assumptions!$C$8)),1,0)</f>
        <v/>
      </c>
      <c r="X2581">
        <f>IF(AND(U2581=1,N2581&gt;=H2581*(1-Assumptions!$C$8)),1,0)</f>
        <v/>
      </c>
      <c r="Y2581">
        <f>IF(ISNUMBER(Q2581),1,0)</f>
        <v/>
      </c>
      <c r="Z2581">
        <f>IF(AND(K2581=0,L2581=0,Y2581=0),1,0)</f>
        <v/>
      </c>
      <c r="AA2581">
        <f>IF(AND(Z2581=1,G2581&lt;Assumptions!$C$6),1,0)</f>
        <v/>
      </c>
      <c r="AB2581">
        <f>IF(U2581=0,"",IF(Y2581=1,MAX(0,Q2581-G2581),IF(L2581=1,MAX(0,R2581-G2581),MAX(0,Assumptions!$C$6-G2581))))</f>
        <v/>
      </c>
      <c r="AC2581">
        <f>IF(Y2581=1,Q2581-F2581,"")</f>
        <v/>
      </c>
      <c r="AD2581">
        <f>IF(Y2581=1,AC2581^2,"")</f>
        <v/>
      </c>
      <c r="AE2581" s="19">
        <f>IF(Z2581=1,(H2581-M2581)*I2581,0)</f>
        <v/>
      </c>
      <c r="AF2581">
        <f>IF(G2581&lt;EDATE(Assumptions!$C$6,-12)+1,"prior_12m","last_12m")</f>
        <v/>
      </c>
      <c r="AG2581" s="21">
        <f>DATE(YEAR(G2581),MONTH(G2581),1)</f>
        <v/>
      </c>
    </row>
    <row r="2582">
      <c r="A2582" t="inlineStr">
        <is>
          <t>SPO-01395-2</t>
        </is>
      </c>
      <c r="B2582" t="inlineStr">
        <is>
          <t>SPO-01395</t>
        </is>
      </c>
      <c r="C2582" t="inlineStr">
        <is>
          <t>SUP-12</t>
        </is>
      </c>
      <c r="D2582" t="inlineStr">
        <is>
          <t>IT</t>
        </is>
      </c>
      <c r="E2582" t="inlineStr">
        <is>
          <t>IT-02</t>
        </is>
      </c>
      <c r="F2582" s="17" t="n">
        <v>45955</v>
      </c>
      <c r="G2582" s="17" t="n">
        <v>45965</v>
      </c>
      <c r="H2582" s="18" t="n">
        <v>6</v>
      </c>
      <c r="I2582" s="19" t="n">
        <v>182.42</v>
      </c>
      <c r="J2582" s="19" t="n">
        <v>162</v>
      </c>
      <c r="K2582" s="20" t="n">
        <v>0</v>
      </c>
      <c r="L2582" s="20" t="n">
        <v>0</v>
      </c>
      <c r="M2582" s="18" t="n">
        <v>6</v>
      </c>
      <c r="N2582" s="18" t="n">
        <v>6</v>
      </c>
      <c r="O2582" s="18" t="n">
        <v>0</v>
      </c>
      <c r="P2582" s="17" t="n">
        <v>45963</v>
      </c>
      <c r="Q2582" s="17" t="n">
        <v>45963</v>
      </c>
      <c r="R2582" s="17" t="n">
        <v>45963</v>
      </c>
      <c r="S2582" s="19">
        <f>H2582*I2582</f>
        <v/>
      </c>
      <c r="T2582" s="19">
        <f>H2582*J2582</f>
        <v/>
      </c>
      <c r="U2582">
        <f>IF(AND(K2582=0,G2582&lt;=Assumptions!$C$6),1,0)</f>
        <v/>
      </c>
      <c r="V2582">
        <f>IF(U2582=1,IF(M2582&gt;0,IF(P2582&lt;=G2582+Assumptions!$C$7,1,0),0),0)</f>
        <v/>
      </c>
      <c r="W2582">
        <f>IF(AND(U2582=1,M2582&gt;=H2582*(1-Assumptions!$C$8)),1,0)</f>
        <v/>
      </c>
      <c r="X2582">
        <f>IF(AND(U2582=1,N2582&gt;=H2582*(1-Assumptions!$C$8)),1,0)</f>
        <v/>
      </c>
      <c r="Y2582">
        <f>IF(ISNUMBER(Q2582),1,0)</f>
        <v/>
      </c>
      <c r="Z2582">
        <f>IF(AND(K2582=0,L2582=0,Y2582=0),1,0)</f>
        <v/>
      </c>
      <c r="AA2582">
        <f>IF(AND(Z2582=1,G2582&lt;Assumptions!$C$6),1,0)</f>
        <v/>
      </c>
      <c r="AB2582">
        <f>IF(U2582=0,"",IF(Y2582=1,MAX(0,Q2582-G2582),IF(L2582=1,MAX(0,R2582-G2582),MAX(0,Assumptions!$C$6-G2582))))</f>
        <v/>
      </c>
      <c r="AC2582">
        <f>IF(Y2582=1,Q2582-F2582,"")</f>
        <v/>
      </c>
      <c r="AD2582">
        <f>IF(Y2582=1,AC2582^2,"")</f>
        <v/>
      </c>
      <c r="AE2582" s="19">
        <f>IF(Z2582=1,(H2582-M2582)*I2582,0)</f>
        <v/>
      </c>
      <c r="AF2582">
        <f>IF(G2582&lt;EDATE(Assumptions!$C$6,-12)+1,"prior_12m","last_12m")</f>
        <v/>
      </c>
      <c r="AG2582" s="21">
        <f>DATE(YEAR(G2582),MONTH(G2582),1)</f>
        <v/>
      </c>
    </row>
    <row r="2583">
      <c r="A2583" t="inlineStr">
        <is>
          <t>SPO-01396-1</t>
        </is>
      </c>
      <c r="B2583" t="inlineStr">
        <is>
          <t>SPO-01396</t>
        </is>
      </c>
      <c r="C2583" t="inlineStr">
        <is>
          <t>SUP-01</t>
        </is>
      </c>
      <c r="D2583" t="inlineStr">
        <is>
          <t>ELEC</t>
        </is>
      </c>
      <c r="E2583" t="inlineStr">
        <is>
          <t>ELEC-01</t>
        </is>
      </c>
      <c r="F2583" s="17" t="n">
        <v>45956</v>
      </c>
      <c r="G2583" s="17" t="n">
        <v>45974</v>
      </c>
      <c r="H2583" s="18" t="n">
        <v>112</v>
      </c>
      <c r="I2583" s="19" t="n">
        <v>39.35</v>
      </c>
      <c r="J2583" s="19" t="n">
        <v>38</v>
      </c>
      <c r="K2583" s="20" t="n">
        <v>0</v>
      </c>
      <c r="L2583" s="20" t="n">
        <v>0</v>
      </c>
      <c r="M2583" s="18" t="n">
        <v>112</v>
      </c>
      <c r="N2583" s="18" t="n">
        <v>0</v>
      </c>
      <c r="O2583" s="18" t="n">
        <v>0</v>
      </c>
      <c r="P2583" s="17" t="n">
        <v>45976</v>
      </c>
      <c r="Q2583" s="17" t="n">
        <v>45976</v>
      </c>
      <c r="R2583" s="17" t="n">
        <v>45976</v>
      </c>
      <c r="S2583" s="19">
        <f>H2583*I2583</f>
        <v/>
      </c>
      <c r="T2583" s="19">
        <f>H2583*J2583</f>
        <v/>
      </c>
      <c r="U2583">
        <f>IF(AND(K2583=0,G2583&lt;=Assumptions!$C$6),1,0)</f>
        <v/>
      </c>
      <c r="V2583">
        <f>IF(U2583=1,IF(M2583&gt;0,IF(P2583&lt;=G2583+Assumptions!$C$7,1,0),0),0)</f>
        <v/>
      </c>
      <c r="W2583">
        <f>IF(AND(U2583=1,M2583&gt;=H2583*(1-Assumptions!$C$8)),1,0)</f>
        <v/>
      </c>
      <c r="X2583">
        <f>IF(AND(U2583=1,N2583&gt;=H2583*(1-Assumptions!$C$8)),1,0)</f>
        <v/>
      </c>
      <c r="Y2583">
        <f>IF(ISNUMBER(Q2583),1,0)</f>
        <v/>
      </c>
      <c r="Z2583">
        <f>IF(AND(K2583=0,L2583=0,Y2583=0),1,0)</f>
        <v/>
      </c>
      <c r="AA2583">
        <f>IF(AND(Z2583=1,G2583&lt;Assumptions!$C$6),1,0)</f>
        <v/>
      </c>
      <c r="AB2583">
        <f>IF(U2583=0,"",IF(Y2583=1,MAX(0,Q2583-G2583),IF(L2583=1,MAX(0,R2583-G2583),MAX(0,Assumptions!$C$6-G2583))))</f>
        <v/>
      </c>
      <c r="AC2583">
        <f>IF(Y2583=1,Q2583-F2583,"")</f>
        <v/>
      </c>
      <c r="AD2583">
        <f>IF(Y2583=1,AC2583^2,"")</f>
        <v/>
      </c>
      <c r="AE2583" s="19">
        <f>IF(Z2583=1,(H2583-M2583)*I2583,0)</f>
        <v/>
      </c>
      <c r="AF2583">
        <f>IF(G2583&lt;EDATE(Assumptions!$C$6,-12)+1,"prior_12m","last_12m")</f>
        <v/>
      </c>
      <c r="AG2583" s="21">
        <f>DATE(YEAR(G2583),MONTH(G2583),1)</f>
        <v/>
      </c>
    </row>
    <row r="2584">
      <c r="A2584" t="inlineStr">
        <is>
          <t>SPO-01397-1</t>
        </is>
      </c>
      <c r="B2584" t="inlineStr">
        <is>
          <t>SPO-01397</t>
        </is>
      </c>
      <c r="C2584" t="inlineStr">
        <is>
          <t>SUP-05</t>
        </is>
      </c>
      <c r="D2584" t="inlineStr">
        <is>
          <t>FLEET</t>
        </is>
      </c>
      <c r="E2584" t="inlineStr">
        <is>
          <t>FLEET-01</t>
        </is>
      </c>
      <c r="F2584" s="17" t="n">
        <v>45956</v>
      </c>
      <c r="G2584" s="17" t="n">
        <v>45970</v>
      </c>
      <c r="H2584" s="18" t="n">
        <v>19</v>
      </c>
      <c r="I2584" s="19" t="n">
        <v>62.93</v>
      </c>
      <c r="J2584" s="19" t="n">
        <v>64</v>
      </c>
      <c r="K2584" s="20" t="n">
        <v>0</v>
      </c>
      <c r="L2584" s="20" t="n">
        <v>0</v>
      </c>
      <c r="M2584" s="18" t="n">
        <v>19</v>
      </c>
      <c r="N2584" s="18" t="n">
        <v>19</v>
      </c>
      <c r="O2584" s="18" t="n">
        <v>0</v>
      </c>
      <c r="P2584" s="17" t="n">
        <v>45964</v>
      </c>
      <c r="Q2584" s="17" t="n">
        <v>45964</v>
      </c>
      <c r="R2584" s="17" t="n">
        <v>45964</v>
      </c>
      <c r="S2584" s="19">
        <f>H2584*I2584</f>
        <v/>
      </c>
      <c r="T2584" s="19">
        <f>H2584*J2584</f>
        <v/>
      </c>
      <c r="U2584">
        <f>IF(AND(K2584=0,G2584&lt;=Assumptions!$C$6),1,0)</f>
        <v/>
      </c>
      <c r="V2584">
        <f>IF(U2584=1,IF(M2584&gt;0,IF(P2584&lt;=G2584+Assumptions!$C$7,1,0),0),0)</f>
        <v/>
      </c>
      <c r="W2584">
        <f>IF(AND(U2584=1,M2584&gt;=H2584*(1-Assumptions!$C$8)),1,0)</f>
        <v/>
      </c>
      <c r="X2584">
        <f>IF(AND(U2584=1,N2584&gt;=H2584*(1-Assumptions!$C$8)),1,0)</f>
        <v/>
      </c>
      <c r="Y2584">
        <f>IF(ISNUMBER(Q2584),1,0)</f>
        <v/>
      </c>
      <c r="Z2584">
        <f>IF(AND(K2584=0,L2584=0,Y2584=0),1,0)</f>
        <v/>
      </c>
      <c r="AA2584">
        <f>IF(AND(Z2584=1,G2584&lt;Assumptions!$C$6),1,0)</f>
        <v/>
      </c>
      <c r="AB2584">
        <f>IF(U2584=0,"",IF(Y2584=1,MAX(0,Q2584-G2584),IF(L2584=1,MAX(0,R2584-G2584),MAX(0,Assumptions!$C$6-G2584))))</f>
        <v/>
      </c>
      <c r="AC2584">
        <f>IF(Y2584=1,Q2584-F2584,"")</f>
        <v/>
      </c>
      <c r="AD2584">
        <f>IF(Y2584=1,AC2584^2,"")</f>
        <v/>
      </c>
      <c r="AE2584" s="19">
        <f>IF(Z2584=1,(H2584-M2584)*I2584,0)</f>
        <v/>
      </c>
      <c r="AF2584">
        <f>IF(G2584&lt;EDATE(Assumptions!$C$6,-12)+1,"prior_12m","last_12m")</f>
        <v/>
      </c>
      <c r="AG2584" s="21">
        <f>DATE(YEAR(G2584),MONTH(G2584),1)</f>
        <v/>
      </c>
    </row>
    <row r="2585">
      <c r="A2585" t="inlineStr">
        <is>
          <t>SPO-01397-2</t>
        </is>
      </c>
      <c r="B2585" t="inlineStr">
        <is>
          <t>SPO-01397</t>
        </is>
      </c>
      <c r="C2585" t="inlineStr">
        <is>
          <t>SUP-05</t>
        </is>
      </c>
      <c r="D2585" t="inlineStr">
        <is>
          <t>FLEET</t>
        </is>
      </c>
      <c r="E2585" t="inlineStr">
        <is>
          <t>FLEET-03</t>
        </is>
      </c>
      <c r="F2585" s="17" t="n">
        <v>45956</v>
      </c>
      <c r="G2585" s="17" t="n">
        <v>45970</v>
      </c>
      <c r="H2585" s="18" t="n">
        <v>114</v>
      </c>
      <c r="I2585" s="19" t="n">
        <v>21.15</v>
      </c>
      <c r="J2585" s="19" t="n">
        <v>21</v>
      </c>
      <c r="K2585" s="20" t="n">
        <v>0</v>
      </c>
      <c r="L2585" s="20" t="n">
        <v>0</v>
      </c>
      <c r="M2585" s="18" t="n">
        <v>114</v>
      </c>
      <c r="N2585" s="18" t="n">
        <v>114</v>
      </c>
      <c r="O2585" s="18" t="n">
        <v>0</v>
      </c>
      <c r="P2585" s="17" t="n">
        <v>45964</v>
      </c>
      <c r="Q2585" s="17" t="n">
        <v>45964</v>
      </c>
      <c r="R2585" s="17" t="n">
        <v>45964</v>
      </c>
      <c r="S2585" s="19">
        <f>H2585*I2585</f>
        <v/>
      </c>
      <c r="T2585" s="19">
        <f>H2585*J2585</f>
        <v/>
      </c>
      <c r="U2585">
        <f>IF(AND(K2585=0,G2585&lt;=Assumptions!$C$6),1,0)</f>
        <v/>
      </c>
      <c r="V2585">
        <f>IF(U2585=1,IF(M2585&gt;0,IF(P2585&lt;=G2585+Assumptions!$C$7,1,0),0),0)</f>
        <v/>
      </c>
      <c r="W2585">
        <f>IF(AND(U2585=1,M2585&gt;=H2585*(1-Assumptions!$C$8)),1,0)</f>
        <v/>
      </c>
      <c r="X2585">
        <f>IF(AND(U2585=1,N2585&gt;=H2585*(1-Assumptions!$C$8)),1,0)</f>
        <v/>
      </c>
      <c r="Y2585">
        <f>IF(ISNUMBER(Q2585),1,0)</f>
        <v/>
      </c>
      <c r="Z2585">
        <f>IF(AND(K2585=0,L2585=0,Y2585=0),1,0)</f>
        <v/>
      </c>
      <c r="AA2585">
        <f>IF(AND(Z2585=1,G2585&lt;Assumptions!$C$6),1,0)</f>
        <v/>
      </c>
      <c r="AB2585">
        <f>IF(U2585=0,"",IF(Y2585=1,MAX(0,Q2585-G2585),IF(L2585=1,MAX(0,R2585-G2585),MAX(0,Assumptions!$C$6-G2585))))</f>
        <v/>
      </c>
      <c r="AC2585">
        <f>IF(Y2585=1,Q2585-F2585,"")</f>
        <v/>
      </c>
      <c r="AD2585">
        <f>IF(Y2585=1,AC2585^2,"")</f>
        <v/>
      </c>
      <c r="AE2585" s="19">
        <f>IF(Z2585=1,(H2585-M2585)*I2585,0)</f>
        <v/>
      </c>
      <c r="AF2585">
        <f>IF(G2585&lt;EDATE(Assumptions!$C$6,-12)+1,"prior_12m","last_12m")</f>
        <v/>
      </c>
      <c r="AG2585" s="21">
        <f>DATE(YEAR(G2585),MONTH(G2585),1)</f>
        <v/>
      </c>
    </row>
    <row r="2586">
      <c r="A2586" t="inlineStr">
        <is>
          <t>SPO-01398-1</t>
        </is>
      </c>
      <c r="B2586" t="inlineStr">
        <is>
          <t>SPO-01398</t>
        </is>
      </c>
      <c r="C2586" t="inlineStr">
        <is>
          <t>SUP-05</t>
        </is>
      </c>
      <c r="D2586" t="inlineStr">
        <is>
          <t>FLEET</t>
        </is>
      </c>
      <c r="E2586" t="inlineStr">
        <is>
          <t>FLEET-03</t>
        </is>
      </c>
      <c r="F2586" s="17" t="n">
        <v>45956</v>
      </c>
      <c r="G2586" s="17" t="n">
        <v>45970</v>
      </c>
      <c r="H2586" s="18" t="n">
        <v>56</v>
      </c>
      <c r="I2586" s="19" t="n">
        <v>21.65</v>
      </c>
      <c r="J2586" s="19" t="n">
        <v>21</v>
      </c>
      <c r="K2586" s="20" t="n">
        <v>0</v>
      </c>
      <c r="L2586" s="20" t="n">
        <v>0</v>
      </c>
      <c r="M2586" s="18" t="n">
        <v>56</v>
      </c>
      <c r="N2586" s="18" t="n">
        <v>56</v>
      </c>
      <c r="O2586" s="18" t="n">
        <v>0</v>
      </c>
      <c r="P2586" s="17" t="n">
        <v>45964</v>
      </c>
      <c r="Q2586" s="17" t="n">
        <v>45964</v>
      </c>
      <c r="R2586" s="17" t="n">
        <v>45964</v>
      </c>
      <c r="S2586" s="19">
        <f>H2586*I2586</f>
        <v/>
      </c>
      <c r="T2586" s="19">
        <f>H2586*J2586</f>
        <v/>
      </c>
      <c r="U2586">
        <f>IF(AND(K2586=0,G2586&lt;=Assumptions!$C$6),1,0)</f>
        <v/>
      </c>
      <c r="V2586">
        <f>IF(U2586=1,IF(M2586&gt;0,IF(P2586&lt;=G2586+Assumptions!$C$7,1,0),0),0)</f>
        <v/>
      </c>
      <c r="W2586">
        <f>IF(AND(U2586=1,M2586&gt;=H2586*(1-Assumptions!$C$8)),1,0)</f>
        <v/>
      </c>
      <c r="X2586">
        <f>IF(AND(U2586=1,N2586&gt;=H2586*(1-Assumptions!$C$8)),1,0)</f>
        <v/>
      </c>
      <c r="Y2586">
        <f>IF(ISNUMBER(Q2586),1,0)</f>
        <v/>
      </c>
      <c r="Z2586">
        <f>IF(AND(K2586=0,L2586=0,Y2586=0),1,0)</f>
        <v/>
      </c>
      <c r="AA2586">
        <f>IF(AND(Z2586=1,G2586&lt;Assumptions!$C$6),1,0)</f>
        <v/>
      </c>
      <c r="AB2586">
        <f>IF(U2586=0,"",IF(Y2586=1,MAX(0,Q2586-G2586),IF(L2586=1,MAX(0,R2586-G2586),MAX(0,Assumptions!$C$6-G2586))))</f>
        <v/>
      </c>
      <c r="AC2586">
        <f>IF(Y2586=1,Q2586-F2586,"")</f>
        <v/>
      </c>
      <c r="AD2586">
        <f>IF(Y2586=1,AC2586^2,"")</f>
        <v/>
      </c>
      <c r="AE2586" s="19">
        <f>IF(Z2586=1,(H2586-M2586)*I2586,0)</f>
        <v/>
      </c>
      <c r="AF2586">
        <f>IF(G2586&lt;EDATE(Assumptions!$C$6,-12)+1,"prior_12m","last_12m")</f>
        <v/>
      </c>
      <c r="AG2586" s="21">
        <f>DATE(YEAR(G2586),MONTH(G2586),1)</f>
        <v/>
      </c>
    </row>
    <row r="2587">
      <c r="A2587" t="inlineStr">
        <is>
          <t>SPO-01399-1</t>
        </is>
      </c>
      <c r="B2587" t="inlineStr">
        <is>
          <t>SPO-01399</t>
        </is>
      </c>
      <c r="C2587" t="inlineStr">
        <is>
          <t>SUP-05</t>
        </is>
      </c>
      <c r="D2587" t="inlineStr">
        <is>
          <t>FLEET</t>
        </is>
      </c>
      <c r="E2587" t="inlineStr">
        <is>
          <t>FLEET-04</t>
        </is>
      </c>
      <c r="F2587" s="17" t="n">
        <v>45956</v>
      </c>
      <c r="G2587" s="17" t="n">
        <v>45970</v>
      </c>
      <c r="H2587" s="18" t="n">
        <v>121</v>
      </c>
      <c r="I2587" s="19" t="n">
        <v>9.279999999999999</v>
      </c>
      <c r="J2587" s="19" t="n">
        <v>9</v>
      </c>
      <c r="K2587" s="20" t="n">
        <v>0</v>
      </c>
      <c r="L2587" s="20" t="n">
        <v>0</v>
      </c>
      <c r="M2587" s="18" t="n">
        <v>121</v>
      </c>
      <c r="N2587" s="18" t="n">
        <v>121</v>
      </c>
      <c r="O2587" s="18" t="n">
        <v>0</v>
      </c>
      <c r="P2587" s="17" t="n">
        <v>45969</v>
      </c>
      <c r="Q2587" s="17" t="n">
        <v>45969</v>
      </c>
      <c r="R2587" s="17" t="n">
        <v>45969</v>
      </c>
      <c r="S2587" s="19">
        <f>H2587*I2587</f>
        <v/>
      </c>
      <c r="T2587" s="19">
        <f>H2587*J2587</f>
        <v/>
      </c>
      <c r="U2587">
        <f>IF(AND(K2587=0,G2587&lt;=Assumptions!$C$6),1,0)</f>
        <v/>
      </c>
      <c r="V2587">
        <f>IF(U2587=1,IF(M2587&gt;0,IF(P2587&lt;=G2587+Assumptions!$C$7,1,0),0),0)</f>
        <v/>
      </c>
      <c r="W2587">
        <f>IF(AND(U2587=1,M2587&gt;=H2587*(1-Assumptions!$C$8)),1,0)</f>
        <v/>
      </c>
      <c r="X2587">
        <f>IF(AND(U2587=1,N2587&gt;=H2587*(1-Assumptions!$C$8)),1,0)</f>
        <v/>
      </c>
      <c r="Y2587">
        <f>IF(ISNUMBER(Q2587),1,0)</f>
        <v/>
      </c>
      <c r="Z2587">
        <f>IF(AND(K2587=0,L2587=0,Y2587=0),1,0)</f>
        <v/>
      </c>
      <c r="AA2587">
        <f>IF(AND(Z2587=1,G2587&lt;Assumptions!$C$6),1,0)</f>
        <v/>
      </c>
      <c r="AB2587">
        <f>IF(U2587=0,"",IF(Y2587=1,MAX(0,Q2587-G2587),IF(L2587=1,MAX(0,R2587-G2587),MAX(0,Assumptions!$C$6-G2587))))</f>
        <v/>
      </c>
      <c r="AC2587">
        <f>IF(Y2587=1,Q2587-F2587,"")</f>
        <v/>
      </c>
      <c r="AD2587">
        <f>IF(Y2587=1,AC2587^2,"")</f>
        <v/>
      </c>
      <c r="AE2587" s="19">
        <f>IF(Z2587=1,(H2587-M2587)*I2587,0)</f>
        <v/>
      </c>
      <c r="AF2587">
        <f>IF(G2587&lt;EDATE(Assumptions!$C$6,-12)+1,"prior_12m","last_12m")</f>
        <v/>
      </c>
      <c r="AG2587" s="21">
        <f>DATE(YEAR(G2587),MONTH(G2587),1)</f>
        <v/>
      </c>
    </row>
    <row r="2588">
      <c r="A2588" t="inlineStr">
        <is>
          <t>SPO-01399-2</t>
        </is>
      </c>
      <c r="B2588" t="inlineStr">
        <is>
          <t>SPO-01399</t>
        </is>
      </c>
      <c r="C2588" t="inlineStr">
        <is>
          <t>SUP-05</t>
        </is>
      </c>
      <c r="D2588" t="inlineStr">
        <is>
          <t>FLEET</t>
        </is>
      </c>
      <c r="E2588" t="inlineStr">
        <is>
          <t>FLEET-06</t>
        </is>
      </c>
      <c r="F2588" s="17" t="n">
        <v>45956</v>
      </c>
      <c r="G2588" s="17" t="n">
        <v>45970</v>
      </c>
      <c r="H2588" s="18" t="n">
        <v>64</v>
      </c>
      <c r="I2588" s="19" t="n">
        <v>35</v>
      </c>
      <c r="J2588" s="19" t="n">
        <v>33</v>
      </c>
      <c r="K2588" s="20" t="n">
        <v>0</v>
      </c>
      <c r="L2588" s="20" t="n">
        <v>0</v>
      </c>
      <c r="M2588" s="18" t="n">
        <v>64</v>
      </c>
      <c r="N2588" s="18" t="n">
        <v>64</v>
      </c>
      <c r="O2588" s="18" t="n">
        <v>0</v>
      </c>
      <c r="P2588" s="17" t="n">
        <v>45969</v>
      </c>
      <c r="Q2588" s="17" t="n">
        <v>45969</v>
      </c>
      <c r="R2588" s="17" t="n">
        <v>45969</v>
      </c>
      <c r="S2588" s="19">
        <f>H2588*I2588</f>
        <v/>
      </c>
      <c r="T2588" s="19">
        <f>H2588*J2588</f>
        <v/>
      </c>
      <c r="U2588">
        <f>IF(AND(K2588=0,G2588&lt;=Assumptions!$C$6),1,0)</f>
        <v/>
      </c>
      <c r="V2588">
        <f>IF(U2588=1,IF(M2588&gt;0,IF(P2588&lt;=G2588+Assumptions!$C$7,1,0),0),0)</f>
        <v/>
      </c>
      <c r="W2588">
        <f>IF(AND(U2588=1,M2588&gt;=H2588*(1-Assumptions!$C$8)),1,0)</f>
        <v/>
      </c>
      <c r="X2588">
        <f>IF(AND(U2588=1,N2588&gt;=H2588*(1-Assumptions!$C$8)),1,0)</f>
        <v/>
      </c>
      <c r="Y2588">
        <f>IF(ISNUMBER(Q2588),1,0)</f>
        <v/>
      </c>
      <c r="Z2588">
        <f>IF(AND(K2588=0,L2588=0,Y2588=0),1,0)</f>
        <v/>
      </c>
      <c r="AA2588">
        <f>IF(AND(Z2588=1,G2588&lt;Assumptions!$C$6),1,0)</f>
        <v/>
      </c>
      <c r="AB2588">
        <f>IF(U2588=0,"",IF(Y2588=1,MAX(0,Q2588-G2588),IF(L2588=1,MAX(0,R2588-G2588),MAX(0,Assumptions!$C$6-G2588))))</f>
        <v/>
      </c>
      <c r="AC2588">
        <f>IF(Y2588=1,Q2588-F2588,"")</f>
        <v/>
      </c>
      <c r="AD2588">
        <f>IF(Y2588=1,AC2588^2,"")</f>
        <v/>
      </c>
      <c r="AE2588" s="19">
        <f>IF(Z2588=1,(H2588-M2588)*I2588,0)</f>
        <v/>
      </c>
      <c r="AF2588">
        <f>IF(G2588&lt;EDATE(Assumptions!$C$6,-12)+1,"prior_12m","last_12m")</f>
        <v/>
      </c>
      <c r="AG2588" s="21">
        <f>DATE(YEAR(G2588),MONTH(G2588),1)</f>
        <v/>
      </c>
    </row>
    <row r="2589">
      <c r="A2589" t="inlineStr">
        <is>
          <t>SPO-01399-3</t>
        </is>
      </c>
      <c r="B2589" t="inlineStr">
        <is>
          <t>SPO-01399</t>
        </is>
      </c>
      <c r="C2589" t="inlineStr">
        <is>
          <t>SUP-05</t>
        </is>
      </c>
      <c r="D2589" t="inlineStr">
        <is>
          <t>FLEET</t>
        </is>
      </c>
      <c r="E2589" t="inlineStr">
        <is>
          <t>FLEET-02</t>
        </is>
      </c>
      <c r="F2589" s="17" t="n">
        <v>45956</v>
      </c>
      <c r="G2589" s="17" t="n">
        <v>45970</v>
      </c>
      <c r="H2589" s="18" t="n">
        <v>145</v>
      </c>
      <c r="I2589" s="19" t="n">
        <v>7.72</v>
      </c>
      <c r="J2589" s="19" t="n">
        <v>7.5</v>
      </c>
      <c r="K2589" s="20" t="n">
        <v>0</v>
      </c>
      <c r="L2589" s="20" t="n">
        <v>0</v>
      </c>
      <c r="M2589" s="18" t="n">
        <v>145</v>
      </c>
      <c r="N2589" s="18" t="n">
        <v>145</v>
      </c>
      <c r="O2589" s="18" t="n">
        <v>0</v>
      </c>
      <c r="P2589" s="17" t="n">
        <v>45968</v>
      </c>
      <c r="Q2589" s="17" t="n">
        <v>45968</v>
      </c>
      <c r="R2589" s="17" t="n">
        <v>45968</v>
      </c>
      <c r="S2589" s="19">
        <f>H2589*I2589</f>
        <v/>
      </c>
      <c r="T2589" s="19">
        <f>H2589*J2589</f>
        <v/>
      </c>
      <c r="U2589">
        <f>IF(AND(K2589=0,G2589&lt;=Assumptions!$C$6),1,0)</f>
        <v/>
      </c>
      <c r="V2589">
        <f>IF(U2589=1,IF(M2589&gt;0,IF(P2589&lt;=G2589+Assumptions!$C$7,1,0),0),0)</f>
        <v/>
      </c>
      <c r="W2589">
        <f>IF(AND(U2589=1,M2589&gt;=H2589*(1-Assumptions!$C$8)),1,0)</f>
        <v/>
      </c>
      <c r="X2589">
        <f>IF(AND(U2589=1,N2589&gt;=H2589*(1-Assumptions!$C$8)),1,0)</f>
        <v/>
      </c>
      <c r="Y2589">
        <f>IF(ISNUMBER(Q2589),1,0)</f>
        <v/>
      </c>
      <c r="Z2589">
        <f>IF(AND(K2589=0,L2589=0,Y2589=0),1,0)</f>
        <v/>
      </c>
      <c r="AA2589">
        <f>IF(AND(Z2589=1,G2589&lt;Assumptions!$C$6),1,0)</f>
        <v/>
      </c>
      <c r="AB2589">
        <f>IF(U2589=0,"",IF(Y2589=1,MAX(0,Q2589-G2589),IF(L2589=1,MAX(0,R2589-G2589),MAX(0,Assumptions!$C$6-G2589))))</f>
        <v/>
      </c>
      <c r="AC2589">
        <f>IF(Y2589=1,Q2589-F2589,"")</f>
        <v/>
      </c>
      <c r="AD2589">
        <f>IF(Y2589=1,AC2589^2,"")</f>
        <v/>
      </c>
      <c r="AE2589" s="19">
        <f>IF(Z2589=1,(H2589-M2589)*I2589,0)</f>
        <v/>
      </c>
      <c r="AF2589">
        <f>IF(G2589&lt;EDATE(Assumptions!$C$6,-12)+1,"prior_12m","last_12m")</f>
        <v/>
      </c>
      <c r="AG2589" s="21">
        <f>DATE(YEAR(G2589),MONTH(G2589),1)</f>
        <v/>
      </c>
    </row>
    <row r="2590">
      <c r="A2590" t="inlineStr">
        <is>
          <t>SPO-01399-4</t>
        </is>
      </c>
      <c r="B2590" t="inlineStr">
        <is>
          <t>SPO-01399</t>
        </is>
      </c>
      <c r="C2590" t="inlineStr">
        <is>
          <t>SUP-05</t>
        </is>
      </c>
      <c r="D2590" t="inlineStr">
        <is>
          <t>FLEET</t>
        </is>
      </c>
      <c r="E2590" t="inlineStr">
        <is>
          <t>FLEET-03</t>
        </is>
      </c>
      <c r="F2590" s="17" t="n">
        <v>45956</v>
      </c>
      <c r="G2590" s="17" t="n">
        <v>45970</v>
      </c>
      <c r="H2590" s="18" t="n">
        <v>28</v>
      </c>
      <c r="I2590" s="19" t="n">
        <v>21.39</v>
      </c>
      <c r="J2590" s="19" t="n">
        <v>21</v>
      </c>
      <c r="K2590" s="20" t="n">
        <v>0</v>
      </c>
      <c r="L2590" s="20" t="n">
        <v>0</v>
      </c>
      <c r="M2590" s="18" t="n">
        <v>28</v>
      </c>
      <c r="N2590" s="18" t="n">
        <v>28</v>
      </c>
      <c r="O2590" s="18" t="n">
        <v>0</v>
      </c>
      <c r="P2590" s="17" t="n">
        <v>45966</v>
      </c>
      <c r="Q2590" s="17" t="n">
        <v>45966</v>
      </c>
      <c r="R2590" s="17" t="n">
        <v>45966</v>
      </c>
      <c r="S2590" s="19">
        <f>H2590*I2590</f>
        <v/>
      </c>
      <c r="T2590" s="19">
        <f>H2590*J2590</f>
        <v/>
      </c>
      <c r="U2590">
        <f>IF(AND(K2590=0,G2590&lt;=Assumptions!$C$6),1,0)</f>
        <v/>
      </c>
      <c r="V2590">
        <f>IF(U2590=1,IF(M2590&gt;0,IF(P2590&lt;=G2590+Assumptions!$C$7,1,0),0),0)</f>
        <v/>
      </c>
      <c r="W2590">
        <f>IF(AND(U2590=1,M2590&gt;=H2590*(1-Assumptions!$C$8)),1,0)</f>
        <v/>
      </c>
      <c r="X2590">
        <f>IF(AND(U2590=1,N2590&gt;=H2590*(1-Assumptions!$C$8)),1,0)</f>
        <v/>
      </c>
      <c r="Y2590">
        <f>IF(ISNUMBER(Q2590),1,0)</f>
        <v/>
      </c>
      <c r="Z2590">
        <f>IF(AND(K2590=0,L2590=0,Y2590=0),1,0)</f>
        <v/>
      </c>
      <c r="AA2590">
        <f>IF(AND(Z2590=1,G2590&lt;Assumptions!$C$6),1,0)</f>
        <v/>
      </c>
      <c r="AB2590">
        <f>IF(U2590=0,"",IF(Y2590=1,MAX(0,Q2590-G2590),IF(L2590=1,MAX(0,R2590-G2590),MAX(0,Assumptions!$C$6-G2590))))</f>
        <v/>
      </c>
      <c r="AC2590">
        <f>IF(Y2590=1,Q2590-F2590,"")</f>
        <v/>
      </c>
      <c r="AD2590">
        <f>IF(Y2590=1,AC2590^2,"")</f>
        <v/>
      </c>
      <c r="AE2590" s="19">
        <f>IF(Z2590=1,(H2590-M2590)*I2590,0)</f>
        <v/>
      </c>
      <c r="AF2590">
        <f>IF(G2590&lt;EDATE(Assumptions!$C$6,-12)+1,"prior_12m","last_12m")</f>
        <v/>
      </c>
      <c r="AG2590" s="21">
        <f>DATE(YEAR(G2590),MONTH(G2590),1)</f>
        <v/>
      </c>
    </row>
    <row r="2591">
      <c r="A2591" t="inlineStr">
        <is>
          <t>SPO-01400-1</t>
        </is>
      </c>
      <c r="B2591" t="inlineStr">
        <is>
          <t>SPO-01400</t>
        </is>
      </c>
      <c r="C2591" t="inlineStr">
        <is>
          <t>SUP-04</t>
        </is>
      </c>
      <c r="D2591" t="inlineStr">
        <is>
          <t>FLEET</t>
        </is>
      </c>
      <c r="E2591" t="inlineStr">
        <is>
          <t>FLEET-07</t>
        </is>
      </c>
      <c r="F2591" s="17" t="n">
        <v>45956</v>
      </c>
      <c r="G2591" s="17" t="n">
        <v>45969</v>
      </c>
      <c r="H2591" s="18" t="n">
        <v>16</v>
      </c>
      <c r="I2591" s="19" t="n">
        <v>118.5</v>
      </c>
      <c r="J2591" s="19" t="n">
        <v>118</v>
      </c>
      <c r="K2591" s="20" t="n">
        <v>0</v>
      </c>
      <c r="L2591" s="20" t="n">
        <v>0</v>
      </c>
      <c r="M2591" s="18" t="n">
        <v>16</v>
      </c>
      <c r="N2591" s="18" t="n">
        <v>16</v>
      </c>
      <c r="O2591" s="18" t="n">
        <v>0</v>
      </c>
      <c r="P2591" s="17" t="n">
        <v>45964</v>
      </c>
      <c r="Q2591" s="17" t="n">
        <v>45964</v>
      </c>
      <c r="R2591" s="17" t="n">
        <v>45964</v>
      </c>
      <c r="S2591" s="19">
        <f>H2591*I2591</f>
        <v/>
      </c>
      <c r="T2591" s="19">
        <f>H2591*J2591</f>
        <v/>
      </c>
      <c r="U2591">
        <f>IF(AND(K2591=0,G2591&lt;=Assumptions!$C$6),1,0)</f>
        <v/>
      </c>
      <c r="V2591">
        <f>IF(U2591=1,IF(M2591&gt;0,IF(P2591&lt;=G2591+Assumptions!$C$7,1,0),0),0)</f>
        <v/>
      </c>
      <c r="W2591">
        <f>IF(AND(U2591=1,M2591&gt;=H2591*(1-Assumptions!$C$8)),1,0)</f>
        <v/>
      </c>
      <c r="X2591">
        <f>IF(AND(U2591=1,N2591&gt;=H2591*(1-Assumptions!$C$8)),1,0)</f>
        <v/>
      </c>
      <c r="Y2591">
        <f>IF(ISNUMBER(Q2591),1,0)</f>
        <v/>
      </c>
      <c r="Z2591">
        <f>IF(AND(K2591=0,L2591=0,Y2591=0),1,0)</f>
        <v/>
      </c>
      <c r="AA2591">
        <f>IF(AND(Z2591=1,G2591&lt;Assumptions!$C$6),1,0)</f>
        <v/>
      </c>
      <c r="AB2591">
        <f>IF(U2591=0,"",IF(Y2591=1,MAX(0,Q2591-G2591),IF(L2591=1,MAX(0,R2591-G2591),MAX(0,Assumptions!$C$6-G2591))))</f>
        <v/>
      </c>
      <c r="AC2591">
        <f>IF(Y2591=1,Q2591-F2591,"")</f>
        <v/>
      </c>
      <c r="AD2591">
        <f>IF(Y2591=1,AC2591^2,"")</f>
        <v/>
      </c>
      <c r="AE2591" s="19">
        <f>IF(Z2591=1,(H2591-M2591)*I2591,0)</f>
        <v/>
      </c>
      <c r="AF2591">
        <f>IF(G2591&lt;EDATE(Assumptions!$C$6,-12)+1,"prior_12m","last_12m")</f>
        <v/>
      </c>
      <c r="AG2591" s="21">
        <f>DATE(YEAR(G2591),MONTH(G2591),1)</f>
        <v/>
      </c>
    </row>
    <row r="2592">
      <c r="A2592" t="inlineStr">
        <is>
          <t>SPO-01400-2</t>
        </is>
      </c>
      <c r="B2592" t="inlineStr">
        <is>
          <t>SPO-01400</t>
        </is>
      </c>
      <c r="C2592" t="inlineStr">
        <is>
          <t>SUP-04</t>
        </is>
      </c>
      <c r="D2592" t="inlineStr">
        <is>
          <t>FLEET</t>
        </is>
      </c>
      <c r="E2592" t="inlineStr">
        <is>
          <t>FLEET-05</t>
        </is>
      </c>
      <c r="F2592" s="17" t="n">
        <v>45956</v>
      </c>
      <c r="G2592" s="17" t="n">
        <v>45969</v>
      </c>
      <c r="H2592" s="18" t="n">
        <v>9</v>
      </c>
      <c r="I2592" s="19" t="n">
        <v>168.28</v>
      </c>
      <c r="J2592" s="19" t="n">
        <v>168</v>
      </c>
      <c r="K2592" s="20" t="n">
        <v>0</v>
      </c>
      <c r="L2592" s="20" t="n">
        <v>0</v>
      </c>
      <c r="M2592" s="18" t="n">
        <v>9</v>
      </c>
      <c r="N2592" s="18" t="n">
        <v>0</v>
      </c>
      <c r="O2592" s="18" t="n">
        <v>0</v>
      </c>
      <c r="P2592" s="17" t="n">
        <v>45971</v>
      </c>
      <c r="Q2592" s="17" t="n">
        <v>45971</v>
      </c>
      <c r="R2592" s="17" t="n">
        <v>45971</v>
      </c>
      <c r="S2592" s="19">
        <f>H2592*I2592</f>
        <v/>
      </c>
      <c r="T2592" s="19">
        <f>H2592*J2592</f>
        <v/>
      </c>
      <c r="U2592">
        <f>IF(AND(K2592=0,G2592&lt;=Assumptions!$C$6),1,0)</f>
        <v/>
      </c>
      <c r="V2592">
        <f>IF(U2592=1,IF(M2592&gt;0,IF(P2592&lt;=G2592+Assumptions!$C$7,1,0),0),0)</f>
        <v/>
      </c>
      <c r="W2592">
        <f>IF(AND(U2592=1,M2592&gt;=H2592*(1-Assumptions!$C$8)),1,0)</f>
        <v/>
      </c>
      <c r="X2592">
        <f>IF(AND(U2592=1,N2592&gt;=H2592*(1-Assumptions!$C$8)),1,0)</f>
        <v/>
      </c>
      <c r="Y2592">
        <f>IF(ISNUMBER(Q2592),1,0)</f>
        <v/>
      </c>
      <c r="Z2592">
        <f>IF(AND(K2592=0,L2592=0,Y2592=0),1,0)</f>
        <v/>
      </c>
      <c r="AA2592">
        <f>IF(AND(Z2592=1,G2592&lt;Assumptions!$C$6),1,0)</f>
        <v/>
      </c>
      <c r="AB2592">
        <f>IF(U2592=0,"",IF(Y2592=1,MAX(0,Q2592-G2592),IF(L2592=1,MAX(0,R2592-G2592),MAX(0,Assumptions!$C$6-G2592))))</f>
        <v/>
      </c>
      <c r="AC2592">
        <f>IF(Y2592=1,Q2592-F2592,"")</f>
        <v/>
      </c>
      <c r="AD2592">
        <f>IF(Y2592=1,AC2592^2,"")</f>
        <v/>
      </c>
      <c r="AE2592" s="19">
        <f>IF(Z2592=1,(H2592-M2592)*I2592,0)</f>
        <v/>
      </c>
      <c r="AF2592">
        <f>IF(G2592&lt;EDATE(Assumptions!$C$6,-12)+1,"prior_12m","last_12m")</f>
        <v/>
      </c>
      <c r="AG2592" s="21">
        <f>DATE(YEAR(G2592),MONTH(G2592),1)</f>
        <v/>
      </c>
    </row>
    <row r="2593">
      <c r="A2593" t="inlineStr">
        <is>
          <t>SPO-01400-3</t>
        </is>
      </c>
      <c r="B2593" t="inlineStr">
        <is>
          <t>SPO-01400</t>
        </is>
      </c>
      <c r="C2593" t="inlineStr">
        <is>
          <t>SUP-04</t>
        </is>
      </c>
      <c r="D2593" t="inlineStr">
        <is>
          <t>FLEET</t>
        </is>
      </c>
      <c r="E2593" t="inlineStr">
        <is>
          <t>FLEET-03</t>
        </is>
      </c>
      <c r="F2593" s="17" t="n">
        <v>45956</v>
      </c>
      <c r="G2593" s="17" t="n">
        <v>45969</v>
      </c>
      <c r="H2593" s="18" t="n">
        <v>47</v>
      </c>
      <c r="I2593" s="19" t="n">
        <v>20.2</v>
      </c>
      <c r="J2593" s="19" t="n">
        <v>21</v>
      </c>
      <c r="K2593" s="20" t="n">
        <v>0</v>
      </c>
      <c r="L2593" s="20" t="n">
        <v>0</v>
      </c>
      <c r="M2593" s="18" t="n">
        <v>47</v>
      </c>
      <c r="N2593" s="18" t="n">
        <v>47</v>
      </c>
      <c r="O2593" s="18" t="n">
        <v>0</v>
      </c>
      <c r="P2593" s="17" t="n">
        <v>45966</v>
      </c>
      <c r="Q2593" s="17" t="n">
        <v>45966</v>
      </c>
      <c r="R2593" s="17" t="n">
        <v>45966</v>
      </c>
      <c r="S2593" s="19">
        <f>H2593*I2593</f>
        <v/>
      </c>
      <c r="T2593" s="19">
        <f>H2593*J2593</f>
        <v/>
      </c>
      <c r="U2593">
        <f>IF(AND(K2593=0,G2593&lt;=Assumptions!$C$6),1,0)</f>
        <v/>
      </c>
      <c r="V2593">
        <f>IF(U2593=1,IF(M2593&gt;0,IF(P2593&lt;=G2593+Assumptions!$C$7,1,0),0),0)</f>
        <v/>
      </c>
      <c r="W2593">
        <f>IF(AND(U2593=1,M2593&gt;=H2593*(1-Assumptions!$C$8)),1,0)</f>
        <v/>
      </c>
      <c r="X2593">
        <f>IF(AND(U2593=1,N2593&gt;=H2593*(1-Assumptions!$C$8)),1,0)</f>
        <v/>
      </c>
      <c r="Y2593">
        <f>IF(ISNUMBER(Q2593),1,0)</f>
        <v/>
      </c>
      <c r="Z2593">
        <f>IF(AND(K2593=0,L2593=0,Y2593=0),1,0)</f>
        <v/>
      </c>
      <c r="AA2593">
        <f>IF(AND(Z2593=1,G2593&lt;Assumptions!$C$6),1,0)</f>
        <v/>
      </c>
      <c r="AB2593">
        <f>IF(U2593=0,"",IF(Y2593=1,MAX(0,Q2593-G2593),IF(L2593=1,MAX(0,R2593-G2593),MAX(0,Assumptions!$C$6-G2593))))</f>
        <v/>
      </c>
      <c r="AC2593">
        <f>IF(Y2593=1,Q2593-F2593,"")</f>
        <v/>
      </c>
      <c r="AD2593">
        <f>IF(Y2593=1,AC2593^2,"")</f>
        <v/>
      </c>
      <c r="AE2593" s="19">
        <f>IF(Z2593=1,(H2593-M2593)*I2593,0)</f>
        <v/>
      </c>
      <c r="AF2593">
        <f>IF(G2593&lt;EDATE(Assumptions!$C$6,-12)+1,"prior_12m","last_12m")</f>
        <v/>
      </c>
      <c r="AG2593" s="21">
        <f>DATE(YEAR(G2593),MONTH(G2593),1)</f>
        <v/>
      </c>
    </row>
    <row r="2594">
      <c r="A2594" t="inlineStr">
        <is>
          <t>SPO-01401-1</t>
        </is>
      </c>
      <c r="B2594" t="inlineStr">
        <is>
          <t>SPO-01401</t>
        </is>
      </c>
      <c r="C2594" t="inlineStr">
        <is>
          <t>SUP-05</t>
        </is>
      </c>
      <c r="D2594" t="inlineStr">
        <is>
          <t>FLEET</t>
        </is>
      </c>
      <c r="E2594" t="inlineStr">
        <is>
          <t>FLEET-05</t>
        </is>
      </c>
      <c r="F2594" s="17" t="n">
        <v>45957</v>
      </c>
      <c r="G2594" s="17" t="n">
        <v>45971</v>
      </c>
      <c r="H2594" s="18" t="n">
        <v>9</v>
      </c>
      <c r="I2594" s="19" t="n">
        <v>157.08</v>
      </c>
      <c r="J2594" s="19" t="n">
        <v>168</v>
      </c>
      <c r="K2594" s="20" t="n">
        <v>0</v>
      </c>
      <c r="L2594" s="20" t="n">
        <v>0</v>
      </c>
      <c r="M2594" s="18" t="n">
        <v>9</v>
      </c>
      <c r="N2594" s="18" t="n">
        <v>9</v>
      </c>
      <c r="O2594" s="18" t="n">
        <v>0</v>
      </c>
      <c r="P2594" s="17" t="n">
        <v>45968</v>
      </c>
      <c r="Q2594" s="17" t="n">
        <v>45968</v>
      </c>
      <c r="R2594" s="17" t="n">
        <v>45968</v>
      </c>
      <c r="S2594" s="19">
        <f>H2594*I2594</f>
        <v/>
      </c>
      <c r="T2594" s="19">
        <f>H2594*J2594</f>
        <v/>
      </c>
      <c r="U2594">
        <f>IF(AND(K2594=0,G2594&lt;=Assumptions!$C$6),1,0)</f>
        <v/>
      </c>
      <c r="V2594">
        <f>IF(U2594=1,IF(M2594&gt;0,IF(P2594&lt;=G2594+Assumptions!$C$7,1,0),0),0)</f>
        <v/>
      </c>
      <c r="W2594">
        <f>IF(AND(U2594=1,M2594&gt;=H2594*(1-Assumptions!$C$8)),1,0)</f>
        <v/>
      </c>
      <c r="X2594">
        <f>IF(AND(U2594=1,N2594&gt;=H2594*(1-Assumptions!$C$8)),1,0)</f>
        <v/>
      </c>
      <c r="Y2594">
        <f>IF(ISNUMBER(Q2594),1,0)</f>
        <v/>
      </c>
      <c r="Z2594">
        <f>IF(AND(K2594=0,L2594=0,Y2594=0),1,0)</f>
        <v/>
      </c>
      <c r="AA2594">
        <f>IF(AND(Z2594=1,G2594&lt;Assumptions!$C$6),1,0)</f>
        <v/>
      </c>
      <c r="AB2594">
        <f>IF(U2594=0,"",IF(Y2594=1,MAX(0,Q2594-G2594),IF(L2594=1,MAX(0,R2594-G2594),MAX(0,Assumptions!$C$6-G2594))))</f>
        <v/>
      </c>
      <c r="AC2594">
        <f>IF(Y2594=1,Q2594-F2594,"")</f>
        <v/>
      </c>
      <c r="AD2594">
        <f>IF(Y2594=1,AC2594^2,"")</f>
        <v/>
      </c>
      <c r="AE2594" s="19">
        <f>IF(Z2594=1,(H2594-M2594)*I2594,0)</f>
        <v/>
      </c>
      <c r="AF2594">
        <f>IF(G2594&lt;EDATE(Assumptions!$C$6,-12)+1,"prior_12m","last_12m")</f>
        <v/>
      </c>
      <c r="AG2594" s="21">
        <f>DATE(YEAR(G2594),MONTH(G2594),1)</f>
        <v/>
      </c>
    </row>
    <row r="2595">
      <c r="A2595" t="inlineStr">
        <is>
          <t>SPO-01401-2</t>
        </is>
      </c>
      <c r="B2595" t="inlineStr">
        <is>
          <t>SPO-01401</t>
        </is>
      </c>
      <c r="C2595" t="inlineStr">
        <is>
          <t>SUP-05</t>
        </is>
      </c>
      <c r="D2595" t="inlineStr">
        <is>
          <t>FLEET</t>
        </is>
      </c>
      <c r="E2595" t="inlineStr">
        <is>
          <t>FLEET-08</t>
        </is>
      </c>
      <c r="F2595" s="17" t="n">
        <v>45957</v>
      </c>
      <c r="G2595" s="17" t="n">
        <v>45971</v>
      </c>
      <c r="H2595" s="18" t="n">
        <v>201</v>
      </c>
      <c r="I2595" s="19" t="n">
        <v>6.39</v>
      </c>
      <c r="J2595" s="19" t="n">
        <v>6.4</v>
      </c>
      <c r="K2595" s="20" t="n">
        <v>0</v>
      </c>
      <c r="L2595" s="20" t="n">
        <v>0</v>
      </c>
      <c r="M2595" s="18" t="n">
        <v>201</v>
      </c>
      <c r="N2595" s="18" t="n">
        <v>0</v>
      </c>
      <c r="O2595" s="18" t="n">
        <v>0</v>
      </c>
      <c r="P2595" s="17" t="n">
        <v>45973</v>
      </c>
      <c r="Q2595" s="17" t="n">
        <v>45973</v>
      </c>
      <c r="R2595" s="17" t="n">
        <v>45973</v>
      </c>
      <c r="S2595" s="19">
        <f>H2595*I2595</f>
        <v/>
      </c>
      <c r="T2595" s="19">
        <f>H2595*J2595</f>
        <v/>
      </c>
      <c r="U2595">
        <f>IF(AND(K2595=0,G2595&lt;=Assumptions!$C$6),1,0)</f>
        <v/>
      </c>
      <c r="V2595">
        <f>IF(U2595=1,IF(M2595&gt;0,IF(P2595&lt;=G2595+Assumptions!$C$7,1,0),0),0)</f>
        <v/>
      </c>
      <c r="W2595">
        <f>IF(AND(U2595=1,M2595&gt;=H2595*(1-Assumptions!$C$8)),1,0)</f>
        <v/>
      </c>
      <c r="X2595">
        <f>IF(AND(U2595=1,N2595&gt;=H2595*(1-Assumptions!$C$8)),1,0)</f>
        <v/>
      </c>
      <c r="Y2595">
        <f>IF(ISNUMBER(Q2595),1,0)</f>
        <v/>
      </c>
      <c r="Z2595">
        <f>IF(AND(K2595=0,L2595=0,Y2595=0),1,0)</f>
        <v/>
      </c>
      <c r="AA2595">
        <f>IF(AND(Z2595=1,G2595&lt;Assumptions!$C$6),1,0)</f>
        <v/>
      </c>
      <c r="AB2595">
        <f>IF(U2595=0,"",IF(Y2595=1,MAX(0,Q2595-G2595),IF(L2595=1,MAX(0,R2595-G2595),MAX(0,Assumptions!$C$6-G2595))))</f>
        <v/>
      </c>
      <c r="AC2595">
        <f>IF(Y2595=1,Q2595-F2595,"")</f>
        <v/>
      </c>
      <c r="AD2595">
        <f>IF(Y2595=1,AC2595^2,"")</f>
        <v/>
      </c>
      <c r="AE2595" s="19">
        <f>IF(Z2595=1,(H2595-M2595)*I2595,0)</f>
        <v/>
      </c>
      <c r="AF2595">
        <f>IF(G2595&lt;EDATE(Assumptions!$C$6,-12)+1,"prior_12m","last_12m")</f>
        <v/>
      </c>
      <c r="AG2595" s="21">
        <f>DATE(YEAR(G2595),MONTH(G2595),1)</f>
        <v/>
      </c>
    </row>
    <row r="2596">
      <c r="A2596" t="inlineStr">
        <is>
          <t>SPO-01401-3</t>
        </is>
      </c>
      <c r="B2596" t="inlineStr">
        <is>
          <t>SPO-01401</t>
        </is>
      </c>
      <c r="C2596" t="inlineStr">
        <is>
          <t>SUP-05</t>
        </is>
      </c>
      <c r="D2596" t="inlineStr">
        <is>
          <t>FLEET</t>
        </is>
      </c>
      <c r="E2596" t="inlineStr">
        <is>
          <t>FLEET-02</t>
        </is>
      </c>
      <c r="F2596" s="17" t="n">
        <v>45957</v>
      </c>
      <c r="G2596" s="17" t="n">
        <v>45971</v>
      </c>
      <c r="H2596" s="18" t="n">
        <v>149</v>
      </c>
      <c r="I2596" s="19" t="n">
        <v>7.96</v>
      </c>
      <c r="J2596" s="19" t="n">
        <v>7.5</v>
      </c>
      <c r="K2596" s="20" t="n">
        <v>0</v>
      </c>
      <c r="L2596" s="20" t="n">
        <v>0</v>
      </c>
      <c r="M2596" s="18" t="n">
        <v>149</v>
      </c>
      <c r="N2596" s="18" t="n">
        <v>149</v>
      </c>
      <c r="O2596" s="18" t="n">
        <v>0</v>
      </c>
      <c r="P2596" s="17" t="n">
        <v>45964</v>
      </c>
      <c r="Q2596" s="17" t="n">
        <v>45964</v>
      </c>
      <c r="R2596" s="17" t="n">
        <v>45964</v>
      </c>
      <c r="S2596" s="19">
        <f>H2596*I2596</f>
        <v/>
      </c>
      <c r="T2596" s="19">
        <f>H2596*J2596</f>
        <v/>
      </c>
      <c r="U2596">
        <f>IF(AND(K2596=0,G2596&lt;=Assumptions!$C$6),1,0)</f>
        <v/>
      </c>
      <c r="V2596">
        <f>IF(U2596=1,IF(M2596&gt;0,IF(P2596&lt;=G2596+Assumptions!$C$7,1,0),0),0)</f>
        <v/>
      </c>
      <c r="W2596">
        <f>IF(AND(U2596=1,M2596&gt;=H2596*(1-Assumptions!$C$8)),1,0)</f>
        <v/>
      </c>
      <c r="X2596">
        <f>IF(AND(U2596=1,N2596&gt;=H2596*(1-Assumptions!$C$8)),1,0)</f>
        <v/>
      </c>
      <c r="Y2596">
        <f>IF(ISNUMBER(Q2596),1,0)</f>
        <v/>
      </c>
      <c r="Z2596">
        <f>IF(AND(K2596=0,L2596=0,Y2596=0),1,0)</f>
        <v/>
      </c>
      <c r="AA2596">
        <f>IF(AND(Z2596=1,G2596&lt;Assumptions!$C$6),1,0)</f>
        <v/>
      </c>
      <c r="AB2596">
        <f>IF(U2596=0,"",IF(Y2596=1,MAX(0,Q2596-G2596),IF(L2596=1,MAX(0,R2596-G2596),MAX(0,Assumptions!$C$6-G2596))))</f>
        <v/>
      </c>
      <c r="AC2596">
        <f>IF(Y2596=1,Q2596-F2596,"")</f>
        <v/>
      </c>
      <c r="AD2596">
        <f>IF(Y2596=1,AC2596^2,"")</f>
        <v/>
      </c>
      <c r="AE2596" s="19">
        <f>IF(Z2596=1,(H2596-M2596)*I2596,0)</f>
        <v/>
      </c>
      <c r="AF2596">
        <f>IF(G2596&lt;EDATE(Assumptions!$C$6,-12)+1,"prior_12m","last_12m")</f>
        <v/>
      </c>
      <c r="AG2596" s="21">
        <f>DATE(YEAR(G2596),MONTH(G2596),1)</f>
        <v/>
      </c>
    </row>
    <row r="2597">
      <c r="A2597" t="inlineStr">
        <is>
          <t>SPO-01401-4</t>
        </is>
      </c>
      <c r="B2597" t="inlineStr">
        <is>
          <t>SPO-01401</t>
        </is>
      </c>
      <c r="C2597" t="inlineStr">
        <is>
          <t>SUP-05</t>
        </is>
      </c>
      <c r="D2597" t="inlineStr">
        <is>
          <t>FLEET</t>
        </is>
      </c>
      <c r="E2597" t="inlineStr">
        <is>
          <t>FLEET-07</t>
        </is>
      </c>
      <c r="F2597" s="17" t="n">
        <v>45957</v>
      </c>
      <c r="G2597" s="17" t="n">
        <v>45971</v>
      </c>
      <c r="H2597" s="18" t="n">
        <v>14</v>
      </c>
      <c r="I2597" s="19" t="n">
        <v>120.64</v>
      </c>
      <c r="J2597" s="19" t="n">
        <v>118</v>
      </c>
      <c r="K2597" s="20" t="n">
        <v>0</v>
      </c>
      <c r="L2597" s="20" t="n">
        <v>0</v>
      </c>
      <c r="M2597" s="18" t="n">
        <v>14</v>
      </c>
      <c r="N2597" s="18" t="n">
        <v>0</v>
      </c>
      <c r="O2597" s="18" t="n">
        <v>0</v>
      </c>
      <c r="P2597" s="17" t="n">
        <v>45973</v>
      </c>
      <c r="Q2597" s="17" t="n">
        <v>45979</v>
      </c>
      <c r="R2597" s="17" t="n">
        <v>45979</v>
      </c>
      <c r="S2597" s="19">
        <f>H2597*I2597</f>
        <v/>
      </c>
      <c r="T2597" s="19">
        <f>H2597*J2597</f>
        <v/>
      </c>
      <c r="U2597">
        <f>IF(AND(K2597=0,G2597&lt;=Assumptions!$C$6),1,0)</f>
        <v/>
      </c>
      <c r="V2597">
        <f>IF(U2597=1,IF(M2597&gt;0,IF(P2597&lt;=G2597+Assumptions!$C$7,1,0),0),0)</f>
        <v/>
      </c>
      <c r="W2597">
        <f>IF(AND(U2597=1,M2597&gt;=H2597*(1-Assumptions!$C$8)),1,0)</f>
        <v/>
      </c>
      <c r="X2597">
        <f>IF(AND(U2597=1,N2597&gt;=H2597*(1-Assumptions!$C$8)),1,0)</f>
        <v/>
      </c>
      <c r="Y2597">
        <f>IF(ISNUMBER(Q2597),1,0)</f>
        <v/>
      </c>
      <c r="Z2597">
        <f>IF(AND(K2597=0,L2597=0,Y2597=0),1,0)</f>
        <v/>
      </c>
      <c r="AA2597">
        <f>IF(AND(Z2597=1,G2597&lt;Assumptions!$C$6),1,0)</f>
        <v/>
      </c>
      <c r="AB2597">
        <f>IF(U2597=0,"",IF(Y2597=1,MAX(0,Q2597-G2597),IF(L2597=1,MAX(0,R2597-G2597),MAX(0,Assumptions!$C$6-G2597))))</f>
        <v/>
      </c>
      <c r="AC2597">
        <f>IF(Y2597=1,Q2597-F2597,"")</f>
        <v/>
      </c>
      <c r="AD2597">
        <f>IF(Y2597=1,AC2597^2,"")</f>
        <v/>
      </c>
      <c r="AE2597" s="19">
        <f>IF(Z2597=1,(H2597-M2597)*I2597,0)</f>
        <v/>
      </c>
      <c r="AF2597">
        <f>IF(G2597&lt;EDATE(Assumptions!$C$6,-12)+1,"prior_12m","last_12m")</f>
        <v/>
      </c>
      <c r="AG2597" s="21">
        <f>DATE(YEAR(G2597),MONTH(G2597),1)</f>
        <v/>
      </c>
    </row>
    <row r="2598">
      <c r="A2598" t="inlineStr">
        <is>
          <t>SPO-01402-1</t>
        </is>
      </c>
      <c r="B2598" t="inlineStr">
        <is>
          <t>SPO-01402</t>
        </is>
      </c>
      <c r="C2598" t="inlineStr">
        <is>
          <t>SUP-11</t>
        </is>
      </c>
      <c r="D2598" t="inlineStr">
        <is>
          <t>PPE</t>
        </is>
      </c>
      <c r="E2598" t="inlineStr">
        <is>
          <t>PPE-07</t>
        </is>
      </c>
      <c r="F2598" s="17" t="n">
        <v>45957</v>
      </c>
      <c r="G2598" s="17" t="n">
        <v>45969</v>
      </c>
      <c r="H2598" s="18" t="n">
        <v>26</v>
      </c>
      <c r="I2598" s="19" t="n">
        <v>32.83</v>
      </c>
      <c r="J2598" s="19" t="n">
        <v>31</v>
      </c>
      <c r="K2598" s="20" t="n">
        <v>0</v>
      </c>
      <c r="L2598" s="20" t="n">
        <v>0</v>
      </c>
      <c r="M2598" s="18" t="n">
        <v>26</v>
      </c>
      <c r="N2598" s="18" t="n">
        <v>26</v>
      </c>
      <c r="O2598" s="18" t="n">
        <v>0</v>
      </c>
      <c r="P2598" s="17" t="n">
        <v>45964</v>
      </c>
      <c r="Q2598" s="17" t="n">
        <v>45964</v>
      </c>
      <c r="R2598" s="17" t="n">
        <v>45964</v>
      </c>
      <c r="S2598" s="19">
        <f>H2598*I2598</f>
        <v/>
      </c>
      <c r="T2598" s="19">
        <f>H2598*J2598</f>
        <v/>
      </c>
      <c r="U2598">
        <f>IF(AND(K2598=0,G2598&lt;=Assumptions!$C$6),1,0)</f>
        <v/>
      </c>
      <c r="V2598">
        <f>IF(U2598=1,IF(M2598&gt;0,IF(P2598&lt;=G2598+Assumptions!$C$7,1,0),0),0)</f>
        <v/>
      </c>
      <c r="W2598">
        <f>IF(AND(U2598=1,M2598&gt;=H2598*(1-Assumptions!$C$8)),1,0)</f>
        <v/>
      </c>
      <c r="X2598">
        <f>IF(AND(U2598=1,N2598&gt;=H2598*(1-Assumptions!$C$8)),1,0)</f>
        <v/>
      </c>
      <c r="Y2598">
        <f>IF(ISNUMBER(Q2598),1,0)</f>
        <v/>
      </c>
      <c r="Z2598">
        <f>IF(AND(K2598=0,L2598=0,Y2598=0),1,0)</f>
        <v/>
      </c>
      <c r="AA2598">
        <f>IF(AND(Z2598=1,G2598&lt;Assumptions!$C$6),1,0)</f>
        <v/>
      </c>
      <c r="AB2598">
        <f>IF(U2598=0,"",IF(Y2598=1,MAX(0,Q2598-G2598),IF(L2598=1,MAX(0,R2598-G2598),MAX(0,Assumptions!$C$6-G2598))))</f>
        <v/>
      </c>
      <c r="AC2598">
        <f>IF(Y2598=1,Q2598-F2598,"")</f>
        <v/>
      </c>
      <c r="AD2598">
        <f>IF(Y2598=1,AC2598^2,"")</f>
        <v/>
      </c>
      <c r="AE2598" s="19">
        <f>IF(Z2598=1,(H2598-M2598)*I2598,0)</f>
        <v/>
      </c>
      <c r="AF2598">
        <f>IF(G2598&lt;EDATE(Assumptions!$C$6,-12)+1,"prior_12m","last_12m")</f>
        <v/>
      </c>
      <c r="AG2598" s="21">
        <f>DATE(YEAR(G2598),MONTH(G2598),1)</f>
        <v/>
      </c>
    </row>
    <row r="2599">
      <c r="A2599" t="inlineStr">
        <is>
          <t>SPO-01402-2</t>
        </is>
      </c>
      <c r="B2599" t="inlineStr">
        <is>
          <t>SPO-01402</t>
        </is>
      </c>
      <c r="C2599" t="inlineStr">
        <is>
          <t>SUP-11</t>
        </is>
      </c>
      <c r="D2599" t="inlineStr">
        <is>
          <t>PPE</t>
        </is>
      </c>
      <c r="E2599" t="inlineStr">
        <is>
          <t>PPE-06</t>
        </is>
      </c>
      <c r="F2599" s="17" t="n">
        <v>45957</v>
      </c>
      <c r="G2599" s="17" t="n">
        <v>45969</v>
      </c>
      <c r="H2599" s="18" t="n">
        <v>20</v>
      </c>
      <c r="I2599" s="19" t="n">
        <v>118.26</v>
      </c>
      <c r="J2599" s="19" t="n">
        <v>115</v>
      </c>
      <c r="K2599" s="20" t="n">
        <v>0</v>
      </c>
      <c r="L2599" s="20" t="n">
        <v>0</v>
      </c>
      <c r="M2599" s="18" t="n">
        <v>20</v>
      </c>
      <c r="N2599" s="18" t="n">
        <v>20</v>
      </c>
      <c r="O2599" s="18" t="n">
        <v>0</v>
      </c>
      <c r="P2599" s="17" t="n">
        <v>45967</v>
      </c>
      <c r="Q2599" s="17" t="n">
        <v>45967</v>
      </c>
      <c r="R2599" s="17" t="n">
        <v>45967</v>
      </c>
      <c r="S2599" s="19">
        <f>H2599*I2599</f>
        <v/>
      </c>
      <c r="T2599" s="19">
        <f>H2599*J2599</f>
        <v/>
      </c>
      <c r="U2599">
        <f>IF(AND(K2599=0,G2599&lt;=Assumptions!$C$6),1,0)</f>
        <v/>
      </c>
      <c r="V2599">
        <f>IF(U2599=1,IF(M2599&gt;0,IF(P2599&lt;=G2599+Assumptions!$C$7,1,0),0),0)</f>
        <v/>
      </c>
      <c r="W2599">
        <f>IF(AND(U2599=1,M2599&gt;=H2599*(1-Assumptions!$C$8)),1,0)</f>
        <v/>
      </c>
      <c r="X2599">
        <f>IF(AND(U2599=1,N2599&gt;=H2599*(1-Assumptions!$C$8)),1,0)</f>
        <v/>
      </c>
      <c r="Y2599">
        <f>IF(ISNUMBER(Q2599),1,0)</f>
        <v/>
      </c>
      <c r="Z2599">
        <f>IF(AND(K2599=0,L2599=0,Y2599=0),1,0)</f>
        <v/>
      </c>
      <c r="AA2599">
        <f>IF(AND(Z2599=1,G2599&lt;Assumptions!$C$6),1,0)</f>
        <v/>
      </c>
      <c r="AB2599">
        <f>IF(U2599=0,"",IF(Y2599=1,MAX(0,Q2599-G2599),IF(L2599=1,MAX(0,R2599-G2599),MAX(0,Assumptions!$C$6-G2599))))</f>
        <v/>
      </c>
      <c r="AC2599">
        <f>IF(Y2599=1,Q2599-F2599,"")</f>
        <v/>
      </c>
      <c r="AD2599">
        <f>IF(Y2599=1,AC2599^2,"")</f>
        <v/>
      </c>
      <c r="AE2599" s="19">
        <f>IF(Z2599=1,(H2599-M2599)*I2599,0)</f>
        <v/>
      </c>
      <c r="AF2599">
        <f>IF(G2599&lt;EDATE(Assumptions!$C$6,-12)+1,"prior_12m","last_12m")</f>
        <v/>
      </c>
      <c r="AG2599" s="21">
        <f>DATE(YEAR(G2599),MONTH(G2599),1)</f>
        <v/>
      </c>
    </row>
    <row r="2600">
      <c r="A2600" t="inlineStr">
        <is>
          <t>SPO-01402-3</t>
        </is>
      </c>
      <c r="B2600" t="inlineStr">
        <is>
          <t>SPO-01402</t>
        </is>
      </c>
      <c r="C2600" t="inlineStr">
        <is>
          <t>SUP-11</t>
        </is>
      </c>
      <c r="D2600" t="inlineStr">
        <is>
          <t>PPE</t>
        </is>
      </c>
      <c r="E2600" t="inlineStr">
        <is>
          <t>PPE-01</t>
        </is>
      </c>
      <c r="F2600" s="17" t="n">
        <v>45957</v>
      </c>
      <c r="G2600" s="17" t="n">
        <v>45969</v>
      </c>
      <c r="H2600" s="18" t="n">
        <v>879</v>
      </c>
      <c r="I2600" s="19" t="n">
        <v>4.76</v>
      </c>
      <c r="J2600" s="19" t="n">
        <v>4.8</v>
      </c>
      <c r="K2600" s="20" t="n">
        <v>0</v>
      </c>
      <c r="L2600" s="20" t="n">
        <v>0</v>
      </c>
      <c r="M2600" s="18" t="n">
        <v>879</v>
      </c>
      <c r="N2600" s="18" t="n">
        <v>879</v>
      </c>
      <c r="O2600" s="18" t="n">
        <v>0</v>
      </c>
      <c r="P2600" s="17" t="n">
        <v>45968</v>
      </c>
      <c r="Q2600" s="17" t="n">
        <v>45968</v>
      </c>
      <c r="R2600" s="17" t="n">
        <v>45968</v>
      </c>
      <c r="S2600" s="19">
        <f>H2600*I2600</f>
        <v/>
      </c>
      <c r="T2600" s="19">
        <f>H2600*J2600</f>
        <v/>
      </c>
      <c r="U2600">
        <f>IF(AND(K2600=0,G2600&lt;=Assumptions!$C$6),1,0)</f>
        <v/>
      </c>
      <c r="V2600">
        <f>IF(U2600=1,IF(M2600&gt;0,IF(P2600&lt;=G2600+Assumptions!$C$7,1,0),0),0)</f>
        <v/>
      </c>
      <c r="W2600">
        <f>IF(AND(U2600=1,M2600&gt;=H2600*(1-Assumptions!$C$8)),1,0)</f>
        <v/>
      </c>
      <c r="X2600">
        <f>IF(AND(U2600=1,N2600&gt;=H2600*(1-Assumptions!$C$8)),1,0)</f>
        <v/>
      </c>
      <c r="Y2600">
        <f>IF(ISNUMBER(Q2600),1,0)</f>
        <v/>
      </c>
      <c r="Z2600">
        <f>IF(AND(K2600=0,L2600=0,Y2600=0),1,0)</f>
        <v/>
      </c>
      <c r="AA2600">
        <f>IF(AND(Z2600=1,G2600&lt;Assumptions!$C$6),1,0)</f>
        <v/>
      </c>
      <c r="AB2600">
        <f>IF(U2600=0,"",IF(Y2600=1,MAX(0,Q2600-G2600),IF(L2600=1,MAX(0,R2600-G2600),MAX(0,Assumptions!$C$6-G2600))))</f>
        <v/>
      </c>
      <c r="AC2600">
        <f>IF(Y2600=1,Q2600-F2600,"")</f>
        <v/>
      </c>
      <c r="AD2600">
        <f>IF(Y2600=1,AC2600^2,"")</f>
        <v/>
      </c>
      <c r="AE2600" s="19">
        <f>IF(Z2600=1,(H2600-M2600)*I2600,0)</f>
        <v/>
      </c>
      <c r="AF2600">
        <f>IF(G2600&lt;EDATE(Assumptions!$C$6,-12)+1,"prior_12m","last_12m")</f>
        <v/>
      </c>
      <c r="AG2600" s="21">
        <f>DATE(YEAR(G2600),MONTH(G2600),1)</f>
        <v/>
      </c>
    </row>
    <row r="2601">
      <c r="A2601" t="inlineStr">
        <is>
          <t>SPO-01403-1</t>
        </is>
      </c>
      <c r="B2601" t="inlineStr">
        <is>
          <t>SPO-01403</t>
        </is>
      </c>
      <c r="C2601" t="inlineStr">
        <is>
          <t>SUP-12</t>
        </is>
      </c>
      <c r="D2601" t="inlineStr">
        <is>
          <t>IT</t>
        </is>
      </c>
      <c r="E2601" t="inlineStr">
        <is>
          <t>IT-01</t>
        </is>
      </c>
      <c r="F2601" s="17" t="n">
        <v>45957</v>
      </c>
      <c r="G2601" s="17" t="n">
        <v>45967</v>
      </c>
      <c r="H2601" s="18" t="n">
        <v>8</v>
      </c>
      <c r="I2601" s="19" t="n">
        <v>209.19</v>
      </c>
      <c r="J2601" s="19" t="n">
        <v>189</v>
      </c>
      <c r="K2601" s="20" t="n">
        <v>0</v>
      </c>
      <c r="L2601" s="20" t="n">
        <v>0</v>
      </c>
      <c r="M2601" s="18" t="n">
        <v>8</v>
      </c>
      <c r="N2601" s="18" t="n">
        <v>0</v>
      </c>
      <c r="O2601" s="18" t="n">
        <v>0</v>
      </c>
      <c r="P2601" s="17" t="n">
        <v>45969</v>
      </c>
      <c r="Q2601" s="17" t="n">
        <v>45969</v>
      </c>
      <c r="R2601" s="17" t="n">
        <v>45969</v>
      </c>
      <c r="S2601" s="19">
        <f>H2601*I2601</f>
        <v/>
      </c>
      <c r="T2601" s="19">
        <f>H2601*J2601</f>
        <v/>
      </c>
      <c r="U2601">
        <f>IF(AND(K2601=0,G2601&lt;=Assumptions!$C$6),1,0)</f>
        <v/>
      </c>
      <c r="V2601">
        <f>IF(U2601=1,IF(M2601&gt;0,IF(P2601&lt;=G2601+Assumptions!$C$7,1,0),0),0)</f>
        <v/>
      </c>
      <c r="W2601">
        <f>IF(AND(U2601=1,M2601&gt;=H2601*(1-Assumptions!$C$8)),1,0)</f>
        <v/>
      </c>
      <c r="X2601">
        <f>IF(AND(U2601=1,N2601&gt;=H2601*(1-Assumptions!$C$8)),1,0)</f>
        <v/>
      </c>
      <c r="Y2601">
        <f>IF(ISNUMBER(Q2601),1,0)</f>
        <v/>
      </c>
      <c r="Z2601">
        <f>IF(AND(K2601=0,L2601=0,Y2601=0),1,0)</f>
        <v/>
      </c>
      <c r="AA2601">
        <f>IF(AND(Z2601=1,G2601&lt;Assumptions!$C$6),1,0)</f>
        <v/>
      </c>
      <c r="AB2601">
        <f>IF(U2601=0,"",IF(Y2601=1,MAX(0,Q2601-G2601),IF(L2601=1,MAX(0,R2601-G2601),MAX(0,Assumptions!$C$6-G2601))))</f>
        <v/>
      </c>
      <c r="AC2601">
        <f>IF(Y2601=1,Q2601-F2601,"")</f>
        <v/>
      </c>
      <c r="AD2601">
        <f>IF(Y2601=1,AC2601^2,"")</f>
        <v/>
      </c>
      <c r="AE2601" s="19">
        <f>IF(Z2601=1,(H2601-M2601)*I2601,0)</f>
        <v/>
      </c>
      <c r="AF2601">
        <f>IF(G2601&lt;EDATE(Assumptions!$C$6,-12)+1,"prior_12m","last_12m")</f>
        <v/>
      </c>
      <c r="AG2601" s="21">
        <f>DATE(YEAR(G2601),MONTH(G2601),1)</f>
        <v/>
      </c>
    </row>
    <row r="2602">
      <c r="A2602" t="inlineStr">
        <is>
          <t>SPO-01404-1</t>
        </is>
      </c>
      <c r="B2602" t="inlineStr">
        <is>
          <t>SPO-01404</t>
        </is>
      </c>
      <c r="C2602" t="inlineStr">
        <is>
          <t>SUP-11</t>
        </is>
      </c>
      <c r="D2602" t="inlineStr">
        <is>
          <t>PPE</t>
        </is>
      </c>
      <c r="E2602" t="inlineStr">
        <is>
          <t>PPE-08</t>
        </is>
      </c>
      <c r="F2602" s="17" t="n">
        <v>45957</v>
      </c>
      <c r="G2602" s="17" t="n">
        <v>45969</v>
      </c>
      <c r="H2602" s="18" t="n">
        <v>13</v>
      </c>
      <c r="I2602" s="19" t="n">
        <v>63.31</v>
      </c>
      <c r="J2602" s="19" t="n">
        <v>64</v>
      </c>
      <c r="K2602" s="20" t="n">
        <v>0</v>
      </c>
      <c r="L2602" s="20" t="n">
        <v>0</v>
      </c>
      <c r="M2602" s="18" t="n">
        <v>13</v>
      </c>
      <c r="N2602" s="18" t="n">
        <v>13</v>
      </c>
      <c r="O2602" s="18" t="n">
        <v>0</v>
      </c>
      <c r="P2602" s="17" t="n">
        <v>45964</v>
      </c>
      <c r="Q2602" s="17" t="n">
        <v>45964</v>
      </c>
      <c r="R2602" s="17" t="n">
        <v>45964</v>
      </c>
      <c r="S2602" s="19">
        <f>H2602*I2602</f>
        <v/>
      </c>
      <c r="T2602" s="19">
        <f>H2602*J2602</f>
        <v/>
      </c>
      <c r="U2602">
        <f>IF(AND(K2602=0,G2602&lt;=Assumptions!$C$6),1,0)</f>
        <v/>
      </c>
      <c r="V2602">
        <f>IF(U2602=1,IF(M2602&gt;0,IF(P2602&lt;=G2602+Assumptions!$C$7,1,0),0),0)</f>
        <v/>
      </c>
      <c r="W2602">
        <f>IF(AND(U2602=1,M2602&gt;=H2602*(1-Assumptions!$C$8)),1,0)</f>
        <v/>
      </c>
      <c r="X2602">
        <f>IF(AND(U2602=1,N2602&gt;=H2602*(1-Assumptions!$C$8)),1,0)</f>
        <v/>
      </c>
      <c r="Y2602">
        <f>IF(ISNUMBER(Q2602),1,0)</f>
        <v/>
      </c>
      <c r="Z2602">
        <f>IF(AND(K2602=0,L2602=0,Y2602=0),1,0)</f>
        <v/>
      </c>
      <c r="AA2602">
        <f>IF(AND(Z2602=1,G2602&lt;Assumptions!$C$6),1,0)</f>
        <v/>
      </c>
      <c r="AB2602">
        <f>IF(U2602=0,"",IF(Y2602=1,MAX(0,Q2602-G2602),IF(L2602=1,MAX(0,R2602-G2602),MAX(0,Assumptions!$C$6-G2602))))</f>
        <v/>
      </c>
      <c r="AC2602">
        <f>IF(Y2602=1,Q2602-F2602,"")</f>
        <v/>
      </c>
      <c r="AD2602">
        <f>IF(Y2602=1,AC2602^2,"")</f>
        <v/>
      </c>
      <c r="AE2602" s="19">
        <f>IF(Z2602=1,(H2602-M2602)*I2602,0)</f>
        <v/>
      </c>
      <c r="AF2602">
        <f>IF(G2602&lt;EDATE(Assumptions!$C$6,-12)+1,"prior_12m","last_12m")</f>
        <v/>
      </c>
      <c r="AG2602" s="21">
        <f>DATE(YEAR(G2602),MONTH(G2602),1)</f>
        <v/>
      </c>
    </row>
    <row r="2603">
      <c r="A2603" t="inlineStr">
        <is>
          <t>SPO-01404-2</t>
        </is>
      </c>
      <c r="B2603" t="inlineStr">
        <is>
          <t>SPO-01404</t>
        </is>
      </c>
      <c r="C2603" t="inlineStr">
        <is>
          <t>SUP-11</t>
        </is>
      </c>
      <c r="D2603" t="inlineStr">
        <is>
          <t>PPE</t>
        </is>
      </c>
      <c r="E2603" t="inlineStr">
        <is>
          <t>PPE-04</t>
        </is>
      </c>
      <c r="F2603" s="17" t="n">
        <v>45957</v>
      </c>
      <c r="G2603" s="17" t="n">
        <v>45969</v>
      </c>
      <c r="H2603" s="18" t="n">
        <v>45</v>
      </c>
      <c r="I2603" s="19" t="n">
        <v>26.72</v>
      </c>
      <c r="J2603" s="19" t="n">
        <v>26</v>
      </c>
      <c r="K2603" s="20" t="n">
        <v>0</v>
      </c>
      <c r="L2603" s="20" t="n">
        <v>0</v>
      </c>
      <c r="M2603" s="18" t="n">
        <v>45</v>
      </c>
      <c r="N2603" s="18" t="n">
        <v>45</v>
      </c>
      <c r="O2603" s="18" t="n">
        <v>0</v>
      </c>
      <c r="P2603" s="17" t="n">
        <v>45968</v>
      </c>
      <c r="Q2603" s="17" t="n">
        <v>45968</v>
      </c>
      <c r="R2603" s="17" t="n">
        <v>45968</v>
      </c>
      <c r="S2603" s="19">
        <f>H2603*I2603</f>
        <v/>
      </c>
      <c r="T2603" s="19">
        <f>H2603*J2603</f>
        <v/>
      </c>
      <c r="U2603">
        <f>IF(AND(K2603=0,G2603&lt;=Assumptions!$C$6),1,0)</f>
        <v/>
      </c>
      <c r="V2603">
        <f>IF(U2603=1,IF(M2603&gt;0,IF(P2603&lt;=G2603+Assumptions!$C$7,1,0),0),0)</f>
        <v/>
      </c>
      <c r="W2603">
        <f>IF(AND(U2603=1,M2603&gt;=H2603*(1-Assumptions!$C$8)),1,0)</f>
        <v/>
      </c>
      <c r="X2603">
        <f>IF(AND(U2603=1,N2603&gt;=H2603*(1-Assumptions!$C$8)),1,0)</f>
        <v/>
      </c>
      <c r="Y2603">
        <f>IF(ISNUMBER(Q2603),1,0)</f>
        <v/>
      </c>
      <c r="Z2603">
        <f>IF(AND(K2603=0,L2603=0,Y2603=0),1,0)</f>
        <v/>
      </c>
      <c r="AA2603">
        <f>IF(AND(Z2603=1,G2603&lt;Assumptions!$C$6),1,0)</f>
        <v/>
      </c>
      <c r="AB2603">
        <f>IF(U2603=0,"",IF(Y2603=1,MAX(0,Q2603-G2603),IF(L2603=1,MAX(0,R2603-G2603),MAX(0,Assumptions!$C$6-G2603))))</f>
        <v/>
      </c>
      <c r="AC2603">
        <f>IF(Y2603=1,Q2603-F2603,"")</f>
        <v/>
      </c>
      <c r="AD2603">
        <f>IF(Y2603=1,AC2603^2,"")</f>
        <v/>
      </c>
      <c r="AE2603" s="19">
        <f>IF(Z2603=1,(H2603-M2603)*I2603,0)</f>
        <v/>
      </c>
      <c r="AF2603">
        <f>IF(G2603&lt;EDATE(Assumptions!$C$6,-12)+1,"prior_12m","last_12m")</f>
        <v/>
      </c>
      <c r="AG2603" s="21">
        <f>DATE(YEAR(G2603),MONTH(G2603),1)</f>
        <v/>
      </c>
    </row>
    <row r="2604">
      <c r="A2604" t="inlineStr">
        <is>
          <t>SPO-01404-3</t>
        </is>
      </c>
      <c r="B2604" t="inlineStr">
        <is>
          <t>SPO-01404</t>
        </is>
      </c>
      <c r="C2604" t="inlineStr">
        <is>
          <t>SUP-11</t>
        </is>
      </c>
      <c r="D2604" t="inlineStr">
        <is>
          <t>PPE</t>
        </is>
      </c>
      <c r="E2604" t="inlineStr">
        <is>
          <t>PPE-01</t>
        </is>
      </c>
      <c r="F2604" s="17" t="n">
        <v>45957</v>
      </c>
      <c r="G2604" s="17" t="n">
        <v>45969</v>
      </c>
      <c r="H2604" s="18" t="n">
        <v>203</v>
      </c>
      <c r="I2604" s="19" t="n">
        <v>4.79</v>
      </c>
      <c r="J2604" s="19" t="n">
        <v>4.8</v>
      </c>
      <c r="K2604" s="20" t="n">
        <v>0</v>
      </c>
      <c r="L2604" s="20" t="n">
        <v>0</v>
      </c>
      <c r="M2604" s="18" t="n">
        <v>203</v>
      </c>
      <c r="N2604" s="18" t="n">
        <v>203</v>
      </c>
      <c r="O2604" s="18" t="n">
        <v>0</v>
      </c>
      <c r="P2604" s="17" t="n">
        <v>45966</v>
      </c>
      <c r="Q2604" s="17" t="n">
        <v>45966</v>
      </c>
      <c r="R2604" s="17" t="n">
        <v>45966</v>
      </c>
      <c r="S2604" s="19">
        <f>H2604*I2604</f>
        <v/>
      </c>
      <c r="T2604" s="19">
        <f>H2604*J2604</f>
        <v/>
      </c>
      <c r="U2604">
        <f>IF(AND(K2604=0,G2604&lt;=Assumptions!$C$6),1,0)</f>
        <v/>
      </c>
      <c r="V2604">
        <f>IF(U2604=1,IF(M2604&gt;0,IF(P2604&lt;=G2604+Assumptions!$C$7,1,0),0),0)</f>
        <v/>
      </c>
      <c r="W2604">
        <f>IF(AND(U2604=1,M2604&gt;=H2604*(1-Assumptions!$C$8)),1,0)</f>
        <v/>
      </c>
      <c r="X2604">
        <f>IF(AND(U2604=1,N2604&gt;=H2604*(1-Assumptions!$C$8)),1,0)</f>
        <v/>
      </c>
      <c r="Y2604">
        <f>IF(ISNUMBER(Q2604),1,0)</f>
        <v/>
      </c>
      <c r="Z2604">
        <f>IF(AND(K2604=0,L2604=0,Y2604=0),1,0)</f>
        <v/>
      </c>
      <c r="AA2604">
        <f>IF(AND(Z2604=1,G2604&lt;Assumptions!$C$6),1,0)</f>
        <v/>
      </c>
      <c r="AB2604">
        <f>IF(U2604=0,"",IF(Y2604=1,MAX(0,Q2604-G2604),IF(L2604=1,MAX(0,R2604-G2604),MAX(0,Assumptions!$C$6-G2604))))</f>
        <v/>
      </c>
      <c r="AC2604">
        <f>IF(Y2604=1,Q2604-F2604,"")</f>
        <v/>
      </c>
      <c r="AD2604">
        <f>IF(Y2604=1,AC2604^2,"")</f>
        <v/>
      </c>
      <c r="AE2604" s="19">
        <f>IF(Z2604=1,(H2604-M2604)*I2604,0)</f>
        <v/>
      </c>
      <c r="AF2604">
        <f>IF(G2604&lt;EDATE(Assumptions!$C$6,-12)+1,"prior_12m","last_12m")</f>
        <v/>
      </c>
      <c r="AG2604" s="21">
        <f>DATE(YEAR(G2604),MONTH(G2604),1)</f>
        <v/>
      </c>
    </row>
    <row r="2605">
      <c r="A2605" t="inlineStr">
        <is>
          <t>SPO-01405-1</t>
        </is>
      </c>
      <c r="B2605" t="inlineStr">
        <is>
          <t>SPO-01405</t>
        </is>
      </c>
      <c r="C2605" t="inlineStr">
        <is>
          <t>SUP-14</t>
        </is>
      </c>
      <c r="D2605" t="inlineStr">
        <is>
          <t>FLEET</t>
        </is>
      </c>
      <c r="E2605" t="inlineStr">
        <is>
          <t>FLEET-03</t>
        </is>
      </c>
      <c r="F2605" s="17" t="n">
        <v>45958</v>
      </c>
      <c r="G2605" s="17" t="n">
        <v>45972</v>
      </c>
      <c r="H2605" s="18" t="n">
        <v>31</v>
      </c>
      <c r="I2605" s="19" t="n">
        <v>21.38</v>
      </c>
      <c r="J2605" s="19" t="n">
        <v>21</v>
      </c>
      <c r="K2605" s="20" t="n">
        <v>0</v>
      </c>
      <c r="L2605" s="20" t="n">
        <v>0</v>
      </c>
      <c r="M2605" s="18" t="n">
        <v>31</v>
      </c>
      <c r="N2605" s="18" t="n">
        <v>31</v>
      </c>
      <c r="O2605" s="18" t="n">
        <v>0</v>
      </c>
      <c r="P2605" s="17" t="n">
        <v>45968</v>
      </c>
      <c r="Q2605" s="17" t="n">
        <v>45968</v>
      </c>
      <c r="R2605" s="17" t="n">
        <v>45968</v>
      </c>
      <c r="S2605" s="19">
        <f>H2605*I2605</f>
        <v/>
      </c>
      <c r="T2605" s="19">
        <f>H2605*J2605</f>
        <v/>
      </c>
      <c r="U2605">
        <f>IF(AND(K2605=0,G2605&lt;=Assumptions!$C$6),1,0)</f>
        <v/>
      </c>
      <c r="V2605">
        <f>IF(U2605=1,IF(M2605&gt;0,IF(P2605&lt;=G2605+Assumptions!$C$7,1,0),0),0)</f>
        <v/>
      </c>
      <c r="W2605">
        <f>IF(AND(U2605=1,M2605&gt;=H2605*(1-Assumptions!$C$8)),1,0)</f>
        <v/>
      </c>
      <c r="X2605">
        <f>IF(AND(U2605=1,N2605&gt;=H2605*(1-Assumptions!$C$8)),1,0)</f>
        <v/>
      </c>
      <c r="Y2605">
        <f>IF(ISNUMBER(Q2605),1,0)</f>
        <v/>
      </c>
      <c r="Z2605">
        <f>IF(AND(K2605=0,L2605=0,Y2605=0),1,0)</f>
        <v/>
      </c>
      <c r="AA2605">
        <f>IF(AND(Z2605=1,G2605&lt;Assumptions!$C$6),1,0)</f>
        <v/>
      </c>
      <c r="AB2605">
        <f>IF(U2605=0,"",IF(Y2605=1,MAX(0,Q2605-G2605),IF(L2605=1,MAX(0,R2605-G2605),MAX(0,Assumptions!$C$6-G2605))))</f>
        <v/>
      </c>
      <c r="AC2605">
        <f>IF(Y2605=1,Q2605-F2605,"")</f>
        <v/>
      </c>
      <c r="AD2605">
        <f>IF(Y2605=1,AC2605^2,"")</f>
        <v/>
      </c>
      <c r="AE2605" s="19">
        <f>IF(Z2605=1,(H2605-M2605)*I2605,0)</f>
        <v/>
      </c>
      <c r="AF2605">
        <f>IF(G2605&lt;EDATE(Assumptions!$C$6,-12)+1,"prior_12m","last_12m")</f>
        <v/>
      </c>
      <c r="AG2605" s="21">
        <f>DATE(YEAR(G2605),MONTH(G2605),1)</f>
        <v/>
      </c>
    </row>
    <row r="2606">
      <c r="A2606" t="inlineStr">
        <is>
          <t>SPO-01406-1</t>
        </is>
      </c>
      <c r="B2606" t="inlineStr">
        <is>
          <t>SPO-01406</t>
        </is>
      </c>
      <c r="C2606" t="inlineStr">
        <is>
          <t>SUP-10</t>
        </is>
      </c>
      <c r="D2606" t="inlineStr">
        <is>
          <t>PPE</t>
        </is>
      </c>
      <c r="E2606" t="inlineStr">
        <is>
          <t>PPE-01</t>
        </is>
      </c>
      <c r="F2606" s="17" t="n">
        <v>45958</v>
      </c>
      <c r="G2606" s="17" t="n">
        <v>45971</v>
      </c>
      <c r="H2606" s="18" t="n">
        <v>435</v>
      </c>
      <c r="I2606" s="19" t="n">
        <v>4.99</v>
      </c>
      <c r="J2606" s="19" t="n">
        <v>4.8</v>
      </c>
      <c r="K2606" s="20" t="n">
        <v>0</v>
      </c>
      <c r="L2606" s="20" t="n">
        <v>0</v>
      </c>
      <c r="M2606" s="18" t="n">
        <v>435</v>
      </c>
      <c r="N2606" s="18" t="n">
        <v>435</v>
      </c>
      <c r="O2606" s="18" t="n">
        <v>0</v>
      </c>
      <c r="P2606" s="17" t="n">
        <v>45970</v>
      </c>
      <c r="Q2606" s="17" t="n">
        <v>45970</v>
      </c>
      <c r="R2606" s="17" t="n">
        <v>45970</v>
      </c>
      <c r="S2606" s="19">
        <f>H2606*I2606</f>
        <v/>
      </c>
      <c r="T2606" s="19">
        <f>H2606*J2606</f>
        <v/>
      </c>
      <c r="U2606">
        <f>IF(AND(K2606=0,G2606&lt;=Assumptions!$C$6),1,0)</f>
        <v/>
      </c>
      <c r="V2606">
        <f>IF(U2606=1,IF(M2606&gt;0,IF(P2606&lt;=G2606+Assumptions!$C$7,1,0),0),0)</f>
        <v/>
      </c>
      <c r="W2606">
        <f>IF(AND(U2606=1,M2606&gt;=H2606*(1-Assumptions!$C$8)),1,0)</f>
        <v/>
      </c>
      <c r="X2606">
        <f>IF(AND(U2606=1,N2606&gt;=H2606*(1-Assumptions!$C$8)),1,0)</f>
        <v/>
      </c>
      <c r="Y2606">
        <f>IF(ISNUMBER(Q2606),1,0)</f>
        <v/>
      </c>
      <c r="Z2606">
        <f>IF(AND(K2606=0,L2606=0,Y2606=0),1,0)</f>
        <v/>
      </c>
      <c r="AA2606">
        <f>IF(AND(Z2606=1,G2606&lt;Assumptions!$C$6),1,0)</f>
        <v/>
      </c>
      <c r="AB2606">
        <f>IF(U2606=0,"",IF(Y2606=1,MAX(0,Q2606-G2606),IF(L2606=1,MAX(0,R2606-G2606),MAX(0,Assumptions!$C$6-G2606))))</f>
        <v/>
      </c>
      <c r="AC2606">
        <f>IF(Y2606=1,Q2606-F2606,"")</f>
        <v/>
      </c>
      <c r="AD2606">
        <f>IF(Y2606=1,AC2606^2,"")</f>
        <v/>
      </c>
      <c r="AE2606" s="19">
        <f>IF(Z2606=1,(H2606-M2606)*I2606,0)</f>
        <v/>
      </c>
      <c r="AF2606">
        <f>IF(G2606&lt;EDATE(Assumptions!$C$6,-12)+1,"prior_12m","last_12m")</f>
        <v/>
      </c>
      <c r="AG2606" s="21">
        <f>DATE(YEAR(G2606),MONTH(G2606),1)</f>
        <v/>
      </c>
    </row>
    <row r="2607">
      <c r="A2607" t="inlineStr">
        <is>
          <t>SPO-01406-2</t>
        </is>
      </c>
      <c r="B2607" t="inlineStr">
        <is>
          <t>SPO-01406</t>
        </is>
      </c>
      <c r="C2607" t="inlineStr">
        <is>
          <t>SUP-10</t>
        </is>
      </c>
      <c r="D2607" t="inlineStr">
        <is>
          <t>PPE</t>
        </is>
      </c>
      <c r="E2607" t="inlineStr">
        <is>
          <t>PPE-03</t>
        </is>
      </c>
      <c r="F2607" s="17" t="n">
        <v>45958</v>
      </c>
      <c r="G2607" s="17" t="n">
        <v>45971</v>
      </c>
      <c r="H2607" s="18" t="n">
        <v>101</v>
      </c>
      <c r="I2607" s="19" t="n">
        <v>19.87</v>
      </c>
      <c r="J2607" s="19" t="n">
        <v>21</v>
      </c>
      <c r="K2607" s="20" t="n">
        <v>0</v>
      </c>
      <c r="L2607" s="20" t="n">
        <v>0</v>
      </c>
      <c r="M2607" s="18" t="n">
        <v>101</v>
      </c>
      <c r="N2607" s="18" t="n">
        <v>101</v>
      </c>
      <c r="O2607" s="18" t="n">
        <v>8</v>
      </c>
      <c r="P2607" s="17" t="n">
        <v>45967</v>
      </c>
      <c r="Q2607" s="17" t="n">
        <v>45967</v>
      </c>
      <c r="R2607" s="17" t="n">
        <v>45967</v>
      </c>
      <c r="S2607" s="19">
        <f>H2607*I2607</f>
        <v/>
      </c>
      <c r="T2607" s="19">
        <f>H2607*J2607</f>
        <v/>
      </c>
      <c r="U2607">
        <f>IF(AND(K2607=0,G2607&lt;=Assumptions!$C$6),1,0)</f>
        <v/>
      </c>
      <c r="V2607">
        <f>IF(U2607=1,IF(M2607&gt;0,IF(P2607&lt;=G2607+Assumptions!$C$7,1,0),0),0)</f>
        <v/>
      </c>
      <c r="W2607">
        <f>IF(AND(U2607=1,M2607&gt;=H2607*(1-Assumptions!$C$8)),1,0)</f>
        <v/>
      </c>
      <c r="X2607">
        <f>IF(AND(U2607=1,N2607&gt;=H2607*(1-Assumptions!$C$8)),1,0)</f>
        <v/>
      </c>
      <c r="Y2607">
        <f>IF(ISNUMBER(Q2607),1,0)</f>
        <v/>
      </c>
      <c r="Z2607">
        <f>IF(AND(K2607=0,L2607=0,Y2607=0),1,0)</f>
        <v/>
      </c>
      <c r="AA2607">
        <f>IF(AND(Z2607=1,G2607&lt;Assumptions!$C$6),1,0)</f>
        <v/>
      </c>
      <c r="AB2607">
        <f>IF(U2607=0,"",IF(Y2607=1,MAX(0,Q2607-G2607),IF(L2607=1,MAX(0,R2607-G2607),MAX(0,Assumptions!$C$6-G2607))))</f>
        <v/>
      </c>
      <c r="AC2607">
        <f>IF(Y2607=1,Q2607-F2607,"")</f>
        <v/>
      </c>
      <c r="AD2607">
        <f>IF(Y2607=1,AC2607^2,"")</f>
        <v/>
      </c>
      <c r="AE2607" s="19">
        <f>IF(Z2607=1,(H2607-M2607)*I2607,0)</f>
        <v/>
      </c>
      <c r="AF2607">
        <f>IF(G2607&lt;EDATE(Assumptions!$C$6,-12)+1,"prior_12m","last_12m")</f>
        <v/>
      </c>
      <c r="AG2607" s="21">
        <f>DATE(YEAR(G2607),MONTH(G2607),1)</f>
        <v/>
      </c>
    </row>
    <row r="2608">
      <c r="A2608" t="inlineStr">
        <is>
          <t>SPO-01407-1</t>
        </is>
      </c>
      <c r="B2608" t="inlineStr">
        <is>
          <t>SPO-01407</t>
        </is>
      </c>
      <c r="C2608" t="inlineStr">
        <is>
          <t>SUP-12</t>
        </is>
      </c>
      <c r="D2608" t="inlineStr">
        <is>
          <t>IT</t>
        </is>
      </c>
      <c r="E2608" t="inlineStr">
        <is>
          <t>IT-03</t>
        </is>
      </c>
      <c r="F2608" s="17" t="n">
        <v>45958</v>
      </c>
      <c r="G2608" s="17" t="n">
        <v>45968</v>
      </c>
      <c r="H2608" s="18" t="n">
        <v>68</v>
      </c>
      <c r="I2608" s="19" t="n">
        <v>43.01</v>
      </c>
      <c r="J2608" s="19" t="n">
        <v>38</v>
      </c>
      <c r="K2608" s="20" t="n">
        <v>0</v>
      </c>
      <c r="L2608" s="20" t="n">
        <v>0</v>
      </c>
      <c r="M2608" s="18" t="n">
        <v>68</v>
      </c>
      <c r="N2608" s="18" t="n">
        <v>68</v>
      </c>
      <c r="O2608" s="18" t="n">
        <v>0</v>
      </c>
      <c r="P2608" s="17" t="n">
        <v>45965</v>
      </c>
      <c r="Q2608" s="17" t="n">
        <v>45965</v>
      </c>
      <c r="R2608" s="17" t="n">
        <v>45965</v>
      </c>
      <c r="S2608" s="19">
        <f>H2608*I2608</f>
        <v/>
      </c>
      <c r="T2608" s="19">
        <f>H2608*J2608</f>
        <v/>
      </c>
      <c r="U2608">
        <f>IF(AND(K2608=0,G2608&lt;=Assumptions!$C$6),1,0)</f>
        <v/>
      </c>
      <c r="V2608">
        <f>IF(U2608=1,IF(M2608&gt;0,IF(P2608&lt;=G2608+Assumptions!$C$7,1,0),0),0)</f>
        <v/>
      </c>
      <c r="W2608">
        <f>IF(AND(U2608=1,M2608&gt;=H2608*(1-Assumptions!$C$8)),1,0)</f>
        <v/>
      </c>
      <c r="X2608">
        <f>IF(AND(U2608=1,N2608&gt;=H2608*(1-Assumptions!$C$8)),1,0)</f>
        <v/>
      </c>
      <c r="Y2608">
        <f>IF(ISNUMBER(Q2608),1,0)</f>
        <v/>
      </c>
      <c r="Z2608">
        <f>IF(AND(K2608=0,L2608=0,Y2608=0),1,0)</f>
        <v/>
      </c>
      <c r="AA2608">
        <f>IF(AND(Z2608=1,G2608&lt;Assumptions!$C$6),1,0)</f>
        <v/>
      </c>
      <c r="AB2608">
        <f>IF(U2608=0,"",IF(Y2608=1,MAX(0,Q2608-G2608),IF(L2608=1,MAX(0,R2608-G2608),MAX(0,Assumptions!$C$6-G2608))))</f>
        <v/>
      </c>
      <c r="AC2608">
        <f>IF(Y2608=1,Q2608-F2608,"")</f>
        <v/>
      </c>
      <c r="AD2608">
        <f>IF(Y2608=1,AC2608^2,"")</f>
        <v/>
      </c>
      <c r="AE2608" s="19">
        <f>IF(Z2608=1,(H2608-M2608)*I2608,0)</f>
        <v/>
      </c>
      <c r="AF2608">
        <f>IF(G2608&lt;EDATE(Assumptions!$C$6,-12)+1,"prior_12m","last_12m")</f>
        <v/>
      </c>
      <c r="AG2608" s="21">
        <f>DATE(YEAR(G2608),MONTH(G2608),1)</f>
        <v/>
      </c>
    </row>
    <row r="2609">
      <c r="A2609" t="inlineStr">
        <is>
          <t>SPO-01408-1</t>
        </is>
      </c>
      <c r="B2609" t="inlineStr">
        <is>
          <t>SPO-01408</t>
        </is>
      </c>
      <c r="C2609" t="inlineStr">
        <is>
          <t>SUP-05</t>
        </is>
      </c>
      <c r="D2609" t="inlineStr">
        <is>
          <t>FLEET</t>
        </is>
      </c>
      <c r="E2609" t="inlineStr">
        <is>
          <t>FLEET-02</t>
        </is>
      </c>
      <c r="F2609" s="17" t="n">
        <v>45958</v>
      </c>
      <c r="G2609" s="17" t="n">
        <v>45972</v>
      </c>
      <c r="H2609" s="18" t="n">
        <v>179</v>
      </c>
      <c r="I2609" s="19" t="n">
        <v>7.73</v>
      </c>
      <c r="J2609" s="19" t="n">
        <v>7.5</v>
      </c>
      <c r="K2609" s="20" t="n">
        <v>0</v>
      </c>
      <c r="L2609" s="20" t="n">
        <v>0</v>
      </c>
      <c r="M2609" s="18" t="n">
        <v>179</v>
      </c>
      <c r="N2609" s="18" t="n">
        <v>179</v>
      </c>
      <c r="O2609" s="18" t="n">
        <v>0</v>
      </c>
      <c r="P2609" s="17" t="n">
        <v>45968</v>
      </c>
      <c r="Q2609" s="17" t="n">
        <v>45968</v>
      </c>
      <c r="R2609" s="17" t="n">
        <v>45968</v>
      </c>
      <c r="S2609" s="19">
        <f>H2609*I2609</f>
        <v/>
      </c>
      <c r="T2609" s="19">
        <f>H2609*J2609</f>
        <v/>
      </c>
      <c r="U2609">
        <f>IF(AND(K2609=0,G2609&lt;=Assumptions!$C$6),1,0)</f>
        <v/>
      </c>
      <c r="V2609">
        <f>IF(U2609=1,IF(M2609&gt;0,IF(P2609&lt;=G2609+Assumptions!$C$7,1,0),0),0)</f>
        <v/>
      </c>
      <c r="W2609">
        <f>IF(AND(U2609=1,M2609&gt;=H2609*(1-Assumptions!$C$8)),1,0)</f>
        <v/>
      </c>
      <c r="X2609">
        <f>IF(AND(U2609=1,N2609&gt;=H2609*(1-Assumptions!$C$8)),1,0)</f>
        <v/>
      </c>
      <c r="Y2609">
        <f>IF(ISNUMBER(Q2609),1,0)</f>
        <v/>
      </c>
      <c r="Z2609">
        <f>IF(AND(K2609=0,L2609=0,Y2609=0),1,0)</f>
        <v/>
      </c>
      <c r="AA2609">
        <f>IF(AND(Z2609=1,G2609&lt;Assumptions!$C$6),1,0)</f>
        <v/>
      </c>
      <c r="AB2609">
        <f>IF(U2609=0,"",IF(Y2609=1,MAX(0,Q2609-G2609),IF(L2609=1,MAX(0,R2609-G2609),MAX(0,Assumptions!$C$6-G2609))))</f>
        <v/>
      </c>
      <c r="AC2609">
        <f>IF(Y2609=1,Q2609-F2609,"")</f>
        <v/>
      </c>
      <c r="AD2609">
        <f>IF(Y2609=1,AC2609^2,"")</f>
        <v/>
      </c>
      <c r="AE2609" s="19">
        <f>IF(Z2609=1,(H2609-M2609)*I2609,0)</f>
        <v/>
      </c>
      <c r="AF2609">
        <f>IF(G2609&lt;EDATE(Assumptions!$C$6,-12)+1,"prior_12m","last_12m")</f>
        <v/>
      </c>
      <c r="AG2609" s="21">
        <f>DATE(YEAR(G2609),MONTH(G2609),1)</f>
        <v/>
      </c>
    </row>
    <row r="2610">
      <c r="A2610" t="inlineStr">
        <is>
          <t>SPO-01408-2</t>
        </is>
      </c>
      <c r="B2610" t="inlineStr">
        <is>
          <t>SPO-01408</t>
        </is>
      </c>
      <c r="C2610" t="inlineStr">
        <is>
          <t>SUP-05</t>
        </is>
      </c>
      <c r="D2610" t="inlineStr">
        <is>
          <t>FLEET</t>
        </is>
      </c>
      <c r="E2610" t="inlineStr">
        <is>
          <t>FLEET-04</t>
        </is>
      </c>
      <c r="F2610" s="17" t="n">
        <v>45958</v>
      </c>
      <c r="G2610" s="17" t="n">
        <v>45972</v>
      </c>
      <c r="H2610" s="18" t="n">
        <v>262</v>
      </c>
      <c r="I2610" s="19" t="n">
        <v>9.66</v>
      </c>
      <c r="J2610" s="19" t="n">
        <v>9</v>
      </c>
      <c r="K2610" s="20" t="n">
        <v>0</v>
      </c>
      <c r="L2610" s="20" t="n">
        <v>0</v>
      </c>
      <c r="M2610" s="18" t="n">
        <v>262</v>
      </c>
      <c r="N2610" s="18" t="n">
        <v>262</v>
      </c>
      <c r="O2610" s="18" t="n">
        <v>0</v>
      </c>
      <c r="P2610" s="17" t="n">
        <v>45967</v>
      </c>
      <c r="Q2610" s="17" t="n">
        <v>45967</v>
      </c>
      <c r="R2610" s="17" t="n">
        <v>45967</v>
      </c>
      <c r="S2610" s="19">
        <f>H2610*I2610</f>
        <v/>
      </c>
      <c r="T2610" s="19">
        <f>H2610*J2610</f>
        <v/>
      </c>
      <c r="U2610">
        <f>IF(AND(K2610=0,G2610&lt;=Assumptions!$C$6),1,0)</f>
        <v/>
      </c>
      <c r="V2610">
        <f>IF(U2610=1,IF(M2610&gt;0,IF(P2610&lt;=G2610+Assumptions!$C$7,1,0),0),0)</f>
        <v/>
      </c>
      <c r="W2610">
        <f>IF(AND(U2610=1,M2610&gt;=H2610*(1-Assumptions!$C$8)),1,0)</f>
        <v/>
      </c>
      <c r="X2610">
        <f>IF(AND(U2610=1,N2610&gt;=H2610*(1-Assumptions!$C$8)),1,0)</f>
        <v/>
      </c>
      <c r="Y2610">
        <f>IF(ISNUMBER(Q2610),1,0)</f>
        <v/>
      </c>
      <c r="Z2610">
        <f>IF(AND(K2610=0,L2610=0,Y2610=0),1,0)</f>
        <v/>
      </c>
      <c r="AA2610">
        <f>IF(AND(Z2610=1,G2610&lt;Assumptions!$C$6),1,0)</f>
        <v/>
      </c>
      <c r="AB2610">
        <f>IF(U2610=0,"",IF(Y2610=1,MAX(0,Q2610-G2610),IF(L2610=1,MAX(0,R2610-G2610),MAX(0,Assumptions!$C$6-G2610))))</f>
        <v/>
      </c>
      <c r="AC2610">
        <f>IF(Y2610=1,Q2610-F2610,"")</f>
        <v/>
      </c>
      <c r="AD2610">
        <f>IF(Y2610=1,AC2610^2,"")</f>
        <v/>
      </c>
      <c r="AE2610" s="19">
        <f>IF(Z2610=1,(H2610-M2610)*I2610,0)</f>
        <v/>
      </c>
      <c r="AF2610">
        <f>IF(G2610&lt;EDATE(Assumptions!$C$6,-12)+1,"prior_12m","last_12m")</f>
        <v/>
      </c>
      <c r="AG2610" s="21">
        <f>DATE(YEAR(G2610),MONTH(G2610),1)</f>
        <v/>
      </c>
    </row>
    <row r="2611">
      <c r="A2611" t="inlineStr">
        <is>
          <t>SPO-01408-3</t>
        </is>
      </c>
      <c r="B2611" t="inlineStr">
        <is>
          <t>SPO-01408</t>
        </is>
      </c>
      <c r="C2611" t="inlineStr">
        <is>
          <t>SUP-05</t>
        </is>
      </c>
      <c r="D2611" t="inlineStr">
        <is>
          <t>FLEET</t>
        </is>
      </c>
      <c r="E2611" t="inlineStr">
        <is>
          <t>FLEET-05</t>
        </is>
      </c>
      <c r="F2611" s="17" t="n">
        <v>45958</v>
      </c>
      <c r="G2611" s="17" t="n">
        <v>45972</v>
      </c>
      <c r="H2611" s="18" t="n">
        <v>6</v>
      </c>
      <c r="I2611" s="19" t="n">
        <v>167.68</v>
      </c>
      <c r="J2611" s="19" t="n">
        <v>168</v>
      </c>
      <c r="K2611" s="20" t="n">
        <v>0</v>
      </c>
      <c r="L2611" s="20" t="n">
        <v>0</v>
      </c>
      <c r="M2611" s="18" t="n">
        <v>6</v>
      </c>
      <c r="N2611" s="18" t="n">
        <v>6</v>
      </c>
      <c r="O2611" s="18" t="n">
        <v>0</v>
      </c>
      <c r="P2611" s="17" t="n">
        <v>45968</v>
      </c>
      <c r="Q2611" s="17" t="n">
        <v>45968</v>
      </c>
      <c r="R2611" s="17" t="n">
        <v>45968</v>
      </c>
      <c r="S2611" s="19">
        <f>H2611*I2611</f>
        <v/>
      </c>
      <c r="T2611" s="19">
        <f>H2611*J2611</f>
        <v/>
      </c>
      <c r="U2611">
        <f>IF(AND(K2611=0,G2611&lt;=Assumptions!$C$6),1,0)</f>
        <v/>
      </c>
      <c r="V2611">
        <f>IF(U2611=1,IF(M2611&gt;0,IF(P2611&lt;=G2611+Assumptions!$C$7,1,0),0),0)</f>
        <v/>
      </c>
      <c r="W2611">
        <f>IF(AND(U2611=1,M2611&gt;=H2611*(1-Assumptions!$C$8)),1,0)</f>
        <v/>
      </c>
      <c r="X2611">
        <f>IF(AND(U2611=1,N2611&gt;=H2611*(1-Assumptions!$C$8)),1,0)</f>
        <v/>
      </c>
      <c r="Y2611">
        <f>IF(ISNUMBER(Q2611),1,0)</f>
        <v/>
      </c>
      <c r="Z2611">
        <f>IF(AND(K2611=0,L2611=0,Y2611=0),1,0)</f>
        <v/>
      </c>
      <c r="AA2611">
        <f>IF(AND(Z2611=1,G2611&lt;Assumptions!$C$6),1,0)</f>
        <v/>
      </c>
      <c r="AB2611">
        <f>IF(U2611=0,"",IF(Y2611=1,MAX(0,Q2611-G2611),IF(L2611=1,MAX(0,R2611-G2611),MAX(0,Assumptions!$C$6-G2611))))</f>
        <v/>
      </c>
      <c r="AC2611">
        <f>IF(Y2611=1,Q2611-F2611,"")</f>
        <v/>
      </c>
      <c r="AD2611">
        <f>IF(Y2611=1,AC2611^2,"")</f>
        <v/>
      </c>
      <c r="AE2611" s="19">
        <f>IF(Z2611=1,(H2611-M2611)*I2611,0)</f>
        <v/>
      </c>
      <c r="AF2611">
        <f>IF(G2611&lt;EDATE(Assumptions!$C$6,-12)+1,"prior_12m","last_12m")</f>
        <v/>
      </c>
      <c r="AG2611" s="21">
        <f>DATE(YEAR(G2611),MONTH(G2611),1)</f>
        <v/>
      </c>
    </row>
    <row r="2612">
      <c r="A2612" t="inlineStr">
        <is>
          <t>SPO-01409-1</t>
        </is>
      </c>
      <c r="B2612" t="inlineStr">
        <is>
          <t>SPO-01409</t>
        </is>
      </c>
      <c r="C2612" t="inlineStr">
        <is>
          <t>SUP-12</t>
        </is>
      </c>
      <c r="D2612" t="inlineStr">
        <is>
          <t>IT</t>
        </is>
      </c>
      <c r="E2612" t="inlineStr">
        <is>
          <t>IT-08</t>
        </is>
      </c>
      <c r="F2612" s="17" t="n">
        <v>45959</v>
      </c>
      <c r="G2612" s="17" t="n">
        <v>45969</v>
      </c>
      <c r="H2612" s="18" t="n">
        <v>3</v>
      </c>
      <c r="I2612" s="19" t="n">
        <v>279.34</v>
      </c>
      <c r="J2612" s="19" t="n">
        <v>245</v>
      </c>
      <c r="K2612" s="20" t="n">
        <v>0</v>
      </c>
      <c r="L2612" s="20" t="n">
        <v>0</v>
      </c>
      <c r="M2612" s="18" t="n">
        <v>3</v>
      </c>
      <c r="N2612" s="18" t="n">
        <v>3</v>
      </c>
      <c r="O2612" s="18" t="n">
        <v>0</v>
      </c>
      <c r="P2612" s="17" t="n">
        <v>45966</v>
      </c>
      <c r="Q2612" s="17" t="n">
        <v>45966</v>
      </c>
      <c r="R2612" s="17" t="n">
        <v>45966</v>
      </c>
      <c r="S2612" s="19">
        <f>H2612*I2612</f>
        <v/>
      </c>
      <c r="T2612" s="19">
        <f>H2612*J2612</f>
        <v/>
      </c>
      <c r="U2612">
        <f>IF(AND(K2612=0,G2612&lt;=Assumptions!$C$6),1,0)</f>
        <v/>
      </c>
      <c r="V2612">
        <f>IF(U2612=1,IF(M2612&gt;0,IF(P2612&lt;=G2612+Assumptions!$C$7,1,0),0),0)</f>
        <v/>
      </c>
      <c r="W2612">
        <f>IF(AND(U2612=1,M2612&gt;=H2612*(1-Assumptions!$C$8)),1,0)</f>
        <v/>
      </c>
      <c r="X2612">
        <f>IF(AND(U2612=1,N2612&gt;=H2612*(1-Assumptions!$C$8)),1,0)</f>
        <v/>
      </c>
      <c r="Y2612">
        <f>IF(ISNUMBER(Q2612),1,0)</f>
        <v/>
      </c>
      <c r="Z2612">
        <f>IF(AND(K2612=0,L2612=0,Y2612=0),1,0)</f>
        <v/>
      </c>
      <c r="AA2612">
        <f>IF(AND(Z2612=1,G2612&lt;Assumptions!$C$6),1,0)</f>
        <v/>
      </c>
      <c r="AB2612">
        <f>IF(U2612=0,"",IF(Y2612=1,MAX(0,Q2612-G2612),IF(L2612=1,MAX(0,R2612-G2612),MAX(0,Assumptions!$C$6-G2612))))</f>
        <v/>
      </c>
      <c r="AC2612">
        <f>IF(Y2612=1,Q2612-F2612,"")</f>
        <v/>
      </c>
      <c r="AD2612">
        <f>IF(Y2612=1,AC2612^2,"")</f>
        <v/>
      </c>
      <c r="AE2612" s="19">
        <f>IF(Z2612=1,(H2612-M2612)*I2612,0)</f>
        <v/>
      </c>
      <c r="AF2612">
        <f>IF(G2612&lt;EDATE(Assumptions!$C$6,-12)+1,"prior_12m","last_12m")</f>
        <v/>
      </c>
      <c r="AG2612" s="21">
        <f>DATE(YEAR(G2612),MONTH(G2612),1)</f>
        <v/>
      </c>
    </row>
    <row r="2613">
      <c r="A2613" t="inlineStr">
        <is>
          <t>SPO-01409-2</t>
        </is>
      </c>
      <c r="B2613" t="inlineStr">
        <is>
          <t>SPO-01409</t>
        </is>
      </c>
      <c r="C2613" t="inlineStr">
        <is>
          <t>SUP-12</t>
        </is>
      </c>
      <c r="D2613" t="inlineStr">
        <is>
          <t>IT</t>
        </is>
      </c>
      <c r="E2613" t="inlineStr">
        <is>
          <t>IT-05</t>
        </is>
      </c>
      <c r="F2613" s="17" t="n">
        <v>45959</v>
      </c>
      <c r="G2613" s="17" t="n">
        <v>45969</v>
      </c>
      <c r="H2613" s="18" t="n">
        <v>2</v>
      </c>
      <c r="I2613" s="19" t="n">
        <v>710.71</v>
      </c>
      <c r="J2613" s="19" t="n">
        <v>640</v>
      </c>
      <c r="K2613" s="20" t="n">
        <v>0</v>
      </c>
      <c r="L2613" s="20" t="n">
        <v>0</v>
      </c>
      <c r="M2613" s="18" t="n">
        <v>2</v>
      </c>
      <c r="N2613" s="18" t="n">
        <v>0</v>
      </c>
      <c r="O2613" s="18" t="n">
        <v>0</v>
      </c>
      <c r="P2613" s="17" t="n">
        <v>45970</v>
      </c>
      <c r="Q2613" s="17" t="n">
        <v>45970</v>
      </c>
      <c r="R2613" s="17" t="n">
        <v>45970</v>
      </c>
      <c r="S2613" s="19">
        <f>H2613*I2613</f>
        <v/>
      </c>
      <c r="T2613" s="19">
        <f>H2613*J2613</f>
        <v/>
      </c>
      <c r="U2613">
        <f>IF(AND(K2613=0,G2613&lt;=Assumptions!$C$6),1,0)</f>
        <v/>
      </c>
      <c r="V2613">
        <f>IF(U2613=1,IF(M2613&gt;0,IF(P2613&lt;=G2613+Assumptions!$C$7,1,0),0),0)</f>
        <v/>
      </c>
      <c r="W2613">
        <f>IF(AND(U2613=1,M2613&gt;=H2613*(1-Assumptions!$C$8)),1,0)</f>
        <v/>
      </c>
      <c r="X2613">
        <f>IF(AND(U2613=1,N2613&gt;=H2613*(1-Assumptions!$C$8)),1,0)</f>
        <v/>
      </c>
      <c r="Y2613">
        <f>IF(ISNUMBER(Q2613),1,0)</f>
        <v/>
      </c>
      <c r="Z2613">
        <f>IF(AND(K2613=0,L2613=0,Y2613=0),1,0)</f>
        <v/>
      </c>
      <c r="AA2613">
        <f>IF(AND(Z2613=1,G2613&lt;Assumptions!$C$6),1,0)</f>
        <v/>
      </c>
      <c r="AB2613">
        <f>IF(U2613=0,"",IF(Y2613=1,MAX(0,Q2613-G2613),IF(L2613=1,MAX(0,R2613-G2613),MAX(0,Assumptions!$C$6-G2613))))</f>
        <v/>
      </c>
      <c r="AC2613">
        <f>IF(Y2613=1,Q2613-F2613,"")</f>
        <v/>
      </c>
      <c r="AD2613">
        <f>IF(Y2613=1,AC2613^2,"")</f>
        <v/>
      </c>
      <c r="AE2613" s="19">
        <f>IF(Z2613=1,(H2613-M2613)*I2613,0)</f>
        <v/>
      </c>
      <c r="AF2613">
        <f>IF(G2613&lt;EDATE(Assumptions!$C$6,-12)+1,"prior_12m","last_12m")</f>
        <v/>
      </c>
      <c r="AG2613" s="21">
        <f>DATE(YEAR(G2613),MONTH(G2613),1)</f>
        <v/>
      </c>
    </row>
    <row r="2614">
      <c r="A2614" t="inlineStr">
        <is>
          <t>SPO-01410-1</t>
        </is>
      </c>
      <c r="B2614" t="inlineStr">
        <is>
          <t>SPO-01410</t>
        </is>
      </c>
      <c r="C2614" t="inlineStr">
        <is>
          <t>SUP-12</t>
        </is>
      </c>
      <c r="D2614" t="inlineStr">
        <is>
          <t>IT</t>
        </is>
      </c>
      <c r="E2614" t="inlineStr">
        <is>
          <t>IT-04</t>
        </is>
      </c>
      <c r="F2614" s="17" t="n">
        <v>45959</v>
      </c>
      <c r="G2614" s="17" t="n">
        <v>45969</v>
      </c>
      <c r="H2614" s="18" t="n">
        <v>120</v>
      </c>
      <c r="I2614" s="19" t="n">
        <v>14.12</v>
      </c>
      <c r="J2614" s="19" t="n">
        <v>12</v>
      </c>
      <c r="K2614" s="20" t="n">
        <v>0</v>
      </c>
      <c r="L2614" s="20" t="n">
        <v>0</v>
      </c>
      <c r="M2614" s="18" t="n">
        <v>120</v>
      </c>
      <c r="N2614" s="18" t="n">
        <v>0</v>
      </c>
      <c r="O2614" s="18" t="n">
        <v>0</v>
      </c>
      <c r="P2614" s="17" t="n">
        <v>45971</v>
      </c>
      <c r="Q2614" s="17" t="n">
        <v>45971</v>
      </c>
      <c r="R2614" s="17" t="n">
        <v>45971</v>
      </c>
      <c r="S2614" s="19">
        <f>H2614*I2614</f>
        <v/>
      </c>
      <c r="T2614" s="19">
        <f>H2614*J2614</f>
        <v/>
      </c>
      <c r="U2614">
        <f>IF(AND(K2614=0,G2614&lt;=Assumptions!$C$6),1,0)</f>
        <v/>
      </c>
      <c r="V2614">
        <f>IF(U2614=1,IF(M2614&gt;0,IF(P2614&lt;=G2614+Assumptions!$C$7,1,0),0),0)</f>
        <v/>
      </c>
      <c r="W2614">
        <f>IF(AND(U2614=1,M2614&gt;=H2614*(1-Assumptions!$C$8)),1,0)</f>
        <v/>
      </c>
      <c r="X2614">
        <f>IF(AND(U2614=1,N2614&gt;=H2614*(1-Assumptions!$C$8)),1,0)</f>
        <v/>
      </c>
      <c r="Y2614">
        <f>IF(ISNUMBER(Q2614),1,0)</f>
        <v/>
      </c>
      <c r="Z2614">
        <f>IF(AND(K2614=0,L2614=0,Y2614=0),1,0)</f>
        <v/>
      </c>
      <c r="AA2614">
        <f>IF(AND(Z2614=1,G2614&lt;Assumptions!$C$6),1,0)</f>
        <v/>
      </c>
      <c r="AB2614">
        <f>IF(U2614=0,"",IF(Y2614=1,MAX(0,Q2614-G2614),IF(L2614=1,MAX(0,R2614-G2614),MAX(0,Assumptions!$C$6-G2614))))</f>
        <v/>
      </c>
      <c r="AC2614">
        <f>IF(Y2614=1,Q2614-F2614,"")</f>
        <v/>
      </c>
      <c r="AD2614">
        <f>IF(Y2614=1,AC2614^2,"")</f>
        <v/>
      </c>
      <c r="AE2614" s="19">
        <f>IF(Z2614=1,(H2614-M2614)*I2614,0)</f>
        <v/>
      </c>
      <c r="AF2614">
        <f>IF(G2614&lt;EDATE(Assumptions!$C$6,-12)+1,"prior_12m","last_12m")</f>
        <v/>
      </c>
      <c r="AG2614" s="21">
        <f>DATE(YEAR(G2614),MONTH(G2614),1)</f>
        <v/>
      </c>
    </row>
    <row r="2615">
      <c r="A2615" t="inlineStr">
        <is>
          <t>SPO-01410-2</t>
        </is>
      </c>
      <c r="B2615" t="inlineStr">
        <is>
          <t>SPO-01410</t>
        </is>
      </c>
      <c r="C2615" t="inlineStr">
        <is>
          <t>SUP-12</t>
        </is>
      </c>
      <c r="D2615" t="inlineStr">
        <is>
          <t>IT</t>
        </is>
      </c>
      <c r="E2615" t="inlineStr">
        <is>
          <t>IT-01</t>
        </is>
      </c>
      <c r="F2615" s="17" t="n">
        <v>45959</v>
      </c>
      <c r="G2615" s="17" t="n">
        <v>45969</v>
      </c>
      <c r="H2615" s="18" t="n">
        <v>6</v>
      </c>
      <c r="I2615" s="19" t="n">
        <v>213.98</v>
      </c>
      <c r="J2615" s="19" t="n">
        <v>189</v>
      </c>
      <c r="K2615" s="20" t="n">
        <v>0</v>
      </c>
      <c r="L2615" s="20" t="n">
        <v>0</v>
      </c>
      <c r="M2615" s="18" t="n">
        <v>6</v>
      </c>
      <c r="N2615" s="18" t="n">
        <v>6</v>
      </c>
      <c r="O2615" s="18" t="n">
        <v>0</v>
      </c>
      <c r="P2615" s="17" t="n">
        <v>45962</v>
      </c>
      <c r="Q2615" s="17" t="n">
        <v>45962</v>
      </c>
      <c r="R2615" s="17" t="n">
        <v>45962</v>
      </c>
      <c r="S2615" s="19">
        <f>H2615*I2615</f>
        <v/>
      </c>
      <c r="T2615" s="19">
        <f>H2615*J2615</f>
        <v/>
      </c>
      <c r="U2615">
        <f>IF(AND(K2615=0,G2615&lt;=Assumptions!$C$6),1,0)</f>
        <v/>
      </c>
      <c r="V2615">
        <f>IF(U2615=1,IF(M2615&gt;0,IF(P2615&lt;=G2615+Assumptions!$C$7,1,0),0),0)</f>
        <v/>
      </c>
      <c r="W2615">
        <f>IF(AND(U2615=1,M2615&gt;=H2615*(1-Assumptions!$C$8)),1,0)</f>
        <v/>
      </c>
      <c r="X2615">
        <f>IF(AND(U2615=1,N2615&gt;=H2615*(1-Assumptions!$C$8)),1,0)</f>
        <v/>
      </c>
      <c r="Y2615">
        <f>IF(ISNUMBER(Q2615),1,0)</f>
        <v/>
      </c>
      <c r="Z2615">
        <f>IF(AND(K2615=0,L2615=0,Y2615=0),1,0)</f>
        <v/>
      </c>
      <c r="AA2615">
        <f>IF(AND(Z2615=1,G2615&lt;Assumptions!$C$6),1,0)</f>
        <v/>
      </c>
      <c r="AB2615">
        <f>IF(U2615=0,"",IF(Y2615=1,MAX(0,Q2615-G2615),IF(L2615=1,MAX(0,R2615-G2615),MAX(0,Assumptions!$C$6-G2615))))</f>
        <v/>
      </c>
      <c r="AC2615">
        <f>IF(Y2615=1,Q2615-F2615,"")</f>
        <v/>
      </c>
      <c r="AD2615">
        <f>IF(Y2615=1,AC2615^2,"")</f>
        <v/>
      </c>
      <c r="AE2615" s="19">
        <f>IF(Z2615=1,(H2615-M2615)*I2615,0)</f>
        <v/>
      </c>
      <c r="AF2615">
        <f>IF(G2615&lt;EDATE(Assumptions!$C$6,-12)+1,"prior_12m","last_12m")</f>
        <v/>
      </c>
      <c r="AG2615" s="21">
        <f>DATE(YEAR(G2615),MONTH(G2615),1)</f>
        <v/>
      </c>
    </row>
    <row r="2616">
      <c r="A2616" t="inlineStr">
        <is>
          <t>SPO-01410-3</t>
        </is>
      </c>
      <c r="B2616" t="inlineStr">
        <is>
          <t>SPO-01410</t>
        </is>
      </c>
      <c r="C2616" t="inlineStr">
        <is>
          <t>SUP-12</t>
        </is>
      </c>
      <c r="D2616" t="inlineStr">
        <is>
          <t>IT</t>
        </is>
      </c>
      <c r="E2616" t="inlineStr">
        <is>
          <t>IT-06</t>
        </is>
      </c>
      <c r="F2616" s="17" t="n">
        <v>45959</v>
      </c>
      <c r="G2616" s="17" t="n">
        <v>45969</v>
      </c>
      <c r="H2616" s="18" t="n">
        <v>17</v>
      </c>
      <c r="I2616" s="19" t="n">
        <v>104.1</v>
      </c>
      <c r="J2616" s="19" t="n">
        <v>89</v>
      </c>
      <c r="K2616" s="20" t="n">
        <v>0</v>
      </c>
      <c r="L2616" s="20" t="n">
        <v>0</v>
      </c>
      <c r="M2616" s="18" t="n">
        <v>17</v>
      </c>
      <c r="N2616" s="18" t="n">
        <v>17</v>
      </c>
      <c r="O2616" s="18" t="n">
        <v>0</v>
      </c>
      <c r="P2616" s="17" t="n">
        <v>45968</v>
      </c>
      <c r="Q2616" s="17" t="n">
        <v>45968</v>
      </c>
      <c r="R2616" s="17" t="n">
        <v>45968</v>
      </c>
      <c r="S2616" s="19">
        <f>H2616*I2616</f>
        <v/>
      </c>
      <c r="T2616" s="19">
        <f>H2616*J2616</f>
        <v/>
      </c>
      <c r="U2616">
        <f>IF(AND(K2616=0,G2616&lt;=Assumptions!$C$6),1,0)</f>
        <v/>
      </c>
      <c r="V2616">
        <f>IF(U2616=1,IF(M2616&gt;0,IF(P2616&lt;=G2616+Assumptions!$C$7,1,0),0),0)</f>
        <v/>
      </c>
      <c r="W2616">
        <f>IF(AND(U2616=1,M2616&gt;=H2616*(1-Assumptions!$C$8)),1,0)</f>
        <v/>
      </c>
      <c r="X2616">
        <f>IF(AND(U2616=1,N2616&gt;=H2616*(1-Assumptions!$C$8)),1,0)</f>
        <v/>
      </c>
      <c r="Y2616">
        <f>IF(ISNUMBER(Q2616),1,0)</f>
        <v/>
      </c>
      <c r="Z2616">
        <f>IF(AND(K2616=0,L2616=0,Y2616=0),1,0)</f>
        <v/>
      </c>
      <c r="AA2616">
        <f>IF(AND(Z2616=1,G2616&lt;Assumptions!$C$6),1,0)</f>
        <v/>
      </c>
      <c r="AB2616">
        <f>IF(U2616=0,"",IF(Y2616=1,MAX(0,Q2616-G2616),IF(L2616=1,MAX(0,R2616-G2616),MAX(0,Assumptions!$C$6-G2616))))</f>
        <v/>
      </c>
      <c r="AC2616">
        <f>IF(Y2616=1,Q2616-F2616,"")</f>
        <v/>
      </c>
      <c r="AD2616">
        <f>IF(Y2616=1,AC2616^2,"")</f>
        <v/>
      </c>
      <c r="AE2616" s="19">
        <f>IF(Z2616=1,(H2616-M2616)*I2616,0)</f>
        <v/>
      </c>
      <c r="AF2616">
        <f>IF(G2616&lt;EDATE(Assumptions!$C$6,-12)+1,"prior_12m","last_12m")</f>
        <v/>
      </c>
      <c r="AG2616" s="21">
        <f>DATE(YEAR(G2616),MONTH(G2616),1)</f>
        <v/>
      </c>
    </row>
    <row r="2617">
      <c r="A2617" t="inlineStr">
        <is>
          <t>SPO-01411-1</t>
        </is>
      </c>
      <c r="B2617" t="inlineStr">
        <is>
          <t>SPO-01411</t>
        </is>
      </c>
      <c r="C2617" t="inlineStr">
        <is>
          <t>SUP-09</t>
        </is>
      </c>
      <c r="D2617" t="inlineStr">
        <is>
          <t>CHEM</t>
        </is>
      </c>
      <c r="E2617" t="inlineStr">
        <is>
          <t>CHEM-03</t>
        </is>
      </c>
      <c r="F2617" s="17" t="n">
        <v>45959</v>
      </c>
      <c r="G2617" s="17" t="n">
        <v>45973</v>
      </c>
      <c r="H2617" s="18" t="n">
        <v>2</v>
      </c>
      <c r="I2617" s="19" t="n">
        <v>269.6</v>
      </c>
      <c r="J2617" s="19" t="n">
        <v>265</v>
      </c>
      <c r="K2617" s="20" t="n">
        <v>0</v>
      </c>
      <c r="L2617" s="20" t="n">
        <v>0</v>
      </c>
      <c r="M2617" s="18" t="n">
        <v>2</v>
      </c>
      <c r="N2617" s="18" t="n">
        <v>2</v>
      </c>
      <c r="O2617" s="18" t="n">
        <v>0</v>
      </c>
      <c r="P2617" s="17" t="n">
        <v>45970</v>
      </c>
      <c r="Q2617" s="17" t="n">
        <v>45970</v>
      </c>
      <c r="R2617" s="17" t="n">
        <v>45970</v>
      </c>
      <c r="S2617" s="19">
        <f>H2617*I2617</f>
        <v/>
      </c>
      <c r="T2617" s="19">
        <f>H2617*J2617</f>
        <v/>
      </c>
      <c r="U2617">
        <f>IF(AND(K2617=0,G2617&lt;=Assumptions!$C$6),1,0)</f>
        <v/>
      </c>
      <c r="V2617">
        <f>IF(U2617=1,IF(M2617&gt;0,IF(P2617&lt;=G2617+Assumptions!$C$7,1,0),0),0)</f>
        <v/>
      </c>
      <c r="W2617">
        <f>IF(AND(U2617=1,M2617&gt;=H2617*(1-Assumptions!$C$8)),1,0)</f>
        <v/>
      </c>
      <c r="X2617">
        <f>IF(AND(U2617=1,N2617&gt;=H2617*(1-Assumptions!$C$8)),1,0)</f>
        <v/>
      </c>
      <c r="Y2617">
        <f>IF(ISNUMBER(Q2617),1,0)</f>
        <v/>
      </c>
      <c r="Z2617">
        <f>IF(AND(K2617=0,L2617=0,Y2617=0),1,0)</f>
        <v/>
      </c>
      <c r="AA2617">
        <f>IF(AND(Z2617=1,G2617&lt;Assumptions!$C$6),1,0)</f>
        <v/>
      </c>
      <c r="AB2617">
        <f>IF(U2617=0,"",IF(Y2617=1,MAX(0,Q2617-G2617),IF(L2617=1,MAX(0,R2617-G2617),MAX(0,Assumptions!$C$6-G2617))))</f>
        <v/>
      </c>
      <c r="AC2617">
        <f>IF(Y2617=1,Q2617-F2617,"")</f>
        <v/>
      </c>
      <c r="AD2617">
        <f>IF(Y2617=1,AC2617^2,"")</f>
        <v/>
      </c>
      <c r="AE2617" s="19">
        <f>IF(Z2617=1,(H2617-M2617)*I2617,0)</f>
        <v/>
      </c>
      <c r="AF2617">
        <f>IF(G2617&lt;EDATE(Assumptions!$C$6,-12)+1,"prior_12m","last_12m")</f>
        <v/>
      </c>
      <c r="AG2617" s="21">
        <f>DATE(YEAR(G2617),MONTH(G2617),1)</f>
        <v/>
      </c>
    </row>
    <row r="2618">
      <c r="A2618" t="inlineStr">
        <is>
          <t>SPO-01412-1</t>
        </is>
      </c>
      <c r="B2618" t="inlineStr">
        <is>
          <t>SPO-01412</t>
        </is>
      </c>
      <c r="C2618" t="inlineStr">
        <is>
          <t>SUP-09</t>
        </is>
      </c>
      <c r="D2618" t="inlineStr">
        <is>
          <t>CHEM</t>
        </is>
      </c>
      <c r="E2618" t="inlineStr">
        <is>
          <t>CHEM-03</t>
        </is>
      </c>
      <c r="F2618" s="17" t="n">
        <v>45959</v>
      </c>
      <c r="G2618" s="17" t="n">
        <v>45973</v>
      </c>
      <c r="H2618" s="18" t="n">
        <v>19</v>
      </c>
      <c r="I2618" s="19" t="n">
        <v>276.44</v>
      </c>
      <c r="J2618" s="19" t="n">
        <v>265</v>
      </c>
      <c r="K2618" s="20" t="n">
        <v>0</v>
      </c>
      <c r="L2618" s="20" t="n">
        <v>0</v>
      </c>
      <c r="M2618" s="18" t="n">
        <v>19</v>
      </c>
      <c r="N2618" s="18" t="n">
        <v>19</v>
      </c>
      <c r="O2618" s="18" t="n">
        <v>0</v>
      </c>
      <c r="P2618" s="17" t="n">
        <v>45972</v>
      </c>
      <c r="Q2618" s="17" t="n">
        <v>45972</v>
      </c>
      <c r="R2618" s="17" t="n">
        <v>45972</v>
      </c>
      <c r="S2618" s="19">
        <f>H2618*I2618</f>
        <v/>
      </c>
      <c r="T2618" s="19">
        <f>H2618*J2618</f>
        <v/>
      </c>
      <c r="U2618">
        <f>IF(AND(K2618=0,G2618&lt;=Assumptions!$C$6),1,0)</f>
        <v/>
      </c>
      <c r="V2618">
        <f>IF(U2618=1,IF(M2618&gt;0,IF(P2618&lt;=G2618+Assumptions!$C$7,1,0),0),0)</f>
        <v/>
      </c>
      <c r="W2618">
        <f>IF(AND(U2618=1,M2618&gt;=H2618*(1-Assumptions!$C$8)),1,0)</f>
        <v/>
      </c>
      <c r="X2618">
        <f>IF(AND(U2618=1,N2618&gt;=H2618*(1-Assumptions!$C$8)),1,0)</f>
        <v/>
      </c>
      <c r="Y2618">
        <f>IF(ISNUMBER(Q2618),1,0)</f>
        <v/>
      </c>
      <c r="Z2618">
        <f>IF(AND(K2618=0,L2618=0,Y2618=0),1,0)</f>
        <v/>
      </c>
      <c r="AA2618">
        <f>IF(AND(Z2618=1,G2618&lt;Assumptions!$C$6),1,0)</f>
        <v/>
      </c>
      <c r="AB2618">
        <f>IF(U2618=0,"",IF(Y2618=1,MAX(0,Q2618-G2618),IF(L2618=1,MAX(0,R2618-G2618),MAX(0,Assumptions!$C$6-G2618))))</f>
        <v/>
      </c>
      <c r="AC2618">
        <f>IF(Y2618=1,Q2618-F2618,"")</f>
        <v/>
      </c>
      <c r="AD2618">
        <f>IF(Y2618=1,AC2618^2,"")</f>
        <v/>
      </c>
      <c r="AE2618" s="19">
        <f>IF(Z2618=1,(H2618-M2618)*I2618,0)</f>
        <v/>
      </c>
      <c r="AF2618">
        <f>IF(G2618&lt;EDATE(Assumptions!$C$6,-12)+1,"prior_12m","last_12m")</f>
        <v/>
      </c>
      <c r="AG2618" s="21">
        <f>DATE(YEAR(G2618),MONTH(G2618),1)</f>
        <v/>
      </c>
    </row>
    <row r="2619">
      <c r="A2619" t="inlineStr">
        <is>
          <t>SPO-01412-2</t>
        </is>
      </c>
      <c r="B2619" t="inlineStr">
        <is>
          <t>SPO-01412</t>
        </is>
      </c>
      <c r="C2619" t="inlineStr">
        <is>
          <t>SUP-09</t>
        </is>
      </c>
      <c r="D2619" t="inlineStr">
        <is>
          <t>CHEM</t>
        </is>
      </c>
      <c r="E2619" t="inlineStr">
        <is>
          <t>CHEM-06</t>
        </is>
      </c>
      <c r="F2619" s="17" t="n">
        <v>45959</v>
      </c>
      <c r="G2619" s="17" t="n">
        <v>45973</v>
      </c>
      <c r="H2619" s="18" t="n">
        <v>6</v>
      </c>
      <c r="I2619" s="19" t="n">
        <v>394.74</v>
      </c>
      <c r="J2619" s="19" t="n">
        <v>380</v>
      </c>
      <c r="K2619" s="20" t="n">
        <v>0</v>
      </c>
      <c r="L2619" s="20" t="n">
        <v>0</v>
      </c>
      <c r="M2619" s="18" t="n">
        <v>6</v>
      </c>
      <c r="N2619" s="18" t="n">
        <v>6</v>
      </c>
      <c r="O2619" s="18" t="n">
        <v>0</v>
      </c>
      <c r="P2619" s="17" t="n">
        <v>45969</v>
      </c>
      <c r="Q2619" s="17" t="n">
        <v>45969</v>
      </c>
      <c r="R2619" s="17" t="n">
        <v>45969</v>
      </c>
      <c r="S2619" s="19">
        <f>H2619*I2619</f>
        <v/>
      </c>
      <c r="T2619" s="19">
        <f>H2619*J2619</f>
        <v/>
      </c>
      <c r="U2619">
        <f>IF(AND(K2619=0,G2619&lt;=Assumptions!$C$6),1,0)</f>
        <v/>
      </c>
      <c r="V2619">
        <f>IF(U2619=1,IF(M2619&gt;0,IF(P2619&lt;=G2619+Assumptions!$C$7,1,0),0),0)</f>
        <v/>
      </c>
      <c r="W2619">
        <f>IF(AND(U2619=1,M2619&gt;=H2619*(1-Assumptions!$C$8)),1,0)</f>
        <v/>
      </c>
      <c r="X2619">
        <f>IF(AND(U2619=1,N2619&gt;=H2619*(1-Assumptions!$C$8)),1,0)</f>
        <v/>
      </c>
      <c r="Y2619">
        <f>IF(ISNUMBER(Q2619),1,0)</f>
        <v/>
      </c>
      <c r="Z2619">
        <f>IF(AND(K2619=0,L2619=0,Y2619=0),1,0)</f>
        <v/>
      </c>
      <c r="AA2619">
        <f>IF(AND(Z2619=1,G2619&lt;Assumptions!$C$6),1,0)</f>
        <v/>
      </c>
      <c r="AB2619">
        <f>IF(U2619=0,"",IF(Y2619=1,MAX(0,Q2619-G2619),IF(L2619=1,MAX(0,R2619-G2619),MAX(0,Assumptions!$C$6-G2619))))</f>
        <v/>
      </c>
      <c r="AC2619">
        <f>IF(Y2619=1,Q2619-F2619,"")</f>
        <v/>
      </c>
      <c r="AD2619">
        <f>IF(Y2619=1,AC2619^2,"")</f>
        <v/>
      </c>
      <c r="AE2619" s="19">
        <f>IF(Z2619=1,(H2619-M2619)*I2619,0)</f>
        <v/>
      </c>
      <c r="AF2619">
        <f>IF(G2619&lt;EDATE(Assumptions!$C$6,-12)+1,"prior_12m","last_12m")</f>
        <v/>
      </c>
      <c r="AG2619" s="21">
        <f>DATE(YEAR(G2619),MONTH(G2619),1)</f>
        <v/>
      </c>
    </row>
    <row r="2620">
      <c r="A2620" t="inlineStr">
        <is>
          <t>SPO-01412-3</t>
        </is>
      </c>
      <c r="B2620" t="inlineStr">
        <is>
          <t>SPO-01412</t>
        </is>
      </c>
      <c r="C2620" t="inlineStr">
        <is>
          <t>SUP-09</t>
        </is>
      </c>
      <c r="D2620" t="inlineStr">
        <is>
          <t>CHEM</t>
        </is>
      </c>
      <c r="E2620" t="inlineStr">
        <is>
          <t>CHEM-02</t>
        </is>
      </c>
      <c r="F2620" s="17" t="n">
        <v>45959</v>
      </c>
      <c r="G2620" s="17" t="n">
        <v>45973</v>
      </c>
      <c r="H2620" s="18" t="n">
        <v>3</v>
      </c>
      <c r="I2620" s="19" t="n">
        <v>423.82</v>
      </c>
      <c r="J2620" s="19" t="n">
        <v>410</v>
      </c>
      <c r="K2620" s="20" t="n">
        <v>0</v>
      </c>
      <c r="L2620" s="20" t="n">
        <v>0</v>
      </c>
      <c r="M2620" s="18" t="n">
        <v>3</v>
      </c>
      <c r="N2620" s="18" t="n">
        <v>3</v>
      </c>
      <c r="O2620" s="18" t="n">
        <v>0</v>
      </c>
      <c r="P2620" s="17" t="n">
        <v>45970</v>
      </c>
      <c r="Q2620" s="17" t="n">
        <v>45970</v>
      </c>
      <c r="R2620" s="17" t="n">
        <v>45970</v>
      </c>
      <c r="S2620" s="19">
        <f>H2620*I2620</f>
        <v/>
      </c>
      <c r="T2620" s="19">
        <f>H2620*J2620</f>
        <v/>
      </c>
      <c r="U2620">
        <f>IF(AND(K2620=0,G2620&lt;=Assumptions!$C$6),1,0)</f>
        <v/>
      </c>
      <c r="V2620">
        <f>IF(U2620=1,IF(M2620&gt;0,IF(P2620&lt;=G2620+Assumptions!$C$7,1,0),0),0)</f>
        <v/>
      </c>
      <c r="W2620">
        <f>IF(AND(U2620=1,M2620&gt;=H2620*(1-Assumptions!$C$8)),1,0)</f>
        <v/>
      </c>
      <c r="X2620">
        <f>IF(AND(U2620=1,N2620&gt;=H2620*(1-Assumptions!$C$8)),1,0)</f>
        <v/>
      </c>
      <c r="Y2620">
        <f>IF(ISNUMBER(Q2620),1,0)</f>
        <v/>
      </c>
      <c r="Z2620">
        <f>IF(AND(K2620=0,L2620=0,Y2620=0),1,0)</f>
        <v/>
      </c>
      <c r="AA2620">
        <f>IF(AND(Z2620=1,G2620&lt;Assumptions!$C$6),1,0)</f>
        <v/>
      </c>
      <c r="AB2620">
        <f>IF(U2620=0,"",IF(Y2620=1,MAX(0,Q2620-G2620),IF(L2620=1,MAX(0,R2620-G2620),MAX(0,Assumptions!$C$6-G2620))))</f>
        <v/>
      </c>
      <c r="AC2620">
        <f>IF(Y2620=1,Q2620-F2620,"")</f>
        <v/>
      </c>
      <c r="AD2620">
        <f>IF(Y2620=1,AC2620^2,"")</f>
        <v/>
      </c>
      <c r="AE2620" s="19">
        <f>IF(Z2620=1,(H2620-M2620)*I2620,0)</f>
        <v/>
      </c>
      <c r="AF2620">
        <f>IF(G2620&lt;EDATE(Assumptions!$C$6,-12)+1,"prior_12m","last_12m")</f>
        <v/>
      </c>
      <c r="AG2620" s="21">
        <f>DATE(YEAR(G2620),MONTH(G2620),1)</f>
        <v/>
      </c>
    </row>
    <row r="2621">
      <c r="A2621" t="inlineStr">
        <is>
          <t>SPO-01413-1</t>
        </is>
      </c>
      <c r="B2621" t="inlineStr">
        <is>
          <t>SPO-01413</t>
        </is>
      </c>
      <c r="C2621" t="inlineStr">
        <is>
          <t>SUP-05</t>
        </is>
      </c>
      <c r="D2621" t="inlineStr">
        <is>
          <t>FLEET</t>
        </is>
      </c>
      <c r="E2621" t="inlineStr">
        <is>
          <t>FLEET-07</t>
        </is>
      </c>
      <c r="F2621" s="17" t="n">
        <v>45959</v>
      </c>
      <c r="G2621" s="17" t="n">
        <v>45973</v>
      </c>
      <c r="H2621" s="18" t="n">
        <v>8</v>
      </c>
      <c r="I2621" s="19" t="n">
        <v>115.79</v>
      </c>
      <c r="J2621" s="19" t="n">
        <v>118</v>
      </c>
      <c r="K2621" s="20" t="n">
        <v>0</v>
      </c>
      <c r="L2621" s="20" t="n">
        <v>0</v>
      </c>
      <c r="M2621" s="18" t="n">
        <v>8</v>
      </c>
      <c r="N2621" s="18" t="n">
        <v>8</v>
      </c>
      <c r="O2621" s="18" t="n">
        <v>0</v>
      </c>
      <c r="P2621" s="17" t="n">
        <v>45970</v>
      </c>
      <c r="Q2621" s="17" t="n">
        <v>45970</v>
      </c>
      <c r="R2621" s="17" t="n">
        <v>45970</v>
      </c>
      <c r="S2621" s="19">
        <f>H2621*I2621</f>
        <v/>
      </c>
      <c r="T2621" s="19">
        <f>H2621*J2621</f>
        <v/>
      </c>
      <c r="U2621">
        <f>IF(AND(K2621=0,G2621&lt;=Assumptions!$C$6),1,0)</f>
        <v/>
      </c>
      <c r="V2621">
        <f>IF(U2621=1,IF(M2621&gt;0,IF(P2621&lt;=G2621+Assumptions!$C$7,1,0),0),0)</f>
        <v/>
      </c>
      <c r="W2621">
        <f>IF(AND(U2621=1,M2621&gt;=H2621*(1-Assumptions!$C$8)),1,0)</f>
        <v/>
      </c>
      <c r="X2621">
        <f>IF(AND(U2621=1,N2621&gt;=H2621*(1-Assumptions!$C$8)),1,0)</f>
        <v/>
      </c>
      <c r="Y2621">
        <f>IF(ISNUMBER(Q2621),1,0)</f>
        <v/>
      </c>
      <c r="Z2621">
        <f>IF(AND(K2621=0,L2621=0,Y2621=0),1,0)</f>
        <v/>
      </c>
      <c r="AA2621">
        <f>IF(AND(Z2621=1,G2621&lt;Assumptions!$C$6),1,0)</f>
        <v/>
      </c>
      <c r="AB2621">
        <f>IF(U2621=0,"",IF(Y2621=1,MAX(0,Q2621-G2621),IF(L2621=1,MAX(0,R2621-G2621),MAX(0,Assumptions!$C$6-G2621))))</f>
        <v/>
      </c>
      <c r="AC2621">
        <f>IF(Y2621=1,Q2621-F2621,"")</f>
        <v/>
      </c>
      <c r="AD2621">
        <f>IF(Y2621=1,AC2621^2,"")</f>
        <v/>
      </c>
      <c r="AE2621" s="19">
        <f>IF(Z2621=1,(H2621-M2621)*I2621,0)</f>
        <v/>
      </c>
      <c r="AF2621">
        <f>IF(G2621&lt;EDATE(Assumptions!$C$6,-12)+1,"prior_12m","last_12m")</f>
        <v/>
      </c>
      <c r="AG2621" s="21">
        <f>DATE(YEAR(G2621),MONTH(G2621),1)</f>
        <v/>
      </c>
    </row>
    <row r="2622">
      <c r="A2622" t="inlineStr">
        <is>
          <t>SPO-01414-1</t>
        </is>
      </c>
      <c r="B2622" t="inlineStr">
        <is>
          <t>SPO-01414</t>
        </is>
      </c>
      <c r="C2622" t="inlineStr">
        <is>
          <t>SUP-06</t>
        </is>
      </c>
      <c r="D2622" t="inlineStr">
        <is>
          <t>MRO</t>
        </is>
      </c>
      <c r="E2622" t="inlineStr">
        <is>
          <t>MRO-04</t>
        </is>
      </c>
      <c r="F2622" s="17" t="n">
        <v>45960</v>
      </c>
      <c r="G2622" s="17" t="n">
        <v>45968</v>
      </c>
      <c r="H2622" s="18" t="n">
        <v>31</v>
      </c>
      <c r="I2622" s="19" t="n">
        <v>59.09</v>
      </c>
      <c r="J2622" s="19" t="n">
        <v>58</v>
      </c>
      <c r="K2622" s="20" t="n">
        <v>0</v>
      </c>
      <c r="L2622" s="20" t="n">
        <v>0</v>
      </c>
      <c r="M2622" s="18" t="n">
        <v>31</v>
      </c>
      <c r="N2622" s="18" t="n">
        <v>31</v>
      </c>
      <c r="O2622" s="18" t="n">
        <v>0</v>
      </c>
      <c r="P2622" s="17" t="n">
        <v>45966</v>
      </c>
      <c r="Q2622" s="17" t="n">
        <v>45966</v>
      </c>
      <c r="R2622" s="17" t="n">
        <v>45966</v>
      </c>
      <c r="S2622" s="19">
        <f>H2622*I2622</f>
        <v/>
      </c>
      <c r="T2622" s="19">
        <f>H2622*J2622</f>
        <v/>
      </c>
      <c r="U2622">
        <f>IF(AND(K2622=0,G2622&lt;=Assumptions!$C$6),1,0)</f>
        <v/>
      </c>
      <c r="V2622">
        <f>IF(U2622=1,IF(M2622&gt;0,IF(P2622&lt;=G2622+Assumptions!$C$7,1,0),0),0)</f>
        <v/>
      </c>
      <c r="W2622">
        <f>IF(AND(U2622=1,M2622&gt;=H2622*(1-Assumptions!$C$8)),1,0)</f>
        <v/>
      </c>
      <c r="X2622">
        <f>IF(AND(U2622=1,N2622&gt;=H2622*(1-Assumptions!$C$8)),1,0)</f>
        <v/>
      </c>
      <c r="Y2622">
        <f>IF(ISNUMBER(Q2622),1,0)</f>
        <v/>
      </c>
      <c r="Z2622">
        <f>IF(AND(K2622=0,L2622=0,Y2622=0),1,0)</f>
        <v/>
      </c>
      <c r="AA2622">
        <f>IF(AND(Z2622=1,G2622&lt;Assumptions!$C$6),1,0)</f>
        <v/>
      </c>
      <c r="AB2622">
        <f>IF(U2622=0,"",IF(Y2622=1,MAX(0,Q2622-G2622),IF(L2622=1,MAX(0,R2622-G2622),MAX(0,Assumptions!$C$6-G2622))))</f>
        <v/>
      </c>
      <c r="AC2622">
        <f>IF(Y2622=1,Q2622-F2622,"")</f>
        <v/>
      </c>
      <c r="AD2622">
        <f>IF(Y2622=1,AC2622^2,"")</f>
        <v/>
      </c>
      <c r="AE2622" s="19">
        <f>IF(Z2622=1,(H2622-M2622)*I2622,0)</f>
        <v/>
      </c>
      <c r="AF2622">
        <f>IF(G2622&lt;EDATE(Assumptions!$C$6,-12)+1,"prior_12m","last_12m")</f>
        <v/>
      </c>
      <c r="AG2622" s="21">
        <f>DATE(YEAR(G2622),MONTH(G2622),1)</f>
        <v/>
      </c>
    </row>
    <row r="2623">
      <c r="A2623" t="inlineStr">
        <is>
          <t>SPO-01415-1</t>
        </is>
      </c>
      <c r="B2623" t="inlineStr">
        <is>
          <t>SPO-01415</t>
        </is>
      </c>
      <c r="C2623" t="inlineStr">
        <is>
          <t>SUP-05</t>
        </is>
      </c>
      <c r="D2623" t="inlineStr">
        <is>
          <t>FLEET</t>
        </is>
      </c>
      <c r="E2623" t="inlineStr">
        <is>
          <t>FLEET-04</t>
        </is>
      </c>
      <c r="F2623" s="17" t="n">
        <v>45961</v>
      </c>
      <c r="G2623" s="17" t="n">
        <v>45975</v>
      </c>
      <c r="H2623" s="18" t="n">
        <v>288</v>
      </c>
      <c r="I2623" s="19" t="n">
        <v>8.960000000000001</v>
      </c>
      <c r="J2623" s="19" t="n">
        <v>9</v>
      </c>
      <c r="K2623" s="20" t="n">
        <v>0</v>
      </c>
      <c r="L2623" s="20" t="n">
        <v>0</v>
      </c>
      <c r="M2623" s="18" t="n">
        <v>288</v>
      </c>
      <c r="N2623" s="18" t="n">
        <v>288</v>
      </c>
      <c r="O2623" s="18" t="n">
        <v>0</v>
      </c>
      <c r="P2623" s="17" t="n">
        <v>45971</v>
      </c>
      <c r="Q2623" s="17" t="n">
        <v>45971</v>
      </c>
      <c r="R2623" s="17" t="n">
        <v>45971</v>
      </c>
      <c r="S2623" s="19">
        <f>H2623*I2623</f>
        <v/>
      </c>
      <c r="T2623" s="19">
        <f>H2623*J2623</f>
        <v/>
      </c>
      <c r="U2623">
        <f>IF(AND(K2623=0,G2623&lt;=Assumptions!$C$6),1,0)</f>
        <v/>
      </c>
      <c r="V2623">
        <f>IF(U2623=1,IF(M2623&gt;0,IF(P2623&lt;=G2623+Assumptions!$C$7,1,0),0),0)</f>
        <v/>
      </c>
      <c r="W2623">
        <f>IF(AND(U2623=1,M2623&gt;=H2623*(1-Assumptions!$C$8)),1,0)</f>
        <v/>
      </c>
      <c r="X2623">
        <f>IF(AND(U2623=1,N2623&gt;=H2623*(1-Assumptions!$C$8)),1,0)</f>
        <v/>
      </c>
      <c r="Y2623">
        <f>IF(ISNUMBER(Q2623),1,0)</f>
        <v/>
      </c>
      <c r="Z2623">
        <f>IF(AND(K2623=0,L2623=0,Y2623=0),1,0)</f>
        <v/>
      </c>
      <c r="AA2623">
        <f>IF(AND(Z2623=1,G2623&lt;Assumptions!$C$6),1,0)</f>
        <v/>
      </c>
      <c r="AB2623">
        <f>IF(U2623=0,"",IF(Y2623=1,MAX(0,Q2623-G2623),IF(L2623=1,MAX(0,R2623-G2623),MAX(0,Assumptions!$C$6-G2623))))</f>
        <v/>
      </c>
      <c r="AC2623">
        <f>IF(Y2623=1,Q2623-F2623,"")</f>
        <v/>
      </c>
      <c r="AD2623">
        <f>IF(Y2623=1,AC2623^2,"")</f>
        <v/>
      </c>
      <c r="AE2623" s="19">
        <f>IF(Z2623=1,(H2623-M2623)*I2623,0)</f>
        <v/>
      </c>
      <c r="AF2623">
        <f>IF(G2623&lt;EDATE(Assumptions!$C$6,-12)+1,"prior_12m","last_12m")</f>
        <v/>
      </c>
      <c r="AG2623" s="21">
        <f>DATE(YEAR(G2623),MONTH(G2623),1)</f>
        <v/>
      </c>
    </row>
    <row r="2624">
      <c r="A2624" t="inlineStr">
        <is>
          <t>SPO-01416-1</t>
        </is>
      </c>
      <c r="B2624" t="inlineStr">
        <is>
          <t>SPO-01416</t>
        </is>
      </c>
      <c r="C2624" t="inlineStr">
        <is>
          <t>SUP-01</t>
        </is>
      </c>
      <c r="D2624" t="inlineStr">
        <is>
          <t>ELEC</t>
        </is>
      </c>
      <c r="E2624" t="inlineStr">
        <is>
          <t>ELEC-02</t>
        </is>
      </c>
      <c r="F2624" s="17" t="n">
        <v>45961</v>
      </c>
      <c r="G2624" s="17" t="n">
        <v>45979</v>
      </c>
      <c r="H2624" s="18" t="n">
        <v>296</v>
      </c>
      <c r="I2624" s="19" t="n">
        <v>3.99</v>
      </c>
      <c r="J2624" s="19" t="n">
        <v>4.2</v>
      </c>
      <c r="K2624" s="20" t="n">
        <v>0</v>
      </c>
      <c r="L2624" s="20" t="n">
        <v>0</v>
      </c>
      <c r="M2624" s="18" t="n">
        <v>296</v>
      </c>
      <c r="N2624" s="18" t="n">
        <v>296</v>
      </c>
      <c r="O2624" s="18" t="n">
        <v>0</v>
      </c>
      <c r="P2624" s="17" t="n">
        <v>45971</v>
      </c>
      <c r="Q2624" s="17" t="n">
        <v>45971</v>
      </c>
      <c r="R2624" s="17" t="n">
        <v>45971</v>
      </c>
      <c r="S2624" s="19">
        <f>H2624*I2624</f>
        <v/>
      </c>
      <c r="T2624" s="19">
        <f>H2624*J2624</f>
        <v/>
      </c>
      <c r="U2624">
        <f>IF(AND(K2624=0,G2624&lt;=Assumptions!$C$6),1,0)</f>
        <v/>
      </c>
      <c r="V2624">
        <f>IF(U2624=1,IF(M2624&gt;0,IF(P2624&lt;=G2624+Assumptions!$C$7,1,0),0),0)</f>
        <v/>
      </c>
      <c r="W2624">
        <f>IF(AND(U2624=1,M2624&gt;=H2624*(1-Assumptions!$C$8)),1,0)</f>
        <v/>
      </c>
      <c r="X2624">
        <f>IF(AND(U2624=1,N2624&gt;=H2624*(1-Assumptions!$C$8)),1,0)</f>
        <v/>
      </c>
      <c r="Y2624">
        <f>IF(ISNUMBER(Q2624),1,0)</f>
        <v/>
      </c>
      <c r="Z2624">
        <f>IF(AND(K2624=0,L2624=0,Y2624=0),1,0)</f>
        <v/>
      </c>
      <c r="AA2624">
        <f>IF(AND(Z2624=1,G2624&lt;Assumptions!$C$6),1,0)</f>
        <v/>
      </c>
      <c r="AB2624">
        <f>IF(U2624=0,"",IF(Y2624=1,MAX(0,Q2624-G2624),IF(L2624=1,MAX(0,R2624-G2624),MAX(0,Assumptions!$C$6-G2624))))</f>
        <v/>
      </c>
      <c r="AC2624">
        <f>IF(Y2624=1,Q2624-F2624,"")</f>
        <v/>
      </c>
      <c r="AD2624">
        <f>IF(Y2624=1,AC2624^2,"")</f>
        <v/>
      </c>
      <c r="AE2624" s="19">
        <f>IF(Z2624=1,(H2624-M2624)*I2624,0)</f>
        <v/>
      </c>
      <c r="AF2624">
        <f>IF(G2624&lt;EDATE(Assumptions!$C$6,-12)+1,"prior_12m","last_12m")</f>
        <v/>
      </c>
      <c r="AG2624" s="21">
        <f>DATE(YEAR(G2624),MONTH(G2624),1)</f>
        <v/>
      </c>
    </row>
    <row r="2625">
      <c r="A2625" t="inlineStr">
        <is>
          <t>SPO-01417-1</t>
        </is>
      </c>
      <c r="B2625" t="inlineStr">
        <is>
          <t>SPO-01417</t>
        </is>
      </c>
      <c r="C2625" t="inlineStr">
        <is>
          <t>SUP-12</t>
        </is>
      </c>
      <c r="D2625" t="inlineStr">
        <is>
          <t>IT</t>
        </is>
      </c>
      <c r="E2625" t="inlineStr">
        <is>
          <t>IT-03</t>
        </is>
      </c>
      <c r="F2625" s="17" t="n">
        <v>45961</v>
      </c>
      <c r="G2625" s="17" t="n">
        <v>45971</v>
      </c>
      <c r="H2625" s="18" t="n">
        <v>21</v>
      </c>
      <c r="I2625" s="19" t="n">
        <v>41.06</v>
      </c>
      <c r="J2625" s="19" t="n">
        <v>38</v>
      </c>
      <c r="K2625" s="20" t="n">
        <v>0</v>
      </c>
      <c r="L2625" s="20" t="n">
        <v>0</v>
      </c>
      <c r="M2625" s="18" t="n">
        <v>21</v>
      </c>
      <c r="N2625" s="18" t="n">
        <v>12</v>
      </c>
      <c r="O2625" s="18" t="n">
        <v>0</v>
      </c>
      <c r="P2625" s="17" t="n">
        <v>45968</v>
      </c>
      <c r="Q2625" s="17" t="n">
        <v>45979</v>
      </c>
      <c r="R2625" s="17" t="n">
        <v>45979</v>
      </c>
      <c r="S2625" s="19">
        <f>H2625*I2625</f>
        <v/>
      </c>
      <c r="T2625" s="19">
        <f>H2625*J2625</f>
        <v/>
      </c>
      <c r="U2625">
        <f>IF(AND(K2625=0,G2625&lt;=Assumptions!$C$6),1,0)</f>
        <v/>
      </c>
      <c r="V2625">
        <f>IF(U2625=1,IF(M2625&gt;0,IF(P2625&lt;=G2625+Assumptions!$C$7,1,0),0),0)</f>
        <v/>
      </c>
      <c r="W2625">
        <f>IF(AND(U2625=1,M2625&gt;=H2625*(1-Assumptions!$C$8)),1,0)</f>
        <v/>
      </c>
      <c r="X2625">
        <f>IF(AND(U2625=1,N2625&gt;=H2625*(1-Assumptions!$C$8)),1,0)</f>
        <v/>
      </c>
      <c r="Y2625">
        <f>IF(ISNUMBER(Q2625),1,0)</f>
        <v/>
      </c>
      <c r="Z2625">
        <f>IF(AND(K2625=0,L2625=0,Y2625=0),1,0)</f>
        <v/>
      </c>
      <c r="AA2625">
        <f>IF(AND(Z2625=1,G2625&lt;Assumptions!$C$6),1,0)</f>
        <v/>
      </c>
      <c r="AB2625">
        <f>IF(U2625=0,"",IF(Y2625=1,MAX(0,Q2625-G2625),IF(L2625=1,MAX(0,R2625-G2625),MAX(0,Assumptions!$C$6-G2625))))</f>
        <v/>
      </c>
      <c r="AC2625">
        <f>IF(Y2625=1,Q2625-F2625,"")</f>
        <v/>
      </c>
      <c r="AD2625">
        <f>IF(Y2625=1,AC2625^2,"")</f>
        <v/>
      </c>
      <c r="AE2625" s="19">
        <f>IF(Z2625=1,(H2625-M2625)*I2625,0)</f>
        <v/>
      </c>
      <c r="AF2625">
        <f>IF(G2625&lt;EDATE(Assumptions!$C$6,-12)+1,"prior_12m","last_12m")</f>
        <v/>
      </c>
      <c r="AG2625" s="21">
        <f>DATE(YEAR(G2625),MONTH(G2625),1)</f>
        <v/>
      </c>
    </row>
    <row r="2626">
      <c r="A2626" t="inlineStr">
        <is>
          <t>SPO-01417-2</t>
        </is>
      </c>
      <c r="B2626" t="inlineStr">
        <is>
          <t>SPO-01417</t>
        </is>
      </c>
      <c r="C2626" t="inlineStr">
        <is>
          <t>SUP-12</t>
        </is>
      </c>
      <c r="D2626" t="inlineStr">
        <is>
          <t>IT</t>
        </is>
      </c>
      <c r="E2626" t="inlineStr">
        <is>
          <t>IT-04</t>
        </is>
      </c>
      <c r="F2626" s="17" t="n">
        <v>45961</v>
      </c>
      <c r="G2626" s="17" t="n">
        <v>45971</v>
      </c>
      <c r="H2626" s="18" t="n">
        <v>170</v>
      </c>
      <c r="I2626" s="19" t="n">
        <v>13.41</v>
      </c>
      <c r="J2626" s="19" t="n">
        <v>12</v>
      </c>
      <c r="K2626" s="20" t="n">
        <v>0</v>
      </c>
      <c r="L2626" s="20" t="n">
        <v>0</v>
      </c>
      <c r="M2626" s="18" t="n">
        <v>170</v>
      </c>
      <c r="N2626" s="18" t="n">
        <v>170</v>
      </c>
      <c r="O2626" s="18" t="n">
        <v>0</v>
      </c>
      <c r="P2626" s="17" t="n">
        <v>45968</v>
      </c>
      <c r="Q2626" s="17" t="n">
        <v>45968</v>
      </c>
      <c r="R2626" s="17" t="n">
        <v>45968</v>
      </c>
      <c r="S2626" s="19">
        <f>H2626*I2626</f>
        <v/>
      </c>
      <c r="T2626" s="19">
        <f>H2626*J2626</f>
        <v/>
      </c>
      <c r="U2626">
        <f>IF(AND(K2626=0,G2626&lt;=Assumptions!$C$6),1,0)</f>
        <v/>
      </c>
      <c r="V2626">
        <f>IF(U2626=1,IF(M2626&gt;0,IF(P2626&lt;=G2626+Assumptions!$C$7,1,0),0),0)</f>
        <v/>
      </c>
      <c r="W2626">
        <f>IF(AND(U2626=1,M2626&gt;=H2626*(1-Assumptions!$C$8)),1,0)</f>
        <v/>
      </c>
      <c r="X2626">
        <f>IF(AND(U2626=1,N2626&gt;=H2626*(1-Assumptions!$C$8)),1,0)</f>
        <v/>
      </c>
      <c r="Y2626">
        <f>IF(ISNUMBER(Q2626),1,0)</f>
        <v/>
      </c>
      <c r="Z2626">
        <f>IF(AND(K2626=0,L2626=0,Y2626=0),1,0)</f>
        <v/>
      </c>
      <c r="AA2626">
        <f>IF(AND(Z2626=1,G2626&lt;Assumptions!$C$6),1,0)</f>
        <v/>
      </c>
      <c r="AB2626">
        <f>IF(U2626=0,"",IF(Y2626=1,MAX(0,Q2626-G2626),IF(L2626=1,MAX(0,R2626-G2626),MAX(0,Assumptions!$C$6-G2626))))</f>
        <v/>
      </c>
      <c r="AC2626">
        <f>IF(Y2626=1,Q2626-F2626,"")</f>
        <v/>
      </c>
      <c r="AD2626">
        <f>IF(Y2626=1,AC2626^2,"")</f>
        <v/>
      </c>
      <c r="AE2626" s="19">
        <f>IF(Z2626=1,(H2626-M2626)*I2626,0)</f>
        <v/>
      </c>
      <c r="AF2626">
        <f>IF(G2626&lt;EDATE(Assumptions!$C$6,-12)+1,"prior_12m","last_12m")</f>
        <v/>
      </c>
      <c r="AG2626" s="21">
        <f>DATE(YEAR(G2626),MONTH(G2626),1)</f>
        <v/>
      </c>
    </row>
    <row r="2627">
      <c r="A2627" t="inlineStr">
        <is>
          <t>SPO-01417-3</t>
        </is>
      </c>
      <c r="B2627" t="inlineStr">
        <is>
          <t>SPO-01417</t>
        </is>
      </c>
      <c r="C2627" t="inlineStr">
        <is>
          <t>SUP-12</t>
        </is>
      </c>
      <c r="D2627" t="inlineStr">
        <is>
          <t>IT</t>
        </is>
      </c>
      <c r="E2627" t="inlineStr">
        <is>
          <t>IT-08</t>
        </is>
      </c>
      <c r="F2627" s="17" t="n">
        <v>45961</v>
      </c>
      <c r="G2627" s="17" t="n">
        <v>45971</v>
      </c>
      <c r="H2627" s="18" t="n">
        <v>5</v>
      </c>
      <c r="I2627" s="19" t="n">
        <v>282.36</v>
      </c>
      <c r="J2627" s="19" t="n">
        <v>245</v>
      </c>
      <c r="K2627" s="20" t="n">
        <v>0</v>
      </c>
      <c r="L2627" s="20" t="n">
        <v>0</v>
      </c>
      <c r="M2627" s="18" t="n">
        <v>5</v>
      </c>
      <c r="N2627" s="18" t="n">
        <v>5</v>
      </c>
      <c r="O2627" s="18" t="n">
        <v>0</v>
      </c>
      <c r="P2627" s="17" t="n">
        <v>45966</v>
      </c>
      <c r="Q2627" s="17" t="n">
        <v>45966</v>
      </c>
      <c r="R2627" s="17" t="n">
        <v>45966</v>
      </c>
      <c r="S2627" s="19">
        <f>H2627*I2627</f>
        <v/>
      </c>
      <c r="T2627" s="19">
        <f>H2627*J2627</f>
        <v/>
      </c>
      <c r="U2627">
        <f>IF(AND(K2627=0,G2627&lt;=Assumptions!$C$6),1,0)</f>
        <v/>
      </c>
      <c r="V2627">
        <f>IF(U2627=1,IF(M2627&gt;0,IF(P2627&lt;=G2627+Assumptions!$C$7,1,0),0),0)</f>
        <v/>
      </c>
      <c r="W2627">
        <f>IF(AND(U2627=1,M2627&gt;=H2627*(1-Assumptions!$C$8)),1,0)</f>
        <v/>
      </c>
      <c r="X2627">
        <f>IF(AND(U2627=1,N2627&gt;=H2627*(1-Assumptions!$C$8)),1,0)</f>
        <v/>
      </c>
      <c r="Y2627">
        <f>IF(ISNUMBER(Q2627),1,0)</f>
        <v/>
      </c>
      <c r="Z2627">
        <f>IF(AND(K2627=0,L2627=0,Y2627=0),1,0)</f>
        <v/>
      </c>
      <c r="AA2627">
        <f>IF(AND(Z2627=1,G2627&lt;Assumptions!$C$6),1,0)</f>
        <v/>
      </c>
      <c r="AB2627">
        <f>IF(U2627=0,"",IF(Y2627=1,MAX(0,Q2627-G2627),IF(L2627=1,MAX(0,R2627-G2627),MAX(0,Assumptions!$C$6-G2627))))</f>
        <v/>
      </c>
      <c r="AC2627">
        <f>IF(Y2627=1,Q2627-F2627,"")</f>
        <v/>
      </c>
      <c r="AD2627">
        <f>IF(Y2627=1,AC2627^2,"")</f>
        <v/>
      </c>
      <c r="AE2627" s="19">
        <f>IF(Z2627=1,(H2627-M2627)*I2627,0)</f>
        <v/>
      </c>
      <c r="AF2627">
        <f>IF(G2627&lt;EDATE(Assumptions!$C$6,-12)+1,"prior_12m","last_12m")</f>
        <v/>
      </c>
      <c r="AG2627" s="21">
        <f>DATE(YEAR(G2627),MONTH(G2627),1)</f>
        <v/>
      </c>
    </row>
    <row r="2628">
      <c r="A2628" t="inlineStr">
        <is>
          <t>SPO-01417-4</t>
        </is>
      </c>
      <c r="B2628" t="inlineStr">
        <is>
          <t>SPO-01417</t>
        </is>
      </c>
      <c r="C2628" t="inlineStr">
        <is>
          <t>SUP-12</t>
        </is>
      </c>
      <c r="D2628" t="inlineStr">
        <is>
          <t>IT</t>
        </is>
      </c>
      <c r="E2628" t="inlineStr">
        <is>
          <t>IT-07</t>
        </is>
      </c>
      <c r="F2628" s="17" t="n">
        <v>45961</v>
      </c>
      <c r="G2628" s="17" t="n">
        <v>45971</v>
      </c>
      <c r="H2628" s="18" t="n">
        <v>11</v>
      </c>
      <c r="I2628" s="19" t="n">
        <v>83.63</v>
      </c>
      <c r="J2628" s="19" t="n">
        <v>74</v>
      </c>
      <c r="K2628" s="20" t="n">
        <v>0</v>
      </c>
      <c r="L2628" s="20" t="n">
        <v>0</v>
      </c>
      <c r="M2628" s="18" t="n">
        <v>11</v>
      </c>
      <c r="N2628" s="18" t="n">
        <v>11</v>
      </c>
      <c r="O2628" s="18" t="n">
        <v>0</v>
      </c>
      <c r="P2628" s="17" t="n">
        <v>45965</v>
      </c>
      <c r="Q2628" s="17" t="n">
        <v>45965</v>
      </c>
      <c r="R2628" s="17" t="n">
        <v>45965</v>
      </c>
      <c r="S2628" s="19">
        <f>H2628*I2628</f>
        <v/>
      </c>
      <c r="T2628" s="19">
        <f>H2628*J2628</f>
        <v/>
      </c>
      <c r="U2628">
        <f>IF(AND(K2628=0,G2628&lt;=Assumptions!$C$6),1,0)</f>
        <v/>
      </c>
      <c r="V2628">
        <f>IF(U2628=1,IF(M2628&gt;0,IF(P2628&lt;=G2628+Assumptions!$C$7,1,0),0),0)</f>
        <v/>
      </c>
      <c r="W2628">
        <f>IF(AND(U2628=1,M2628&gt;=H2628*(1-Assumptions!$C$8)),1,0)</f>
        <v/>
      </c>
      <c r="X2628">
        <f>IF(AND(U2628=1,N2628&gt;=H2628*(1-Assumptions!$C$8)),1,0)</f>
        <v/>
      </c>
      <c r="Y2628">
        <f>IF(ISNUMBER(Q2628),1,0)</f>
        <v/>
      </c>
      <c r="Z2628">
        <f>IF(AND(K2628=0,L2628=0,Y2628=0),1,0)</f>
        <v/>
      </c>
      <c r="AA2628">
        <f>IF(AND(Z2628=1,G2628&lt;Assumptions!$C$6),1,0)</f>
        <v/>
      </c>
      <c r="AB2628">
        <f>IF(U2628=0,"",IF(Y2628=1,MAX(0,Q2628-G2628),IF(L2628=1,MAX(0,R2628-G2628),MAX(0,Assumptions!$C$6-G2628))))</f>
        <v/>
      </c>
      <c r="AC2628">
        <f>IF(Y2628=1,Q2628-F2628,"")</f>
        <v/>
      </c>
      <c r="AD2628">
        <f>IF(Y2628=1,AC2628^2,"")</f>
        <v/>
      </c>
      <c r="AE2628" s="19">
        <f>IF(Z2628=1,(H2628-M2628)*I2628,0)</f>
        <v/>
      </c>
      <c r="AF2628">
        <f>IF(G2628&lt;EDATE(Assumptions!$C$6,-12)+1,"prior_12m","last_12m")</f>
        <v/>
      </c>
      <c r="AG2628" s="21">
        <f>DATE(YEAR(G2628),MONTH(G2628),1)</f>
        <v/>
      </c>
    </row>
    <row r="2629">
      <c r="A2629" t="inlineStr">
        <is>
          <t>SPO-01418-1</t>
        </is>
      </c>
      <c r="B2629" t="inlineStr">
        <is>
          <t>SPO-01418</t>
        </is>
      </c>
      <c r="C2629" t="inlineStr">
        <is>
          <t>SUP-06</t>
        </is>
      </c>
      <c r="D2629" t="inlineStr">
        <is>
          <t>MRO</t>
        </is>
      </c>
      <c r="E2629" t="inlineStr">
        <is>
          <t>MRO-06</t>
        </is>
      </c>
      <c r="F2629" s="17" t="n">
        <v>45962</v>
      </c>
      <c r="G2629" s="17" t="n">
        <v>45970</v>
      </c>
      <c r="H2629" s="18" t="n">
        <v>208</v>
      </c>
      <c r="I2629" s="19" t="n">
        <v>6.44</v>
      </c>
      <c r="J2629" s="19" t="n">
        <v>6.1</v>
      </c>
      <c r="K2629" s="20" t="n">
        <v>0</v>
      </c>
      <c r="L2629" s="20" t="n">
        <v>0</v>
      </c>
      <c r="M2629" s="18" t="n">
        <v>208</v>
      </c>
      <c r="N2629" s="18" t="n">
        <v>208</v>
      </c>
      <c r="O2629" s="18" t="n">
        <v>0</v>
      </c>
      <c r="P2629" s="17" t="n">
        <v>45969</v>
      </c>
      <c r="Q2629" s="17" t="n">
        <v>45969</v>
      </c>
      <c r="R2629" s="17" t="n">
        <v>45969</v>
      </c>
      <c r="S2629" s="19">
        <f>H2629*I2629</f>
        <v/>
      </c>
      <c r="T2629" s="19">
        <f>H2629*J2629</f>
        <v/>
      </c>
      <c r="U2629">
        <f>IF(AND(K2629=0,G2629&lt;=Assumptions!$C$6),1,0)</f>
        <v/>
      </c>
      <c r="V2629">
        <f>IF(U2629=1,IF(M2629&gt;0,IF(P2629&lt;=G2629+Assumptions!$C$7,1,0),0),0)</f>
        <v/>
      </c>
      <c r="W2629">
        <f>IF(AND(U2629=1,M2629&gt;=H2629*(1-Assumptions!$C$8)),1,0)</f>
        <v/>
      </c>
      <c r="X2629">
        <f>IF(AND(U2629=1,N2629&gt;=H2629*(1-Assumptions!$C$8)),1,0)</f>
        <v/>
      </c>
      <c r="Y2629">
        <f>IF(ISNUMBER(Q2629),1,0)</f>
        <v/>
      </c>
      <c r="Z2629">
        <f>IF(AND(K2629=0,L2629=0,Y2629=0),1,0)</f>
        <v/>
      </c>
      <c r="AA2629">
        <f>IF(AND(Z2629=1,G2629&lt;Assumptions!$C$6),1,0)</f>
        <v/>
      </c>
      <c r="AB2629">
        <f>IF(U2629=0,"",IF(Y2629=1,MAX(0,Q2629-G2629),IF(L2629=1,MAX(0,R2629-G2629),MAX(0,Assumptions!$C$6-G2629))))</f>
        <v/>
      </c>
      <c r="AC2629">
        <f>IF(Y2629=1,Q2629-F2629,"")</f>
        <v/>
      </c>
      <c r="AD2629">
        <f>IF(Y2629=1,AC2629^2,"")</f>
        <v/>
      </c>
      <c r="AE2629" s="19">
        <f>IF(Z2629=1,(H2629-M2629)*I2629,0)</f>
        <v/>
      </c>
      <c r="AF2629">
        <f>IF(G2629&lt;EDATE(Assumptions!$C$6,-12)+1,"prior_12m","last_12m")</f>
        <v/>
      </c>
      <c r="AG2629" s="21">
        <f>DATE(YEAR(G2629),MONTH(G2629),1)</f>
        <v/>
      </c>
    </row>
    <row r="2630">
      <c r="A2630" t="inlineStr">
        <is>
          <t>SPO-01419-1</t>
        </is>
      </c>
      <c r="B2630" t="inlineStr">
        <is>
          <t>SPO-01419</t>
        </is>
      </c>
      <c r="C2630" t="inlineStr">
        <is>
          <t>SUP-09</t>
        </is>
      </c>
      <c r="D2630" t="inlineStr">
        <is>
          <t>CHEM</t>
        </is>
      </c>
      <c r="E2630" t="inlineStr">
        <is>
          <t>CHEM-06</t>
        </is>
      </c>
      <c r="F2630" s="17" t="n">
        <v>45962</v>
      </c>
      <c r="G2630" s="17" t="n">
        <v>45976</v>
      </c>
      <c r="H2630" s="18" t="n">
        <v>2</v>
      </c>
      <c r="I2630" s="19" t="n">
        <v>405.39</v>
      </c>
      <c r="J2630" s="19" t="n">
        <v>380</v>
      </c>
      <c r="K2630" s="20" t="n">
        <v>0</v>
      </c>
      <c r="L2630" s="20" t="n">
        <v>0</v>
      </c>
      <c r="M2630" s="18" t="n">
        <v>2</v>
      </c>
      <c r="N2630" s="18" t="n">
        <v>2</v>
      </c>
      <c r="O2630" s="18" t="n">
        <v>0</v>
      </c>
      <c r="P2630" s="17" t="n">
        <v>45975</v>
      </c>
      <c r="Q2630" s="17" t="n">
        <v>45975</v>
      </c>
      <c r="R2630" s="17" t="n">
        <v>45975</v>
      </c>
      <c r="S2630" s="19">
        <f>H2630*I2630</f>
        <v/>
      </c>
      <c r="T2630" s="19">
        <f>H2630*J2630</f>
        <v/>
      </c>
      <c r="U2630">
        <f>IF(AND(K2630=0,G2630&lt;=Assumptions!$C$6),1,0)</f>
        <v/>
      </c>
      <c r="V2630">
        <f>IF(U2630=1,IF(M2630&gt;0,IF(P2630&lt;=G2630+Assumptions!$C$7,1,0),0),0)</f>
        <v/>
      </c>
      <c r="W2630">
        <f>IF(AND(U2630=1,M2630&gt;=H2630*(1-Assumptions!$C$8)),1,0)</f>
        <v/>
      </c>
      <c r="X2630">
        <f>IF(AND(U2630=1,N2630&gt;=H2630*(1-Assumptions!$C$8)),1,0)</f>
        <v/>
      </c>
      <c r="Y2630">
        <f>IF(ISNUMBER(Q2630),1,0)</f>
        <v/>
      </c>
      <c r="Z2630">
        <f>IF(AND(K2630=0,L2630=0,Y2630=0),1,0)</f>
        <v/>
      </c>
      <c r="AA2630">
        <f>IF(AND(Z2630=1,G2630&lt;Assumptions!$C$6),1,0)</f>
        <v/>
      </c>
      <c r="AB2630">
        <f>IF(U2630=0,"",IF(Y2630=1,MAX(0,Q2630-G2630),IF(L2630=1,MAX(0,R2630-G2630),MAX(0,Assumptions!$C$6-G2630))))</f>
        <v/>
      </c>
      <c r="AC2630">
        <f>IF(Y2630=1,Q2630-F2630,"")</f>
        <v/>
      </c>
      <c r="AD2630">
        <f>IF(Y2630=1,AC2630^2,"")</f>
        <v/>
      </c>
      <c r="AE2630" s="19">
        <f>IF(Z2630=1,(H2630-M2630)*I2630,0)</f>
        <v/>
      </c>
      <c r="AF2630">
        <f>IF(G2630&lt;EDATE(Assumptions!$C$6,-12)+1,"prior_12m","last_12m")</f>
        <v/>
      </c>
      <c r="AG2630" s="21">
        <f>DATE(YEAR(G2630),MONTH(G2630),1)</f>
        <v/>
      </c>
    </row>
    <row r="2631">
      <c r="A2631" t="inlineStr">
        <is>
          <t>SPO-01419-2</t>
        </is>
      </c>
      <c r="B2631" t="inlineStr">
        <is>
          <t>SPO-01419</t>
        </is>
      </c>
      <c r="C2631" t="inlineStr">
        <is>
          <t>SUP-09</t>
        </is>
      </c>
      <c r="D2631" t="inlineStr">
        <is>
          <t>CHEM</t>
        </is>
      </c>
      <c r="E2631" t="inlineStr">
        <is>
          <t>CHEM-02</t>
        </is>
      </c>
      <c r="F2631" s="17" t="n">
        <v>45962</v>
      </c>
      <c r="G2631" s="17" t="n">
        <v>45976</v>
      </c>
      <c r="H2631" s="18" t="n">
        <v>3</v>
      </c>
      <c r="I2631" s="19" t="n">
        <v>419.12</v>
      </c>
      <c r="J2631" s="19" t="n">
        <v>410</v>
      </c>
      <c r="K2631" s="20" t="n">
        <v>0</v>
      </c>
      <c r="L2631" s="20" t="n">
        <v>0</v>
      </c>
      <c r="M2631" s="18" t="n">
        <v>3</v>
      </c>
      <c r="N2631" s="18" t="n">
        <v>3</v>
      </c>
      <c r="O2631" s="18" t="n">
        <v>0</v>
      </c>
      <c r="P2631" s="17" t="n">
        <v>45976</v>
      </c>
      <c r="Q2631" s="17" t="n">
        <v>45976</v>
      </c>
      <c r="R2631" s="17" t="n">
        <v>45976</v>
      </c>
      <c r="S2631" s="19">
        <f>H2631*I2631</f>
        <v/>
      </c>
      <c r="T2631" s="19">
        <f>H2631*J2631</f>
        <v/>
      </c>
      <c r="U2631">
        <f>IF(AND(K2631=0,G2631&lt;=Assumptions!$C$6),1,0)</f>
        <v/>
      </c>
      <c r="V2631">
        <f>IF(U2631=1,IF(M2631&gt;0,IF(P2631&lt;=G2631+Assumptions!$C$7,1,0),0),0)</f>
        <v/>
      </c>
      <c r="W2631">
        <f>IF(AND(U2631=1,M2631&gt;=H2631*(1-Assumptions!$C$8)),1,0)</f>
        <v/>
      </c>
      <c r="X2631">
        <f>IF(AND(U2631=1,N2631&gt;=H2631*(1-Assumptions!$C$8)),1,0)</f>
        <v/>
      </c>
      <c r="Y2631">
        <f>IF(ISNUMBER(Q2631),1,0)</f>
        <v/>
      </c>
      <c r="Z2631">
        <f>IF(AND(K2631=0,L2631=0,Y2631=0),1,0)</f>
        <v/>
      </c>
      <c r="AA2631">
        <f>IF(AND(Z2631=1,G2631&lt;Assumptions!$C$6),1,0)</f>
        <v/>
      </c>
      <c r="AB2631">
        <f>IF(U2631=0,"",IF(Y2631=1,MAX(0,Q2631-G2631),IF(L2631=1,MAX(0,R2631-G2631),MAX(0,Assumptions!$C$6-G2631))))</f>
        <v/>
      </c>
      <c r="AC2631">
        <f>IF(Y2631=1,Q2631-F2631,"")</f>
        <v/>
      </c>
      <c r="AD2631">
        <f>IF(Y2631=1,AC2631^2,"")</f>
        <v/>
      </c>
      <c r="AE2631" s="19">
        <f>IF(Z2631=1,(H2631-M2631)*I2631,0)</f>
        <v/>
      </c>
      <c r="AF2631">
        <f>IF(G2631&lt;EDATE(Assumptions!$C$6,-12)+1,"prior_12m","last_12m")</f>
        <v/>
      </c>
      <c r="AG2631" s="21">
        <f>DATE(YEAR(G2631),MONTH(G2631),1)</f>
        <v/>
      </c>
    </row>
    <row r="2632">
      <c r="A2632" t="inlineStr">
        <is>
          <t>SPO-01420-1</t>
        </is>
      </c>
      <c r="B2632" t="inlineStr">
        <is>
          <t>SPO-01420</t>
        </is>
      </c>
      <c r="C2632" t="inlineStr">
        <is>
          <t>SUP-01</t>
        </is>
      </c>
      <c r="D2632" t="inlineStr">
        <is>
          <t>ELEC</t>
        </is>
      </c>
      <c r="E2632" t="inlineStr">
        <is>
          <t>ELEC-04</t>
        </is>
      </c>
      <c r="F2632" s="17" t="n">
        <v>45963</v>
      </c>
      <c r="G2632" s="17" t="n">
        <v>45981</v>
      </c>
      <c r="H2632" s="18" t="n">
        <v>22</v>
      </c>
      <c r="I2632" s="19" t="n">
        <v>70.38</v>
      </c>
      <c r="J2632" s="19" t="n">
        <v>72</v>
      </c>
      <c r="K2632" s="20" t="n">
        <v>0</v>
      </c>
      <c r="L2632" s="20" t="n">
        <v>0</v>
      </c>
      <c r="M2632" s="18" t="n">
        <v>22</v>
      </c>
      <c r="N2632" s="18" t="n">
        <v>0</v>
      </c>
      <c r="O2632" s="18" t="n">
        <v>0</v>
      </c>
      <c r="P2632" s="17" t="n">
        <v>46089</v>
      </c>
      <c r="Q2632" s="17" t="n">
        <v>46089</v>
      </c>
      <c r="R2632" s="17" t="n">
        <v>46089</v>
      </c>
      <c r="S2632" s="19">
        <f>H2632*I2632</f>
        <v/>
      </c>
      <c r="T2632" s="19">
        <f>H2632*J2632</f>
        <v/>
      </c>
      <c r="U2632">
        <f>IF(AND(K2632=0,G2632&lt;=Assumptions!$C$6),1,0)</f>
        <v/>
      </c>
      <c r="V2632">
        <f>IF(U2632=1,IF(M2632&gt;0,IF(P2632&lt;=G2632+Assumptions!$C$7,1,0),0),0)</f>
        <v/>
      </c>
      <c r="W2632">
        <f>IF(AND(U2632=1,M2632&gt;=H2632*(1-Assumptions!$C$8)),1,0)</f>
        <v/>
      </c>
      <c r="X2632">
        <f>IF(AND(U2632=1,N2632&gt;=H2632*(1-Assumptions!$C$8)),1,0)</f>
        <v/>
      </c>
      <c r="Y2632">
        <f>IF(ISNUMBER(Q2632),1,0)</f>
        <v/>
      </c>
      <c r="Z2632">
        <f>IF(AND(K2632=0,L2632=0,Y2632=0),1,0)</f>
        <v/>
      </c>
      <c r="AA2632">
        <f>IF(AND(Z2632=1,G2632&lt;Assumptions!$C$6),1,0)</f>
        <v/>
      </c>
      <c r="AB2632">
        <f>IF(U2632=0,"",IF(Y2632=1,MAX(0,Q2632-G2632),IF(L2632=1,MAX(0,R2632-G2632),MAX(0,Assumptions!$C$6-G2632))))</f>
        <v/>
      </c>
      <c r="AC2632">
        <f>IF(Y2632=1,Q2632-F2632,"")</f>
        <v/>
      </c>
      <c r="AD2632">
        <f>IF(Y2632=1,AC2632^2,"")</f>
        <v/>
      </c>
      <c r="AE2632" s="19">
        <f>IF(Z2632=1,(H2632-M2632)*I2632,0)</f>
        <v/>
      </c>
      <c r="AF2632">
        <f>IF(G2632&lt;EDATE(Assumptions!$C$6,-12)+1,"prior_12m","last_12m")</f>
        <v/>
      </c>
      <c r="AG2632" s="21">
        <f>DATE(YEAR(G2632),MONTH(G2632),1)</f>
        <v/>
      </c>
    </row>
    <row r="2633">
      <c r="A2633" t="inlineStr">
        <is>
          <t>SPO-01420-2</t>
        </is>
      </c>
      <c r="B2633" t="inlineStr">
        <is>
          <t>SPO-01420</t>
        </is>
      </c>
      <c r="C2633" t="inlineStr">
        <is>
          <t>SUP-01</t>
        </is>
      </c>
      <c r="D2633" t="inlineStr">
        <is>
          <t>ELEC</t>
        </is>
      </c>
      <c r="E2633" t="inlineStr">
        <is>
          <t>ELEC-02</t>
        </is>
      </c>
      <c r="F2633" s="17" t="n">
        <v>45963</v>
      </c>
      <c r="G2633" s="17" t="n">
        <v>45981</v>
      </c>
      <c r="H2633" s="18" t="n">
        <v>266</v>
      </c>
      <c r="I2633" s="19" t="n">
        <v>4.26</v>
      </c>
      <c r="J2633" s="19" t="n">
        <v>4.2</v>
      </c>
      <c r="K2633" s="20" t="n">
        <v>0</v>
      </c>
      <c r="L2633" s="20" t="n">
        <v>0</v>
      </c>
      <c r="M2633" s="18" t="n">
        <v>266</v>
      </c>
      <c r="N2633" s="18" t="n">
        <v>266</v>
      </c>
      <c r="O2633" s="18" t="n">
        <v>0</v>
      </c>
      <c r="P2633" s="17" t="n">
        <v>45972</v>
      </c>
      <c r="Q2633" s="17" t="n">
        <v>45972</v>
      </c>
      <c r="R2633" s="17" t="n">
        <v>45972</v>
      </c>
      <c r="S2633" s="19">
        <f>H2633*I2633</f>
        <v/>
      </c>
      <c r="T2633" s="19">
        <f>H2633*J2633</f>
        <v/>
      </c>
      <c r="U2633">
        <f>IF(AND(K2633=0,G2633&lt;=Assumptions!$C$6),1,0)</f>
        <v/>
      </c>
      <c r="V2633">
        <f>IF(U2633=1,IF(M2633&gt;0,IF(P2633&lt;=G2633+Assumptions!$C$7,1,0),0),0)</f>
        <v/>
      </c>
      <c r="W2633">
        <f>IF(AND(U2633=1,M2633&gt;=H2633*(1-Assumptions!$C$8)),1,0)</f>
        <v/>
      </c>
      <c r="X2633">
        <f>IF(AND(U2633=1,N2633&gt;=H2633*(1-Assumptions!$C$8)),1,0)</f>
        <v/>
      </c>
      <c r="Y2633">
        <f>IF(ISNUMBER(Q2633),1,0)</f>
        <v/>
      </c>
      <c r="Z2633">
        <f>IF(AND(K2633=0,L2633=0,Y2633=0),1,0)</f>
        <v/>
      </c>
      <c r="AA2633">
        <f>IF(AND(Z2633=1,G2633&lt;Assumptions!$C$6),1,0)</f>
        <v/>
      </c>
      <c r="AB2633">
        <f>IF(U2633=0,"",IF(Y2633=1,MAX(0,Q2633-G2633),IF(L2633=1,MAX(0,R2633-G2633),MAX(0,Assumptions!$C$6-G2633))))</f>
        <v/>
      </c>
      <c r="AC2633">
        <f>IF(Y2633=1,Q2633-F2633,"")</f>
        <v/>
      </c>
      <c r="AD2633">
        <f>IF(Y2633=1,AC2633^2,"")</f>
        <v/>
      </c>
      <c r="AE2633" s="19">
        <f>IF(Z2633=1,(H2633-M2633)*I2633,0)</f>
        <v/>
      </c>
      <c r="AF2633">
        <f>IF(G2633&lt;EDATE(Assumptions!$C$6,-12)+1,"prior_12m","last_12m")</f>
        <v/>
      </c>
      <c r="AG2633" s="21">
        <f>DATE(YEAR(G2633),MONTH(G2633),1)</f>
        <v/>
      </c>
    </row>
    <row r="2634">
      <c r="A2634" t="inlineStr">
        <is>
          <t>SPO-01420-3</t>
        </is>
      </c>
      <c r="B2634" t="inlineStr">
        <is>
          <t>SPO-01420</t>
        </is>
      </c>
      <c r="C2634" t="inlineStr">
        <is>
          <t>SUP-01</t>
        </is>
      </c>
      <c r="D2634" t="inlineStr">
        <is>
          <t>ELEC</t>
        </is>
      </c>
      <c r="E2634" t="inlineStr">
        <is>
          <t>ELEC-05</t>
        </is>
      </c>
      <c r="F2634" s="17" t="n">
        <v>45963</v>
      </c>
      <c r="G2634" s="17" t="n">
        <v>45981</v>
      </c>
      <c r="H2634" s="18" t="n">
        <v>124</v>
      </c>
      <c r="I2634" s="19" t="n">
        <v>12.26</v>
      </c>
      <c r="J2634" s="19" t="n">
        <v>11.5</v>
      </c>
      <c r="K2634" s="20" t="n">
        <v>0</v>
      </c>
      <c r="L2634" s="20" t="n">
        <v>0</v>
      </c>
      <c r="M2634" s="18" t="n">
        <v>124</v>
      </c>
      <c r="N2634" s="18" t="n">
        <v>0</v>
      </c>
      <c r="O2634" s="18" t="n">
        <v>0</v>
      </c>
      <c r="P2634" s="17" t="n">
        <v>46121</v>
      </c>
      <c r="Q2634" s="17" t="n">
        <v>46121</v>
      </c>
      <c r="R2634" s="17" t="n">
        <v>46121</v>
      </c>
      <c r="S2634" s="19">
        <f>H2634*I2634</f>
        <v/>
      </c>
      <c r="T2634" s="19">
        <f>H2634*J2634</f>
        <v/>
      </c>
      <c r="U2634">
        <f>IF(AND(K2634=0,G2634&lt;=Assumptions!$C$6),1,0)</f>
        <v/>
      </c>
      <c r="V2634">
        <f>IF(U2634=1,IF(M2634&gt;0,IF(P2634&lt;=G2634+Assumptions!$C$7,1,0),0),0)</f>
        <v/>
      </c>
      <c r="W2634">
        <f>IF(AND(U2634=1,M2634&gt;=H2634*(1-Assumptions!$C$8)),1,0)</f>
        <v/>
      </c>
      <c r="X2634">
        <f>IF(AND(U2634=1,N2634&gt;=H2634*(1-Assumptions!$C$8)),1,0)</f>
        <v/>
      </c>
      <c r="Y2634">
        <f>IF(ISNUMBER(Q2634),1,0)</f>
        <v/>
      </c>
      <c r="Z2634">
        <f>IF(AND(K2634=0,L2634=0,Y2634=0),1,0)</f>
        <v/>
      </c>
      <c r="AA2634">
        <f>IF(AND(Z2634=1,G2634&lt;Assumptions!$C$6),1,0)</f>
        <v/>
      </c>
      <c r="AB2634">
        <f>IF(U2634=0,"",IF(Y2634=1,MAX(0,Q2634-G2634),IF(L2634=1,MAX(0,R2634-G2634),MAX(0,Assumptions!$C$6-G2634))))</f>
        <v/>
      </c>
      <c r="AC2634">
        <f>IF(Y2634=1,Q2634-F2634,"")</f>
        <v/>
      </c>
      <c r="AD2634">
        <f>IF(Y2634=1,AC2634^2,"")</f>
        <v/>
      </c>
      <c r="AE2634" s="19">
        <f>IF(Z2634=1,(H2634-M2634)*I2634,0)</f>
        <v/>
      </c>
      <c r="AF2634">
        <f>IF(G2634&lt;EDATE(Assumptions!$C$6,-12)+1,"prior_12m","last_12m")</f>
        <v/>
      </c>
      <c r="AG2634" s="21">
        <f>DATE(YEAR(G2634),MONTH(G2634),1)</f>
        <v/>
      </c>
    </row>
    <row r="2635">
      <c r="A2635" t="inlineStr">
        <is>
          <t>SPO-01421-1</t>
        </is>
      </c>
      <c r="B2635" t="inlineStr">
        <is>
          <t>SPO-01421</t>
        </is>
      </c>
      <c r="C2635" t="inlineStr">
        <is>
          <t>SUP-09</t>
        </is>
      </c>
      <c r="D2635" t="inlineStr">
        <is>
          <t>CHEM</t>
        </is>
      </c>
      <c r="E2635" t="inlineStr">
        <is>
          <t>CHEM-02</t>
        </is>
      </c>
      <c r="F2635" s="17" t="n">
        <v>45963</v>
      </c>
      <c r="G2635" s="17" t="n">
        <v>45977</v>
      </c>
      <c r="H2635" s="18" t="n">
        <v>5</v>
      </c>
      <c r="I2635" s="19" t="n">
        <v>415.87</v>
      </c>
      <c r="J2635" s="19" t="n">
        <v>410</v>
      </c>
      <c r="K2635" s="20" t="n">
        <v>0</v>
      </c>
      <c r="L2635" s="20" t="n">
        <v>0</v>
      </c>
      <c r="M2635" s="18" t="n">
        <v>5</v>
      </c>
      <c r="N2635" s="18" t="n">
        <v>5</v>
      </c>
      <c r="O2635" s="18" t="n">
        <v>0</v>
      </c>
      <c r="P2635" s="17" t="n">
        <v>45977</v>
      </c>
      <c r="Q2635" s="17" t="n">
        <v>45977</v>
      </c>
      <c r="R2635" s="17" t="n">
        <v>45977</v>
      </c>
      <c r="S2635" s="19">
        <f>H2635*I2635</f>
        <v/>
      </c>
      <c r="T2635" s="19">
        <f>H2635*J2635</f>
        <v/>
      </c>
      <c r="U2635">
        <f>IF(AND(K2635=0,G2635&lt;=Assumptions!$C$6),1,0)</f>
        <v/>
      </c>
      <c r="V2635">
        <f>IF(U2635=1,IF(M2635&gt;0,IF(P2635&lt;=G2635+Assumptions!$C$7,1,0),0),0)</f>
        <v/>
      </c>
      <c r="W2635">
        <f>IF(AND(U2635=1,M2635&gt;=H2635*(1-Assumptions!$C$8)),1,0)</f>
        <v/>
      </c>
      <c r="X2635">
        <f>IF(AND(U2635=1,N2635&gt;=H2635*(1-Assumptions!$C$8)),1,0)</f>
        <v/>
      </c>
      <c r="Y2635">
        <f>IF(ISNUMBER(Q2635),1,0)</f>
        <v/>
      </c>
      <c r="Z2635">
        <f>IF(AND(K2635=0,L2635=0,Y2635=0),1,0)</f>
        <v/>
      </c>
      <c r="AA2635">
        <f>IF(AND(Z2635=1,G2635&lt;Assumptions!$C$6),1,0)</f>
        <v/>
      </c>
      <c r="AB2635">
        <f>IF(U2635=0,"",IF(Y2635=1,MAX(0,Q2635-G2635),IF(L2635=1,MAX(0,R2635-G2635),MAX(0,Assumptions!$C$6-G2635))))</f>
        <v/>
      </c>
      <c r="AC2635">
        <f>IF(Y2635=1,Q2635-F2635,"")</f>
        <v/>
      </c>
      <c r="AD2635">
        <f>IF(Y2635=1,AC2635^2,"")</f>
        <v/>
      </c>
      <c r="AE2635" s="19">
        <f>IF(Z2635=1,(H2635-M2635)*I2635,0)</f>
        <v/>
      </c>
      <c r="AF2635">
        <f>IF(G2635&lt;EDATE(Assumptions!$C$6,-12)+1,"prior_12m","last_12m")</f>
        <v/>
      </c>
      <c r="AG2635" s="21">
        <f>DATE(YEAR(G2635),MONTH(G2635),1)</f>
        <v/>
      </c>
    </row>
    <row r="2636">
      <c r="A2636" t="inlineStr">
        <is>
          <t>SPO-01421-2</t>
        </is>
      </c>
      <c r="B2636" t="inlineStr">
        <is>
          <t>SPO-01421</t>
        </is>
      </c>
      <c r="C2636" t="inlineStr">
        <is>
          <t>SUP-09</t>
        </is>
      </c>
      <c r="D2636" t="inlineStr">
        <is>
          <t>CHEM</t>
        </is>
      </c>
      <c r="E2636" t="inlineStr">
        <is>
          <t>CHEM-06</t>
        </is>
      </c>
      <c r="F2636" s="17" t="n">
        <v>45963</v>
      </c>
      <c r="G2636" s="17" t="n">
        <v>45977</v>
      </c>
      <c r="H2636" s="18" t="n">
        <v>4</v>
      </c>
      <c r="I2636" s="19" t="n">
        <v>406.25</v>
      </c>
      <c r="J2636" s="19" t="n">
        <v>380</v>
      </c>
      <c r="K2636" s="20" t="n">
        <v>0</v>
      </c>
      <c r="L2636" s="20" t="n">
        <v>0</v>
      </c>
      <c r="M2636" s="18" t="n">
        <v>4</v>
      </c>
      <c r="N2636" s="18" t="n">
        <v>4</v>
      </c>
      <c r="O2636" s="18" t="n">
        <v>0</v>
      </c>
      <c r="P2636" s="17" t="n">
        <v>45977</v>
      </c>
      <c r="Q2636" s="17" t="n">
        <v>45977</v>
      </c>
      <c r="R2636" s="17" t="n">
        <v>45977</v>
      </c>
      <c r="S2636" s="19">
        <f>H2636*I2636</f>
        <v/>
      </c>
      <c r="T2636" s="19">
        <f>H2636*J2636</f>
        <v/>
      </c>
      <c r="U2636">
        <f>IF(AND(K2636=0,G2636&lt;=Assumptions!$C$6),1,0)</f>
        <v/>
      </c>
      <c r="V2636">
        <f>IF(U2636=1,IF(M2636&gt;0,IF(P2636&lt;=G2636+Assumptions!$C$7,1,0),0),0)</f>
        <v/>
      </c>
      <c r="W2636">
        <f>IF(AND(U2636=1,M2636&gt;=H2636*(1-Assumptions!$C$8)),1,0)</f>
        <v/>
      </c>
      <c r="X2636">
        <f>IF(AND(U2636=1,N2636&gt;=H2636*(1-Assumptions!$C$8)),1,0)</f>
        <v/>
      </c>
      <c r="Y2636">
        <f>IF(ISNUMBER(Q2636),1,0)</f>
        <v/>
      </c>
      <c r="Z2636">
        <f>IF(AND(K2636=0,L2636=0,Y2636=0),1,0)</f>
        <v/>
      </c>
      <c r="AA2636">
        <f>IF(AND(Z2636=1,G2636&lt;Assumptions!$C$6),1,0)</f>
        <v/>
      </c>
      <c r="AB2636">
        <f>IF(U2636=0,"",IF(Y2636=1,MAX(0,Q2636-G2636),IF(L2636=1,MAX(0,R2636-G2636),MAX(0,Assumptions!$C$6-G2636))))</f>
        <v/>
      </c>
      <c r="AC2636">
        <f>IF(Y2636=1,Q2636-F2636,"")</f>
        <v/>
      </c>
      <c r="AD2636">
        <f>IF(Y2636=1,AC2636^2,"")</f>
        <v/>
      </c>
      <c r="AE2636" s="19">
        <f>IF(Z2636=1,(H2636-M2636)*I2636,0)</f>
        <v/>
      </c>
      <c r="AF2636">
        <f>IF(G2636&lt;EDATE(Assumptions!$C$6,-12)+1,"prior_12m","last_12m")</f>
        <v/>
      </c>
      <c r="AG2636" s="21">
        <f>DATE(YEAR(G2636),MONTH(G2636),1)</f>
        <v/>
      </c>
    </row>
    <row r="2637">
      <c r="A2637" t="inlineStr">
        <is>
          <t>SPO-01422-1</t>
        </is>
      </c>
      <c r="B2637" t="inlineStr">
        <is>
          <t>SPO-01422</t>
        </is>
      </c>
      <c r="C2637" t="inlineStr">
        <is>
          <t>SUP-12</t>
        </is>
      </c>
      <c r="D2637" t="inlineStr">
        <is>
          <t>IT</t>
        </is>
      </c>
      <c r="E2637" t="inlineStr">
        <is>
          <t>IT-02</t>
        </is>
      </c>
      <c r="F2637" s="17" t="n">
        <v>45963</v>
      </c>
      <c r="G2637" s="17" t="n">
        <v>45973</v>
      </c>
      <c r="H2637" s="18" t="n">
        <v>14</v>
      </c>
      <c r="I2637" s="19" t="n">
        <v>177.83</v>
      </c>
      <c r="J2637" s="19" t="n">
        <v>162</v>
      </c>
      <c r="K2637" s="20" t="n">
        <v>0</v>
      </c>
      <c r="L2637" s="20" t="n">
        <v>0</v>
      </c>
      <c r="M2637" s="18" t="n">
        <v>14</v>
      </c>
      <c r="N2637" s="18" t="n">
        <v>7</v>
      </c>
      <c r="O2637" s="18" t="n">
        <v>0</v>
      </c>
      <c r="P2637" s="17" t="n">
        <v>45969</v>
      </c>
      <c r="Q2637" s="17" t="n">
        <v>45983</v>
      </c>
      <c r="R2637" s="17" t="n">
        <v>45983</v>
      </c>
      <c r="S2637" s="19">
        <f>H2637*I2637</f>
        <v/>
      </c>
      <c r="T2637" s="19">
        <f>H2637*J2637</f>
        <v/>
      </c>
      <c r="U2637">
        <f>IF(AND(K2637=0,G2637&lt;=Assumptions!$C$6),1,0)</f>
        <v/>
      </c>
      <c r="V2637">
        <f>IF(U2637=1,IF(M2637&gt;0,IF(P2637&lt;=G2637+Assumptions!$C$7,1,0),0),0)</f>
        <v/>
      </c>
      <c r="W2637">
        <f>IF(AND(U2637=1,M2637&gt;=H2637*(1-Assumptions!$C$8)),1,0)</f>
        <v/>
      </c>
      <c r="X2637">
        <f>IF(AND(U2637=1,N2637&gt;=H2637*(1-Assumptions!$C$8)),1,0)</f>
        <v/>
      </c>
      <c r="Y2637">
        <f>IF(ISNUMBER(Q2637),1,0)</f>
        <v/>
      </c>
      <c r="Z2637">
        <f>IF(AND(K2637=0,L2637=0,Y2637=0),1,0)</f>
        <v/>
      </c>
      <c r="AA2637">
        <f>IF(AND(Z2637=1,G2637&lt;Assumptions!$C$6),1,0)</f>
        <v/>
      </c>
      <c r="AB2637">
        <f>IF(U2637=0,"",IF(Y2637=1,MAX(0,Q2637-G2637),IF(L2637=1,MAX(0,R2637-G2637),MAX(0,Assumptions!$C$6-G2637))))</f>
        <v/>
      </c>
      <c r="AC2637">
        <f>IF(Y2637=1,Q2637-F2637,"")</f>
        <v/>
      </c>
      <c r="AD2637">
        <f>IF(Y2637=1,AC2637^2,"")</f>
        <v/>
      </c>
      <c r="AE2637" s="19">
        <f>IF(Z2637=1,(H2637-M2637)*I2637,0)</f>
        <v/>
      </c>
      <c r="AF2637">
        <f>IF(G2637&lt;EDATE(Assumptions!$C$6,-12)+1,"prior_12m","last_12m")</f>
        <v/>
      </c>
      <c r="AG2637" s="21">
        <f>DATE(YEAR(G2637),MONTH(G2637),1)</f>
        <v/>
      </c>
    </row>
    <row r="2638">
      <c r="A2638" t="inlineStr">
        <is>
          <t>SPO-01423-1</t>
        </is>
      </c>
      <c r="B2638" t="inlineStr">
        <is>
          <t>SPO-01423</t>
        </is>
      </c>
      <c r="C2638" t="inlineStr">
        <is>
          <t>SUP-14</t>
        </is>
      </c>
      <c r="D2638" t="inlineStr">
        <is>
          <t>FLEET</t>
        </is>
      </c>
      <c r="E2638" t="inlineStr">
        <is>
          <t>FLEET-07</t>
        </is>
      </c>
      <c r="F2638" s="17" t="n">
        <v>45963</v>
      </c>
      <c r="G2638" s="17" t="n">
        <v>45977</v>
      </c>
      <c r="H2638" s="18" t="n">
        <v>18</v>
      </c>
      <c r="I2638" s="19" t="n">
        <v>111.94</v>
      </c>
      <c r="J2638" s="19" t="n">
        <v>118</v>
      </c>
      <c r="K2638" s="20" t="n">
        <v>0</v>
      </c>
      <c r="L2638" s="20" t="n">
        <v>0</v>
      </c>
      <c r="M2638" s="18" t="n">
        <v>18</v>
      </c>
      <c r="N2638" s="18" t="n">
        <v>18</v>
      </c>
      <c r="O2638" s="18" t="n">
        <v>0</v>
      </c>
      <c r="P2638" s="17" t="n">
        <v>45972</v>
      </c>
      <c r="Q2638" s="17" t="n">
        <v>45972</v>
      </c>
      <c r="R2638" s="17" t="n">
        <v>45972</v>
      </c>
      <c r="S2638" s="19">
        <f>H2638*I2638</f>
        <v/>
      </c>
      <c r="T2638" s="19">
        <f>H2638*J2638</f>
        <v/>
      </c>
      <c r="U2638">
        <f>IF(AND(K2638=0,G2638&lt;=Assumptions!$C$6),1,0)</f>
        <v/>
      </c>
      <c r="V2638">
        <f>IF(U2638=1,IF(M2638&gt;0,IF(P2638&lt;=G2638+Assumptions!$C$7,1,0),0),0)</f>
        <v/>
      </c>
      <c r="W2638">
        <f>IF(AND(U2638=1,M2638&gt;=H2638*(1-Assumptions!$C$8)),1,0)</f>
        <v/>
      </c>
      <c r="X2638">
        <f>IF(AND(U2638=1,N2638&gt;=H2638*(1-Assumptions!$C$8)),1,0)</f>
        <v/>
      </c>
      <c r="Y2638">
        <f>IF(ISNUMBER(Q2638),1,0)</f>
        <v/>
      </c>
      <c r="Z2638">
        <f>IF(AND(K2638=0,L2638=0,Y2638=0),1,0)</f>
        <v/>
      </c>
      <c r="AA2638">
        <f>IF(AND(Z2638=1,G2638&lt;Assumptions!$C$6),1,0)</f>
        <v/>
      </c>
      <c r="AB2638">
        <f>IF(U2638=0,"",IF(Y2638=1,MAX(0,Q2638-G2638),IF(L2638=1,MAX(0,R2638-G2638),MAX(0,Assumptions!$C$6-G2638))))</f>
        <v/>
      </c>
      <c r="AC2638">
        <f>IF(Y2638=1,Q2638-F2638,"")</f>
        <v/>
      </c>
      <c r="AD2638">
        <f>IF(Y2638=1,AC2638^2,"")</f>
        <v/>
      </c>
      <c r="AE2638" s="19">
        <f>IF(Z2638=1,(H2638-M2638)*I2638,0)</f>
        <v/>
      </c>
      <c r="AF2638">
        <f>IF(G2638&lt;EDATE(Assumptions!$C$6,-12)+1,"prior_12m","last_12m")</f>
        <v/>
      </c>
      <c r="AG2638" s="21">
        <f>DATE(YEAR(G2638),MONTH(G2638),1)</f>
        <v/>
      </c>
    </row>
    <row r="2639">
      <c r="A2639" t="inlineStr">
        <is>
          <t>SPO-01423-2</t>
        </is>
      </c>
      <c r="B2639" t="inlineStr">
        <is>
          <t>SPO-01423</t>
        </is>
      </c>
      <c r="C2639" t="inlineStr">
        <is>
          <t>SUP-14</t>
        </is>
      </c>
      <c r="D2639" t="inlineStr">
        <is>
          <t>FLEET</t>
        </is>
      </c>
      <c r="E2639" t="inlineStr">
        <is>
          <t>FLEET-06</t>
        </is>
      </c>
      <c r="F2639" s="17" t="n">
        <v>45963</v>
      </c>
      <c r="G2639" s="17" t="n">
        <v>45977</v>
      </c>
      <c r="H2639" s="18" t="n">
        <v>42</v>
      </c>
      <c r="I2639" s="19" t="n">
        <v>33.2</v>
      </c>
      <c r="J2639" s="19" t="n">
        <v>33</v>
      </c>
      <c r="K2639" s="20" t="n">
        <v>0</v>
      </c>
      <c r="L2639" s="20" t="n">
        <v>0</v>
      </c>
      <c r="M2639" s="18" t="n">
        <v>42</v>
      </c>
      <c r="N2639" s="18" t="n">
        <v>42</v>
      </c>
      <c r="O2639" s="18" t="n">
        <v>0</v>
      </c>
      <c r="P2639" s="17" t="n">
        <v>45969</v>
      </c>
      <c r="Q2639" s="17" t="n">
        <v>45969</v>
      </c>
      <c r="R2639" s="17" t="n">
        <v>45969</v>
      </c>
      <c r="S2639" s="19">
        <f>H2639*I2639</f>
        <v/>
      </c>
      <c r="T2639" s="19">
        <f>H2639*J2639</f>
        <v/>
      </c>
      <c r="U2639">
        <f>IF(AND(K2639=0,G2639&lt;=Assumptions!$C$6),1,0)</f>
        <v/>
      </c>
      <c r="V2639">
        <f>IF(U2639=1,IF(M2639&gt;0,IF(P2639&lt;=G2639+Assumptions!$C$7,1,0),0),0)</f>
        <v/>
      </c>
      <c r="W2639">
        <f>IF(AND(U2639=1,M2639&gt;=H2639*(1-Assumptions!$C$8)),1,0)</f>
        <v/>
      </c>
      <c r="X2639">
        <f>IF(AND(U2639=1,N2639&gt;=H2639*(1-Assumptions!$C$8)),1,0)</f>
        <v/>
      </c>
      <c r="Y2639">
        <f>IF(ISNUMBER(Q2639),1,0)</f>
        <v/>
      </c>
      <c r="Z2639">
        <f>IF(AND(K2639=0,L2639=0,Y2639=0),1,0)</f>
        <v/>
      </c>
      <c r="AA2639">
        <f>IF(AND(Z2639=1,G2639&lt;Assumptions!$C$6),1,0)</f>
        <v/>
      </c>
      <c r="AB2639">
        <f>IF(U2639=0,"",IF(Y2639=1,MAX(0,Q2639-G2639),IF(L2639=1,MAX(0,R2639-G2639),MAX(0,Assumptions!$C$6-G2639))))</f>
        <v/>
      </c>
      <c r="AC2639">
        <f>IF(Y2639=1,Q2639-F2639,"")</f>
        <v/>
      </c>
      <c r="AD2639">
        <f>IF(Y2639=1,AC2639^2,"")</f>
        <v/>
      </c>
      <c r="AE2639" s="19">
        <f>IF(Z2639=1,(H2639-M2639)*I2639,0)</f>
        <v/>
      </c>
      <c r="AF2639">
        <f>IF(G2639&lt;EDATE(Assumptions!$C$6,-12)+1,"prior_12m","last_12m")</f>
        <v/>
      </c>
      <c r="AG2639" s="21">
        <f>DATE(YEAR(G2639),MONTH(G2639),1)</f>
        <v/>
      </c>
    </row>
    <row r="2640">
      <c r="A2640" t="inlineStr">
        <is>
          <t>SPO-01424-1</t>
        </is>
      </c>
      <c r="B2640" t="inlineStr">
        <is>
          <t>SPO-01424</t>
        </is>
      </c>
      <c r="C2640" t="inlineStr">
        <is>
          <t>SUP-06</t>
        </is>
      </c>
      <c r="D2640" t="inlineStr">
        <is>
          <t>MRO</t>
        </is>
      </c>
      <c r="E2640" t="inlineStr">
        <is>
          <t>MRO-03</t>
        </is>
      </c>
      <c r="F2640" s="17" t="n">
        <v>45963</v>
      </c>
      <c r="G2640" s="17" t="n">
        <v>45971</v>
      </c>
      <c r="H2640" s="18" t="n">
        <v>273</v>
      </c>
      <c r="I2640" s="19" t="n">
        <v>8.619999999999999</v>
      </c>
      <c r="J2640" s="19" t="n">
        <v>8.9</v>
      </c>
      <c r="K2640" s="20" t="n">
        <v>0</v>
      </c>
      <c r="L2640" s="20" t="n">
        <v>0</v>
      </c>
      <c r="M2640" s="18" t="n">
        <v>273</v>
      </c>
      <c r="N2640" s="18" t="n">
        <v>273</v>
      </c>
      <c r="O2640" s="18" t="n">
        <v>0</v>
      </c>
      <c r="P2640" s="17" t="n">
        <v>45971</v>
      </c>
      <c r="Q2640" s="17" t="n">
        <v>45971</v>
      </c>
      <c r="R2640" s="17" t="n">
        <v>45971</v>
      </c>
      <c r="S2640" s="19">
        <f>H2640*I2640</f>
        <v/>
      </c>
      <c r="T2640" s="19">
        <f>H2640*J2640</f>
        <v/>
      </c>
      <c r="U2640">
        <f>IF(AND(K2640=0,G2640&lt;=Assumptions!$C$6),1,0)</f>
        <v/>
      </c>
      <c r="V2640">
        <f>IF(U2640=1,IF(M2640&gt;0,IF(P2640&lt;=G2640+Assumptions!$C$7,1,0),0),0)</f>
        <v/>
      </c>
      <c r="W2640">
        <f>IF(AND(U2640=1,M2640&gt;=H2640*(1-Assumptions!$C$8)),1,0)</f>
        <v/>
      </c>
      <c r="X2640">
        <f>IF(AND(U2640=1,N2640&gt;=H2640*(1-Assumptions!$C$8)),1,0)</f>
        <v/>
      </c>
      <c r="Y2640">
        <f>IF(ISNUMBER(Q2640),1,0)</f>
        <v/>
      </c>
      <c r="Z2640">
        <f>IF(AND(K2640=0,L2640=0,Y2640=0),1,0)</f>
        <v/>
      </c>
      <c r="AA2640">
        <f>IF(AND(Z2640=1,G2640&lt;Assumptions!$C$6),1,0)</f>
        <v/>
      </c>
      <c r="AB2640">
        <f>IF(U2640=0,"",IF(Y2640=1,MAX(0,Q2640-G2640),IF(L2640=1,MAX(0,R2640-G2640),MAX(0,Assumptions!$C$6-G2640))))</f>
        <v/>
      </c>
      <c r="AC2640">
        <f>IF(Y2640=1,Q2640-F2640,"")</f>
        <v/>
      </c>
      <c r="AD2640">
        <f>IF(Y2640=1,AC2640^2,"")</f>
        <v/>
      </c>
      <c r="AE2640" s="19">
        <f>IF(Z2640=1,(H2640-M2640)*I2640,0)</f>
        <v/>
      </c>
      <c r="AF2640">
        <f>IF(G2640&lt;EDATE(Assumptions!$C$6,-12)+1,"prior_12m","last_12m")</f>
        <v/>
      </c>
      <c r="AG2640" s="21">
        <f>DATE(YEAR(G2640),MONTH(G2640),1)</f>
        <v/>
      </c>
    </row>
    <row r="2641">
      <c r="A2641" t="inlineStr">
        <is>
          <t>SPO-01424-2</t>
        </is>
      </c>
      <c r="B2641" t="inlineStr">
        <is>
          <t>SPO-01424</t>
        </is>
      </c>
      <c r="C2641" t="inlineStr">
        <is>
          <t>SUP-06</t>
        </is>
      </c>
      <c r="D2641" t="inlineStr">
        <is>
          <t>MRO</t>
        </is>
      </c>
      <c r="E2641" t="inlineStr">
        <is>
          <t>MRO-05</t>
        </is>
      </c>
      <c r="F2641" s="17" t="n">
        <v>45963</v>
      </c>
      <c r="G2641" s="17" t="n">
        <v>45971</v>
      </c>
      <c r="H2641" s="18" t="n">
        <v>67</v>
      </c>
      <c r="I2641" s="19" t="n">
        <v>36.53</v>
      </c>
      <c r="J2641" s="19" t="n">
        <v>36</v>
      </c>
      <c r="K2641" s="20" t="n">
        <v>0</v>
      </c>
      <c r="L2641" s="20" t="n">
        <v>0</v>
      </c>
      <c r="M2641" s="18" t="n">
        <v>67</v>
      </c>
      <c r="N2641" s="18" t="n">
        <v>67</v>
      </c>
      <c r="O2641" s="18" t="n">
        <v>0</v>
      </c>
      <c r="P2641" s="17" t="n">
        <v>45970</v>
      </c>
      <c r="Q2641" s="17" t="n">
        <v>45970</v>
      </c>
      <c r="R2641" s="17" t="n">
        <v>45970</v>
      </c>
      <c r="S2641" s="19">
        <f>H2641*I2641</f>
        <v/>
      </c>
      <c r="T2641" s="19">
        <f>H2641*J2641</f>
        <v/>
      </c>
      <c r="U2641">
        <f>IF(AND(K2641=0,G2641&lt;=Assumptions!$C$6),1,0)</f>
        <v/>
      </c>
      <c r="V2641">
        <f>IF(U2641=1,IF(M2641&gt;0,IF(P2641&lt;=G2641+Assumptions!$C$7,1,0),0),0)</f>
        <v/>
      </c>
      <c r="W2641">
        <f>IF(AND(U2641=1,M2641&gt;=H2641*(1-Assumptions!$C$8)),1,0)</f>
        <v/>
      </c>
      <c r="X2641">
        <f>IF(AND(U2641=1,N2641&gt;=H2641*(1-Assumptions!$C$8)),1,0)</f>
        <v/>
      </c>
      <c r="Y2641">
        <f>IF(ISNUMBER(Q2641),1,0)</f>
        <v/>
      </c>
      <c r="Z2641">
        <f>IF(AND(K2641=0,L2641=0,Y2641=0),1,0)</f>
        <v/>
      </c>
      <c r="AA2641">
        <f>IF(AND(Z2641=1,G2641&lt;Assumptions!$C$6),1,0)</f>
        <v/>
      </c>
      <c r="AB2641">
        <f>IF(U2641=0,"",IF(Y2641=1,MAX(0,Q2641-G2641),IF(L2641=1,MAX(0,R2641-G2641),MAX(0,Assumptions!$C$6-G2641))))</f>
        <v/>
      </c>
      <c r="AC2641">
        <f>IF(Y2641=1,Q2641-F2641,"")</f>
        <v/>
      </c>
      <c r="AD2641">
        <f>IF(Y2641=1,AC2641^2,"")</f>
        <v/>
      </c>
      <c r="AE2641" s="19">
        <f>IF(Z2641=1,(H2641-M2641)*I2641,0)</f>
        <v/>
      </c>
      <c r="AF2641">
        <f>IF(G2641&lt;EDATE(Assumptions!$C$6,-12)+1,"prior_12m","last_12m")</f>
        <v/>
      </c>
      <c r="AG2641" s="21">
        <f>DATE(YEAR(G2641),MONTH(G2641),1)</f>
        <v/>
      </c>
    </row>
    <row r="2642">
      <c r="A2642" t="inlineStr">
        <is>
          <t>SPO-01424-3</t>
        </is>
      </c>
      <c r="B2642" t="inlineStr">
        <is>
          <t>SPO-01424</t>
        </is>
      </c>
      <c r="C2642" t="inlineStr">
        <is>
          <t>SUP-06</t>
        </is>
      </c>
      <c r="D2642" t="inlineStr">
        <is>
          <t>MRO</t>
        </is>
      </c>
      <c r="E2642" t="inlineStr">
        <is>
          <t>MRO-02</t>
        </is>
      </c>
      <c r="F2642" s="17" t="n">
        <v>45963</v>
      </c>
      <c r="G2642" s="17" t="n">
        <v>45971</v>
      </c>
      <c r="H2642" s="18" t="n">
        <v>39</v>
      </c>
      <c r="I2642" s="19" t="n">
        <v>41.56</v>
      </c>
      <c r="J2642" s="19" t="n">
        <v>41</v>
      </c>
      <c r="K2642" s="20" t="n">
        <v>0</v>
      </c>
      <c r="L2642" s="20" t="n">
        <v>0</v>
      </c>
      <c r="M2642" s="18" t="n">
        <v>39</v>
      </c>
      <c r="N2642" s="18" t="n">
        <v>39</v>
      </c>
      <c r="O2642" s="18" t="n">
        <v>0</v>
      </c>
      <c r="P2642" s="17" t="n">
        <v>45968</v>
      </c>
      <c r="Q2642" s="17" t="n">
        <v>45968</v>
      </c>
      <c r="R2642" s="17" t="n">
        <v>45968</v>
      </c>
      <c r="S2642" s="19">
        <f>H2642*I2642</f>
        <v/>
      </c>
      <c r="T2642" s="19">
        <f>H2642*J2642</f>
        <v/>
      </c>
      <c r="U2642">
        <f>IF(AND(K2642=0,G2642&lt;=Assumptions!$C$6),1,0)</f>
        <v/>
      </c>
      <c r="V2642">
        <f>IF(U2642=1,IF(M2642&gt;0,IF(P2642&lt;=G2642+Assumptions!$C$7,1,0),0),0)</f>
        <v/>
      </c>
      <c r="W2642">
        <f>IF(AND(U2642=1,M2642&gt;=H2642*(1-Assumptions!$C$8)),1,0)</f>
        <v/>
      </c>
      <c r="X2642">
        <f>IF(AND(U2642=1,N2642&gt;=H2642*(1-Assumptions!$C$8)),1,0)</f>
        <v/>
      </c>
      <c r="Y2642">
        <f>IF(ISNUMBER(Q2642),1,0)</f>
        <v/>
      </c>
      <c r="Z2642">
        <f>IF(AND(K2642=0,L2642=0,Y2642=0),1,0)</f>
        <v/>
      </c>
      <c r="AA2642">
        <f>IF(AND(Z2642=1,G2642&lt;Assumptions!$C$6),1,0)</f>
        <v/>
      </c>
      <c r="AB2642">
        <f>IF(U2642=0,"",IF(Y2642=1,MAX(0,Q2642-G2642),IF(L2642=1,MAX(0,R2642-G2642),MAX(0,Assumptions!$C$6-G2642))))</f>
        <v/>
      </c>
      <c r="AC2642">
        <f>IF(Y2642=1,Q2642-F2642,"")</f>
        <v/>
      </c>
      <c r="AD2642">
        <f>IF(Y2642=1,AC2642^2,"")</f>
        <v/>
      </c>
      <c r="AE2642" s="19">
        <f>IF(Z2642=1,(H2642-M2642)*I2642,0)</f>
        <v/>
      </c>
      <c r="AF2642">
        <f>IF(G2642&lt;EDATE(Assumptions!$C$6,-12)+1,"prior_12m","last_12m")</f>
        <v/>
      </c>
      <c r="AG2642" s="21">
        <f>DATE(YEAR(G2642),MONTH(G2642),1)</f>
        <v/>
      </c>
    </row>
    <row r="2643">
      <c r="A2643" t="inlineStr">
        <is>
          <t>SPO-01424-4</t>
        </is>
      </c>
      <c r="B2643" t="inlineStr">
        <is>
          <t>SPO-01424</t>
        </is>
      </c>
      <c r="C2643" t="inlineStr">
        <is>
          <t>SUP-06</t>
        </is>
      </c>
      <c r="D2643" t="inlineStr">
        <is>
          <t>MRO</t>
        </is>
      </c>
      <c r="E2643" t="inlineStr">
        <is>
          <t>MRO-04</t>
        </is>
      </c>
      <c r="F2643" s="17" t="n">
        <v>45963</v>
      </c>
      <c r="G2643" s="17" t="n">
        <v>45971</v>
      </c>
      <c r="H2643" s="18" t="n">
        <v>15</v>
      </c>
      <c r="I2643" s="19" t="n">
        <v>57.42</v>
      </c>
      <c r="J2643" s="19" t="n">
        <v>58</v>
      </c>
      <c r="K2643" s="20" t="n">
        <v>0</v>
      </c>
      <c r="L2643" s="20" t="n">
        <v>0</v>
      </c>
      <c r="M2643" s="18" t="n">
        <v>15</v>
      </c>
      <c r="N2643" s="18" t="n">
        <v>15</v>
      </c>
      <c r="O2643" s="18" t="n">
        <v>0</v>
      </c>
      <c r="P2643" s="17" t="n">
        <v>45970</v>
      </c>
      <c r="Q2643" s="17" t="n">
        <v>45970</v>
      </c>
      <c r="R2643" s="17" t="n">
        <v>45970</v>
      </c>
      <c r="S2643" s="19">
        <f>H2643*I2643</f>
        <v/>
      </c>
      <c r="T2643" s="19">
        <f>H2643*J2643</f>
        <v/>
      </c>
      <c r="U2643">
        <f>IF(AND(K2643=0,G2643&lt;=Assumptions!$C$6),1,0)</f>
        <v/>
      </c>
      <c r="V2643">
        <f>IF(U2643=1,IF(M2643&gt;0,IF(P2643&lt;=G2643+Assumptions!$C$7,1,0),0),0)</f>
        <v/>
      </c>
      <c r="W2643">
        <f>IF(AND(U2643=1,M2643&gt;=H2643*(1-Assumptions!$C$8)),1,0)</f>
        <v/>
      </c>
      <c r="X2643">
        <f>IF(AND(U2643=1,N2643&gt;=H2643*(1-Assumptions!$C$8)),1,0)</f>
        <v/>
      </c>
      <c r="Y2643">
        <f>IF(ISNUMBER(Q2643),1,0)</f>
        <v/>
      </c>
      <c r="Z2643">
        <f>IF(AND(K2643=0,L2643=0,Y2643=0),1,0)</f>
        <v/>
      </c>
      <c r="AA2643">
        <f>IF(AND(Z2643=1,G2643&lt;Assumptions!$C$6),1,0)</f>
        <v/>
      </c>
      <c r="AB2643">
        <f>IF(U2643=0,"",IF(Y2643=1,MAX(0,Q2643-G2643),IF(L2643=1,MAX(0,R2643-G2643),MAX(0,Assumptions!$C$6-G2643))))</f>
        <v/>
      </c>
      <c r="AC2643">
        <f>IF(Y2643=1,Q2643-F2643,"")</f>
        <v/>
      </c>
      <c r="AD2643">
        <f>IF(Y2643=1,AC2643^2,"")</f>
        <v/>
      </c>
      <c r="AE2643" s="19">
        <f>IF(Z2643=1,(H2643-M2643)*I2643,0)</f>
        <v/>
      </c>
      <c r="AF2643">
        <f>IF(G2643&lt;EDATE(Assumptions!$C$6,-12)+1,"prior_12m","last_12m")</f>
        <v/>
      </c>
      <c r="AG2643" s="21">
        <f>DATE(YEAR(G2643),MONTH(G2643),1)</f>
        <v/>
      </c>
    </row>
    <row r="2644">
      <c r="A2644" t="inlineStr">
        <is>
          <t>SPO-01425-1</t>
        </is>
      </c>
      <c r="B2644" t="inlineStr">
        <is>
          <t>SPO-01425</t>
        </is>
      </c>
      <c r="C2644" t="inlineStr">
        <is>
          <t>SUP-07</t>
        </is>
      </c>
      <c r="D2644" t="inlineStr">
        <is>
          <t>MRO</t>
        </is>
      </c>
      <c r="E2644" t="inlineStr">
        <is>
          <t>MRO-01</t>
        </is>
      </c>
      <c r="F2644" s="17" t="n">
        <v>45964</v>
      </c>
      <c r="G2644" s="17" t="n">
        <v>45974</v>
      </c>
      <c r="H2644" s="18" t="n">
        <v>39</v>
      </c>
      <c r="I2644" s="19" t="n">
        <v>52.29</v>
      </c>
      <c r="J2644" s="19" t="n">
        <v>52</v>
      </c>
      <c r="K2644" s="20" t="n">
        <v>0</v>
      </c>
      <c r="L2644" s="20" t="n">
        <v>0</v>
      </c>
      <c r="M2644" s="18" t="n">
        <v>39</v>
      </c>
      <c r="N2644" s="18" t="n">
        <v>39</v>
      </c>
      <c r="O2644" s="18" t="n">
        <v>0</v>
      </c>
      <c r="P2644" s="17" t="n">
        <v>45973</v>
      </c>
      <c r="Q2644" s="17" t="n">
        <v>45973</v>
      </c>
      <c r="R2644" s="17" t="n">
        <v>45973</v>
      </c>
      <c r="S2644" s="19">
        <f>H2644*I2644</f>
        <v/>
      </c>
      <c r="T2644" s="19">
        <f>H2644*J2644</f>
        <v/>
      </c>
      <c r="U2644">
        <f>IF(AND(K2644=0,G2644&lt;=Assumptions!$C$6),1,0)</f>
        <v/>
      </c>
      <c r="V2644">
        <f>IF(U2644=1,IF(M2644&gt;0,IF(P2644&lt;=G2644+Assumptions!$C$7,1,0),0),0)</f>
        <v/>
      </c>
      <c r="W2644">
        <f>IF(AND(U2644=1,M2644&gt;=H2644*(1-Assumptions!$C$8)),1,0)</f>
        <v/>
      </c>
      <c r="X2644">
        <f>IF(AND(U2644=1,N2644&gt;=H2644*(1-Assumptions!$C$8)),1,0)</f>
        <v/>
      </c>
      <c r="Y2644">
        <f>IF(ISNUMBER(Q2644),1,0)</f>
        <v/>
      </c>
      <c r="Z2644">
        <f>IF(AND(K2644=0,L2644=0,Y2644=0),1,0)</f>
        <v/>
      </c>
      <c r="AA2644">
        <f>IF(AND(Z2644=1,G2644&lt;Assumptions!$C$6),1,0)</f>
        <v/>
      </c>
      <c r="AB2644">
        <f>IF(U2644=0,"",IF(Y2644=1,MAX(0,Q2644-G2644),IF(L2644=1,MAX(0,R2644-G2644),MAX(0,Assumptions!$C$6-G2644))))</f>
        <v/>
      </c>
      <c r="AC2644">
        <f>IF(Y2644=1,Q2644-F2644,"")</f>
        <v/>
      </c>
      <c r="AD2644">
        <f>IF(Y2644=1,AC2644^2,"")</f>
        <v/>
      </c>
      <c r="AE2644" s="19">
        <f>IF(Z2644=1,(H2644-M2644)*I2644,0)</f>
        <v/>
      </c>
      <c r="AF2644">
        <f>IF(G2644&lt;EDATE(Assumptions!$C$6,-12)+1,"prior_12m","last_12m")</f>
        <v/>
      </c>
      <c r="AG2644" s="21">
        <f>DATE(YEAR(G2644),MONTH(G2644),1)</f>
        <v/>
      </c>
    </row>
    <row r="2645">
      <c r="A2645" t="inlineStr">
        <is>
          <t>SPO-01425-2</t>
        </is>
      </c>
      <c r="B2645" t="inlineStr">
        <is>
          <t>SPO-01425</t>
        </is>
      </c>
      <c r="C2645" t="inlineStr">
        <is>
          <t>SUP-07</t>
        </is>
      </c>
      <c r="D2645" t="inlineStr">
        <is>
          <t>MRO</t>
        </is>
      </c>
      <c r="E2645" t="inlineStr">
        <is>
          <t>MRO-05</t>
        </is>
      </c>
      <c r="F2645" s="17" t="n">
        <v>45964</v>
      </c>
      <c r="G2645" s="17" t="n">
        <v>45974</v>
      </c>
      <c r="H2645" s="18" t="n">
        <v>8</v>
      </c>
      <c r="I2645" s="19" t="n">
        <v>36.23</v>
      </c>
      <c r="J2645" s="19" t="n">
        <v>36</v>
      </c>
      <c r="K2645" s="20" t="n">
        <v>0</v>
      </c>
      <c r="L2645" s="20" t="n">
        <v>0</v>
      </c>
      <c r="M2645" s="18" t="n">
        <v>8</v>
      </c>
      <c r="N2645" s="18" t="n">
        <v>8</v>
      </c>
      <c r="O2645" s="18" t="n">
        <v>0</v>
      </c>
      <c r="P2645" s="17" t="n">
        <v>45971</v>
      </c>
      <c r="Q2645" s="17" t="n">
        <v>45971</v>
      </c>
      <c r="R2645" s="17" t="n">
        <v>45971</v>
      </c>
      <c r="S2645" s="19">
        <f>H2645*I2645</f>
        <v/>
      </c>
      <c r="T2645" s="19">
        <f>H2645*J2645</f>
        <v/>
      </c>
      <c r="U2645">
        <f>IF(AND(K2645=0,G2645&lt;=Assumptions!$C$6),1,0)</f>
        <v/>
      </c>
      <c r="V2645">
        <f>IF(U2645=1,IF(M2645&gt;0,IF(P2645&lt;=G2645+Assumptions!$C$7,1,0),0),0)</f>
        <v/>
      </c>
      <c r="W2645">
        <f>IF(AND(U2645=1,M2645&gt;=H2645*(1-Assumptions!$C$8)),1,0)</f>
        <v/>
      </c>
      <c r="X2645">
        <f>IF(AND(U2645=1,N2645&gt;=H2645*(1-Assumptions!$C$8)),1,0)</f>
        <v/>
      </c>
      <c r="Y2645">
        <f>IF(ISNUMBER(Q2645),1,0)</f>
        <v/>
      </c>
      <c r="Z2645">
        <f>IF(AND(K2645=0,L2645=0,Y2645=0),1,0)</f>
        <v/>
      </c>
      <c r="AA2645">
        <f>IF(AND(Z2645=1,G2645&lt;Assumptions!$C$6),1,0)</f>
        <v/>
      </c>
      <c r="AB2645">
        <f>IF(U2645=0,"",IF(Y2645=1,MAX(0,Q2645-G2645),IF(L2645=1,MAX(0,R2645-G2645),MAX(0,Assumptions!$C$6-G2645))))</f>
        <v/>
      </c>
      <c r="AC2645">
        <f>IF(Y2645=1,Q2645-F2645,"")</f>
        <v/>
      </c>
      <c r="AD2645">
        <f>IF(Y2645=1,AC2645^2,"")</f>
        <v/>
      </c>
      <c r="AE2645" s="19">
        <f>IF(Z2645=1,(H2645-M2645)*I2645,0)</f>
        <v/>
      </c>
      <c r="AF2645">
        <f>IF(G2645&lt;EDATE(Assumptions!$C$6,-12)+1,"prior_12m","last_12m")</f>
        <v/>
      </c>
      <c r="AG2645" s="21">
        <f>DATE(YEAR(G2645),MONTH(G2645),1)</f>
        <v/>
      </c>
    </row>
    <row r="2646">
      <c r="A2646" t="inlineStr">
        <is>
          <t>SPO-01425-3</t>
        </is>
      </c>
      <c r="B2646" t="inlineStr">
        <is>
          <t>SPO-01425</t>
        </is>
      </c>
      <c r="C2646" t="inlineStr">
        <is>
          <t>SUP-07</t>
        </is>
      </c>
      <c r="D2646" t="inlineStr">
        <is>
          <t>MRO</t>
        </is>
      </c>
      <c r="E2646" t="inlineStr">
        <is>
          <t>MRO-04</t>
        </is>
      </c>
      <c r="F2646" s="17" t="n">
        <v>45964</v>
      </c>
      <c r="G2646" s="17" t="n">
        <v>45974</v>
      </c>
      <c r="H2646" s="18" t="n">
        <v>57</v>
      </c>
      <c r="I2646" s="19" t="n">
        <v>57.38</v>
      </c>
      <c r="J2646" s="19" t="n">
        <v>58</v>
      </c>
      <c r="K2646" s="20" t="n">
        <v>0</v>
      </c>
      <c r="L2646" s="20" t="n">
        <v>1</v>
      </c>
      <c r="M2646" s="18" t="n">
        <v>25</v>
      </c>
      <c r="N2646" s="18" t="n">
        <v>25</v>
      </c>
      <c r="O2646" s="18" t="n">
        <v>0</v>
      </c>
      <c r="P2646" s="17" t="n">
        <v>45971</v>
      </c>
      <c r="Q2646" s="17" t="n"/>
      <c r="R2646" s="17" t="n">
        <v>45971</v>
      </c>
      <c r="S2646" s="19">
        <f>H2646*I2646</f>
        <v/>
      </c>
      <c r="T2646" s="19">
        <f>H2646*J2646</f>
        <v/>
      </c>
      <c r="U2646">
        <f>IF(AND(K2646=0,G2646&lt;=Assumptions!$C$6),1,0)</f>
        <v/>
      </c>
      <c r="V2646">
        <f>IF(U2646=1,IF(M2646&gt;0,IF(P2646&lt;=G2646+Assumptions!$C$7,1,0),0),0)</f>
        <v/>
      </c>
      <c r="W2646">
        <f>IF(AND(U2646=1,M2646&gt;=H2646*(1-Assumptions!$C$8)),1,0)</f>
        <v/>
      </c>
      <c r="X2646">
        <f>IF(AND(U2646=1,N2646&gt;=H2646*(1-Assumptions!$C$8)),1,0)</f>
        <v/>
      </c>
      <c r="Y2646">
        <f>IF(ISNUMBER(Q2646),1,0)</f>
        <v/>
      </c>
      <c r="Z2646">
        <f>IF(AND(K2646=0,L2646=0,Y2646=0),1,0)</f>
        <v/>
      </c>
      <c r="AA2646">
        <f>IF(AND(Z2646=1,G2646&lt;Assumptions!$C$6),1,0)</f>
        <v/>
      </c>
      <c r="AB2646">
        <f>IF(U2646=0,"",IF(Y2646=1,MAX(0,Q2646-G2646),IF(L2646=1,MAX(0,R2646-G2646),MAX(0,Assumptions!$C$6-G2646))))</f>
        <v/>
      </c>
      <c r="AC2646">
        <f>IF(Y2646=1,Q2646-F2646,"")</f>
        <v/>
      </c>
      <c r="AD2646">
        <f>IF(Y2646=1,AC2646^2,"")</f>
        <v/>
      </c>
      <c r="AE2646" s="19">
        <f>IF(Z2646=1,(H2646-M2646)*I2646,0)</f>
        <v/>
      </c>
      <c r="AF2646">
        <f>IF(G2646&lt;EDATE(Assumptions!$C$6,-12)+1,"prior_12m","last_12m")</f>
        <v/>
      </c>
      <c r="AG2646" s="21">
        <f>DATE(YEAR(G2646),MONTH(G2646),1)</f>
        <v/>
      </c>
    </row>
    <row r="2647">
      <c r="A2647" t="inlineStr">
        <is>
          <t>SPO-01425-4</t>
        </is>
      </c>
      <c r="B2647" t="inlineStr">
        <is>
          <t>SPO-01425</t>
        </is>
      </c>
      <c r="C2647" t="inlineStr">
        <is>
          <t>SUP-07</t>
        </is>
      </c>
      <c r="D2647" t="inlineStr">
        <is>
          <t>MRO</t>
        </is>
      </c>
      <c r="E2647" t="inlineStr">
        <is>
          <t>MRO-03</t>
        </is>
      </c>
      <c r="F2647" s="17" t="n">
        <v>45964</v>
      </c>
      <c r="G2647" s="17" t="n">
        <v>45974</v>
      </c>
      <c r="H2647" s="18" t="n">
        <v>180</v>
      </c>
      <c r="I2647" s="19" t="n">
        <v>8.65</v>
      </c>
      <c r="J2647" s="19" t="n">
        <v>8.9</v>
      </c>
      <c r="K2647" s="20" t="n">
        <v>0</v>
      </c>
      <c r="L2647" s="20" t="n">
        <v>0</v>
      </c>
      <c r="M2647" s="18" t="n">
        <v>180</v>
      </c>
      <c r="N2647" s="18" t="n">
        <v>180</v>
      </c>
      <c r="O2647" s="18" t="n">
        <v>0</v>
      </c>
      <c r="P2647" s="17" t="n">
        <v>45973</v>
      </c>
      <c r="Q2647" s="17" t="n">
        <v>45973</v>
      </c>
      <c r="R2647" s="17" t="n">
        <v>45973</v>
      </c>
      <c r="S2647" s="19">
        <f>H2647*I2647</f>
        <v/>
      </c>
      <c r="T2647" s="19">
        <f>H2647*J2647</f>
        <v/>
      </c>
      <c r="U2647">
        <f>IF(AND(K2647=0,G2647&lt;=Assumptions!$C$6),1,0)</f>
        <v/>
      </c>
      <c r="V2647">
        <f>IF(U2647=1,IF(M2647&gt;0,IF(P2647&lt;=G2647+Assumptions!$C$7,1,0),0),0)</f>
        <v/>
      </c>
      <c r="W2647">
        <f>IF(AND(U2647=1,M2647&gt;=H2647*(1-Assumptions!$C$8)),1,0)</f>
        <v/>
      </c>
      <c r="X2647">
        <f>IF(AND(U2647=1,N2647&gt;=H2647*(1-Assumptions!$C$8)),1,0)</f>
        <v/>
      </c>
      <c r="Y2647">
        <f>IF(ISNUMBER(Q2647),1,0)</f>
        <v/>
      </c>
      <c r="Z2647">
        <f>IF(AND(K2647=0,L2647=0,Y2647=0),1,0)</f>
        <v/>
      </c>
      <c r="AA2647">
        <f>IF(AND(Z2647=1,G2647&lt;Assumptions!$C$6),1,0)</f>
        <v/>
      </c>
      <c r="AB2647">
        <f>IF(U2647=0,"",IF(Y2647=1,MAX(0,Q2647-G2647),IF(L2647=1,MAX(0,R2647-G2647),MAX(0,Assumptions!$C$6-G2647))))</f>
        <v/>
      </c>
      <c r="AC2647">
        <f>IF(Y2647=1,Q2647-F2647,"")</f>
        <v/>
      </c>
      <c r="AD2647">
        <f>IF(Y2647=1,AC2647^2,"")</f>
        <v/>
      </c>
      <c r="AE2647" s="19">
        <f>IF(Z2647=1,(H2647-M2647)*I2647,0)</f>
        <v/>
      </c>
      <c r="AF2647">
        <f>IF(G2647&lt;EDATE(Assumptions!$C$6,-12)+1,"prior_12m","last_12m")</f>
        <v/>
      </c>
      <c r="AG2647" s="21">
        <f>DATE(YEAR(G2647),MONTH(G2647),1)</f>
        <v/>
      </c>
    </row>
    <row r="2648">
      <c r="A2648" t="inlineStr">
        <is>
          <t>SPO-01426-1</t>
        </is>
      </c>
      <c r="B2648" t="inlineStr">
        <is>
          <t>SPO-01426</t>
        </is>
      </c>
      <c r="C2648" t="inlineStr">
        <is>
          <t>SUP-02</t>
        </is>
      </c>
      <c r="D2648" t="inlineStr">
        <is>
          <t>ELEC</t>
        </is>
      </c>
      <c r="E2648" t="inlineStr">
        <is>
          <t>ELEC-07</t>
        </is>
      </c>
      <c r="F2648" s="17" t="n">
        <v>45964</v>
      </c>
      <c r="G2648" s="17" t="n">
        <v>45980</v>
      </c>
      <c r="H2648" s="18" t="n">
        <v>113</v>
      </c>
      <c r="I2648" s="19" t="n">
        <v>9.619999999999999</v>
      </c>
      <c r="J2648" s="19" t="n">
        <v>9.800000000000001</v>
      </c>
      <c r="K2648" s="20" t="n">
        <v>0</v>
      </c>
      <c r="L2648" s="20" t="n">
        <v>0</v>
      </c>
      <c r="M2648" s="18" t="n">
        <v>113</v>
      </c>
      <c r="N2648" s="18" t="n">
        <v>113</v>
      </c>
      <c r="O2648" s="18" t="n">
        <v>0</v>
      </c>
      <c r="P2648" s="17" t="n">
        <v>45973</v>
      </c>
      <c r="Q2648" s="17" t="n">
        <v>45973</v>
      </c>
      <c r="R2648" s="17" t="n">
        <v>45973</v>
      </c>
      <c r="S2648" s="19">
        <f>H2648*I2648</f>
        <v/>
      </c>
      <c r="T2648" s="19">
        <f>H2648*J2648</f>
        <v/>
      </c>
      <c r="U2648">
        <f>IF(AND(K2648=0,G2648&lt;=Assumptions!$C$6),1,0)</f>
        <v/>
      </c>
      <c r="V2648">
        <f>IF(U2648=1,IF(M2648&gt;0,IF(P2648&lt;=G2648+Assumptions!$C$7,1,0),0),0)</f>
        <v/>
      </c>
      <c r="W2648">
        <f>IF(AND(U2648=1,M2648&gt;=H2648*(1-Assumptions!$C$8)),1,0)</f>
        <v/>
      </c>
      <c r="X2648">
        <f>IF(AND(U2648=1,N2648&gt;=H2648*(1-Assumptions!$C$8)),1,0)</f>
        <v/>
      </c>
      <c r="Y2648">
        <f>IF(ISNUMBER(Q2648),1,0)</f>
        <v/>
      </c>
      <c r="Z2648">
        <f>IF(AND(K2648=0,L2648=0,Y2648=0),1,0)</f>
        <v/>
      </c>
      <c r="AA2648">
        <f>IF(AND(Z2648=1,G2648&lt;Assumptions!$C$6),1,0)</f>
        <v/>
      </c>
      <c r="AB2648">
        <f>IF(U2648=0,"",IF(Y2648=1,MAX(0,Q2648-G2648),IF(L2648=1,MAX(0,R2648-G2648),MAX(0,Assumptions!$C$6-G2648))))</f>
        <v/>
      </c>
      <c r="AC2648">
        <f>IF(Y2648=1,Q2648-F2648,"")</f>
        <v/>
      </c>
      <c r="AD2648">
        <f>IF(Y2648=1,AC2648^2,"")</f>
        <v/>
      </c>
      <c r="AE2648" s="19">
        <f>IF(Z2648=1,(H2648-M2648)*I2648,0)</f>
        <v/>
      </c>
      <c r="AF2648">
        <f>IF(G2648&lt;EDATE(Assumptions!$C$6,-12)+1,"prior_12m","last_12m")</f>
        <v/>
      </c>
      <c r="AG2648" s="21">
        <f>DATE(YEAR(G2648),MONTH(G2648),1)</f>
        <v/>
      </c>
    </row>
    <row r="2649">
      <c r="A2649" t="inlineStr">
        <is>
          <t>SPO-01427-1</t>
        </is>
      </c>
      <c r="B2649" t="inlineStr">
        <is>
          <t>SPO-01427</t>
        </is>
      </c>
      <c r="C2649" t="inlineStr">
        <is>
          <t>SUP-04</t>
        </is>
      </c>
      <c r="D2649" t="inlineStr">
        <is>
          <t>FLEET</t>
        </is>
      </c>
      <c r="E2649" t="inlineStr">
        <is>
          <t>FLEET-04</t>
        </is>
      </c>
      <c r="F2649" s="17" t="n">
        <v>45964</v>
      </c>
      <c r="G2649" s="17" t="n">
        <v>45977</v>
      </c>
      <c r="H2649" s="18" t="n">
        <v>206</v>
      </c>
      <c r="I2649" s="19" t="n">
        <v>8.85</v>
      </c>
      <c r="J2649" s="19" t="n">
        <v>9</v>
      </c>
      <c r="K2649" s="20" t="n">
        <v>0</v>
      </c>
      <c r="L2649" s="20" t="n">
        <v>0</v>
      </c>
      <c r="M2649" s="18" t="n">
        <v>206</v>
      </c>
      <c r="N2649" s="18" t="n">
        <v>206</v>
      </c>
      <c r="O2649" s="18" t="n">
        <v>0</v>
      </c>
      <c r="P2649" s="17" t="n">
        <v>45976</v>
      </c>
      <c r="Q2649" s="17" t="n">
        <v>45976</v>
      </c>
      <c r="R2649" s="17" t="n">
        <v>45976</v>
      </c>
      <c r="S2649" s="19">
        <f>H2649*I2649</f>
        <v/>
      </c>
      <c r="T2649" s="19">
        <f>H2649*J2649</f>
        <v/>
      </c>
      <c r="U2649">
        <f>IF(AND(K2649=0,G2649&lt;=Assumptions!$C$6),1,0)</f>
        <v/>
      </c>
      <c r="V2649">
        <f>IF(U2649=1,IF(M2649&gt;0,IF(P2649&lt;=G2649+Assumptions!$C$7,1,0),0),0)</f>
        <v/>
      </c>
      <c r="W2649">
        <f>IF(AND(U2649=1,M2649&gt;=H2649*(1-Assumptions!$C$8)),1,0)</f>
        <v/>
      </c>
      <c r="X2649">
        <f>IF(AND(U2649=1,N2649&gt;=H2649*(1-Assumptions!$C$8)),1,0)</f>
        <v/>
      </c>
      <c r="Y2649">
        <f>IF(ISNUMBER(Q2649),1,0)</f>
        <v/>
      </c>
      <c r="Z2649">
        <f>IF(AND(K2649=0,L2649=0,Y2649=0),1,0)</f>
        <v/>
      </c>
      <c r="AA2649">
        <f>IF(AND(Z2649=1,G2649&lt;Assumptions!$C$6),1,0)</f>
        <v/>
      </c>
      <c r="AB2649">
        <f>IF(U2649=0,"",IF(Y2649=1,MAX(0,Q2649-G2649),IF(L2649=1,MAX(0,R2649-G2649),MAX(0,Assumptions!$C$6-G2649))))</f>
        <v/>
      </c>
      <c r="AC2649">
        <f>IF(Y2649=1,Q2649-F2649,"")</f>
        <v/>
      </c>
      <c r="AD2649">
        <f>IF(Y2649=1,AC2649^2,"")</f>
        <v/>
      </c>
      <c r="AE2649" s="19">
        <f>IF(Z2649=1,(H2649-M2649)*I2649,0)</f>
        <v/>
      </c>
      <c r="AF2649">
        <f>IF(G2649&lt;EDATE(Assumptions!$C$6,-12)+1,"prior_12m","last_12m")</f>
        <v/>
      </c>
      <c r="AG2649" s="21">
        <f>DATE(YEAR(G2649),MONTH(G2649),1)</f>
        <v/>
      </c>
    </row>
    <row r="2650">
      <c r="A2650" t="inlineStr">
        <is>
          <t>SPO-01427-2</t>
        </is>
      </c>
      <c r="B2650" t="inlineStr">
        <is>
          <t>SPO-01427</t>
        </is>
      </c>
      <c r="C2650" t="inlineStr">
        <is>
          <t>SUP-04</t>
        </is>
      </c>
      <c r="D2650" t="inlineStr">
        <is>
          <t>FLEET</t>
        </is>
      </c>
      <c r="E2650" t="inlineStr">
        <is>
          <t>FLEET-08</t>
        </is>
      </c>
      <c r="F2650" s="17" t="n">
        <v>45964</v>
      </c>
      <c r="G2650" s="17" t="n">
        <v>45977</v>
      </c>
      <c r="H2650" s="18" t="n">
        <v>156</v>
      </c>
      <c r="I2650" s="19" t="n">
        <v>6.09</v>
      </c>
      <c r="J2650" s="19" t="n">
        <v>6.4</v>
      </c>
      <c r="K2650" s="20" t="n">
        <v>0</v>
      </c>
      <c r="L2650" s="20" t="n">
        <v>0</v>
      </c>
      <c r="M2650" s="18" t="n">
        <v>156</v>
      </c>
      <c r="N2650" s="18" t="n">
        <v>156</v>
      </c>
      <c r="O2650" s="18" t="n">
        <v>19</v>
      </c>
      <c r="P2650" s="17" t="n">
        <v>45976</v>
      </c>
      <c r="Q2650" s="17" t="n">
        <v>45976</v>
      </c>
      <c r="R2650" s="17" t="n">
        <v>45976</v>
      </c>
      <c r="S2650" s="19">
        <f>H2650*I2650</f>
        <v/>
      </c>
      <c r="T2650" s="19">
        <f>H2650*J2650</f>
        <v/>
      </c>
      <c r="U2650">
        <f>IF(AND(K2650=0,G2650&lt;=Assumptions!$C$6),1,0)</f>
        <v/>
      </c>
      <c r="V2650">
        <f>IF(U2650=1,IF(M2650&gt;0,IF(P2650&lt;=G2650+Assumptions!$C$7,1,0),0),0)</f>
        <v/>
      </c>
      <c r="W2650">
        <f>IF(AND(U2650=1,M2650&gt;=H2650*(1-Assumptions!$C$8)),1,0)</f>
        <v/>
      </c>
      <c r="X2650">
        <f>IF(AND(U2650=1,N2650&gt;=H2650*(1-Assumptions!$C$8)),1,0)</f>
        <v/>
      </c>
      <c r="Y2650">
        <f>IF(ISNUMBER(Q2650),1,0)</f>
        <v/>
      </c>
      <c r="Z2650">
        <f>IF(AND(K2650=0,L2650=0,Y2650=0),1,0)</f>
        <v/>
      </c>
      <c r="AA2650">
        <f>IF(AND(Z2650=1,G2650&lt;Assumptions!$C$6),1,0)</f>
        <v/>
      </c>
      <c r="AB2650">
        <f>IF(U2650=0,"",IF(Y2650=1,MAX(0,Q2650-G2650),IF(L2650=1,MAX(0,R2650-G2650),MAX(0,Assumptions!$C$6-G2650))))</f>
        <v/>
      </c>
      <c r="AC2650">
        <f>IF(Y2650=1,Q2650-F2650,"")</f>
        <v/>
      </c>
      <c r="AD2650">
        <f>IF(Y2650=1,AC2650^2,"")</f>
        <v/>
      </c>
      <c r="AE2650" s="19">
        <f>IF(Z2650=1,(H2650-M2650)*I2650,0)</f>
        <v/>
      </c>
      <c r="AF2650">
        <f>IF(G2650&lt;EDATE(Assumptions!$C$6,-12)+1,"prior_12m","last_12m")</f>
        <v/>
      </c>
      <c r="AG2650" s="21">
        <f>DATE(YEAR(G2650),MONTH(G2650),1)</f>
        <v/>
      </c>
    </row>
    <row r="2651">
      <c r="A2651" t="inlineStr">
        <is>
          <t>SPO-01427-3</t>
        </is>
      </c>
      <c r="B2651" t="inlineStr">
        <is>
          <t>SPO-01427</t>
        </is>
      </c>
      <c r="C2651" t="inlineStr">
        <is>
          <t>SUP-04</t>
        </is>
      </c>
      <c r="D2651" t="inlineStr">
        <is>
          <t>FLEET</t>
        </is>
      </c>
      <c r="E2651" t="inlineStr">
        <is>
          <t>FLEET-03</t>
        </is>
      </c>
      <c r="F2651" s="17" t="n">
        <v>45964</v>
      </c>
      <c r="G2651" s="17" t="n">
        <v>45977</v>
      </c>
      <c r="H2651" s="18" t="n">
        <v>210</v>
      </c>
      <c r="I2651" s="19" t="n">
        <v>20.5</v>
      </c>
      <c r="J2651" s="19" t="n">
        <v>21</v>
      </c>
      <c r="K2651" s="20" t="n">
        <v>0</v>
      </c>
      <c r="L2651" s="20" t="n">
        <v>0</v>
      </c>
      <c r="M2651" s="18" t="n">
        <v>210</v>
      </c>
      <c r="N2651" s="18" t="n">
        <v>210</v>
      </c>
      <c r="O2651" s="18" t="n">
        <v>0</v>
      </c>
      <c r="P2651" s="17" t="n">
        <v>45970</v>
      </c>
      <c r="Q2651" s="17" t="n">
        <v>45970</v>
      </c>
      <c r="R2651" s="17" t="n">
        <v>45970</v>
      </c>
      <c r="S2651" s="19">
        <f>H2651*I2651</f>
        <v/>
      </c>
      <c r="T2651" s="19">
        <f>H2651*J2651</f>
        <v/>
      </c>
      <c r="U2651">
        <f>IF(AND(K2651=0,G2651&lt;=Assumptions!$C$6),1,0)</f>
        <v/>
      </c>
      <c r="V2651">
        <f>IF(U2651=1,IF(M2651&gt;0,IF(P2651&lt;=G2651+Assumptions!$C$7,1,0),0),0)</f>
        <v/>
      </c>
      <c r="W2651">
        <f>IF(AND(U2651=1,M2651&gt;=H2651*(1-Assumptions!$C$8)),1,0)</f>
        <v/>
      </c>
      <c r="X2651">
        <f>IF(AND(U2651=1,N2651&gt;=H2651*(1-Assumptions!$C$8)),1,0)</f>
        <v/>
      </c>
      <c r="Y2651">
        <f>IF(ISNUMBER(Q2651),1,0)</f>
        <v/>
      </c>
      <c r="Z2651">
        <f>IF(AND(K2651=0,L2651=0,Y2651=0),1,0)</f>
        <v/>
      </c>
      <c r="AA2651">
        <f>IF(AND(Z2651=1,G2651&lt;Assumptions!$C$6),1,0)</f>
        <v/>
      </c>
      <c r="AB2651">
        <f>IF(U2651=0,"",IF(Y2651=1,MAX(0,Q2651-G2651),IF(L2651=1,MAX(0,R2651-G2651),MAX(0,Assumptions!$C$6-G2651))))</f>
        <v/>
      </c>
      <c r="AC2651">
        <f>IF(Y2651=1,Q2651-F2651,"")</f>
        <v/>
      </c>
      <c r="AD2651">
        <f>IF(Y2651=1,AC2651^2,"")</f>
        <v/>
      </c>
      <c r="AE2651" s="19">
        <f>IF(Z2651=1,(H2651-M2651)*I2651,0)</f>
        <v/>
      </c>
      <c r="AF2651">
        <f>IF(G2651&lt;EDATE(Assumptions!$C$6,-12)+1,"prior_12m","last_12m")</f>
        <v/>
      </c>
      <c r="AG2651" s="21">
        <f>DATE(YEAR(G2651),MONTH(G2651),1)</f>
        <v/>
      </c>
    </row>
    <row r="2652">
      <c r="A2652" t="inlineStr">
        <is>
          <t>SPO-01428-1</t>
        </is>
      </c>
      <c r="B2652" t="inlineStr">
        <is>
          <t>SPO-01428</t>
        </is>
      </c>
      <c r="C2652" t="inlineStr">
        <is>
          <t>SUP-08</t>
        </is>
      </c>
      <c r="D2652" t="inlineStr">
        <is>
          <t>MRO</t>
        </is>
      </c>
      <c r="E2652" t="inlineStr">
        <is>
          <t>MRO-01</t>
        </is>
      </c>
      <c r="F2652" s="17" t="n">
        <v>45964</v>
      </c>
      <c r="G2652" s="17" t="n">
        <v>45975</v>
      </c>
      <c r="H2652" s="18" t="n">
        <v>18</v>
      </c>
      <c r="I2652" s="19" t="n">
        <v>50.85</v>
      </c>
      <c r="J2652" s="19" t="n">
        <v>52</v>
      </c>
      <c r="K2652" s="20" t="n">
        <v>0</v>
      </c>
      <c r="L2652" s="20" t="n">
        <v>0</v>
      </c>
      <c r="M2652" s="18" t="n">
        <v>18</v>
      </c>
      <c r="N2652" s="18" t="n">
        <v>18</v>
      </c>
      <c r="O2652" s="18" t="n">
        <v>0</v>
      </c>
      <c r="P2652" s="17" t="n">
        <v>45973</v>
      </c>
      <c r="Q2652" s="17" t="n">
        <v>45973</v>
      </c>
      <c r="R2652" s="17" t="n">
        <v>45973</v>
      </c>
      <c r="S2652" s="19">
        <f>H2652*I2652</f>
        <v/>
      </c>
      <c r="T2652" s="19">
        <f>H2652*J2652</f>
        <v/>
      </c>
      <c r="U2652">
        <f>IF(AND(K2652=0,G2652&lt;=Assumptions!$C$6),1,0)</f>
        <v/>
      </c>
      <c r="V2652">
        <f>IF(U2652=1,IF(M2652&gt;0,IF(P2652&lt;=G2652+Assumptions!$C$7,1,0),0),0)</f>
        <v/>
      </c>
      <c r="W2652">
        <f>IF(AND(U2652=1,M2652&gt;=H2652*(1-Assumptions!$C$8)),1,0)</f>
        <v/>
      </c>
      <c r="X2652">
        <f>IF(AND(U2652=1,N2652&gt;=H2652*(1-Assumptions!$C$8)),1,0)</f>
        <v/>
      </c>
      <c r="Y2652">
        <f>IF(ISNUMBER(Q2652),1,0)</f>
        <v/>
      </c>
      <c r="Z2652">
        <f>IF(AND(K2652=0,L2652=0,Y2652=0),1,0)</f>
        <v/>
      </c>
      <c r="AA2652">
        <f>IF(AND(Z2652=1,G2652&lt;Assumptions!$C$6),1,0)</f>
        <v/>
      </c>
      <c r="AB2652">
        <f>IF(U2652=0,"",IF(Y2652=1,MAX(0,Q2652-G2652),IF(L2652=1,MAX(0,R2652-G2652),MAX(0,Assumptions!$C$6-G2652))))</f>
        <v/>
      </c>
      <c r="AC2652">
        <f>IF(Y2652=1,Q2652-F2652,"")</f>
        <v/>
      </c>
      <c r="AD2652">
        <f>IF(Y2652=1,AC2652^2,"")</f>
        <v/>
      </c>
      <c r="AE2652" s="19">
        <f>IF(Z2652=1,(H2652-M2652)*I2652,0)</f>
        <v/>
      </c>
      <c r="AF2652">
        <f>IF(G2652&lt;EDATE(Assumptions!$C$6,-12)+1,"prior_12m","last_12m")</f>
        <v/>
      </c>
      <c r="AG2652" s="21">
        <f>DATE(YEAR(G2652),MONTH(G2652),1)</f>
        <v/>
      </c>
    </row>
    <row r="2653">
      <c r="A2653" t="inlineStr">
        <is>
          <t>SPO-01428-2</t>
        </is>
      </c>
      <c r="B2653" t="inlineStr">
        <is>
          <t>SPO-01428</t>
        </is>
      </c>
      <c r="C2653" t="inlineStr">
        <is>
          <t>SUP-08</t>
        </is>
      </c>
      <c r="D2653" t="inlineStr">
        <is>
          <t>MRO</t>
        </is>
      </c>
      <c r="E2653" t="inlineStr">
        <is>
          <t>MRO-08</t>
        </is>
      </c>
      <c r="F2653" s="17" t="n">
        <v>45964</v>
      </c>
      <c r="G2653" s="17" t="n">
        <v>45975</v>
      </c>
      <c r="H2653" s="18" t="n">
        <v>229</v>
      </c>
      <c r="I2653" s="19" t="n">
        <v>7.04</v>
      </c>
      <c r="J2653" s="19" t="n">
        <v>7.2</v>
      </c>
      <c r="K2653" s="20" t="n">
        <v>0</v>
      </c>
      <c r="L2653" s="20" t="n">
        <v>0</v>
      </c>
      <c r="M2653" s="18" t="n">
        <v>229</v>
      </c>
      <c r="N2653" s="18" t="n">
        <v>229</v>
      </c>
      <c r="O2653" s="18" t="n">
        <v>0</v>
      </c>
      <c r="P2653" s="17" t="n">
        <v>45970</v>
      </c>
      <c r="Q2653" s="17" t="n">
        <v>45970</v>
      </c>
      <c r="R2653" s="17" t="n">
        <v>45970</v>
      </c>
      <c r="S2653" s="19">
        <f>H2653*I2653</f>
        <v/>
      </c>
      <c r="T2653" s="19">
        <f>H2653*J2653</f>
        <v/>
      </c>
      <c r="U2653">
        <f>IF(AND(K2653=0,G2653&lt;=Assumptions!$C$6),1,0)</f>
        <v/>
      </c>
      <c r="V2653">
        <f>IF(U2653=1,IF(M2653&gt;0,IF(P2653&lt;=G2653+Assumptions!$C$7,1,0),0),0)</f>
        <v/>
      </c>
      <c r="W2653">
        <f>IF(AND(U2653=1,M2653&gt;=H2653*(1-Assumptions!$C$8)),1,0)</f>
        <v/>
      </c>
      <c r="X2653">
        <f>IF(AND(U2653=1,N2653&gt;=H2653*(1-Assumptions!$C$8)),1,0)</f>
        <v/>
      </c>
      <c r="Y2653">
        <f>IF(ISNUMBER(Q2653),1,0)</f>
        <v/>
      </c>
      <c r="Z2653">
        <f>IF(AND(K2653=0,L2653=0,Y2653=0),1,0)</f>
        <v/>
      </c>
      <c r="AA2653">
        <f>IF(AND(Z2653=1,G2653&lt;Assumptions!$C$6),1,0)</f>
        <v/>
      </c>
      <c r="AB2653">
        <f>IF(U2653=0,"",IF(Y2653=1,MAX(0,Q2653-G2653),IF(L2653=1,MAX(0,R2653-G2653),MAX(0,Assumptions!$C$6-G2653))))</f>
        <v/>
      </c>
      <c r="AC2653">
        <f>IF(Y2653=1,Q2653-F2653,"")</f>
        <v/>
      </c>
      <c r="AD2653">
        <f>IF(Y2653=1,AC2653^2,"")</f>
        <v/>
      </c>
      <c r="AE2653" s="19">
        <f>IF(Z2653=1,(H2653-M2653)*I2653,0)</f>
        <v/>
      </c>
      <c r="AF2653">
        <f>IF(G2653&lt;EDATE(Assumptions!$C$6,-12)+1,"prior_12m","last_12m")</f>
        <v/>
      </c>
      <c r="AG2653" s="21">
        <f>DATE(YEAR(G2653),MONTH(G2653),1)</f>
        <v/>
      </c>
    </row>
    <row r="2654">
      <c r="A2654" t="inlineStr">
        <is>
          <t>SPO-01428-3</t>
        </is>
      </c>
      <c r="B2654" t="inlineStr">
        <is>
          <t>SPO-01428</t>
        </is>
      </c>
      <c r="C2654" t="inlineStr">
        <is>
          <t>SUP-08</t>
        </is>
      </c>
      <c r="D2654" t="inlineStr">
        <is>
          <t>MRO</t>
        </is>
      </c>
      <c r="E2654" t="inlineStr">
        <is>
          <t>MRO-02</t>
        </is>
      </c>
      <c r="F2654" s="17" t="n">
        <v>45964</v>
      </c>
      <c r="G2654" s="17" t="n">
        <v>45975</v>
      </c>
      <c r="H2654" s="18" t="n">
        <v>58</v>
      </c>
      <c r="I2654" s="19" t="n">
        <v>40.25</v>
      </c>
      <c r="J2654" s="19" t="n">
        <v>41</v>
      </c>
      <c r="K2654" s="20" t="n">
        <v>0</v>
      </c>
      <c r="L2654" s="20" t="n">
        <v>0</v>
      </c>
      <c r="M2654" s="18" t="n">
        <v>58</v>
      </c>
      <c r="N2654" s="18" t="n">
        <v>58</v>
      </c>
      <c r="O2654" s="18" t="n">
        <v>0</v>
      </c>
      <c r="P2654" s="17" t="n">
        <v>45969</v>
      </c>
      <c r="Q2654" s="17" t="n">
        <v>45969</v>
      </c>
      <c r="R2654" s="17" t="n">
        <v>45969</v>
      </c>
      <c r="S2654" s="19">
        <f>H2654*I2654</f>
        <v/>
      </c>
      <c r="T2654" s="19">
        <f>H2654*J2654</f>
        <v/>
      </c>
      <c r="U2654">
        <f>IF(AND(K2654=0,G2654&lt;=Assumptions!$C$6),1,0)</f>
        <v/>
      </c>
      <c r="V2654">
        <f>IF(U2654=1,IF(M2654&gt;0,IF(P2654&lt;=G2654+Assumptions!$C$7,1,0),0),0)</f>
        <v/>
      </c>
      <c r="W2654">
        <f>IF(AND(U2654=1,M2654&gt;=H2654*(1-Assumptions!$C$8)),1,0)</f>
        <v/>
      </c>
      <c r="X2654">
        <f>IF(AND(U2654=1,N2654&gt;=H2654*(1-Assumptions!$C$8)),1,0)</f>
        <v/>
      </c>
      <c r="Y2654">
        <f>IF(ISNUMBER(Q2654),1,0)</f>
        <v/>
      </c>
      <c r="Z2654">
        <f>IF(AND(K2654=0,L2654=0,Y2654=0),1,0)</f>
        <v/>
      </c>
      <c r="AA2654">
        <f>IF(AND(Z2654=1,G2654&lt;Assumptions!$C$6),1,0)</f>
        <v/>
      </c>
      <c r="AB2654">
        <f>IF(U2654=0,"",IF(Y2654=1,MAX(0,Q2654-G2654),IF(L2654=1,MAX(0,R2654-G2654),MAX(0,Assumptions!$C$6-G2654))))</f>
        <v/>
      </c>
      <c r="AC2654">
        <f>IF(Y2654=1,Q2654-F2654,"")</f>
        <v/>
      </c>
      <c r="AD2654">
        <f>IF(Y2654=1,AC2654^2,"")</f>
        <v/>
      </c>
      <c r="AE2654" s="19">
        <f>IF(Z2654=1,(H2654-M2654)*I2654,0)</f>
        <v/>
      </c>
      <c r="AF2654">
        <f>IF(G2654&lt;EDATE(Assumptions!$C$6,-12)+1,"prior_12m","last_12m")</f>
        <v/>
      </c>
      <c r="AG2654" s="21">
        <f>DATE(YEAR(G2654),MONTH(G2654),1)</f>
        <v/>
      </c>
    </row>
    <row r="2655">
      <c r="A2655" t="inlineStr">
        <is>
          <t>SPO-01429-1</t>
        </is>
      </c>
      <c r="B2655" t="inlineStr">
        <is>
          <t>SPO-01429</t>
        </is>
      </c>
      <c r="C2655" t="inlineStr">
        <is>
          <t>SUP-09</t>
        </is>
      </c>
      <c r="D2655" t="inlineStr">
        <is>
          <t>CHEM</t>
        </is>
      </c>
      <c r="E2655" t="inlineStr">
        <is>
          <t>CHEM-04</t>
        </is>
      </c>
      <c r="F2655" s="17" t="n">
        <v>45964</v>
      </c>
      <c r="G2655" s="17" t="n">
        <v>45978</v>
      </c>
      <c r="H2655" s="18" t="n">
        <v>1</v>
      </c>
      <c r="I2655" s="19" t="n">
        <v>871.8</v>
      </c>
      <c r="J2655" s="19" t="n">
        <v>820</v>
      </c>
      <c r="K2655" s="20" t="n">
        <v>0</v>
      </c>
      <c r="L2655" s="20" t="n">
        <v>0</v>
      </c>
      <c r="M2655" s="18" t="n">
        <v>1</v>
      </c>
      <c r="N2655" s="18" t="n">
        <v>1</v>
      </c>
      <c r="O2655" s="18" t="n">
        <v>0</v>
      </c>
      <c r="P2655" s="17" t="n">
        <v>45974</v>
      </c>
      <c r="Q2655" s="17" t="n">
        <v>45974</v>
      </c>
      <c r="R2655" s="17" t="n">
        <v>45974</v>
      </c>
      <c r="S2655" s="19">
        <f>H2655*I2655</f>
        <v/>
      </c>
      <c r="T2655" s="19">
        <f>H2655*J2655</f>
        <v/>
      </c>
      <c r="U2655">
        <f>IF(AND(K2655=0,G2655&lt;=Assumptions!$C$6),1,0)</f>
        <v/>
      </c>
      <c r="V2655">
        <f>IF(U2655=1,IF(M2655&gt;0,IF(P2655&lt;=G2655+Assumptions!$C$7,1,0),0),0)</f>
        <v/>
      </c>
      <c r="W2655">
        <f>IF(AND(U2655=1,M2655&gt;=H2655*(1-Assumptions!$C$8)),1,0)</f>
        <v/>
      </c>
      <c r="X2655">
        <f>IF(AND(U2655=1,N2655&gt;=H2655*(1-Assumptions!$C$8)),1,0)</f>
        <v/>
      </c>
      <c r="Y2655">
        <f>IF(ISNUMBER(Q2655),1,0)</f>
        <v/>
      </c>
      <c r="Z2655">
        <f>IF(AND(K2655=0,L2655=0,Y2655=0),1,0)</f>
        <v/>
      </c>
      <c r="AA2655">
        <f>IF(AND(Z2655=1,G2655&lt;Assumptions!$C$6),1,0)</f>
        <v/>
      </c>
      <c r="AB2655">
        <f>IF(U2655=0,"",IF(Y2655=1,MAX(0,Q2655-G2655),IF(L2655=1,MAX(0,R2655-G2655),MAX(0,Assumptions!$C$6-G2655))))</f>
        <v/>
      </c>
      <c r="AC2655">
        <f>IF(Y2655=1,Q2655-F2655,"")</f>
        <v/>
      </c>
      <c r="AD2655">
        <f>IF(Y2655=1,AC2655^2,"")</f>
        <v/>
      </c>
      <c r="AE2655" s="19">
        <f>IF(Z2655=1,(H2655-M2655)*I2655,0)</f>
        <v/>
      </c>
      <c r="AF2655">
        <f>IF(G2655&lt;EDATE(Assumptions!$C$6,-12)+1,"prior_12m","last_12m")</f>
        <v/>
      </c>
      <c r="AG2655" s="21">
        <f>DATE(YEAR(G2655),MONTH(G2655),1)</f>
        <v/>
      </c>
    </row>
    <row r="2656">
      <c r="A2656" t="inlineStr">
        <is>
          <t>SPO-01429-2</t>
        </is>
      </c>
      <c r="B2656" t="inlineStr">
        <is>
          <t>SPO-01429</t>
        </is>
      </c>
      <c r="C2656" t="inlineStr">
        <is>
          <t>SUP-09</t>
        </is>
      </c>
      <c r="D2656" t="inlineStr">
        <is>
          <t>CHEM</t>
        </is>
      </c>
      <c r="E2656" t="inlineStr">
        <is>
          <t>CHEM-06</t>
        </is>
      </c>
      <c r="F2656" s="17" t="n">
        <v>45964</v>
      </c>
      <c r="G2656" s="17" t="n">
        <v>45978</v>
      </c>
      <c r="H2656" s="18" t="n">
        <v>3</v>
      </c>
      <c r="I2656" s="19" t="n">
        <v>394.01</v>
      </c>
      <c r="J2656" s="19" t="n">
        <v>380</v>
      </c>
      <c r="K2656" s="20" t="n">
        <v>0</v>
      </c>
      <c r="L2656" s="20" t="n">
        <v>0</v>
      </c>
      <c r="M2656" s="18" t="n">
        <v>3</v>
      </c>
      <c r="N2656" s="18" t="n">
        <v>3</v>
      </c>
      <c r="O2656" s="18" t="n">
        <v>0</v>
      </c>
      <c r="P2656" s="17" t="n">
        <v>45976</v>
      </c>
      <c r="Q2656" s="17" t="n">
        <v>45976</v>
      </c>
      <c r="R2656" s="17" t="n">
        <v>45976</v>
      </c>
      <c r="S2656" s="19">
        <f>H2656*I2656</f>
        <v/>
      </c>
      <c r="T2656" s="19">
        <f>H2656*J2656</f>
        <v/>
      </c>
      <c r="U2656">
        <f>IF(AND(K2656=0,G2656&lt;=Assumptions!$C$6),1,0)</f>
        <v/>
      </c>
      <c r="V2656">
        <f>IF(U2656=1,IF(M2656&gt;0,IF(P2656&lt;=G2656+Assumptions!$C$7,1,0),0),0)</f>
        <v/>
      </c>
      <c r="W2656">
        <f>IF(AND(U2656=1,M2656&gt;=H2656*(1-Assumptions!$C$8)),1,0)</f>
        <v/>
      </c>
      <c r="X2656">
        <f>IF(AND(U2656=1,N2656&gt;=H2656*(1-Assumptions!$C$8)),1,0)</f>
        <v/>
      </c>
      <c r="Y2656">
        <f>IF(ISNUMBER(Q2656),1,0)</f>
        <v/>
      </c>
      <c r="Z2656">
        <f>IF(AND(K2656=0,L2656=0,Y2656=0),1,0)</f>
        <v/>
      </c>
      <c r="AA2656">
        <f>IF(AND(Z2656=1,G2656&lt;Assumptions!$C$6),1,0)</f>
        <v/>
      </c>
      <c r="AB2656">
        <f>IF(U2656=0,"",IF(Y2656=1,MAX(0,Q2656-G2656),IF(L2656=1,MAX(0,R2656-G2656),MAX(0,Assumptions!$C$6-G2656))))</f>
        <v/>
      </c>
      <c r="AC2656">
        <f>IF(Y2656=1,Q2656-F2656,"")</f>
        <v/>
      </c>
      <c r="AD2656">
        <f>IF(Y2656=1,AC2656^2,"")</f>
        <v/>
      </c>
      <c r="AE2656" s="19">
        <f>IF(Z2656=1,(H2656-M2656)*I2656,0)</f>
        <v/>
      </c>
      <c r="AF2656">
        <f>IF(G2656&lt;EDATE(Assumptions!$C$6,-12)+1,"prior_12m","last_12m")</f>
        <v/>
      </c>
      <c r="AG2656" s="21">
        <f>DATE(YEAR(G2656),MONTH(G2656),1)</f>
        <v/>
      </c>
    </row>
    <row r="2657">
      <c r="A2657" t="inlineStr">
        <is>
          <t>SPO-01430-1</t>
        </is>
      </c>
      <c r="B2657" t="inlineStr">
        <is>
          <t>SPO-01430</t>
        </is>
      </c>
      <c r="C2657" t="inlineStr">
        <is>
          <t>SUP-01</t>
        </is>
      </c>
      <c r="D2657" t="inlineStr">
        <is>
          <t>ELEC</t>
        </is>
      </c>
      <c r="E2657" t="inlineStr">
        <is>
          <t>ELEC-06</t>
        </is>
      </c>
      <c r="F2657" s="17" t="n">
        <v>45964</v>
      </c>
      <c r="G2657" s="17" t="n">
        <v>45982</v>
      </c>
      <c r="H2657" s="18" t="n">
        <v>19</v>
      </c>
      <c r="I2657" s="19" t="n">
        <v>148.21</v>
      </c>
      <c r="J2657" s="19" t="n">
        <v>145</v>
      </c>
      <c r="K2657" s="20" t="n">
        <v>0</v>
      </c>
      <c r="L2657" s="20" t="n">
        <v>0</v>
      </c>
      <c r="M2657" s="18" t="n">
        <v>19</v>
      </c>
      <c r="N2657" s="18" t="n">
        <v>14</v>
      </c>
      <c r="O2657" s="18" t="n">
        <v>0</v>
      </c>
      <c r="P2657" s="17" t="n">
        <v>45973</v>
      </c>
      <c r="Q2657" s="17" t="n">
        <v>45992</v>
      </c>
      <c r="R2657" s="17" t="n">
        <v>45992</v>
      </c>
      <c r="S2657" s="19">
        <f>H2657*I2657</f>
        <v/>
      </c>
      <c r="T2657" s="19">
        <f>H2657*J2657</f>
        <v/>
      </c>
      <c r="U2657">
        <f>IF(AND(K2657=0,G2657&lt;=Assumptions!$C$6),1,0)</f>
        <v/>
      </c>
      <c r="V2657">
        <f>IF(U2657=1,IF(M2657&gt;0,IF(P2657&lt;=G2657+Assumptions!$C$7,1,0),0),0)</f>
        <v/>
      </c>
      <c r="W2657">
        <f>IF(AND(U2657=1,M2657&gt;=H2657*(1-Assumptions!$C$8)),1,0)</f>
        <v/>
      </c>
      <c r="X2657">
        <f>IF(AND(U2657=1,N2657&gt;=H2657*(1-Assumptions!$C$8)),1,0)</f>
        <v/>
      </c>
      <c r="Y2657">
        <f>IF(ISNUMBER(Q2657),1,0)</f>
        <v/>
      </c>
      <c r="Z2657">
        <f>IF(AND(K2657=0,L2657=0,Y2657=0),1,0)</f>
        <v/>
      </c>
      <c r="AA2657">
        <f>IF(AND(Z2657=1,G2657&lt;Assumptions!$C$6),1,0)</f>
        <v/>
      </c>
      <c r="AB2657">
        <f>IF(U2657=0,"",IF(Y2657=1,MAX(0,Q2657-G2657),IF(L2657=1,MAX(0,R2657-G2657),MAX(0,Assumptions!$C$6-G2657))))</f>
        <v/>
      </c>
      <c r="AC2657">
        <f>IF(Y2657=1,Q2657-F2657,"")</f>
        <v/>
      </c>
      <c r="AD2657">
        <f>IF(Y2657=1,AC2657^2,"")</f>
        <v/>
      </c>
      <c r="AE2657" s="19">
        <f>IF(Z2657=1,(H2657-M2657)*I2657,0)</f>
        <v/>
      </c>
      <c r="AF2657">
        <f>IF(G2657&lt;EDATE(Assumptions!$C$6,-12)+1,"prior_12m","last_12m")</f>
        <v/>
      </c>
      <c r="AG2657" s="21">
        <f>DATE(YEAR(G2657),MONTH(G2657),1)</f>
        <v/>
      </c>
    </row>
    <row r="2658">
      <c r="A2658" t="inlineStr">
        <is>
          <t>SPO-01431-1</t>
        </is>
      </c>
      <c r="B2658" t="inlineStr">
        <is>
          <t>SPO-01431</t>
        </is>
      </c>
      <c r="C2658" t="inlineStr">
        <is>
          <t>SUP-09</t>
        </is>
      </c>
      <c r="D2658" t="inlineStr">
        <is>
          <t>CHEM</t>
        </is>
      </c>
      <c r="E2658" t="inlineStr">
        <is>
          <t>CHEM-06</t>
        </is>
      </c>
      <c r="F2658" s="17" t="n">
        <v>45965</v>
      </c>
      <c r="G2658" s="17" t="n">
        <v>45979</v>
      </c>
      <c r="H2658" s="18" t="n">
        <v>4</v>
      </c>
      <c r="I2658" s="19" t="n">
        <v>394.84</v>
      </c>
      <c r="J2658" s="19" t="n">
        <v>380</v>
      </c>
      <c r="K2658" s="20" t="n">
        <v>0</v>
      </c>
      <c r="L2658" s="20" t="n">
        <v>0</v>
      </c>
      <c r="M2658" s="18" t="n">
        <v>4</v>
      </c>
      <c r="N2658" s="18" t="n">
        <v>4</v>
      </c>
      <c r="O2658" s="18" t="n">
        <v>0</v>
      </c>
      <c r="P2658" s="17" t="n">
        <v>45975</v>
      </c>
      <c r="Q2658" s="17" t="n">
        <v>45975</v>
      </c>
      <c r="R2658" s="17" t="n">
        <v>45975</v>
      </c>
      <c r="S2658" s="19">
        <f>H2658*I2658</f>
        <v/>
      </c>
      <c r="T2658" s="19">
        <f>H2658*J2658</f>
        <v/>
      </c>
      <c r="U2658">
        <f>IF(AND(K2658=0,G2658&lt;=Assumptions!$C$6),1,0)</f>
        <v/>
      </c>
      <c r="V2658">
        <f>IF(U2658=1,IF(M2658&gt;0,IF(P2658&lt;=G2658+Assumptions!$C$7,1,0),0),0)</f>
        <v/>
      </c>
      <c r="W2658">
        <f>IF(AND(U2658=1,M2658&gt;=H2658*(1-Assumptions!$C$8)),1,0)</f>
        <v/>
      </c>
      <c r="X2658">
        <f>IF(AND(U2658=1,N2658&gt;=H2658*(1-Assumptions!$C$8)),1,0)</f>
        <v/>
      </c>
      <c r="Y2658">
        <f>IF(ISNUMBER(Q2658),1,0)</f>
        <v/>
      </c>
      <c r="Z2658">
        <f>IF(AND(K2658=0,L2658=0,Y2658=0),1,0)</f>
        <v/>
      </c>
      <c r="AA2658">
        <f>IF(AND(Z2658=1,G2658&lt;Assumptions!$C$6),1,0)</f>
        <v/>
      </c>
      <c r="AB2658">
        <f>IF(U2658=0,"",IF(Y2658=1,MAX(0,Q2658-G2658),IF(L2658=1,MAX(0,R2658-G2658),MAX(0,Assumptions!$C$6-G2658))))</f>
        <v/>
      </c>
      <c r="AC2658">
        <f>IF(Y2658=1,Q2658-F2658,"")</f>
        <v/>
      </c>
      <c r="AD2658">
        <f>IF(Y2658=1,AC2658^2,"")</f>
        <v/>
      </c>
      <c r="AE2658" s="19">
        <f>IF(Z2658=1,(H2658-M2658)*I2658,0)</f>
        <v/>
      </c>
      <c r="AF2658">
        <f>IF(G2658&lt;EDATE(Assumptions!$C$6,-12)+1,"prior_12m","last_12m")</f>
        <v/>
      </c>
      <c r="AG2658" s="21">
        <f>DATE(YEAR(G2658),MONTH(G2658),1)</f>
        <v/>
      </c>
    </row>
    <row r="2659">
      <c r="A2659" t="inlineStr">
        <is>
          <t>SPO-01432-1</t>
        </is>
      </c>
      <c r="B2659" t="inlineStr">
        <is>
          <t>SPO-01432</t>
        </is>
      </c>
      <c r="C2659" t="inlineStr">
        <is>
          <t>SUP-05</t>
        </is>
      </c>
      <c r="D2659" t="inlineStr">
        <is>
          <t>FLEET</t>
        </is>
      </c>
      <c r="E2659" t="inlineStr">
        <is>
          <t>FLEET-05</t>
        </is>
      </c>
      <c r="F2659" s="17" t="n">
        <v>45965</v>
      </c>
      <c r="G2659" s="17" t="n">
        <v>45979</v>
      </c>
      <c r="H2659" s="18" t="n">
        <v>7</v>
      </c>
      <c r="I2659" s="19" t="n">
        <v>173.62</v>
      </c>
      <c r="J2659" s="19" t="n">
        <v>168</v>
      </c>
      <c r="K2659" s="20" t="n">
        <v>0</v>
      </c>
      <c r="L2659" s="20" t="n">
        <v>0</v>
      </c>
      <c r="M2659" s="18" t="n">
        <v>7</v>
      </c>
      <c r="N2659" s="18" t="n">
        <v>7</v>
      </c>
      <c r="O2659" s="18" t="n">
        <v>0</v>
      </c>
      <c r="P2659" s="17" t="n">
        <v>45977</v>
      </c>
      <c r="Q2659" s="17" t="n">
        <v>45977</v>
      </c>
      <c r="R2659" s="17" t="n">
        <v>45977</v>
      </c>
      <c r="S2659" s="19">
        <f>H2659*I2659</f>
        <v/>
      </c>
      <c r="T2659" s="19">
        <f>H2659*J2659</f>
        <v/>
      </c>
      <c r="U2659">
        <f>IF(AND(K2659=0,G2659&lt;=Assumptions!$C$6),1,0)</f>
        <v/>
      </c>
      <c r="V2659">
        <f>IF(U2659=1,IF(M2659&gt;0,IF(P2659&lt;=G2659+Assumptions!$C$7,1,0),0),0)</f>
        <v/>
      </c>
      <c r="W2659">
        <f>IF(AND(U2659=1,M2659&gt;=H2659*(1-Assumptions!$C$8)),1,0)</f>
        <v/>
      </c>
      <c r="X2659">
        <f>IF(AND(U2659=1,N2659&gt;=H2659*(1-Assumptions!$C$8)),1,0)</f>
        <v/>
      </c>
      <c r="Y2659">
        <f>IF(ISNUMBER(Q2659),1,0)</f>
        <v/>
      </c>
      <c r="Z2659">
        <f>IF(AND(K2659=0,L2659=0,Y2659=0),1,0)</f>
        <v/>
      </c>
      <c r="AA2659">
        <f>IF(AND(Z2659=1,G2659&lt;Assumptions!$C$6),1,0)</f>
        <v/>
      </c>
      <c r="AB2659">
        <f>IF(U2659=0,"",IF(Y2659=1,MAX(0,Q2659-G2659),IF(L2659=1,MAX(0,R2659-G2659),MAX(0,Assumptions!$C$6-G2659))))</f>
        <v/>
      </c>
      <c r="AC2659">
        <f>IF(Y2659=1,Q2659-F2659,"")</f>
        <v/>
      </c>
      <c r="AD2659">
        <f>IF(Y2659=1,AC2659^2,"")</f>
        <v/>
      </c>
      <c r="AE2659" s="19">
        <f>IF(Z2659=1,(H2659-M2659)*I2659,0)</f>
        <v/>
      </c>
      <c r="AF2659">
        <f>IF(G2659&lt;EDATE(Assumptions!$C$6,-12)+1,"prior_12m","last_12m")</f>
        <v/>
      </c>
      <c r="AG2659" s="21">
        <f>DATE(YEAR(G2659),MONTH(G2659),1)</f>
        <v/>
      </c>
    </row>
    <row r="2660">
      <c r="A2660" t="inlineStr">
        <is>
          <t>SPO-01432-2</t>
        </is>
      </c>
      <c r="B2660" t="inlineStr">
        <is>
          <t>SPO-01432</t>
        </is>
      </c>
      <c r="C2660" t="inlineStr">
        <is>
          <t>SUP-05</t>
        </is>
      </c>
      <c r="D2660" t="inlineStr">
        <is>
          <t>FLEET</t>
        </is>
      </c>
      <c r="E2660" t="inlineStr">
        <is>
          <t>FLEET-03</t>
        </is>
      </c>
      <c r="F2660" s="17" t="n">
        <v>45965</v>
      </c>
      <c r="G2660" s="17" t="n">
        <v>45979</v>
      </c>
      <c r="H2660" s="18" t="n">
        <v>64</v>
      </c>
      <c r="I2660" s="19" t="n">
        <v>21.86</v>
      </c>
      <c r="J2660" s="19" t="n">
        <v>21</v>
      </c>
      <c r="K2660" s="20" t="n">
        <v>0</v>
      </c>
      <c r="L2660" s="20" t="n">
        <v>0</v>
      </c>
      <c r="M2660" s="18" t="n">
        <v>64</v>
      </c>
      <c r="N2660" s="18" t="n">
        <v>64</v>
      </c>
      <c r="O2660" s="18" t="n">
        <v>0</v>
      </c>
      <c r="P2660" s="17" t="n">
        <v>45976</v>
      </c>
      <c r="Q2660" s="17" t="n">
        <v>45976</v>
      </c>
      <c r="R2660" s="17" t="n">
        <v>45976</v>
      </c>
      <c r="S2660" s="19">
        <f>H2660*I2660</f>
        <v/>
      </c>
      <c r="T2660" s="19">
        <f>H2660*J2660</f>
        <v/>
      </c>
      <c r="U2660">
        <f>IF(AND(K2660=0,G2660&lt;=Assumptions!$C$6),1,0)</f>
        <v/>
      </c>
      <c r="V2660">
        <f>IF(U2660=1,IF(M2660&gt;0,IF(P2660&lt;=G2660+Assumptions!$C$7,1,0),0),0)</f>
        <v/>
      </c>
      <c r="W2660">
        <f>IF(AND(U2660=1,M2660&gt;=H2660*(1-Assumptions!$C$8)),1,0)</f>
        <v/>
      </c>
      <c r="X2660">
        <f>IF(AND(U2660=1,N2660&gt;=H2660*(1-Assumptions!$C$8)),1,0)</f>
        <v/>
      </c>
      <c r="Y2660">
        <f>IF(ISNUMBER(Q2660),1,0)</f>
        <v/>
      </c>
      <c r="Z2660">
        <f>IF(AND(K2660=0,L2660=0,Y2660=0),1,0)</f>
        <v/>
      </c>
      <c r="AA2660">
        <f>IF(AND(Z2660=1,G2660&lt;Assumptions!$C$6),1,0)</f>
        <v/>
      </c>
      <c r="AB2660">
        <f>IF(U2660=0,"",IF(Y2660=1,MAX(0,Q2660-G2660),IF(L2660=1,MAX(0,R2660-G2660),MAX(0,Assumptions!$C$6-G2660))))</f>
        <v/>
      </c>
      <c r="AC2660">
        <f>IF(Y2660=1,Q2660-F2660,"")</f>
        <v/>
      </c>
      <c r="AD2660">
        <f>IF(Y2660=1,AC2660^2,"")</f>
        <v/>
      </c>
      <c r="AE2660" s="19">
        <f>IF(Z2660=1,(H2660-M2660)*I2660,0)</f>
        <v/>
      </c>
      <c r="AF2660">
        <f>IF(G2660&lt;EDATE(Assumptions!$C$6,-12)+1,"prior_12m","last_12m")</f>
        <v/>
      </c>
      <c r="AG2660" s="21">
        <f>DATE(YEAR(G2660),MONTH(G2660),1)</f>
        <v/>
      </c>
    </row>
    <row r="2661">
      <c r="A2661" t="inlineStr">
        <is>
          <t>SPO-01433-1</t>
        </is>
      </c>
      <c r="B2661" t="inlineStr">
        <is>
          <t>SPO-01433</t>
        </is>
      </c>
      <c r="C2661" t="inlineStr">
        <is>
          <t>SUP-12</t>
        </is>
      </c>
      <c r="D2661" t="inlineStr">
        <is>
          <t>IT</t>
        </is>
      </c>
      <c r="E2661" t="inlineStr">
        <is>
          <t>IT-03</t>
        </is>
      </c>
      <c r="F2661" s="17" t="n">
        <v>45965</v>
      </c>
      <c r="G2661" s="17" t="n">
        <v>45975</v>
      </c>
      <c r="H2661" s="18" t="n">
        <v>46</v>
      </c>
      <c r="I2661" s="19" t="n">
        <v>45.09</v>
      </c>
      <c r="J2661" s="19" t="n">
        <v>38</v>
      </c>
      <c r="K2661" s="20" t="n">
        <v>0</v>
      </c>
      <c r="L2661" s="20" t="n">
        <v>0</v>
      </c>
      <c r="M2661" s="18" t="n">
        <v>46</v>
      </c>
      <c r="N2661" s="18" t="n">
        <v>46</v>
      </c>
      <c r="O2661" s="18" t="n">
        <v>0</v>
      </c>
      <c r="P2661" s="17" t="n">
        <v>45975</v>
      </c>
      <c r="Q2661" s="17" t="n">
        <v>45975</v>
      </c>
      <c r="R2661" s="17" t="n">
        <v>45975</v>
      </c>
      <c r="S2661" s="19">
        <f>H2661*I2661</f>
        <v/>
      </c>
      <c r="T2661" s="19">
        <f>H2661*J2661</f>
        <v/>
      </c>
      <c r="U2661">
        <f>IF(AND(K2661=0,G2661&lt;=Assumptions!$C$6),1,0)</f>
        <v/>
      </c>
      <c r="V2661">
        <f>IF(U2661=1,IF(M2661&gt;0,IF(P2661&lt;=G2661+Assumptions!$C$7,1,0),0),0)</f>
        <v/>
      </c>
      <c r="W2661">
        <f>IF(AND(U2661=1,M2661&gt;=H2661*(1-Assumptions!$C$8)),1,0)</f>
        <v/>
      </c>
      <c r="X2661">
        <f>IF(AND(U2661=1,N2661&gt;=H2661*(1-Assumptions!$C$8)),1,0)</f>
        <v/>
      </c>
      <c r="Y2661">
        <f>IF(ISNUMBER(Q2661),1,0)</f>
        <v/>
      </c>
      <c r="Z2661">
        <f>IF(AND(K2661=0,L2661=0,Y2661=0),1,0)</f>
        <v/>
      </c>
      <c r="AA2661">
        <f>IF(AND(Z2661=1,G2661&lt;Assumptions!$C$6),1,0)</f>
        <v/>
      </c>
      <c r="AB2661">
        <f>IF(U2661=0,"",IF(Y2661=1,MAX(0,Q2661-G2661),IF(L2661=1,MAX(0,R2661-G2661),MAX(0,Assumptions!$C$6-G2661))))</f>
        <v/>
      </c>
      <c r="AC2661">
        <f>IF(Y2661=1,Q2661-F2661,"")</f>
        <v/>
      </c>
      <c r="AD2661">
        <f>IF(Y2661=1,AC2661^2,"")</f>
        <v/>
      </c>
      <c r="AE2661" s="19">
        <f>IF(Z2661=1,(H2661-M2661)*I2661,0)</f>
        <v/>
      </c>
      <c r="AF2661">
        <f>IF(G2661&lt;EDATE(Assumptions!$C$6,-12)+1,"prior_12m","last_12m")</f>
        <v/>
      </c>
      <c r="AG2661" s="21">
        <f>DATE(YEAR(G2661),MONTH(G2661),1)</f>
        <v/>
      </c>
    </row>
    <row r="2662">
      <c r="A2662" t="inlineStr">
        <is>
          <t>SPO-01433-2</t>
        </is>
      </c>
      <c r="B2662" t="inlineStr">
        <is>
          <t>SPO-01433</t>
        </is>
      </c>
      <c r="C2662" t="inlineStr">
        <is>
          <t>SUP-12</t>
        </is>
      </c>
      <c r="D2662" t="inlineStr">
        <is>
          <t>IT</t>
        </is>
      </c>
      <c r="E2662" t="inlineStr">
        <is>
          <t>IT-07</t>
        </is>
      </c>
      <c r="F2662" s="17" t="n">
        <v>45965</v>
      </c>
      <c r="G2662" s="17" t="n">
        <v>45975</v>
      </c>
      <c r="H2662" s="18" t="n">
        <v>17</v>
      </c>
      <c r="I2662" s="19" t="n">
        <v>84.73999999999999</v>
      </c>
      <c r="J2662" s="19" t="n">
        <v>74</v>
      </c>
      <c r="K2662" s="20" t="n">
        <v>0</v>
      </c>
      <c r="L2662" s="20" t="n">
        <v>0</v>
      </c>
      <c r="M2662" s="18" t="n">
        <v>17</v>
      </c>
      <c r="N2662" s="18" t="n">
        <v>17</v>
      </c>
      <c r="O2662" s="18" t="n">
        <v>0</v>
      </c>
      <c r="P2662" s="17" t="n">
        <v>45969</v>
      </c>
      <c r="Q2662" s="17" t="n">
        <v>45969</v>
      </c>
      <c r="R2662" s="17" t="n">
        <v>45969</v>
      </c>
      <c r="S2662" s="19">
        <f>H2662*I2662</f>
        <v/>
      </c>
      <c r="T2662" s="19">
        <f>H2662*J2662</f>
        <v/>
      </c>
      <c r="U2662">
        <f>IF(AND(K2662=0,G2662&lt;=Assumptions!$C$6),1,0)</f>
        <v/>
      </c>
      <c r="V2662">
        <f>IF(U2662=1,IF(M2662&gt;0,IF(P2662&lt;=G2662+Assumptions!$C$7,1,0),0),0)</f>
        <v/>
      </c>
      <c r="W2662">
        <f>IF(AND(U2662=1,M2662&gt;=H2662*(1-Assumptions!$C$8)),1,0)</f>
        <v/>
      </c>
      <c r="X2662">
        <f>IF(AND(U2662=1,N2662&gt;=H2662*(1-Assumptions!$C$8)),1,0)</f>
        <v/>
      </c>
      <c r="Y2662">
        <f>IF(ISNUMBER(Q2662),1,0)</f>
        <v/>
      </c>
      <c r="Z2662">
        <f>IF(AND(K2662=0,L2662=0,Y2662=0),1,0)</f>
        <v/>
      </c>
      <c r="AA2662">
        <f>IF(AND(Z2662=1,G2662&lt;Assumptions!$C$6),1,0)</f>
        <v/>
      </c>
      <c r="AB2662">
        <f>IF(U2662=0,"",IF(Y2662=1,MAX(0,Q2662-G2662),IF(L2662=1,MAX(0,R2662-G2662),MAX(0,Assumptions!$C$6-G2662))))</f>
        <v/>
      </c>
      <c r="AC2662">
        <f>IF(Y2662=1,Q2662-F2662,"")</f>
        <v/>
      </c>
      <c r="AD2662">
        <f>IF(Y2662=1,AC2662^2,"")</f>
        <v/>
      </c>
      <c r="AE2662" s="19">
        <f>IF(Z2662=1,(H2662-M2662)*I2662,0)</f>
        <v/>
      </c>
      <c r="AF2662">
        <f>IF(G2662&lt;EDATE(Assumptions!$C$6,-12)+1,"prior_12m","last_12m")</f>
        <v/>
      </c>
      <c r="AG2662" s="21">
        <f>DATE(YEAR(G2662),MONTH(G2662),1)</f>
        <v/>
      </c>
    </row>
    <row r="2663">
      <c r="A2663" t="inlineStr">
        <is>
          <t>SPO-01433-3</t>
        </is>
      </c>
      <c r="B2663" t="inlineStr">
        <is>
          <t>SPO-01433</t>
        </is>
      </c>
      <c r="C2663" t="inlineStr">
        <is>
          <t>SUP-12</t>
        </is>
      </c>
      <c r="D2663" t="inlineStr">
        <is>
          <t>IT</t>
        </is>
      </c>
      <c r="E2663" t="inlineStr">
        <is>
          <t>IT-02</t>
        </is>
      </c>
      <c r="F2663" s="17" t="n">
        <v>45965</v>
      </c>
      <c r="G2663" s="17" t="n">
        <v>45975</v>
      </c>
      <c r="H2663" s="18" t="n">
        <v>9</v>
      </c>
      <c r="I2663" s="19" t="n">
        <v>181.61</v>
      </c>
      <c r="J2663" s="19" t="n">
        <v>162</v>
      </c>
      <c r="K2663" s="20" t="n">
        <v>0</v>
      </c>
      <c r="L2663" s="20" t="n">
        <v>0</v>
      </c>
      <c r="M2663" s="18" t="n">
        <v>9</v>
      </c>
      <c r="N2663" s="18" t="n">
        <v>9</v>
      </c>
      <c r="O2663" s="18" t="n">
        <v>0</v>
      </c>
      <c r="P2663" s="17" t="n">
        <v>45972</v>
      </c>
      <c r="Q2663" s="17" t="n">
        <v>45972</v>
      </c>
      <c r="R2663" s="17" t="n">
        <v>45972</v>
      </c>
      <c r="S2663" s="19">
        <f>H2663*I2663</f>
        <v/>
      </c>
      <c r="T2663" s="19">
        <f>H2663*J2663</f>
        <v/>
      </c>
      <c r="U2663">
        <f>IF(AND(K2663=0,G2663&lt;=Assumptions!$C$6),1,0)</f>
        <v/>
      </c>
      <c r="V2663">
        <f>IF(U2663=1,IF(M2663&gt;0,IF(P2663&lt;=G2663+Assumptions!$C$7,1,0),0),0)</f>
        <v/>
      </c>
      <c r="W2663">
        <f>IF(AND(U2663=1,M2663&gt;=H2663*(1-Assumptions!$C$8)),1,0)</f>
        <v/>
      </c>
      <c r="X2663">
        <f>IF(AND(U2663=1,N2663&gt;=H2663*(1-Assumptions!$C$8)),1,0)</f>
        <v/>
      </c>
      <c r="Y2663">
        <f>IF(ISNUMBER(Q2663),1,0)</f>
        <v/>
      </c>
      <c r="Z2663">
        <f>IF(AND(K2663=0,L2663=0,Y2663=0),1,0)</f>
        <v/>
      </c>
      <c r="AA2663">
        <f>IF(AND(Z2663=1,G2663&lt;Assumptions!$C$6),1,0)</f>
        <v/>
      </c>
      <c r="AB2663">
        <f>IF(U2663=0,"",IF(Y2663=1,MAX(0,Q2663-G2663),IF(L2663=1,MAX(0,R2663-G2663),MAX(0,Assumptions!$C$6-G2663))))</f>
        <v/>
      </c>
      <c r="AC2663">
        <f>IF(Y2663=1,Q2663-F2663,"")</f>
        <v/>
      </c>
      <c r="AD2663">
        <f>IF(Y2663=1,AC2663^2,"")</f>
        <v/>
      </c>
      <c r="AE2663" s="19">
        <f>IF(Z2663=1,(H2663-M2663)*I2663,0)</f>
        <v/>
      </c>
      <c r="AF2663">
        <f>IF(G2663&lt;EDATE(Assumptions!$C$6,-12)+1,"prior_12m","last_12m")</f>
        <v/>
      </c>
      <c r="AG2663" s="21">
        <f>DATE(YEAR(G2663),MONTH(G2663),1)</f>
        <v/>
      </c>
    </row>
    <row r="2664">
      <c r="A2664" t="inlineStr">
        <is>
          <t>SPO-01434-1</t>
        </is>
      </c>
      <c r="B2664" t="inlineStr">
        <is>
          <t>SPO-01434</t>
        </is>
      </c>
      <c r="C2664" t="inlineStr">
        <is>
          <t>SUP-06</t>
        </is>
      </c>
      <c r="D2664" t="inlineStr">
        <is>
          <t>MRO</t>
        </is>
      </c>
      <c r="E2664" t="inlineStr">
        <is>
          <t>MRO-06</t>
        </is>
      </c>
      <c r="F2664" s="17" t="n">
        <v>45965</v>
      </c>
      <c r="G2664" s="17" t="n">
        <v>45973</v>
      </c>
      <c r="H2664" s="18" t="n">
        <v>167</v>
      </c>
      <c r="I2664" s="19" t="n">
        <v>6.04</v>
      </c>
      <c r="J2664" s="19" t="n">
        <v>6.1</v>
      </c>
      <c r="K2664" s="20" t="n">
        <v>1</v>
      </c>
      <c r="L2664" s="20" t="n">
        <v>0</v>
      </c>
      <c r="M2664" s="18" t="n">
        <v>0</v>
      </c>
      <c r="N2664" s="18" t="n">
        <v>0</v>
      </c>
      <c r="O2664" s="18" t="n">
        <v>0</v>
      </c>
      <c r="P2664" s="17" t="n"/>
      <c r="Q2664" s="17" t="n"/>
      <c r="R2664" s="17" t="n"/>
      <c r="S2664" s="19">
        <f>H2664*I2664</f>
        <v/>
      </c>
      <c r="T2664" s="19">
        <f>H2664*J2664</f>
        <v/>
      </c>
      <c r="U2664">
        <f>IF(AND(K2664=0,G2664&lt;=Assumptions!$C$6),1,0)</f>
        <v/>
      </c>
      <c r="V2664">
        <f>IF(U2664=1,IF(M2664&gt;0,IF(P2664&lt;=G2664+Assumptions!$C$7,1,0),0),0)</f>
        <v/>
      </c>
      <c r="W2664">
        <f>IF(AND(U2664=1,M2664&gt;=H2664*(1-Assumptions!$C$8)),1,0)</f>
        <v/>
      </c>
      <c r="X2664">
        <f>IF(AND(U2664=1,N2664&gt;=H2664*(1-Assumptions!$C$8)),1,0)</f>
        <v/>
      </c>
      <c r="Y2664">
        <f>IF(ISNUMBER(Q2664),1,0)</f>
        <v/>
      </c>
      <c r="Z2664">
        <f>IF(AND(K2664=0,L2664=0,Y2664=0),1,0)</f>
        <v/>
      </c>
      <c r="AA2664">
        <f>IF(AND(Z2664=1,G2664&lt;Assumptions!$C$6),1,0)</f>
        <v/>
      </c>
      <c r="AB2664">
        <f>IF(U2664=0,"",IF(Y2664=1,MAX(0,Q2664-G2664),IF(L2664=1,MAX(0,R2664-G2664),MAX(0,Assumptions!$C$6-G2664))))</f>
        <v/>
      </c>
      <c r="AC2664">
        <f>IF(Y2664=1,Q2664-F2664,"")</f>
        <v/>
      </c>
      <c r="AD2664">
        <f>IF(Y2664=1,AC2664^2,"")</f>
        <v/>
      </c>
      <c r="AE2664" s="19">
        <f>IF(Z2664=1,(H2664-M2664)*I2664,0)</f>
        <v/>
      </c>
      <c r="AF2664">
        <f>IF(G2664&lt;EDATE(Assumptions!$C$6,-12)+1,"prior_12m","last_12m")</f>
        <v/>
      </c>
      <c r="AG2664" s="21">
        <f>DATE(YEAR(G2664),MONTH(G2664),1)</f>
        <v/>
      </c>
    </row>
    <row r="2665">
      <c r="A2665" t="inlineStr">
        <is>
          <t>SPO-01434-2</t>
        </is>
      </c>
      <c r="B2665" t="inlineStr">
        <is>
          <t>SPO-01434</t>
        </is>
      </c>
      <c r="C2665" t="inlineStr">
        <is>
          <t>SUP-06</t>
        </is>
      </c>
      <c r="D2665" t="inlineStr">
        <is>
          <t>MRO</t>
        </is>
      </c>
      <c r="E2665" t="inlineStr">
        <is>
          <t>MRO-04</t>
        </is>
      </c>
      <c r="F2665" s="17" t="n">
        <v>45965</v>
      </c>
      <c r="G2665" s="17" t="n">
        <v>45973</v>
      </c>
      <c r="H2665" s="18" t="n">
        <v>71</v>
      </c>
      <c r="I2665" s="19" t="n">
        <v>55.14</v>
      </c>
      <c r="J2665" s="19" t="n">
        <v>58</v>
      </c>
      <c r="K2665" s="20" t="n">
        <v>0</v>
      </c>
      <c r="L2665" s="20" t="n">
        <v>0</v>
      </c>
      <c r="M2665" s="18" t="n">
        <v>71</v>
      </c>
      <c r="N2665" s="18" t="n">
        <v>71</v>
      </c>
      <c r="O2665" s="18" t="n">
        <v>0</v>
      </c>
      <c r="P2665" s="17" t="n">
        <v>45972</v>
      </c>
      <c r="Q2665" s="17" t="n">
        <v>45972</v>
      </c>
      <c r="R2665" s="17" t="n">
        <v>45972</v>
      </c>
      <c r="S2665" s="19">
        <f>H2665*I2665</f>
        <v/>
      </c>
      <c r="T2665" s="19">
        <f>H2665*J2665</f>
        <v/>
      </c>
      <c r="U2665">
        <f>IF(AND(K2665=0,G2665&lt;=Assumptions!$C$6),1,0)</f>
        <v/>
      </c>
      <c r="V2665">
        <f>IF(U2665=1,IF(M2665&gt;0,IF(P2665&lt;=G2665+Assumptions!$C$7,1,0),0),0)</f>
        <v/>
      </c>
      <c r="W2665">
        <f>IF(AND(U2665=1,M2665&gt;=H2665*(1-Assumptions!$C$8)),1,0)</f>
        <v/>
      </c>
      <c r="X2665">
        <f>IF(AND(U2665=1,N2665&gt;=H2665*(1-Assumptions!$C$8)),1,0)</f>
        <v/>
      </c>
      <c r="Y2665">
        <f>IF(ISNUMBER(Q2665),1,0)</f>
        <v/>
      </c>
      <c r="Z2665">
        <f>IF(AND(K2665=0,L2665=0,Y2665=0),1,0)</f>
        <v/>
      </c>
      <c r="AA2665">
        <f>IF(AND(Z2665=1,G2665&lt;Assumptions!$C$6),1,0)</f>
        <v/>
      </c>
      <c r="AB2665">
        <f>IF(U2665=0,"",IF(Y2665=1,MAX(0,Q2665-G2665),IF(L2665=1,MAX(0,R2665-G2665),MAX(0,Assumptions!$C$6-G2665))))</f>
        <v/>
      </c>
      <c r="AC2665">
        <f>IF(Y2665=1,Q2665-F2665,"")</f>
        <v/>
      </c>
      <c r="AD2665">
        <f>IF(Y2665=1,AC2665^2,"")</f>
        <v/>
      </c>
      <c r="AE2665" s="19">
        <f>IF(Z2665=1,(H2665-M2665)*I2665,0)</f>
        <v/>
      </c>
      <c r="AF2665">
        <f>IF(G2665&lt;EDATE(Assumptions!$C$6,-12)+1,"prior_12m","last_12m")</f>
        <v/>
      </c>
      <c r="AG2665" s="21">
        <f>DATE(YEAR(G2665),MONTH(G2665),1)</f>
        <v/>
      </c>
    </row>
    <row r="2666">
      <c r="A2666" t="inlineStr">
        <is>
          <t>SPO-01434-3</t>
        </is>
      </c>
      <c r="B2666" t="inlineStr">
        <is>
          <t>SPO-01434</t>
        </is>
      </c>
      <c r="C2666" t="inlineStr">
        <is>
          <t>SUP-06</t>
        </is>
      </c>
      <c r="D2666" t="inlineStr">
        <is>
          <t>MRO</t>
        </is>
      </c>
      <c r="E2666" t="inlineStr">
        <is>
          <t>MRO-03</t>
        </is>
      </c>
      <c r="F2666" s="17" t="n">
        <v>45965</v>
      </c>
      <c r="G2666" s="17" t="n">
        <v>45973</v>
      </c>
      <c r="H2666" s="18" t="n">
        <v>218</v>
      </c>
      <c r="I2666" s="19" t="n">
        <v>8.69</v>
      </c>
      <c r="J2666" s="19" t="n">
        <v>8.9</v>
      </c>
      <c r="K2666" s="20" t="n">
        <v>0</v>
      </c>
      <c r="L2666" s="20" t="n">
        <v>0</v>
      </c>
      <c r="M2666" s="18" t="n">
        <v>218</v>
      </c>
      <c r="N2666" s="18" t="n">
        <v>218</v>
      </c>
      <c r="O2666" s="18" t="n">
        <v>0</v>
      </c>
      <c r="P2666" s="17" t="n">
        <v>45970</v>
      </c>
      <c r="Q2666" s="17" t="n">
        <v>45970</v>
      </c>
      <c r="R2666" s="17" t="n">
        <v>45970</v>
      </c>
      <c r="S2666" s="19">
        <f>H2666*I2666</f>
        <v/>
      </c>
      <c r="T2666" s="19">
        <f>H2666*J2666</f>
        <v/>
      </c>
      <c r="U2666">
        <f>IF(AND(K2666=0,G2666&lt;=Assumptions!$C$6),1,0)</f>
        <v/>
      </c>
      <c r="V2666">
        <f>IF(U2666=1,IF(M2666&gt;0,IF(P2666&lt;=G2666+Assumptions!$C$7,1,0),0),0)</f>
        <v/>
      </c>
      <c r="W2666">
        <f>IF(AND(U2666=1,M2666&gt;=H2666*(1-Assumptions!$C$8)),1,0)</f>
        <v/>
      </c>
      <c r="X2666">
        <f>IF(AND(U2666=1,N2666&gt;=H2666*(1-Assumptions!$C$8)),1,0)</f>
        <v/>
      </c>
      <c r="Y2666">
        <f>IF(ISNUMBER(Q2666),1,0)</f>
        <v/>
      </c>
      <c r="Z2666">
        <f>IF(AND(K2666=0,L2666=0,Y2666=0),1,0)</f>
        <v/>
      </c>
      <c r="AA2666">
        <f>IF(AND(Z2666=1,G2666&lt;Assumptions!$C$6),1,0)</f>
        <v/>
      </c>
      <c r="AB2666">
        <f>IF(U2666=0,"",IF(Y2666=1,MAX(0,Q2666-G2666),IF(L2666=1,MAX(0,R2666-G2666),MAX(0,Assumptions!$C$6-G2666))))</f>
        <v/>
      </c>
      <c r="AC2666">
        <f>IF(Y2666=1,Q2666-F2666,"")</f>
        <v/>
      </c>
      <c r="AD2666">
        <f>IF(Y2666=1,AC2666^2,"")</f>
        <v/>
      </c>
      <c r="AE2666" s="19">
        <f>IF(Z2666=1,(H2666-M2666)*I2666,0)</f>
        <v/>
      </c>
      <c r="AF2666">
        <f>IF(G2666&lt;EDATE(Assumptions!$C$6,-12)+1,"prior_12m","last_12m")</f>
        <v/>
      </c>
      <c r="AG2666" s="21">
        <f>DATE(YEAR(G2666),MONTH(G2666),1)</f>
        <v/>
      </c>
    </row>
    <row r="2667">
      <c r="A2667" t="inlineStr">
        <is>
          <t>SPO-01435-1</t>
        </is>
      </c>
      <c r="B2667" t="inlineStr">
        <is>
          <t>SPO-01435</t>
        </is>
      </c>
      <c r="C2667" t="inlineStr">
        <is>
          <t>SUP-05</t>
        </is>
      </c>
      <c r="D2667" t="inlineStr">
        <is>
          <t>FLEET</t>
        </is>
      </c>
      <c r="E2667" t="inlineStr">
        <is>
          <t>FLEET-04</t>
        </is>
      </c>
      <c r="F2667" s="17" t="n">
        <v>45965</v>
      </c>
      <c r="G2667" s="17" t="n">
        <v>45979</v>
      </c>
      <c r="H2667" s="18" t="n">
        <v>464</v>
      </c>
      <c r="I2667" s="19" t="n">
        <v>9.51</v>
      </c>
      <c r="J2667" s="19" t="n">
        <v>9</v>
      </c>
      <c r="K2667" s="20" t="n">
        <v>0</v>
      </c>
      <c r="L2667" s="20" t="n">
        <v>0</v>
      </c>
      <c r="M2667" s="18" t="n">
        <v>464</v>
      </c>
      <c r="N2667" s="18" t="n">
        <v>464</v>
      </c>
      <c r="O2667" s="18" t="n">
        <v>0</v>
      </c>
      <c r="P2667" s="17" t="n">
        <v>45976</v>
      </c>
      <c r="Q2667" s="17" t="n">
        <v>45976</v>
      </c>
      <c r="R2667" s="17" t="n">
        <v>45976</v>
      </c>
      <c r="S2667" s="19">
        <f>H2667*I2667</f>
        <v/>
      </c>
      <c r="T2667" s="19">
        <f>H2667*J2667</f>
        <v/>
      </c>
      <c r="U2667">
        <f>IF(AND(K2667=0,G2667&lt;=Assumptions!$C$6),1,0)</f>
        <v/>
      </c>
      <c r="V2667">
        <f>IF(U2667=1,IF(M2667&gt;0,IF(P2667&lt;=G2667+Assumptions!$C$7,1,0),0),0)</f>
        <v/>
      </c>
      <c r="W2667">
        <f>IF(AND(U2667=1,M2667&gt;=H2667*(1-Assumptions!$C$8)),1,0)</f>
        <v/>
      </c>
      <c r="X2667">
        <f>IF(AND(U2667=1,N2667&gt;=H2667*(1-Assumptions!$C$8)),1,0)</f>
        <v/>
      </c>
      <c r="Y2667">
        <f>IF(ISNUMBER(Q2667),1,0)</f>
        <v/>
      </c>
      <c r="Z2667">
        <f>IF(AND(K2667=0,L2667=0,Y2667=0),1,0)</f>
        <v/>
      </c>
      <c r="AA2667">
        <f>IF(AND(Z2667=1,G2667&lt;Assumptions!$C$6),1,0)</f>
        <v/>
      </c>
      <c r="AB2667">
        <f>IF(U2667=0,"",IF(Y2667=1,MAX(0,Q2667-G2667),IF(L2667=1,MAX(0,R2667-G2667),MAX(0,Assumptions!$C$6-G2667))))</f>
        <v/>
      </c>
      <c r="AC2667">
        <f>IF(Y2667=1,Q2667-F2667,"")</f>
        <v/>
      </c>
      <c r="AD2667">
        <f>IF(Y2667=1,AC2667^2,"")</f>
        <v/>
      </c>
      <c r="AE2667" s="19">
        <f>IF(Z2667=1,(H2667-M2667)*I2667,0)</f>
        <v/>
      </c>
      <c r="AF2667">
        <f>IF(G2667&lt;EDATE(Assumptions!$C$6,-12)+1,"prior_12m","last_12m")</f>
        <v/>
      </c>
      <c r="AG2667" s="21">
        <f>DATE(YEAR(G2667),MONTH(G2667),1)</f>
        <v/>
      </c>
    </row>
    <row r="2668">
      <c r="A2668" t="inlineStr">
        <is>
          <t>SPO-01436-1</t>
        </is>
      </c>
      <c r="B2668" t="inlineStr">
        <is>
          <t>SPO-01436</t>
        </is>
      </c>
      <c r="C2668" t="inlineStr">
        <is>
          <t>SUP-11</t>
        </is>
      </c>
      <c r="D2668" t="inlineStr">
        <is>
          <t>PPE</t>
        </is>
      </c>
      <c r="E2668" t="inlineStr">
        <is>
          <t>PPE-06</t>
        </is>
      </c>
      <c r="F2668" s="17" t="n">
        <v>45965</v>
      </c>
      <c r="G2668" s="17" t="n">
        <v>45977</v>
      </c>
      <c r="H2668" s="18" t="n">
        <v>18</v>
      </c>
      <c r="I2668" s="19" t="n">
        <v>115.98</v>
      </c>
      <c r="J2668" s="19" t="n">
        <v>115</v>
      </c>
      <c r="K2668" s="20" t="n">
        <v>0</v>
      </c>
      <c r="L2668" s="20" t="n">
        <v>0</v>
      </c>
      <c r="M2668" s="18" t="n">
        <v>18</v>
      </c>
      <c r="N2668" s="18" t="n">
        <v>0</v>
      </c>
      <c r="O2668" s="18" t="n">
        <v>0</v>
      </c>
      <c r="P2668" s="17" t="n">
        <v>45978</v>
      </c>
      <c r="Q2668" s="17" t="n">
        <v>45978</v>
      </c>
      <c r="R2668" s="17" t="n">
        <v>45978</v>
      </c>
      <c r="S2668" s="19">
        <f>H2668*I2668</f>
        <v/>
      </c>
      <c r="T2668" s="19">
        <f>H2668*J2668</f>
        <v/>
      </c>
      <c r="U2668">
        <f>IF(AND(K2668=0,G2668&lt;=Assumptions!$C$6),1,0)</f>
        <v/>
      </c>
      <c r="V2668">
        <f>IF(U2668=1,IF(M2668&gt;0,IF(P2668&lt;=G2668+Assumptions!$C$7,1,0),0),0)</f>
        <v/>
      </c>
      <c r="W2668">
        <f>IF(AND(U2668=1,M2668&gt;=H2668*(1-Assumptions!$C$8)),1,0)</f>
        <v/>
      </c>
      <c r="X2668">
        <f>IF(AND(U2668=1,N2668&gt;=H2668*(1-Assumptions!$C$8)),1,0)</f>
        <v/>
      </c>
      <c r="Y2668">
        <f>IF(ISNUMBER(Q2668),1,0)</f>
        <v/>
      </c>
      <c r="Z2668">
        <f>IF(AND(K2668=0,L2668=0,Y2668=0),1,0)</f>
        <v/>
      </c>
      <c r="AA2668">
        <f>IF(AND(Z2668=1,G2668&lt;Assumptions!$C$6),1,0)</f>
        <v/>
      </c>
      <c r="AB2668">
        <f>IF(U2668=0,"",IF(Y2668=1,MAX(0,Q2668-G2668),IF(L2668=1,MAX(0,R2668-G2668),MAX(0,Assumptions!$C$6-G2668))))</f>
        <v/>
      </c>
      <c r="AC2668">
        <f>IF(Y2668=1,Q2668-F2668,"")</f>
        <v/>
      </c>
      <c r="AD2668">
        <f>IF(Y2668=1,AC2668^2,"")</f>
        <v/>
      </c>
      <c r="AE2668" s="19">
        <f>IF(Z2668=1,(H2668-M2668)*I2668,0)</f>
        <v/>
      </c>
      <c r="AF2668">
        <f>IF(G2668&lt;EDATE(Assumptions!$C$6,-12)+1,"prior_12m","last_12m")</f>
        <v/>
      </c>
      <c r="AG2668" s="21">
        <f>DATE(YEAR(G2668),MONTH(G2668),1)</f>
        <v/>
      </c>
    </row>
    <row r="2669">
      <c r="A2669" t="inlineStr">
        <is>
          <t>SPO-01436-2</t>
        </is>
      </c>
      <c r="B2669" t="inlineStr">
        <is>
          <t>SPO-01436</t>
        </is>
      </c>
      <c r="C2669" t="inlineStr">
        <is>
          <t>SUP-11</t>
        </is>
      </c>
      <c r="D2669" t="inlineStr">
        <is>
          <t>PPE</t>
        </is>
      </c>
      <c r="E2669" t="inlineStr">
        <is>
          <t>PPE-05</t>
        </is>
      </c>
      <c r="F2669" s="17" t="n">
        <v>45965</v>
      </c>
      <c r="G2669" s="17" t="n">
        <v>45977</v>
      </c>
      <c r="H2669" s="18" t="n">
        <v>120</v>
      </c>
      <c r="I2669" s="19" t="n">
        <v>11.43</v>
      </c>
      <c r="J2669" s="19" t="n">
        <v>11</v>
      </c>
      <c r="K2669" s="20" t="n">
        <v>0</v>
      </c>
      <c r="L2669" s="20" t="n">
        <v>0</v>
      </c>
      <c r="M2669" s="18" t="n">
        <v>120</v>
      </c>
      <c r="N2669" s="18" t="n">
        <v>120</v>
      </c>
      <c r="O2669" s="18" t="n">
        <v>0</v>
      </c>
      <c r="P2669" s="17" t="n">
        <v>45974</v>
      </c>
      <c r="Q2669" s="17" t="n">
        <v>45974</v>
      </c>
      <c r="R2669" s="17" t="n">
        <v>45974</v>
      </c>
      <c r="S2669" s="19">
        <f>H2669*I2669</f>
        <v/>
      </c>
      <c r="T2669" s="19">
        <f>H2669*J2669</f>
        <v/>
      </c>
      <c r="U2669">
        <f>IF(AND(K2669=0,G2669&lt;=Assumptions!$C$6),1,0)</f>
        <v/>
      </c>
      <c r="V2669">
        <f>IF(U2669=1,IF(M2669&gt;0,IF(P2669&lt;=G2669+Assumptions!$C$7,1,0),0),0)</f>
        <v/>
      </c>
      <c r="W2669">
        <f>IF(AND(U2669=1,M2669&gt;=H2669*(1-Assumptions!$C$8)),1,0)</f>
        <v/>
      </c>
      <c r="X2669">
        <f>IF(AND(U2669=1,N2669&gt;=H2669*(1-Assumptions!$C$8)),1,0)</f>
        <v/>
      </c>
      <c r="Y2669">
        <f>IF(ISNUMBER(Q2669),1,0)</f>
        <v/>
      </c>
      <c r="Z2669">
        <f>IF(AND(K2669=0,L2669=0,Y2669=0),1,0)</f>
        <v/>
      </c>
      <c r="AA2669">
        <f>IF(AND(Z2669=1,G2669&lt;Assumptions!$C$6),1,0)</f>
        <v/>
      </c>
      <c r="AB2669">
        <f>IF(U2669=0,"",IF(Y2669=1,MAX(0,Q2669-G2669),IF(L2669=1,MAX(0,R2669-G2669),MAX(0,Assumptions!$C$6-G2669))))</f>
        <v/>
      </c>
      <c r="AC2669">
        <f>IF(Y2669=1,Q2669-F2669,"")</f>
        <v/>
      </c>
      <c r="AD2669">
        <f>IF(Y2669=1,AC2669^2,"")</f>
        <v/>
      </c>
      <c r="AE2669" s="19">
        <f>IF(Z2669=1,(H2669-M2669)*I2669,0)</f>
        <v/>
      </c>
      <c r="AF2669">
        <f>IF(G2669&lt;EDATE(Assumptions!$C$6,-12)+1,"prior_12m","last_12m")</f>
        <v/>
      </c>
      <c r="AG2669" s="21">
        <f>DATE(YEAR(G2669),MONTH(G2669),1)</f>
        <v/>
      </c>
    </row>
    <row r="2670">
      <c r="A2670" t="inlineStr">
        <is>
          <t>SPO-01437-1</t>
        </is>
      </c>
      <c r="B2670" t="inlineStr">
        <is>
          <t>SPO-01437</t>
        </is>
      </c>
      <c r="C2670" t="inlineStr">
        <is>
          <t>SUP-05</t>
        </is>
      </c>
      <c r="D2670" t="inlineStr">
        <is>
          <t>FLEET</t>
        </is>
      </c>
      <c r="E2670" t="inlineStr">
        <is>
          <t>FLEET-07</t>
        </is>
      </c>
      <c r="F2670" s="17" t="n">
        <v>45965</v>
      </c>
      <c r="G2670" s="17" t="n">
        <v>45979</v>
      </c>
      <c r="H2670" s="18" t="n">
        <v>6</v>
      </c>
      <c r="I2670" s="19" t="n">
        <v>120.21</v>
      </c>
      <c r="J2670" s="19" t="n">
        <v>118</v>
      </c>
      <c r="K2670" s="20" t="n">
        <v>0</v>
      </c>
      <c r="L2670" s="20" t="n">
        <v>0</v>
      </c>
      <c r="M2670" s="18" t="n">
        <v>6</v>
      </c>
      <c r="N2670" s="18" t="n">
        <v>6</v>
      </c>
      <c r="O2670" s="18" t="n">
        <v>0</v>
      </c>
      <c r="P2670" s="17" t="n">
        <v>45978</v>
      </c>
      <c r="Q2670" s="17" t="n">
        <v>45978</v>
      </c>
      <c r="R2670" s="17" t="n">
        <v>45978</v>
      </c>
      <c r="S2670" s="19">
        <f>H2670*I2670</f>
        <v/>
      </c>
      <c r="T2670" s="19">
        <f>H2670*J2670</f>
        <v/>
      </c>
      <c r="U2670">
        <f>IF(AND(K2670=0,G2670&lt;=Assumptions!$C$6),1,0)</f>
        <v/>
      </c>
      <c r="V2670">
        <f>IF(U2670=1,IF(M2670&gt;0,IF(P2670&lt;=G2670+Assumptions!$C$7,1,0),0),0)</f>
        <v/>
      </c>
      <c r="W2670">
        <f>IF(AND(U2670=1,M2670&gt;=H2670*(1-Assumptions!$C$8)),1,0)</f>
        <v/>
      </c>
      <c r="X2670">
        <f>IF(AND(U2670=1,N2670&gt;=H2670*(1-Assumptions!$C$8)),1,0)</f>
        <v/>
      </c>
      <c r="Y2670">
        <f>IF(ISNUMBER(Q2670),1,0)</f>
        <v/>
      </c>
      <c r="Z2670">
        <f>IF(AND(K2670=0,L2670=0,Y2670=0),1,0)</f>
        <v/>
      </c>
      <c r="AA2670">
        <f>IF(AND(Z2670=1,G2670&lt;Assumptions!$C$6),1,0)</f>
        <v/>
      </c>
      <c r="AB2670">
        <f>IF(U2670=0,"",IF(Y2670=1,MAX(0,Q2670-G2670),IF(L2670=1,MAX(0,R2670-G2670),MAX(0,Assumptions!$C$6-G2670))))</f>
        <v/>
      </c>
      <c r="AC2670">
        <f>IF(Y2670=1,Q2670-F2670,"")</f>
        <v/>
      </c>
      <c r="AD2670">
        <f>IF(Y2670=1,AC2670^2,"")</f>
        <v/>
      </c>
      <c r="AE2670" s="19">
        <f>IF(Z2670=1,(H2670-M2670)*I2670,0)</f>
        <v/>
      </c>
      <c r="AF2670">
        <f>IF(G2670&lt;EDATE(Assumptions!$C$6,-12)+1,"prior_12m","last_12m")</f>
        <v/>
      </c>
      <c r="AG2670" s="21">
        <f>DATE(YEAR(G2670),MONTH(G2670),1)</f>
        <v/>
      </c>
    </row>
    <row r="2671">
      <c r="A2671" t="inlineStr">
        <is>
          <t>SPO-01438-1</t>
        </is>
      </c>
      <c r="B2671" t="inlineStr">
        <is>
          <t>SPO-01438</t>
        </is>
      </c>
      <c r="C2671" t="inlineStr">
        <is>
          <t>SUP-04</t>
        </is>
      </c>
      <c r="D2671" t="inlineStr">
        <is>
          <t>FLEET</t>
        </is>
      </c>
      <c r="E2671" t="inlineStr">
        <is>
          <t>FLEET-04</t>
        </is>
      </c>
      <c r="F2671" s="17" t="n">
        <v>45966</v>
      </c>
      <c r="G2671" s="17" t="n">
        <v>45979</v>
      </c>
      <c r="H2671" s="18" t="n">
        <v>186</v>
      </c>
      <c r="I2671" s="19" t="n">
        <v>9.17</v>
      </c>
      <c r="J2671" s="19" t="n">
        <v>9</v>
      </c>
      <c r="K2671" s="20" t="n">
        <v>0</v>
      </c>
      <c r="L2671" s="20" t="n">
        <v>0</v>
      </c>
      <c r="M2671" s="18" t="n">
        <v>186</v>
      </c>
      <c r="N2671" s="18" t="n">
        <v>186</v>
      </c>
      <c r="O2671" s="18" t="n">
        <v>0</v>
      </c>
      <c r="P2671" s="17" t="n">
        <v>45971</v>
      </c>
      <c r="Q2671" s="17" t="n">
        <v>45971</v>
      </c>
      <c r="R2671" s="17" t="n">
        <v>45971</v>
      </c>
      <c r="S2671" s="19">
        <f>H2671*I2671</f>
        <v/>
      </c>
      <c r="T2671" s="19">
        <f>H2671*J2671</f>
        <v/>
      </c>
      <c r="U2671">
        <f>IF(AND(K2671=0,G2671&lt;=Assumptions!$C$6),1,0)</f>
        <v/>
      </c>
      <c r="V2671">
        <f>IF(U2671=1,IF(M2671&gt;0,IF(P2671&lt;=G2671+Assumptions!$C$7,1,0),0),0)</f>
        <v/>
      </c>
      <c r="W2671">
        <f>IF(AND(U2671=1,M2671&gt;=H2671*(1-Assumptions!$C$8)),1,0)</f>
        <v/>
      </c>
      <c r="X2671">
        <f>IF(AND(U2671=1,N2671&gt;=H2671*(1-Assumptions!$C$8)),1,0)</f>
        <v/>
      </c>
      <c r="Y2671">
        <f>IF(ISNUMBER(Q2671),1,0)</f>
        <v/>
      </c>
      <c r="Z2671">
        <f>IF(AND(K2671=0,L2671=0,Y2671=0),1,0)</f>
        <v/>
      </c>
      <c r="AA2671">
        <f>IF(AND(Z2671=1,G2671&lt;Assumptions!$C$6),1,0)</f>
        <v/>
      </c>
      <c r="AB2671">
        <f>IF(U2671=0,"",IF(Y2671=1,MAX(0,Q2671-G2671),IF(L2671=1,MAX(0,R2671-G2671),MAX(0,Assumptions!$C$6-G2671))))</f>
        <v/>
      </c>
      <c r="AC2671">
        <f>IF(Y2671=1,Q2671-F2671,"")</f>
        <v/>
      </c>
      <c r="AD2671">
        <f>IF(Y2671=1,AC2671^2,"")</f>
        <v/>
      </c>
      <c r="AE2671" s="19">
        <f>IF(Z2671=1,(H2671-M2671)*I2671,0)</f>
        <v/>
      </c>
      <c r="AF2671">
        <f>IF(G2671&lt;EDATE(Assumptions!$C$6,-12)+1,"prior_12m","last_12m")</f>
        <v/>
      </c>
      <c r="AG2671" s="21">
        <f>DATE(YEAR(G2671),MONTH(G2671),1)</f>
        <v/>
      </c>
    </row>
    <row r="2672">
      <c r="A2672" t="inlineStr">
        <is>
          <t>SPO-01438-2</t>
        </is>
      </c>
      <c r="B2672" t="inlineStr">
        <is>
          <t>SPO-01438</t>
        </is>
      </c>
      <c r="C2672" t="inlineStr">
        <is>
          <t>SUP-04</t>
        </is>
      </c>
      <c r="D2672" t="inlineStr">
        <is>
          <t>FLEET</t>
        </is>
      </c>
      <c r="E2672" t="inlineStr">
        <is>
          <t>FLEET-03</t>
        </is>
      </c>
      <c r="F2672" s="17" t="n">
        <v>45966</v>
      </c>
      <c r="G2672" s="17" t="n">
        <v>45979</v>
      </c>
      <c r="H2672" s="18" t="n">
        <v>33</v>
      </c>
      <c r="I2672" s="19" t="n">
        <v>20.74</v>
      </c>
      <c r="J2672" s="19" t="n">
        <v>21</v>
      </c>
      <c r="K2672" s="20" t="n">
        <v>0</v>
      </c>
      <c r="L2672" s="20" t="n">
        <v>0</v>
      </c>
      <c r="M2672" s="18" t="n">
        <v>33</v>
      </c>
      <c r="N2672" s="18" t="n">
        <v>0</v>
      </c>
      <c r="O2672" s="18" t="n">
        <v>0</v>
      </c>
      <c r="P2672" s="17" t="n">
        <v>45982</v>
      </c>
      <c r="Q2672" s="17" t="n">
        <v>45982</v>
      </c>
      <c r="R2672" s="17" t="n">
        <v>45982</v>
      </c>
      <c r="S2672" s="19">
        <f>H2672*I2672</f>
        <v/>
      </c>
      <c r="T2672" s="19">
        <f>H2672*J2672</f>
        <v/>
      </c>
      <c r="U2672">
        <f>IF(AND(K2672=0,G2672&lt;=Assumptions!$C$6),1,0)</f>
        <v/>
      </c>
      <c r="V2672">
        <f>IF(U2672=1,IF(M2672&gt;0,IF(P2672&lt;=G2672+Assumptions!$C$7,1,0),0),0)</f>
        <v/>
      </c>
      <c r="W2672">
        <f>IF(AND(U2672=1,M2672&gt;=H2672*(1-Assumptions!$C$8)),1,0)</f>
        <v/>
      </c>
      <c r="X2672">
        <f>IF(AND(U2672=1,N2672&gt;=H2672*(1-Assumptions!$C$8)),1,0)</f>
        <v/>
      </c>
      <c r="Y2672">
        <f>IF(ISNUMBER(Q2672),1,0)</f>
        <v/>
      </c>
      <c r="Z2672">
        <f>IF(AND(K2672=0,L2672=0,Y2672=0),1,0)</f>
        <v/>
      </c>
      <c r="AA2672">
        <f>IF(AND(Z2672=1,G2672&lt;Assumptions!$C$6),1,0)</f>
        <v/>
      </c>
      <c r="AB2672">
        <f>IF(U2672=0,"",IF(Y2672=1,MAX(0,Q2672-G2672),IF(L2672=1,MAX(0,R2672-G2672),MAX(0,Assumptions!$C$6-G2672))))</f>
        <v/>
      </c>
      <c r="AC2672">
        <f>IF(Y2672=1,Q2672-F2672,"")</f>
        <v/>
      </c>
      <c r="AD2672">
        <f>IF(Y2672=1,AC2672^2,"")</f>
        <v/>
      </c>
      <c r="AE2672" s="19">
        <f>IF(Z2672=1,(H2672-M2672)*I2672,0)</f>
        <v/>
      </c>
      <c r="AF2672">
        <f>IF(G2672&lt;EDATE(Assumptions!$C$6,-12)+1,"prior_12m","last_12m")</f>
        <v/>
      </c>
      <c r="AG2672" s="21">
        <f>DATE(YEAR(G2672),MONTH(G2672),1)</f>
        <v/>
      </c>
    </row>
    <row r="2673">
      <c r="A2673" t="inlineStr">
        <is>
          <t>SPO-01439-1</t>
        </is>
      </c>
      <c r="B2673" t="inlineStr">
        <is>
          <t>SPO-01439</t>
        </is>
      </c>
      <c r="C2673" t="inlineStr">
        <is>
          <t>SUP-11</t>
        </is>
      </c>
      <c r="D2673" t="inlineStr">
        <is>
          <t>PPE</t>
        </is>
      </c>
      <c r="E2673" t="inlineStr">
        <is>
          <t>PPE-07</t>
        </is>
      </c>
      <c r="F2673" s="17" t="n">
        <v>45966</v>
      </c>
      <c r="G2673" s="17" t="n">
        <v>45978</v>
      </c>
      <c r="H2673" s="18" t="n">
        <v>35</v>
      </c>
      <c r="I2673" s="19" t="n">
        <v>29.99</v>
      </c>
      <c r="J2673" s="19" t="n">
        <v>31</v>
      </c>
      <c r="K2673" s="20" t="n">
        <v>0</v>
      </c>
      <c r="L2673" s="20" t="n">
        <v>0</v>
      </c>
      <c r="M2673" s="18" t="n">
        <v>35</v>
      </c>
      <c r="N2673" s="18" t="n">
        <v>35</v>
      </c>
      <c r="O2673" s="18" t="n">
        <v>0</v>
      </c>
      <c r="P2673" s="17" t="n">
        <v>45975</v>
      </c>
      <c r="Q2673" s="17" t="n">
        <v>45975</v>
      </c>
      <c r="R2673" s="17" t="n">
        <v>45975</v>
      </c>
      <c r="S2673" s="19">
        <f>H2673*I2673</f>
        <v/>
      </c>
      <c r="T2673" s="19">
        <f>H2673*J2673</f>
        <v/>
      </c>
      <c r="U2673">
        <f>IF(AND(K2673=0,G2673&lt;=Assumptions!$C$6),1,0)</f>
        <v/>
      </c>
      <c r="V2673">
        <f>IF(U2673=1,IF(M2673&gt;0,IF(P2673&lt;=G2673+Assumptions!$C$7,1,0),0),0)</f>
        <v/>
      </c>
      <c r="W2673">
        <f>IF(AND(U2673=1,M2673&gt;=H2673*(1-Assumptions!$C$8)),1,0)</f>
        <v/>
      </c>
      <c r="X2673">
        <f>IF(AND(U2673=1,N2673&gt;=H2673*(1-Assumptions!$C$8)),1,0)</f>
        <v/>
      </c>
      <c r="Y2673">
        <f>IF(ISNUMBER(Q2673),1,0)</f>
        <v/>
      </c>
      <c r="Z2673">
        <f>IF(AND(K2673=0,L2673=0,Y2673=0),1,0)</f>
        <v/>
      </c>
      <c r="AA2673">
        <f>IF(AND(Z2673=1,G2673&lt;Assumptions!$C$6),1,0)</f>
        <v/>
      </c>
      <c r="AB2673">
        <f>IF(U2673=0,"",IF(Y2673=1,MAX(0,Q2673-G2673),IF(L2673=1,MAX(0,R2673-G2673),MAX(0,Assumptions!$C$6-G2673))))</f>
        <v/>
      </c>
      <c r="AC2673">
        <f>IF(Y2673=1,Q2673-F2673,"")</f>
        <v/>
      </c>
      <c r="AD2673">
        <f>IF(Y2673=1,AC2673^2,"")</f>
        <v/>
      </c>
      <c r="AE2673" s="19">
        <f>IF(Z2673=1,(H2673-M2673)*I2673,0)</f>
        <v/>
      </c>
      <c r="AF2673">
        <f>IF(G2673&lt;EDATE(Assumptions!$C$6,-12)+1,"prior_12m","last_12m")</f>
        <v/>
      </c>
      <c r="AG2673" s="21">
        <f>DATE(YEAR(G2673),MONTH(G2673),1)</f>
        <v/>
      </c>
    </row>
    <row r="2674">
      <c r="A2674" t="inlineStr">
        <is>
          <t>SPO-01440-1</t>
        </is>
      </c>
      <c r="B2674" t="inlineStr">
        <is>
          <t>SPO-01440</t>
        </is>
      </c>
      <c r="C2674" t="inlineStr">
        <is>
          <t>SUP-12</t>
        </is>
      </c>
      <c r="D2674" t="inlineStr">
        <is>
          <t>IT</t>
        </is>
      </c>
      <c r="E2674" t="inlineStr">
        <is>
          <t>IT-05</t>
        </is>
      </c>
      <c r="F2674" s="17" t="n">
        <v>45966</v>
      </c>
      <c r="G2674" s="17" t="n">
        <v>45976</v>
      </c>
      <c r="H2674" s="18" t="n">
        <v>8</v>
      </c>
      <c r="I2674" s="19" t="n">
        <v>705.84</v>
      </c>
      <c r="J2674" s="19" t="n">
        <v>640</v>
      </c>
      <c r="K2674" s="20" t="n">
        <v>0</v>
      </c>
      <c r="L2674" s="20" t="n">
        <v>0</v>
      </c>
      <c r="M2674" s="18" t="n">
        <v>8</v>
      </c>
      <c r="N2674" s="18" t="n">
        <v>8</v>
      </c>
      <c r="O2674" s="18" t="n">
        <v>0</v>
      </c>
      <c r="P2674" s="17" t="n">
        <v>45974</v>
      </c>
      <c r="Q2674" s="17" t="n">
        <v>45974</v>
      </c>
      <c r="R2674" s="17" t="n">
        <v>45974</v>
      </c>
      <c r="S2674" s="19">
        <f>H2674*I2674</f>
        <v/>
      </c>
      <c r="T2674" s="19">
        <f>H2674*J2674</f>
        <v/>
      </c>
      <c r="U2674">
        <f>IF(AND(K2674=0,G2674&lt;=Assumptions!$C$6),1,0)</f>
        <v/>
      </c>
      <c r="V2674">
        <f>IF(U2674=1,IF(M2674&gt;0,IF(P2674&lt;=G2674+Assumptions!$C$7,1,0),0),0)</f>
        <v/>
      </c>
      <c r="W2674">
        <f>IF(AND(U2674=1,M2674&gt;=H2674*(1-Assumptions!$C$8)),1,0)</f>
        <v/>
      </c>
      <c r="X2674">
        <f>IF(AND(U2674=1,N2674&gt;=H2674*(1-Assumptions!$C$8)),1,0)</f>
        <v/>
      </c>
      <c r="Y2674">
        <f>IF(ISNUMBER(Q2674),1,0)</f>
        <v/>
      </c>
      <c r="Z2674">
        <f>IF(AND(K2674=0,L2674=0,Y2674=0),1,0)</f>
        <v/>
      </c>
      <c r="AA2674">
        <f>IF(AND(Z2674=1,G2674&lt;Assumptions!$C$6),1,0)</f>
        <v/>
      </c>
      <c r="AB2674">
        <f>IF(U2674=0,"",IF(Y2674=1,MAX(0,Q2674-G2674),IF(L2674=1,MAX(0,R2674-G2674),MAX(0,Assumptions!$C$6-G2674))))</f>
        <v/>
      </c>
      <c r="AC2674">
        <f>IF(Y2674=1,Q2674-F2674,"")</f>
        <v/>
      </c>
      <c r="AD2674">
        <f>IF(Y2674=1,AC2674^2,"")</f>
        <v/>
      </c>
      <c r="AE2674" s="19">
        <f>IF(Z2674=1,(H2674-M2674)*I2674,0)</f>
        <v/>
      </c>
      <c r="AF2674">
        <f>IF(G2674&lt;EDATE(Assumptions!$C$6,-12)+1,"prior_12m","last_12m")</f>
        <v/>
      </c>
      <c r="AG2674" s="21">
        <f>DATE(YEAR(G2674),MONTH(G2674),1)</f>
        <v/>
      </c>
    </row>
    <row r="2675">
      <c r="A2675" t="inlineStr">
        <is>
          <t>SPO-01440-2</t>
        </is>
      </c>
      <c r="B2675" t="inlineStr">
        <is>
          <t>SPO-01440</t>
        </is>
      </c>
      <c r="C2675" t="inlineStr">
        <is>
          <t>SUP-12</t>
        </is>
      </c>
      <c r="D2675" t="inlineStr">
        <is>
          <t>IT</t>
        </is>
      </c>
      <c r="E2675" t="inlineStr">
        <is>
          <t>IT-03</t>
        </is>
      </c>
      <c r="F2675" s="17" t="n">
        <v>45966</v>
      </c>
      <c r="G2675" s="17" t="n">
        <v>45976</v>
      </c>
      <c r="H2675" s="18" t="n">
        <v>66</v>
      </c>
      <c r="I2675" s="19" t="n">
        <v>42.94</v>
      </c>
      <c r="J2675" s="19" t="n">
        <v>38</v>
      </c>
      <c r="K2675" s="20" t="n">
        <v>0</v>
      </c>
      <c r="L2675" s="20" t="n">
        <v>0</v>
      </c>
      <c r="M2675" s="18" t="n">
        <v>66</v>
      </c>
      <c r="N2675" s="18" t="n">
        <v>66</v>
      </c>
      <c r="O2675" s="18" t="n">
        <v>0</v>
      </c>
      <c r="P2675" s="17" t="n">
        <v>45974</v>
      </c>
      <c r="Q2675" s="17" t="n">
        <v>45974</v>
      </c>
      <c r="R2675" s="17" t="n">
        <v>45974</v>
      </c>
      <c r="S2675" s="19">
        <f>H2675*I2675</f>
        <v/>
      </c>
      <c r="T2675" s="19">
        <f>H2675*J2675</f>
        <v/>
      </c>
      <c r="U2675">
        <f>IF(AND(K2675=0,G2675&lt;=Assumptions!$C$6),1,0)</f>
        <v/>
      </c>
      <c r="V2675">
        <f>IF(U2675=1,IF(M2675&gt;0,IF(P2675&lt;=G2675+Assumptions!$C$7,1,0),0),0)</f>
        <v/>
      </c>
      <c r="W2675">
        <f>IF(AND(U2675=1,M2675&gt;=H2675*(1-Assumptions!$C$8)),1,0)</f>
        <v/>
      </c>
      <c r="X2675">
        <f>IF(AND(U2675=1,N2675&gt;=H2675*(1-Assumptions!$C$8)),1,0)</f>
        <v/>
      </c>
      <c r="Y2675">
        <f>IF(ISNUMBER(Q2675),1,0)</f>
        <v/>
      </c>
      <c r="Z2675">
        <f>IF(AND(K2675=0,L2675=0,Y2675=0),1,0)</f>
        <v/>
      </c>
      <c r="AA2675">
        <f>IF(AND(Z2675=1,G2675&lt;Assumptions!$C$6),1,0)</f>
        <v/>
      </c>
      <c r="AB2675">
        <f>IF(U2675=0,"",IF(Y2675=1,MAX(0,Q2675-G2675),IF(L2675=1,MAX(0,R2675-G2675),MAX(0,Assumptions!$C$6-G2675))))</f>
        <v/>
      </c>
      <c r="AC2675">
        <f>IF(Y2675=1,Q2675-F2675,"")</f>
        <v/>
      </c>
      <c r="AD2675">
        <f>IF(Y2675=1,AC2675^2,"")</f>
        <v/>
      </c>
      <c r="AE2675" s="19">
        <f>IF(Z2675=1,(H2675-M2675)*I2675,0)</f>
        <v/>
      </c>
      <c r="AF2675">
        <f>IF(G2675&lt;EDATE(Assumptions!$C$6,-12)+1,"prior_12m","last_12m")</f>
        <v/>
      </c>
      <c r="AG2675" s="21">
        <f>DATE(YEAR(G2675),MONTH(G2675),1)</f>
        <v/>
      </c>
    </row>
    <row r="2676">
      <c r="A2676" t="inlineStr">
        <is>
          <t>SPO-01441-1</t>
        </is>
      </c>
      <c r="B2676" t="inlineStr">
        <is>
          <t>SPO-01441</t>
        </is>
      </c>
      <c r="C2676" t="inlineStr">
        <is>
          <t>SUP-02</t>
        </is>
      </c>
      <c r="D2676" t="inlineStr">
        <is>
          <t>ELEC</t>
        </is>
      </c>
      <c r="E2676" t="inlineStr">
        <is>
          <t>ELEC-04</t>
        </is>
      </c>
      <c r="F2676" s="17" t="n">
        <v>45966</v>
      </c>
      <c r="G2676" s="17" t="n">
        <v>45982</v>
      </c>
      <c r="H2676" s="18" t="n">
        <v>50</v>
      </c>
      <c r="I2676" s="19" t="n">
        <v>71.64</v>
      </c>
      <c r="J2676" s="19" t="n">
        <v>72</v>
      </c>
      <c r="K2676" s="20" t="n">
        <v>0</v>
      </c>
      <c r="L2676" s="20" t="n">
        <v>0</v>
      </c>
      <c r="M2676" s="18" t="n">
        <v>50</v>
      </c>
      <c r="N2676" s="18" t="n">
        <v>50</v>
      </c>
      <c r="O2676" s="18" t="n">
        <v>0</v>
      </c>
      <c r="P2676" s="17" t="n">
        <v>45978</v>
      </c>
      <c r="Q2676" s="17" t="n">
        <v>45978</v>
      </c>
      <c r="R2676" s="17" t="n">
        <v>45978</v>
      </c>
      <c r="S2676" s="19">
        <f>H2676*I2676</f>
        <v/>
      </c>
      <c r="T2676" s="19">
        <f>H2676*J2676</f>
        <v/>
      </c>
      <c r="U2676">
        <f>IF(AND(K2676=0,G2676&lt;=Assumptions!$C$6),1,0)</f>
        <v/>
      </c>
      <c r="V2676">
        <f>IF(U2676=1,IF(M2676&gt;0,IF(P2676&lt;=G2676+Assumptions!$C$7,1,0),0),0)</f>
        <v/>
      </c>
      <c r="W2676">
        <f>IF(AND(U2676=1,M2676&gt;=H2676*(1-Assumptions!$C$8)),1,0)</f>
        <v/>
      </c>
      <c r="X2676">
        <f>IF(AND(U2676=1,N2676&gt;=H2676*(1-Assumptions!$C$8)),1,0)</f>
        <v/>
      </c>
      <c r="Y2676">
        <f>IF(ISNUMBER(Q2676),1,0)</f>
        <v/>
      </c>
      <c r="Z2676">
        <f>IF(AND(K2676=0,L2676=0,Y2676=0),1,0)</f>
        <v/>
      </c>
      <c r="AA2676">
        <f>IF(AND(Z2676=1,G2676&lt;Assumptions!$C$6),1,0)</f>
        <v/>
      </c>
      <c r="AB2676">
        <f>IF(U2676=0,"",IF(Y2676=1,MAX(0,Q2676-G2676),IF(L2676=1,MAX(0,R2676-G2676),MAX(0,Assumptions!$C$6-G2676))))</f>
        <v/>
      </c>
      <c r="AC2676">
        <f>IF(Y2676=1,Q2676-F2676,"")</f>
        <v/>
      </c>
      <c r="AD2676">
        <f>IF(Y2676=1,AC2676^2,"")</f>
        <v/>
      </c>
      <c r="AE2676" s="19">
        <f>IF(Z2676=1,(H2676-M2676)*I2676,0)</f>
        <v/>
      </c>
      <c r="AF2676">
        <f>IF(G2676&lt;EDATE(Assumptions!$C$6,-12)+1,"prior_12m","last_12m")</f>
        <v/>
      </c>
      <c r="AG2676" s="21">
        <f>DATE(YEAR(G2676),MONTH(G2676),1)</f>
        <v/>
      </c>
    </row>
    <row r="2677">
      <c r="A2677" t="inlineStr">
        <is>
          <t>SPO-01442-1</t>
        </is>
      </c>
      <c r="B2677" t="inlineStr">
        <is>
          <t>SPO-01442</t>
        </is>
      </c>
      <c r="C2677" t="inlineStr">
        <is>
          <t>SUP-08</t>
        </is>
      </c>
      <c r="D2677" t="inlineStr">
        <is>
          <t>PPE</t>
        </is>
      </c>
      <c r="E2677" t="inlineStr">
        <is>
          <t>PPE-07</t>
        </is>
      </c>
      <c r="F2677" s="17" t="n">
        <v>45966</v>
      </c>
      <c r="G2677" s="17" t="n">
        <v>45977</v>
      </c>
      <c r="H2677" s="18" t="n">
        <v>78</v>
      </c>
      <c r="I2677" s="19" t="n">
        <v>30.79</v>
      </c>
      <c r="J2677" s="19" t="n">
        <v>31</v>
      </c>
      <c r="K2677" s="20" t="n">
        <v>0</v>
      </c>
      <c r="L2677" s="20" t="n">
        <v>0</v>
      </c>
      <c r="M2677" s="18" t="n">
        <v>78</v>
      </c>
      <c r="N2677" s="18" t="n">
        <v>78</v>
      </c>
      <c r="O2677" s="18" t="n">
        <v>0</v>
      </c>
      <c r="P2677" s="17" t="n">
        <v>45973</v>
      </c>
      <c r="Q2677" s="17" t="n">
        <v>45973</v>
      </c>
      <c r="R2677" s="17" t="n">
        <v>45973</v>
      </c>
      <c r="S2677" s="19">
        <f>H2677*I2677</f>
        <v/>
      </c>
      <c r="T2677" s="19">
        <f>H2677*J2677</f>
        <v/>
      </c>
      <c r="U2677">
        <f>IF(AND(K2677=0,G2677&lt;=Assumptions!$C$6),1,0)</f>
        <v/>
      </c>
      <c r="V2677">
        <f>IF(U2677=1,IF(M2677&gt;0,IF(P2677&lt;=G2677+Assumptions!$C$7,1,0),0),0)</f>
        <v/>
      </c>
      <c r="W2677">
        <f>IF(AND(U2677=1,M2677&gt;=H2677*(1-Assumptions!$C$8)),1,0)</f>
        <v/>
      </c>
      <c r="X2677">
        <f>IF(AND(U2677=1,N2677&gt;=H2677*(1-Assumptions!$C$8)),1,0)</f>
        <v/>
      </c>
      <c r="Y2677">
        <f>IF(ISNUMBER(Q2677),1,0)</f>
        <v/>
      </c>
      <c r="Z2677">
        <f>IF(AND(K2677=0,L2677=0,Y2677=0),1,0)</f>
        <v/>
      </c>
      <c r="AA2677">
        <f>IF(AND(Z2677=1,G2677&lt;Assumptions!$C$6),1,0)</f>
        <v/>
      </c>
      <c r="AB2677">
        <f>IF(U2677=0,"",IF(Y2677=1,MAX(0,Q2677-G2677),IF(L2677=1,MAX(0,R2677-G2677),MAX(0,Assumptions!$C$6-G2677))))</f>
        <v/>
      </c>
      <c r="AC2677">
        <f>IF(Y2677=1,Q2677-F2677,"")</f>
        <v/>
      </c>
      <c r="AD2677">
        <f>IF(Y2677=1,AC2677^2,"")</f>
        <v/>
      </c>
      <c r="AE2677" s="19">
        <f>IF(Z2677=1,(H2677-M2677)*I2677,0)</f>
        <v/>
      </c>
      <c r="AF2677">
        <f>IF(G2677&lt;EDATE(Assumptions!$C$6,-12)+1,"prior_12m","last_12m")</f>
        <v/>
      </c>
      <c r="AG2677" s="21">
        <f>DATE(YEAR(G2677),MONTH(G2677),1)</f>
        <v/>
      </c>
    </row>
    <row r="2678">
      <c r="A2678" t="inlineStr">
        <is>
          <t>SPO-01443-1</t>
        </is>
      </c>
      <c r="B2678" t="inlineStr">
        <is>
          <t>SPO-01443</t>
        </is>
      </c>
      <c r="C2678" t="inlineStr">
        <is>
          <t>SUP-08</t>
        </is>
      </c>
      <c r="D2678" t="inlineStr">
        <is>
          <t>PPE</t>
        </is>
      </c>
      <c r="E2678" t="inlineStr">
        <is>
          <t>PPE-08</t>
        </is>
      </c>
      <c r="F2678" s="17" t="n">
        <v>45966</v>
      </c>
      <c r="G2678" s="17" t="n">
        <v>45977</v>
      </c>
      <c r="H2678" s="18" t="n">
        <v>16</v>
      </c>
      <c r="I2678" s="19" t="n">
        <v>61.73</v>
      </c>
      <c r="J2678" s="19" t="n">
        <v>64</v>
      </c>
      <c r="K2678" s="20" t="n">
        <v>0</v>
      </c>
      <c r="L2678" s="20" t="n">
        <v>0</v>
      </c>
      <c r="M2678" s="18" t="n">
        <v>16</v>
      </c>
      <c r="N2678" s="18" t="n">
        <v>16</v>
      </c>
      <c r="O2678" s="18" t="n">
        <v>0</v>
      </c>
      <c r="P2678" s="17" t="n">
        <v>45976</v>
      </c>
      <c r="Q2678" s="17" t="n">
        <v>45976</v>
      </c>
      <c r="R2678" s="17" t="n">
        <v>45976</v>
      </c>
      <c r="S2678" s="19">
        <f>H2678*I2678</f>
        <v/>
      </c>
      <c r="T2678" s="19">
        <f>H2678*J2678</f>
        <v/>
      </c>
      <c r="U2678">
        <f>IF(AND(K2678=0,G2678&lt;=Assumptions!$C$6),1,0)</f>
        <v/>
      </c>
      <c r="V2678">
        <f>IF(U2678=1,IF(M2678&gt;0,IF(P2678&lt;=G2678+Assumptions!$C$7,1,0),0),0)</f>
        <v/>
      </c>
      <c r="W2678">
        <f>IF(AND(U2678=1,M2678&gt;=H2678*(1-Assumptions!$C$8)),1,0)</f>
        <v/>
      </c>
      <c r="X2678">
        <f>IF(AND(U2678=1,N2678&gt;=H2678*(1-Assumptions!$C$8)),1,0)</f>
        <v/>
      </c>
      <c r="Y2678">
        <f>IF(ISNUMBER(Q2678),1,0)</f>
        <v/>
      </c>
      <c r="Z2678">
        <f>IF(AND(K2678=0,L2678=0,Y2678=0),1,0)</f>
        <v/>
      </c>
      <c r="AA2678">
        <f>IF(AND(Z2678=1,G2678&lt;Assumptions!$C$6),1,0)</f>
        <v/>
      </c>
      <c r="AB2678">
        <f>IF(U2678=0,"",IF(Y2678=1,MAX(0,Q2678-G2678),IF(L2678=1,MAX(0,R2678-G2678),MAX(0,Assumptions!$C$6-G2678))))</f>
        <v/>
      </c>
      <c r="AC2678">
        <f>IF(Y2678=1,Q2678-F2678,"")</f>
        <v/>
      </c>
      <c r="AD2678">
        <f>IF(Y2678=1,AC2678^2,"")</f>
        <v/>
      </c>
      <c r="AE2678" s="19">
        <f>IF(Z2678=1,(H2678-M2678)*I2678,0)</f>
        <v/>
      </c>
      <c r="AF2678">
        <f>IF(G2678&lt;EDATE(Assumptions!$C$6,-12)+1,"prior_12m","last_12m")</f>
        <v/>
      </c>
      <c r="AG2678" s="21">
        <f>DATE(YEAR(G2678),MONTH(G2678),1)</f>
        <v/>
      </c>
    </row>
    <row r="2679">
      <c r="A2679" t="inlineStr">
        <is>
          <t>SPO-01443-2</t>
        </is>
      </c>
      <c r="B2679" t="inlineStr">
        <is>
          <t>SPO-01443</t>
        </is>
      </c>
      <c r="C2679" t="inlineStr">
        <is>
          <t>SUP-08</t>
        </is>
      </c>
      <c r="D2679" t="inlineStr">
        <is>
          <t>PPE</t>
        </is>
      </c>
      <c r="E2679" t="inlineStr">
        <is>
          <t>PPE-07</t>
        </is>
      </c>
      <c r="F2679" s="17" t="n">
        <v>45966</v>
      </c>
      <c r="G2679" s="17" t="n">
        <v>45977</v>
      </c>
      <c r="H2679" s="18" t="n">
        <v>65</v>
      </c>
      <c r="I2679" s="19" t="n">
        <v>30.53</v>
      </c>
      <c r="J2679" s="19" t="n">
        <v>31</v>
      </c>
      <c r="K2679" s="20" t="n">
        <v>0</v>
      </c>
      <c r="L2679" s="20" t="n">
        <v>0</v>
      </c>
      <c r="M2679" s="18" t="n">
        <v>65</v>
      </c>
      <c r="N2679" s="18" t="n">
        <v>0</v>
      </c>
      <c r="O2679" s="18" t="n">
        <v>0</v>
      </c>
      <c r="P2679" s="17" t="n">
        <v>45978</v>
      </c>
      <c r="Q2679" s="17" t="n">
        <v>45978</v>
      </c>
      <c r="R2679" s="17" t="n">
        <v>45978</v>
      </c>
      <c r="S2679" s="19">
        <f>H2679*I2679</f>
        <v/>
      </c>
      <c r="T2679" s="19">
        <f>H2679*J2679</f>
        <v/>
      </c>
      <c r="U2679">
        <f>IF(AND(K2679=0,G2679&lt;=Assumptions!$C$6),1,0)</f>
        <v/>
      </c>
      <c r="V2679">
        <f>IF(U2679=1,IF(M2679&gt;0,IF(P2679&lt;=G2679+Assumptions!$C$7,1,0),0),0)</f>
        <v/>
      </c>
      <c r="W2679">
        <f>IF(AND(U2679=1,M2679&gt;=H2679*(1-Assumptions!$C$8)),1,0)</f>
        <v/>
      </c>
      <c r="X2679">
        <f>IF(AND(U2679=1,N2679&gt;=H2679*(1-Assumptions!$C$8)),1,0)</f>
        <v/>
      </c>
      <c r="Y2679">
        <f>IF(ISNUMBER(Q2679),1,0)</f>
        <v/>
      </c>
      <c r="Z2679">
        <f>IF(AND(K2679=0,L2679=0,Y2679=0),1,0)</f>
        <v/>
      </c>
      <c r="AA2679">
        <f>IF(AND(Z2679=1,G2679&lt;Assumptions!$C$6),1,0)</f>
        <v/>
      </c>
      <c r="AB2679">
        <f>IF(U2679=0,"",IF(Y2679=1,MAX(0,Q2679-G2679),IF(L2679=1,MAX(0,R2679-G2679),MAX(0,Assumptions!$C$6-G2679))))</f>
        <v/>
      </c>
      <c r="AC2679">
        <f>IF(Y2679=1,Q2679-F2679,"")</f>
        <v/>
      </c>
      <c r="AD2679">
        <f>IF(Y2679=1,AC2679^2,"")</f>
        <v/>
      </c>
      <c r="AE2679" s="19">
        <f>IF(Z2679=1,(H2679-M2679)*I2679,0)</f>
        <v/>
      </c>
      <c r="AF2679">
        <f>IF(G2679&lt;EDATE(Assumptions!$C$6,-12)+1,"prior_12m","last_12m")</f>
        <v/>
      </c>
      <c r="AG2679" s="21">
        <f>DATE(YEAR(G2679),MONTH(G2679),1)</f>
        <v/>
      </c>
    </row>
    <row r="2680">
      <c r="A2680" t="inlineStr">
        <is>
          <t>SPO-01444-1</t>
        </is>
      </c>
      <c r="B2680" t="inlineStr">
        <is>
          <t>SPO-01444</t>
        </is>
      </c>
      <c r="C2680" t="inlineStr">
        <is>
          <t>SUP-01</t>
        </is>
      </c>
      <c r="D2680" t="inlineStr">
        <is>
          <t>ELEC</t>
        </is>
      </c>
      <c r="E2680" t="inlineStr">
        <is>
          <t>ELEC-08</t>
        </is>
      </c>
      <c r="F2680" s="17" t="n">
        <v>45966</v>
      </c>
      <c r="G2680" s="17" t="n">
        <v>45984</v>
      </c>
      <c r="H2680" s="18" t="n">
        <v>114</v>
      </c>
      <c r="I2680" s="19" t="n">
        <v>17.75</v>
      </c>
      <c r="J2680" s="19" t="n">
        <v>18</v>
      </c>
      <c r="K2680" s="20" t="n">
        <v>0</v>
      </c>
      <c r="L2680" s="20" t="n">
        <v>0</v>
      </c>
      <c r="M2680" s="18" t="n">
        <v>114</v>
      </c>
      <c r="N2680" s="18" t="n">
        <v>114</v>
      </c>
      <c r="O2680" s="18" t="n">
        <v>0</v>
      </c>
      <c r="P2680" s="17" t="n">
        <v>45977</v>
      </c>
      <c r="Q2680" s="17" t="n">
        <v>45977</v>
      </c>
      <c r="R2680" s="17" t="n">
        <v>45977</v>
      </c>
      <c r="S2680" s="19">
        <f>H2680*I2680</f>
        <v/>
      </c>
      <c r="T2680" s="19">
        <f>H2680*J2680</f>
        <v/>
      </c>
      <c r="U2680">
        <f>IF(AND(K2680=0,G2680&lt;=Assumptions!$C$6),1,0)</f>
        <v/>
      </c>
      <c r="V2680">
        <f>IF(U2680=1,IF(M2680&gt;0,IF(P2680&lt;=G2680+Assumptions!$C$7,1,0),0),0)</f>
        <v/>
      </c>
      <c r="W2680">
        <f>IF(AND(U2680=1,M2680&gt;=H2680*(1-Assumptions!$C$8)),1,0)</f>
        <v/>
      </c>
      <c r="X2680">
        <f>IF(AND(U2680=1,N2680&gt;=H2680*(1-Assumptions!$C$8)),1,0)</f>
        <v/>
      </c>
      <c r="Y2680">
        <f>IF(ISNUMBER(Q2680),1,0)</f>
        <v/>
      </c>
      <c r="Z2680">
        <f>IF(AND(K2680=0,L2680=0,Y2680=0),1,0)</f>
        <v/>
      </c>
      <c r="AA2680">
        <f>IF(AND(Z2680=1,G2680&lt;Assumptions!$C$6),1,0)</f>
        <v/>
      </c>
      <c r="AB2680">
        <f>IF(U2680=0,"",IF(Y2680=1,MAX(0,Q2680-G2680),IF(L2680=1,MAX(0,R2680-G2680),MAX(0,Assumptions!$C$6-G2680))))</f>
        <v/>
      </c>
      <c r="AC2680">
        <f>IF(Y2680=1,Q2680-F2680,"")</f>
        <v/>
      </c>
      <c r="AD2680">
        <f>IF(Y2680=1,AC2680^2,"")</f>
        <v/>
      </c>
      <c r="AE2680" s="19">
        <f>IF(Z2680=1,(H2680-M2680)*I2680,0)</f>
        <v/>
      </c>
      <c r="AF2680">
        <f>IF(G2680&lt;EDATE(Assumptions!$C$6,-12)+1,"prior_12m","last_12m")</f>
        <v/>
      </c>
      <c r="AG2680" s="21">
        <f>DATE(YEAR(G2680),MONTH(G2680),1)</f>
        <v/>
      </c>
    </row>
    <row r="2681">
      <c r="A2681" t="inlineStr">
        <is>
          <t>SPO-01445-1</t>
        </is>
      </c>
      <c r="B2681" t="inlineStr">
        <is>
          <t>SPO-01445</t>
        </is>
      </c>
      <c r="C2681" t="inlineStr">
        <is>
          <t>SUP-08</t>
        </is>
      </c>
      <c r="D2681" t="inlineStr">
        <is>
          <t>MRO</t>
        </is>
      </c>
      <c r="E2681" t="inlineStr">
        <is>
          <t>MRO-05</t>
        </is>
      </c>
      <c r="F2681" s="17" t="n">
        <v>45967</v>
      </c>
      <c r="G2681" s="17" t="n">
        <v>45978</v>
      </c>
      <c r="H2681" s="18" t="n">
        <v>37</v>
      </c>
      <c r="I2681" s="19" t="n">
        <v>38.43</v>
      </c>
      <c r="J2681" s="19" t="n">
        <v>36</v>
      </c>
      <c r="K2681" s="20" t="n">
        <v>0</v>
      </c>
      <c r="L2681" s="20" t="n">
        <v>0</v>
      </c>
      <c r="M2681" s="18" t="n">
        <v>37</v>
      </c>
      <c r="N2681" s="18" t="n">
        <v>0</v>
      </c>
      <c r="O2681" s="18" t="n">
        <v>0</v>
      </c>
      <c r="P2681" s="17" t="n">
        <v>45980</v>
      </c>
      <c r="Q2681" s="17" t="n">
        <v>45980</v>
      </c>
      <c r="R2681" s="17" t="n">
        <v>45980</v>
      </c>
      <c r="S2681" s="19">
        <f>H2681*I2681</f>
        <v/>
      </c>
      <c r="T2681" s="19">
        <f>H2681*J2681</f>
        <v/>
      </c>
      <c r="U2681">
        <f>IF(AND(K2681=0,G2681&lt;=Assumptions!$C$6),1,0)</f>
        <v/>
      </c>
      <c r="V2681">
        <f>IF(U2681=1,IF(M2681&gt;0,IF(P2681&lt;=G2681+Assumptions!$C$7,1,0),0),0)</f>
        <v/>
      </c>
      <c r="W2681">
        <f>IF(AND(U2681=1,M2681&gt;=H2681*(1-Assumptions!$C$8)),1,0)</f>
        <v/>
      </c>
      <c r="X2681">
        <f>IF(AND(U2681=1,N2681&gt;=H2681*(1-Assumptions!$C$8)),1,0)</f>
        <v/>
      </c>
      <c r="Y2681">
        <f>IF(ISNUMBER(Q2681),1,0)</f>
        <v/>
      </c>
      <c r="Z2681">
        <f>IF(AND(K2681=0,L2681=0,Y2681=0),1,0)</f>
        <v/>
      </c>
      <c r="AA2681">
        <f>IF(AND(Z2681=1,G2681&lt;Assumptions!$C$6),1,0)</f>
        <v/>
      </c>
      <c r="AB2681">
        <f>IF(U2681=0,"",IF(Y2681=1,MAX(0,Q2681-G2681),IF(L2681=1,MAX(0,R2681-G2681),MAX(0,Assumptions!$C$6-G2681))))</f>
        <v/>
      </c>
      <c r="AC2681">
        <f>IF(Y2681=1,Q2681-F2681,"")</f>
        <v/>
      </c>
      <c r="AD2681">
        <f>IF(Y2681=1,AC2681^2,"")</f>
        <v/>
      </c>
      <c r="AE2681" s="19">
        <f>IF(Z2681=1,(H2681-M2681)*I2681,0)</f>
        <v/>
      </c>
      <c r="AF2681">
        <f>IF(G2681&lt;EDATE(Assumptions!$C$6,-12)+1,"prior_12m","last_12m")</f>
        <v/>
      </c>
      <c r="AG2681" s="21">
        <f>DATE(YEAR(G2681),MONTH(G2681),1)</f>
        <v/>
      </c>
    </row>
    <row r="2682">
      <c r="A2682" t="inlineStr">
        <is>
          <t>SPO-01446-1</t>
        </is>
      </c>
      <c r="B2682" t="inlineStr">
        <is>
          <t>SPO-01446</t>
        </is>
      </c>
      <c r="C2682" t="inlineStr">
        <is>
          <t>SUP-12</t>
        </is>
      </c>
      <c r="D2682" t="inlineStr">
        <is>
          <t>IT</t>
        </is>
      </c>
      <c r="E2682" t="inlineStr">
        <is>
          <t>IT-02</t>
        </is>
      </c>
      <c r="F2682" s="17" t="n">
        <v>45967</v>
      </c>
      <c r="G2682" s="17" t="n">
        <v>45977</v>
      </c>
      <c r="H2682" s="18" t="n">
        <v>18</v>
      </c>
      <c r="I2682" s="19" t="n">
        <v>191.34</v>
      </c>
      <c r="J2682" s="19" t="n">
        <v>162</v>
      </c>
      <c r="K2682" s="20" t="n">
        <v>0</v>
      </c>
      <c r="L2682" s="20" t="n">
        <v>0</v>
      </c>
      <c r="M2682" s="18" t="n">
        <v>18</v>
      </c>
      <c r="N2682" s="18" t="n">
        <v>18</v>
      </c>
      <c r="O2682" s="18" t="n">
        <v>0</v>
      </c>
      <c r="P2682" s="17" t="n">
        <v>45976</v>
      </c>
      <c r="Q2682" s="17" t="n">
        <v>45976</v>
      </c>
      <c r="R2682" s="17" t="n">
        <v>45976</v>
      </c>
      <c r="S2682" s="19">
        <f>H2682*I2682</f>
        <v/>
      </c>
      <c r="T2682" s="19">
        <f>H2682*J2682</f>
        <v/>
      </c>
      <c r="U2682">
        <f>IF(AND(K2682=0,G2682&lt;=Assumptions!$C$6),1,0)</f>
        <v/>
      </c>
      <c r="V2682">
        <f>IF(U2682=1,IF(M2682&gt;0,IF(P2682&lt;=G2682+Assumptions!$C$7,1,0),0),0)</f>
        <v/>
      </c>
      <c r="W2682">
        <f>IF(AND(U2682=1,M2682&gt;=H2682*(1-Assumptions!$C$8)),1,0)</f>
        <v/>
      </c>
      <c r="X2682">
        <f>IF(AND(U2682=1,N2682&gt;=H2682*(1-Assumptions!$C$8)),1,0)</f>
        <v/>
      </c>
      <c r="Y2682">
        <f>IF(ISNUMBER(Q2682),1,0)</f>
        <v/>
      </c>
      <c r="Z2682">
        <f>IF(AND(K2682=0,L2682=0,Y2682=0),1,0)</f>
        <v/>
      </c>
      <c r="AA2682">
        <f>IF(AND(Z2682=1,G2682&lt;Assumptions!$C$6),1,0)</f>
        <v/>
      </c>
      <c r="AB2682">
        <f>IF(U2682=0,"",IF(Y2682=1,MAX(0,Q2682-G2682),IF(L2682=1,MAX(0,R2682-G2682),MAX(0,Assumptions!$C$6-G2682))))</f>
        <v/>
      </c>
      <c r="AC2682">
        <f>IF(Y2682=1,Q2682-F2682,"")</f>
        <v/>
      </c>
      <c r="AD2682">
        <f>IF(Y2682=1,AC2682^2,"")</f>
        <v/>
      </c>
      <c r="AE2682" s="19">
        <f>IF(Z2682=1,(H2682-M2682)*I2682,0)</f>
        <v/>
      </c>
      <c r="AF2682">
        <f>IF(G2682&lt;EDATE(Assumptions!$C$6,-12)+1,"prior_12m","last_12m")</f>
        <v/>
      </c>
      <c r="AG2682" s="21">
        <f>DATE(YEAR(G2682),MONTH(G2682),1)</f>
        <v/>
      </c>
    </row>
    <row r="2683">
      <c r="A2683" t="inlineStr">
        <is>
          <t>SPO-01446-2</t>
        </is>
      </c>
      <c r="B2683" t="inlineStr">
        <is>
          <t>SPO-01446</t>
        </is>
      </c>
      <c r="C2683" t="inlineStr">
        <is>
          <t>SUP-12</t>
        </is>
      </c>
      <c r="D2683" t="inlineStr">
        <is>
          <t>IT</t>
        </is>
      </c>
      <c r="E2683" t="inlineStr">
        <is>
          <t>IT-06</t>
        </is>
      </c>
      <c r="F2683" s="17" t="n">
        <v>45967</v>
      </c>
      <c r="G2683" s="17" t="n">
        <v>45977</v>
      </c>
      <c r="H2683" s="18" t="n">
        <v>45</v>
      </c>
      <c r="I2683" s="19" t="n">
        <v>100.47</v>
      </c>
      <c r="J2683" s="19" t="n">
        <v>89</v>
      </c>
      <c r="K2683" s="20" t="n">
        <v>0</v>
      </c>
      <c r="L2683" s="20" t="n">
        <v>0</v>
      </c>
      <c r="M2683" s="18" t="n">
        <v>45</v>
      </c>
      <c r="N2683" s="18" t="n">
        <v>45</v>
      </c>
      <c r="O2683" s="18" t="n">
        <v>0</v>
      </c>
      <c r="P2683" s="17" t="n">
        <v>45977</v>
      </c>
      <c r="Q2683" s="17" t="n">
        <v>45977</v>
      </c>
      <c r="R2683" s="17" t="n">
        <v>45977</v>
      </c>
      <c r="S2683" s="19">
        <f>H2683*I2683</f>
        <v/>
      </c>
      <c r="T2683" s="19">
        <f>H2683*J2683</f>
        <v/>
      </c>
      <c r="U2683">
        <f>IF(AND(K2683=0,G2683&lt;=Assumptions!$C$6),1,0)</f>
        <v/>
      </c>
      <c r="V2683">
        <f>IF(U2683=1,IF(M2683&gt;0,IF(P2683&lt;=G2683+Assumptions!$C$7,1,0),0),0)</f>
        <v/>
      </c>
      <c r="W2683">
        <f>IF(AND(U2683=1,M2683&gt;=H2683*(1-Assumptions!$C$8)),1,0)</f>
        <v/>
      </c>
      <c r="X2683">
        <f>IF(AND(U2683=1,N2683&gt;=H2683*(1-Assumptions!$C$8)),1,0)</f>
        <v/>
      </c>
      <c r="Y2683">
        <f>IF(ISNUMBER(Q2683),1,0)</f>
        <v/>
      </c>
      <c r="Z2683">
        <f>IF(AND(K2683=0,L2683=0,Y2683=0),1,0)</f>
        <v/>
      </c>
      <c r="AA2683">
        <f>IF(AND(Z2683=1,G2683&lt;Assumptions!$C$6),1,0)</f>
        <v/>
      </c>
      <c r="AB2683">
        <f>IF(U2683=0,"",IF(Y2683=1,MAX(0,Q2683-G2683),IF(L2683=1,MAX(0,R2683-G2683),MAX(0,Assumptions!$C$6-G2683))))</f>
        <v/>
      </c>
      <c r="AC2683">
        <f>IF(Y2683=1,Q2683-F2683,"")</f>
        <v/>
      </c>
      <c r="AD2683">
        <f>IF(Y2683=1,AC2683^2,"")</f>
        <v/>
      </c>
      <c r="AE2683" s="19">
        <f>IF(Z2683=1,(H2683-M2683)*I2683,0)</f>
        <v/>
      </c>
      <c r="AF2683">
        <f>IF(G2683&lt;EDATE(Assumptions!$C$6,-12)+1,"prior_12m","last_12m")</f>
        <v/>
      </c>
      <c r="AG2683" s="21">
        <f>DATE(YEAR(G2683),MONTH(G2683),1)</f>
        <v/>
      </c>
    </row>
    <row r="2684">
      <c r="A2684" t="inlineStr">
        <is>
          <t>SPO-01447-1</t>
        </is>
      </c>
      <c r="B2684" t="inlineStr">
        <is>
          <t>SPO-01447</t>
        </is>
      </c>
      <c r="C2684" t="inlineStr">
        <is>
          <t>SUP-02</t>
        </is>
      </c>
      <c r="D2684" t="inlineStr">
        <is>
          <t>ELEC</t>
        </is>
      </c>
      <c r="E2684" t="inlineStr">
        <is>
          <t>ELEC-08</t>
        </is>
      </c>
      <c r="F2684" s="17" t="n">
        <v>45967</v>
      </c>
      <c r="G2684" s="17" t="n">
        <v>45983</v>
      </c>
      <c r="H2684" s="18" t="n">
        <v>52</v>
      </c>
      <c r="I2684" s="19" t="n">
        <v>18.69</v>
      </c>
      <c r="J2684" s="19" t="n">
        <v>18</v>
      </c>
      <c r="K2684" s="20" t="n">
        <v>1</v>
      </c>
      <c r="L2684" s="20" t="n">
        <v>0</v>
      </c>
      <c r="M2684" s="18" t="n">
        <v>0</v>
      </c>
      <c r="N2684" s="18" t="n">
        <v>0</v>
      </c>
      <c r="O2684" s="18" t="n">
        <v>0</v>
      </c>
      <c r="P2684" s="17" t="n"/>
      <c r="Q2684" s="17" t="n"/>
      <c r="R2684" s="17" t="n"/>
      <c r="S2684" s="19">
        <f>H2684*I2684</f>
        <v/>
      </c>
      <c r="T2684" s="19">
        <f>H2684*J2684</f>
        <v/>
      </c>
      <c r="U2684">
        <f>IF(AND(K2684=0,G2684&lt;=Assumptions!$C$6),1,0)</f>
        <v/>
      </c>
      <c r="V2684">
        <f>IF(U2684=1,IF(M2684&gt;0,IF(P2684&lt;=G2684+Assumptions!$C$7,1,0),0),0)</f>
        <v/>
      </c>
      <c r="W2684">
        <f>IF(AND(U2684=1,M2684&gt;=H2684*(1-Assumptions!$C$8)),1,0)</f>
        <v/>
      </c>
      <c r="X2684">
        <f>IF(AND(U2684=1,N2684&gt;=H2684*(1-Assumptions!$C$8)),1,0)</f>
        <v/>
      </c>
      <c r="Y2684">
        <f>IF(ISNUMBER(Q2684),1,0)</f>
        <v/>
      </c>
      <c r="Z2684">
        <f>IF(AND(K2684=0,L2684=0,Y2684=0),1,0)</f>
        <v/>
      </c>
      <c r="AA2684">
        <f>IF(AND(Z2684=1,G2684&lt;Assumptions!$C$6),1,0)</f>
        <v/>
      </c>
      <c r="AB2684">
        <f>IF(U2684=0,"",IF(Y2684=1,MAX(0,Q2684-G2684),IF(L2684=1,MAX(0,R2684-G2684),MAX(0,Assumptions!$C$6-G2684))))</f>
        <v/>
      </c>
      <c r="AC2684">
        <f>IF(Y2684=1,Q2684-F2684,"")</f>
        <v/>
      </c>
      <c r="AD2684">
        <f>IF(Y2684=1,AC2684^2,"")</f>
        <v/>
      </c>
      <c r="AE2684" s="19">
        <f>IF(Z2684=1,(H2684-M2684)*I2684,0)</f>
        <v/>
      </c>
      <c r="AF2684">
        <f>IF(G2684&lt;EDATE(Assumptions!$C$6,-12)+1,"prior_12m","last_12m")</f>
        <v/>
      </c>
      <c r="AG2684" s="21">
        <f>DATE(YEAR(G2684),MONTH(G2684),1)</f>
        <v/>
      </c>
    </row>
    <row r="2685">
      <c r="A2685" t="inlineStr">
        <is>
          <t>SPO-01447-2</t>
        </is>
      </c>
      <c r="B2685" t="inlineStr">
        <is>
          <t>SPO-01447</t>
        </is>
      </c>
      <c r="C2685" t="inlineStr">
        <is>
          <t>SUP-02</t>
        </is>
      </c>
      <c r="D2685" t="inlineStr">
        <is>
          <t>ELEC</t>
        </is>
      </c>
      <c r="E2685" t="inlineStr">
        <is>
          <t>ELEC-07</t>
        </is>
      </c>
      <c r="F2685" s="17" t="n">
        <v>45967</v>
      </c>
      <c r="G2685" s="17" t="n">
        <v>45983</v>
      </c>
      <c r="H2685" s="18" t="n">
        <v>271</v>
      </c>
      <c r="I2685" s="19" t="n">
        <v>10.07</v>
      </c>
      <c r="J2685" s="19" t="n">
        <v>9.800000000000001</v>
      </c>
      <c r="K2685" s="20" t="n">
        <v>0</v>
      </c>
      <c r="L2685" s="20" t="n">
        <v>0</v>
      </c>
      <c r="M2685" s="18" t="n">
        <v>271</v>
      </c>
      <c r="N2685" s="18" t="n">
        <v>271</v>
      </c>
      <c r="O2685" s="18" t="n">
        <v>0</v>
      </c>
      <c r="P2685" s="17" t="n">
        <v>45978</v>
      </c>
      <c r="Q2685" s="17" t="n">
        <v>45978</v>
      </c>
      <c r="R2685" s="17" t="n">
        <v>45978</v>
      </c>
      <c r="S2685" s="19">
        <f>H2685*I2685</f>
        <v/>
      </c>
      <c r="T2685" s="19">
        <f>H2685*J2685</f>
        <v/>
      </c>
      <c r="U2685">
        <f>IF(AND(K2685=0,G2685&lt;=Assumptions!$C$6),1,0)</f>
        <v/>
      </c>
      <c r="V2685">
        <f>IF(U2685=1,IF(M2685&gt;0,IF(P2685&lt;=G2685+Assumptions!$C$7,1,0),0),0)</f>
        <v/>
      </c>
      <c r="W2685">
        <f>IF(AND(U2685=1,M2685&gt;=H2685*(1-Assumptions!$C$8)),1,0)</f>
        <v/>
      </c>
      <c r="X2685">
        <f>IF(AND(U2685=1,N2685&gt;=H2685*(1-Assumptions!$C$8)),1,0)</f>
        <v/>
      </c>
      <c r="Y2685">
        <f>IF(ISNUMBER(Q2685),1,0)</f>
        <v/>
      </c>
      <c r="Z2685">
        <f>IF(AND(K2685=0,L2685=0,Y2685=0),1,0)</f>
        <v/>
      </c>
      <c r="AA2685">
        <f>IF(AND(Z2685=1,G2685&lt;Assumptions!$C$6),1,0)</f>
        <v/>
      </c>
      <c r="AB2685">
        <f>IF(U2685=0,"",IF(Y2685=1,MAX(0,Q2685-G2685),IF(L2685=1,MAX(0,R2685-G2685),MAX(0,Assumptions!$C$6-G2685))))</f>
        <v/>
      </c>
      <c r="AC2685">
        <f>IF(Y2685=1,Q2685-F2685,"")</f>
        <v/>
      </c>
      <c r="AD2685">
        <f>IF(Y2685=1,AC2685^2,"")</f>
        <v/>
      </c>
      <c r="AE2685" s="19">
        <f>IF(Z2685=1,(H2685-M2685)*I2685,0)</f>
        <v/>
      </c>
      <c r="AF2685">
        <f>IF(G2685&lt;EDATE(Assumptions!$C$6,-12)+1,"prior_12m","last_12m")</f>
        <v/>
      </c>
      <c r="AG2685" s="21">
        <f>DATE(YEAR(G2685),MONTH(G2685),1)</f>
        <v/>
      </c>
    </row>
    <row r="2686">
      <c r="A2686" t="inlineStr">
        <is>
          <t>SPO-01448-1</t>
        </is>
      </c>
      <c r="B2686" t="inlineStr">
        <is>
          <t>SPO-01448</t>
        </is>
      </c>
      <c r="C2686" t="inlineStr">
        <is>
          <t>SUP-09</t>
        </is>
      </c>
      <c r="D2686" t="inlineStr">
        <is>
          <t>CHEM</t>
        </is>
      </c>
      <c r="E2686" t="inlineStr">
        <is>
          <t>CHEM-06</t>
        </is>
      </c>
      <c r="F2686" s="17" t="n">
        <v>45968</v>
      </c>
      <c r="G2686" s="17" t="n">
        <v>45982</v>
      </c>
      <c r="H2686" s="18" t="n">
        <v>2</v>
      </c>
      <c r="I2686" s="19" t="n">
        <v>401.66</v>
      </c>
      <c r="J2686" s="19" t="n">
        <v>380</v>
      </c>
      <c r="K2686" s="20" t="n">
        <v>0</v>
      </c>
      <c r="L2686" s="20" t="n">
        <v>0</v>
      </c>
      <c r="M2686" s="18" t="n">
        <v>2</v>
      </c>
      <c r="N2686" s="18" t="n">
        <v>2</v>
      </c>
      <c r="O2686" s="18" t="n">
        <v>0</v>
      </c>
      <c r="P2686" s="17" t="n">
        <v>45981</v>
      </c>
      <c r="Q2686" s="17" t="n">
        <v>45981</v>
      </c>
      <c r="R2686" s="17" t="n">
        <v>45981</v>
      </c>
      <c r="S2686" s="19">
        <f>H2686*I2686</f>
        <v/>
      </c>
      <c r="T2686" s="19">
        <f>H2686*J2686</f>
        <v/>
      </c>
      <c r="U2686">
        <f>IF(AND(K2686=0,G2686&lt;=Assumptions!$C$6),1,0)</f>
        <v/>
      </c>
      <c r="V2686">
        <f>IF(U2686=1,IF(M2686&gt;0,IF(P2686&lt;=G2686+Assumptions!$C$7,1,0),0),0)</f>
        <v/>
      </c>
      <c r="W2686">
        <f>IF(AND(U2686=1,M2686&gt;=H2686*(1-Assumptions!$C$8)),1,0)</f>
        <v/>
      </c>
      <c r="X2686">
        <f>IF(AND(U2686=1,N2686&gt;=H2686*(1-Assumptions!$C$8)),1,0)</f>
        <v/>
      </c>
      <c r="Y2686">
        <f>IF(ISNUMBER(Q2686),1,0)</f>
        <v/>
      </c>
      <c r="Z2686">
        <f>IF(AND(K2686=0,L2686=0,Y2686=0),1,0)</f>
        <v/>
      </c>
      <c r="AA2686">
        <f>IF(AND(Z2686=1,G2686&lt;Assumptions!$C$6),1,0)</f>
        <v/>
      </c>
      <c r="AB2686">
        <f>IF(U2686=0,"",IF(Y2686=1,MAX(0,Q2686-G2686),IF(L2686=1,MAX(0,R2686-G2686),MAX(0,Assumptions!$C$6-G2686))))</f>
        <v/>
      </c>
      <c r="AC2686">
        <f>IF(Y2686=1,Q2686-F2686,"")</f>
        <v/>
      </c>
      <c r="AD2686">
        <f>IF(Y2686=1,AC2686^2,"")</f>
        <v/>
      </c>
      <c r="AE2686" s="19">
        <f>IF(Z2686=1,(H2686-M2686)*I2686,0)</f>
        <v/>
      </c>
      <c r="AF2686">
        <f>IF(G2686&lt;EDATE(Assumptions!$C$6,-12)+1,"prior_12m","last_12m")</f>
        <v/>
      </c>
      <c r="AG2686" s="21">
        <f>DATE(YEAR(G2686),MONTH(G2686),1)</f>
        <v/>
      </c>
    </row>
    <row r="2687">
      <c r="A2687" t="inlineStr">
        <is>
          <t>SPO-01448-2</t>
        </is>
      </c>
      <c r="B2687" t="inlineStr">
        <is>
          <t>SPO-01448</t>
        </is>
      </c>
      <c r="C2687" t="inlineStr">
        <is>
          <t>SUP-09</t>
        </is>
      </c>
      <c r="D2687" t="inlineStr">
        <is>
          <t>CHEM</t>
        </is>
      </c>
      <c r="E2687" t="inlineStr">
        <is>
          <t>CHEM-05</t>
        </is>
      </c>
      <c r="F2687" s="17" t="n">
        <v>45968</v>
      </c>
      <c r="G2687" s="17" t="n">
        <v>45982</v>
      </c>
      <c r="H2687" s="18" t="n">
        <v>1</v>
      </c>
      <c r="I2687" s="19" t="n">
        <v>949.4400000000001</v>
      </c>
      <c r="J2687" s="19" t="n">
        <v>930</v>
      </c>
      <c r="K2687" s="20" t="n">
        <v>0</v>
      </c>
      <c r="L2687" s="20" t="n">
        <v>0</v>
      </c>
      <c r="M2687" s="18" t="n">
        <v>1</v>
      </c>
      <c r="N2687" s="18" t="n">
        <v>1</v>
      </c>
      <c r="O2687" s="18" t="n">
        <v>0</v>
      </c>
      <c r="P2687" s="17" t="n">
        <v>45980</v>
      </c>
      <c r="Q2687" s="17" t="n">
        <v>45980</v>
      </c>
      <c r="R2687" s="17" t="n">
        <v>45980</v>
      </c>
      <c r="S2687" s="19">
        <f>H2687*I2687</f>
        <v/>
      </c>
      <c r="T2687" s="19">
        <f>H2687*J2687</f>
        <v/>
      </c>
      <c r="U2687">
        <f>IF(AND(K2687=0,G2687&lt;=Assumptions!$C$6),1,0)</f>
        <v/>
      </c>
      <c r="V2687">
        <f>IF(U2687=1,IF(M2687&gt;0,IF(P2687&lt;=G2687+Assumptions!$C$7,1,0),0),0)</f>
        <v/>
      </c>
      <c r="W2687">
        <f>IF(AND(U2687=1,M2687&gt;=H2687*(1-Assumptions!$C$8)),1,0)</f>
        <v/>
      </c>
      <c r="X2687">
        <f>IF(AND(U2687=1,N2687&gt;=H2687*(1-Assumptions!$C$8)),1,0)</f>
        <v/>
      </c>
      <c r="Y2687">
        <f>IF(ISNUMBER(Q2687),1,0)</f>
        <v/>
      </c>
      <c r="Z2687">
        <f>IF(AND(K2687=0,L2687=0,Y2687=0),1,0)</f>
        <v/>
      </c>
      <c r="AA2687">
        <f>IF(AND(Z2687=1,G2687&lt;Assumptions!$C$6),1,0)</f>
        <v/>
      </c>
      <c r="AB2687">
        <f>IF(U2687=0,"",IF(Y2687=1,MAX(0,Q2687-G2687),IF(L2687=1,MAX(0,R2687-G2687),MAX(0,Assumptions!$C$6-G2687))))</f>
        <v/>
      </c>
      <c r="AC2687">
        <f>IF(Y2687=1,Q2687-F2687,"")</f>
        <v/>
      </c>
      <c r="AD2687">
        <f>IF(Y2687=1,AC2687^2,"")</f>
        <v/>
      </c>
      <c r="AE2687" s="19">
        <f>IF(Z2687=1,(H2687-M2687)*I2687,0)</f>
        <v/>
      </c>
      <c r="AF2687">
        <f>IF(G2687&lt;EDATE(Assumptions!$C$6,-12)+1,"prior_12m","last_12m")</f>
        <v/>
      </c>
      <c r="AG2687" s="21">
        <f>DATE(YEAR(G2687),MONTH(G2687),1)</f>
        <v/>
      </c>
    </row>
    <row r="2688">
      <c r="A2688" t="inlineStr">
        <is>
          <t>SPO-01449-1</t>
        </is>
      </c>
      <c r="B2688" t="inlineStr">
        <is>
          <t>SPO-01449</t>
        </is>
      </c>
      <c r="C2688" t="inlineStr">
        <is>
          <t>SUP-06</t>
        </is>
      </c>
      <c r="D2688" t="inlineStr">
        <is>
          <t>MRO</t>
        </is>
      </c>
      <c r="E2688" t="inlineStr">
        <is>
          <t>MRO-01</t>
        </is>
      </c>
      <c r="F2688" s="17" t="n">
        <v>45968</v>
      </c>
      <c r="G2688" s="17" t="n">
        <v>45976</v>
      </c>
      <c r="H2688" s="18" t="n">
        <v>25</v>
      </c>
      <c r="I2688" s="19" t="n">
        <v>53.05</v>
      </c>
      <c r="J2688" s="19" t="n">
        <v>52</v>
      </c>
      <c r="K2688" s="20" t="n">
        <v>0</v>
      </c>
      <c r="L2688" s="20" t="n">
        <v>0</v>
      </c>
      <c r="M2688" s="18" t="n">
        <v>25</v>
      </c>
      <c r="N2688" s="18" t="n">
        <v>25</v>
      </c>
      <c r="O2688" s="18" t="n">
        <v>0</v>
      </c>
      <c r="P2688" s="17" t="n">
        <v>45973</v>
      </c>
      <c r="Q2688" s="17" t="n">
        <v>45973</v>
      </c>
      <c r="R2688" s="17" t="n">
        <v>45973</v>
      </c>
      <c r="S2688" s="19">
        <f>H2688*I2688</f>
        <v/>
      </c>
      <c r="T2688" s="19">
        <f>H2688*J2688</f>
        <v/>
      </c>
      <c r="U2688">
        <f>IF(AND(K2688=0,G2688&lt;=Assumptions!$C$6),1,0)</f>
        <v/>
      </c>
      <c r="V2688">
        <f>IF(U2688=1,IF(M2688&gt;0,IF(P2688&lt;=G2688+Assumptions!$C$7,1,0),0),0)</f>
        <v/>
      </c>
      <c r="W2688">
        <f>IF(AND(U2688=1,M2688&gt;=H2688*(1-Assumptions!$C$8)),1,0)</f>
        <v/>
      </c>
      <c r="X2688">
        <f>IF(AND(U2688=1,N2688&gt;=H2688*(1-Assumptions!$C$8)),1,0)</f>
        <v/>
      </c>
      <c r="Y2688">
        <f>IF(ISNUMBER(Q2688),1,0)</f>
        <v/>
      </c>
      <c r="Z2688">
        <f>IF(AND(K2688=0,L2688=0,Y2688=0),1,0)</f>
        <v/>
      </c>
      <c r="AA2688">
        <f>IF(AND(Z2688=1,G2688&lt;Assumptions!$C$6),1,0)</f>
        <v/>
      </c>
      <c r="AB2688">
        <f>IF(U2688=0,"",IF(Y2688=1,MAX(0,Q2688-G2688),IF(L2688=1,MAX(0,R2688-G2688),MAX(0,Assumptions!$C$6-G2688))))</f>
        <v/>
      </c>
      <c r="AC2688">
        <f>IF(Y2688=1,Q2688-F2688,"")</f>
        <v/>
      </c>
      <c r="AD2688">
        <f>IF(Y2688=1,AC2688^2,"")</f>
        <v/>
      </c>
      <c r="AE2688" s="19">
        <f>IF(Z2688=1,(H2688-M2688)*I2688,0)</f>
        <v/>
      </c>
      <c r="AF2688">
        <f>IF(G2688&lt;EDATE(Assumptions!$C$6,-12)+1,"prior_12m","last_12m")</f>
        <v/>
      </c>
      <c r="AG2688" s="21">
        <f>DATE(YEAR(G2688),MONTH(G2688),1)</f>
        <v/>
      </c>
    </row>
    <row r="2689">
      <c r="A2689" t="inlineStr">
        <is>
          <t>SPO-01450-1</t>
        </is>
      </c>
      <c r="B2689" t="inlineStr">
        <is>
          <t>SPO-01450</t>
        </is>
      </c>
      <c r="C2689" t="inlineStr">
        <is>
          <t>SUP-12</t>
        </is>
      </c>
      <c r="D2689" t="inlineStr">
        <is>
          <t>IT</t>
        </is>
      </c>
      <c r="E2689" t="inlineStr">
        <is>
          <t>IT-01</t>
        </is>
      </c>
      <c r="F2689" s="17" t="n">
        <v>45968</v>
      </c>
      <c r="G2689" s="17" t="n">
        <v>45978</v>
      </c>
      <c r="H2689" s="18" t="n">
        <v>5</v>
      </c>
      <c r="I2689" s="19" t="n">
        <v>219.84</v>
      </c>
      <c r="J2689" s="19" t="n">
        <v>189</v>
      </c>
      <c r="K2689" s="20" t="n">
        <v>0</v>
      </c>
      <c r="L2689" s="20" t="n">
        <v>0</v>
      </c>
      <c r="M2689" s="18" t="n">
        <v>5</v>
      </c>
      <c r="N2689" s="18" t="n">
        <v>5</v>
      </c>
      <c r="O2689" s="18" t="n">
        <v>0</v>
      </c>
      <c r="P2689" s="17" t="n">
        <v>45969</v>
      </c>
      <c r="Q2689" s="17" t="n">
        <v>45969</v>
      </c>
      <c r="R2689" s="17" t="n">
        <v>45969</v>
      </c>
      <c r="S2689" s="19">
        <f>H2689*I2689</f>
        <v/>
      </c>
      <c r="T2689" s="19">
        <f>H2689*J2689</f>
        <v/>
      </c>
      <c r="U2689">
        <f>IF(AND(K2689=0,G2689&lt;=Assumptions!$C$6),1,0)</f>
        <v/>
      </c>
      <c r="V2689">
        <f>IF(U2689=1,IF(M2689&gt;0,IF(P2689&lt;=G2689+Assumptions!$C$7,1,0),0),0)</f>
        <v/>
      </c>
      <c r="W2689">
        <f>IF(AND(U2689=1,M2689&gt;=H2689*(1-Assumptions!$C$8)),1,0)</f>
        <v/>
      </c>
      <c r="X2689">
        <f>IF(AND(U2689=1,N2689&gt;=H2689*(1-Assumptions!$C$8)),1,0)</f>
        <v/>
      </c>
      <c r="Y2689">
        <f>IF(ISNUMBER(Q2689),1,0)</f>
        <v/>
      </c>
      <c r="Z2689">
        <f>IF(AND(K2689=0,L2689=0,Y2689=0),1,0)</f>
        <v/>
      </c>
      <c r="AA2689">
        <f>IF(AND(Z2689=1,G2689&lt;Assumptions!$C$6),1,0)</f>
        <v/>
      </c>
      <c r="AB2689">
        <f>IF(U2689=0,"",IF(Y2689=1,MAX(0,Q2689-G2689),IF(L2689=1,MAX(0,R2689-G2689),MAX(0,Assumptions!$C$6-G2689))))</f>
        <v/>
      </c>
      <c r="AC2689">
        <f>IF(Y2689=1,Q2689-F2689,"")</f>
        <v/>
      </c>
      <c r="AD2689">
        <f>IF(Y2689=1,AC2689^2,"")</f>
        <v/>
      </c>
      <c r="AE2689" s="19">
        <f>IF(Z2689=1,(H2689-M2689)*I2689,0)</f>
        <v/>
      </c>
      <c r="AF2689">
        <f>IF(G2689&lt;EDATE(Assumptions!$C$6,-12)+1,"prior_12m","last_12m")</f>
        <v/>
      </c>
      <c r="AG2689" s="21">
        <f>DATE(YEAR(G2689),MONTH(G2689),1)</f>
        <v/>
      </c>
    </row>
    <row r="2690">
      <c r="A2690" t="inlineStr">
        <is>
          <t>SPO-01451-1</t>
        </is>
      </c>
      <c r="B2690" t="inlineStr">
        <is>
          <t>SPO-01451</t>
        </is>
      </c>
      <c r="C2690" t="inlineStr">
        <is>
          <t>SUP-12</t>
        </is>
      </c>
      <c r="D2690" t="inlineStr">
        <is>
          <t>IT</t>
        </is>
      </c>
      <c r="E2690" t="inlineStr">
        <is>
          <t>IT-04</t>
        </is>
      </c>
      <c r="F2690" s="17" t="n">
        <v>45968</v>
      </c>
      <c r="G2690" s="17" t="n">
        <v>45978</v>
      </c>
      <c r="H2690" s="18" t="n">
        <v>79</v>
      </c>
      <c r="I2690" s="19" t="n">
        <v>13.06</v>
      </c>
      <c r="J2690" s="19" t="n">
        <v>12</v>
      </c>
      <c r="K2690" s="20" t="n">
        <v>0</v>
      </c>
      <c r="L2690" s="20" t="n">
        <v>0</v>
      </c>
      <c r="M2690" s="18" t="n">
        <v>79</v>
      </c>
      <c r="N2690" s="18" t="n">
        <v>79</v>
      </c>
      <c r="O2690" s="18" t="n">
        <v>0</v>
      </c>
      <c r="P2690" s="17" t="n">
        <v>45970</v>
      </c>
      <c r="Q2690" s="17" t="n">
        <v>45970</v>
      </c>
      <c r="R2690" s="17" t="n">
        <v>45970</v>
      </c>
      <c r="S2690" s="19">
        <f>H2690*I2690</f>
        <v/>
      </c>
      <c r="T2690" s="19">
        <f>H2690*J2690</f>
        <v/>
      </c>
      <c r="U2690">
        <f>IF(AND(K2690=0,G2690&lt;=Assumptions!$C$6),1,0)</f>
        <v/>
      </c>
      <c r="V2690">
        <f>IF(U2690=1,IF(M2690&gt;0,IF(P2690&lt;=G2690+Assumptions!$C$7,1,0),0),0)</f>
        <v/>
      </c>
      <c r="W2690">
        <f>IF(AND(U2690=1,M2690&gt;=H2690*(1-Assumptions!$C$8)),1,0)</f>
        <v/>
      </c>
      <c r="X2690">
        <f>IF(AND(U2690=1,N2690&gt;=H2690*(1-Assumptions!$C$8)),1,0)</f>
        <v/>
      </c>
      <c r="Y2690">
        <f>IF(ISNUMBER(Q2690),1,0)</f>
        <v/>
      </c>
      <c r="Z2690">
        <f>IF(AND(K2690=0,L2690=0,Y2690=0),1,0)</f>
        <v/>
      </c>
      <c r="AA2690">
        <f>IF(AND(Z2690=1,G2690&lt;Assumptions!$C$6),1,0)</f>
        <v/>
      </c>
      <c r="AB2690">
        <f>IF(U2690=0,"",IF(Y2690=1,MAX(0,Q2690-G2690),IF(L2690=1,MAX(0,R2690-G2690),MAX(0,Assumptions!$C$6-G2690))))</f>
        <v/>
      </c>
      <c r="AC2690">
        <f>IF(Y2690=1,Q2690-F2690,"")</f>
        <v/>
      </c>
      <c r="AD2690">
        <f>IF(Y2690=1,AC2690^2,"")</f>
        <v/>
      </c>
      <c r="AE2690" s="19">
        <f>IF(Z2690=1,(H2690-M2690)*I2690,0)</f>
        <v/>
      </c>
      <c r="AF2690">
        <f>IF(G2690&lt;EDATE(Assumptions!$C$6,-12)+1,"prior_12m","last_12m")</f>
        <v/>
      </c>
      <c r="AG2690" s="21">
        <f>DATE(YEAR(G2690),MONTH(G2690),1)</f>
        <v/>
      </c>
    </row>
    <row r="2691">
      <c r="A2691" t="inlineStr">
        <is>
          <t>SPO-01451-2</t>
        </is>
      </c>
      <c r="B2691" t="inlineStr">
        <is>
          <t>SPO-01451</t>
        </is>
      </c>
      <c r="C2691" t="inlineStr">
        <is>
          <t>SUP-12</t>
        </is>
      </c>
      <c r="D2691" t="inlineStr">
        <is>
          <t>IT</t>
        </is>
      </c>
      <c r="E2691" t="inlineStr">
        <is>
          <t>IT-01</t>
        </is>
      </c>
      <c r="F2691" s="17" t="n">
        <v>45968</v>
      </c>
      <c r="G2691" s="17" t="n">
        <v>45978</v>
      </c>
      <c r="H2691" s="18" t="n">
        <v>4</v>
      </c>
      <c r="I2691" s="19" t="n">
        <v>214</v>
      </c>
      <c r="J2691" s="19" t="n">
        <v>189</v>
      </c>
      <c r="K2691" s="20" t="n">
        <v>0</v>
      </c>
      <c r="L2691" s="20" t="n">
        <v>0</v>
      </c>
      <c r="M2691" s="18" t="n">
        <v>4</v>
      </c>
      <c r="N2691" s="18" t="n">
        <v>3</v>
      </c>
      <c r="O2691" s="18" t="n">
        <v>0</v>
      </c>
      <c r="P2691" s="17" t="n">
        <v>45978</v>
      </c>
      <c r="Q2691" s="17" t="n">
        <v>45992</v>
      </c>
      <c r="R2691" s="17" t="n">
        <v>45992</v>
      </c>
      <c r="S2691" s="19">
        <f>H2691*I2691</f>
        <v/>
      </c>
      <c r="T2691" s="19">
        <f>H2691*J2691</f>
        <v/>
      </c>
      <c r="U2691">
        <f>IF(AND(K2691=0,G2691&lt;=Assumptions!$C$6),1,0)</f>
        <v/>
      </c>
      <c r="V2691">
        <f>IF(U2691=1,IF(M2691&gt;0,IF(P2691&lt;=G2691+Assumptions!$C$7,1,0),0),0)</f>
        <v/>
      </c>
      <c r="W2691">
        <f>IF(AND(U2691=1,M2691&gt;=H2691*(1-Assumptions!$C$8)),1,0)</f>
        <v/>
      </c>
      <c r="X2691">
        <f>IF(AND(U2691=1,N2691&gt;=H2691*(1-Assumptions!$C$8)),1,0)</f>
        <v/>
      </c>
      <c r="Y2691">
        <f>IF(ISNUMBER(Q2691),1,0)</f>
        <v/>
      </c>
      <c r="Z2691">
        <f>IF(AND(K2691=0,L2691=0,Y2691=0),1,0)</f>
        <v/>
      </c>
      <c r="AA2691">
        <f>IF(AND(Z2691=1,G2691&lt;Assumptions!$C$6),1,0)</f>
        <v/>
      </c>
      <c r="AB2691">
        <f>IF(U2691=0,"",IF(Y2691=1,MAX(0,Q2691-G2691),IF(L2691=1,MAX(0,R2691-G2691),MAX(0,Assumptions!$C$6-G2691))))</f>
        <v/>
      </c>
      <c r="AC2691">
        <f>IF(Y2691=1,Q2691-F2691,"")</f>
        <v/>
      </c>
      <c r="AD2691">
        <f>IF(Y2691=1,AC2691^2,"")</f>
        <v/>
      </c>
      <c r="AE2691" s="19">
        <f>IF(Z2691=1,(H2691-M2691)*I2691,0)</f>
        <v/>
      </c>
      <c r="AF2691">
        <f>IF(G2691&lt;EDATE(Assumptions!$C$6,-12)+1,"prior_12m","last_12m")</f>
        <v/>
      </c>
      <c r="AG2691" s="21">
        <f>DATE(YEAR(G2691),MONTH(G2691),1)</f>
        <v/>
      </c>
    </row>
    <row r="2692">
      <c r="A2692" t="inlineStr">
        <is>
          <t>SPO-01452-1</t>
        </is>
      </c>
      <c r="B2692" t="inlineStr">
        <is>
          <t>SPO-01452</t>
        </is>
      </c>
      <c r="C2692" t="inlineStr">
        <is>
          <t>SUP-11</t>
        </is>
      </c>
      <c r="D2692" t="inlineStr">
        <is>
          <t>PPE</t>
        </is>
      </c>
      <c r="E2692" t="inlineStr">
        <is>
          <t>PPE-02</t>
        </is>
      </c>
      <c r="F2692" s="17" t="n">
        <v>45969</v>
      </c>
      <c r="G2692" s="17" t="n">
        <v>45981</v>
      </c>
      <c r="H2692" s="18" t="n">
        <v>129</v>
      </c>
      <c r="I2692" s="19" t="n">
        <v>12.9</v>
      </c>
      <c r="J2692" s="19" t="n">
        <v>12.5</v>
      </c>
      <c r="K2692" s="20" t="n">
        <v>0</v>
      </c>
      <c r="L2692" s="20" t="n">
        <v>0</v>
      </c>
      <c r="M2692" s="18" t="n">
        <v>129</v>
      </c>
      <c r="N2692" s="18" t="n">
        <v>129</v>
      </c>
      <c r="O2692" s="18" t="n">
        <v>0</v>
      </c>
      <c r="P2692" s="17" t="n">
        <v>45977</v>
      </c>
      <c r="Q2692" s="17" t="n">
        <v>45977</v>
      </c>
      <c r="R2692" s="17" t="n">
        <v>45977</v>
      </c>
      <c r="S2692" s="19">
        <f>H2692*I2692</f>
        <v/>
      </c>
      <c r="T2692" s="19">
        <f>H2692*J2692</f>
        <v/>
      </c>
      <c r="U2692">
        <f>IF(AND(K2692=0,G2692&lt;=Assumptions!$C$6),1,0)</f>
        <v/>
      </c>
      <c r="V2692">
        <f>IF(U2692=1,IF(M2692&gt;0,IF(P2692&lt;=G2692+Assumptions!$C$7,1,0),0),0)</f>
        <v/>
      </c>
      <c r="W2692">
        <f>IF(AND(U2692=1,M2692&gt;=H2692*(1-Assumptions!$C$8)),1,0)</f>
        <v/>
      </c>
      <c r="X2692">
        <f>IF(AND(U2692=1,N2692&gt;=H2692*(1-Assumptions!$C$8)),1,0)</f>
        <v/>
      </c>
      <c r="Y2692">
        <f>IF(ISNUMBER(Q2692),1,0)</f>
        <v/>
      </c>
      <c r="Z2692">
        <f>IF(AND(K2692=0,L2692=0,Y2692=0),1,0)</f>
        <v/>
      </c>
      <c r="AA2692">
        <f>IF(AND(Z2692=1,G2692&lt;Assumptions!$C$6),1,0)</f>
        <v/>
      </c>
      <c r="AB2692">
        <f>IF(U2692=0,"",IF(Y2692=1,MAX(0,Q2692-G2692),IF(L2692=1,MAX(0,R2692-G2692),MAX(0,Assumptions!$C$6-G2692))))</f>
        <v/>
      </c>
      <c r="AC2692">
        <f>IF(Y2692=1,Q2692-F2692,"")</f>
        <v/>
      </c>
      <c r="AD2692">
        <f>IF(Y2692=1,AC2692^2,"")</f>
        <v/>
      </c>
      <c r="AE2692" s="19">
        <f>IF(Z2692=1,(H2692-M2692)*I2692,0)</f>
        <v/>
      </c>
      <c r="AF2692">
        <f>IF(G2692&lt;EDATE(Assumptions!$C$6,-12)+1,"prior_12m","last_12m")</f>
        <v/>
      </c>
      <c r="AG2692" s="21">
        <f>DATE(YEAR(G2692),MONTH(G2692),1)</f>
        <v/>
      </c>
    </row>
    <row r="2693">
      <c r="A2693" t="inlineStr">
        <is>
          <t>SPO-01452-2</t>
        </is>
      </c>
      <c r="B2693" t="inlineStr">
        <is>
          <t>SPO-01452</t>
        </is>
      </c>
      <c r="C2693" t="inlineStr">
        <is>
          <t>SUP-11</t>
        </is>
      </c>
      <c r="D2693" t="inlineStr">
        <is>
          <t>PPE</t>
        </is>
      </c>
      <c r="E2693" t="inlineStr">
        <is>
          <t>PPE-01</t>
        </is>
      </c>
      <c r="F2693" s="17" t="n">
        <v>45969</v>
      </c>
      <c r="G2693" s="17" t="n">
        <v>45981</v>
      </c>
      <c r="H2693" s="18" t="n">
        <v>399</v>
      </c>
      <c r="I2693" s="19" t="n">
        <v>4.92</v>
      </c>
      <c r="J2693" s="19" t="n">
        <v>4.8</v>
      </c>
      <c r="K2693" s="20" t="n">
        <v>0</v>
      </c>
      <c r="L2693" s="20" t="n">
        <v>0</v>
      </c>
      <c r="M2693" s="18" t="n">
        <v>399</v>
      </c>
      <c r="N2693" s="18" t="n">
        <v>399</v>
      </c>
      <c r="O2693" s="18" t="n">
        <v>0</v>
      </c>
      <c r="P2693" s="17" t="n">
        <v>45980</v>
      </c>
      <c r="Q2693" s="17" t="n">
        <v>45980</v>
      </c>
      <c r="R2693" s="17" t="n">
        <v>45980</v>
      </c>
      <c r="S2693" s="19">
        <f>H2693*I2693</f>
        <v/>
      </c>
      <c r="T2693" s="19">
        <f>H2693*J2693</f>
        <v/>
      </c>
      <c r="U2693">
        <f>IF(AND(K2693=0,G2693&lt;=Assumptions!$C$6),1,0)</f>
        <v/>
      </c>
      <c r="V2693">
        <f>IF(U2693=1,IF(M2693&gt;0,IF(P2693&lt;=G2693+Assumptions!$C$7,1,0),0),0)</f>
        <v/>
      </c>
      <c r="W2693">
        <f>IF(AND(U2693=1,M2693&gt;=H2693*(1-Assumptions!$C$8)),1,0)</f>
        <v/>
      </c>
      <c r="X2693">
        <f>IF(AND(U2693=1,N2693&gt;=H2693*(1-Assumptions!$C$8)),1,0)</f>
        <v/>
      </c>
      <c r="Y2693">
        <f>IF(ISNUMBER(Q2693),1,0)</f>
        <v/>
      </c>
      <c r="Z2693">
        <f>IF(AND(K2693=0,L2693=0,Y2693=0),1,0)</f>
        <v/>
      </c>
      <c r="AA2693">
        <f>IF(AND(Z2693=1,G2693&lt;Assumptions!$C$6),1,0)</f>
        <v/>
      </c>
      <c r="AB2693">
        <f>IF(U2693=0,"",IF(Y2693=1,MAX(0,Q2693-G2693),IF(L2693=1,MAX(0,R2693-G2693),MAX(0,Assumptions!$C$6-G2693))))</f>
        <v/>
      </c>
      <c r="AC2693">
        <f>IF(Y2693=1,Q2693-F2693,"")</f>
        <v/>
      </c>
      <c r="AD2693">
        <f>IF(Y2693=1,AC2693^2,"")</f>
        <v/>
      </c>
      <c r="AE2693" s="19">
        <f>IF(Z2693=1,(H2693-M2693)*I2693,0)</f>
        <v/>
      </c>
      <c r="AF2693">
        <f>IF(G2693&lt;EDATE(Assumptions!$C$6,-12)+1,"prior_12m","last_12m")</f>
        <v/>
      </c>
      <c r="AG2693" s="21">
        <f>DATE(YEAR(G2693),MONTH(G2693),1)</f>
        <v/>
      </c>
    </row>
    <row r="2694">
      <c r="A2694" t="inlineStr">
        <is>
          <t>SPO-01453-1</t>
        </is>
      </c>
      <c r="B2694" t="inlineStr">
        <is>
          <t>SPO-01453</t>
        </is>
      </c>
      <c r="C2694" t="inlineStr">
        <is>
          <t>SUP-04</t>
        </is>
      </c>
      <c r="D2694" t="inlineStr">
        <is>
          <t>FLEET</t>
        </is>
      </c>
      <c r="E2694" t="inlineStr">
        <is>
          <t>FLEET-01</t>
        </is>
      </c>
      <c r="F2694" s="17" t="n">
        <v>45969</v>
      </c>
      <c r="G2694" s="17" t="n">
        <v>45982</v>
      </c>
      <c r="H2694" s="18" t="n">
        <v>16</v>
      </c>
      <c r="I2694" s="19" t="n">
        <v>63.95</v>
      </c>
      <c r="J2694" s="19" t="n">
        <v>64</v>
      </c>
      <c r="K2694" s="20" t="n">
        <v>0</v>
      </c>
      <c r="L2694" s="20" t="n">
        <v>0</v>
      </c>
      <c r="M2694" s="18" t="n">
        <v>16</v>
      </c>
      <c r="N2694" s="18" t="n">
        <v>0</v>
      </c>
      <c r="O2694" s="18" t="n">
        <v>0</v>
      </c>
      <c r="P2694" s="17" t="n">
        <v>45987</v>
      </c>
      <c r="Q2694" s="17" t="n">
        <v>45987</v>
      </c>
      <c r="R2694" s="17" t="n">
        <v>45987</v>
      </c>
      <c r="S2694" s="19">
        <f>H2694*I2694</f>
        <v/>
      </c>
      <c r="T2694" s="19">
        <f>H2694*J2694</f>
        <v/>
      </c>
      <c r="U2694">
        <f>IF(AND(K2694=0,G2694&lt;=Assumptions!$C$6),1,0)</f>
        <v/>
      </c>
      <c r="V2694">
        <f>IF(U2694=1,IF(M2694&gt;0,IF(P2694&lt;=G2694+Assumptions!$C$7,1,0),0),0)</f>
        <v/>
      </c>
      <c r="W2694">
        <f>IF(AND(U2694=1,M2694&gt;=H2694*(1-Assumptions!$C$8)),1,0)</f>
        <v/>
      </c>
      <c r="X2694">
        <f>IF(AND(U2694=1,N2694&gt;=H2694*(1-Assumptions!$C$8)),1,0)</f>
        <v/>
      </c>
      <c r="Y2694">
        <f>IF(ISNUMBER(Q2694),1,0)</f>
        <v/>
      </c>
      <c r="Z2694">
        <f>IF(AND(K2694=0,L2694=0,Y2694=0),1,0)</f>
        <v/>
      </c>
      <c r="AA2694">
        <f>IF(AND(Z2694=1,G2694&lt;Assumptions!$C$6),1,0)</f>
        <v/>
      </c>
      <c r="AB2694">
        <f>IF(U2694=0,"",IF(Y2694=1,MAX(0,Q2694-G2694),IF(L2694=1,MAX(0,R2694-G2694),MAX(0,Assumptions!$C$6-G2694))))</f>
        <v/>
      </c>
      <c r="AC2694">
        <f>IF(Y2694=1,Q2694-F2694,"")</f>
        <v/>
      </c>
      <c r="AD2694">
        <f>IF(Y2694=1,AC2694^2,"")</f>
        <v/>
      </c>
      <c r="AE2694" s="19">
        <f>IF(Z2694=1,(H2694-M2694)*I2694,0)</f>
        <v/>
      </c>
      <c r="AF2694">
        <f>IF(G2694&lt;EDATE(Assumptions!$C$6,-12)+1,"prior_12m","last_12m")</f>
        <v/>
      </c>
      <c r="AG2694" s="21">
        <f>DATE(YEAR(G2694),MONTH(G2694),1)</f>
        <v/>
      </c>
    </row>
    <row r="2695">
      <c r="A2695" t="inlineStr">
        <is>
          <t>SPO-01453-2</t>
        </is>
      </c>
      <c r="B2695" t="inlineStr">
        <is>
          <t>SPO-01453</t>
        </is>
      </c>
      <c r="C2695" t="inlineStr">
        <is>
          <t>SUP-04</t>
        </is>
      </c>
      <c r="D2695" t="inlineStr">
        <is>
          <t>FLEET</t>
        </is>
      </c>
      <c r="E2695" t="inlineStr">
        <is>
          <t>FLEET-07</t>
        </is>
      </c>
      <c r="F2695" s="17" t="n">
        <v>45969</v>
      </c>
      <c r="G2695" s="17" t="n">
        <v>45982</v>
      </c>
      <c r="H2695" s="18" t="n">
        <v>6</v>
      </c>
      <c r="I2695" s="19" t="n">
        <v>118.92</v>
      </c>
      <c r="J2695" s="19" t="n">
        <v>118</v>
      </c>
      <c r="K2695" s="20" t="n">
        <v>0</v>
      </c>
      <c r="L2695" s="20" t="n">
        <v>0</v>
      </c>
      <c r="M2695" s="18" t="n">
        <v>6</v>
      </c>
      <c r="N2695" s="18" t="n">
        <v>6</v>
      </c>
      <c r="O2695" s="18" t="n">
        <v>0</v>
      </c>
      <c r="P2695" s="17" t="n">
        <v>45980</v>
      </c>
      <c r="Q2695" s="17" t="n">
        <v>45980</v>
      </c>
      <c r="R2695" s="17" t="n">
        <v>45980</v>
      </c>
      <c r="S2695" s="19">
        <f>H2695*I2695</f>
        <v/>
      </c>
      <c r="T2695" s="19">
        <f>H2695*J2695</f>
        <v/>
      </c>
      <c r="U2695">
        <f>IF(AND(K2695=0,G2695&lt;=Assumptions!$C$6),1,0)</f>
        <v/>
      </c>
      <c r="V2695">
        <f>IF(U2695=1,IF(M2695&gt;0,IF(P2695&lt;=G2695+Assumptions!$C$7,1,0),0),0)</f>
        <v/>
      </c>
      <c r="W2695">
        <f>IF(AND(U2695=1,M2695&gt;=H2695*(1-Assumptions!$C$8)),1,0)</f>
        <v/>
      </c>
      <c r="X2695">
        <f>IF(AND(U2695=1,N2695&gt;=H2695*(1-Assumptions!$C$8)),1,0)</f>
        <v/>
      </c>
      <c r="Y2695">
        <f>IF(ISNUMBER(Q2695),1,0)</f>
        <v/>
      </c>
      <c r="Z2695">
        <f>IF(AND(K2695=0,L2695=0,Y2695=0),1,0)</f>
        <v/>
      </c>
      <c r="AA2695">
        <f>IF(AND(Z2695=1,G2695&lt;Assumptions!$C$6),1,0)</f>
        <v/>
      </c>
      <c r="AB2695">
        <f>IF(U2695=0,"",IF(Y2695=1,MAX(0,Q2695-G2695),IF(L2695=1,MAX(0,R2695-G2695),MAX(0,Assumptions!$C$6-G2695))))</f>
        <v/>
      </c>
      <c r="AC2695">
        <f>IF(Y2695=1,Q2695-F2695,"")</f>
        <v/>
      </c>
      <c r="AD2695">
        <f>IF(Y2695=1,AC2695^2,"")</f>
        <v/>
      </c>
      <c r="AE2695" s="19">
        <f>IF(Z2695=1,(H2695-M2695)*I2695,0)</f>
        <v/>
      </c>
      <c r="AF2695">
        <f>IF(G2695&lt;EDATE(Assumptions!$C$6,-12)+1,"prior_12m","last_12m")</f>
        <v/>
      </c>
      <c r="AG2695" s="21">
        <f>DATE(YEAR(G2695),MONTH(G2695),1)</f>
        <v/>
      </c>
    </row>
    <row r="2696">
      <c r="A2696" t="inlineStr">
        <is>
          <t>SPO-01454-1</t>
        </is>
      </c>
      <c r="B2696" t="inlineStr">
        <is>
          <t>SPO-01454</t>
        </is>
      </c>
      <c r="C2696" t="inlineStr">
        <is>
          <t>SUP-08</t>
        </is>
      </c>
      <c r="D2696" t="inlineStr">
        <is>
          <t>MRO</t>
        </is>
      </c>
      <c r="E2696" t="inlineStr">
        <is>
          <t>MRO-05</t>
        </is>
      </c>
      <c r="F2696" s="17" t="n">
        <v>45969</v>
      </c>
      <c r="G2696" s="17" t="n">
        <v>45980</v>
      </c>
      <c r="H2696" s="18" t="n">
        <v>96</v>
      </c>
      <c r="I2696" s="19" t="n">
        <v>35.66</v>
      </c>
      <c r="J2696" s="19" t="n">
        <v>36</v>
      </c>
      <c r="K2696" s="20" t="n">
        <v>0</v>
      </c>
      <c r="L2696" s="20" t="n">
        <v>0</v>
      </c>
      <c r="M2696" s="18" t="n">
        <v>96</v>
      </c>
      <c r="N2696" s="18" t="n">
        <v>96</v>
      </c>
      <c r="O2696" s="18" t="n">
        <v>0</v>
      </c>
      <c r="P2696" s="17" t="n">
        <v>45980</v>
      </c>
      <c r="Q2696" s="17" t="n">
        <v>45980</v>
      </c>
      <c r="R2696" s="17" t="n">
        <v>45980</v>
      </c>
      <c r="S2696" s="19">
        <f>H2696*I2696</f>
        <v/>
      </c>
      <c r="T2696" s="19">
        <f>H2696*J2696</f>
        <v/>
      </c>
      <c r="U2696">
        <f>IF(AND(K2696=0,G2696&lt;=Assumptions!$C$6),1,0)</f>
        <v/>
      </c>
      <c r="V2696">
        <f>IF(U2696=1,IF(M2696&gt;0,IF(P2696&lt;=G2696+Assumptions!$C$7,1,0),0),0)</f>
        <v/>
      </c>
      <c r="W2696">
        <f>IF(AND(U2696=1,M2696&gt;=H2696*(1-Assumptions!$C$8)),1,0)</f>
        <v/>
      </c>
      <c r="X2696">
        <f>IF(AND(U2696=1,N2696&gt;=H2696*(1-Assumptions!$C$8)),1,0)</f>
        <v/>
      </c>
      <c r="Y2696">
        <f>IF(ISNUMBER(Q2696),1,0)</f>
        <v/>
      </c>
      <c r="Z2696">
        <f>IF(AND(K2696=0,L2696=0,Y2696=0),1,0)</f>
        <v/>
      </c>
      <c r="AA2696">
        <f>IF(AND(Z2696=1,G2696&lt;Assumptions!$C$6),1,0)</f>
        <v/>
      </c>
      <c r="AB2696">
        <f>IF(U2696=0,"",IF(Y2696=1,MAX(0,Q2696-G2696),IF(L2696=1,MAX(0,R2696-G2696),MAX(0,Assumptions!$C$6-G2696))))</f>
        <v/>
      </c>
      <c r="AC2696">
        <f>IF(Y2696=1,Q2696-F2696,"")</f>
        <v/>
      </c>
      <c r="AD2696">
        <f>IF(Y2696=1,AC2696^2,"")</f>
        <v/>
      </c>
      <c r="AE2696" s="19">
        <f>IF(Z2696=1,(H2696-M2696)*I2696,0)</f>
        <v/>
      </c>
      <c r="AF2696">
        <f>IF(G2696&lt;EDATE(Assumptions!$C$6,-12)+1,"prior_12m","last_12m")</f>
        <v/>
      </c>
      <c r="AG2696" s="21">
        <f>DATE(YEAR(G2696),MONTH(G2696),1)</f>
        <v/>
      </c>
    </row>
    <row r="2697">
      <c r="A2697" t="inlineStr">
        <is>
          <t>SPO-01454-2</t>
        </is>
      </c>
      <c r="B2697" t="inlineStr">
        <is>
          <t>SPO-01454</t>
        </is>
      </c>
      <c r="C2697" t="inlineStr">
        <is>
          <t>SUP-08</t>
        </is>
      </c>
      <c r="D2697" t="inlineStr">
        <is>
          <t>MRO</t>
        </is>
      </c>
      <c r="E2697" t="inlineStr">
        <is>
          <t>MRO-03</t>
        </is>
      </c>
      <c r="F2697" s="17" t="n">
        <v>45969</v>
      </c>
      <c r="G2697" s="17" t="n">
        <v>45980</v>
      </c>
      <c r="H2697" s="18" t="n">
        <v>128</v>
      </c>
      <c r="I2697" s="19" t="n">
        <v>8.970000000000001</v>
      </c>
      <c r="J2697" s="19" t="n">
        <v>8.9</v>
      </c>
      <c r="K2697" s="20" t="n">
        <v>0</v>
      </c>
      <c r="L2697" s="20" t="n">
        <v>0</v>
      </c>
      <c r="M2697" s="18" t="n">
        <v>128</v>
      </c>
      <c r="N2697" s="18" t="n">
        <v>128</v>
      </c>
      <c r="O2697" s="18" t="n">
        <v>0</v>
      </c>
      <c r="P2697" s="17" t="n">
        <v>45976</v>
      </c>
      <c r="Q2697" s="17" t="n">
        <v>45976</v>
      </c>
      <c r="R2697" s="17" t="n">
        <v>45976</v>
      </c>
      <c r="S2697" s="19">
        <f>H2697*I2697</f>
        <v/>
      </c>
      <c r="T2697" s="19">
        <f>H2697*J2697</f>
        <v/>
      </c>
      <c r="U2697">
        <f>IF(AND(K2697=0,G2697&lt;=Assumptions!$C$6),1,0)</f>
        <v/>
      </c>
      <c r="V2697">
        <f>IF(U2697=1,IF(M2697&gt;0,IF(P2697&lt;=G2697+Assumptions!$C$7,1,0),0),0)</f>
        <v/>
      </c>
      <c r="W2697">
        <f>IF(AND(U2697=1,M2697&gt;=H2697*(1-Assumptions!$C$8)),1,0)</f>
        <v/>
      </c>
      <c r="X2697">
        <f>IF(AND(U2697=1,N2697&gt;=H2697*(1-Assumptions!$C$8)),1,0)</f>
        <v/>
      </c>
      <c r="Y2697">
        <f>IF(ISNUMBER(Q2697),1,0)</f>
        <v/>
      </c>
      <c r="Z2697">
        <f>IF(AND(K2697=0,L2697=0,Y2697=0),1,0)</f>
        <v/>
      </c>
      <c r="AA2697">
        <f>IF(AND(Z2697=1,G2697&lt;Assumptions!$C$6),1,0)</f>
        <v/>
      </c>
      <c r="AB2697">
        <f>IF(U2697=0,"",IF(Y2697=1,MAX(0,Q2697-G2697),IF(L2697=1,MAX(0,R2697-G2697),MAX(0,Assumptions!$C$6-G2697))))</f>
        <v/>
      </c>
      <c r="AC2697">
        <f>IF(Y2697=1,Q2697-F2697,"")</f>
        <v/>
      </c>
      <c r="AD2697">
        <f>IF(Y2697=1,AC2697^2,"")</f>
        <v/>
      </c>
      <c r="AE2697" s="19">
        <f>IF(Z2697=1,(H2697-M2697)*I2697,0)</f>
        <v/>
      </c>
      <c r="AF2697">
        <f>IF(G2697&lt;EDATE(Assumptions!$C$6,-12)+1,"prior_12m","last_12m")</f>
        <v/>
      </c>
      <c r="AG2697" s="21">
        <f>DATE(YEAR(G2697),MONTH(G2697),1)</f>
        <v/>
      </c>
    </row>
    <row r="2698">
      <c r="A2698" t="inlineStr">
        <is>
          <t>SPO-01454-3</t>
        </is>
      </c>
      <c r="B2698" t="inlineStr">
        <is>
          <t>SPO-01454</t>
        </is>
      </c>
      <c r="C2698" t="inlineStr">
        <is>
          <t>SUP-08</t>
        </is>
      </c>
      <c r="D2698" t="inlineStr">
        <is>
          <t>MRO</t>
        </is>
      </c>
      <c r="E2698" t="inlineStr">
        <is>
          <t>MRO-02</t>
        </is>
      </c>
      <c r="F2698" s="17" t="n">
        <v>45969</v>
      </c>
      <c r="G2698" s="17" t="n">
        <v>45980</v>
      </c>
      <c r="H2698" s="18" t="n">
        <v>19</v>
      </c>
      <c r="I2698" s="19" t="n">
        <v>42.01</v>
      </c>
      <c r="J2698" s="19" t="n">
        <v>41</v>
      </c>
      <c r="K2698" s="20" t="n">
        <v>0</v>
      </c>
      <c r="L2698" s="20" t="n">
        <v>0</v>
      </c>
      <c r="M2698" s="18" t="n">
        <v>19</v>
      </c>
      <c r="N2698" s="18" t="n">
        <v>19</v>
      </c>
      <c r="O2698" s="18" t="n">
        <v>0</v>
      </c>
      <c r="P2698" s="17" t="n">
        <v>45976</v>
      </c>
      <c r="Q2698" s="17" t="n">
        <v>45976</v>
      </c>
      <c r="R2698" s="17" t="n">
        <v>45976</v>
      </c>
      <c r="S2698" s="19">
        <f>H2698*I2698</f>
        <v/>
      </c>
      <c r="T2698" s="19">
        <f>H2698*J2698</f>
        <v/>
      </c>
      <c r="U2698">
        <f>IF(AND(K2698=0,G2698&lt;=Assumptions!$C$6),1,0)</f>
        <v/>
      </c>
      <c r="V2698">
        <f>IF(U2698=1,IF(M2698&gt;0,IF(P2698&lt;=G2698+Assumptions!$C$7,1,0),0),0)</f>
        <v/>
      </c>
      <c r="W2698">
        <f>IF(AND(U2698=1,M2698&gt;=H2698*(1-Assumptions!$C$8)),1,0)</f>
        <v/>
      </c>
      <c r="X2698">
        <f>IF(AND(U2698=1,N2698&gt;=H2698*(1-Assumptions!$C$8)),1,0)</f>
        <v/>
      </c>
      <c r="Y2698">
        <f>IF(ISNUMBER(Q2698),1,0)</f>
        <v/>
      </c>
      <c r="Z2698">
        <f>IF(AND(K2698=0,L2698=0,Y2698=0),1,0)</f>
        <v/>
      </c>
      <c r="AA2698">
        <f>IF(AND(Z2698=1,G2698&lt;Assumptions!$C$6),1,0)</f>
        <v/>
      </c>
      <c r="AB2698">
        <f>IF(U2698=0,"",IF(Y2698=1,MAX(0,Q2698-G2698),IF(L2698=1,MAX(0,R2698-G2698),MAX(0,Assumptions!$C$6-G2698))))</f>
        <v/>
      </c>
      <c r="AC2698">
        <f>IF(Y2698=1,Q2698-F2698,"")</f>
        <v/>
      </c>
      <c r="AD2698">
        <f>IF(Y2698=1,AC2698^2,"")</f>
        <v/>
      </c>
      <c r="AE2698" s="19">
        <f>IF(Z2698=1,(H2698-M2698)*I2698,0)</f>
        <v/>
      </c>
      <c r="AF2698">
        <f>IF(G2698&lt;EDATE(Assumptions!$C$6,-12)+1,"prior_12m","last_12m")</f>
        <v/>
      </c>
      <c r="AG2698" s="21">
        <f>DATE(YEAR(G2698),MONTH(G2698),1)</f>
        <v/>
      </c>
    </row>
    <row r="2699">
      <c r="A2699" t="inlineStr">
        <is>
          <t>SPO-01455-1</t>
        </is>
      </c>
      <c r="B2699" t="inlineStr">
        <is>
          <t>SPO-01455</t>
        </is>
      </c>
      <c r="C2699" t="inlineStr">
        <is>
          <t>SUP-10</t>
        </is>
      </c>
      <c r="D2699" t="inlineStr">
        <is>
          <t>PPE</t>
        </is>
      </c>
      <c r="E2699" t="inlineStr">
        <is>
          <t>PPE-07</t>
        </is>
      </c>
      <c r="F2699" s="17" t="n">
        <v>45969</v>
      </c>
      <c r="G2699" s="17" t="n">
        <v>45982</v>
      </c>
      <c r="H2699" s="18" t="n">
        <v>41</v>
      </c>
      <c r="I2699" s="19" t="n">
        <v>30.97</v>
      </c>
      <c r="J2699" s="19" t="n">
        <v>31</v>
      </c>
      <c r="K2699" s="20" t="n">
        <v>0</v>
      </c>
      <c r="L2699" s="20" t="n">
        <v>0</v>
      </c>
      <c r="M2699" s="18" t="n">
        <v>41</v>
      </c>
      <c r="N2699" s="18" t="n">
        <v>41</v>
      </c>
      <c r="O2699" s="18" t="n">
        <v>0</v>
      </c>
      <c r="P2699" s="17" t="n">
        <v>45978</v>
      </c>
      <c r="Q2699" s="17" t="n">
        <v>45978</v>
      </c>
      <c r="R2699" s="17" t="n">
        <v>45978</v>
      </c>
      <c r="S2699" s="19">
        <f>H2699*I2699</f>
        <v/>
      </c>
      <c r="T2699" s="19">
        <f>H2699*J2699</f>
        <v/>
      </c>
      <c r="U2699">
        <f>IF(AND(K2699=0,G2699&lt;=Assumptions!$C$6),1,0)</f>
        <v/>
      </c>
      <c r="V2699">
        <f>IF(U2699=1,IF(M2699&gt;0,IF(P2699&lt;=G2699+Assumptions!$C$7,1,0),0),0)</f>
        <v/>
      </c>
      <c r="W2699">
        <f>IF(AND(U2699=1,M2699&gt;=H2699*(1-Assumptions!$C$8)),1,0)</f>
        <v/>
      </c>
      <c r="X2699">
        <f>IF(AND(U2699=1,N2699&gt;=H2699*(1-Assumptions!$C$8)),1,0)</f>
        <v/>
      </c>
      <c r="Y2699">
        <f>IF(ISNUMBER(Q2699),1,0)</f>
        <v/>
      </c>
      <c r="Z2699">
        <f>IF(AND(K2699=0,L2699=0,Y2699=0),1,0)</f>
        <v/>
      </c>
      <c r="AA2699">
        <f>IF(AND(Z2699=1,G2699&lt;Assumptions!$C$6),1,0)</f>
        <v/>
      </c>
      <c r="AB2699">
        <f>IF(U2699=0,"",IF(Y2699=1,MAX(0,Q2699-G2699),IF(L2699=1,MAX(0,R2699-G2699),MAX(0,Assumptions!$C$6-G2699))))</f>
        <v/>
      </c>
      <c r="AC2699">
        <f>IF(Y2699=1,Q2699-F2699,"")</f>
        <v/>
      </c>
      <c r="AD2699">
        <f>IF(Y2699=1,AC2699^2,"")</f>
        <v/>
      </c>
      <c r="AE2699" s="19">
        <f>IF(Z2699=1,(H2699-M2699)*I2699,0)</f>
        <v/>
      </c>
      <c r="AF2699">
        <f>IF(G2699&lt;EDATE(Assumptions!$C$6,-12)+1,"prior_12m","last_12m")</f>
        <v/>
      </c>
      <c r="AG2699" s="21">
        <f>DATE(YEAR(G2699),MONTH(G2699),1)</f>
        <v/>
      </c>
    </row>
    <row r="2700">
      <c r="A2700" t="inlineStr">
        <is>
          <t>SPO-01456-1</t>
        </is>
      </c>
      <c r="B2700" t="inlineStr">
        <is>
          <t>SPO-01456</t>
        </is>
      </c>
      <c r="C2700" t="inlineStr">
        <is>
          <t>SUP-12</t>
        </is>
      </c>
      <c r="D2700" t="inlineStr">
        <is>
          <t>IT</t>
        </is>
      </c>
      <c r="E2700" t="inlineStr">
        <is>
          <t>IT-03</t>
        </is>
      </c>
      <c r="F2700" s="17" t="n">
        <v>45970</v>
      </c>
      <c r="G2700" s="17" t="n">
        <v>45980</v>
      </c>
      <c r="H2700" s="18" t="n">
        <v>26</v>
      </c>
      <c r="I2700" s="19" t="n">
        <v>43.94</v>
      </c>
      <c r="J2700" s="19" t="n">
        <v>38</v>
      </c>
      <c r="K2700" s="20" t="n">
        <v>0</v>
      </c>
      <c r="L2700" s="20" t="n">
        <v>0</v>
      </c>
      <c r="M2700" s="18" t="n">
        <v>26</v>
      </c>
      <c r="N2700" s="18" t="n">
        <v>26</v>
      </c>
      <c r="O2700" s="18" t="n">
        <v>0</v>
      </c>
      <c r="P2700" s="17" t="n">
        <v>45978</v>
      </c>
      <c r="Q2700" s="17" t="n">
        <v>45978</v>
      </c>
      <c r="R2700" s="17" t="n">
        <v>45978</v>
      </c>
      <c r="S2700" s="19">
        <f>H2700*I2700</f>
        <v/>
      </c>
      <c r="T2700" s="19">
        <f>H2700*J2700</f>
        <v/>
      </c>
      <c r="U2700">
        <f>IF(AND(K2700=0,G2700&lt;=Assumptions!$C$6),1,0)</f>
        <v/>
      </c>
      <c r="V2700">
        <f>IF(U2700=1,IF(M2700&gt;0,IF(P2700&lt;=G2700+Assumptions!$C$7,1,0),0),0)</f>
        <v/>
      </c>
      <c r="W2700">
        <f>IF(AND(U2700=1,M2700&gt;=H2700*(1-Assumptions!$C$8)),1,0)</f>
        <v/>
      </c>
      <c r="X2700">
        <f>IF(AND(U2700=1,N2700&gt;=H2700*(1-Assumptions!$C$8)),1,0)</f>
        <v/>
      </c>
      <c r="Y2700">
        <f>IF(ISNUMBER(Q2700),1,0)</f>
        <v/>
      </c>
      <c r="Z2700">
        <f>IF(AND(K2700=0,L2700=0,Y2700=0),1,0)</f>
        <v/>
      </c>
      <c r="AA2700">
        <f>IF(AND(Z2700=1,G2700&lt;Assumptions!$C$6),1,0)</f>
        <v/>
      </c>
      <c r="AB2700">
        <f>IF(U2700=0,"",IF(Y2700=1,MAX(0,Q2700-G2700),IF(L2700=1,MAX(0,R2700-G2700),MAX(0,Assumptions!$C$6-G2700))))</f>
        <v/>
      </c>
      <c r="AC2700">
        <f>IF(Y2700=1,Q2700-F2700,"")</f>
        <v/>
      </c>
      <c r="AD2700">
        <f>IF(Y2700=1,AC2700^2,"")</f>
        <v/>
      </c>
      <c r="AE2700" s="19">
        <f>IF(Z2700=1,(H2700-M2700)*I2700,0)</f>
        <v/>
      </c>
      <c r="AF2700">
        <f>IF(G2700&lt;EDATE(Assumptions!$C$6,-12)+1,"prior_12m","last_12m")</f>
        <v/>
      </c>
      <c r="AG2700" s="21">
        <f>DATE(YEAR(G2700),MONTH(G2700),1)</f>
        <v/>
      </c>
    </row>
    <row r="2701">
      <c r="A2701" t="inlineStr">
        <is>
          <t>SPO-01456-2</t>
        </is>
      </c>
      <c r="B2701" t="inlineStr">
        <is>
          <t>SPO-01456</t>
        </is>
      </c>
      <c r="C2701" t="inlineStr">
        <is>
          <t>SUP-12</t>
        </is>
      </c>
      <c r="D2701" t="inlineStr">
        <is>
          <t>IT</t>
        </is>
      </c>
      <c r="E2701" t="inlineStr">
        <is>
          <t>IT-02</t>
        </is>
      </c>
      <c r="F2701" s="17" t="n">
        <v>45970</v>
      </c>
      <c r="G2701" s="17" t="n">
        <v>45980</v>
      </c>
      <c r="H2701" s="18" t="n">
        <v>16</v>
      </c>
      <c r="I2701" s="19" t="n">
        <v>178.19</v>
      </c>
      <c r="J2701" s="19" t="n">
        <v>162</v>
      </c>
      <c r="K2701" s="20" t="n">
        <v>0</v>
      </c>
      <c r="L2701" s="20" t="n">
        <v>0</v>
      </c>
      <c r="M2701" s="18" t="n">
        <v>16</v>
      </c>
      <c r="N2701" s="18" t="n">
        <v>0</v>
      </c>
      <c r="O2701" s="18" t="n">
        <v>0</v>
      </c>
      <c r="P2701" s="17" t="n">
        <v>45981</v>
      </c>
      <c r="Q2701" s="17" t="n">
        <v>45981</v>
      </c>
      <c r="R2701" s="17" t="n">
        <v>45981</v>
      </c>
      <c r="S2701" s="19">
        <f>H2701*I2701</f>
        <v/>
      </c>
      <c r="T2701" s="19">
        <f>H2701*J2701</f>
        <v/>
      </c>
      <c r="U2701">
        <f>IF(AND(K2701=0,G2701&lt;=Assumptions!$C$6),1,0)</f>
        <v/>
      </c>
      <c r="V2701">
        <f>IF(U2701=1,IF(M2701&gt;0,IF(P2701&lt;=G2701+Assumptions!$C$7,1,0),0),0)</f>
        <v/>
      </c>
      <c r="W2701">
        <f>IF(AND(U2701=1,M2701&gt;=H2701*(1-Assumptions!$C$8)),1,0)</f>
        <v/>
      </c>
      <c r="X2701">
        <f>IF(AND(U2701=1,N2701&gt;=H2701*(1-Assumptions!$C$8)),1,0)</f>
        <v/>
      </c>
      <c r="Y2701">
        <f>IF(ISNUMBER(Q2701),1,0)</f>
        <v/>
      </c>
      <c r="Z2701">
        <f>IF(AND(K2701=0,L2701=0,Y2701=0),1,0)</f>
        <v/>
      </c>
      <c r="AA2701">
        <f>IF(AND(Z2701=1,G2701&lt;Assumptions!$C$6),1,0)</f>
        <v/>
      </c>
      <c r="AB2701">
        <f>IF(U2701=0,"",IF(Y2701=1,MAX(0,Q2701-G2701),IF(L2701=1,MAX(0,R2701-G2701),MAX(0,Assumptions!$C$6-G2701))))</f>
        <v/>
      </c>
      <c r="AC2701">
        <f>IF(Y2701=1,Q2701-F2701,"")</f>
        <v/>
      </c>
      <c r="AD2701">
        <f>IF(Y2701=1,AC2701^2,"")</f>
        <v/>
      </c>
      <c r="AE2701" s="19">
        <f>IF(Z2701=1,(H2701-M2701)*I2701,0)</f>
        <v/>
      </c>
      <c r="AF2701">
        <f>IF(G2701&lt;EDATE(Assumptions!$C$6,-12)+1,"prior_12m","last_12m")</f>
        <v/>
      </c>
      <c r="AG2701" s="21">
        <f>DATE(YEAR(G2701),MONTH(G2701),1)</f>
        <v/>
      </c>
    </row>
    <row r="2702">
      <c r="A2702" t="inlineStr">
        <is>
          <t>SPO-01457-1</t>
        </is>
      </c>
      <c r="B2702" t="inlineStr">
        <is>
          <t>SPO-01457</t>
        </is>
      </c>
      <c r="C2702" t="inlineStr">
        <is>
          <t>SUP-02</t>
        </is>
      </c>
      <c r="D2702" t="inlineStr">
        <is>
          <t>ELEC</t>
        </is>
      </c>
      <c r="E2702" t="inlineStr">
        <is>
          <t>ELEC-07</t>
        </is>
      </c>
      <c r="F2702" s="17" t="n">
        <v>45970</v>
      </c>
      <c r="G2702" s="17" t="n">
        <v>45986</v>
      </c>
      <c r="H2702" s="18" t="n">
        <v>305</v>
      </c>
      <c r="I2702" s="19" t="n">
        <v>9.609999999999999</v>
      </c>
      <c r="J2702" s="19" t="n">
        <v>9.800000000000001</v>
      </c>
      <c r="K2702" s="20" t="n">
        <v>0</v>
      </c>
      <c r="L2702" s="20" t="n">
        <v>0</v>
      </c>
      <c r="M2702" s="18" t="n">
        <v>305</v>
      </c>
      <c r="N2702" s="18" t="n">
        <v>305</v>
      </c>
      <c r="O2702" s="18" t="n">
        <v>0</v>
      </c>
      <c r="P2702" s="17" t="n">
        <v>45982</v>
      </c>
      <c r="Q2702" s="17" t="n">
        <v>45982</v>
      </c>
      <c r="R2702" s="17" t="n">
        <v>45982</v>
      </c>
      <c r="S2702" s="19">
        <f>H2702*I2702</f>
        <v/>
      </c>
      <c r="T2702" s="19">
        <f>H2702*J2702</f>
        <v/>
      </c>
      <c r="U2702">
        <f>IF(AND(K2702=0,G2702&lt;=Assumptions!$C$6),1,0)</f>
        <v/>
      </c>
      <c r="V2702">
        <f>IF(U2702=1,IF(M2702&gt;0,IF(P2702&lt;=G2702+Assumptions!$C$7,1,0),0),0)</f>
        <v/>
      </c>
      <c r="W2702">
        <f>IF(AND(U2702=1,M2702&gt;=H2702*(1-Assumptions!$C$8)),1,0)</f>
        <v/>
      </c>
      <c r="X2702">
        <f>IF(AND(U2702=1,N2702&gt;=H2702*(1-Assumptions!$C$8)),1,0)</f>
        <v/>
      </c>
      <c r="Y2702">
        <f>IF(ISNUMBER(Q2702),1,0)</f>
        <v/>
      </c>
      <c r="Z2702">
        <f>IF(AND(K2702=0,L2702=0,Y2702=0),1,0)</f>
        <v/>
      </c>
      <c r="AA2702">
        <f>IF(AND(Z2702=1,G2702&lt;Assumptions!$C$6),1,0)</f>
        <v/>
      </c>
      <c r="AB2702">
        <f>IF(U2702=0,"",IF(Y2702=1,MAX(0,Q2702-G2702),IF(L2702=1,MAX(0,R2702-G2702),MAX(0,Assumptions!$C$6-G2702))))</f>
        <v/>
      </c>
      <c r="AC2702">
        <f>IF(Y2702=1,Q2702-F2702,"")</f>
        <v/>
      </c>
      <c r="AD2702">
        <f>IF(Y2702=1,AC2702^2,"")</f>
        <v/>
      </c>
      <c r="AE2702" s="19">
        <f>IF(Z2702=1,(H2702-M2702)*I2702,0)</f>
        <v/>
      </c>
      <c r="AF2702">
        <f>IF(G2702&lt;EDATE(Assumptions!$C$6,-12)+1,"prior_12m","last_12m")</f>
        <v/>
      </c>
      <c r="AG2702" s="21">
        <f>DATE(YEAR(G2702),MONTH(G2702),1)</f>
        <v/>
      </c>
    </row>
    <row r="2703">
      <c r="A2703" t="inlineStr">
        <is>
          <t>SPO-01458-1</t>
        </is>
      </c>
      <c r="B2703" t="inlineStr">
        <is>
          <t>SPO-01458</t>
        </is>
      </c>
      <c r="C2703" t="inlineStr">
        <is>
          <t>SUP-06</t>
        </is>
      </c>
      <c r="D2703" t="inlineStr">
        <is>
          <t>MRO</t>
        </is>
      </c>
      <c r="E2703" t="inlineStr">
        <is>
          <t>MRO-06</t>
        </is>
      </c>
      <c r="F2703" s="17" t="n">
        <v>45970</v>
      </c>
      <c r="G2703" s="17" t="n">
        <v>45978</v>
      </c>
      <c r="H2703" s="18" t="n">
        <v>144</v>
      </c>
      <c r="I2703" s="19" t="n">
        <v>6.31</v>
      </c>
      <c r="J2703" s="19" t="n">
        <v>6.1</v>
      </c>
      <c r="K2703" s="20" t="n">
        <v>0</v>
      </c>
      <c r="L2703" s="20" t="n">
        <v>0</v>
      </c>
      <c r="M2703" s="18" t="n">
        <v>144</v>
      </c>
      <c r="N2703" s="18" t="n">
        <v>144</v>
      </c>
      <c r="O2703" s="18" t="n">
        <v>0</v>
      </c>
      <c r="P2703" s="17" t="n">
        <v>45977</v>
      </c>
      <c r="Q2703" s="17" t="n">
        <v>45977</v>
      </c>
      <c r="R2703" s="17" t="n">
        <v>45977</v>
      </c>
      <c r="S2703" s="19">
        <f>H2703*I2703</f>
        <v/>
      </c>
      <c r="T2703" s="19">
        <f>H2703*J2703</f>
        <v/>
      </c>
      <c r="U2703">
        <f>IF(AND(K2703=0,G2703&lt;=Assumptions!$C$6),1,0)</f>
        <v/>
      </c>
      <c r="V2703">
        <f>IF(U2703=1,IF(M2703&gt;0,IF(P2703&lt;=G2703+Assumptions!$C$7,1,0),0),0)</f>
        <v/>
      </c>
      <c r="W2703">
        <f>IF(AND(U2703=1,M2703&gt;=H2703*(1-Assumptions!$C$8)),1,0)</f>
        <v/>
      </c>
      <c r="X2703">
        <f>IF(AND(U2703=1,N2703&gt;=H2703*(1-Assumptions!$C$8)),1,0)</f>
        <v/>
      </c>
      <c r="Y2703">
        <f>IF(ISNUMBER(Q2703),1,0)</f>
        <v/>
      </c>
      <c r="Z2703">
        <f>IF(AND(K2703=0,L2703=0,Y2703=0),1,0)</f>
        <v/>
      </c>
      <c r="AA2703">
        <f>IF(AND(Z2703=1,G2703&lt;Assumptions!$C$6),1,0)</f>
        <v/>
      </c>
      <c r="AB2703">
        <f>IF(U2703=0,"",IF(Y2703=1,MAX(0,Q2703-G2703),IF(L2703=1,MAX(0,R2703-G2703),MAX(0,Assumptions!$C$6-G2703))))</f>
        <v/>
      </c>
      <c r="AC2703">
        <f>IF(Y2703=1,Q2703-F2703,"")</f>
        <v/>
      </c>
      <c r="AD2703">
        <f>IF(Y2703=1,AC2703^2,"")</f>
        <v/>
      </c>
      <c r="AE2703" s="19">
        <f>IF(Z2703=1,(H2703-M2703)*I2703,0)</f>
        <v/>
      </c>
      <c r="AF2703">
        <f>IF(G2703&lt;EDATE(Assumptions!$C$6,-12)+1,"prior_12m","last_12m")</f>
        <v/>
      </c>
      <c r="AG2703" s="21">
        <f>DATE(YEAR(G2703),MONTH(G2703),1)</f>
        <v/>
      </c>
    </row>
    <row r="2704">
      <c r="A2704" t="inlineStr">
        <is>
          <t>SPO-01459-1</t>
        </is>
      </c>
      <c r="B2704" t="inlineStr">
        <is>
          <t>SPO-01459</t>
        </is>
      </c>
      <c r="C2704" t="inlineStr">
        <is>
          <t>SUP-01</t>
        </is>
      </c>
      <c r="D2704" t="inlineStr">
        <is>
          <t>ELEC</t>
        </is>
      </c>
      <c r="E2704" t="inlineStr">
        <is>
          <t>ELEC-06</t>
        </is>
      </c>
      <c r="F2704" s="17" t="n">
        <v>45970</v>
      </c>
      <c r="G2704" s="17" t="n">
        <v>45988</v>
      </c>
      <c r="H2704" s="18" t="n">
        <v>12</v>
      </c>
      <c r="I2704" s="19" t="n">
        <v>146.79</v>
      </c>
      <c r="J2704" s="19" t="n">
        <v>145</v>
      </c>
      <c r="K2704" s="20" t="n">
        <v>0</v>
      </c>
      <c r="L2704" s="20" t="n">
        <v>0</v>
      </c>
      <c r="M2704" s="18" t="n">
        <v>12</v>
      </c>
      <c r="N2704" s="18" t="n">
        <v>12</v>
      </c>
      <c r="O2704" s="18" t="n">
        <v>0</v>
      </c>
      <c r="P2704" s="17" t="n">
        <v>45984</v>
      </c>
      <c r="Q2704" s="17" t="n">
        <v>45984</v>
      </c>
      <c r="R2704" s="17" t="n">
        <v>45984</v>
      </c>
      <c r="S2704" s="19">
        <f>H2704*I2704</f>
        <v/>
      </c>
      <c r="T2704" s="19">
        <f>H2704*J2704</f>
        <v/>
      </c>
      <c r="U2704">
        <f>IF(AND(K2704=0,G2704&lt;=Assumptions!$C$6),1,0)</f>
        <v/>
      </c>
      <c r="V2704">
        <f>IF(U2704=1,IF(M2704&gt;0,IF(P2704&lt;=G2704+Assumptions!$C$7,1,0),0),0)</f>
        <v/>
      </c>
      <c r="W2704">
        <f>IF(AND(U2704=1,M2704&gt;=H2704*(1-Assumptions!$C$8)),1,0)</f>
        <v/>
      </c>
      <c r="X2704">
        <f>IF(AND(U2704=1,N2704&gt;=H2704*(1-Assumptions!$C$8)),1,0)</f>
        <v/>
      </c>
      <c r="Y2704">
        <f>IF(ISNUMBER(Q2704),1,0)</f>
        <v/>
      </c>
      <c r="Z2704">
        <f>IF(AND(K2704=0,L2704=0,Y2704=0),1,0)</f>
        <v/>
      </c>
      <c r="AA2704">
        <f>IF(AND(Z2704=1,G2704&lt;Assumptions!$C$6),1,0)</f>
        <v/>
      </c>
      <c r="AB2704">
        <f>IF(U2704=0,"",IF(Y2704=1,MAX(0,Q2704-G2704),IF(L2704=1,MAX(0,R2704-G2704),MAX(0,Assumptions!$C$6-G2704))))</f>
        <v/>
      </c>
      <c r="AC2704">
        <f>IF(Y2704=1,Q2704-F2704,"")</f>
        <v/>
      </c>
      <c r="AD2704">
        <f>IF(Y2704=1,AC2704^2,"")</f>
        <v/>
      </c>
      <c r="AE2704" s="19">
        <f>IF(Z2704=1,(H2704-M2704)*I2704,0)</f>
        <v/>
      </c>
      <c r="AF2704">
        <f>IF(G2704&lt;EDATE(Assumptions!$C$6,-12)+1,"prior_12m","last_12m")</f>
        <v/>
      </c>
      <c r="AG2704" s="21">
        <f>DATE(YEAR(G2704),MONTH(G2704),1)</f>
        <v/>
      </c>
    </row>
    <row r="2705">
      <c r="A2705" t="inlineStr">
        <is>
          <t>SPO-01459-2</t>
        </is>
      </c>
      <c r="B2705" t="inlineStr">
        <is>
          <t>SPO-01459</t>
        </is>
      </c>
      <c r="C2705" t="inlineStr">
        <is>
          <t>SUP-01</t>
        </is>
      </c>
      <c r="D2705" t="inlineStr">
        <is>
          <t>ELEC</t>
        </is>
      </c>
      <c r="E2705" t="inlineStr">
        <is>
          <t>ELEC-08</t>
        </is>
      </c>
      <c r="F2705" s="17" t="n">
        <v>45970</v>
      </c>
      <c r="G2705" s="17" t="n">
        <v>45988</v>
      </c>
      <c r="H2705" s="18" t="n">
        <v>94</v>
      </c>
      <c r="I2705" s="19" t="n">
        <v>17.25</v>
      </c>
      <c r="J2705" s="19" t="n">
        <v>18</v>
      </c>
      <c r="K2705" s="20" t="n">
        <v>0</v>
      </c>
      <c r="L2705" s="20" t="n">
        <v>0</v>
      </c>
      <c r="M2705" s="18" t="n">
        <v>94</v>
      </c>
      <c r="N2705" s="18" t="n">
        <v>94</v>
      </c>
      <c r="O2705" s="18" t="n">
        <v>0</v>
      </c>
      <c r="P2705" s="17" t="n">
        <v>45976</v>
      </c>
      <c r="Q2705" s="17" t="n">
        <v>45976</v>
      </c>
      <c r="R2705" s="17" t="n">
        <v>45976</v>
      </c>
      <c r="S2705" s="19">
        <f>H2705*I2705</f>
        <v/>
      </c>
      <c r="T2705" s="19">
        <f>H2705*J2705</f>
        <v/>
      </c>
      <c r="U2705">
        <f>IF(AND(K2705=0,G2705&lt;=Assumptions!$C$6),1,0)</f>
        <v/>
      </c>
      <c r="V2705">
        <f>IF(U2705=1,IF(M2705&gt;0,IF(P2705&lt;=G2705+Assumptions!$C$7,1,0),0),0)</f>
        <v/>
      </c>
      <c r="W2705">
        <f>IF(AND(U2705=1,M2705&gt;=H2705*(1-Assumptions!$C$8)),1,0)</f>
        <v/>
      </c>
      <c r="X2705">
        <f>IF(AND(U2705=1,N2705&gt;=H2705*(1-Assumptions!$C$8)),1,0)</f>
        <v/>
      </c>
      <c r="Y2705">
        <f>IF(ISNUMBER(Q2705),1,0)</f>
        <v/>
      </c>
      <c r="Z2705">
        <f>IF(AND(K2705=0,L2705=0,Y2705=0),1,0)</f>
        <v/>
      </c>
      <c r="AA2705">
        <f>IF(AND(Z2705=1,G2705&lt;Assumptions!$C$6),1,0)</f>
        <v/>
      </c>
      <c r="AB2705">
        <f>IF(U2705=0,"",IF(Y2705=1,MAX(0,Q2705-G2705),IF(L2705=1,MAX(0,R2705-G2705),MAX(0,Assumptions!$C$6-G2705))))</f>
        <v/>
      </c>
      <c r="AC2705">
        <f>IF(Y2705=1,Q2705-F2705,"")</f>
        <v/>
      </c>
      <c r="AD2705">
        <f>IF(Y2705=1,AC2705^2,"")</f>
        <v/>
      </c>
      <c r="AE2705" s="19">
        <f>IF(Z2705=1,(H2705-M2705)*I2705,0)</f>
        <v/>
      </c>
      <c r="AF2705">
        <f>IF(G2705&lt;EDATE(Assumptions!$C$6,-12)+1,"prior_12m","last_12m")</f>
        <v/>
      </c>
      <c r="AG2705" s="21">
        <f>DATE(YEAR(G2705),MONTH(G2705),1)</f>
        <v/>
      </c>
    </row>
    <row r="2706">
      <c r="A2706" t="inlineStr">
        <is>
          <t>SPO-01459-3</t>
        </is>
      </c>
      <c r="B2706" t="inlineStr">
        <is>
          <t>SPO-01459</t>
        </is>
      </c>
      <c r="C2706" t="inlineStr">
        <is>
          <t>SUP-01</t>
        </is>
      </c>
      <c r="D2706" t="inlineStr">
        <is>
          <t>ELEC</t>
        </is>
      </c>
      <c r="E2706" t="inlineStr">
        <is>
          <t>ELEC-05</t>
        </is>
      </c>
      <c r="F2706" s="17" t="n">
        <v>45970</v>
      </c>
      <c r="G2706" s="17" t="n">
        <v>45988</v>
      </c>
      <c r="H2706" s="18" t="n">
        <v>389</v>
      </c>
      <c r="I2706" s="19" t="n">
        <v>11.82</v>
      </c>
      <c r="J2706" s="19" t="n">
        <v>11.5</v>
      </c>
      <c r="K2706" s="20" t="n">
        <v>0</v>
      </c>
      <c r="L2706" s="20" t="n">
        <v>0</v>
      </c>
      <c r="M2706" s="18" t="n">
        <v>389</v>
      </c>
      <c r="N2706" s="18" t="n">
        <v>389</v>
      </c>
      <c r="O2706" s="18" t="n">
        <v>0</v>
      </c>
      <c r="P2706" s="17" t="n">
        <v>45984</v>
      </c>
      <c r="Q2706" s="17" t="n">
        <v>45984</v>
      </c>
      <c r="R2706" s="17" t="n">
        <v>45984</v>
      </c>
      <c r="S2706" s="19">
        <f>H2706*I2706</f>
        <v/>
      </c>
      <c r="T2706" s="19">
        <f>H2706*J2706</f>
        <v/>
      </c>
      <c r="U2706">
        <f>IF(AND(K2706=0,G2706&lt;=Assumptions!$C$6),1,0)</f>
        <v/>
      </c>
      <c r="V2706">
        <f>IF(U2706=1,IF(M2706&gt;0,IF(P2706&lt;=G2706+Assumptions!$C$7,1,0),0),0)</f>
        <v/>
      </c>
      <c r="W2706">
        <f>IF(AND(U2706=1,M2706&gt;=H2706*(1-Assumptions!$C$8)),1,0)</f>
        <v/>
      </c>
      <c r="X2706">
        <f>IF(AND(U2706=1,N2706&gt;=H2706*(1-Assumptions!$C$8)),1,0)</f>
        <v/>
      </c>
      <c r="Y2706">
        <f>IF(ISNUMBER(Q2706),1,0)</f>
        <v/>
      </c>
      <c r="Z2706">
        <f>IF(AND(K2706=0,L2706=0,Y2706=0),1,0)</f>
        <v/>
      </c>
      <c r="AA2706">
        <f>IF(AND(Z2706=1,G2706&lt;Assumptions!$C$6),1,0)</f>
        <v/>
      </c>
      <c r="AB2706">
        <f>IF(U2706=0,"",IF(Y2706=1,MAX(0,Q2706-G2706),IF(L2706=1,MAX(0,R2706-G2706),MAX(0,Assumptions!$C$6-G2706))))</f>
        <v/>
      </c>
      <c r="AC2706">
        <f>IF(Y2706=1,Q2706-F2706,"")</f>
        <v/>
      </c>
      <c r="AD2706">
        <f>IF(Y2706=1,AC2706^2,"")</f>
        <v/>
      </c>
      <c r="AE2706" s="19">
        <f>IF(Z2706=1,(H2706-M2706)*I2706,0)</f>
        <v/>
      </c>
      <c r="AF2706">
        <f>IF(G2706&lt;EDATE(Assumptions!$C$6,-12)+1,"prior_12m","last_12m")</f>
        <v/>
      </c>
      <c r="AG2706" s="21">
        <f>DATE(YEAR(G2706),MONTH(G2706),1)</f>
        <v/>
      </c>
    </row>
    <row r="2707">
      <c r="A2707" t="inlineStr">
        <is>
          <t>SPO-01460-1</t>
        </is>
      </c>
      <c r="B2707" t="inlineStr">
        <is>
          <t>SPO-01460</t>
        </is>
      </c>
      <c r="C2707" t="inlineStr">
        <is>
          <t>SUP-06</t>
        </is>
      </c>
      <c r="D2707" t="inlineStr">
        <is>
          <t>MRO</t>
        </is>
      </c>
      <c r="E2707" t="inlineStr">
        <is>
          <t>MRO-04</t>
        </is>
      </c>
      <c r="F2707" s="17" t="n">
        <v>45970</v>
      </c>
      <c r="G2707" s="17" t="n">
        <v>45978</v>
      </c>
      <c r="H2707" s="18" t="n">
        <v>43</v>
      </c>
      <c r="I2707" s="19" t="n">
        <v>58.07</v>
      </c>
      <c r="J2707" s="19" t="n">
        <v>58</v>
      </c>
      <c r="K2707" s="20" t="n">
        <v>0</v>
      </c>
      <c r="L2707" s="20" t="n">
        <v>0</v>
      </c>
      <c r="M2707" s="18" t="n">
        <v>43</v>
      </c>
      <c r="N2707" s="18" t="n">
        <v>43</v>
      </c>
      <c r="O2707" s="18" t="n">
        <v>0</v>
      </c>
      <c r="P2707" s="17" t="n">
        <v>45976</v>
      </c>
      <c r="Q2707" s="17" t="n">
        <v>45976</v>
      </c>
      <c r="R2707" s="17" t="n">
        <v>45976</v>
      </c>
      <c r="S2707" s="19">
        <f>H2707*I2707</f>
        <v/>
      </c>
      <c r="T2707" s="19">
        <f>H2707*J2707</f>
        <v/>
      </c>
      <c r="U2707">
        <f>IF(AND(K2707=0,G2707&lt;=Assumptions!$C$6),1,0)</f>
        <v/>
      </c>
      <c r="V2707">
        <f>IF(U2707=1,IF(M2707&gt;0,IF(P2707&lt;=G2707+Assumptions!$C$7,1,0),0),0)</f>
        <v/>
      </c>
      <c r="W2707">
        <f>IF(AND(U2707=1,M2707&gt;=H2707*(1-Assumptions!$C$8)),1,0)</f>
        <v/>
      </c>
      <c r="X2707">
        <f>IF(AND(U2707=1,N2707&gt;=H2707*(1-Assumptions!$C$8)),1,0)</f>
        <v/>
      </c>
      <c r="Y2707">
        <f>IF(ISNUMBER(Q2707),1,0)</f>
        <v/>
      </c>
      <c r="Z2707">
        <f>IF(AND(K2707=0,L2707=0,Y2707=0),1,0)</f>
        <v/>
      </c>
      <c r="AA2707">
        <f>IF(AND(Z2707=1,G2707&lt;Assumptions!$C$6),1,0)</f>
        <v/>
      </c>
      <c r="AB2707">
        <f>IF(U2707=0,"",IF(Y2707=1,MAX(0,Q2707-G2707),IF(L2707=1,MAX(0,R2707-G2707),MAX(0,Assumptions!$C$6-G2707))))</f>
        <v/>
      </c>
      <c r="AC2707">
        <f>IF(Y2707=1,Q2707-F2707,"")</f>
        <v/>
      </c>
      <c r="AD2707">
        <f>IF(Y2707=1,AC2707^2,"")</f>
        <v/>
      </c>
      <c r="AE2707" s="19">
        <f>IF(Z2707=1,(H2707-M2707)*I2707,0)</f>
        <v/>
      </c>
      <c r="AF2707">
        <f>IF(G2707&lt;EDATE(Assumptions!$C$6,-12)+1,"prior_12m","last_12m")</f>
        <v/>
      </c>
      <c r="AG2707" s="21">
        <f>DATE(YEAR(G2707),MONTH(G2707),1)</f>
        <v/>
      </c>
    </row>
    <row r="2708">
      <c r="A2708" t="inlineStr">
        <is>
          <t>SPO-01460-2</t>
        </is>
      </c>
      <c r="B2708" t="inlineStr">
        <is>
          <t>SPO-01460</t>
        </is>
      </c>
      <c r="C2708" t="inlineStr">
        <is>
          <t>SUP-06</t>
        </is>
      </c>
      <c r="D2708" t="inlineStr">
        <is>
          <t>MRO</t>
        </is>
      </c>
      <c r="E2708" t="inlineStr">
        <is>
          <t>MRO-02</t>
        </is>
      </c>
      <c r="F2708" s="17" t="n">
        <v>45970</v>
      </c>
      <c r="G2708" s="17" t="n">
        <v>45978</v>
      </c>
      <c r="H2708" s="18" t="n">
        <v>67</v>
      </c>
      <c r="I2708" s="19" t="n">
        <v>41.27</v>
      </c>
      <c r="J2708" s="19" t="n">
        <v>41</v>
      </c>
      <c r="K2708" s="20" t="n">
        <v>0</v>
      </c>
      <c r="L2708" s="20" t="n">
        <v>0</v>
      </c>
      <c r="M2708" s="18" t="n">
        <v>67</v>
      </c>
      <c r="N2708" s="18" t="n">
        <v>67</v>
      </c>
      <c r="O2708" s="18" t="n">
        <v>0</v>
      </c>
      <c r="P2708" s="17" t="n">
        <v>45977</v>
      </c>
      <c r="Q2708" s="17" t="n">
        <v>45977</v>
      </c>
      <c r="R2708" s="17" t="n">
        <v>45977</v>
      </c>
      <c r="S2708" s="19">
        <f>H2708*I2708</f>
        <v/>
      </c>
      <c r="T2708" s="19">
        <f>H2708*J2708</f>
        <v/>
      </c>
      <c r="U2708">
        <f>IF(AND(K2708=0,G2708&lt;=Assumptions!$C$6),1,0)</f>
        <v/>
      </c>
      <c r="V2708">
        <f>IF(U2708=1,IF(M2708&gt;0,IF(P2708&lt;=G2708+Assumptions!$C$7,1,0),0),0)</f>
        <v/>
      </c>
      <c r="W2708">
        <f>IF(AND(U2708=1,M2708&gt;=H2708*(1-Assumptions!$C$8)),1,0)</f>
        <v/>
      </c>
      <c r="X2708">
        <f>IF(AND(U2708=1,N2708&gt;=H2708*(1-Assumptions!$C$8)),1,0)</f>
        <v/>
      </c>
      <c r="Y2708">
        <f>IF(ISNUMBER(Q2708),1,0)</f>
        <v/>
      </c>
      <c r="Z2708">
        <f>IF(AND(K2708=0,L2708=0,Y2708=0),1,0)</f>
        <v/>
      </c>
      <c r="AA2708">
        <f>IF(AND(Z2708=1,G2708&lt;Assumptions!$C$6),1,0)</f>
        <v/>
      </c>
      <c r="AB2708">
        <f>IF(U2708=0,"",IF(Y2708=1,MAX(0,Q2708-G2708),IF(L2708=1,MAX(0,R2708-G2708),MAX(0,Assumptions!$C$6-G2708))))</f>
        <v/>
      </c>
      <c r="AC2708">
        <f>IF(Y2708=1,Q2708-F2708,"")</f>
        <v/>
      </c>
      <c r="AD2708">
        <f>IF(Y2708=1,AC2708^2,"")</f>
        <v/>
      </c>
      <c r="AE2708" s="19">
        <f>IF(Z2708=1,(H2708-M2708)*I2708,0)</f>
        <v/>
      </c>
      <c r="AF2708">
        <f>IF(G2708&lt;EDATE(Assumptions!$C$6,-12)+1,"prior_12m","last_12m")</f>
        <v/>
      </c>
      <c r="AG2708" s="21">
        <f>DATE(YEAR(G2708),MONTH(G2708),1)</f>
        <v/>
      </c>
    </row>
    <row r="2709">
      <c r="A2709" t="inlineStr">
        <is>
          <t>SPO-01461-1</t>
        </is>
      </c>
      <c r="B2709" t="inlineStr">
        <is>
          <t>SPO-01461</t>
        </is>
      </c>
      <c r="C2709" t="inlineStr">
        <is>
          <t>SUP-01</t>
        </is>
      </c>
      <c r="D2709" t="inlineStr">
        <is>
          <t>ELEC</t>
        </is>
      </c>
      <c r="E2709" t="inlineStr">
        <is>
          <t>ELEC-05</t>
        </is>
      </c>
      <c r="F2709" s="17" t="n">
        <v>45970</v>
      </c>
      <c r="G2709" s="17" t="n">
        <v>45988</v>
      </c>
      <c r="H2709" s="18" t="n">
        <v>599</v>
      </c>
      <c r="I2709" s="19" t="n">
        <v>11.44</v>
      </c>
      <c r="J2709" s="19" t="n">
        <v>11.5</v>
      </c>
      <c r="K2709" s="20" t="n">
        <v>0</v>
      </c>
      <c r="L2709" s="20" t="n">
        <v>0</v>
      </c>
      <c r="M2709" s="18" t="n">
        <v>599</v>
      </c>
      <c r="N2709" s="18" t="n">
        <v>0</v>
      </c>
      <c r="O2709" s="18" t="n">
        <v>0</v>
      </c>
      <c r="P2709" s="17" t="n">
        <v>45990</v>
      </c>
      <c r="Q2709" s="17" t="n">
        <v>45990</v>
      </c>
      <c r="R2709" s="17" t="n">
        <v>45990</v>
      </c>
      <c r="S2709" s="19">
        <f>H2709*I2709</f>
        <v/>
      </c>
      <c r="T2709" s="19">
        <f>H2709*J2709</f>
        <v/>
      </c>
      <c r="U2709">
        <f>IF(AND(K2709=0,G2709&lt;=Assumptions!$C$6),1,0)</f>
        <v/>
      </c>
      <c r="V2709">
        <f>IF(U2709=1,IF(M2709&gt;0,IF(P2709&lt;=G2709+Assumptions!$C$7,1,0),0),0)</f>
        <v/>
      </c>
      <c r="W2709">
        <f>IF(AND(U2709=1,M2709&gt;=H2709*(1-Assumptions!$C$8)),1,0)</f>
        <v/>
      </c>
      <c r="X2709">
        <f>IF(AND(U2709=1,N2709&gt;=H2709*(1-Assumptions!$C$8)),1,0)</f>
        <v/>
      </c>
      <c r="Y2709">
        <f>IF(ISNUMBER(Q2709),1,0)</f>
        <v/>
      </c>
      <c r="Z2709">
        <f>IF(AND(K2709=0,L2709=0,Y2709=0),1,0)</f>
        <v/>
      </c>
      <c r="AA2709">
        <f>IF(AND(Z2709=1,G2709&lt;Assumptions!$C$6),1,0)</f>
        <v/>
      </c>
      <c r="AB2709">
        <f>IF(U2709=0,"",IF(Y2709=1,MAX(0,Q2709-G2709),IF(L2709=1,MAX(0,R2709-G2709),MAX(0,Assumptions!$C$6-G2709))))</f>
        <v/>
      </c>
      <c r="AC2709">
        <f>IF(Y2709=1,Q2709-F2709,"")</f>
        <v/>
      </c>
      <c r="AD2709">
        <f>IF(Y2709=1,AC2709^2,"")</f>
        <v/>
      </c>
      <c r="AE2709" s="19">
        <f>IF(Z2709=1,(H2709-M2709)*I2709,0)</f>
        <v/>
      </c>
      <c r="AF2709">
        <f>IF(G2709&lt;EDATE(Assumptions!$C$6,-12)+1,"prior_12m","last_12m")</f>
        <v/>
      </c>
      <c r="AG2709" s="21">
        <f>DATE(YEAR(G2709),MONTH(G2709),1)</f>
        <v/>
      </c>
    </row>
    <row r="2710">
      <c r="A2710" t="inlineStr">
        <is>
          <t>SPO-01462-1</t>
        </is>
      </c>
      <c r="B2710" t="inlineStr">
        <is>
          <t>SPO-01462</t>
        </is>
      </c>
      <c r="C2710" t="inlineStr">
        <is>
          <t>SUP-08</t>
        </is>
      </c>
      <c r="D2710" t="inlineStr">
        <is>
          <t>PPE</t>
        </is>
      </c>
      <c r="E2710" t="inlineStr">
        <is>
          <t>PPE-06</t>
        </is>
      </c>
      <c r="F2710" s="17" t="n">
        <v>45970</v>
      </c>
      <c r="G2710" s="17" t="n">
        <v>45981</v>
      </c>
      <c r="H2710" s="18" t="n">
        <v>14</v>
      </c>
      <c r="I2710" s="19" t="n">
        <v>114.39</v>
      </c>
      <c r="J2710" s="19" t="n">
        <v>115</v>
      </c>
      <c r="K2710" s="20" t="n">
        <v>0</v>
      </c>
      <c r="L2710" s="20" t="n">
        <v>0</v>
      </c>
      <c r="M2710" s="18" t="n">
        <v>14</v>
      </c>
      <c r="N2710" s="18" t="n">
        <v>14</v>
      </c>
      <c r="O2710" s="18" t="n">
        <v>0</v>
      </c>
      <c r="P2710" s="17" t="n">
        <v>45978</v>
      </c>
      <c r="Q2710" s="17" t="n">
        <v>45978</v>
      </c>
      <c r="R2710" s="17" t="n">
        <v>45978</v>
      </c>
      <c r="S2710" s="19">
        <f>H2710*I2710</f>
        <v/>
      </c>
      <c r="T2710" s="19">
        <f>H2710*J2710</f>
        <v/>
      </c>
      <c r="U2710">
        <f>IF(AND(K2710=0,G2710&lt;=Assumptions!$C$6),1,0)</f>
        <v/>
      </c>
      <c r="V2710">
        <f>IF(U2710=1,IF(M2710&gt;0,IF(P2710&lt;=G2710+Assumptions!$C$7,1,0),0),0)</f>
        <v/>
      </c>
      <c r="W2710">
        <f>IF(AND(U2710=1,M2710&gt;=H2710*(1-Assumptions!$C$8)),1,0)</f>
        <v/>
      </c>
      <c r="X2710">
        <f>IF(AND(U2710=1,N2710&gt;=H2710*(1-Assumptions!$C$8)),1,0)</f>
        <v/>
      </c>
      <c r="Y2710">
        <f>IF(ISNUMBER(Q2710),1,0)</f>
        <v/>
      </c>
      <c r="Z2710">
        <f>IF(AND(K2710=0,L2710=0,Y2710=0),1,0)</f>
        <v/>
      </c>
      <c r="AA2710">
        <f>IF(AND(Z2710=1,G2710&lt;Assumptions!$C$6),1,0)</f>
        <v/>
      </c>
      <c r="AB2710">
        <f>IF(U2710=0,"",IF(Y2710=1,MAX(0,Q2710-G2710),IF(L2710=1,MAX(0,R2710-G2710),MAX(0,Assumptions!$C$6-G2710))))</f>
        <v/>
      </c>
      <c r="AC2710">
        <f>IF(Y2710=1,Q2710-F2710,"")</f>
        <v/>
      </c>
      <c r="AD2710">
        <f>IF(Y2710=1,AC2710^2,"")</f>
        <v/>
      </c>
      <c r="AE2710" s="19">
        <f>IF(Z2710=1,(H2710-M2710)*I2710,0)</f>
        <v/>
      </c>
      <c r="AF2710">
        <f>IF(G2710&lt;EDATE(Assumptions!$C$6,-12)+1,"prior_12m","last_12m")</f>
        <v/>
      </c>
      <c r="AG2710" s="21">
        <f>DATE(YEAR(G2710),MONTH(G2710),1)</f>
        <v/>
      </c>
    </row>
    <row r="2711">
      <c r="A2711" t="inlineStr">
        <is>
          <t>SPO-01462-2</t>
        </is>
      </c>
      <c r="B2711" t="inlineStr">
        <is>
          <t>SPO-01462</t>
        </is>
      </c>
      <c r="C2711" t="inlineStr">
        <is>
          <t>SUP-08</t>
        </is>
      </c>
      <c r="D2711" t="inlineStr">
        <is>
          <t>PPE</t>
        </is>
      </c>
      <c r="E2711" t="inlineStr">
        <is>
          <t>PPE-01</t>
        </is>
      </c>
      <c r="F2711" s="17" t="n">
        <v>45970</v>
      </c>
      <c r="G2711" s="17" t="n">
        <v>45981</v>
      </c>
      <c r="H2711" s="18" t="n">
        <v>140</v>
      </c>
      <c r="I2711" s="19" t="n">
        <v>4.7</v>
      </c>
      <c r="J2711" s="19" t="n">
        <v>4.8</v>
      </c>
      <c r="K2711" s="20" t="n">
        <v>0</v>
      </c>
      <c r="L2711" s="20" t="n">
        <v>0</v>
      </c>
      <c r="M2711" s="18" t="n">
        <v>140</v>
      </c>
      <c r="N2711" s="18" t="n">
        <v>140</v>
      </c>
      <c r="O2711" s="18" t="n">
        <v>0</v>
      </c>
      <c r="P2711" s="17" t="n">
        <v>45977</v>
      </c>
      <c r="Q2711" s="17" t="n">
        <v>45977</v>
      </c>
      <c r="R2711" s="17" t="n">
        <v>45977</v>
      </c>
      <c r="S2711" s="19">
        <f>H2711*I2711</f>
        <v/>
      </c>
      <c r="T2711" s="19">
        <f>H2711*J2711</f>
        <v/>
      </c>
      <c r="U2711">
        <f>IF(AND(K2711=0,G2711&lt;=Assumptions!$C$6),1,0)</f>
        <v/>
      </c>
      <c r="V2711">
        <f>IF(U2711=1,IF(M2711&gt;0,IF(P2711&lt;=G2711+Assumptions!$C$7,1,0),0),0)</f>
        <v/>
      </c>
      <c r="W2711">
        <f>IF(AND(U2711=1,M2711&gt;=H2711*(1-Assumptions!$C$8)),1,0)</f>
        <v/>
      </c>
      <c r="X2711">
        <f>IF(AND(U2711=1,N2711&gt;=H2711*(1-Assumptions!$C$8)),1,0)</f>
        <v/>
      </c>
      <c r="Y2711">
        <f>IF(ISNUMBER(Q2711),1,0)</f>
        <v/>
      </c>
      <c r="Z2711">
        <f>IF(AND(K2711=0,L2711=0,Y2711=0),1,0)</f>
        <v/>
      </c>
      <c r="AA2711">
        <f>IF(AND(Z2711=1,G2711&lt;Assumptions!$C$6),1,0)</f>
        <v/>
      </c>
      <c r="AB2711">
        <f>IF(U2711=0,"",IF(Y2711=1,MAX(0,Q2711-G2711),IF(L2711=1,MAX(0,R2711-G2711),MAX(0,Assumptions!$C$6-G2711))))</f>
        <v/>
      </c>
      <c r="AC2711">
        <f>IF(Y2711=1,Q2711-F2711,"")</f>
        <v/>
      </c>
      <c r="AD2711">
        <f>IF(Y2711=1,AC2711^2,"")</f>
        <v/>
      </c>
      <c r="AE2711" s="19">
        <f>IF(Z2711=1,(H2711-M2711)*I2711,0)</f>
        <v/>
      </c>
      <c r="AF2711">
        <f>IF(G2711&lt;EDATE(Assumptions!$C$6,-12)+1,"prior_12m","last_12m")</f>
        <v/>
      </c>
      <c r="AG2711" s="21">
        <f>DATE(YEAR(G2711),MONTH(G2711),1)</f>
        <v/>
      </c>
    </row>
    <row r="2712">
      <c r="A2712" t="inlineStr">
        <is>
          <t>SPO-01462-3</t>
        </is>
      </c>
      <c r="B2712" t="inlineStr">
        <is>
          <t>SPO-01462</t>
        </is>
      </c>
      <c r="C2712" t="inlineStr">
        <is>
          <t>SUP-08</t>
        </is>
      </c>
      <c r="D2712" t="inlineStr">
        <is>
          <t>PPE</t>
        </is>
      </c>
      <c r="E2712" t="inlineStr">
        <is>
          <t>PPE-03</t>
        </is>
      </c>
      <c r="F2712" s="17" t="n">
        <v>45970</v>
      </c>
      <c r="G2712" s="17" t="n">
        <v>45981</v>
      </c>
      <c r="H2712" s="18" t="n">
        <v>48</v>
      </c>
      <c r="I2712" s="19" t="n">
        <v>21.51</v>
      </c>
      <c r="J2712" s="19" t="n">
        <v>21</v>
      </c>
      <c r="K2712" s="20" t="n">
        <v>0</v>
      </c>
      <c r="L2712" s="20" t="n">
        <v>0</v>
      </c>
      <c r="M2712" s="18" t="n">
        <v>48</v>
      </c>
      <c r="N2712" s="18" t="n">
        <v>48</v>
      </c>
      <c r="O2712" s="18" t="n">
        <v>0</v>
      </c>
      <c r="P2712" s="17" t="n">
        <v>45977</v>
      </c>
      <c r="Q2712" s="17" t="n">
        <v>45977</v>
      </c>
      <c r="R2712" s="17" t="n">
        <v>45977</v>
      </c>
      <c r="S2712" s="19">
        <f>H2712*I2712</f>
        <v/>
      </c>
      <c r="T2712" s="19">
        <f>H2712*J2712</f>
        <v/>
      </c>
      <c r="U2712">
        <f>IF(AND(K2712=0,G2712&lt;=Assumptions!$C$6),1,0)</f>
        <v/>
      </c>
      <c r="V2712">
        <f>IF(U2712=1,IF(M2712&gt;0,IF(P2712&lt;=G2712+Assumptions!$C$7,1,0),0),0)</f>
        <v/>
      </c>
      <c r="W2712">
        <f>IF(AND(U2712=1,M2712&gt;=H2712*(1-Assumptions!$C$8)),1,0)</f>
        <v/>
      </c>
      <c r="X2712">
        <f>IF(AND(U2712=1,N2712&gt;=H2712*(1-Assumptions!$C$8)),1,0)</f>
        <v/>
      </c>
      <c r="Y2712">
        <f>IF(ISNUMBER(Q2712),1,0)</f>
        <v/>
      </c>
      <c r="Z2712">
        <f>IF(AND(K2712=0,L2712=0,Y2712=0),1,0)</f>
        <v/>
      </c>
      <c r="AA2712">
        <f>IF(AND(Z2712=1,G2712&lt;Assumptions!$C$6),1,0)</f>
        <v/>
      </c>
      <c r="AB2712">
        <f>IF(U2712=0,"",IF(Y2712=1,MAX(0,Q2712-G2712),IF(L2712=1,MAX(0,R2712-G2712),MAX(0,Assumptions!$C$6-G2712))))</f>
        <v/>
      </c>
      <c r="AC2712">
        <f>IF(Y2712=1,Q2712-F2712,"")</f>
        <v/>
      </c>
      <c r="AD2712">
        <f>IF(Y2712=1,AC2712^2,"")</f>
        <v/>
      </c>
      <c r="AE2712" s="19">
        <f>IF(Z2712=1,(H2712-M2712)*I2712,0)</f>
        <v/>
      </c>
      <c r="AF2712">
        <f>IF(G2712&lt;EDATE(Assumptions!$C$6,-12)+1,"prior_12m","last_12m")</f>
        <v/>
      </c>
      <c r="AG2712" s="21">
        <f>DATE(YEAR(G2712),MONTH(G2712),1)</f>
        <v/>
      </c>
    </row>
    <row r="2713">
      <c r="A2713" t="inlineStr">
        <is>
          <t>SPO-01463-1</t>
        </is>
      </c>
      <c r="B2713" t="inlineStr">
        <is>
          <t>SPO-01463</t>
        </is>
      </c>
      <c r="C2713" t="inlineStr">
        <is>
          <t>SUP-02</t>
        </is>
      </c>
      <c r="D2713" t="inlineStr">
        <is>
          <t>ELEC</t>
        </is>
      </c>
      <c r="E2713" t="inlineStr">
        <is>
          <t>ELEC-01</t>
        </is>
      </c>
      <c r="F2713" s="17" t="n">
        <v>45971</v>
      </c>
      <c r="G2713" s="17" t="n">
        <v>45987</v>
      </c>
      <c r="H2713" s="18" t="n">
        <v>55</v>
      </c>
      <c r="I2713" s="19" t="n">
        <v>36.53</v>
      </c>
      <c r="J2713" s="19" t="n">
        <v>38</v>
      </c>
      <c r="K2713" s="20" t="n">
        <v>0</v>
      </c>
      <c r="L2713" s="20" t="n">
        <v>0</v>
      </c>
      <c r="M2713" s="18" t="n">
        <v>55</v>
      </c>
      <c r="N2713" s="18" t="n">
        <v>55</v>
      </c>
      <c r="O2713" s="18" t="n">
        <v>0</v>
      </c>
      <c r="P2713" s="17" t="n">
        <v>45983</v>
      </c>
      <c r="Q2713" s="17" t="n">
        <v>45983</v>
      </c>
      <c r="R2713" s="17" t="n">
        <v>45983</v>
      </c>
      <c r="S2713" s="19">
        <f>H2713*I2713</f>
        <v/>
      </c>
      <c r="T2713" s="19">
        <f>H2713*J2713</f>
        <v/>
      </c>
      <c r="U2713">
        <f>IF(AND(K2713=0,G2713&lt;=Assumptions!$C$6),1,0)</f>
        <v/>
      </c>
      <c r="V2713">
        <f>IF(U2713=1,IF(M2713&gt;0,IF(P2713&lt;=G2713+Assumptions!$C$7,1,0),0),0)</f>
        <v/>
      </c>
      <c r="W2713">
        <f>IF(AND(U2713=1,M2713&gt;=H2713*(1-Assumptions!$C$8)),1,0)</f>
        <v/>
      </c>
      <c r="X2713">
        <f>IF(AND(U2713=1,N2713&gt;=H2713*(1-Assumptions!$C$8)),1,0)</f>
        <v/>
      </c>
      <c r="Y2713">
        <f>IF(ISNUMBER(Q2713),1,0)</f>
        <v/>
      </c>
      <c r="Z2713">
        <f>IF(AND(K2713=0,L2713=0,Y2713=0),1,0)</f>
        <v/>
      </c>
      <c r="AA2713">
        <f>IF(AND(Z2713=1,G2713&lt;Assumptions!$C$6),1,0)</f>
        <v/>
      </c>
      <c r="AB2713">
        <f>IF(U2713=0,"",IF(Y2713=1,MAX(0,Q2713-G2713),IF(L2713=1,MAX(0,R2713-G2713),MAX(0,Assumptions!$C$6-G2713))))</f>
        <v/>
      </c>
      <c r="AC2713">
        <f>IF(Y2713=1,Q2713-F2713,"")</f>
        <v/>
      </c>
      <c r="AD2713">
        <f>IF(Y2713=1,AC2713^2,"")</f>
        <v/>
      </c>
      <c r="AE2713" s="19">
        <f>IF(Z2713=1,(H2713-M2713)*I2713,0)</f>
        <v/>
      </c>
      <c r="AF2713">
        <f>IF(G2713&lt;EDATE(Assumptions!$C$6,-12)+1,"prior_12m","last_12m")</f>
        <v/>
      </c>
      <c r="AG2713" s="21">
        <f>DATE(YEAR(G2713),MONTH(G2713),1)</f>
        <v/>
      </c>
    </row>
    <row r="2714">
      <c r="A2714" t="inlineStr">
        <is>
          <t>SPO-01463-2</t>
        </is>
      </c>
      <c r="B2714" t="inlineStr">
        <is>
          <t>SPO-01463</t>
        </is>
      </c>
      <c r="C2714" t="inlineStr">
        <is>
          <t>SUP-02</t>
        </is>
      </c>
      <c r="D2714" t="inlineStr">
        <is>
          <t>ELEC</t>
        </is>
      </c>
      <c r="E2714" t="inlineStr">
        <is>
          <t>ELEC-02</t>
        </is>
      </c>
      <c r="F2714" s="17" t="n">
        <v>45971</v>
      </c>
      <c r="G2714" s="17" t="n">
        <v>45987</v>
      </c>
      <c r="H2714" s="18" t="n">
        <v>533</v>
      </c>
      <c r="I2714" s="19" t="n">
        <v>4.15</v>
      </c>
      <c r="J2714" s="19" t="n">
        <v>4.2</v>
      </c>
      <c r="K2714" s="20" t="n">
        <v>0</v>
      </c>
      <c r="L2714" s="20" t="n">
        <v>0</v>
      </c>
      <c r="M2714" s="18" t="n">
        <v>533</v>
      </c>
      <c r="N2714" s="18" t="n">
        <v>533</v>
      </c>
      <c r="O2714" s="18" t="n">
        <v>0</v>
      </c>
      <c r="P2714" s="17" t="n">
        <v>45984</v>
      </c>
      <c r="Q2714" s="17" t="n">
        <v>45984</v>
      </c>
      <c r="R2714" s="17" t="n">
        <v>45984</v>
      </c>
      <c r="S2714" s="19">
        <f>H2714*I2714</f>
        <v/>
      </c>
      <c r="T2714" s="19">
        <f>H2714*J2714</f>
        <v/>
      </c>
      <c r="U2714">
        <f>IF(AND(K2714=0,G2714&lt;=Assumptions!$C$6),1,0)</f>
        <v/>
      </c>
      <c r="V2714">
        <f>IF(U2714=1,IF(M2714&gt;0,IF(P2714&lt;=G2714+Assumptions!$C$7,1,0),0),0)</f>
        <v/>
      </c>
      <c r="W2714">
        <f>IF(AND(U2714=1,M2714&gt;=H2714*(1-Assumptions!$C$8)),1,0)</f>
        <v/>
      </c>
      <c r="X2714">
        <f>IF(AND(U2714=1,N2714&gt;=H2714*(1-Assumptions!$C$8)),1,0)</f>
        <v/>
      </c>
      <c r="Y2714">
        <f>IF(ISNUMBER(Q2714),1,0)</f>
        <v/>
      </c>
      <c r="Z2714">
        <f>IF(AND(K2714=0,L2714=0,Y2714=0),1,0)</f>
        <v/>
      </c>
      <c r="AA2714">
        <f>IF(AND(Z2714=1,G2714&lt;Assumptions!$C$6),1,0)</f>
        <v/>
      </c>
      <c r="AB2714">
        <f>IF(U2714=0,"",IF(Y2714=1,MAX(0,Q2714-G2714),IF(L2714=1,MAX(0,R2714-G2714),MAX(0,Assumptions!$C$6-G2714))))</f>
        <v/>
      </c>
      <c r="AC2714">
        <f>IF(Y2714=1,Q2714-F2714,"")</f>
        <v/>
      </c>
      <c r="AD2714">
        <f>IF(Y2714=1,AC2714^2,"")</f>
        <v/>
      </c>
      <c r="AE2714" s="19">
        <f>IF(Z2714=1,(H2714-M2714)*I2714,0)</f>
        <v/>
      </c>
      <c r="AF2714">
        <f>IF(G2714&lt;EDATE(Assumptions!$C$6,-12)+1,"prior_12m","last_12m")</f>
        <v/>
      </c>
      <c r="AG2714" s="21">
        <f>DATE(YEAR(G2714),MONTH(G2714),1)</f>
        <v/>
      </c>
    </row>
    <row r="2715">
      <c r="A2715" t="inlineStr">
        <is>
          <t>SPO-01464-1</t>
        </is>
      </c>
      <c r="B2715" t="inlineStr">
        <is>
          <t>SPO-01464</t>
        </is>
      </c>
      <c r="C2715" t="inlineStr">
        <is>
          <t>SUP-10</t>
        </is>
      </c>
      <c r="D2715" t="inlineStr">
        <is>
          <t>PPE</t>
        </is>
      </c>
      <c r="E2715" t="inlineStr">
        <is>
          <t>PPE-02</t>
        </is>
      </c>
      <c r="F2715" s="17" t="n">
        <v>45971</v>
      </c>
      <c r="G2715" s="17" t="n">
        <v>45984</v>
      </c>
      <c r="H2715" s="18" t="n">
        <v>83</v>
      </c>
      <c r="I2715" s="19" t="n">
        <v>11.7</v>
      </c>
      <c r="J2715" s="19" t="n">
        <v>12.5</v>
      </c>
      <c r="K2715" s="20" t="n">
        <v>0</v>
      </c>
      <c r="L2715" s="20" t="n">
        <v>0</v>
      </c>
      <c r="M2715" s="18" t="n">
        <v>83</v>
      </c>
      <c r="N2715" s="18" t="n">
        <v>83</v>
      </c>
      <c r="O2715" s="18" t="n">
        <v>19</v>
      </c>
      <c r="P2715" s="17" t="n">
        <v>45981</v>
      </c>
      <c r="Q2715" s="17" t="n">
        <v>45981</v>
      </c>
      <c r="R2715" s="17" t="n">
        <v>45981</v>
      </c>
      <c r="S2715" s="19">
        <f>H2715*I2715</f>
        <v/>
      </c>
      <c r="T2715" s="19">
        <f>H2715*J2715</f>
        <v/>
      </c>
      <c r="U2715">
        <f>IF(AND(K2715=0,G2715&lt;=Assumptions!$C$6),1,0)</f>
        <v/>
      </c>
      <c r="V2715">
        <f>IF(U2715=1,IF(M2715&gt;0,IF(P2715&lt;=G2715+Assumptions!$C$7,1,0),0),0)</f>
        <v/>
      </c>
      <c r="W2715">
        <f>IF(AND(U2715=1,M2715&gt;=H2715*(1-Assumptions!$C$8)),1,0)</f>
        <v/>
      </c>
      <c r="X2715">
        <f>IF(AND(U2715=1,N2715&gt;=H2715*(1-Assumptions!$C$8)),1,0)</f>
        <v/>
      </c>
      <c r="Y2715">
        <f>IF(ISNUMBER(Q2715),1,0)</f>
        <v/>
      </c>
      <c r="Z2715">
        <f>IF(AND(K2715=0,L2715=0,Y2715=0),1,0)</f>
        <v/>
      </c>
      <c r="AA2715">
        <f>IF(AND(Z2715=1,G2715&lt;Assumptions!$C$6),1,0)</f>
        <v/>
      </c>
      <c r="AB2715">
        <f>IF(U2715=0,"",IF(Y2715=1,MAX(0,Q2715-G2715),IF(L2715=1,MAX(0,R2715-G2715),MAX(0,Assumptions!$C$6-G2715))))</f>
        <v/>
      </c>
      <c r="AC2715">
        <f>IF(Y2715=1,Q2715-F2715,"")</f>
        <v/>
      </c>
      <c r="AD2715">
        <f>IF(Y2715=1,AC2715^2,"")</f>
        <v/>
      </c>
      <c r="AE2715" s="19">
        <f>IF(Z2715=1,(H2715-M2715)*I2715,0)</f>
        <v/>
      </c>
      <c r="AF2715">
        <f>IF(G2715&lt;EDATE(Assumptions!$C$6,-12)+1,"prior_12m","last_12m")</f>
        <v/>
      </c>
      <c r="AG2715" s="21">
        <f>DATE(YEAR(G2715),MONTH(G2715),1)</f>
        <v/>
      </c>
    </row>
    <row r="2716">
      <c r="A2716" t="inlineStr">
        <is>
          <t>SPO-01465-1</t>
        </is>
      </c>
      <c r="B2716" t="inlineStr">
        <is>
          <t>SPO-01465</t>
        </is>
      </c>
      <c r="C2716" t="inlineStr">
        <is>
          <t>SUP-10</t>
        </is>
      </c>
      <c r="D2716" t="inlineStr">
        <is>
          <t>PPE</t>
        </is>
      </c>
      <c r="E2716" t="inlineStr">
        <is>
          <t>PPE-01</t>
        </is>
      </c>
      <c r="F2716" s="17" t="n">
        <v>45971</v>
      </c>
      <c r="G2716" s="17" t="n">
        <v>45984</v>
      </c>
      <c r="H2716" s="18" t="n">
        <v>395</v>
      </c>
      <c r="I2716" s="19" t="n">
        <v>4.69</v>
      </c>
      <c r="J2716" s="19" t="n">
        <v>4.8</v>
      </c>
      <c r="K2716" s="20" t="n">
        <v>0</v>
      </c>
      <c r="L2716" s="20" t="n">
        <v>0</v>
      </c>
      <c r="M2716" s="18" t="n">
        <v>395</v>
      </c>
      <c r="N2716" s="18" t="n">
        <v>395</v>
      </c>
      <c r="O2716" s="18" t="n">
        <v>0</v>
      </c>
      <c r="P2716" s="17" t="n">
        <v>45983</v>
      </c>
      <c r="Q2716" s="17" t="n">
        <v>45983</v>
      </c>
      <c r="R2716" s="17" t="n">
        <v>45983</v>
      </c>
      <c r="S2716" s="19">
        <f>H2716*I2716</f>
        <v/>
      </c>
      <c r="T2716" s="19">
        <f>H2716*J2716</f>
        <v/>
      </c>
      <c r="U2716">
        <f>IF(AND(K2716=0,G2716&lt;=Assumptions!$C$6),1,0)</f>
        <v/>
      </c>
      <c r="V2716">
        <f>IF(U2716=1,IF(M2716&gt;0,IF(P2716&lt;=G2716+Assumptions!$C$7,1,0),0),0)</f>
        <v/>
      </c>
      <c r="W2716">
        <f>IF(AND(U2716=1,M2716&gt;=H2716*(1-Assumptions!$C$8)),1,0)</f>
        <v/>
      </c>
      <c r="X2716">
        <f>IF(AND(U2716=1,N2716&gt;=H2716*(1-Assumptions!$C$8)),1,0)</f>
        <v/>
      </c>
      <c r="Y2716">
        <f>IF(ISNUMBER(Q2716),1,0)</f>
        <v/>
      </c>
      <c r="Z2716">
        <f>IF(AND(K2716=0,L2716=0,Y2716=0),1,0)</f>
        <v/>
      </c>
      <c r="AA2716">
        <f>IF(AND(Z2716=1,G2716&lt;Assumptions!$C$6),1,0)</f>
        <v/>
      </c>
      <c r="AB2716">
        <f>IF(U2716=0,"",IF(Y2716=1,MAX(0,Q2716-G2716),IF(L2716=1,MAX(0,R2716-G2716),MAX(0,Assumptions!$C$6-G2716))))</f>
        <v/>
      </c>
      <c r="AC2716">
        <f>IF(Y2716=1,Q2716-F2716,"")</f>
        <v/>
      </c>
      <c r="AD2716">
        <f>IF(Y2716=1,AC2716^2,"")</f>
        <v/>
      </c>
      <c r="AE2716" s="19">
        <f>IF(Z2716=1,(H2716-M2716)*I2716,0)</f>
        <v/>
      </c>
      <c r="AF2716">
        <f>IF(G2716&lt;EDATE(Assumptions!$C$6,-12)+1,"prior_12m","last_12m")</f>
        <v/>
      </c>
      <c r="AG2716" s="21">
        <f>DATE(YEAR(G2716),MONTH(G2716),1)</f>
        <v/>
      </c>
    </row>
    <row r="2717">
      <c r="A2717" t="inlineStr">
        <is>
          <t>SPO-01465-2</t>
        </is>
      </c>
      <c r="B2717" t="inlineStr">
        <is>
          <t>SPO-01465</t>
        </is>
      </c>
      <c r="C2717" t="inlineStr">
        <is>
          <t>SUP-10</t>
        </is>
      </c>
      <c r="D2717" t="inlineStr">
        <is>
          <t>PPE</t>
        </is>
      </c>
      <c r="E2717" t="inlineStr">
        <is>
          <t>PPE-08</t>
        </is>
      </c>
      <c r="F2717" s="17" t="n">
        <v>45971</v>
      </c>
      <c r="G2717" s="17" t="n">
        <v>45984</v>
      </c>
      <c r="H2717" s="18" t="n">
        <v>47</v>
      </c>
      <c r="I2717" s="19" t="n">
        <v>63.54</v>
      </c>
      <c r="J2717" s="19" t="n">
        <v>64</v>
      </c>
      <c r="K2717" s="20" t="n">
        <v>0</v>
      </c>
      <c r="L2717" s="20" t="n">
        <v>0</v>
      </c>
      <c r="M2717" s="18" t="n">
        <v>47</v>
      </c>
      <c r="N2717" s="18" t="n">
        <v>47</v>
      </c>
      <c r="O2717" s="18" t="n">
        <v>0</v>
      </c>
      <c r="P2717" s="17" t="n">
        <v>45981</v>
      </c>
      <c r="Q2717" s="17" t="n">
        <v>45981</v>
      </c>
      <c r="R2717" s="17" t="n">
        <v>45981</v>
      </c>
      <c r="S2717" s="19">
        <f>H2717*I2717</f>
        <v/>
      </c>
      <c r="T2717" s="19">
        <f>H2717*J2717</f>
        <v/>
      </c>
      <c r="U2717">
        <f>IF(AND(K2717=0,G2717&lt;=Assumptions!$C$6),1,0)</f>
        <v/>
      </c>
      <c r="V2717">
        <f>IF(U2717=1,IF(M2717&gt;0,IF(P2717&lt;=G2717+Assumptions!$C$7,1,0),0),0)</f>
        <v/>
      </c>
      <c r="W2717">
        <f>IF(AND(U2717=1,M2717&gt;=H2717*(1-Assumptions!$C$8)),1,0)</f>
        <v/>
      </c>
      <c r="X2717">
        <f>IF(AND(U2717=1,N2717&gt;=H2717*(1-Assumptions!$C$8)),1,0)</f>
        <v/>
      </c>
      <c r="Y2717">
        <f>IF(ISNUMBER(Q2717),1,0)</f>
        <v/>
      </c>
      <c r="Z2717">
        <f>IF(AND(K2717=0,L2717=0,Y2717=0),1,0)</f>
        <v/>
      </c>
      <c r="AA2717">
        <f>IF(AND(Z2717=1,G2717&lt;Assumptions!$C$6),1,0)</f>
        <v/>
      </c>
      <c r="AB2717">
        <f>IF(U2717=0,"",IF(Y2717=1,MAX(0,Q2717-G2717),IF(L2717=1,MAX(0,R2717-G2717),MAX(0,Assumptions!$C$6-G2717))))</f>
        <v/>
      </c>
      <c r="AC2717">
        <f>IF(Y2717=1,Q2717-F2717,"")</f>
        <v/>
      </c>
      <c r="AD2717">
        <f>IF(Y2717=1,AC2717^2,"")</f>
        <v/>
      </c>
      <c r="AE2717" s="19">
        <f>IF(Z2717=1,(H2717-M2717)*I2717,0)</f>
        <v/>
      </c>
      <c r="AF2717">
        <f>IF(G2717&lt;EDATE(Assumptions!$C$6,-12)+1,"prior_12m","last_12m")</f>
        <v/>
      </c>
      <c r="AG2717" s="21">
        <f>DATE(YEAR(G2717),MONTH(G2717),1)</f>
        <v/>
      </c>
    </row>
    <row r="2718">
      <c r="A2718" t="inlineStr">
        <is>
          <t>SPO-01466-1</t>
        </is>
      </c>
      <c r="B2718" t="inlineStr">
        <is>
          <t>SPO-01466</t>
        </is>
      </c>
      <c r="C2718" t="inlineStr">
        <is>
          <t>SUP-09</t>
        </is>
      </c>
      <c r="D2718" t="inlineStr">
        <is>
          <t>CHEM</t>
        </is>
      </c>
      <c r="E2718" t="inlineStr">
        <is>
          <t>CHEM-06</t>
        </is>
      </c>
      <c r="F2718" s="17" t="n">
        <v>45972</v>
      </c>
      <c r="G2718" s="17" t="n">
        <v>45986</v>
      </c>
      <c r="H2718" s="18" t="n">
        <v>2</v>
      </c>
      <c r="I2718" s="19" t="n">
        <v>379.52</v>
      </c>
      <c r="J2718" s="19" t="n">
        <v>380</v>
      </c>
      <c r="K2718" s="20" t="n">
        <v>0</v>
      </c>
      <c r="L2718" s="20" t="n">
        <v>0</v>
      </c>
      <c r="M2718" s="18" t="n">
        <v>2</v>
      </c>
      <c r="N2718" s="18" t="n">
        <v>2</v>
      </c>
      <c r="O2718" s="18" t="n">
        <v>0</v>
      </c>
      <c r="P2718" s="17" t="n">
        <v>45983</v>
      </c>
      <c r="Q2718" s="17" t="n">
        <v>45983</v>
      </c>
      <c r="R2718" s="17" t="n">
        <v>45983</v>
      </c>
      <c r="S2718" s="19">
        <f>H2718*I2718</f>
        <v/>
      </c>
      <c r="T2718" s="19">
        <f>H2718*J2718</f>
        <v/>
      </c>
      <c r="U2718">
        <f>IF(AND(K2718=0,G2718&lt;=Assumptions!$C$6),1,0)</f>
        <v/>
      </c>
      <c r="V2718">
        <f>IF(U2718=1,IF(M2718&gt;0,IF(P2718&lt;=G2718+Assumptions!$C$7,1,0),0),0)</f>
        <v/>
      </c>
      <c r="W2718">
        <f>IF(AND(U2718=1,M2718&gt;=H2718*(1-Assumptions!$C$8)),1,0)</f>
        <v/>
      </c>
      <c r="X2718">
        <f>IF(AND(U2718=1,N2718&gt;=H2718*(1-Assumptions!$C$8)),1,0)</f>
        <v/>
      </c>
      <c r="Y2718">
        <f>IF(ISNUMBER(Q2718),1,0)</f>
        <v/>
      </c>
      <c r="Z2718">
        <f>IF(AND(K2718=0,L2718=0,Y2718=0),1,0)</f>
        <v/>
      </c>
      <c r="AA2718">
        <f>IF(AND(Z2718=1,G2718&lt;Assumptions!$C$6),1,0)</f>
        <v/>
      </c>
      <c r="AB2718">
        <f>IF(U2718=0,"",IF(Y2718=1,MAX(0,Q2718-G2718),IF(L2718=1,MAX(0,R2718-G2718),MAX(0,Assumptions!$C$6-G2718))))</f>
        <v/>
      </c>
      <c r="AC2718">
        <f>IF(Y2718=1,Q2718-F2718,"")</f>
        <v/>
      </c>
      <c r="AD2718">
        <f>IF(Y2718=1,AC2718^2,"")</f>
        <v/>
      </c>
      <c r="AE2718" s="19">
        <f>IF(Z2718=1,(H2718-M2718)*I2718,0)</f>
        <v/>
      </c>
      <c r="AF2718">
        <f>IF(G2718&lt;EDATE(Assumptions!$C$6,-12)+1,"prior_12m","last_12m")</f>
        <v/>
      </c>
      <c r="AG2718" s="21">
        <f>DATE(YEAR(G2718),MONTH(G2718),1)</f>
        <v/>
      </c>
    </row>
    <row r="2719">
      <c r="A2719" t="inlineStr">
        <is>
          <t>SPO-01466-2</t>
        </is>
      </c>
      <c r="B2719" t="inlineStr">
        <is>
          <t>SPO-01466</t>
        </is>
      </c>
      <c r="C2719" t="inlineStr">
        <is>
          <t>SUP-09</t>
        </is>
      </c>
      <c r="D2719" t="inlineStr">
        <is>
          <t>CHEM</t>
        </is>
      </c>
      <c r="E2719" t="inlineStr">
        <is>
          <t>CHEM-01</t>
        </is>
      </c>
      <c r="F2719" s="17" t="n">
        <v>45972</v>
      </c>
      <c r="G2719" s="17" t="n">
        <v>45986</v>
      </c>
      <c r="H2719" s="18" t="n">
        <v>5</v>
      </c>
      <c r="I2719" s="19" t="n">
        <v>640.7</v>
      </c>
      <c r="J2719" s="19" t="n">
        <v>640</v>
      </c>
      <c r="K2719" s="20" t="n">
        <v>0</v>
      </c>
      <c r="L2719" s="20" t="n">
        <v>0</v>
      </c>
      <c r="M2719" s="18" t="n">
        <v>5</v>
      </c>
      <c r="N2719" s="18" t="n">
        <v>5</v>
      </c>
      <c r="O2719" s="18" t="n">
        <v>0</v>
      </c>
      <c r="P2719" s="17" t="n">
        <v>45983</v>
      </c>
      <c r="Q2719" s="17" t="n">
        <v>45983</v>
      </c>
      <c r="R2719" s="17" t="n">
        <v>45983</v>
      </c>
      <c r="S2719" s="19">
        <f>H2719*I2719</f>
        <v/>
      </c>
      <c r="T2719" s="19">
        <f>H2719*J2719</f>
        <v/>
      </c>
      <c r="U2719">
        <f>IF(AND(K2719=0,G2719&lt;=Assumptions!$C$6),1,0)</f>
        <v/>
      </c>
      <c r="V2719">
        <f>IF(U2719=1,IF(M2719&gt;0,IF(P2719&lt;=G2719+Assumptions!$C$7,1,0),0),0)</f>
        <v/>
      </c>
      <c r="W2719">
        <f>IF(AND(U2719=1,M2719&gt;=H2719*(1-Assumptions!$C$8)),1,0)</f>
        <v/>
      </c>
      <c r="X2719">
        <f>IF(AND(U2719=1,N2719&gt;=H2719*(1-Assumptions!$C$8)),1,0)</f>
        <v/>
      </c>
      <c r="Y2719">
        <f>IF(ISNUMBER(Q2719),1,0)</f>
        <v/>
      </c>
      <c r="Z2719">
        <f>IF(AND(K2719=0,L2719=0,Y2719=0),1,0)</f>
        <v/>
      </c>
      <c r="AA2719">
        <f>IF(AND(Z2719=1,G2719&lt;Assumptions!$C$6),1,0)</f>
        <v/>
      </c>
      <c r="AB2719">
        <f>IF(U2719=0,"",IF(Y2719=1,MAX(0,Q2719-G2719),IF(L2719=1,MAX(0,R2719-G2719),MAX(0,Assumptions!$C$6-G2719))))</f>
        <v/>
      </c>
      <c r="AC2719">
        <f>IF(Y2719=1,Q2719-F2719,"")</f>
        <v/>
      </c>
      <c r="AD2719">
        <f>IF(Y2719=1,AC2719^2,"")</f>
        <v/>
      </c>
      <c r="AE2719" s="19">
        <f>IF(Z2719=1,(H2719-M2719)*I2719,0)</f>
        <v/>
      </c>
      <c r="AF2719">
        <f>IF(G2719&lt;EDATE(Assumptions!$C$6,-12)+1,"prior_12m","last_12m")</f>
        <v/>
      </c>
      <c r="AG2719" s="21">
        <f>DATE(YEAR(G2719),MONTH(G2719),1)</f>
        <v/>
      </c>
    </row>
    <row r="2720">
      <c r="A2720" t="inlineStr">
        <is>
          <t>SPO-01467-1</t>
        </is>
      </c>
      <c r="B2720" t="inlineStr">
        <is>
          <t>SPO-01467</t>
        </is>
      </c>
      <c r="C2720" t="inlineStr">
        <is>
          <t>SUP-02</t>
        </is>
      </c>
      <c r="D2720" t="inlineStr">
        <is>
          <t>ELEC</t>
        </is>
      </c>
      <c r="E2720" t="inlineStr">
        <is>
          <t>ELEC-07</t>
        </is>
      </c>
      <c r="F2720" s="17" t="n">
        <v>45972</v>
      </c>
      <c r="G2720" s="17" t="n">
        <v>45988</v>
      </c>
      <c r="H2720" s="18" t="n">
        <v>363</v>
      </c>
      <c r="I2720" s="19" t="n">
        <v>9.880000000000001</v>
      </c>
      <c r="J2720" s="19" t="n">
        <v>9.800000000000001</v>
      </c>
      <c r="K2720" s="20" t="n">
        <v>0</v>
      </c>
      <c r="L2720" s="20" t="n">
        <v>0</v>
      </c>
      <c r="M2720" s="18" t="n">
        <v>363</v>
      </c>
      <c r="N2720" s="18" t="n">
        <v>363</v>
      </c>
      <c r="O2720" s="18" t="n">
        <v>0</v>
      </c>
      <c r="P2720" s="17" t="n">
        <v>45987</v>
      </c>
      <c r="Q2720" s="17" t="n">
        <v>45987</v>
      </c>
      <c r="R2720" s="17" t="n">
        <v>45987</v>
      </c>
      <c r="S2720" s="19">
        <f>H2720*I2720</f>
        <v/>
      </c>
      <c r="T2720" s="19">
        <f>H2720*J2720</f>
        <v/>
      </c>
      <c r="U2720">
        <f>IF(AND(K2720=0,G2720&lt;=Assumptions!$C$6),1,0)</f>
        <v/>
      </c>
      <c r="V2720">
        <f>IF(U2720=1,IF(M2720&gt;0,IF(P2720&lt;=G2720+Assumptions!$C$7,1,0),0),0)</f>
        <v/>
      </c>
      <c r="W2720">
        <f>IF(AND(U2720=1,M2720&gt;=H2720*(1-Assumptions!$C$8)),1,0)</f>
        <v/>
      </c>
      <c r="X2720">
        <f>IF(AND(U2720=1,N2720&gt;=H2720*(1-Assumptions!$C$8)),1,0)</f>
        <v/>
      </c>
      <c r="Y2720">
        <f>IF(ISNUMBER(Q2720),1,0)</f>
        <v/>
      </c>
      <c r="Z2720">
        <f>IF(AND(K2720=0,L2720=0,Y2720=0),1,0)</f>
        <v/>
      </c>
      <c r="AA2720">
        <f>IF(AND(Z2720=1,G2720&lt;Assumptions!$C$6),1,0)</f>
        <v/>
      </c>
      <c r="AB2720">
        <f>IF(U2720=0,"",IF(Y2720=1,MAX(0,Q2720-G2720),IF(L2720=1,MAX(0,R2720-G2720),MAX(0,Assumptions!$C$6-G2720))))</f>
        <v/>
      </c>
      <c r="AC2720">
        <f>IF(Y2720=1,Q2720-F2720,"")</f>
        <v/>
      </c>
      <c r="AD2720">
        <f>IF(Y2720=1,AC2720^2,"")</f>
        <v/>
      </c>
      <c r="AE2720" s="19">
        <f>IF(Z2720=1,(H2720-M2720)*I2720,0)</f>
        <v/>
      </c>
      <c r="AF2720">
        <f>IF(G2720&lt;EDATE(Assumptions!$C$6,-12)+1,"prior_12m","last_12m")</f>
        <v/>
      </c>
      <c r="AG2720" s="21">
        <f>DATE(YEAR(G2720),MONTH(G2720),1)</f>
        <v/>
      </c>
    </row>
    <row r="2721">
      <c r="A2721" t="inlineStr">
        <is>
          <t>SPO-01467-2</t>
        </is>
      </c>
      <c r="B2721" t="inlineStr">
        <is>
          <t>SPO-01467</t>
        </is>
      </c>
      <c r="C2721" t="inlineStr">
        <is>
          <t>SUP-02</t>
        </is>
      </c>
      <c r="D2721" t="inlineStr">
        <is>
          <t>ELEC</t>
        </is>
      </c>
      <c r="E2721" t="inlineStr">
        <is>
          <t>ELEC-03</t>
        </is>
      </c>
      <c r="F2721" s="17" t="n">
        <v>45972</v>
      </c>
      <c r="G2721" s="17" t="n">
        <v>45988</v>
      </c>
      <c r="H2721" s="18" t="n">
        <v>7</v>
      </c>
      <c r="I2721" s="19" t="n">
        <v>91.75</v>
      </c>
      <c r="J2721" s="19" t="n">
        <v>96</v>
      </c>
      <c r="K2721" s="20" t="n">
        <v>0</v>
      </c>
      <c r="L2721" s="20" t="n">
        <v>0</v>
      </c>
      <c r="M2721" s="18" t="n">
        <v>7</v>
      </c>
      <c r="N2721" s="18" t="n">
        <v>7</v>
      </c>
      <c r="O2721" s="18" t="n">
        <v>0</v>
      </c>
      <c r="P2721" s="17" t="n">
        <v>45981</v>
      </c>
      <c r="Q2721" s="17" t="n">
        <v>45981</v>
      </c>
      <c r="R2721" s="17" t="n">
        <v>45981</v>
      </c>
      <c r="S2721" s="19">
        <f>H2721*I2721</f>
        <v/>
      </c>
      <c r="T2721" s="19">
        <f>H2721*J2721</f>
        <v/>
      </c>
      <c r="U2721">
        <f>IF(AND(K2721=0,G2721&lt;=Assumptions!$C$6),1,0)</f>
        <v/>
      </c>
      <c r="V2721">
        <f>IF(U2721=1,IF(M2721&gt;0,IF(P2721&lt;=G2721+Assumptions!$C$7,1,0),0),0)</f>
        <v/>
      </c>
      <c r="W2721">
        <f>IF(AND(U2721=1,M2721&gt;=H2721*(1-Assumptions!$C$8)),1,0)</f>
        <v/>
      </c>
      <c r="X2721">
        <f>IF(AND(U2721=1,N2721&gt;=H2721*(1-Assumptions!$C$8)),1,0)</f>
        <v/>
      </c>
      <c r="Y2721">
        <f>IF(ISNUMBER(Q2721),1,0)</f>
        <v/>
      </c>
      <c r="Z2721">
        <f>IF(AND(K2721=0,L2721=0,Y2721=0),1,0)</f>
        <v/>
      </c>
      <c r="AA2721">
        <f>IF(AND(Z2721=1,G2721&lt;Assumptions!$C$6),1,0)</f>
        <v/>
      </c>
      <c r="AB2721">
        <f>IF(U2721=0,"",IF(Y2721=1,MAX(0,Q2721-G2721),IF(L2721=1,MAX(0,R2721-G2721),MAX(0,Assumptions!$C$6-G2721))))</f>
        <v/>
      </c>
      <c r="AC2721">
        <f>IF(Y2721=1,Q2721-F2721,"")</f>
        <v/>
      </c>
      <c r="AD2721">
        <f>IF(Y2721=1,AC2721^2,"")</f>
        <v/>
      </c>
      <c r="AE2721" s="19">
        <f>IF(Z2721=1,(H2721-M2721)*I2721,0)</f>
        <v/>
      </c>
      <c r="AF2721">
        <f>IF(G2721&lt;EDATE(Assumptions!$C$6,-12)+1,"prior_12m","last_12m")</f>
        <v/>
      </c>
      <c r="AG2721" s="21">
        <f>DATE(YEAR(G2721),MONTH(G2721),1)</f>
        <v/>
      </c>
    </row>
    <row r="2722">
      <c r="A2722" t="inlineStr">
        <is>
          <t>SPO-01468-1</t>
        </is>
      </c>
      <c r="B2722" t="inlineStr">
        <is>
          <t>SPO-01468</t>
        </is>
      </c>
      <c r="C2722" t="inlineStr">
        <is>
          <t>SUP-02</t>
        </is>
      </c>
      <c r="D2722" t="inlineStr">
        <is>
          <t>ELEC</t>
        </is>
      </c>
      <c r="E2722" t="inlineStr">
        <is>
          <t>ELEC-01</t>
        </is>
      </c>
      <c r="F2722" s="17" t="n">
        <v>45972</v>
      </c>
      <c r="G2722" s="17" t="n">
        <v>45988</v>
      </c>
      <c r="H2722" s="18" t="n">
        <v>61</v>
      </c>
      <c r="I2722" s="19" t="n">
        <v>35.84</v>
      </c>
      <c r="J2722" s="19" t="n">
        <v>38</v>
      </c>
      <c r="K2722" s="20" t="n">
        <v>0</v>
      </c>
      <c r="L2722" s="20" t="n">
        <v>0</v>
      </c>
      <c r="M2722" s="18" t="n">
        <v>61</v>
      </c>
      <c r="N2722" s="18" t="n">
        <v>61</v>
      </c>
      <c r="O2722" s="18" t="n">
        <v>0</v>
      </c>
      <c r="P2722" s="17" t="n">
        <v>45983</v>
      </c>
      <c r="Q2722" s="17" t="n">
        <v>45983</v>
      </c>
      <c r="R2722" s="17" t="n">
        <v>45983</v>
      </c>
      <c r="S2722" s="19">
        <f>H2722*I2722</f>
        <v/>
      </c>
      <c r="T2722" s="19">
        <f>H2722*J2722</f>
        <v/>
      </c>
      <c r="U2722">
        <f>IF(AND(K2722=0,G2722&lt;=Assumptions!$C$6),1,0)</f>
        <v/>
      </c>
      <c r="V2722">
        <f>IF(U2722=1,IF(M2722&gt;0,IF(P2722&lt;=G2722+Assumptions!$C$7,1,0),0),0)</f>
        <v/>
      </c>
      <c r="W2722">
        <f>IF(AND(U2722=1,M2722&gt;=H2722*(1-Assumptions!$C$8)),1,0)</f>
        <v/>
      </c>
      <c r="X2722">
        <f>IF(AND(U2722=1,N2722&gt;=H2722*(1-Assumptions!$C$8)),1,0)</f>
        <v/>
      </c>
      <c r="Y2722">
        <f>IF(ISNUMBER(Q2722),1,0)</f>
        <v/>
      </c>
      <c r="Z2722">
        <f>IF(AND(K2722=0,L2722=0,Y2722=0),1,0)</f>
        <v/>
      </c>
      <c r="AA2722">
        <f>IF(AND(Z2722=1,G2722&lt;Assumptions!$C$6),1,0)</f>
        <v/>
      </c>
      <c r="AB2722">
        <f>IF(U2722=0,"",IF(Y2722=1,MAX(0,Q2722-G2722),IF(L2722=1,MAX(0,R2722-G2722),MAX(0,Assumptions!$C$6-G2722))))</f>
        <v/>
      </c>
      <c r="AC2722">
        <f>IF(Y2722=1,Q2722-F2722,"")</f>
        <v/>
      </c>
      <c r="AD2722">
        <f>IF(Y2722=1,AC2722^2,"")</f>
        <v/>
      </c>
      <c r="AE2722" s="19">
        <f>IF(Z2722=1,(H2722-M2722)*I2722,0)</f>
        <v/>
      </c>
      <c r="AF2722">
        <f>IF(G2722&lt;EDATE(Assumptions!$C$6,-12)+1,"prior_12m","last_12m")</f>
        <v/>
      </c>
      <c r="AG2722" s="21">
        <f>DATE(YEAR(G2722),MONTH(G2722),1)</f>
        <v/>
      </c>
    </row>
    <row r="2723">
      <c r="A2723" t="inlineStr">
        <is>
          <t>SPO-01469-1</t>
        </is>
      </c>
      <c r="B2723" t="inlineStr">
        <is>
          <t>SPO-01469</t>
        </is>
      </c>
      <c r="C2723" t="inlineStr">
        <is>
          <t>SUP-06</t>
        </is>
      </c>
      <c r="D2723" t="inlineStr">
        <is>
          <t>MRO</t>
        </is>
      </c>
      <c r="E2723" t="inlineStr">
        <is>
          <t>MRO-02</t>
        </is>
      </c>
      <c r="F2723" s="17" t="n">
        <v>45972</v>
      </c>
      <c r="G2723" s="17" t="n">
        <v>45980</v>
      </c>
      <c r="H2723" s="18" t="n">
        <v>43</v>
      </c>
      <c r="I2723" s="19" t="n">
        <v>41.73</v>
      </c>
      <c r="J2723" s="19" t="n">
        <v>41</v>
      </c>
      <c r="K2723" s="20" t="n">
        <v>0</v>
      </c>
      <c r="L2723" s="20" t="n">
        <v>0</v>
      </c>
      <c r="M2723" s="18" t="n">
        <v>43</v>
      </c>
      <c r="N2723" s="18" t="n">
        <v>43</v>
      </c>
      <c r="O2723" s="18" t="n">
        <v>0</v>
      </c>
      <c r="P2723" s="17" t="n">
        <v>45978</v>
      </c>
      <c r="Q2723" s="17" t="n">
        <v>45978</v>
      </c>
      <c r="R2723" s="17" t="n">
        <v>45978</v>
      </c>
      <c r="S2723" s="19">
        <f>H2723*I2723</f>
        <v/>
      </c>
      <c r="T2723" s="19">
        <f>H2723*J2723</f>
        <v/>
      </c>
      <c r="U2723">
        <f>IF(AND(K2723=0,G2723&lt;=Assumptions!$C$6),1,0)</f>
        <v/>
      </c>
      <c r="V2723">
        <f>IF(U2723=1,IF(M2723&gt;0,IF(P2723&lt;=G2723+Assumptions!$C$7,1,0),0),0)</f>
        <v/>
      </c>
      <c r="W2723">
        <f>IF(AND(U2723=1,M2723&gt;=H2723*(1-Assumptions!$C$8)),1,0)</f>
        <v/>
      </c>
      <c r="X2723">
        <f>IF(AND(U2723=1,N2723&gt;=H2723*(1-Assumptions!$C$8)),1,0)</f>
        <v/>
      </c>
      <c r="Y2723">
        <f>IF(ISNUMBER(Q2723),1,0)</f>
        <v/>
      </c>
      <c r="Z2723">
        <f>IF(AND(K2723=0,L2723=0,Y2723=0),1,0)</f>
        <v/>
      </c>
      <c r="AA2723">
        <f>IF(AND(Z2723=1,G2723&lt;Assumptions!$C$6),1,0)</f>
        <v/>
      </c>
      <c r="AB2723">
        <f>IF(U2723=0,"",IF(Y2723=1,MAX(0,Q2723-G2723),IF(L2723=1,MAX(0,R2723-G2723),MAX(0,Assumptions!$C$6-G2723))))</f>
        <v/>
      </c>
      <c r="AC2723">
        <f>IF(Y2723=1,Q2723-F2723,"")</f>
        <v/>
      </c>
      <c r="AD2723">
        <f>IF(Y2723=1,AC2723^2,"")</f>
        <v/>
      </c>
      <c r="AE2723" s="19">
        <f>IF(Z2723=1,(H2723-M2723)*I2723,0)</f>
        <v/>
      </c>
      <c r="AF2723">
        <f>IF(G2723&lt;EDATE(Assumptions!$C$6,-12)+1,"prior_12m","last_12m")</f>
        <v/>
      </c>
      <c r="AG2723" s="21">
        <f>DATE(YEAR(G2723),MONTH(G2723),1)</f>
        <v/>
      </c>
    </row>
    <row r="2724">
      <c r="A2724" t="inlineStr">
        <is>
          <t>SPO-01470-1</t>
        </is>
      </c>
      <c r="B2724" t="inlineStr">
        <is>
          <t>SPO-01470</t>
        </is>
      </c>
      <c r="C2724" t="inlineStr">
        <is>
          <t>SUP-10</t>
        </is>
      </c>
      <c r="D2724" t="inlineStr">
        <is>
          <t>PPE</t>
        </is>
      </c>
      <c r="E2724" t="inlineStr">
        <is>
          <t>PPE-04</t>
        </is>
      </c>
      <c r="F2724" s="17" t="n">
        <v>45973</v>
      </c>
      <c r="G2724" s="17" t="n">
        <v>45986</v>
      </c>
      <c r="H2724" s="18" t="n">
        <v>56</v>
      </c>
      <c r="I2724" s="19" t="n">
        <v>25.07</v>
      </c>
      <c r="J2724" s="19" t="n">
        <v>26</v>
      </c>
      <c r="K2724" s="20" t="n">
        <v>0</v>
      </c>
      <c r="L2724" s="20" t="n">
        <v>0</v>
      </c>
      <c r="M2724" s="18" t="n">
        <v>56</v>
      </c>
      <c r="N2724" s="18" t="n">
        <v>56</v>
      </c>
      <c r="O2724" s="18" t="n">
        <v>0</v>
      </c>
      <c r="P2724" s="17" t="n">
        <v>45985</v>
      </c>
      <c r="Q2724" s="17" t="n">
        <v>45985</v>
      </c>
      <c r="R2724" s="17" t="n">
        <v>45985</v>
      </c>
      <c r="S2724" s="19">
        <f>H2724*I2724</f>
        <v/>
      </c>
      <c r="T2724" s="19">
        <f>H2724*J2724</f>
        <v/>
      </c>
      <c r="U2724">
        <f>IF(AND(K2724=0,G2724&lt;=Assumptions!$C$6),1,0)</f>
        <v/>
      </c>
      <c r="V2724">
        <f>IF(U2724=1,IF(M2724&gt;0,IF(P2724&lt;=G2724+Assumptions!$C$7,1,0),0),0)</f>
        <v/>
      </c>
      <c r="W2724">
        <f>IF(AND(U2724=1,M2724&gt;=H2724*(1-Assumptions!$C$8)),1,0)</f>
        <v/>
      </c>
      <c r="X2724">
        <f>IF(AND(U2724=1,N2724&gt;=H2724*(1-Assumptions!$C$8)),1,0)</f>
        <v/>
      </c>
      <c r="Y2724">
        <f>IF(ISNUMBER(Q2724),1,0)</f>
        <v/>
      </c>
      <c r="Z2724">
        <f>IF(AND(K2724=0,L2724=0,Y2724=0),1,0)</f>
        <v/>
      </c>
      <c r="AA2724">
        <f>IF(AND(Z2724=1,G2724&lt;Assumptions!$C$6),1,0)</f>
        <v/>
      </c>
      <c r="AB2724">
        <f>IF(U2724=0,"",IF(Y2724=1,MAX(0,Q2724-G2724),IF(L2724=1,MAX(0,R2724-G2724),MAX(0,Assumptions!$C$6-G2724))))</f>
        <v/>
      </c>
      <c r="AC2724">
        <f>IF(Y2724=1,Q2724-F2724,"")</f>
        <v/>
      </c>
      <c r="AD2724">
        <f>IF(Y2724=1,AC2724^2,"")</f>
        <v/>
      </c>
      <c r="AE2724" s="19">
        <f>IF(Z2724=1,(H2724-M2724)*I2724,0)</f>
        <v/>
      </c>
      <c r="AF2724">
        <f>IF(G2724&lt;EDATE(Assumptions!$C$6,-12)+1,"prior_12m","last_12m")</f>
        <v/>
      </c>
      <c r="AG2724" s="21">
        <f>DATE(YEAR(G2724),MONTH(G2724),1)</f>
        <v/>
      </c>
    </row>
    <row r="2725">
      <c r="A2725" t="inlineStr">
        <is>
          <t>SPO-01471-1</t>
        </is>
      </c>
      <c r="B2725" t="inlineStr">
        <is>
          <t>SPO-01471</t>
        </is>
      </c>
      <c r="C2725" t="inlineStr">
        <is>
          <t>SUP-07</t>
        </is>
      </c>
      <c r="D2725" t="inlineStr">
        <is>
          <t>MRO</t>
        </is>
      </c>
      <c r="E2725" t="inlineStr">
        <is>
          <t>MRO-04</t>
        </is>
      </c>
      <c r="F2725" s="17" t="n">
        <v>45974</v>
      </c>
      <c r="G2725" s="17" t="n">
        <v>45984</v>
      </c>
      <c r="H2725" s="18" t="n">
        <v>32</v>
      </c>
      <c r="I2725" s="19" t="n">
        <v>58.56</v>
      </c>
      <c r="J2725" s="19" t="n">
        <v>58</v>
      </c>
      <c r="K2725" s="20" t="n">
        <v>0</v>
      </c>
      <c r="L2725" s="20" t="n">
        <v>0</v>
      </c>
      <c r="M2725" s="18" t="n">
        <v>32</v>
      </c>
      <c r="N2725" s="18" t="n">
        <v>32</v>
      </c>
      <c r="O2725" s="18" t="n">
        <v>0</v>
      </c>
      <c r="P2725" s="17" t="n">
        <v>45983</v>
      </c>
      <c r="Q2725" s="17" t="n">
        <v>45983</v>
      </c>
      <c r="R2725" s="17" t="n">
        <v>45983</v>
      </c>
      <c r="S2725" s="19">
        <f>H2725*I2725</f>
        <v/>
      </c>
      <c r="T2725" s="19">
        <f>H2725*J2725</f>
        <v/>
      </c>
      <c r="U2725">
        <f>IF(AND(K2725=0,G2725&lt;=Assumptions!$C$6),1,0)</f>
        <v/>
      </c>
      <c r="V2725">
        <f>IF(U2725=1,IF(M2725&gt;0,IF(P2725&lt;=G2725+Assumptions!$C$7,1,0),0),0)</f>
        <v/>
      </c>
      <c r="W2725">
        <f>IF(AND(U2725=1,M2725&gt;=H2725*(1-Assumptions!$C$8)),1,0)</f>
        <v/>
      </c>
      <c r="X2725">
        <f>IF(AND(U2725=1,N2725&gt;=H2725*(1-Assumptions!$C$8)),1,0)</f>
        <v/>
      </c>
      <c r="Y2725">
        <f>IF(ISNUMBER(Q2725),1,0)</f>
        <v/>
      </c>
      <c r="Z2725">
        <f>IF(AND(K2725=0,L2725=0,Y2725=0),1,0)</f>
        <v/>
      </c>
      <c r="AA2725">
        <f>IF(AND(Z2725=1,G2725&lt;Assumptions!$C$6),1,0)</f>
        <v/>
      </c>
      <c r="AB2725">
        <f>IF(U2725=0,"",IF(Y2725=1,MAX(0,Q2725-G2725),IF(L2725=1,MAX(0,R2725-G2725),MAX(0,Assumptions!$C$6-G2725))))</f>
        <v/>
      </c>
      <c r="AC2725">
        <f>IF(Y2725=1,Q2725-F2725,"")</f>
        <v/>
      </c>
      <c r="AD2725">
        <f>IF(Y2725=1,AC2725^2,"")</f>
        <v/>
      </c>
      <c r="AE2725" s="19">
        <f>IF(Z2725=1,(H2725-M2725)*I2725,0)</f>
        <v/>
      </c>
      <c r="AF2725">
        <f>IF(G2725&lt;EDATE(Assumptions!$C$6,-12)+1,"prior_12m","last_12m")</f>
        <v/>
      </c>
      <c r="AG2725" s="21">
        <f>DATE(YEAR(G2725),MONTH(G2725),1)</f>
        <v/>
      </c>
    </row>
    <row r="2726">
      <c r="A2726" t="inlineStr">
        <is>
          <t>SPO-01472-1</t>
        </is>
      </c>
      <c r="B2726" t="inlineStr">
        <is>
          <t>SPO-01472</t>
        </is>
      </c>
      <c r="C2726" t="inlineStr">
        <is>
          <t>SUP-12</t>
        </is>
      </c>
      <c r="D2726" t="inlineStr">
        <is>
          <t>IT</t>
        </is>
      </c>
      <c r="E2726" t="inlineStr">
        <is>
          <t>IT-04</t>
        </is>
      </c>
      <c r="F2726" s="17" t="n">
        <v>45975</v>
      </c>
      <c r="G2726" s="17" t="n">
        <v>45985</v>
      </c>
      <c r="H2726" s="18" t="n">
        <v>153</v>
      </c>
      <c r="I2726" s="19" t="n">
        <v>13.53</v>
      </c>
      <c r="J2726" s="19" t="n">
        <v>12</v>
      </c>
      <c r="K2726" s="20" t="n">
        <v>0</v>
      </c>
      <c r="L2726" s="20" t="n">
        <v>0</v>
      </c>
      <c r="M2726" s="18" t="n">
        <v>153</v>
      </c>
      <c r="N2726" s="18" t="n">
        <v>153</v>
      </c>
      <c r="O2726" s="18" t="n">
        <v>0</v>
      </c>
      <c r="P2726" s="17" t="n">
        <v>45984</v>
      </c>
      <c r="Q2726" s="17" t="n">
        <v>45984</v>
      </c>
      <c r="R2726" s="17" t="n">
        <v>45984</v>
      </c>
      <c r="S2726" s="19">
        <f>H2726*I2726</f>
        <v/>
      </c>
      <c r="T2726" s="19">
        <f>H2726*J2726</f>
        <v/>
      </c>
      <c r="U2726">
        <f>IF(AND(K2726=0,G2726&lt;=Assumptions!$C$6),1,0)</f>
        <v/>
      </c>
      <c r="V2726">
        <f>IF(U2726=1,IF(M2726&gt;0,IF(P2726&lt;=G2726+Assumptions!$C$7,1,0),0),0)</f>
        <v/>
      </c>
      <c r="W2726">
        <f>IF(AND(U2726=1,M2726&gt;=H2726*(1-Assumptions!$C$8)),1,0)</f>
        <v/>
      </c>
      <c r="X2726">
        <f>IF(AND(U2726=1,N2726&gt;=H2726*(1-Assumptions!$C$8)),1,0)</f>
        <v/>
      </c>
      <c r="Y2726">
        <f>IF(ISNUMBER(Q2726),1,0)</f>
        <v/>
      </c>
      <c r="Z2726">
        <f>IF(AND(K2726=0,L2726=0,Y2726=0),1,0)</f>
        <v/>
      </c>
      <c r="AA2726">
        <f>IF(AND(Z2726=1,G2726&lt;Assumptions!$C$6),1,0)</f>
        <v/>
      </c>
      <c r="AB2726">
        <f>IF(U2726=0,"",IF(Y2726=1,MAX(0,Q2726-G2726),IF(L2726=1,MAX(0,R2726-G2726),MAX(0,Assumptions!$C$6-G2726))))</f>
        <v/>
      </c>
      <c r="AC2726">
        <f>IF(Y2726=1,Q2726-F2726,"")</f>
        <v/>
      </c>
      <c r="AD2726">
        <f>IF(Y2726=1,AC2726^2,"")</f>
        <v/>
      </c>
      <c r="AE2726" s="19">
        <f>IF(Z2726=1,(H2726-M2726)*I2726,0)</f>
        <v/>
      </c>
      <c r="AF2726">
        <f>IF(G2726&lt;EDATE(Assumptions!$C$6,-12)+1,"prior_12m","last_12m")</f>
        <v/>
      </c>
      <c r="AG2726" s="21">
        <f>DATE(YEAR(G2726),MONTH(G2726),1)</f>
        <v/>
      </c>
    </row>
    <row r="2727">
      <c r="A2727" t="inlineStr">
        <is>
          <t>SPO-01472-2</t>
        </is>
      </c>
      <c r="B2727" t="inlineStr">
        <is>
          <t>SPO-01472</t>
        </is>
      </c>
      <c r="C2727" t="inlineStr">
        <is>
          <t>SUP-12</t>
        </is>
      </c>
      <c r="D2727" t="inlineStr">
        <is>
          <t>IT</t>
        </is>
      </c>
      <c r="E2727" t="inlineStr">
        <is>
          <t>IT-02</t>
        </is>
      </c>
      <c r="F2727" s="17" t="n">
        <v>45975</v>
      </c>
      <c r="G2727" s="17" t="n">
        <v>45985</v>
      </c>
      <c r="H2727" s="18" t="n">
        <v>14</v>
      </c>
      <c r="I2727" s="19" t="n">
        <v>182.95</v>
      </c>
      <c r="J2727" s="19" t="n">
        <v>162</v>
      </c>
      <c r="K2727" s="20" t="n">
        <v>0</v>
      </c>
      <c r="L2727" s="20" t="n">
        <v>0</v>
      </c>
      <c r="M2727" s="18" t="n">
        <v>14</v>
      </c>
      <c r="N2727" s="18" t="n">
        <v>14</v>
      </c>
      <c r="O2727" s="18" t="n">
        <v>0</v>
      </c>
      <c r="P2727" s="17" t="n">
        <v>45976</v>
      </c>
      <c r="Q2727" s="17" t="n">
        <v>45976</v>
      </c>
      <c r="R2727" s="17" t="n">
        <v>45976</v>
      </c>
      <c r="S2727" s="19">
        <f>H2727*I2727</f>
        <v/>
      </c>
      <c r="T2727" s="19">
        <f>H2727*J2727</f>
        <v/>
      </c>
      <c r="U2727">
        <f>IF(AND(K2727=0,G2727&lt;=Assumptions!$C$6),1,0)</f>
        <v/>
      </c>
      <c r="V2727">
        <f>IF(U2727=1,IF(M2727&gt;0,IF(P2727&lt;=G2727+Assumptions!$C$7,1,0),0),0)</f>
        <v/>
      </c>
      <c r="W2727">
        <f>IF(AND(U2727=1,M2727&gt;=H2727*(1-Assumptions!$C$8)),1,0)</f>
        <v/>
      </c>
      <c r="X2727">
        <f>IF(AND(U2727=1,N2727&gt;=H2727*(1-Assumptions!$C$8)),1,0)</f>
        <v/>
      </c>
      <c r="Y2727">
        <f>IF(ISNUMBER(Q2727),1,0)</f>
        <v/>
      </c>
      <c r="Z2727">
        <f>IF(AND(K2727=0,L2727=0,Y2727=0),1,0)</f>
        <v/>
      </c>
      <c r="AA2727">
        <f>IF(AND(Z2727=1,G2727&lt;Assumptions!$C$6),1,0)</f>
        <v/>
      </c>
      <c r="AB2727">
        <f>IF(U2727=0,"",IF(Y2727=1,MAX(0,Q2727-G2727),IF(L2727=1,MAX(0,R2727-G2727),MAX(0,Assumptions!$C$6-G2727))))</f>
        <v/>
      </c>
      <c r="AC2727">
        <f>IF(Y2727=1,Q2727-F2727,"")</f>
        <v/>
      </c>
      <c r="AD2727">
        <f>IF(Y2727=1,AC2727^2,"")</f>
        <v/>
      </c>
      <c r="AE2727" s="19">
        <f>IF(Z2727=1,(H2727-M2727)*I2727,0)</f>
        <v/>
      </c>
      <c r="AF2727">
        <f>IF(G2727&lt;EDATE(Assumptions!$C$6,-12)+1,"prior_12m","last_12m")</f>
        <v/>
      </c>
      <c r="AG2727" s="21">
        <f>DATE(YEAR(G2727),MONTH(G2727),1)</f>
        <v/>
      </c>
    </row>
    <row r="2728">
      <c r="A2728" t="inlineStr">
        <is>
          <t>SPO-01473-1</t>
        </is>
      </c>
      <c r="B2728" t="inlineStr">
        <is>
          <t>SPO-01473</t>
        </is>
      </c>
      <c r="C2728" t="inlineStr">
        <is>
          <t>SUP-08</t>
        </is>
      </c>
      <c r="D2728" t="inlineStr">
        <is>
          <t>MRO</t>
        </is>
      </c>
      <c r="E2728" t="inlineStr">
        <is>
          <t>MRO-04</t>
        </is>
      </c>
      <c r="F2728" s="17" t="n">
        <v>45975</v>
      </c>
      <c r="G2728" s="17" t="n">
        <v>45986</v>
      </c>
      <c r="H2728" s="18" t="n">
        <v>27</v>
      </c>
      <c r="I2728" s="19" t="n">
        <v>58.79</v>
      </c>
      <c r="J2728" s="19" t="n">
        <v>58</v>
      </c>
      <c r="K2728" s="20" t="n">
        <v>0</v>
      </c>
      <c r="L2728" s="20" t="n">
        <v>0</v>
      </c>
      <c r="M2728" s="18" t="n">
        <v>27</v>
      </c>
      <c r="N2728" s="18" t="n">
        <v>27</v>
      </c>
      <c r="O2728" s="18" t="n">
        <v>0</v>
      </c>
      <c r="P2728" s="17" t="n">
        <v>45984</v>
      </c>
      <c r="Q2728" s="17" t="n">
        <v>45984</v>
      </c>
      <c r="R2728" s="17" t="n">
        <v>45984</v>
      </c>
      <c r="S2728" s="19">
        <f>H2728*I2728</f>
        <v/>
      </c>
      <c r="T2728" s="19">
        <f>H2728*J2728</f>
        <v/>
      </c>
      <c r="U2728">
        <f>IF(AND(K2728=0,G2728&lt;=Assumptions!$C$6),1,0)</f>
        <v/>
      </c>
      <c r="V2728">
        <f>IF(U2728=1,IF(M2728&gt;0,IF(P2728&lt;=G2728+Assumptions!$C$7,1,0),0),0)</f>
        <v/>
      </c>
      <c r="W2728">
        <f>IF(AND(U2728=1,M2728&gt;=H2728*(1-Assumptions!$C$8)),1,0)</f>
        <v/>
      </c>
      <c r="X2728">
        <f>IF(AND(U2728=1,N2728&gt;=H2728*(1-Assumptions!$C$8)),1,0)</f>
        <v/>
      </c>
      <c r="Y2728">
        <f>IF(ISNUMBER(Q2728),1,0)</f>
        <v/>
      </c>
      <c r="Z2728">
        <f>IF(AND(K2728=0,L2728=0,Y2728=0),1,0)</f>
        <v/>
      </c>
      <c r="AA2728">
        <f>IF(AND(Z2728=1,G2728&lt;Assumptions!$C$6),1,0)</f>
        <v/>
      </c>
      <c r="AB2728">
        <f>IF(U2728=0,"",IF(Y2728=1,MAX(0,Q2728-G2728),IF(L2728=1,MAX(0,R2728-G2728),MAX(0,Assumptions!$C$6-G2728))))</f>
        <v/>
      </c>
      <c r="AC2728">
        <f>IF(Y2728=1,Q2728-F2728,"")</f>
        <v/>
      </c>
      <c r="AD2728">
        <f>IF(Y2728=1,AC2728^2,"")</f>
        <v/>
      </c>
      <c r="AE2728" s="19">
        <f>IF(Z2728=1,(H2728-M2728)*I2728,0)</f>
        <v/>
      </c>
      <c r="AF2728">
        <f>IF(G2728&lt;EDATE(Assumptions!$C$6,-12)+1,"prior_12m","last_12m")</f>
        <v/>
      </c>
      <c r="AG2728" s="21">
        <f>DATE(YEAR(G2728),MONTH(G2728),1)</f>
        <v/>
      </c>
    </row>
    <row r="2729">
      <c r="A2729" t="inlineStr">
        <is>
          <t>SPO-01473-2</t>
        </is>
      </c>
      <c r="B2729" t="inlineStr">
        <is>
          <t>SPO-01473</t>
        </is>
      </c>
      <c r="C2729" t="inlineStr">
        <is>
          <t>SUP-08</t>
        </is>
      </c>
      <c r="D2729" t="inlineStr">
        <is>
          <t>MRO</t>
        </is>
      </c>
      <c r="E2729" t="inlineStr">
        <is>
          <t>MRO-08</t>
        </is>
      </c>
      <c r="F2729" s="17" t="n">
        <v>45975</v>
      </c>
      <c r="G2729" s="17" t="n">
        <v>45986</v>
      </c>
      <c r="H2729" s="18" t="n">
        <v>345</v>
      </c>
      <c r="I2729" s="19" t="n">
        <v>7.09</v>
      </c>
      <c r="J2729" s="19" t="n">
        <v>7.2</v>
      </c>
      <c r="K2729" s="20" t="n">
        <v>0</v>
      </c>
      <c r="L2729" s="20" t="n">
        <v>0</v>
      </c>
      <c r="M2729" s="18" t="n">
        <v>345</v>
      </c>
      <c r="N2729" s="18" t="n">
        <v>345</v>
      </c>
      <c r="O2729" s="18" t="n">
        <v>0</v>
      </c>
      <c r="P2729" s="17" t="n">
        <v>45981</v>
      </c>
      <c r="Q2729" s="17" t="n">
        <v>45981</v>
      </c>
      <c r="R2729" s="17" t="n">
        <v>45981</v>
      </c>
      <c r="S2729" s="19">
        <f>H2729*I2729</f>
        <v/>
      </c>
      <c r="T2729" s="19">
        <f>H2729*J2729</f>
        <v/>
      </c>
      <c r="U2729">
        <f>IF(AND(K2729=0,G2729&lt;=Assumptions!$C$6),1,0)</f>
        <v/>
      </c>
      <c r="V2729">
        <f>IF(U2729=1,IF(M2729&gt;0,IF(P2729&lt;=G2729+Assumptions!$C$7,1,0),0),0)</f>
        <v/>
      </c>
      <c r="W2729">
        <f>IF(AND(U2729=1,M2729&gt;=H2729*(1-Assumptions!$C$8)),1,0)</f>
        <v/>
      </c>
      <c r="X2729">
        <f>IF(AND(U2729=1,N2729&gt;=H2729*(1-Assumptions!$C$8)),1,0)</f>
        <v/>
      </c>
      <c r="Y2729">
        <f>IF(ISNUMBER(Q2729),1,0)</f>
        <v/>
      </c>
      <c r="Z2729">
        <f>IF(AND(K2729=0,L2729=0,Y2729=0),1,0)</f>
        <v/>
      </c>
      <c r="AA2729">
        <f>IF(AND(Z2729=1,G2729&lt;Assumptions!$C$6),1,0)</f>
        <v/>
      </c>
      <c r="AB2729">
        <f>IF(U2729=0,"",IF(Y2729=1,MAX(0,Q2729-G2729),IF(L2729=1,MAX(0,R2729-G2729),MAX(0,Assumptions!$C$6-G2729))))</f>
        <v/>
      </c>
      <c r="AC2729">
        <f>IF(Y2729=1,Q2729-F2729,"")</f>
        <v/>
      </c>
      <c r="AD2729">
        <f>IF(Y2729=1,AC2729^2,"")</f>
        <v/>
      </c>
      <c r="AE2729" s="19">
        <f>IF(Z2729=1,(H2729-M2729)*I2729,0)</f>
        <v/>
      </c>
      <c r="AF2729">
        <f>IF(G2729&lt;EDATE(Assumptions!$C$6,-12)+1,"prior_12m","last_12m")</f>
        <v/>
      </c>
      <c r="AG2729" s="21">
        <f>DATE(YEAR(G2729),MONTH(G2729),1)</f>
        <v/>
      </c>
    </row>
    <row r="2730">
      <c r="A2730" t="inlineStr">
        <is>
          <t>SPO-01474-1</t>
        </is>
      </c>
      <c r="B2730" t="inlineStr">
        <is>
          <t>SPO-01474</t>
        </is>
      </c>
      <c r="C2730" t="inlineStr">
        <is>
          <t>SUP-12</t>
        </is>
      </c>
      <c r="D2730" t="inlineStr">
        <is>
          <t>IT</t>
        </is>
      </c>
      <c r="E2730" t="inlineStr">
        <is>
          <t>IT-05</t>
        </is>
      </c>
      <c r="F2730" s="17" t="n">
        <v>45976</v>
      </c>
      <c r="G2730" s="17" t="n">
        <v>45986</v>
      </c>
      <c r="H2730" s="18" t="n">
        <v>4</v>
      </c>
      <c r="I2730" s="19" t="n">
        <v>700.27</v>
      </c>
      <c r="J2730" s="19" t="n">
        <v>640</v>
      </c>
      <c r="K2730" s="20" t="n">
        <v>0</v>
      </c>
      <c r="L2730" s="20" t="n">
        <v>0</v>
      </c>
      <c r="M2730" s="18" t="n">
        <v>4</v>
      </c>
      <c r="N2730" s="18" t="n">
        <v>2</v>
      </c>
      <c r="O2730" s="18" t="n">
        <v>0</v>
      </c>
      <c r="P2730" s="17" t="n">
        <v>45983</v>
      </c>
      <c r="Q2730" s="17" t="n">
        <v>45988</v>
      </c>
      <c r="R2730" s="17" t="n">
        <v>45988</v>
      </c>
      <c r="S2730" s="19">
        <f>H2730*I2730</f>
        <v/>
      </c>
      <c r="T2730" s="19">
        <f>H2730*J2730</f>
        <v/>
      </c>
      <c r="U2730">
        <f>IF(AND(K2730=0,G2730&lt;=Assumptions!$C$6),1,0)</f>
        <v/>
      </c>
      <c r="V2730">
        <f>IF(U2730=1,IF(M2730&gt;0,IF(P2730&lt;=G2730+Assumptions!$C$7,1,0),0),0)</f>
        <v/>
      </c>
      <c r="W2730">
        <f>IF(AND(U2730=1,M2730&gt;=H2730*(1-Assumptions!$C$8)),1,0)</f>
        <v/>
      </c>
      <c r="X2730">
        <f>IF(AND(U2730=1,N2730&gt;=H2730*(1-Assumptions!$C$8)),1,0)</f>
        <v/>
      </c>
      <c r="Y2730">
        <f>IF(ISNUMBER(Q2730),1,0)</f>
        <v/>
      </c>
      <c r="Z2730">
        <f>IF(AND(K2730=0,L2730=0,Y2730=0),1,0)</f>
        <v/>
      </c>
      <c r="AA2730">
        <f>IF(AND(Z2730=1,G2730&lt;Assumptions!$C$6),1,0)</f>
        <v/>
      </c>
      <c r="AB2730">
        <f>IF(U2730=0,"",IF(Y2730=1,MAX(0,Q2730-G2730),IF(L2730=1,MAX(0,R2730-G2730),MAX(0,Assumptions!$C$6-G2730))))</f>
        <v/>
      </c>
      <c r="AC2730">
        <f>IF(Y2730=1,Q2730-F2730,"")</f>
        <v/>
      </c>
      <c r="AD2730">
        <f>IF(Y2730=1,AC2730^2,"")</f>
        <v/>
      </c>
      <c r="AE2730" s="19">
        <f>IF(Z2730=1,(H2730-M2730)*I2730,0)</f>
        <v/>
      </c>
      <c r="AF2730">
        <f>IF(G2730&lt;EDATE(Assumptions!$C$6,-12)+1,"prior_12m","last_12m")</f>
        <v/>
      </c>
      <c r="AG2730" s="21">
        <f>DATE(YEAR(G2730),MONTH(G2730),1)</f>
        <v/>
      </c>
    </row>
    <row r="2731">
      <c r="A2731" t="inlineStr">
        <is>
          <t>SPO-01474-2</t>
        </is>
      </c>
      <c r="B2731" t="inlineStr">
        <is>
          <t>SPO-01474</t>
        </is>
      </c>
      <c r="C2731" t="inlineStr">
        <is>
          <t>SUP-12</t>
        </is>
      </c>
      <c r="D2731" t="inlineStr">
        <is>
          <t>IT</t>
        </is>
      </c>
      <c r="E2731" t="inlineStr">
        <is>
          <t>IT-06</t>
        </is>
      </c>
      <c r="F2731" s="17" t="n">
        <v>45976</v>
      </c>
      <c r="G2731" s="17" t="n">
        <v>45986</v>
      </c>
      <c r="H2731" s="18" t="n">
        <v>13</v>
      </c>
      <c r="I2731" s="19" t="n">
        <v>103.49</v>
      </c>
      <c r="J2731" s="19" t="n">
        <v>89</v>
      </c>
      <c r="K2731" s="20" t="n">
        <v>0</v>
      </c>
      <c r="L2731" s="20" t="n">
        <v>0</v>
      </c>
      <c r="M2731" s="18" t="n">
        <v>13</v>
      </c>
      <c r="N2731" s="18" t="n">
        <v>13</v>
      </c>
      <c r="O2731" s="18" t="n">
        <v>0</v>
      </c>
      <c r="P2731" s="17" t="n">
        <v>45985</v>
      </c>
      <c r="Q2731" s="17" t="n">
        <v>45985</v>
      </c>
      <c r="R2731" s="17" t="n">
        <v>45985</v>
      </c>
      <c r="S2731" s="19">
        <f>H2731*I2731</f>
        <v/>
      </c>
      <c r="T2731" s="19">
        <f>H2731*J2731</f>
        <v/>
      </c>
      <c r="U2731">
        <f>IF(AND(K2731=0,G2731&lt;=Assumptions!$C$6),1,0)</f>
        <v/>
      </c>
      <c r="V2731">
        <f>IF(U2731=1,IF(M2731&gt;0,IF(P2731&lt;=G2731+Assumptions!$C$7,1,0),0),0)</f>
        <v/>
      </c>
      <c r="W2731">
        <f>IF(AND(U2731=1,M2731&gt;=H2731*(1-Assumptions!$C$8)),1,0)</f>
        <v/>
      </c>
      <c r="X2731">
        <f>IF(AND(U2731=1,N2731&gt;=H2731*(1-Assumptions!$C$8)),1,0)</f>
        <v/>
      </c>
      <c r="Y2731">
        <f>IF(ISNUMBER(Q2731),1,0)</f>
        <v/>
      </c>
      <c r="Z2731">
        <f>IF(AND(K2731=0,L2731=0,Y2731=0),1,0)</f>
        <v/>
      </c>
      <c r="AA2731">
        <f>IF(AND(Z2731=1,G2731&lt;Assumptions!$C$6),1,0)</f>
        <v/>
      </c>
      <c r="AB2731">
        <f>IF(U2731=0,"",IF(Y2731=1,MAX(0,Q2731-G2731),IF(L2731=1,MAX(0,R2731-G2731),MAX(0,Assumptions!$C$6-G2731))))</f>
        <v/>
      </c>
      <c r="AC2731">
        <f>IF(Y2731=1,Q2731-F2731,"")</f>
        <v/>
      </c>
      <c r="AD2731">
        <f>IF(Y2731=1,AC2731^2,"")</f>
        <v/>
      </c>
      <c r="AE2731" s="19">
        <f>IF(Z2731=1,(H2731-M2731)*I2731,0)</f>
        <v/>
      </c>
      <c r="AF2731">
        <f>IF(G2731&lt;EDATE(Assumptions!$C$6,-12)+1,"prior_12m","last_12m")</f>
        <v/>
      </c>
      <c r="AG2731" s="21">
        <f>DATE(YEAR(G2731),MONTH(G2731),1)</f>
        <v/>
      </c>
    </row>
    <row r="2732">
      <c r="A2732" t="inlineStr">
        <is>
          <t>SPO-01474-3</t>
        </is>
      </c>
      <c r="B2732" t="inlineStr">
        <is>
          <t>SPO-01474</t>
        </is>
      </c>
      <c r="C2732" t="inlineStr">
        <is>
          <t>SUP-12</t>
        </is>
      </c>
      <c r="D2732" t="inlineStr">
        <is>
          <t>IT</t>
        </is>
      </c>
      <c r="E2732" t="inlineStr">
        <is>
          <t>IT-03</t>
        </is>
      </c>
      <c r="F2732" s="17" t="n">
        <v>45976</v>
      </c>
      <c r="G2732" s="17" t="n">
        <v>45986</v>
      </c>
      <c r="H2732" s="18" t="n">
        <v>33</v>
      </c>
      <c r="I2732" s="19" t="n">
        <v>42.88</v>
      </c>
      <c r="J2732" s="19" t="n">
        <v>38</v>
      </c>
      <c r="K2732" s="20" t="n">
        <v>0</v>
      </c>
      <c r="L2732" s="20" t="n">
        <v>0</v>
      </c>
      <c r="M2732" s="18" t="n">
        <v>33</v>
      </c>
      <c r="N2732" s="18" t="n">
        <v>33</v>
      </c>
      <c r="O2732" s="18" t="n">
        <v>0</v>
      </c>
      <c r="P2732" s="17" t="n">
        <v>45985</v>
      </c>
      <c r="Q2732" s="17" t="n">
        <v>45985</v>
      </c>
      <c r="R2732" s="17" t="n">
        <v>45985</v>
      </c>
      <c r="S2732" s="19">
        <f>H2732*I2732</f>
        <v/>
      </c>
      <c r="T2732" s="19">
        <f>H2732*J2732</f>
        <v/>
      </c>
      <c r="U2732">
        <f>IF(AND(K2732=0,G2732&lt;=Assumptions!$C$6),1,0)</f>
        <v/>
      </c>
      <c r="V2732">
        <f>IF(U2732=1,IF(M2732&gt;0,IF(P2732&lt;=G2732+Assumptions!$C$7,1,0),0),0)</f>
        <v/>
      </c>
      <c r="W2732">
        <f>IF(AND(U2732=1,M2732&gt;=H2732*(1-Assumptions!$C$8)),1,0)</f>
        <v/>
      </c>
      <c r="X2732">
        <f>IF(AND(U2732=1,N2732&gt;=H2732*(1-Assumptions!$C$8)),1,0)</f>
        <v/>
      </c>
      <c r="Y2732">
        <f>IF(ISNUMBER(Q2732),1,0)</f>
        <v/>
      </c>
      <c r="Z2732">
        <f>IF(AND(K2732=0,L2732=0,Y2732=0),1,0)</f>
        <v/>
      </c>
      <c r="AA2732">
        <f>IF(AND(Z2732=1,G2732&lt;Assumptions!$C$6),1,0)</f>
        <v/>
      </c>
      <c r="AB2732">
        <f>IF(U2732=0,"",IF(Y2732=1,MAX(0,Q2732-G2732),IF(L2732=1,MAX(0,R2732-G2732),MAX(0,Assumptions!$C$6-G2732))))</f>
        <v/>
      </c>
      <c r="AC2732">
        <f>IF(Y2732=1,Q2732-F2732,"")</f>
        <v/>
      </c>
      <c r="AD2732">
        <f>IF(Y2732=1,AC2732^2,"")</f>
        <v/>
      </c>
      <c r="AE2732" s="19">
        <f>IF(Z2732=1,(H2732-M2732)*I2732,0)</f>
        <v/>
      </c>
      <c r="AF2732">
        <f>IF(G2732&lt;EDATE(Assumptions!$C$6,-12)+1,"prior_12m","last_12m")</f>
        <v/>
      </c>
      <c r="AG2732" s="21">
        <f>DATE(YEAR(G2732),MONTH(G2732),1)</f>
        <v/>
      </c>
    </row>
    <row r="2733">
      <c r="A2733" t="inlineStr">
        <is>
          <t>SPO-01475-1</t>
        </is>
      </c>
      <c r="B2733" t="inlineStr">
        <is>
          <t>SPO-01475</t>
        </is>
      </c>
      <c r="C2733" t="inlineStr">
        <is>
          <t>SUP-12</t>
        </is>
      </c>
      <c r="D2733" t="inlineStr">
        <is>
          <t>IT</t>
        </is>
      </c>
      <c r="E2733" t="inlineStr">
        <is>
          <t>IT-02</t>
        </is>
      </c>
      <c r="F2733" s="17" t="n">
        <v>45976</v>
      </c>
      <c r="G2733" s="17" t="n">
        <v>45986</v>
      </c>
      <c r="H2733" s="18" t="n">
        <v>10</v>
      </c>
      <c r="I2733" s="19" t="n">
        <v>189.25</v>
      </c>
      <c r="J2733" s="19" t="n">
        <v>162</v>
      </c>
      <c r="K2733" s="20" t="n">
        <v>0</v>
      </c>
      <c r="L2733" s="20" t="n">
        <v>0</v>
      </c>
      <c r="M2733" s="18" t="n">
        <v>10</v>
      </c>
      <c r="N2733" s="18" t="n">
        <v>10</v>
      </c>
      <c r="O2733" s="18" t="n">
        <v>0</v>
      </c>
      <c r="P2733" s="17" t="n">
        <v>45985</v>
      </c>
      <c r="Q2733" s="17" t="n">
        <v>45985</v>
      </c>
      <c r="R2733" s="17" t="n">
        <v>45985</v>
      </c>
      <c r="S2733" s="19">
        <f>H2733*I2733</f>
        <v/>
      </c>
      <c r="T2733" s="19">
        <f>H2733*J2733</f>
        <v/>
      </c>
      <c r="U2733">
        <f>IF(AND(K2733=0,G2733&lt;=Assumptions!$C$6),1,0)</f>
        <v/>
      </c>
      <c r="V2733">
        <f>IF(U2733=1,IF(M2733&gt;0,IF(P2733&lt;=G2733+Assumptions!$C$7,1,0),0),0)</f>
        <v/>
      </c>
      <c r="W2733">
        <f>IF(AND(U2733=1,M2733&gt;=H2733*(1-Assumptions!$C$8)),1,0)</f>
        <v/>
      </c>
      <c r="X2733">
        <f>IF(AND(U2733=1,N2733&gt;=H2733*(1-Assumptions!$C$8)),1,0)</f>
        <v/>
      </c>
      <c r="Y2733">
        <f>IF(ISNUMBER(Q2733),1,0)</f>
        <v/>
      </c>
      <c r="Z2733">
        <f>IF(AND(K2733=0,L2733=0,Y2733=0),1,0)</f>
        <v/>
      </c>
      <c r="AA2733">
        <f>IF(AND(Z2733=1,G2733&lt;Assumptions!$C$6),1,0)</f>
        <v/>
      </c>
      <c r="AB2733">
        <f>IF(U2733=0,"",IF(Y2733=1,MAX(0,Q2733-G2733),IF(L2733=1,MAX(0,R2733-G2733),MAX(0,Assumptions!$C$6-G2733))))</f>
        <v/>
      </c>
      <c r="AC2733">
        <f>IF(Y2733=1,Q2733-F2733,"")</f>
        <v/>
      </c>
      <c r="AD2733">
        <f>IF(Y2733=1,AC2733^2,"")</f>
        <v/>
      </c>
      <c r="AE2733" s="19">
        <f>IF(Z2733=1,(H2733-M2733)*I2733,0)</f>
        <v/>
      </c>
      <c r="AF2733">
        <f>IF(G2733&lt;EDATE(Assumptions!$C$6,-12)+1,"prior_12m","last_12m")</f>
        <v/>
      </c>
      <c r="AG2733" s="21">
        <f>DATE(YEAR(G2733),MONTH(G2733),1)</f>
        <v/>
      </c>
    </row>
    <row r="2734">
      <c r="A2734" t="inlineStr">
        <is>
          <t>SPO-01476-1</t>
        </is>
      </c>
      <c r="B2734" t="inlineStr">
        <is>
          <t>SPO-01476</t>
        </is>
      </c>
      <c r="C2734" t="inlineStr">
        <is>
          <t>SUP-05</t>
        </is>
      </c>
      <c r="D2734" t="inlineStr">
        <is>
          <t>FLEET</t>
        </is>
      </c>
      <c r="E2734" t="inlineStr">
        <is>
          <t>FLEET-08</t>
        </is>
      </c>
      <c r="F2734" s="17" t="n">
        <v>45977</v>
      </c>
      <c r="G2734" s="17" t="n">
        <v>45991</v>
      </c>
      <c r="H2734" s="18" t="n">
        <v>280</v>
      </c>
      <c r="I2734" s="19" t="n">
        <v>6.39</v>
      </c>
      <c r="J2734" s="19" t="n">
        <v>6.4</v>
      </c>
      <c r="K2734" s="20" t="n">
        <v>0</v>
      </c>
      <c r="L2734" s="20" t="n">
        <v>0</v>
      </c>
      <c r="M2734" s="18" t="n">
        <v>280</v>
      </c>
      <c r="N2734" s="18" t="n">
        <v>280</v>
      </c>
      <c r="O2734" s="18" t="n">
        <v>0</v>
      </c>
      <c r="P2734" s="17" t="n">
        <v>45990</v>
      </c>
      <c r="Q2734" s="17" t="n">
        <v>45990</v>
      </c>
      <c r="R2734" s="17" t="n">
        <v>45990</v>
      </c>
      <c r="S2734" s="19">
        <f>H2734*I2734</f>
        <v/>
      </c>
      <c r="T2734" s="19">
        <f>H2734*J2734</f>
        <v/>
      </c>
      <c r="U2734">
        <f>IF(AND(K2734=0,G2734&lt;=Assumptions!$C$6),1,0)</f>
        <v/>
      </c>
      <c r="V2734">
        <f>IF(U2734=1,IF(M2734&gt;0,IF(P2734&lt;=G2734+Assumptions!$C$7,1,0),0),0)</f>
        <v/>
      </c>
      <c r="W2734">
        <f>IF(AND(U2734=1,M2734&gt;=H2734*(1-Assumptions!$C$8)),1,0)</f>
        <v/>
      </c>
      <c r="X2734">
        <f>IF(AND(U2734=1,N2734&gt;=H2734*(1-Assumptions!$C$8)),1,0)</f>
        <v/>
      </c>
      <c r="Y2734">
        <f>IF(ISNUMBER(Q2734),1,0)</f>
        <v/>
      </c>
      <c r="Z2734">
        <f>IF(AND(K2734=0,L2734=0,Y2734=0),1,0)</f>
        <v/>
      </c>
      <c r="AA2734">
        <f>IF(AND(Z2734=1,G2734&lt;Assumptions!$C$6),1,0)</f>
        <v/>
      </c>
      <c r="AB2734">
        <f>IF(U2734=0,"",IF(Y2734=1,MAX(0,Q2734-G2734),IF(L2734=1,MAX(0,R2734-G2734),MAX(0,Assumptions!$C$6-G2734))))</f>
        <v/>
      </c>
      <c r="AC2734">
        <f>IF(Y2734=1,Q2734-F2734,"")</f>
        <v/>
      </c>
      <c r="AD2734">
        <f>IF(Y2734=1,AC2734^2,"")</f>
        <v/>
      </c>
      <c r="AE2734" s="19">
        <f>IF(Z2734=1,(H2734-M2734)*I2734,0)</f>
        <v/>
      </c>
      <c r="AF2734">
        <f>IF(G2734&lt;EDATE(Assumptions!$C$6,-12)+1,"prior_12m","last_12m")</f>
        <v/>
      </c>
      <c r="AG2734" s="21">
        <f>DATE(YEAR(G2734),MONTH(G2734),1)</f>
        <v/>
      </c>
    </row>
    <row r="2735">
      <c r="A2735" t="inlineStr">
        <is>
          <t>SPO-01476-2</t>
        </is>
      </c>
      <c r="B2735" t="inlineStr">
        <is>
          <t>SPO-01476</t>
        </is>
      </c>
      <c r="C2735" t="inlineStr">
        <is>
          <t>SUP-05</t>
        </is>
      </c>
      <c r="D2735" t="inlineStr">
        <is>
          <t>FLEET</t>
        </is>
      </c>
      <c r="E2735" t="inlineStr">
        <is>
          <t>FLEET-07</t>
        </is>
      </c>
      <c r="F2735" s="17" t="n">
        <v>45977</v>
      </c>
      <c r="G2735" s="17" t="n">
        <v>45991</v>
      </c>
      <c r="H2735" s="18" t="n">
        <v>11</v>
      </c>
      <c r="I2735" s="19" t="n">
        <v>123.58</v>
      </c>
      <c r="J2735" s="19" t="n">
        <v>118</v>
      </c>
      <c r="K2735" s="20" t="n">
        <v>0</v>
      </c>
      <c r="L2735" s="20" t="n">
        <v>0</v>
      </c>
      <c r="M2735" s="18" t="n">
        <v>11</v>
      </c>
      <c r="N2735" s="18" t="n">
        <v>11</v>
      </c>
      <c r="O2735" s="18" t="n">
        <v>0</v>
      </c>
      <c r="P2735" s="17" t="n">
        <v>45991</v>
      </c>
      <c r="Q2735" s="17" t="n">
        <v>45991</v>
      </c>
      <c r="R2735" s="17" t="n">
        <v>45991</v>
      </c>
      <c r="S2735" s="19">
        <f>H2735*I2735</f>
        <v/>
      </c>
      <c r="T2735" s="19">
        <f>H2735*J2735</f>
        <v/>
      </c>
      <c r="U2735">
        <f>IF(AND(K2735=0,G2735&lt;=Assumptions!$C$6),1,0)</f>
        <v/>
      </c>
      <c r="V2735">
        <f>IF(U2735=1,IF(M2735&gt;0,IF(P2735&lt;=G2735+Assumptions!$C$7,1,0),0),0)</f>
        <v/>
      </c>
      <c r="W2735">
        <f>IF(AND(U2735=1,M2735&gt;=H2735*(1-Assumptions!$C$8)),1,0)</f>
        <v/>
      </c>
      <c r="X2735">
        <f>IF(AND(U2735=1,N2735&gt;=H2735*(1-Assumptions!$C$8)),1,0)</f>
        <v/>
      </c>
      <c r="Y2735">
        <f>IF(ISNUMBER(Q2735),1,0)</f>
        <v/>
      </c>
      <c r="Z2735">
        <f>IF(AND(K2735=0,L2735=0,Y2735=0),1,0)</f>
        <v/>
      </c>
      <c r="AA2735">
        <f>IF(AND(Z2735=1,G2735&lt;Assumptions!$C$6),1,0)</f>
        <v/>
      </c>
      <c r="AB2735">
        <f>IF(U2735=0,"",IF(Y2735=1,MAX(0,Q2735-G2735),IF(L2735=1,MAX(0,R2735-G2735),MAX(0,Assumptions!$C$6-G2735))))</f>
        <v/>
      </c>
      <c r="AC2735">
        <f>IF(Y2735=1,Q2735-F2735,"")</f>
        <v/>
      </c>
      <c r="AD2735">
        <f>IF(Y2735=1,AC2735^2,"")</f>
        <v/>
      </c>
      <c r="AE2735" s="19">
        <f>IF(Z2735=1,(H2735-M2735)*I2735,0)</f>
        <v/>
      </c>
      <c r="AF2735">
        <f>IF(G2735&lt;EDATE(Assumptions!$C$6,-12)+1,"prior_12m","last_12m")</f>
        <v/>
      </c>
      <c r="AG2735" s="21">
        <f>DATE(YEAR(G2735),MONTH(G2735),1)</f>
        <v/>
      </c>
    </row>
    <row r="2736">
      <c r="A2736" t="inlineStr">
        <is>
          <t>SPO-01476-3</t>
        </is>
      </c>
      <c r="B2736" t="inlineStr">
        <is>
          <t>SPO-01476</t>
        </is>
      </c>
      <c r="C2736" t="inlineStr">
        <is>
          <t>SUP-05</t>
        </is>
      </c>
      <c r="D2736" t="inlineStr">
        <is>
          <t>FLEET</t>
        </is>
      </c>
      <c r="E2736" t="inlineStr">
        <is>
          <t>FLEET-03</t>
        </is>
      </c>
      <c r="F2736" s="17" t="n">
        <v>45977</v>
      </c>
      <c r="G2736" s="17" t="n">
        <v>45991</v>
      </c>
      <c r="H2736" s="18" t="n">
        <v>135</v>
      </c>
      <c r="I2736" s="19" t="n">
        <v>22.5</v>
      </c>
      <c r="J2736" s="19" t="n">
        <v>21</v>
      </c>
      <c r="K2736" s="20" t="n">
        <v>0</v>
      </c>
      <c r="L2736" s="20" t="n">
        <v>0</v>
      </c>
      <c r="M2736" s="18" t="n">
        <v>135</v>
      </c>
      <c r="N2736" s="18" t="n">
        <v>135</v>
      </c>
      <c r="O2736" s="18" t="n">
        <v>21</v>
      </c>
      <c r="P2736" s="17" t="n">
        <v>45986</v>
      </c>
      <c r="Q2736" s="17" t="n">
        <v>45986</v>
      </c>
      <c r="R2736" s="17" t="n">
        <v>45986</v>
      </c>
      <c r="S2736" s="19">
        <f>H2736*I2736</f>
        <v/>
      </c>
      <c r="T2736" s="19">
        <f>H2736*J2736</f>
        <v/>
      </c>
      <c r="U2736">
        <f>IF(AND(K2736=0,G2736&lt;=Assumptions!$C$6),1,0)</f>
        <v/>
      </c>
      <c r="V2736">
        <f>IF(U2736=1,IF(M2736&gt;0,IF(P2736&lt;=G2736+Assumptions!$C$7,1,0),0),0)</f>
        <v/>
      </c>
      <c r="W2736">
        <f>IF(AND(U2736=1,M2736&gt;=H2736*(1-Assumptions!$C$8)),1,0)</f>
        <v/>
      </c>
      <c r="X2736">
        <f>IF(AND(U2736=1,N2736&gt;=H2736*(1-Assumptions!$C$8)),1,0)</f>
        <v/>
      </c>
      <c r="Y2736">
        <f>IF(ISNUMBER(Q2736),1,0)</f>
        <v/>
      </c>
      <c r="Z2736">
        <f>IF(AND(K2736=0,L2736=0,Y2736=0),1,0)</f>
        <v/>
      </c>
      <c r="AA2736">
        <f>IF(AND(Z2736=1,G2736&lt;Assumptions!$C$6),1,0)</f>
        <v/>
      </c>
      <c r="AB2736">
        <f>IF(U2736=0,"",IF(Y2736=1,MAX(0,Q2736-G2736),IF(L2736=1,MAX(0,R2736-G2736),MAX(0,Assumptions!$C$6-G2736))))</f>
        <v/>
      </c>
      <c r="AC2736">
        <f>IF(Y2736=1,Q2736-F2736,"")</f>
        <v/>
      </c>
      <c r="AD2736">
        <f>IF(Y2736=1,AC2736^2,"")</f>
        <v/>
      </c>
      <c r="AE2736" s="19">
        <f>IF(Z2736=1,(H2736-M2736)*I2736,0)</f>
        <v/>
      </c>
      <c r="AF2736">
        <f>IF(G2736&lt;EDATE(Assumptions!$C$6,-12)+1,"prior_12m","last_12m")</f>
        <v/>
      </c>
      <c r="AG2736" s="21">
        <f>DATE(YEAR(G2736),MONTH(G2736),1)</f>
        <v/>
      </c>
    </row>
    <row r="2737">
      <c r="A2737" t="inlineStr">
        <is>
          <t>SPO-01476-4</t>
        </is>
      </c>
      <c r="B2737" t="inlineStr">
        <is>
          <t>SPO-01476</t>
        </is>
      </c>
      <c r="C2737" t="inlineStr">
        <is>
          <t>SUP-05</t>
        </is>
      </c>
      <c r="D2737" t="inlineStr">
        <is>
          <t>FLEET</t>
        </is>
      </c>
      <c r="E2737" t="inlineStr">
        <is>
          <t>FLEET-06</t>
        </is>
      </c>
      <c r="F2737" s="17" t="n">
        <v>45977</v>
      </c>
      <c r="G2737" s="17" t="n">
        <v>45991</v>
      </c>
      <c r="H2737" s="18" t="n">
        <v>72</v>
      </c>
      <c r="I2737" s="19" t="n">
        <v>34.15</v>
      </c>
      <c r="J2737" s="19" t="n">
        <v>33</v>
      </c>
      <c r="K2737" s="20" t="n">
        <v>0</v>
      </c>
      <c r="L2737" s="20" t="n">
        <v>0</v>
      </c>
      <c r="M2737" s="18" t="n">
        <v>72</v>
      </c>
      <c r="N2737" s="18" t="n">
        <v>72</v>
      </c>
      <c r="O2737" s="18" t="n">
        <v>0</v>
      </c>
      <c r="P2737" s="17" t="n">
        <v>45986</v>
      </c>
      <c r="Q2737" s="17" t="n">
        <v>45986</v>
      </c>
      <c r="R2737" s="17" t="n">
        <v>45986</v>
      </c>
      <c r="S2737" s="19">
        <f>H2737*I2737</f>
        <v/>
      </c>
      <c r="T2737" s="19">
        <f>H2737*J2737</f>
        <v/>
      </c>
      <c r="U2737">
        <f>IF(AND(K2737=0,G2737&lt;=Assumptions!$C$6),1,0)</f>
        <v/>
      </c>
      <c r="V2737">
        <f>IF(U2737=1,IF(M2737&gt;0,IF(P2737&lt;=G2737+Assumptions!$C$7,1,0),0),0)</f>
        <v/>
      </c>
      <c r="W2737">
        <f>IF(AND(U2737=1,M2737&gt;=H2737*(1-Assumptions!$C$8)),1,0)</f>
        <v/>
      </c>
      <c r="X2737">
        <f>IF(AND(U2737=1,N2737&gt;=H2737*(1-Assumptions!$C$8)),1,0)</f>
        <v/>
      </c>
      <c r="Y2737">
        <f>IF(ISNUMBER(Q2737),1,0)</f>
        <v/>
      </c>
      <c r="Z2737">
        <f>IF(AND(K2737=0,L2737=0,Y2737=0),1,0)</f>
        <v/>
      </c>
      <c r="AA2737">
        <f>IF(AND(Z2737=1,G2737&lt;Assumptions!$C$6),1,0)</f>
        <v/>
      </c>
      <c r="AB2737">
        <f>IF(U2737=0,"",IF(Y2737=1,MAX(0,Q2737-G2737),IF(L2737=1,MAX(0,R2737-G2737),MAX(0,Assumptions!$C$6-G2737))))</f>
        <v/>
      </c>
      <c r="AC2737">
        <f>IF(Y2737=1,Q2737-F2737,"")</f>
        <v/>
      </c>
      <c r="AD2737">
        <f>IF(Y2737=1,AC2737^2,"")</f>
        <v/>
      </c>
      <c r="AE2737" s="19">
        <f>IF(Z2737=1,(H2737-M2737)*I2737,0)</f>
        <v/>
      </c>
      <c r="AF2737">
        <f>IF(G2737&lt;EDATE(Assumptions!$C$6,-12)+1,"prior_12m","last_12m")</f>
        <v/>
      </c>
      <c r="AG2737" s="21">
        <f>DATE(YEAR(G2737),MONTH(G2737),1)</f>
        <v/>
      </c>
    </row>
    <row r="2738">
      <c r="A2738" t="inlineStr">
        <is>
          <t>SPO-01477-1</t>
        </is>
      </c>
      <c r="B2738" t="inlineStr">
        <is>
          <t>SPO-01477</t>
        </is>
      </c>
      <c r="C2738" t="inlineStr">
        <is>
          <t>SUP-06</t>
        </is>
      </c>
      <c r="D2738" t="inlineStr">
        <is>
          <t>MRO</t>
        </is>
      </c>
      <c r="E2738" t="inlineStr">
        <is>
          <t>MRO-05</t>
        </is>
      </c>
      <c r="F2738" s="17" t="n">
        <v>45977</v>
      </c>
      <c r="G2738" s="17" t="n">
        <v>45985</v>
      </c>
      <c r="H2738" s="18" t="n">
        <v>20</v>
      </c>
      <c r="I2738" s="19" t="n">
        <v>35.87</v>
      </c>
      <c r="J2738" s="19" t="n">
        <v>36</v>
      </c>
      <c r="K2738" s="20" t="n">
        <v>0</v>
      </c>
      <c r="L2738" s="20" t="n">
        <v>0</v>
      </c>
      <c r="M2738" s="18" t="n">
        <v>20</v>
      </c>
      <c r="N2738" s="18" t="n">
        <v>20</v>
      </c>
      <c r="O2738" s="18" t="n">
        <v>0</v>
      </c>
      <c r="P2738" s="17" t="n">
        <v>45984</v>
      </c>
      <c r="Q2738" s="17" t="n">
        <v>45984</v>
      </c>
      <c r="R2738" s="17" t="n">
        <v>45984</v>
      </c>
      <c r="S2738" s="19">
        <f>H2738*I2738</f>
        <v/>
      </c>
      <c r="T2738" s="19">
        <f>H2738*J2738</f>
        <v/>
      </c>
      <c r="U2738">
        <f>IF(AND(K2738=0,G2738&lt;=Assumptions!$C$6),1,0)</f>
        <v/>
      </c>
      <c r="V2738">
        <f>IF(U2738=1,IF(M2738&gt;0,IF(P2738&lt;=G2738+Assumptions!$C$7,1,0),0),0)</f>
        <v/>
      </c>
      <c r="W2738">
        <f>IF(AND(U2738=1,M2738&gt;=H2738*(1-Assumptions!$C$8)),1,0)</f>
        <v/>
      </c>
      <c r="X2738">
        <f>IF(AND(U2738=1,N2738&gt;=H2738*(1-Assumptions!$C$8)),1,0)</f>
        <v/>
      </c>
      <c r="Y2738">
        <f>IF(ISNUMBER(Q2738),1,0)</f>
        <v/>
      </c>
      <c r="Z2738">
        <f>IF(AND(K2738=0,L2738=0,Y2738=0),1,0)</f>
        <v/>
      </c>
      <c r="AA2738">
        <f>IF(AND(Z2738=1,G2738&lt;Assumptions!$C$6),1,0)</f>
        <v/>
      </c>
      <c r="AB2738">
        <f>IF(U2738=0,"",IF(Y2738=1,MAX(0,Q2738-G2738),IF(L2738=1,MAX(0,R2738-G2738),MAX(0,Assumptions!$C$6-G2738))))</f>
        <v/>
      </c>
      <c r="AC2738">
        <f>IF(Y2738=1,Q2738-F2738,"")</f>
        <v/>
      </c>
      <c r="AD2738">
        <f>IF(Y2738=1,AC2738^2,"")</f>
        <v/>
      </c>
      <c r="AE2738" s="19">
        <f>IF(Z2738=1,(H2738-M2738)*I2738,0)</f>
        <v/>
      </c>
      <c r="AF2738">
        <f>IF(G2738&lt;EDATE(Assumptions!$C$6,-12)+1,"prior_12m","last_12m")</f>
        <v/>
      </c>
      <c r="AG2738" s="21">
        <f>DATE(YEAR(G2738),MONTH(G2738),1)</f>
        <v/>
      </c>
    </row>
    <row r="2739">
      <c r="A2739" t="inlineStr">
        <is>
          <t>SPO-01478-1</t>
        </is>
      </c>
      <c r="B2739" t="inlineStr">
        <is>
          <t>SPO-01478</t>
        </is>
      </c>
      <c r="C2739" t="inlineStr">
        <is>
          <t>SUP-02</t>
        </is>
      </c>
      <c r="D2739" t="inlineStr">
        <is>
          <t>ELEC</t>
        </is>
      </c>
      <c r="E2739" t="inlineStr">
        <is>
          <t>ELEC-06</t>
        </is>
      </c>
      <c r="F2739" s="17" t="n">
        <v>45977</v>
      </c>
      <c r="G2739" s="17" t="n">
        <v>45993</v>
      </c>
      <c r="H2739" s="18" t="n">
        <v>14</v>
      </c>
      <c r="I2739" s="19" t="n">
        <v>145.86</v>
      </c>
      <c r="J2739" s="19" t="n">
        <v>145</v>
      </c>
      <c r="K2739" s="20" t="n">
        <v>0</v>
      </c>
      <c r="L2739" s="20" t="n">
        <v>0</v>
      </c>
      <c r="M2739" s="18" t="n">
        <v>14</v>
      </c>
      <c r="N2739" s="18" t="n">
        <v>14</v>
      </c>
      <c r="O2739" s="18" t="n">
        <v>0</v>
      </c>
      <c r="P2739" s="17" t="n">
        <v>45993</v>
      </c>
      <c r="Q2739" s="17" t="n">
        <v>45993</v>
      </c>
      <c r="R2739" s="17" t="n">
        <v>45993</v>
      </c>
      <c r="S2739" s="19">
        <f>H2739*I2739</f>
        <v/>
      </c>
      <c r="T2739" s="19">
        <f>H2739*J2739</f>
        <v/>
      </c>
      <c r="U2739">
        <f>IF(AND(K2739=0,G2739&lt;=Assumptions!$C$6),1,0)</f>
        <v/>
      </c>
      <c r="V2739">
        <f>IF(U2739=1,IF(M2739&gt;0,IF(P2739&lt;=G2739+Assumptions!$C$7,1,0),0),0)</f>
        <v/>
      </c>
      <c r="W2739">
        <f>IF(AND(U2739=1,M2739&gt;=H2739*(1-Assumptions!$C$8)),1,0)</f>
        <v/>
      </c>
      <c r="X2739">
        <f>IF(AND(U2739=1,N2739&gt;=H2739*(1-Assumptions!$C$8)),1,0)</f>
        <v/>
      </c>
      <c r="Y2739">
        <f>IF(ISNUMBER(Q2739),1,0)</f>
        <v/>
      </c>
      <c r="Z2739">
        <f>IF(AND(K2739=0,L2739=0,Y2739=0),1,0)</f>
        <v/>
      </c>
      <c r="AA2739">
        <f>IF(AND(Z2739=1,G2739&lt;Assumptions!$C$6),1,0)</f>
        <v/>
      </c>
      <c r="AB2739">
        <f>IF(U2739=0,"",IF(Y2739=1,MAX(0,Q2739-G2739),IF(L2739=1,MAX(0,R2739-G2739),MAX(0,Assumptions!$C$6-G2739))))</f>
        <v/>
      </c>
      <c r="AC2739">
        <f>IF(Y2739=1,Q2739-F2739,"")</f>
        <v/>
      </c>
      <c r="AD2739">
        <f>IF(Y2739=1,AC2739^2,"")</f>
        <v/>
      </c>
      <c r="AE2739" s="19">
        <f>IF(Z2739=1,(H2739-M2739)*I2739,0)</f>
        <v/>
      </c>
      <c r="AF2739">
        <f>IF(G2739&lt;EDATE(Assumptions!$C$6,-12)+1,"prior_12m","last_12m")</f>
        <v/>
      </c>
      <c r="AG2739" s="21">
        <f>DATE(YEAR(G2739),MONTH(G2739),1)</f>
        <v/>
      </c>
    </row>
    <row r="2740">
      <c r="A2740" t="inlineStr">
        <is>
          <t>SPO-01478-2</t>
        </is>
      </c>
      <c r="B2740" t="inlineStr">
        <is>
          <t>SPO-01478</t>
        </is>
      </c>
      <c r="C2740" t="inlineStr">
        <is>
          <t>SUP-02</t>
        </is>
      </c>
      <c r="D2740" t="inlineStr">
        <is>
          <t>ELEC</t>
        </is>
      </c>
      <c r="E2740" t="inlineStr">
        <is>
          <t>ELEC-03</t>
        </is>
      </c>
      <c r="F2740" s="17" t="n">
        <v>45977</v>
      </c>
      <c r="G2740" s="17" t="n">
        <v>45993</v>
      </c>
      <c r="H2740" s="18" t="n">
        <v>11</v>
      </c>
      <c r="I2740" s="19" t="n">
        <v>97.23999999999999</v>
      </c>
      <c r="J2740" s="19" t="n">
        <v>96</v>
      </c>
      <c r="K2740" s="20" t="n">
        <v>0</v>
      </c>
      <c r="L2740" s="20" t="n">
        <v>0</v>
      </c>
      <c r="M2740" s="18" t="n">
        <v>11</v>
      </c>
      <c r="N2740" s="18" t="n">
        <v>11</v>
      </c>
      <c r="O2740" s="18" t="n">
        <v>0</v>
      </c>
      <c r="P2740" s="17" t="n">
        <v>45991</v>
      </c>
      <c r="Q2740" s="17" t="n">
        <v>45991</v>
      </c>
      <c r="R2740" s="17" t="n">
        <v>45991</v>
      </c>
      <c r="S2740" s="19">
        <f>H2740*I2740</f>
        <v/>
      </c>
      <c r="T2740" s="19">
        <f>H2740*J2740</f>
        <v/>
      </c>
      <c r="U2740">
        <f>IF(AND(K2740=0,G2740&lt;=Assumptions!$C$6),1,0)</f>
        <v/>
      </c>
      <c r="V2740">
        <f>IF(U2740=1,IF(M2740&gt;0,IF(P2740&lt;=G2740+Assumptions!$C$7,1,0),0),0)</f>
        <v/>
      </c>
      <c r="W2740">
        <f>IF(AND(U2740=1,M2740&gt;=H2740*(1-Assumptions!$C$8)),1,0)</f>
        <v/>
      </c>
      <c r="X2740">
        <f>IF(AND(U2740=1,N2740&gt;=H2740*(1-Assumptions!$C$8)),1,0)</f>
        <v/>
      </c>
      <c r="Y2740">
        <f>IF(ISNUMBER(Q2740),1,0)</f>
        <v/>
      </c>
      <c r="Z2740">
        <f>IF(AND(K2740=0,L2740=0,Y2740=0),1,0)</f>
        <v/>
      </c>
      <c r="AA2740">
        <f>IF(AND(Z2740=1,G2740&lt;Assumptions!$C$6),1,0)</f>
        <v/>
      </c>
      <c r="AB2740">
        <f>IF(U2740=0,"",IF(Y2740=1,MAX(0,Q2740-G2740),IF(L2740=1,MAX(0,R2740-G2740),MAX(0,Assumptions!$C$6-G2740))))</f>
        <v/>
      </c>
      <c r="AC2740">
        <f>IF(Y2740=1,Q2740-F2740,"")</f>
        <v/>
      </c>
      <c r="AD2740">
        <f>IF(Y2740=1,AC2740^2,"")</f>
        <v/>
      </c>
      <c r="AE2740" s="19">
        <f>IF(Z2740=1,(H2740-M2740)*I2740,0)</f>
        <v/>
      </c>
      <c r="AF2740">
        <f>IF(G2740&lt;EDATE(Assumptions!$C$6,-12)+1,"prior_12m","last_12m")</f>
        <v/>
      </c>
      <c r="AG2740" s="21">
        <f>DATE(YEAR(G2740),MONTH(G2740),1)</f>
        <v/>
      </c>
    </row>
    <row r="2741">
      <c r="A2741" t="inlineStr">
        <is>
          <t>SPO-01479-1</t>
        </is>
      </c>
      <c r="B2741" t="inlineStr">
        <is>
          <t>SPO-01479</t>
        </is>
      </c>
      <c r="C2741" t="inlineStr">
        <is>
          <t>SUP-06</t>
        </is>
      </c>
      <c r="D2741" t="inlineStr">
        <is>
          <t>MRO</t>
        </is>
      </c>
      <c r="E2741" t="inlineStr">
        <is>
          <t>MRO-01</t>
        </is>
      </c>
      <c r="F2741" s="17" t="n">
        <v>45977</v>
      </c>
      <c r="G2741" s="17" t="n">
        <v>45985</v>
      </c>
      <c r="H2741" s="18" t="n">
        <v>19</v>
      </c>
      <c r="I2741" s="19" t="n">
        <v>50.4</v>
      </c>
      <c r="J2741" s="19" t="n">
        <v>52</v>
      </c>
      <c r="K2741" s="20" t="n">
        <v>0</v>
      </c>
      <c r="L2741" s="20" t="n">
        <v>0</v>
      </c>
      <c r="M2741" s="18" t="n">
        <v>19</v>
      </c>
      <c r="N2741" s="18" t="n">
        <v>19</v>
      </c>
      <c r="O2741" s="18" t="n">
        <v>0</v>
      </c>
      <c r="P2741" s="17" t="n">
        <v>45983</v>
      </c>
      <c r="Q2741" s="17" t="n">
        <v>45983</v>
      </c>
      <c r="R2741" s="17" t="n">
        <v>45983</v>
      </c>
      <c r="S2741" s="19">
        <f>H2741*I2741</f>
        <v/>
      </c>
      <c r="T2741" s="19">
        <f>H2741*J2741</f>
        <v/>
      </c>
      <c r="U2741">
        <f>IF(AND(K2741=0,G2741&lt;=Assumptions!$C$6),1,0)</f>
        <v/>
      </c>
      <c r="V2741">
        <f>IF(U2741=1,IF(M2741&gt;0,IF(P2741&lt;=G2741+Assumptions!$C$7,1,0),0),0)</f>
        <v/>
      </c>
      <c r="W2741">
        <f>IF(AND(U2741=1,M2741&gt;=H2741*(1-Assumptions!$C$8)),1,0)</f>
        <v/>
      </c>
      <c r="X2741">
        <f>IF(AND(U2741=1,N2741&gt;=H2741*(1-Assumptions!$C$8)),1,0)</f>
        <v/>
      </c>
      <c r="Y2741">
        <f>IF(ISNUMBER(Q2741),1,0)</f>
        <v/>
      </c>
      <c r="Z2741">
        <f>IF(AND(K2741=0,L2741=0,Y2741=0),1,0)</f>
        <v/>
      </c>
      <c r="AA2741">
        <f>IF(AND(Z2741=1,G2741&lt;Assumptions!$C$6),1,0)</f>
        <v/>
      </c>
      <c r="AB2741">
        <f>IF(U2741=0,"",IF(Y2741=1,MAX(0,Q2741-G2741),IF(L2741=1,MAX(0,R2741-G2741),MAX(0,Assumptions!$C$6-G2741))))</f>
        <v/>
      </c>
      <c r="AC2741">
        <f>IF(Y2741=1,Q2741-F2741,"")</f>
        <v/>
      </c>
      <c r="AD2741">
        <f>IF(Y2741=1,AC2741^2,"")</f>
        <v/>
      </c>
      <c r="AE2741" s="19">
        <f>IF(Z2741=1,(H2741-M2741)*I2741,0)</f>
        <v/>
      </c>
      <c r="AF2741">
        <f>IF(G2741&lt;EDATE(Assumptions!$C$6,-12)+1,"prior_12m","last_12m")</f>
        <v/>
      </c>
      <c r="AG2741" s="21">
        <f>DATE(YEAR(G2741),MONTH(G2741),1)</f>
        <v/>
      </c>
    </row>
    <row r="2742">
      <c r="A2742" t="inlineStr">
        <is>
          <t>SPO-01479-2</t>
        </is>
      </c>
      <c r="B2742" t="inlineStr">
        <is>
          <t>SPO-01479</t>
        </is>
      </c>
      <c r="C2742" t="inlineStr">
        <is>
          <t>SUP-06</t>
        </is>
      </c>
      <c r="D2742" t="inlineStr">
        <is>
          <t>MRO</t>
        </is>
      </c>
      <c r="E2742" t="inlineStr">
        <is>
          <t>MRO-08</t>
        </is>
      </c>
      <c r="F2742" s="17" t="n">
        <v>45977</v>
      </c>
      <c r="G2742" s="17" t="n">
        <v>45985</v>
      </c>
      <c r="H2742" s="18" t="n">
        <v>256</v>
      </c>
      <c r="I2742" s="19" t="n">
        <v>7.09</v>
      </c>
      <c r="J2742" s="19" t="n">
        <v>7.2</v>
      </c>
      <c r="K2742" s="20" t="n">
        <v>0</v>
      </c>
      <c r="L2742" s="20" t="n">
        <v>0</v>
      </c>
      <c r="M2742" s="18" t="n">
        <v>256</v>
      </c>
      <c r="N2742" s="18" t="n">
        <v>256</v>
      </c>
      <c r="O2742" s="18" t="n">
        <v>0</v>
      </c>
      <c r="P2742" s="17" t="n">
        <v>45985</v>
      </c>
      <c r="Q2742" s="17" t="n">
        <v>45985</v>
      </c>
      <c r="R2742" s="17" t="n">
        <v>45985</v>
      </c>
      <c r="S2742" s="19">
        <f>H2742*I2742</f>
        <v/>
      </c>
      <c r="T2742" s="19">
        <f>H2742*J2742</f>
        <v/>
      </c>
      <c r="U2742">
        <f>IF(AND(K2742=0,G2742&lt;=Assumptions!$C$6),1,0)</f>
        <v/>
      </c>
      <c r="V2742">
        <f>IF(U2742=1,IF(M2742&gt;0,IF(P2742&lt;=G2742+Assumptions!$C$7,1,0),0),0)</f>
        <v/>
      </c>
      <c r="W2742">
        <f>IF(AND(U2742=1,M2742&gt;=H2742*(1-Assumptions!$C$8)),1,0)</f>
        <v/>
      </c>
      <c r="X2742">
        <f>IF(AND(U2742=1,N2742&gt;=H2742*(1-Assumptions!$C$8)),1,0)</f>
        <v/>
      </c>
      <c r="Y2742">
        <f>IF(ISNUMBER(Q2742),1,0)</f>
        <v/>
      </c>
      <c r="Z2742">
        <f>IF(AND(K2742=0,L2742=0,Y2742=0),1,0)</f>
        <v/>
      </c>
      <c r="AA2742">
        <f>IF(AND(Z2742=1,G2742&lt;Assumptions!$C$6),1,0)</f>
        <v/>
      </c>
      <c r="AB2742">
        <f>IF(U2742=0,"",IF(Y2742=1,MAX(0,Q2742-G2742),IF(L2742=1,MAX(0,R2742-G2742),MAX(0,Assumptions!$C$6-G2742))))</f>
        <v/>
      </c>
      <c r="AC2742">
        <f>IF(Y2742=1,Q2742-F2742,"")</f>
        <v/>
      </c>
      <c r="AD2742">
        <f>IF(Y2742=1,AC2742^2,"")</f>
        <v/>
      </c>
      <c r="AE2742" s="19">
        <f>IF(Z2742=1,(H2742-M2742)*I2742,0)</f>
        <v/>
      </c>
      <c r="AF2742">
        <f>IF(G2742&lt;EDATE(Assumptions!$C$6,-12)+1,"prior_12m","last_12m")</f>
        <v/>
      </c>
      <c r="AG2742" s="21">
        <f>DATE(YEAR(G2742),MONTH(G2742),1)</f>
        <v/>
      </c>
    </row>
    <row r="2743">
      <c r="A2743" t="inlineStr">
        <is>
          <t>SPO-01480-1</t>
        </is>
      </c>
      <c r="B2743" t="inlineStr">
        <is>
          <t>SPO-01480</t>
        </is>
      </c>
      <c r="C2743" t="inlineStr">
        <is>
          <t>SUP-02</t>
        </is>
      </c>
      <c r="D2743" t="inlineStr">
        <is>
          <t>ELEC</t>
        </is>
      </c>
      <c r="E2743" t="inlineStr">
        <is>
          <t>ELEC-07</t>
        </is>
      </c>
      <c r="F2743" s="17" t="n">
        <v>45978</v>
      </c>
      <c r="G2743" s="17" t="n">
        <v>45994</v>
      </c>
      <c r="H2743" s="18" t="n">
        <v>147</v>
      </c>
      <c r="I2743" s="19" t="n">
        <v>9.869999999999999</v>
      </c>
      <c r="J2743" s="19" t="n">
        <v>9.800000000000001</v>
      </c>
      <c r="K2743" s="20" t="n">
        <v>0</v>
      </c>
      <c r="L2743" s="20" t="n">
        <v>0</v>
      </c>
      <c r="M2743" s="18" t="n">
        <v>147</v>
      </c>
      <c r="N2743" s="18" t="n">
        <v>147</v>
      </c>
      <c r="O2743" s="18" t="n">
        <v>0</v>
      </c>
      <c r="P2743" s="17" t="n">
        <v>45990</v>
      </c>
      <c r="Q2743" s="17" t="n">
        <v>45990</v>
      </c>
      <c r="R2743" s="17" t="n">
        <v>45990</v>
      </c>
      <c r="S2743" s="19">
        <f>H2743*I2743</f>
        <v/>
      </c>
      <c r="T2743" s="19">
        <f>H2743*J2743</f>
        <v/>
      </c>
      <c r="U2743">
        <f>IF(AND(K2743=0,G2743&lt;=Assumptions!$C$6),1,0)</f>
        <v/>
      </c>
      <c r="V2743">
        <f>IF(U2743=1,IF(M2743&gt;0,IF(P2743&lt;=G2743+Assumptions!$C$7,1,0),0),0)</f>
        <v/>
      </c>
      <c r="W2743">
        <f>IF(AND(U2743=1,M2743&gt;=H2743*(1-Assumptions!$C$8)),1,0)</f>
        <v/>
      </c>
      <c r="X2743">
        <f>IF(AND(U2743=1,N2743&gt;=H2743*(1-Assumptions!$C$8)),1,0)</f>
        <v/>
      </c>
      <c r="Y2743">
        <f>IF(ISNUMBER(Q2743),1,0)</f>
        <v/>
      </c>
      <c r="Z2743">
        <f>IF(AND(K2743=0,L2743=0,Y2743=0),1,0)</f>
        <v/>
      </c>
      <c r="AA2743">
        <f>IF(AND(Z2743=1,G2743&lt;Assumptions!$C$6),1,0)</f>
        <v/>
      </c>
      <c r="AB2743">
        <f>IF(U2743=0,"",IF(Y2743=1,MAX(0,Q2743-G2743),IF(L2743=1,MAX(0,R2743-G2743),MAX(0,Assumptions!$C$6-G2743))))</f>
        <v/>
      </c>
      <c r="AC2743">
        <f>IF(Y2743=1,Q2743-F2743,"")</f>
        <v/>
      </c>
      <c r="AD2743">
        <f>IF(Y2743=1,AC2743^2,"")</f>
        <v/>
      </c>
      <c r="AE2743" s="19">
        <f>IF(Z2743=1,(H2743-M2743)*I2743,0)</f>
        <v/>
      </c>
      <c r="AF2743">
        <f>IF(G2743&lt;EDATE(Assumptions!$C$6,-12)+1,"prior_12m","last_12m")</f>
        <v/>
      </c>
      <c r="AG2743" s="21">
        <f>DATE(YEAR(G2743),MONTH(G2743),1)</f>
        <v/>
      </c>
    </row>
    <row r="2744">
      <c r="A2744" t="inlineStr">
        <is>
          <t>SPO-01480-2</t>
        </is>
      </c>
      <c r="B2744" t="inlineStr">
        <is>
          <t>SPO-01480</t>
        </is>
      </c>
      <c r="C2744" t="inlineStr">
        <is>
          <t>SUP-02</t>
        </is>
      </c>
      <c r="D2744" t="inlineStr">
        <is>
          <t>ELEC</t>
        </is>
      </c>
      <c r="E2744" t="inlineStr">
        <is>
          <t>ELEC-02</t>
        </is>
      </c>
      <c r="F2744" s="17" t="n">
        <v>45978</v>
      </c>
      <c r="G2744" s="17" t="n">
        <v>45994</v>
      </c>
      <c r="H2744" s="18" t="n">
        <v>348</v>
      </c>
      <c r="I2744" s="19" t="n">
        <v>4.06</v>
      </c>
      <c r="J2744" s="19" t="n">
        <v>4.2</v>
      </c>
      <c r="K2744" s="20" t="n">
        <v>0</v>
      </c>
      <c r="L2744" s="20" t="n">
        <v>0</v>
      </c>
      <c r="M2744" s="18" t="n">
        <v>348</v>
      </c>
      <c r="N2744" s="18" t="n">
        <v>348</v>
      </c>
      <c r="O2744" s="18" t="n">
        <v>0</v>
      </c>
      <c r="P2744" s="17" t="n">
        <v>45990</v>
      </c>
      <c r="Q2744" s="17" t="n">
        <v>45990</v>
      </c>
      <c r="R2744" s="17" t="n">
        <v>45990</v>
      </c>
      <c r="S2744" s="19">
        <f>H2744*I2744</f>
        <v/>
      </c>
      <c r="T2744" s="19">
        <f>H2744*J2744</f>
        <v/>
      </c>
      <c r="U2744">
        <f>IF(AND(K2744=0,G2744&lt;=Assumptions!$C$6),1,0)</f>
        <v/>
      </c>
      <c r="V2744">
        <f>IF(U2744=1,IF(M2744&gt;0,IF(P2744&lt;=G2744+Assumptions!$C$7,1,0),0),0)</f>
        <v/>
      </c>
      <c r="W2744">
        <f>IF(AND(U2744=1,M2744&gt;=H2744*(1-Assumptions!$C$8)),1,0)</f>
        <v/>
      </c>
      <c r="X2744">
        <f>IF(AND(U2744=1,N2744&gt;=H2744*(1-Assumptions!$C$8)),1,0)</f>
        <v/>
      </c>
      <c r="Y2744">
        <f>IF(ISNUMBER(Q2744),1,0)</f>
        <v/>
      </c>
      <c r="Z2744">
        <f>IF(AND(K2744=0,L2744=0,Y2744=0),1,0)</f>
        <v/>
      </c>
      <c r="AA2744">
        <f>IF(AND(Z2744=1,G2744&lt;Assumptions!$C$6),1,0)</f>
        <v/>
      </c>
      <c r="AB2744">
        <f>IF(U2744=0,"",IF(Y2744=1,MAX(0,Q2744-G2744),IF(L2744=1,MAX(0,R2744-G2744),MAX(0,Assumptions!$C$6-G2744))))</f>
        <v/>
      </c>
      <c r="AC2744">
        <f>IF(Y2744=1,Q2744-F2744,"")</f>
        <v/>
      </c>
      <c r="AD2744">
        <f>IF(Y2744=1,AC2744^2,"")</f>
        <v/>
      </c>
      <c r="AE2744" s="19">
        <f>IF(Z2744=1,(H2744-M2744)*I2744,0)</f>
        <v/>
      </c>
      <c r="AF2744">
        <f>IF(G2744&lt;EDATE(Assumptions!$C$6,-12)+1,"prior_12m","last_12m")</f>
        <v/>
      </c>
      <c r="AG2744" s="21">
        <f>DATE(YEAR(G2744),MONTH(G2744),1)</f>
        <v/>
      </c>
    </row>
    <row r="2745">
      <c r="A2745" t="inlineStr">
        <is>
          <t>SPO-01480-3</t>
        </is>
      </c>
      <c r="B2745" t="inlineStr">
        <is>
          <t>SPO-01480</t>
        </is>
      </c>
      <c r="C2745" t="inlineStr">
        <is>
          <t>SUP-02</t>
        </is>
      </c>
      <c r="D2745" t="inlineStr">
        <is>
          <t>ELEC</t>
        </is>
      </c>
      <c r="E2745" t="inlineStr">
        <is>
          <t>ELEC-06</t>
        </is>
      </c>
      <c r="F2745" s="17" t="n">
        <v>45978</v>
      </c>
      <c r="G2745" s="17" t="n">
        <v>45994</v>
      </c>
      <c r="H2745" s="18" t="n">
        <v>55</v>
      </c>
      <c r="I2745" s="19" t="n">
        <v>143.38</v>
      </c>
      <c r="J2745" s="19" t="n">
        <v>145</v>
      </c>
      <c r="K2745" s="20" t="n">
        <v>0</v>
      </c>
      <c r="L2745" s="20" t="n">
        <v>0</v>
      </c>
      <c r="M2745" s="18" t="n">
        <v>55</v>
      </c>
      <c r="N2745" s="18" t="n">
        <v>55</v>
      </c>
      <c r="O2745" s="18" t="n">
        <v>0</v>
      </c>
      <c r="P2745" s="17" t="n">
        <v>45992</v>
      </c>
      <c r="Q2745" s="17" t="n">
        <v>45992</v>
      </c>
      <c r="R2745" s="17" t="n">
        <v>45992</v>
      </c>
      <c r="S2745" s="19">
        <f>H2745*I2745</f>
        <v/>
      </c>
      <c r="T2745" s="19">
        <f>H2745*J2745</f>
        <v/>
      </c>
      <c r="U2745">
        <f>IF(AND(K2745=0,G2745&lt;=Assumptions!$C$6),1,0)</f>
        <v/>
      </c>
      <c r="V2745">
        <f>IF(U2745=1,IF(M2745&gt;0,IF(P2745&lt;=G2745+Assumptions!$C$7,1,0),0),0)</f>
        <v/>
      </c>
      <c r="W2745">
        <f>IF(AND(U2745=1,M2745&gt;=H2745*(1-Assumptions!$C$8)),1,0)</f>
        <v/>
      </c>
      <c r="X2745">
        <f>IF(AND(U2745=1,N2745&gt;=H2745*(1-Assumptions!$C$8)),1,0)</f>
        <v/>
      </c>
      <c r="Y2745">
        <f>IF(ISNUMBER(Q2745),1,0)</f>
        <v/>
      </c>
      <c r="Z2745">
        <f>IF(AND(K2745=0,L2745=0,Y2745=0),1,0)</f>
        <v/>
      </c>
      <c r="AA2745">
        <f>IF(AND(Z2745=1,G2745&lt;Assumptions!$C$6),1,0)</f>
        <v/>
      </c>
      <c r="AB2745">
        <f>IF(U2745=0,"",IF(Y2745=1,MAX(0,Q2745-G2745),IF(L2745=1,MAX(0,R2745-G2745),MAX(0,Assumptions!$C$6-G2745))))</f>
        <v/>
      </c>
      <c r="AC2745">
        <f>IF(Y2745=1,Q2745-F2745,"")</f>
        <v/>
      </c>
      <c r="AD2745">
        <f>IF(Y2745=1,AC2745^2,"")</f>
        <v/>
      </c>
      <c r="AE2745" s="19">
        <f>IF(Z2745=1,(H2745-M2745)*I2745,0)</f>
        <v/>
      </c>
      <c r="AF2745">
        <f>IF(G2745&lt;EDATE(Assumptions!$C$6,-12)+1,"prior_12m","last_12m")</f>
        <v/>
      </c>
      <c r="AG2745" s="21">
        <f>DATE(YEAR(G2745),MONTH(G2745),1)</f>
        <v/>
      </c>
    </row>
    <row r="2746">
      <c r="A2746" t="inlineStr">
        <is>
          <t>SPO-01481-1</t>
        </is>
      </c>
      <c r="B2746" t="inlineStr">
        <is>
          <t>SPO-01481</t>
        </is>
      </c>
      <c r="C2746" t="inlineStr">
        <is>
          <t>SUP-07</t>
        </is>
      </c>
      <c r="D2746" t="inlineStr">
        <is>
          <t>MRO</t>
        </is>
      </c>
      <c r="E2746" t="inlineStr">
        <is>
          <t>MRO-01</t>
        </is>
      </c>
      <c r="F2746" s="17" t="n">
        <v>45978</v>
      </c>
      <c r="G2746" s="17" t="n">
        <v>45988</v>
      </c>
      <c r="H2746" s="18" t="n">
        <v>38</v>
      </c>
      <c r="I2746" s="19" t="n">
        <v>49.15</v>
      </c>
      <c r="J2746" s="19" t="n">
        <v>52</v>
      </c>
      <c r="K2746" s="20" t="n">
        <v>0</v>
      </c>
      <c r="L2746" s="20" t="n">
        <v>1</v>
      </c>
      <c r="M2746" s="18" t="n">
        <v>30</v>
      </c>
      <c r="N2746" s="18" t="n">
        <v>0</v>
      </c>
      <c r="O2746" s="18" t="n">
        <v>0</v>
      </c>
      <c r="P2746" s="17" t="n">
        <v>46087</v>
      </c>
      <c r="Q2746" s="17" t="n"/>
      <c r="R2746" s="17" t="n">
        <v>46087</v>
      </c>
      <c r="S2746" s="19">
        <f>H2746*I2746</f>
        <v/>
      </c>
      <c r="T2746" s="19">
        <f>H2746*J2746</f>
        <v/>
      </c>
      <c r="U2746">
        <f>IF(AND(K2746=0,G2746&lt;=Assumptions!$C$6),1,0)</f>
        <v/>
      </c>
      <c r="V2746">
        <f>IF(U2746=1,IF(M2746&gt;0,IF(P2746&lt;=G2746+Assumptions!$C$7,1,0),0),0)</f>
        <v/>
      </c>
      <c r="W2746">
        <f>IF(AND(U2746=1,M2746&gt;=H2746*(1-Assumptions!$C$8)),1,0)</f>
        <v/>
      </c>
      <c r="X2746">
        <f>IF(AND(U2746=1,N2746&gt;=H2746*(1-Assumptions!$C$8)),1,0)</f>
        <v/>
      </c>
      <c r="Y2746">
        <f>IF(ISNUMBER(Q2746),1,0)</f>
        <v/>
      </c>
      <c r="Z2746">
        <f>IF(AND(K2746=0,L2746=0,Y2746=0),1,0)</f>
        <v/>
      </c>
      <c r="AA2746">
        <f>IF(AND(Z2746=1,G2746&lt;Assumptions!$C$6),1,0)</f>
        <v/>
      </c>
      <c r="AB2746">
        <f>IF(U2746=0,"",IF(Y2746=1,MAX(0,Q2746-G2746),IF(L2746=1,MAX(0,R2746-G2746),MAX(0,Assumptions!$C$6-G2746))))</f>
        <v/>
      </c>
      <c r="AC2746">
        <f>IF(Y2746=1,Q2746-F2746,"")</f>
        <v/>
      </c>
      <c r="AD2746">
        <f>IF(Y2746=1,AC2746^2,"")</f>
        <v/>
      </c>
      <c r="AE2746" s="19">
        <f>IF(Z2746=1,(H2746-M2746)*I2746,0)</f>
        <v/>
      </c>
      <c r="AF2746">
        <f>IF(G2746&lt;EDATE(Assumptions!$C$6,-12)+1,"prior_12m","last_12m")</f>
        <v/>
      </c>
      <c r="AG2746" s="21">
        <f>DATE(YEAR(G2746),MONTH(G2746),1)</f>
        <v/>
      </c>
    </row>
    <row r="2747">
      <c r="A2747" t="inlineStr">
        <is>
          <t>SPO-01482-1</t>
        </is>
      </c>
      <c r="B2747" t="inlineStr">
        <is>
          <t>SPO-01482</t>
        </is>
      </c>
      <c r="C2747" t="inlineStr">
        <is>
          <t>SUP-10</t>
        </is>
      </c>
      <c r="D2747" t="inlineStr">
        <is>
          <t>PPE</t>
        </is>
      </c>
      <c r="E2747" t="inlineStr">
        <is>
          <t>PPE-01</t>
        </is>
      </c>
      <c r="F2747" s="17" t="n">
        <v>45978</v>
      </c>
      <c r="G2747" s="17" t="n">
        <v>45991</v>
      </c>
      <c r="H2747" s="18" t="n">
        <v>642</v>
      </c>
      <c r="I2747" s="19" t="n">
        <v>4.88</v>
      </c>
      <c r="J2747" s="19" t="n">
        <v>4.8</v>
      </c>
      <c r="K2747" s="20" t="n">
        <v>0</v>
      </c>
      <c r="L2747" s="20" t="n">
        <v>0</v>
      </c>
      <c r="M2747" s="18" t="n">
        <v>642</v>
      </c>
      <c r="N2747" s="18" t="n">
        <v>642</v>
      </c>
      <c r="O2747" s="18" t="n">
        <v>0</v>
      </c>
      <c r="P2747" s="17" t="n">
        <v>45986</v>
      </c>
      <c r="Q2747" s="17" t="n">
        <v>45986</v>
      </c>
      <c r="R2747" s="17" t="n">
        <v>45986</v>
      </c>
      <c r="S2747" s="19">
        <f>H2747*I2747</f>
        <v/>
      </c>
      <c r="T2747" s="19">
        <f>H2747*J2747</f>
        <v/>
      </c>
      <c r="U2747">
        <f>IF(AND(K2747=0,G2747&lt;=Assumptions!$C$6),1,0)</f>
        <v/>
      </c>
      <c r="V2747">
        <f>IF(U2747=1,IF(M2747&gt;0,IF(P2747&lt;=G2747+Assumptions!$C$7,1,0),0),0)</f>
        <v/>
      </c>
      <c r="W2747">
        <f>IF(AND(U2747=1,M2747&gt;=H2747*(1-Assumptions!$C$8)),1,0)</f>
        <v/>
      </c>
      <c r="X2747">
        <f>IF(AND(U2747=1,N2747&gt;=H2747*(1-Assumptions!$C$8)),1,0)</f>
        <v/>
      </c>
      <c r="Y2747">
        <f>IF(ISNUMBER(Q2747),1,0)</f>
        <v/>
      </c>
      <c r="Z2747">
        <f>IF(AND(K2747=0,L2747=0,Y2747=0),1,0)</f>
        <v/>
      </c>
      <c r="AA2747">
        <f>IF(AND(Z2747=1,G2747&lt;Assumptions!$C$6),1,0)</f>
        <v/>
      </c>
      <c r="AB2747">
        <f>IF(U2747=0,"",IF(Y2747=1,MAX(0,Q2747-G2747),IF(L2747=1,MAX(0,R2747-G2747),MAX(0,Assumptions!$C$6-G2747))))</f>
        <v/>
      </c>
      <c r="AC2747">
        <f>IF(Y2747=1,Q2747-F2747,"")</f>
        <v/>
      </c>
      <c r="AD2747">
        <f>IF(Y2747=1,AC2747^2,"")</f>
        <v/>
      </c>
      <c r="AE2747" s="19">
        <f>IF(Z2747=1,(H2747-M2747)*I2747,0)</f>
        <v/>
      </c>
      <c r="AF2747">
        <f>IF(G2747&lt;EDATE(Assumptions!$C$6,-12)+1,"prior_12m","last_12m")</f>
        <v/>
      </c>
      <c r="AG2747" s="21">
        <f>DATE(YEAR(G2747),MONTH(G2747),1)</f>
        <v/>
      </c>
    </row>
    <row r="2748">
      <c r="A2748" t="inlineStr">
        <is>
          <t>SPO-01482-2</t>
        </is>
      </c>
      <c r="B2748" t="inlineStr">
        <is>
          <t>SPO-01482</t>
        </is>
      </c>
      <c r="C2748" t="inlineStr">
        <is>
          <t>SUP-10</t>
        </is>
      </c>
      <c r="D2748" t="inlineStr">
        <is>
          <t>PPE</t>
        </is>
      </c>
      <c r="E2748" t="inlineStr">
        <is>
          <t>PPE-03</t>
        </is>
      </c>
      <c r="F2748" s="17" t="n">
        <v>45978</v>
      </c>
      <c r="G2748" s="17" t="n">
        <v>45991</v>
      </c>
      <c r="H2748" s="18" t="n">
        <v>195</v>
      </c>
      <c r="I2748" s="19" t="n">
        <v>20.41</v>
      </c>
      <c r="J2748" s="19" t="n">
        <v>21</v>
      </c>
      <c r="K2748" s="20" t="n">
        <v>0</v>
      </c>
      <c r="L2748" s="20" t="n">
        <v>0</v>
      </c>
      <c r="M2748" s="18" t="n">
        <v>195</v>
      </c>
      <c r="N2748" s="18" t="n">
        <v>195</v>
      </c>
      <c r="O2748" s="18" t="n">
        <v>0</v>
      </c>
      <c r="P2748" s="17" t="n">
        <v>45989</v>
      </c>
      <c r="Q2748" s="17" t="n">
        <v>45989</v>
      </c>
      <c r="R2748" s="17" t="n">
        <v>45989</v>
      </c>
      <c r="S2748" s="19">
        <f>H2748*I2748</f>
        <v/>
      </c>
      <c r="T2748" s="19">
        <f>H2748*J2748</f>
        <v/>
      </c>
      <c r="U2748">
        <f>IF(AND(K2748=0,G2748&lt;=Assumptions!$C$6),1,0)</f>
        <v/>
      </c>
      <c r="V2748">
        <f>IF(U2748=1,IF(M2748&gt;0,IF(P2748&lt;=G2748+Assumptions!$C$7,1,0),0),0)</f>
        <v/>
      </c>
      <c r="W2748">
        <f>IF(AND(U2748=1,M2748&gt;=H2748*(1-Assumptions!$C$8)),1,0)</f>
        <v/>
      </c>
      <c r="X2748">
        <f>IF(AND(U2748=1,N2748&gt;=H2748*(1-Assumptions!$C$8)),1,0)</f>
        <v/>
      </c>
      <c r="Y2748">
        <f>IF(ISNUMBER(Q2748),1,0)</f>
        <v/>
      </c>
      <c r="Z2748">
        <f>IF(AND(K2748=0,L2748=0,Y2748=0),1,0)</f>
        <v/>
      </c>
      <c r="AA2748">
        <f>IF(AND(Z2748=1,G2748&lt;Assumptions!$C$6),1,0)</f>
        <v/>
      </c>
      <c r="AB2748">
        <f>IF(U2748=0,"",IF(Y2748=1,MAX(0,Q2748-G2748),IF(L2748=1,MAX(0,R2748-G2748),MAX(0,Assumptions!$C$6-G2748))))</f>
        <v/>
      </c>
      <c r="AC2748">
        <f>IF(Y2748=1,Q2748-F2748,"")</f>
        <v/>
      </c>
      <c r="AD2748">
        <f>IF(Y2748=1,AC2748^2,"")</f>
        <v/>
      </c>
      <c r="AE2748" s="19">
        <f>IF(Z2748=1,(H2748-M2748)*I2748,0)</f>
        <v/>
      </c>
      <c r="AF2748">
        <f>IF(G2748&lt;EDATE(Assumptions!$C$6,-12)+1,"prior_12m","last_12m")</f>
        <v/>
      </c>
      <c r="AG2748" s="21">
        <f>DATE(YEAR(G2748),MONTH(G2748),1)</f>
        <v/>
      </c>
    </row>
    <row r="2749">
      <c r="A2749" t="inlineStr">
        <is>
          <t>SPO-01483-1</t>
        </is>
      </c>
      <c r="B2749" t="inlineStr">
        <is>
          <t>SPO-01483</t>
        </is>
      </c>
      <c r="C2749" t="inlineStr">
        <is>
          <t>SUP-09</t>
        </is>
      </c>
      <c r="D2749" t="inlineStr">
        <is>
          <t>CHEM</t>
        </is>
      </c>
      <c r="E2749" t="inlineStr">
        <is>
          <t>CHEM-01</t>
        </is>
      </c>
      <c r="F2749" s="17" t="n">
        <v>45978</v>
      </c>
      <c r="G2749" s="17" t="n">
        <v>45992</v>
      </c>
      <c r="H2749" s="18" t="n">
        <v>1</v>
      </c>
      <c r="I2749" s="19" t="n">
        <v>676.15</v>
      </c>
      <c r="J2749" s="19" t="n">
        <v>640</v>
      </c>
      <c r="K2749" s="20" t="n">
        <v>0</v>
      </c>
      <c r="L2749" s="20" t="n">
        <v>0</v>
      </c>
      <c r="M2749" s="18" t="n">
        <v>1</v>
      </c>
      <c r="N2749" s="18" t="n">
        <v>1</v>
      </c>
      <c r="O2749" s="18" t="n">
        <v>0</v>
      </c>
      <c r="P2749" s="17" t="n">
        <v>45989</v>
      </c>
      <c r="Q2749" s="17" t="n">
        <v>45989</v>
      </c>
      <c r="R2749" s="17" t="n">
        <v>45989</v>
      </c>
      <c r="S2749" s="19">
        <f>H2749*I2749</f>
        <v/>
      </c>
      <c r="T2749" s="19">
        <f>H2749*J2749</f>
        <v/>
      </c>
      <c r="U2749">
        <f>IF(AND(K2749=0,G2749&lt;=Assumptions!$C$6),1,0)</f>
        <v/>
      </c>
      <c r="V2749">
        <f>IF(U2749=1,IF(M2749&gt;0,IF(P2749&lt;=G2749+Assumptions!$C$7,1,0),0),0)</f>
        <v/>
      </c>
      <c r="W2749">
        <f>IF(AND(U2749=1,M2749&gt;=H2749*(1-Assumptions!$C$8)),1,0)</f>
        <v/>
      </c>
      <c r="X2749">
        <f>IF(AND(U2749=1,N2749&gt;=H2749*(1-Assumptions!$C$8)),1,0)</f>
        <v/>
      </c>
      <c r="Y2749">
        <f>IF(ISNUMBER(Q2749),1,0)</f>
        <v/>
      </c>
      <c r="Z2749">
        <f>IF(AND(K2749=0,L2749=0,Y2749=0),1,0)</f>
        <v/>
      </c>
      <c r="AA2749">
        <f>IF(AND(Z2749=1,G2749&lt;Assumptions!$C$6),1,0)</f>
        <v/>
      </c>
      <c r="AB2749">
        <f>IF(U2749=0,"",IF(Y2749=1,MAX(0,Q2749-G2749),IF(L2749=1,MAX(0,R2749-G2749),MAX(0,Assumptions!$C$6-G2749))))</f>
        <v/>
      </c>
      <c r="AC2749">
        <f>IF(Y2749=1,Q2749-F2749,"")</f>
        <v/>
      </c>
      <c r="AD2749">
        <f>IF(Y2749=1,AC2749^2,"")</f>
        <v/>
      </c>
      <c r="AE2749" s="19">
        <f>IF(Z2749=1,(H2749-M2749)*I2749,0)</f>
        <v/>
      </c>
      <c r="AF2749">
        <f>IF(G2749&lt;EDATE(Assumptions!$C$6,-12)+1,"prior_12m","last_12m")</f>
        <v/>
      </c>
      <c r="AG2749" s="21">
        <f>DATE(YEAR(G2749),MONTH(G2749),1)</f>
        <v/>
      </c>
    </row>
    <row r="2750">
      <c r="A2750" t="inlineStr">
        <is>
          <t>SPO-01483-2</t>
        </is>
      </c>
      <c r="B2750" t="inlineStr">
        <is>
          <t>SPO-01483</t>
        </is>
      </c>
      <c r="C2750" t="inlineStr">
        <is>
          <t>SUP-09</t>
        </is>
      </c>
      <c r="D2750" t="inlineStr">
        <is>
          <t>CHEM</t>
        </is>
      </c>
      <c r="E2750" t="inlineStr">
        <is>
          <t>CHEM-03</t>
        </is>
      </c>
      <c r="F2750" s="17" t="n">
        <v>45978</v>
      </c>
      <c r="G2750" s="17" t="n">
        <v>45992</v>
      </c>
      <c r="H2750" s="18" t="n">
        <v>4</v>
      </c>
      <c r="I2750" s="19" t="n">
        <v>273.32</v>
      </c>
      <c r="J2750" s="19" t="n">
        <v>265</v>
      </c>
      <c r="K2750" s="20" t="n">
        <v>0</v>
      </c>
      <c r="L2750" s="20" t="n">
        <v>0</v>
      </c>
      <c r="M2750" s="18" t="n">
        <v>4</v>
      </c>
      <c r="N2750" s="18" t="n">
        <v>4</v>
      </c>
      <c r="O2750" s="18" t="n">
        <v>0</v>
      </c>
      <c r="P2750" s="17" t="n">
        <v>45991</v>
      </c>
      <c r="Q2750" s="17" t="n">
        <v>45991</v>
      </c>
      <c r="R2750" s="17" t="n">
        <v>45991</v>
      </c>
      <c r="S2750" s="19">
        <f>H2750*I2750</f>
        <v/>
      </c>
      <c r="T2750" s="19">
        <f>H2750*J2750</f>
        <v/>
      </c>
      <c r="U2750">
        <f>IF(AND(K2750=0,G2750&lt;=Assumptions!$C$6),1,0)</f>
        <v/>
      </c>
      <c r="V2750">
        <f>IF(U2750=1,IF(M2750&gt;0,IF(P2750&lt;=G2750+Assumptions!$C$7,1,0),0),0)</f>
        <v/>
      </c>
      <c r="W2750">
        <f>IF(AND(U2750=1,M2750&gt;=H2750*(1-Assumptions!$C$8)),1,0)</f>
        <v/>
      </c>
      <c r="X2750">
        <f>IF(AND(U2750=1,N2750&gt;=H2750*(1-Assumptions!$C$8)),1,0)</f>
        <v/>
      </c>
      <c r="Y2750">
        <f>IF(ISNUMBER(Q2750),1,0)</f>
        <v/>
      </c>
      <c r="Z2750">
        <f>IF(AND(K2750=0,L2750=0,Y2750=0),1,0)</f>
        <v/>
      </c>
      <c r="AA2750">
        <f>IF(AND(Z2750=1,G2750&lt;Assumptions!$C$6),1,0)</f>
        <v/>
      </c>
      <c r="AB2750">
        <f>IF(U2750=0,"",IF(Y2750=1,MAX(0,Q2750-G2750),IF(L2750=1,MAX(0,R2750-G2750),MAX(0,Assumptions!$C$6-G2750))))</f>
        <v/>
      </c>
      <c r="AC2750">
        <f>IF(Y2750=1,Q2750-F2750,"")</f>
        <v/>
      </c>
      <c r="AD2750">
        <f>IF(Y2750=1,AC2750^2,"")</f>
        <v/>
      </c>
      <c r="AE2750" s="19">
        <f>IF(Z2750=1,(H2750-M2750)*I2750,0)</f>
        <v/>
      </c>
      <c r="AF2750">
        <f>IF(G2750&lt;EDATE(Assumptions!$C$6,-12)+1,"prior_12m","last_12m")</f>
        <v/>
      </c>
      <c r="AG2750" s="21">
        <f>DATE(YEAR(G2750),MONTH(G2750),1)</f>
        <v/>
      </c>
    </row>
    <row r="2751">
      <c r="A2751" t="inlineStr">
        <is>
          <t>SPO-01484-1</t>
        </is>
      </c>
      <c r="B2751" t="inlineStr">
        <is>
          <t>SPO-01484</t>
        </is>
      </c>
      <c r="C2751" t="inlineStr">
        <is>
          <t>SUP-06</t>
        </is>
      </c>
      <c r="D2751" t="inlineStr">
        <is>
          <t>MRO</t>
        </is>
      </c>
      <c r="E2751" t="inlineStr">
        <is>
          <t>MRO-06</t>
        </is>
      </c>
      <c r="F2751" s="17" t="n">
        <v>45978</v>
      </c>
      <c r="G2751" s="17" t="n">
        <v>45986</v>
      </c>
      <c r="H2751" s="18" t="n">
        <v>725</v>
      </c>
      <c r="I2751" s="19" t="n">
        <v>6.29</v>
      </c>
      <c r="J2751" s="19" t="n">
        <v>6.1</v>
      </c>
      <c r="K2751" s="20" t="n">
        <v>0</v>
      </c>
      <c r="L2751" s="20" t="n">
        <v>0</v>
      </c>
      <c r="M2751" s="18" t="n">
        <v>725</v>
      </c>
      <c r="N2751" s="18" t="n">
        <v>725</v>
      </c>
      <c r="O2751" s="18" t="n">
        <v>0</v>
      </c>
      <c r="P2751" s="17" t="n">
        <v>45985</v>
      </c>
      <c r="Q2751" s="17" t="n">
        <v>45985</v>
      </c>
      <c r="R2751" s="17" t="n">
        <v>45985</v>
      </c>
      <c r="S2751" s="19">
        <f>H2751*I2751</f>
        <v/>
      </c>
      <c r="T2751" s="19">
        <f>H2751*J2751</f>
        <v/>
      </c>
      <c r="U2751">
        <f>IF(AND(K2751=0,G2751&lt;=Assumptions!$C$6),1,0)</f>
        <v/>
      </c>
      <c r="V2751">
        <f>IF(U2751=1,IF(M2751&gt;0,IF(P2751&lt;=G2751+Assumptions!$C$7,1,0),0),0)</f>
        <v/>
      </c>
      <c r="W2751">
        <f>IF(AND(U2751=1,M2751&gt;=H2751*(1-Assumptions!$C$8)),1,0)</f>
        <v/>
      </c>
      <c r="X2751">
        <f>IF(AND(U2751=1,N2751&gt;=H2751*(1-Assumptions!$C$8)),1,0)</f>
        <v/>
      </c>
      <c r="Y2751">
        <f>IF(ISNUMBER(Q2751),1,0)</f>
        <v/>
      </c>
      <c r="Z2751">
        <f>IF(AND(K2751=0,L2751=0,Y2751=0),1,0)</f>
        <v/>
      </c>
      <c r="AA2751">
        <f>IF(AND(Z2751=1,G2751&lt;Assumptions!$C$6),1,0)</f>
        <v/>
      </c>
      <c r="AB2751">
        <f>IF(U2751=0,"",IF(Y2751=1,MAX(0,Q2751-G2751),IF(L2751=1,MAX(0,R2751-G2751),MAX(0,Assumptions!$C$6-G2751))))</f>
        <v/>
      </c>
      <c r="AC2751">
        <f>IF(Y2751=1,Q2751-F2751,"")</f>
        <v/>
      </c>
      <c r="AD2751">
        <f>IF(Y2751=1,AC2751^2,"")</f>
        <v/>
      </c>
      <c r="AE2751" s="19">
        <f>IF(Z2751=1,(H2751-M2751)*I2751,0)</f>
        <v/>
      </c>
      <c r="AF2751">
        <f>IF(G2751&lt;EDATE(Assumptions!$C$6,-12)+1,"prior_12m","last_12m")</f>
        <v/>
      </c>
      <c r="AG2751" s="21">
        <f>DATE(YEAR(G2751),MONTH(G2751),1)</f>
        <v/>
      </c>
    </row>
    <row r="2752">
      <c r="A2752" t="inlineStr">
        <is>
          <t>SPO-01484-2</t>
        </is>
      </c>
      <c r="B2752" t="inlineStr">
        <is>
          <t>SPO-01484</t>
        </is>
      </c>
      <c r="C2752" t="inlineStr">
        <is>
          <t>SUP-06</t>
        </is>
      </c>
      <c r="D2752" t="inlineStr">
        <is>
          <t>MRO</t>
        </is>
      </c>
      <c r="E2752" t="inlineStr">
        <is>
          <t>MRO-04</t>
        </is>
      </c>
      <c r="F2752" s="17" t="n">
        <v>45978</v>
      </c>
      <c r="G2752" s="17" t="n">
        <v>45986</v>
      </c>
      <c r="H2752" s="18" t="n">
        <v>24</v>
      </c>
      <c r="I2752" s="19" t="n">
        <v>60.54</v>
      </c>
      <c r="J2752" s="19" t="n">
        <v>58</v>
      </c>
      <c r="K2752" s="20" t="n">
        <v>0</v>
      </c>
      <c r="L2752" s="20" t="n">
        <v>0</v>
      </c>
      <c r="M2752" s="18" t="n">
        <v>24</v>
      </c>
      <c r="N2752" s="18" t="n">
        <v>24</v>
      </c>
      <c r="O2752" s="18" t="n">
        <v>0</v>
      </c>
      <c r="P2752" s="17" t="n">
        <v>45986</v>
      </c>
      <c r="Q2752" s="17" t="n">
        <v>45986</v>
      </c>
      <c r="R2752" s="17" t="n">
        <v>45986</v>
      </c>
      <c r="S2752" s="19">
        <f>H2752*I2752</f>
        <v/>
      </c>
      <c r="T2752" s="19">
        <f>H2752*J2752</f>
        <v/>
      </c>
      <c r="U2752">
        <f>IF(AND(K2752=0,G2752&lt;=Assumptions!$C$6),1,0)</f>
        <v/>
      </c>
      <c r="V2752">
        <f>IF(U2752=1,IF(M2752&gt;0,IF(P2752&lt;=G2752+Assumptions!$C$7,1,0),0),0)</f>
        <v/>
      </c>
      <c r="W2752">
        <f>IF(AND(U2752=1,M2752&gt;=H2752*(1-Assumptions!$C$8)),1,0)</f>
        <v/>
      </c>
      <c r="X2752">
        <f>IF(AND(U2752=1,N2752&gt;=H2752*(1-Assumptions!$C$8)),1,0)</f>
        <v/>
      </c>
      <c r="Y2752">
        <f>IF(ISNUMBER(Q2752),1,0)</f>
        <v/>
      </c>
      <c r="Z2752">
        <f>IF(AND(K2752=0,L2752=0,Y2752=0),1,0)</f>
        <v/>
      </c>
      <c r="AA2752">
        <f>IF(AND(Z2752=1,G2752&lt;Assumptions!$C$6),1,0)</f>
        <v/>
      </c>
      <c r="AB2752">
        <f>IF(U2752=0,"",IF(Y2752=1,MAX(0,Q2752-G2752),IF(L2752=1,MAX(0,R2752-G2752),MAX(0,Assumptions!$C$6-G2752))))</f>
        <v/>
      </c>
      <c r="AC2752">
        <f>IF(Y2752=1,Q2752-F2752,"")</f>
        <v/>
      </c>
      <c r="AD2752">
        <f>IF(Y2752=1,AC2752^2,"")</f>
        <v/>
      </c>
      <c r="AE2752" s="19">
        <f>IF(Z2752=1,(H2752-M2752)*I2752,0)</f>
        <v/>
      </c>
      <c r="AF2752">
        <f>IF(G2752&lt;EDATE(Assumptions!$C$6,-12)+1,"prior_12m","last_12m")</f>
        <v/>
      </c>
      <c r="AG2752" s="21">
        <f>DATE(YEAR(G2752),MONTH(G2752),1)</f>
        <v/>
      </c>
    </row>
    <row r="2753">
      <c r="A2753" t="inlineStr">
        <is>
          <t>SPO-01485-1</t>
        </is>
      </c>
      <c r="B2753" t="inlineStr">
        <is>
          <t>SPO-01485</t>
        </is>
      </c>
      <c r="C2753" t="inlineStr">
        <is>
          <t>SUP-06</t>
        </is>
      </c>
      <c r="D2753" t="inlineStr">
        <is>
          <t>MRO</t>
        </is>
      </c>
      <c r="E2753" t="inlineStr">
        <is>
          <t>MRO-04</t>
        </is>
      </c>
      <c r="F2753" s="17" t="n">
        <v>45978</v>
      </c>
      <c r="G2753" s="17" t="n">
        <v>45986</v>
      </c>
      <c r="H2753" s="18" t="n">
        <v>40</v>
      </c>
      <c r="I2753" s="19" t="n">
        <v>58.73</v>
      </c>
      <c r="J2753" s="19" t="n">
        <v>58</v>
      </c>
      <c r="K2753" s="20" t="n">
        <v>0</v>
      </c>
      <c r="L2753" s="20" t="n">
        <v>0</v>
      </c>
      <c r="M2753" s="18" t="n">
        <v>40</v>
      </c>
      <c r="N2753" s="18" t="n">
        <v>40</v>
      </c>
      <c r="O2753" s="18" t="n">
        <v>0</v>
      </c>
      <c r="P2753" s="17" t="n">
        <v>45986</v>
      </c>
      <c r="Q2753" s="17" t="n">
        <v>45986</v>
      </c>
      <c r="R2753" s="17" t="n">
        <v>45986</v>
      </c>
      <c r="S2753" s="19">
        <f>H2753*I2753</f>
        <v/>
      </c>
      <c r="T2753" s="19">
        <f>H2753*J2753</f>
        <v/>
      </c>
      <c r="U2753">
        <f>IF(AND(K2753=0,G2753&lt;=Assumptions!$C$6),1,0)</f>
        <v/>
      </c>
      <c r="V2753">
        <f>IF(U2753=1,IF(M2753&gt;0,IF(P2753&lt;=G2753+Assumptions!$C$7,1,0),0),0)</f>
        <v/>
      </c>
      <c r="W2753">
        <f>IF(AND(U2753=1,M2753&gt;=H2753*(1-Assumptions!$C$8)),1,0)</f>
        <v/>
      </c>
      <c r="X2753">
        <f>IF(AND(U2753=1,N2753&gt;=H2753*(1-Assumptions!$C$8)),1,0)</f>
        <v/>
      </c>
      <c r="Y2753">
        <f>IF(ISNUMBER(Q2753),1,0)</f>
        <v/>
      </c>
      <c r="Z2753">
        <f>IF(AND(K2753=0,L2753=0,Y2753=0),1,0)</f>
        <v/>
      </c>
      <c r="AA2753">
        <f>IF(AND(Z2753=1,G2753&lt;Assumptions!$C$6),1,0)</f>
        <v/>
      </c>
      <c r="AB2753">
        <f>IF(U2753=0,"",IF(Y2753=1,MAX(0,Q2753-G2753),IF(L2753=1,MAX(0,R2753-G2753),MAX(0,Assumptions!$C$6-G2753))))</f>
        <v/>
      </c>
      <c r="AC2753">
        <f>IF(Y2753=1,Q2753-F2753,"")</f>
        <v/>
      </c>
      <c r="AD2753">
        <f>IF(Y2753=1,AC2753^2,"")</f>
        <v/>
      </c>
      <c r="AE2753" s="19">
        <f>IF(Z2753=1,(H2753-M2753)*I2753,0)</f>
        <v/>
      </c>
      <c r="AF2753">
        <f>IF(G2753&lt;EDATE(Assumptions!$C$6,-12)+1,"prior_12m","last_12m")</f>
        <v/>
      </c>
      <c r="AG2753" s="21">
        <f>DATE(YEAR(G2753),MONTH(G2753),1)</f>
        <v/>
      </c>
    </row>
    <row r="2754">
      <c r="A2754" t="inlineStr">
        <is>
          <t>SPO-01485-2</t>
        </is>
      </c>
      <c r="B2754" t="inlineStr">
        <is>
          <t>SPO-01485</t>
        </is>
      </c>
      <c r="C2754" t="inlineStr">
        <is>
          <t>SUP-06</t>
        </is>
      </c>
      <c r="D2754" t="inlineStr">
        <is>
          <t>MRO</t>
        </is>
      </c>
      <c r="E2754" t="inlineStr">
        <is>
          <t>MRO-03</t>
        </is>
      </c>
      <c r="F2754" s="17" t="n">
        <v>45978</v>
      </c>
      <c r="G2754" s="17" t="n">
        <v>45986</v>
      </c>
      <c r="H2754" s="18" t="n">
        <v>274</v>
      </c>
      <c r="I2754" s="19" t="n">
        <v>8.699999999999999</v>
      </c>
      <c r="J2754" s="19" t="n">
        <v>8.9</v>
      </c>
      <c r="K2754" s="20" t="n">
        <v>0</v>
      </c>
      <c r="L2754" s="20" t="n">
        <v>0</v>
      </c>
      <c r="M2754" s="18" t="n">
        <v>274</v>
      </c>
      <c r="N2754" s="18" t="n">
        <v>274</v>
      </c>
      <c r="O2754" s="18" t="n">
        <v>0</v>
      </c>
      <c r="P2754" s="17" t="n">
        <v>45983</v>
      </c>
      <c r="Q2754" s="17" t="n">
        <v>45983</v>
      </c>
      <c r="R2754" s="17" t="n">
        <v>45983</v>
      </c>
      <c r="S2754" s="19">
        <f>H2754*I2754</f>
        <v/>
      </c>
      <c r="T2754" s="19">
        <f>H2754*J2754</f>
        <v/>
      </c>
      <c r="U2754">
        <f>IF(AND(K2754=0,G2754&lt;=Assumptions!$C$6),1,0)</f>
        <v/>
      </c>
      <c r="V2754">
        <f>IF(U2754=1,IF(M2754&gt;0,IF(P2754&lt;=G2754+Assumptions!$C$7,1,0),0),0)</f>
        <v/>
      </c>
      <c r="W2754">
        <f>IF(AND(U2754=1,M2754&gt;=H2754*(1-Assumptions!$C$8)),1,0)</f>
        <v/>
      </c>
      <c r="X2754">
        <f>IF(AND(U2754=1,N2754&gt;=H2754*(1-Assumptions!$C$8)),1,0)</f>
        <v/>
      </c>
      <c r="Y2754">
        <f>IF(ISNUMBER(Q2754),1,0)</f>
        <v/>
      </c>
      <c r="Z2754">
        <f>IF(AND(K2754=0,L2754=0,Y2754=0),1,0)</f>
        <v/>
      </c>
      <c r="AA2754">
        <f>IF(AND(Z2754=1,G2754&lt;Assumptions!$C$6),1,0)</f>
        <v/>
      </c>
      <c r="AB2754">
        <f>IF(U2754=0,"",IF(Y2754=1,MAX(0,Q2754-G2754),IF(L2754=1,MAX(0,R2754-G2754),MAX(0,Assumptions!$C$6-G2754))))</f>
        <v/>
      </c>
      <c r="AC2754">
        <f>IF(Y2754=1,Q2754-F2754,"")</f>
        <v/>
      </c>
      <c r="AD2754">
        <f>IF(Y2754=1,AC2754^2,"")</f>
        <v/>
      </c>
      <c r="AE2754" s="19">
        <f>IF(Z2754=1,(H2754-M2754)*I2754,0)</f>
        <v/>
      </c>
      <c r="AF2754">
        <f>IF(G2754&lt;EDATE(Assumptions!$C$6,-12)+1,"prior_12m","last_12m")</f>
        <v/>
      </c>
      <c r="AG2754" s="21">
        <f>DATE(YEAR(G2754),MONTH(G2754),1)</f>
        <v/>
      </c>
    </row>
    <row r="2755">
      <c r="A2755" t="inlineStr">
        <is>
          <t>SPO-01485-3</t>
        </is>
      </c>
      <c r="B2755" t="inlineStr">
        <is>
          <t>SPO-01485</t>
        </is>
      </c>
      <c r="C2755" t="inlineStr">
        <is>
          <t>SUP-06</t>
        </is>
      </c>
      <c r="D2755" t="inlineStr">
        <is>
          <t>MRO</t>
        </is>
      </c>
      <c r="E2755" t="inlineStr">
        <is>
          <t>MRO-07</t>
        </is>
      </c>
      <c r="F2755" s="17" t="n">
        <v>45978</v>
      </c>
      <c r="G2755" s="17" t="n">
        <v>45986</v>
      </c>
      <c r="H2755" s="18" t="n">
        <v>221</v>
      </c>
      <c r="I2755" s="19" t="n">
        <v>13.74</v>
      </c>
      <c r="J2755" s="19" t="n">
        <v>14</v>
      </c>
      <c r="K2755" s="20" t="n">
        <v>0</v>
      </c>
      <c r="L2755" s="20" t="n">
        <v>0</v>
      </c>
      <c r="M2755" s="18" t="n">
        <v>221</v>
      </c>
      <c r="N2755" s="18" t="n">
        <v>221</v>
      </c>
      <c r="O2755" s="18" t="n">
        <v>0</v>
      </c>
      <c r="P2755" s="17" t="n">
        <v>45986</v>
      </c>
      <c r="Q2755" s="17" t="n">
        <v>45986</v>
      </c>
      <c r="R2755" s="17" t="n">
        <v>45986</v>
      </c>
      <c r="S2755" s="19">
        <f>H2755*I2755</f>
        <v/>
      </c>
      <c r="T2755" s="19">
        <f>H2755*J2755</f>
        <v/>
      </c>
      <c r="U2755">
        <f>IF(AND(K2755=0,G2755&lt;=Assumptions!$C$6),1,0)</f>
        <v/>
      </c>
      <c r="V2755">
        <f>IF(U2755=1,IF(M2755&gt;0,IF(P2755&lt;=G2755+Assumptions!$C$7,1,0),0),0)</f>
        <v/>
      </c>
      <c r="W2755">
        <f>IF(AND(U2755=1,M2755&gt;=H2755*(1-Assumptions!$C$8)),1,0)</f>
        <v/>
      </c>
      <c r="X2755">
        <f>IF(AND(U2755=1,N2755&gt;=H2755*(1-Assumptions!$C$8)),1,0)</f>
        <v/>
      </c>
      <c r="Y2755">
        <f>IF(ISNUMBER(Q2755),1,0)</f>
        <v/>
      </c>
      <c r="Z2755">
        <f>IF(AND(K2755=0,L2755=0,Y2755=0),1,0)</f>
        <v/>
      </c>
      <c r="AA2755">
        <f>IF(AND(Z2755=1,G2755&lt;Assumptions!$C$6),1,0)</f>
        <v/>
      </c>
      <c r="AB2755">
        <f>IF(U2755=0,"",IF(Y2755=1,MAX(0,Q2755-G2755),IF(L2755=1,MAX(0,R2755-G2755),MAX(0,Assumptions!$C$6-G2755))))</f>
        <v/>
      </c>
      <c r="AC2755">
        <f>IF(Y2755=1,Q2755-F2755,"")</f>
        <v/>
      </c>
      <c r="AD2755">
        <f>IF(Y2755=1,AC2755^2,"")</f>
        <v/>
      </c>
      <c r="AE2755" s="19">
        <f>IF(Z2755=1,(H2755-M2755)*I2755,0)</f>
        <v/>
      </c>
      <c r="AF2755">
        <f>IF(G2755&lt;EDATE(Assumptions!$C$6,-12)+1,"prior_12m","last_12m")</f>
        <v/>
      </c>
      <c r="AG2755" s="21">
        <f>DATE(YEAR(G2755),MONTH(G2755),1)</f>
        <v/>
      </c>
    </row>
    <row r="2756">
      <c r="A2756" t="inlineStr">
        <is>
          <t>SPO-01486-1</t>
        </is>
      </c>
      <c r="B2756" t="inlineStr">
        <is>
          <t>SPO-01486</t>
        </is>
      </c>
      <c r="C2756" t="inlineStr">
        <is>
          <t>SUP-01</t>
        </is>
      </c>
      <c r="D2756" t="inlineStr">
        <is>
          <t>ELEC</t>
        </is>
      </c>
      <c r="E2756" t="inlineStr">
        <is>
          <t>ELEC-01</t>
        </is>
      </c>
      <c r="F2756" s="17" t="n">
        <v>45979</v>
      </c>
      <c r="G2756" s="17" t="n">
        <v>45997</v>
      </c>
      <c r="H2756" s="18" t="n">
        <v>68</v>
      </c>
      <c r="I2756" s="19" t="n">
        <v>37.53</v>
      </c>
      <c r="J2756" s="19" t="n">
        <v>38</v>
      </c>
      <c r="K2756" s="20" t="n">
        <v>0</v>
      </c>
      <c r="L2756" s="20" t="n">
        <v>0</v>
      </c>
      <c r="M2756" s="18" t="n">
        <v>68</v>
      </c>
      <c r="N2756" s="18" t="n">
        <v>0</v>
      </c>
      <c r="O2756" s="18" t="n">
        <v>0</v>
      </c>
      <c r="P2756" s="17" t="n">
        <v>46001</v>
      </c>
      <c r="Q2756" s="17" t="n">
        <v>46001</v>
      </c>
      <c r="R2756" s="17" t="n">
        <v>46001</v>
      </c>
      <c r="S2756" s="19">
        <f>H2756*I2756</f>
        <v/>
      </c>
      <c r="T2756" s="19">
        <f>H2756*J2756</f>
        <v/>
      </c>
      <c r="U2756">
        <f>IF(AND(K2756=0,G2756&lt;=Assumptions!$C$6),1,0)</f>
        <v/>
      </c>
      <c r="V2756">
        <f>IF(U2756=1,IF(M2756&gt;0,IF(P2756&lt;=G2756+Assumptions!$C$7,1,0),0),0)</f>
        <v/>
      </c>
      <c r="W2756">
        <f>IF(AND(U2756=1,M2756&gt;=H2756*(1-Assumptions!$C$8)),1,0)</f>
        <v/>
      </c>
      <c r="X2756">
        <f>IF(AND(U2756=1,N2756&gt;=H2756*(1-Assumptions!$C$8)),1,0)</f>
        <v/>
      </c>
      <c r="Y2756">
        <f>IF(ISNUMBER(Q2756),1,0)</f>
        <v/>
      </c>
      <c r="Z2756">
        <f>IF(AND(K2756=0,L2756=0,Y2756=0),1,0)</f>
        <v/>
      </c>
      <c r="AA2756">
        <f>IF(AND(Z2756=1,G2756&lt;Assumptions!$C$6),1,0)</f>
        <v/>
      </c>
      <c r="AB2756">
        <f>IF(U2756=0,"",IF(Y2756=1,MAX(0,Q2756-G2756),IF(L2756=1,MAX(0,R2756-G2756),MAX(0,Assumptions!$C$6-G2756))))</f>
        <v/>
      </c>
      <c r="AC2756">
        <f>IF(Y2756=1,Q2756-F2756,"")</f>
        <v/>
      </c>
      <c r="AD2756">
        <f>IF(Y2756=1,AC2756^2,"")</f>
        <v/>
      </c>
      <c r="AE2756" s="19">
        <f>IF(Z2756=1,(H2756-M2756)*I2756,0)</f>
        <v/>
      </c>
      <c r="AF2756">
        <f>IF(G2756&lt;EDATE(Assumptions!$C$6,-12)+1,"prior_12m","last_12m")</f>
        <v/>
      </c>
      <c r="AG2756" s="21">
        <f>DATE(YEAR(G2756),MONTH(G2756),1)</f>
        <v/>
      </c>
    </row>
    <row r="2757">
      <c r="A2757" t="inlineStr">
        <is>
          <t>SPO-01486-2</t>
        </is>
      </c>
      <c r="B2757" t="inlineStr">
        <is>
          <t>SPO-01486</t>
        </is>
      </c>
      <c r="C2757" t="inlineStr">
        <is>
          <t>SUP-01</t>
        </is>
      </c>
      <c r="D2757" t="inlineStr">
        <is>
          <t>ELEC</t>
        </is>
      </c>
      <c r="E2757" t="inlineStr">
        <is>
          <t>ELEC-04</t>
        </is>
      </c>
      <c r="F2757" s="17" t="n">
        <v>45979</v>
      </c>
      <c r="G2757" s="17" t="n">
        <v>45997</v>
      </c>
      <c r="H2757" s="18" t="n">
        <v>33</v>
      </c>
      <c r="I2757" s="19" t="n">
        <v>70.91</v>
      </c>
      <c r="J2757" s="19" t="n">
        <v>72</v>
      </c>
      <c r="K2757" s="20" t="n">
        <v>0</v>
      </c>
      <c r="L2757" s="20" t="n">
        <v>0</v>
      </c>
      <c r="M2757" s="18" t="n">
        <v>33</v>
      </c>
      <c r="N2757" s="18" t="n">
        <v>33</v>
      </c>
      <c r="O2757" s="18" t="n">
        <v>0</v>
      </c>
      <c r="P2757" s="17" t="n">
        <v>45995</v>
      </c>
      <c r="Q2757" s="17" t="n">
        <v>45995</v>
      </c>
      <c r="R2757" s="17" t="n">
        <v>45995</v>
      </c>
      <c r="S2757" s="19">
        <f>H2757*I2757</f>
        <v/>
      </c>
      <c r="T2757" s="19">
        <f>H2757*J2757</f>
        <v/>
      </c>
      <c r="U2757">
        <f>IF(AND(K2757=0,G2757&lt;=Assumptions!$C$6),1,0)</f>
        <v/>
      </c>
      <c r="V2757">
        <f>IF(U2757=1,IF(M2757&gt;0,IF(P2757&lt;=G2757+Assumptions!$C$7,1,0),0),0)</f>
        <v/>
      </c>
      <c r="W2757">
        <f>IF(AND(U2757=1,M2757&gt;=H2757*(1-Assumptions!$C$8)),1,0)</f>
        <v/>
      </c>
      <c r="X2757">
        <f>IF(AND(U2757=1,N2757&gt;=H2757*(1-Assumptions!$C$8)),1,0)</f>
        <v/>
      </c>
      <c r="Y2757">
        <f>IF(ISNUMBER(Q2757),1,0)</f>
        <v/>
      </c>
      <c r="Z2757">
        <f>IF(AND(K2757=0,L2757=0,Y2757=0),1,0)</f>
        <v/>
      </c>
      <c r="AA2757">
        <f>IF(AND(Z2757=1,G2757&lt;Assumptions!$C$6),1,0)</f>
        <v/>
      </c>
      <c r="AB2757">
        <f>IF(U2757=0,"",IF(Y2757=1,MAX(0,Q2757-G2757),IF(L2757=1,MAX(0,R2757-G2757),MAX(0,Assumptions!$C$6-G2757))))</f>
        <v/>
      </c>
      <c r="AC2757">
        <f>IF(Y2757=1,Q2757-F2757,"")</f>
        <v/>
      </c>
      <c r="AD2757">
        <f>IF(Y2757=1,AC2757^2,"")</f>
        <v/>
      </c>
      <c r="AE2757" s="19">
        <f>IF(Z2757=1,(H2757-M2757)*I2757,0)</f>
        <v/>
      </c>
      <c r="AF2757">
        <f>IF(G2757&lt;EDATE(Assumptions!$C$6,-12)+1,"prior_12m","last_12m")</f>
        <v/>
      </c>
      <c r="AG2757" s="21">
        <f>DATE(YEAR(G2757),MONTH(G2757),1)</f>
        <v/>
      </c>
    </row>
    <row r="2758">
      <c r="A2758" t="inlineStr">
        <is>
          <t>SPO-01486-3</t>
        </is>
      </c>
      <c r="B2758" t="inlineStr">
        <is>
          <t>SPO-01486</t>
        </is>
      </c>
      <c r="C2758" t="inlineStr">
        <is>
          <t>SUP-01</t>
        </is>
      </c>
      <c r="D2758" t="inlineStr">
        <is>
          <t>ELEC</t>
        </is>
      </c>
      <c r="E2758" t="inlineStr">
        <is>
          <t>ELEC-05</t>
        </is>
      </c>
      <c r="F2758" s="17" t="n">
        <v>45979</v>
      </c>
      <c r="G2758" s="17" t="n">
        <v>45997</v>
      </c>
      <c r="H2758" s="18" t="n">
        <v>155</v>
      </c>
      <c r="I2758" s="19" t="n">
        <v>11.55</v>
      </c>
      <c r="J2758" s="19" t="n">
        <v>11.5</v>
      </c>
      <c r="K2758" s="20" t="n">
        <v>0</v>
      </c>
      <c r="L2758" s="20" t="n">
        <v>0</v>
      </c>
      <c r="M2758" s="18" t="n">
        <v>155</v>
      </c>
      <c r="N2758" s="18" t="n">
        <v>155</v>
      </c>
      <c r="O2758" s="18" t="n">
        <v>0</v>
      </c>
      <c r="P2758" s="17" t="n">
        <v>45996</v>
      </c>
      <c r="Q2758" s="17" t="n">
        <v>45996</v>
      </c>
      <c r="R2758" s="17" t="n">
        <v>45996</v>
      </c>
      <c r="S2758" s="19">
        <f>H2758*I2758</f>
        <v/>
      </c>
      <c r="T2758" s="19">
        <f>H2758*J2758</f>
        <v/>
      </c>
      <c r="U2758">
        <f>IF(AND(K2758=0,G2758&lt;=Assumptions!$C$6),1,0)</f>
        <v/>
      </c>
      <c r="V2758">
        <f>IF(U2758=1,IF(M2758&gt;0,IF(P2758&lt;=G2758+Assumptions!$C$7,1,0),0),0)</f>
        <v/>
      </c>
      <c r="W2758">
        <f>IF(AND(U2758=1,M2758&gt;=H2758*(1-Assumptions!$C$8)),1,0)</f>
        <v/>
      </c>
      <c r="X2758">
        <f>IF(AND(U2758=1,N2758&gt;=H2758*(1-Assumptions!$C$8)),1,0)</f>
        <v/>
      </c>
      <c r="Y2758">
        <f>IF(ISNUMBER(Q2758),1,0)</f>
        <v/>
      </c>
      <c r="Z2758">
        <f>IF(AND(K2758=0,L2758=0,Y2758=0),1,0)</f>
        <v/>
      </c>
      <c r="AA2758">
        <f>IF(AND(Z2758=1,G2758&lt;Assumptions!$C$6),1,0)</f>
        <v/>
      </c>
      <c r="AB2758">
        <f>IF(U2758=0,"",IF(Y2758=1,MAX(0,Q2758-G2758),IF(L2758=1,MAX(0,R2758-G2758),MAX(0,Assumptions!$C$6-G2758))))</f>
        <v/>
      </c>
      <c r="AC2758">
        <f>IF(Y2758=1,Q2758-F2758,"")</f>
        <v/>
      </c>
      <c r="AD2758">
        <f>IF(Y2758=1,AC2758^2,"")</f>
        <v/>
      </c>
      <c r="AE2758" s="19">
        <f>IF(Z2758=1,(H2758-M2758)*I2758,0)</f>
        <v/>
      </c>
      <c r="AF2758">
        <f>IF(G2758&lt;EDATE(Assumptions!$C$6,-12)+1,"prior_12m","last_12m")</f>
        <v/>
      </c>
      <c r="AG2758" s="21">
        <f>DATE(YEAR(G2758),MONTH(G2758),1)</f>
        <v/>
      </c>
    </row>
    <row r="2759">
      <c r="A2759" t="inlineStr">
        <is>
          <t>SPO-01487-1</t>
        </is>
      </c>
      <c r="B2759" t="inlineStr">
        <is>
          <t>SPO-01487</t>
        </is>
      </c>
      <c r="C2759" t="inlineStr">
        <is>
          <t>SUP-01</t>
        </is>
      </c>
      <c r="D2759" t="inlineStr">
        <is>
          <t>ELEC</t>
        </is>
      </c>
      <c r="E2759" t="inlineStr">
        <is>
          <t>ELEC-08</t>
        </is>
      </c>
      <c r="F2759" s="17" t="n">
        <v>45979</v>
      </c>
      <c r="G2759" s="17" t="n">
        <v>45997</v>
      </c>
      <c r="H2759" s="18" t="n">
        <v>113</v>
      </c>
      <c r="I2759" s="19" t="n">
        <v>18.06</v>
      </c>
      <c r="J2759" s="19" t="n">
        <v>18</v>
      </c>
      <c r="K2759" s="20" t="n">
        <v>0</v>
      </c>
      <c r="L2759" s="20" t="n">
        <v>0</v>
      </c>
      <c r="M2759" s="18" t="n">
        <v>113</v>
      </c>
      <c r="N2759" s="18" t="n">
        <v>0</v>
      </c>
      <c r="O2759" s="18" t="n">
        <v>0</v>
      </c>
      <c r="P2759" s="17" t="n">
        <v>45998</v>
      </c>
      <c r="Q2759" s="17" t="n">
        <v>45998</v>
      </c>
      <c r="R2759" s="17" t="n">
        <v>45998</v>
      </c>
      <c r="S2759" s="19">
        <f>H2759*I2759</f>
        <v/>
      </c>
      <c r="T2759" s="19">
        <f>H2759*J2759</f>
        <v/>
      </c>
      <c r="U2759">
        <f>IF(AND(K2759=0,G2759&lt;=Assumptions!$C$6),1,0)</f>
        <v/>
      </c>
      <c r="V2759">
        <f>IF(U2759=1,IF(M2759&gt;0,IF(P2759&lt;=G2759+Assumptions!$C$7,1,0),0),0)</f>
        <v/>
      </c>
      <c r="W2759">
        <f>IF(AND(U2759=1,M2759&gt;=H2759*(1-Assumptions!$C$8)),1,0)</f>
        <v/>
      </c>
      <c r="X2759">
        <f>IF(AND(U2759=1,N2759&gt;=H2759*(1-Assumptions!$C$8)),1,0)</f>
        <v/>
      </c>
      <c r="Y2759">
        <f>IF(ISNUMBER(Q2759),1,0)</f>
        <v/>
      </c>
      <c r="Z2759">
        <f>IF(AND(K2759=0,L2759=0,Y2759=0),1,0)</f>
        <v/>
      </c>
      <c r="AA2759">
        <f>IF(AND(Z2759=1,G2759&lt;Assumptions!$C$6),1,0)</f>
        <v/>
      </c>
      <c r="AB2759">
        <f>IF(U2759=0,"",IF(Y2759=1,MAX(0,Q2759-G2759),IF(L2759=1,MAX(0,R2759-G2759),MAX(0,Assumptions!$C$6-G2759))))</f>
        <v/>
      </c>
      <c r="AC2759">
        <f>IF(Y2759=1,Q2759-F2759,"")</f>
        <v/>
      </c>
      <c r="AD2759">
        <f>IF(Y2759=1,AC2759^2,"")</f>
        <v/>
      </c>
      <c r="AE2759" s="19">
        <f>IF(Z2759=1,(H2759-M2759)*I2759,0)</f>
        <v/>
      </c>
      <c r="AF2759">
        <f>IF(G2759&lt;EDATE(Assumptions!$C$6,-12)+1,"prior_12m","last_12m")</f>
        <v/>
      </c>
      <c r="AG2759" s="21">
        <f>DATE(YEAR(G2759),MONTH(G2759),1)</f>
        <v/>
      </c>
    </row>
    <row r="2760">
      <c r="A2760" t="inlineStr">
        <is>
          <t>SPO-01488-1</t>
        </is>
      </c>
      <c r="B2760" t="inlineStr">
        <is>
          <t>SPO-01488</t>
        </is>
      </c>
      <c r="C2760" t="inlineStr">
        <is>
          <t>SUP-01</t>
        </is>
      </c>
      <c r="D2760" t="inlineStr">
        <is>
          <t>ELEC</t>
        </is>
      </c>
      <c r="E2760" t="inlineStr">
        <is>
          <t>ELEC-04</t>
        </is>
      </c>
      <c r="F2760" s="17" t="n">
        <v>45979</v>
      </c>
      <c r="G2760" s="17" t="n">
        <v>45997</v>
      </c>
      <c r="H2760" s="18" t="n">
        <v>14</v>
      </c>
      <c r="I2760" s="19" t="n">
        <v>72.09999999999999</v>
      </c>
      <c r="J2760" s="19" t="n">
        <v>72</v>
      </c>
      <c r="K2760" s="20" t="n">
        <v>0</v>
      </c>
      <c r="L2760" s="20" t="n">
        <v>0</v>
      </c>
      <c r="M2760" s="18" t="n">
        <v>14</v>
      </c>
      <c r="N2760" s="18" t="n">
        <v>14</v>
      </c>
      <c r="O2760" s="18" t="n">
        <v>0</v>
      </c>
      <c r="P2760" s="17" t="n">
        <v>45997</v>
      </c>
      <c r="Q2760" s="17" t="n">
        <v>45997</v>
      </c>
      <c r="R2760" s="17" t="n">
        <v>45997</v>
      </c>
      <c r="S2760" s="19">
        <f>H2760*I2760</f>
        <v/>
      </c>
      <c r="T2760" s="19">
        <f>H2760*J2760</f>
        <v/>
      </c>
      <c r="U2760">
        <f>IF(AND(K2760=0,G2760&lt;=Assumptions!$C$6),1,0)</f>
        <v/>
      </c>
      <c r="V2760">
        <f>IF(U2760=1,IF(M2760&gt;0,IF(P2760&lt;=G2760+Assumptions!$C$7,1,0),0),0)</f>
        <v/>
      </c>
      <c r="W2760">
        <f>IF(AND(U2760=1,M2760&gt;=H2760*(1-Assumptions!$C$8)),1,0)</f>
        <v/>
      </c>
      <c r="X2760">
        <f>IF(AND(U2760=1,N2760&gt;=H2760*(1-Assumptions!$C$8)),1,0)</f>
        <v/>
      </c>
      <c r="Y2760">
        <f>IF(ISNUMBER(Q2760),1,0)</f>
        <v/>
      </c>
      <c r="Z2760">
        <f>IF(AND(K2760=0,L2760=0,Y2760=0),1,0)</f>
        <v/>
      </c>
      <c r="AA2760">
        <f>IF(AND(Z2760=1,G2760&lt;Assumptions!$C$6),1,0)</f>
        <v/>
      </c>
      <c r="AB2760">
        <f>IF(U2760=0,"",IF(Y2760=1,MAX(0,Q2760-G2760),IF(L2760=1,MAX(0,R2760-G2760),MAX(0,Assumptions!$C$6-G2760))))</f>
        <v/>
      </c>
      <c r="AC2760">
        <f>IF(Y2760=1,Q2760-F2760,"")</f>
        <v/>
      </c>
      <c r="AD2760">
        <f>IF(Y2760=1,AC2760^2,"")</f>
        <v/>
      </c>
      <c r="AE2760" s="19">
        <f>IF(Z2760=1,(H2760-M2760)*I2760,0)</f>
        <v/>
      </c>
      <c r="AF2760">
        <f>IF(G2760&lt;EDATE(Assumptions!$C$6,-12)+1,"prior_12m","last_12m")</f>
        <v/>
      </c>
      <c r="AG2760" s="21">
        <f>DATE(YEAR(G2760),MONTH(G2760),1)</f>
        <v/>
      </c>
    </row>
    <row r="2761">
      <c r="A2761" t="inlineStr">
        <is>
          <t>SPO-01488-2</t>
        </is>
      </c>
      <c r="B2761" t="inlineStr">
        <is>
          <t>SPO-01488</t>
        </is>
      </c>
      <c r="C2761" t="inlineStr">
        <is>
          <t>SUP-01</t>
        </is>
      </c>
      <c r="D2761" t="inlineStr">
        <is>
          <t>ELEC</t>
        </is>
      </c>
      <c r="E2761" t="inlineStr">
        <is>
          <t>ELEC-06</t>
        </is>
      </c>
      <c r="F2761" s="17" t="n">
        <v>45979</v>
      </c>
      <c r="G2761" s="17" t="n">
        <v>45997</v>
      </c>
      <c r="H2761" s="18" t="n">
        <v>17</v>
      </c>
      <c r="I2761" s="19" t="n">
        <v>145.78</v>
      </c>
      <c r="J2761" s="19" t="n">
        <v>145</v>
      </c>
      <c r="K2761" s="20" t="n">
        <v>0</v>
      </c>
      <c r="L2761" s="20" t="n">
        <v>0</v>
      </c>
      <c r="M2761" s="18" t="n">
        <v>17</v>
      </c>
      <c r="N2761" s="18" t="n">
        <v>17</v>
      </c>
      <c r="O2761" s="18" t="n">
        <v>0</v>
      </c>
      <c r="P2761" s="17" t="n">
        <v>45997</v>
      </c>
      <c r="Q2761" s="17" t="n">
        <v>45997</v>
      </c>
      <c r="R2761" s="17" t="n">
        <v>45997</v>
      </c>
      <c r="S2761" s="19">
        <f>H2761*I2761</f>
        <v/>
      </c>
      <c r="T2761" s="19">
        <f>H2761*J2761</f>
        <v/>
      </c>
      <c r="U2761">
        <f>IF(AND(K2761=0,G2761&lt;=Assumptions!$C$6),1,0)</f>
        <v/>
      </c>
      <c r="V2761">
        <f>IF(U2761=1,IF(M2761&gt;0,IF(P2761&lt;=G2761+Assumptions!$C$7,1,0),0),0)</f>
        <v/>
      </c>
      <c r="W2761">
        <f>IF(AND(U2761=1,M2761&gt;=H2761*(1-Assumptions!$C$8)),1,0)</f>
        <v/>
      </c>
      <c r="X2761">
        <f>IF(AND(U2761=1,N2761&gt;=H2761*(1-Assumptions!$C$8)),1,0)</f>
        <v/>
      </c>
      <c r="Y2761">
        <f>IF(ISNUMBER(Q2761),1,0)</f>
        <v/>
      </c>
      <c r="Z2761">
        <f>IF(AND(K2761=0,L2761=0,Y2761=0),1,0)</f>
        <v/>
      </c>
      <c r="AA2761">
        <f>IF(AND(Z2761=1,G2761&lt;Assumptions!$C$6),1,0)</f>
        <v/>
      </c>
      <c r="AB2761">
        <f>IF(U2761=0,"",IF(Y2761=1,MAX(0,Q2761-G2761),IF(L2761=1,MAX(0,R2761-G2761),MAX(0,Assumptions!$C$6-G2761))))</f>
        <v/>
      </c>
      <c r="AC2761">
        <f>IF(Y2761=1,Q2761-F2761,"")</f>
        <v/>
      </c>
      <c r="AD2761">
        <f>IF(Y2761=1,AC2761^2,"")</f>
        <v/>
      </c>
      <c r="AE2761" s="19">
        <f>IF(Z2761=1,(H2761-M2761)*I2761,0)</f>
        <v/>
      </c>
      <c r="AF2761">
        <f>IF(G2761&lt;EDATE(Assumptions!$C$6,-12)+1,"prior_12m","last_12m")</f>
        <v/>
      </c>
      <c r="AG2761" s="21">
        <f>DATE(YEAR(G2761),MONTH(G2761),1)</f>
        <v/>
      </c>
    </row>
    <row r="2762">
      <c r="A2762" t="inlineStr">
        <is>
          <t>SPO-01489-1</t>
        </is>
      </c>
      <c r="B2762" t="inlineStr">
        <is>
          <t>SPO-01489</t>
        </is>
      </c>
      <c r="C2762" t="inlineStr">
        <is>
          <t>SUP-04</t>
        </is>
      </c>
      <c r="D2762" t="inlineStr">
        <is>
          <t>FLEET</t>
        </is>
      </c>
      <c r="E2762" t="inlineStr">
        <is>
          <t>FLEET-01</t>
        </is>
      </c>
      <c r="F2762" s="17" t="n">
        <v>45979</v>
      </c>
      <c r="G2762" s="17" t="n">
        <v>45992</v>
      </c>
      <c r="H2762" s="18" t="n">
        <v>16</v>
      </c>
      <c r="I2762" s="19" t="n">
        <v>62.31</v>
      </c>
      <c r="J2762" s="19" t="n">
        <v>64</v>
      </c>
      <c r="K2762" s="20" t="n">
        <v>0</v>
      </c>
      <c r="L2762" s="20" t="n">
        <v>0</v>
      </c>
      <c r="M2762" s="18" t="n">
        <v>16</v>
      </c>
      <c r="N2762" s="18" t="n">
        <v>11</v>
      </c>
      <c r="O2762" s="18" t="n">
        <v>0</v>
      </c>
      <c r="P2762" s="17" t="n">
        <v>45992</v>
      </c>
      <c r="Q2762" s="17" t="n">
        <v>46012</v>
      </c>
      <c r="R2762" s="17" t="n">
        <v>46012</v>
      </c>
      <c r="S2762" s="19">
        <f>H2762*I2762</f>
        <v/>
      </c>
      <c r="T2762" s="19">
        <f>H2762*J2762</f>
        <v/>
      </c>
      <c r="U2762">
        <f>IF(AND(K2762=0,G2762&lt;=Assumptions!$C$6),1,0)</f>
        <v/>
      </c>
      <c r="V2762">
        <f>IF(U2762=1,IF(M2762&gt;0,IF(P2762&lt;=G2762+Assumptions!$C$7,1,0),0),0)</f>
        <v/>
      </c>
      <c r="W2762">
        <f>IF(AND(U2762=1,M2762&gt;=H2762*(1-Assumptions!$C$8)),1,0)</f>
        <v/>
      </c>
      <c r="X2762">
        <f>IF(AND(U2762=1,N2762&gt;=H2762*(1-Assumptions!$C$8)),1,0)</f>
        <v/>
      </c>
      <c r="Y2762">
        <f>IF(ISNUMBER(Q2762),1,0)</f>
        <v/>
      </c>
      <c r="Z2762">
        <f>IF(AND(K2762=0,L2762=0,Y2762=0),1,0)</f>
        <v/>
      </c>
      <c r="AA2762">
        <f>IF(AND(Z2762=1,G2762&lt;Assumptions!$C$6),1,0)</f>
        <v/>
      </c>
      <c r="AB2762">
        <f>IF(U2762=0,"",IF(Y2762=1,MAX(0,Q2762-G2762),IF(L2762=1,MAX(0,R2762-G2762),MAX(0,Assumptions!$C$6-G2762))))</f>
        <v/>
      </c>
      <c r="AC2762">
        <f>IF(Y2762=1,Q2762-F2762,"")</f>
        <v/>
      </c>
      <c r="AD2762">
        <f>IF(Y2762=1,AC2762^2,"")</f>
        <v/>
      </c>
      <c r="AE2762" s="19">
        <f>IF(Z2762=1,(H2762-M2762)*I2762,0)</f>
        <v/>
      </c>
      <c r="AF2762">
        <f>IF(G2762&lt;EDATE(Assumptions!$C$6,-12)+1,"prior_12m","last_12m")</f>
        <v/>
      </c>
      <c r="AG2762" s="21">
        <f>DATE(YEAR(G2762),MONTH(G2762),1)</f>
        <v/>
      </c>
    </row>
    <row r="2763">
      <c r="A2763" t="inlineStr">
        <is>
          <t>SPO-01489-2</t>
        </is>
      </c>
      <c r="B2763" t="inlineStr">
        <is>
          <t>SPO-01489</t>
        </is>
      </c>
      <c r="C2763" t="inlineStr">
        <is>
          <t>SUP-04</t>
        </is>
      </c>
      <c r="D2763" t="inlineStr">
        <is>
          <t>FLEET</t>
        </is>
      </c>
      <c r="E2763" t="inlineStr">
        <is>
          <t>FLEET-07</t>
        </is>
      </c>
      <c r="F2763" s="17" t="n">
        <v>45979</v>
      </c>
      <c r="G2763" s="17" t="n">
        <v>45992</v>
      </c>
      <c r="H2763" s="18" t="n">
        <v>27</v>
      </c>
      <c r="I2763" s="19" t="n">
        <v>115.88</v>
      </c>
      <c r="J2763" s="19" t="n">
        <v>118</v>
      </c>
      <c r="K2763" s="20" t="n">
        <v>0</v>
      </c>
      <c r="L2763" s="20" t="n">
        <v>0</v>
      </c>
      <c r="M2763" s="18" t="n">
        <v>27</v>
      </c>
      <c r="N2763" s="18" t="n">
        <v>27</v>
      </c>
      <c r="O2763" s="18" t="n">
        <v>0</v>
      </c>
      <c r="P2763" s="17" t="n">
        <v>45992</v>
      </c>
      <c r="Q2763" s="17" t="n">
        <v>45992</v>
      </c>
      <c r="R2763" s="17" t="n">
        <v>45992</v>
      </c>
      <c r="S2763" s="19">
        <f>H2763*I2763</f>
        <v/>
      </c>
      <c r="T2763" s="19">
        <f>H2763*J2763</f>
        <v/>
      </c>
      <c r="U2763">
        <f>IF(AND(K2763=0,G2763&lt;=Assumptions!$C$6),1,0)</f>
        <v/>
      </c>
      <c r="V2763">
        <f>IF(U2763=1,IF(M2763&gt;0,IF(P2763&lt;=G2763+Assumptions!$C$7,1,0),0),0)</f>
        <v/>
      </c>
      <c r="W2763">
        <f>IF(AND(U2763=1,M2763&gt;=H2763*(1-Assumptions!$C$8)),1,0)</f>
        <v/>
      </c>
      <c r="X2763">
        <f>IF(AND(U2763=1,N2763&gt;=H2763*(1-Assumptions!$C$8)),1,0)</f>
        <v/>
      </c>
      <c r="Y2763">
        <f>IF(ISNUMBER(Q2763),1,0)</f>
        <v/>
      </c>
      <c r="Z2763">
        <f>IF(AND(K2763=0,L2763=0,Y2763=0),1,0)</f>
        <v/>
      </c>
      <c r="AA2763">
        <f>IF(AND(Z2763=1,G2763&lt;Assumptions!$C$6),1,0)</f>
        <v/>
      </c>
      <c r="AB2763">
        <f>IF(U2763=0,"",IF(Y2763=1,MAX(0,Q2763-G2763),IF(L2763=1,MAX(0,R2763-G2763),MAX(0,Assumptions!$C$6-G2763))))</f>
        <v/>
      </c>
      <c r="AC2763">
        <f>IF(Y2763=1,Q2763-F2763,"")</f>
        <v/>
      </c>
      <c r="AD2763">
        <f>IF(Y2763=1,AC2763^2,"")</f>
        <v/>
      </c>
      <c r="AE2763" s="19">
        <f>IF(Z2763=1,(H2763-M2763)*I2763,0)</f>
        <v/>
      </c>
      <c r="AF2763">
        <f>IF(G2763&lt;EDATE(Assumptions!$C$6,-12)+1,"prior_12m","last_12m")</f>
        <v/>
      </c>
      <c r="AG2763" s="21">
        <f>DATE(YEAR(G2763),MONTH(G2763),1)</f>
        <v/>
      </c>
    </row>
    <row r="2764">
      <c r="A2764" t="inlineStr">
        <is>
          <t>SPO-01489-3</t>
        </is>
      </c>
      <c r="B2764" t="inlineStr">
        <is>
          <t>SPO-01489</t>
        </is>
      </c>
      <c r="C2764" t="inlineStr">
        <is>
          <t>SUP-04</t>
        </is>
      </c>
      <c r="D2764" t="inlineStr">
        <is>
          <t>FLEET</t>
        </is>
      </c>
      <c r="E2764" t="inlineStr">
        <is>
          <t>FLEET-05</t>
        </is>
      </c>
      <c r="F2764" s="17" t="n">
        <v>45979</v>
      </c>
      <c r="G2764" s="17" t="n">
        <v>45992</v>
      </c>
      <c r="H2764" s="18" t="n">
        <v>8</v>
      </c>
      <c r="I2764" s="19" t="n">
        <v>162.25</v>
      </c>
      <c r="J2764" s="19" t="n">
        <v>168</v>
      </c>
      <c r="K2764" s="20" t="n">
        <v>0</v>
      </c>
      <c r="L2764" s="20" t="n">
        <v>1</v>
      </c>
      <c r="M2764" s="18" t="n">
        <v>6</v>
      </c>
      <c r="N2764" s="18" t="n">
        <v>0</v>
      </c>
      <c r="O2764" s="18" t="n">
        <v>0</v>
      </c>
      <c r="P2764" s="17" t="n">
        <v>45993</v>
      </c>
      <c r="Q2764" s="17" t="n"/>
      <c r="R2764" s="17" t="n">
        <v>45993</v>
      </c>
      <c r="S2764" s="19">
        <f>H2764*I2764</f>
        <v/>
      </c>
      <c r="T2764" s="19">
        <f>H2764*J2764</f>
        <v/>
      </c>
      <c r="U2764">
        <f>IF(AND(K2764=0,G2764&lt;=Assumptions!$C$6),1,0)</f>
        <v/>
      </c>
      <c r="V2764">
        <f>IF(U2764=1,IF(M2764&gt;0,IF(P2764&lt;=G2764+Assumptions!$C$7,1,0),0),0)</f>
        <v/>
      </c>
      <c r="W2764">
        <f>IF(AND(U2764=1,M2764&gt;=H2764*(1-Assumptions!$C$8)),1,0)</f>
        <v/>
      </c>
      <c r="X2764">
        <f>IF(AND(U2764=1,N2764&gt;=H2764*(1-Assumptions!$C$8)),1,0)</f>
        <v/>
      </c>
      <c r="Y2764">
        <f>IF(ISNUMBER(Q2764),1,0)</f>
        <v/>
      </c>
      <c r="Z2764">
        <f>IF(AND(K2764=0,L2764=0,Y2764=0),1,0)</f>
        <v/>
      </c>
      <c r="AA2764">
        <f>IF(AND(Z2764=1,G2764&lt;Assumptions!$C$6),1,0)</f>
        <v/>
      </c>
      <c r="AB2764">
        <f>IF(U2764=0,"",IF(Y2764=1,MAX(0,Q2764-G2764),IF(L2764=1,MAX(0,R2764-G2764),MAX(0,Assumptions!$C$6-G2764))))</f>
        <v/>
      </c>
      <c r="AC2764">
        <f>IF(Y2764=1,Q2764-F2764,"")</f>
        <v/>
      </c>
      <c r="AD2764">
        <f>IF(Y2764=1,AC2764^2,"")</f>
        <v/>
      </c>
      <c r="AE2764" s="19">
        <f>IF(Z2764=1,(H2764-M2764)*I2764,0)</f>
        <v/>
      </c>
      <c r="AF2764">
        <f>IF(G2764&lt;EDATE(Assumptions!$C$6,-12)+1,"prior_12m","last_12m")</f>
        <v/>
      </c>
      <c r="AG2764" s="21">
        <f>DATE(YEAR(G2764),MONTH(G2764),1)</f>
        <v/>
      </c>
    </row>
    <row r="2765">
      <c r="A2765" t="inlineStr">
        <is>
          <t>SPO-01490-1</t>
        </is>
      </c>
      <c r="B2765" t="inlineStr">
        <is>
          <t>SPO-01490</t>
        </is>
      </c>
      <c r="C2765" t="inlineStr">
        <is>
          <t>SUP-07</t>
        </is>
      </c>
      <c r="D2765" t="inlineStr">
        <is>
          <t>MRO</t>
        </is>
      </c>
      <c r="E2765" t="inlineStr">
        <is>
          <t>MRO-06</t>
        </is>
      </c>
      <c r="F2765" s="17" t="n">
        <v>45979</v>
      </c>
      <c r="G2765" s="17" t="n">
        <v>45989</v>
      </c>
      <c r="H2765" s="18" t="n">
        <v>232</v>
      </c>
      <c r="I2765" s="19" t="n">
        <v>5.79</v>
      </c>
      <c r="J2765" s="19" t="n">
        <v>6.1</v>
      </c>
      <c r="K2765" s="20" t="n">
        <v>0</v>
      </c>
      <c r="L2765" s="20" t="n">
        <v>0</v>
      </c>
      <c r="M2765" s="18" t="n">
        <v>232</v>
      </c>
      <c r="N2765" s="18" t="n">
        <v>232</v>
      </c>
      <c r="O2765" s="18" t="n">
        <v>0</v>
      </c>
      <c r="P2765" s="17" t="n">
        <v>45987</v>
      </c>
      <c r="Q2765" s="17" t="n">
        <v>45987</v>
      </c>
      <c r="R2765" s="17" t="n">
        <v>45987</v>
      </c>
      <c r="S2765" s="19">
        <f>H2765*I2765</f>
        <v/>
      </c>
      <c r="T2765" s="19">
        <f>H2765*J2765</f>
        <v/>
      </c>
      <c r="U2765">
        <f>IF(AND(K2765=0,G2765&lt;=Assumptions!$C$6),1,0)</f>
        <v/>
      </c>
      <c r="V2765">
        <f>IF(U2765=1,IF(M2765&gt;0,IF(P2765&lt;=G2765+Assumptions!$C$7,1,0),0),0)</f>
        <v/>
      </c>
      <c r="W2765">
        <f>IF(AND(U2765=1,M2765&gt;=H2765*(1-Assumptions!$C$8)),1,0)</f>
        <v/>
      </c>
      <c r="X2765">
        <f>IF(AND(U2765=1,N2765&gt;=H2765*(1-Assumptions!$C$8)),1,0)</f>
        <v/>
      </c>
      <c r="Y2765">
        <f>IF(ISNUMBER(Q2765),1,0)</f>
        <v/>
      </c>
      <c r="Z2765">
        <f>IF(AND(K2765=0,L2765=0,Y2765=0),1,0)</f>
        <v/>
      </c>
      <c r="AA2765">
        <f>IF(AND(Z2765=1,G2765&lt;Assumptions!$C$6),1,0)</f>
        <v/>
      </c>
      <c r="AB2765">
        <f>IF(U2765=0,"",IF(Y2765=1,MAX(0,Q2765-G2765),IF(L2765=1,MAX(0,R2765-G2765),MAX(0,Assumptions!$C$6-G2765))))</f>
        <v/>
      </c>
      <c r="AC2765">
        <f>IF(Y2765=1,Q2765-F2765,"")</f>
        <v/>
      </c>
      <c r="AD2765">
        <f>IF(Y2765=1,AC2765^2,"")</f>
        <v/>
      </c>
      <c r="AE2765" s="19">
        <f>IF(Z2765=1,(H2765-M2765)*I2765,0)</f>
        <v/>
      </c>
      <c r="AF2765">
        <f>IF(G2765&lt;EDATE(Assumptions!$C$6,-12)+1,"prior_12m","last_12m")</f>
        <v/>
      </c>
      <c r="AG2765" s="21">
        <f>DATE(YEAR(G2765),MONTH(G2765),1)</f>
        <v/>
      </c>
    </row>
    <row r="2766">
      <c r="A2766" t="inlineStr">
        <is>
          <t>SPO-01491-1</t>
        </is>
      </c>
      <c r="B2766" t="inlineStr">
        <is>
          <t>SPO-01491</t>
        </is>
      </c>
      <c r="C2766" t="inlineStr">
        <is>
          <t>SUP-01</t>
        </is>
      </c>
      <c r="D2766" t="inlineStr">
        <is>
          <t>ELEC</t>
        </is>
      </c>
      <c r="E2766" t="inlineStr">
        <is>
          <t>ELEC-06</t>
        </is>
      </c>
      <c r="F2766" s="17" t="n">
        <v>45980</v>
      </c>
      <c r="G2766" s="17" t="n">
        <v>45998</v>
      </c>
      <c r="H2766" s="18" t="n">
        <v>28</v>
      </c>
      <c r="I2766" s="19" t="n">
        <v>148.92</v>
      </c>
      <c r="J2766" s="19" t="n">
        <v>145</v>
      </c>
      <c r="K2766" s="20" t="n">
        <v>0</v>
      </c>
      <c r="L2766" s="20" t="n">
        <v>0</v>
      </c>
      <c r="M2766" s="18" t="n">
        <v>28</v>
      </c>
      <c r="N2766" s="18" t="n">
        <v>0</v>
      </c>
      <c r="O2766" s="18" t="n">
        <v>0</v>
      </c>
      <c r="P2766" s="17" t="n">
        <v>46023</v>
      </c>
      <c r="Q2766" s="17" t="n">
        <v>46023</v>
      </c>
      <c r="R2766" s="17" t="n">
        <v>46023</v>
      </c>
      <c r="S2766" s="19">
        <f>H2766*I2766</f>
        <v/>
      </c>
      <c r="T2766" s="19">
        <f>H2766*J2766</f>
        <v/>
      </c>
      <c r="U2766">
        <f>IF(AND(K2766=0,G2766&lt;=Assumptions!$C$6),1,0)</f>
        <v/>
      </c>
      <c r="V2766">
        <f>IF(U2766=1,IF(M2766&gt;0,IF(P2766&lt;=G2766+Assumptions!$C$7,1,0),0),0)</f>
        <v/>
      </c>
      <c r="W2766">
        <f>IF(AND(U2766=1,M2766&gt;=H2766*(1-Assumptions!$C$8)),1,0)</f>
        <v/>
      </c>
      <c r="X2766">
        <f>IF(AND(U2766=1,N2766&gt;=H2766*(1-Assumptions!$C$8)),1,0)</f>
        <v/>
      </c>
      <c r="Y2766">
        <f>IF(ISNUMBER(Q2766),1,0)</f>
        <v/>
      </c>
      <c r="Z2766">
        <f>IF(AND(K2766=0,L2766=0,Y2766=0),1,0)</f>
        <v/>
      </c>
      <c r="AA2766">
        <f>IF(AND(Z2766=1,G2766&lt;Assumptions!$C$6),1,0)</f>
        <v/>
      </c>
      <c r="AB2766">
        <f>IF(U2766=0,"",IF(Y2766=1,MAX(0,Q2766-G2766),IF(L2766=1,MAX(0,R2766-G2766),MAX(0,Assumptions!$C$6-G2766))))</f>
        <v/>
      </c>
      <c r="AC2766">
        <f>IF(Y2766=1,Q2766-F2766,"")</f>
        <v/>
      </c>
      <c r="AD2766">
        <f>IF(Y2766=1,AC2766^2,"")</f>
        <v/>
      </c>
      <c r="AE2766" s="19">
        <f>IF(Z2766=1,(H2766-M2766)*I2766,0)</f>
        <v/>
      </c>
      <c r="AF2766">
        <f>IF(G2766&lt;EDATE(Assumptions!$C$6,-12)+1,"prior_12m","last_12m")</f>
        <v/>
      </c>
      <c r="AG2766" s="21">
        <f>DATE(YEAR(G2766),MONTH(G2766),1)</f>
        <v/>
      </c>
    </row>
    <row r="2767">
      <c r="A2767" t="inlineStr">
        <is>
          <t>SPO-01491-2</t>
        </is>
      </c>
      <c r="B2767" t="inlineStr">
        <is>
          <t>SPO-01491</t>
        </is>
      </c>
      <c r="C2767" t="inlineStr">
        <is>
          <t>SUP-01</t>
        </is>
      </c>
      <c r="D2767" t="inlineStr">
        <is>
          <t>ELEC</t>
        </is>
      </c>
      <c r="E2767" t="inlineStr">
        <is>
          <t>ELEC-02</t>
        </is>
      </c>
      <c r="F2767" s="17" t="n">
        <v>45980</v>
      </c>
      <c r="G2767" s="17" t="n">
        <v>45998</v>
      </c>
      <c r="H2767" s="18" t="n">
        <v>546</v>
      </c>
      <c r="I2767" s="19" t="n">
        <v>4.3</v>
      </c>
      <c r="J2767" s="19" t="n">
        <v>4.2</v>
      </c>
      <c r="K2767" s="20" t="n">
        <v>0</v>
      </c>
      <c r="L2767" s="20" t="n">
        <v>0</v>
      </c>
      <c r="M2767" s="18" t="n">
        <v>546</v>
      </c>
      <c r="N2767" s="18" t="n">
        <v>0</v>
      </c>
      <c r="O2767" s="18" t="n">
        <v>0</v>
      </c>
      <c r="P2767" s="17" t="n">
        <v>45999</v>
      </c>
      <c r="Q2767" s="17" t="n">
        <v>46011</v>
      </c>
      <c r="R2767" s="17" t="n">
        <v>46011</v>
      </c>
      <c r="S2767" s="19">
        <f>H2767*I2767</f>
        <v/>
      </c>
      <c r="T2767" s="19">
        <f>H2767*J2767</f>
        <v/>
      </c>
      <c r="U2767">
        <f>IF(AND(K2767=0,G2767&lt;=Assumptions!$C$6),1,0)</f>
        <v/>
      </c>
      <c r="V2767">
        <f>IF(U2767=1,IF(M2767&gt;0,IF(P2767&lt;=G2767+Assumptions!$C$7,1,0),0),0)</f>
        <v/>
      </c>
      <c r="W2767">
        <f>IF(AND(U2767=1,M2767&gt;=H2767*(1-Assumptions!$C$8)),1,0)</f>
        <v/>
      </c>
      <c r="X2767">
        <f>IF(AND(U2767=1,N2767&gt;=H2767*(1-Assumptions!$C$8)),1,0)</f>
        <v/>
      </c>
      <c r="Y2767">
        <f>IF(ISNUMBER(Q2767),1,0)</f>
        <v/>
      </c>
      <c r="Z2767">
        <f>IF(AND(K2767=0,L2767=0,Y2767=0),1,0)</f>
        <v/>
      </c>
      <c r="AA2767">
        <f>IF(AND(Z2767=1,G2767&lt;Assumptions!$C$6),1,0)</f>
        <v/>
      </c>
      <c r="AB2767">
        <f>IF(U2767=0,"",IF(Y2767=1,MAX(0,Q2767-G2767),IF(L2767=1,MAX(0,R2767-G2767),MAX(0,Assumptions!$C$6-G2767))))</f>
        <v/>
      </c>
      <c r="AC2767">
        <f>IF(Y2767=1,Q2767-F2767,"")</f>
        <v/>
      </c>
      <c r="AD2767">
        <f>IF(Y2767=1,AC2767^2,"")</f>
        <v/>
      </c>
      <c r="AE2767" s="19">
        <f>IF(Z2767=1,(H2767-M2767)*I2767,0)</f>
        <v/>
      </c>
      <c r="AF2767">
        <f>IF(G2767&lt;EDATE(Assumptions!$C$6,-12)+1,"prior_12m","last_12m")</f>
        <v/>
      </c>
      <c r="AG2767" s="21">
        <f>DATE(YEAR(G2767),MONTH(G2767),1)</f>
        <v/>
      </c>
    </row>
    <row r="2768">
      <c r="A2768" t="inlineStr">
        <is>
          <t>SPO-01491-3</t>
        </is>
      </c>
      <c r="B2768" t="inlineStr">
        <is>
          <t>SPO-01491</t>
        </is>
      </c>
      <c r="C2768" t="inlineStr">
        <is>
          <t>SUP-01</t>
        </is>
      </c>
      <c r="D2768" t="inlineStr">
        <is>
          <t>ELEC</t>
        </is>
      </c>
      <c r="E2768" t="inlineStr">
        <is>
          <t>ELEC-04</t>
        </is>
      </c>
      <c r="F2768" s="17" t="n">
        <v>45980</v>
      </c>
      <c r="G2768" s="17" t="n">
        <v>45998</v>
      </c>
      <c r="H2768" s="18" t="n">
        <v>53</v>
      </c>
      <c r="I2768" s="19" t="n">
        <v>71.90000000000001</v>
      </c>
      <c r="J2768" s="19" t="n">
        <v>72</v>
      </c>
      <c r="K2768" s="20" t="n">
        <v>0</v>
      </c>
      <c r="L2768" s="20" t="n">
        <v>0</v>
      </c>
      <c r="M2768" s="18" t="n">
        <v>53</v>
      </c>
      <c r="N2768" s="18" t="n">
        <v>53</v>
      </c>
      <c r="O2768" s="18" t="n">
        <v>0</v>
      </c>
      <c r="P2768" s="17" t="n">
        <v>45994</v>
      </c>
      <c r="Q2768" s="17" t="n">
        <v>45994</v>
      </c>
      <c r="R2768" s="17" t="n">
        <v>45994</v>
      </c>
      <c r="S2768" s="19">
        <f>H2768*I2768</f>
        <v/>
      </c>
      <c r="T2768" s="19">
        <f>H2768*J2768</f>
        <v/>
      </c>
      <c r="U2768">
        <f>IF(AND(K2768=0,G2768&lt;=Assumptions!$C$6),1,0)</f>
        <v/>
      </c>
      <c r="V2768">
        <f>IF(U2768=1,IF(M2768&gt;0,IF(P2768&lt;=G2768+Assumptions!$C$7,1,0),0),0)</f>
        <v/>
      </c>
      <c r="W2768">
        <f>IF(AND(U2768=1,M2768&gt;=H2768*(1-Assumptions!$C$8)),1,0)</f>
        <v/>
      </c>
      <c r="X2768">
        <f>IF(AND(U2768=1,N2768&gt;=H2768*(1-Assumptions!$C$8)),1,0)</f>
        <v/>
      </c>
      <c r="Y2768">
        <f>IF(ISNUMBER(Q2768),1,0)</f>
        <v/>
      </c>
      <c r="Z2768">
        <f>IF(AND(K2768=0,L2768=0,Y2768=0),1,0)</f>
        <v/>
      </c>
      <c r="AA2768">
        <f>IF(AND(Z2768=1,G2768&lt;Assumptions!$C$6),1,0)</f>
        <v/>
      </c>
      <c r="AB2768">
        <f>IF(U2768=0,"",IF(Y2768=1,MAX(0,Q2768-G2768),IF(L2768=1,MAX(0,R2768-G2768),MAX(0,Assumptions!$C$6-G2768))))</f>
        <v/>
      </c>
      <c r="AC2768">
        <f>IF(Y2768=1,Q2768-F2768,"")</f>
        <v/>
      </c>
      <c r="AD2768">
        <f>IF(Y2768=1,AC2768^2,"")</f>
        <v/>
      </c>
      <c r="AE2768" s="19">
        <f>IF(Z2768=1,(H2768-M2768)*I2768,0)</f>
        <v/>
      </c>
      <c r="AF2768">
        <f>IF(G2768&lt;EDATE(Assumptions!$C$6,-12)+1,"prior_12m","last_12m")</f>
        <v/>
      </c>
      <c r="AG2768" s="21">
        <f>DATE(YEAR(G2768),MONTH(G2768),1)</f>
        <v/>
      </c>
    </row>
    <row r="2769">
      <c r="A2769" t="inlineStr">
        <is>
          <t>SPO-01492-1</t>
        </is>
      </c>
      <c r="B2769" t="inlineStr">
        <is>
          <t>SPO-01492</t>
        </is>
      </c>
      <c r="C2769" t="inlineStr">
        <is>
          <t>SUP-08</t>
        </is>
      </c>
      <c r="D2769" t="inlineStr">
        <is>
          <t>PPE</t>
        </is>
      </c>
      <c r="E2769" t="inlineStr">
        <is>
          <t>PPE-01</t>
        </is>
      </c>
      <c r="F2769" s="17" t="n">
        <v>45981</v>
      </c>
      <c r="G2769" s="17" t="n">
        <v>45992</v>
      </c>
      <c r="H2769" s="18" t="n">
        <v>143</v>
      </c>
      <c r="I2769" s="19" t="n">
        <v>4.82</v>
      </c>
      <c r="J2769" s="19" t="n">
        <v>4.8</v>
      </c>
      <c r="K2769" s="20" t="n">
        <v>0</v>
      </c>
      <c r="L2769" s="20" t="n">
        <v>0</v>
      </c>
      <c r="M2769" s="18" t="n">
        <v>143</v>
      </c>
      <c r="N2769" s="18" t="n">
        <v>143</v>
      </c>
      <c r="O2769" s="18" t="n">
        <v>0</v>
      </c>
      <c r="P2769" s="17" t="n">
        <v>45989</v>
      </c>
      <c r="Q2769" s="17" t="n">
        <v>45989</v>
      </c>
      <c r="R2769" s="17" t="n">
        <v>45989</v>
      </c>
      <c r="S2769" s="19">
        <f>H2769*I2769</f>
        <v/>
      </c>
      <c r="T2769" s="19">
        <f>H2769*J2769</f>
        <v/>
      </c>
      <c r="U2769">
        <f>IF(AND(K2769=0,G2769&lt;=Assumptions!$C$6),1,0)</f>
        <v/>
      </c>
      <c r="V2769">
        <f>IF(U2769=1,IF(M2769&gt;0,IF(P2769&lt;=G2769+Assumptions!$C$7,1,0),0),0)</f>
        <v/>
      </c>
      <c r="W2769">
        <f>IF(AND(U2769=1,M2769&gt;=H2769*(1-Assumptions!$C$8)),1,0)</f>
        <v/>
      </c>
      <c r="X2769">
        <f>IF(AND(U2769=1,N2769&gt;=H2769*(1-Assumptions!$C$8)),1,0)</f>
        <v/>
      </c>
      <c r="Y2769">
        <f>IF(ISNUMBER(Q2769),1,0)</f>
        <v/>
      </c>
      <c r="Z2769">
        <f>IF(AND(K2769=0,L2769=0,Y2769=0),1,0)</f>
        <v/>
      </c>
      <c r="AA2769">
        <f>IF(AND(Z2769=1,G2769&lt;Assumptions!$C$6),1,0)</f>
        <v/>
      </c>
      <c r="AB2769">
        <f>IF(U2769=0,"",IF(Y2769=1,MAX(0,Q2769-G2769),IF(L2769=1,MAX(0,R2769-G2769),MAX(0,Assumptions!$C$6-G2769))))</f>
        <v/>
      </c>
      <c r="AC2769">
        <f>IF(Y2769=1,Q2769-F2769,"")</f>
        <v/>
      </c>
      <c r="AD2769">
        <f>IF(Y2769=1,AC2769^2,"")</f>
        <v/>
      </c>
      <c r="AE2769" s="19">
        <f>IF(Z2769=1,(H2769-M2769)*I2769,0)</f>
        <v/>
      </c>
      <c r="AF2769">
        <f>IF(G2769&lt;EDATE(Assumptions!$C$6,-12)+1,"prior_12m","last_12m")</f>
        <v/>
      </c>
      <c r="AG2769" s="21">
        <f>DATE(YEAR(G2769),MONTH(G2769),1)</f>
        <v/>
      </c>
    </row>
    <row r="2770">
      <c r="A2770" t="inlineStr">
        <is>
          <t>SPO-01492-2</t>
        </is>
      </c>
      <c r="B2770" t="inlineStr">
        <is>
          <t>SPO-01492</t>
        </is>
      </c>
      <c r="C2770" t="inlineStr">
        <is>
          <t>SUP-08</t>
        </is>
      </c>
      <c r="D2770" t="inlineStr">
        <is>
          <t>PPE</t>
        </is>
      </c>
      <c r="E2770" t="inlineStr">
        <is>
          <t>PPE-05</t>
        </is>
      </c>
      <c r="F2770" s="17" t="n">
        <v>45981</v>
      </c>
      <c r="G2770" s="17" t="n">
        <v>45992</v>
      </c>
      <c r="H2770" s="18" t="n">
        <v>245</v>
      </c>
      <c r="I2770" s="19" t="n">
        <v>10.48</v>
      </c>
      <c r="J2770" s="19" t="n">
        <v>11</v>
      </c>
      <c r="K2770" s="20" t="n">
        <v>0</v>
      </c>
      <c r="L2770" s="20" t="n">
        <v>0</v>
      </c>
      <c r="M2770" s="18" t="n">
        <v>245</v>
      </c>
      <c r="N2770" s="18" t="n">
        <v>245</v>
      </c>
      <c r="O2770" s="18" t="n">
        <v>0</v>
      </c>
      <c r="P2770" s="17" t="n">
        <v>45989</v>
      </c>
      <c r="Q2770" s="17" t="n">
        <v>45989</v>
      </c>
      <c r="R2770" s="17" t="n">
        <v>45989</v>
      </c>
      <c r="S2770" s="19">
        <f>H2770*I2770</f>
        <v/>
      </c>
      <c r="T2770" s="19">
        <f>H2770*J2770</f>
        <v/>
      </c>
      <c r="U2770">
        <f>IF(AND(K2770=0,G2770&lt;=Assumptions!$C$6),1,0)</f>
        <v/>
      </c>
      <c r="V2770">
        <f>IF(U2770=1,IF(M2770&gt;0,IF(P2770&lt;=G2770+Assumptions!$C$7,1,0),0),0)</f>
        <v/>
      </c>
      <c r="W2770">
        <f>IF(AND(U2770=1,M2770&gt;=H2770*(1-Assumptions!$C$8)),1,0)</f>
        <v/>
      </c>
      <c r="X2770">
        <f>IF(AND(U2770=1,N2770&gt;=H2770*(1-Assumptions!$C$8)),1,0)</f>
        <v/>
      </c>
      <c r="Y2770">
        <f>IF(ISNUMBER(Q2770),1,0)</f>
        <v/>
      </c>
      <c r="Z2770">
        <f>IF(AND(K2770=0,L2770=0,Y2770=0),1,0)</f>
        <v/>
      </c>
      <c r="AA2770">
        <f>IF(AND(Z2770=1,G2770&lt;Assumptions!$C$6),1,0)</f>
        <v/>
      </c>
      <c r="AB2770">
        <f>IF(U2770=0,"",IF(Y2770=1,MAX(0,Q2770-G2770),IF(L2770=1,MAX(0,R2770-G2770),MAX(0,Assumptions!$C$6-G2770))))</f>
        <v/>
      </c>
      <c r="AC2770">
        <f>IF(Y2770=1,Q2770-F2770,"")</f>
        <v/>
      </c>
      <c r="AD2770">
        <f>IF(Y2770=1,AC2770^2,"")</f>
        <v/>
      </c>
      <c r="AE2770" s="19">
        <f>IF(Z2770=1,(H2770-M2770)*I2770,0)</f>
        <v/>
      </c>
      <c r="AF2770">
        <f>IF(G2770&lt;EDATE(Assumptions!$C$6,-12)+1,"prior_12m","last_12m")</f>
        <v/>
      </c>
      <c r="AG2770" s="21">
        <f>DATE(YEAR(G2770),MONTH(G2770),1)</f>
        <v/>
      </c>
    </row>
    <row r="2771">
      <c r="A2771" t="inlineStr">
        <is>
          <t>SPO-01492-3</t>
        </is>
      </c>
      <c r="B2771" t="inlineStr">
        <is>
          <t>SPO-01492</t>
        </is>
      </c>
      <c r="C2771" t="inlineStr">
        <is>
          <t>SUP-08</t>
        </is>
      </c>
      <c r="D2771" t="inlineStr">
        <is>
          <t>PPE</t>
        </is>
      </c>
      <c r="E2771" t="inlineStr">
        <is>
          <t>PPE-03</t>
        </is>
      </c>
      <c r="F2771" s="17" t="n">
        <v>45981</v>
      </c>
      <c r="G2771" s="17" t="n">
        <v>45992</v>
      </c>
      <c r="H2771" s="18" t="n">
        <v>49</v>
      </c>
      <c r="I2771" s="19" t="n">
        <v>21.63</v>
      </c>
      <c r="J2771" s="19" t="n">
        <v>21</v>
      </c>
      <c r="K2771" s="20" t="n">
        <v>0</v>
      </c>
      <c r="L2771" s="20" t="n">
        <v>0</v>
      </c>
      <c r="M2771" s="18" t="n">
        <v>49</v>
      </c>
      <c r="N2771" s="18" t="n">
        <v>49</v>
      </c>
      <c r="O2771" s="18" t="n">
        <v>0</v>
      </c>
      <c r="P2771" s="17" t="n">
        <v>45985</v>
      </c>
      <c r="Q2771" s="17" t="n">
        <v>45985</v>
      </c>
      <c r="R2771" s="17" t="n">
        <v>45985</v>
      </c>
      <c r="S2771" s="19">
        <f>H2771*I2771</f>
        <v/>
      </c>
      <c r="T2771" s="19">
        <f>H2771*J2771</f>
        <v/>
      </c>
      <c r="U2771">
        <f>IF(AND(K2771=0,G2771&lt;=Assumptions!$C$6),1,0)</f>
        <v/>
      </c>
      <c r="V2771">
        <f>IF(U2771=1,IF(M2771&gt;0,IF(P2771&lt;=G2771+Assumptions!$C$7,1,0),0),0)</f>
        <v/>
      </c>
      <c r="W2771">
        <f>IF(AND(U2771=1,M2771&gt;=H2771*(1-Assumptions!$C$8)),1,0)</f>
        <v/>
      </c>
      <c r="X2771">
        <f>IF(AND(U2771=1,N2771&gt;=H2771*(1-Assumptions!$C$8)),1,0)</f>
        <v/>
      </c>
      <c r="Y2771">
        <f>IF(ISNUMBER(Q2771),1,0)</f>
        <v/>
      </c>
      <c r="Z2771">
        <f>IF(AND(K2771=0,L2771=0,Y2771=0),1,0)</f>
        <v/>
      </c>
      <c r="AA2771">
        <f>IF(AND(Z2771=1,G2771&lt;Assumptions!$C$6),1,0)</f>
        <v/>
      </c>
      <c r="AB2771">
        <f>IF(U2771=0,"",IF(Y2771=1,MAX(0,Q2771-G2771),IF(L2771=1,MAX(0,R2771-G2771),MAX(0,Assumptions!$C$6-G2771))))</f>
        <v/>
      </c>
      <c r="AC2771">
        <f>IF(Y2771=1,Q2771-F2771,"")</f>
        <v/>
      </c>
      <c r="AD2771">
        <f>IF(Y2771=1,AC2771^2,"")</f>
        <v/>
      </c>
      <c r="AE2771" s="19">
        <f>IF(Z2771=1,(H2771-M2771)*I2771,0)</f>
        <v/>
      </c>
      <c r="AF2771">
        <f>IF(G2771&lt;EDATE(Assumptions!$C$6,-12)+1,"prior_12m","last_12m")</f>
        <v/>
      </c>
      <c r="AG2771" s="21">
        <f>DATE(YEAR(G2771),MONTH(G2771),1)</f>
        <v/>
      </c>
    </row>
    <row r="2772">
      <c r="A2772" t="inlineStr">
        <is>
          <t>SPO-01493-1</t>
        </is>
      </c>
      <c r="B2772" t="inlineStr">
        <is>
          <t>SPO-01493</t>
        </is>
      </c>
      <c r="C2772" t="inlineStr">
        <is>
          <t>SUP-05</t>
        </is>
      </c>
      <c r="D2772" t="inlineStr">
        <is>
          <t>FLEET</t>
        </is>
      </c>
      <c r="E2772" t="inlineStr">
        <is>
          <t>FLEET-06</t>
        </is>
      </c>
      <c r="F2772" s="17" t="n">
        <v>45981</v>
      </c>
      <c r="G2772" s="17" t="n">
        <v>45995</v>
      </c>
      <c r="H2772" s="18" t="n">
        <v>51</v>
      </c>
      <c r="I2772" s="19" t="n">
        <v>33.46</v>
      </c>
      <c r="J2772" s="19" t="n">
        <v>33</v>
      </c>
      <c r="K2772" s="20" t="n">
        <v>0</v>
      </c>
      <c r="L2772" s="20" t="n">
        <v>0</v>
      </c>
      <c r="M2772" s="18" t="n">
        <v>51</v>
      </c>
      <c r="N2772" s="18" t="n">
        <v>51</v>
      </c>
      <c r="O2772" s="18" t="n">
        <v>0</v>
      </c>
      <c r="P2772" s="17" t="n">
        <v>45995</v>
      </c>
      <c r="Q2772" s="17" t="n">
        <v>45995</v>
      </c>
      <c r="R2772" s="17" t="n">
        <v>45995</v>
      </c>
      <c r="S2772" s="19">
        <f>H2772*I2772</f>
        <v/>
      </c>
      <c r="T2772" s="19">
        <f>H2772*J2772</f>
        <v/>
      </c>
      <c r="U2772">
        <f>IF(AND(K2772=0,G2772&lt;=Assumptions!$C$6),1,0)</f>
        <v/>
      </c>
      <c r="V2772">
        <f>IF(U2772=1,IF(M2772&gt;0,IF(P2772&lt;=G2772+Assumptions!$C$7,1,0),0),0)</f>
        <v/>
      </c>
      <c r="W2772">
        <f>IF(AND(U2772=1,M2772&gt;=H2772*(1-Assumptions!$C$8)),1,0)</f>
        <v/>
      </c>
      <c r="X2772">
        <f>IF(AND(U2772=1,N2772&gt;=H2772*(1-Assumptions!$C$8)),1,0)</f>
        <v/>
      </c>
      <c r="Y2772">
        <f>IF(ISNUMBER(Q2772),1,0)</f>
        <v/>
      </c>
      <c r="Z2772">
        <f>IF(AND(K2772=0,L2772=0,Y2772=0),1,0)</f>
        <v/>
      </c>
      <c r="AA2772">
        <f>IF(AND(Z2772=1,G2772&lt;Assumptions!$C$6),1,0)</f>
        <v/>
      </c>
      <c r="AB2772">
        <f>IF(U2772=0,"",IF(Y2772=1,MAX(0,Q2772-G2772),IF(L2772=1,MAX(0,R2772-G2772),MAX(0,Assumptions!$C$6-G2772))))</f>
        <v/>
      </c>
      <c r="AC2772">
        <f>IF(Y2772=1,Q2772-F2772,"")</f>
        <v/>
      </c>
      <c r="AD2772">
        <f>IF(Y2772=1,AC2772^2,"")</f>
        <v/>
      </c>
      <c r="AE2772" s="19">
        <f>IF(Z2772=1,(H2772-M2772)*I2772,0)</f>
        <v/>
      </c>
      <c r="AF2772">
        <f>IF(G2772&lt;EDATE(Assumptions!$C$6,-12)+1,"prior_12m","last_12m")</f>
        <v/>
      </c>
      <c r="AG2772" s="21">
        <f>DATE(YEAR(G2772),MONTH(G2772),1)</f>
        <v/>
      </c>
    </row>
    <row r="2773">
      <c r="A2773" t="inlineStr">
        <is>
          <t>SPO-01493-2</t>
        </is>
      </c>
      <c r="B2773" t="inlineStr">
        <is>
          <t>SPO-01493</t>
        </is>
      </c>
      <c r="C2773" t="inlineStr">
        <is>
          <t>SUP-05</t>
        </is>
      </c>
      <c r="D2773" t="inlineStr">
        <is>
          <t>FLEET</t>
        </is>
      </c>
      <c r="E2773" t="inlineStr">
        <is>
          <t>FLEET-03</t>
        </is>
      </c>
      <c r="F2773" s="17" t="n">
        <v>45981</v>
      </c>
      <c r="G2773" s="17" t="n">
        <v>45995</v>
      </c>
      <c r="H2773" s="18" t="n">
        <v>34</v>
      </c>
      <c r="I2773" s="19" t="n">
        <v>21.37</v>
      </c>
      <c r="J2773" s="19" t="n">
        <v>21</v>
      </c>
      <c r="K2773" s="20" t="n">
        <v>0</v>
      </c>
      <c r="L2773" s="20" t="n">
        <v>0</v>
      </c>
      <c r="M2773" s="18" t="n">
        <v>34</v>
      </c>
      <c r="N2773" s="18" t="n">
        <v>34</v>
      </c>
      <c r="O2773" s="18" t="n">
        <v>0</v>
      </c>
      <c r="P2773" s="17" t="n">
        <v>45994</v>
      </c>
      <c r="Q2773" s="17" t="n">
        <v>45994</v>
      </c>
      <c r="R2773" s="17" t="n">
        <v>45994</v>
      </c>
      <c r="S2773" s="19">
        <f>H2773*I2773</f>
        <v/>
      </c>
      <c r="T2773" s="19">
        <f>H2773*J2773</f>
        <v/>
      </c>
      <c r="U2773">
        <f>IF(AND(K2773=0,G2773&lt;=Assumptions!$C$6),1,0)</f>
        <v/>
      </c>
      <c r="V2773">
        <f>IF(U2773=1,IF(M2773&gt;0,IF(P2773&lt;=G2773+Assumptions!$C$7,1,0),0),0)</f>
        <v/>
      </c>
      <c r="W2773">
        <f>IF(AND(U2773=1,M2773&gt;=H2773*(1-Assumptions!$C$8)),1,0)</f>
        <v/>
      </c>
      <c r="X2773">
        <f>IF(AND(U2773=1,N2773&gt;=H2773*(1-Assumptions!$C$8)),1,0)</f>
        <v/>
      </c>
      <c r="Y2773">
        <f>IF(ISNUMBER(Q2773),1,0)</f>
        <v/>
      </c>
      <c r="Z2773">
        <f>IF(AND(K2773=0,L2773=0,Y2773=0),1,0)</f>
        <v/>
      </c>
      <c r="AA2773">
        <f>IF(AND(Z2773=1,G2773&lt;Assumptions!$C$6),1,0)</f>
        <v/>
      </c>
      <c r="AB2773">
        <f>IF(U2773=0,"",IF(Y2773=1,MAX(0,Q2773-G2773),IF(L2773=1,MAX(0,R2773-G2773),MAX(0,Assumptions!$C$6-G2773))))</f>
        <v/>
      </c>
      <c r="AC2773">
        <f>IF(Y2773=1,Q2773-F2773,"")</f>
        <v/>
      </c>
      <c r="AD2773">
        <f>IF(Y2773=1,AC2773^2,"")</f>
        <v/>
      </c>
      <c r="AE2773" s="19">
        <f>IF(Z2773=1,(H2773-M2773)*I2773,0)</f>
        <v/>
      </c>
      <c r="AF2773">
        <f>IF(G2773&lt;EDATE(Assumptions!$C$6,-12)+1,"prior_12m","last_12m")</f>
        <v/>
      </c>
      <c r="AG2773" s="21">
        <f>DATE(YEAR(G2773),MONTH(G2773),1)</f>
        <v/>
      </c>
    </row>
    <row r="2774">
      <c r="A2774" t="inlineStr">
        <is>
          <t>SPO-01494-1</t>
        </is>
      </c>
      <c r="B2774" t="inlineStr">
        <is>
          <t>SPO-01494</t>
        </is>
      </c>
      <c r="C2774" t="inlineStr">
        <is>
          <t>SUP-11</t>
        </is>
      </c>
      <c r="D2774" t="inlineStr">
        <is>
          <t>PPE</t>
        </is>
      </c>
      <c r="E2774" t="inlineStr">
        <is>
          <t>PPE-08</t>
        </is>
      </c>
      <c r="F2774" s="17" t="n">
        <v>45981</v>
      </c>
      <c r="G2774" s="17" t="n">
        <v>45993</v>
      </c>
      <c r="H2774" s="18" t="n">
        <v>24</v>
      </c>
      <c r="I2774" s="19" t="n">
        <v>65.44</v>
      </c>
      <c r="J2774" s="19" t="n">
        <v>64</v>
      </c>
      <c r="K2774" s="20" t="n">
        <v>0</v>
      </c>
      <c r="L2774" s="20" t="n">
        <v>0</v>
      </c>
      <c r="M2774" s="18" t="n">
        <v>24</v>
      </c>
      <c r="N2774" s="18" t="n">
        <v>24</v>
      </c>
      <c r="O2774" s="18" t="n">
        <v>0</v>
      </c>
      <c r="P2774" s="17" t="n">
        <v>45991</v>
      </c>
      <c r="Q2774" s="17" t="n">
        <v>45991</v>
      </c>
      <c r="R2774" s="17" t="n">
        <v>45991</v>
      </c>
      <c r="S2774" s="19">
        <f>H2774*I2774</f>
        <v/>
      </c>
      <c r="T2774" s="19">
        <f>H2774*J2774</f>
        <v/>
      </c>
      <c r="U2774">
        <f>IF(AND(K2774=0,G2774&lt;=Assumptions!$C$6),1,0)</f>
        <v/>
      </c>
      <c r="V2774">
        <f>IF(U2774=1,IF(M2774&gt;0,IF(P2774&lt;=G2774+Assumptions!$C$7,1,0),0),0)</f>
        <v/>
      </c>
      <c r="W2774">
        <f>IF(AND(U2774=1,M2774&gt;=H2774*(1-Assumptions!$C$8)),1,0)</f>
        <v/>
      </c>
      <c r="X2774">
        <f>IF(AND(U2774=1,N2774&gt;=H2774*(1-Assumptions!$C$8)),1,0)</f>
        <v/>
      </c>
      <c r="Y2774">
        <f>IF(ISNUMBER(Q2774),1,0)</f>
        <v/>
      </c>
      <c r="Z2774">
        <f>IF(AND(K2774=0,L2774=0,Y2774=0),1,0)</f>
        <v/>
      </c>
      <c r="AA2774">
        <f>IF(AND(Z2774=1,G2774&lt;Assumptions!$C$6),1,0)</f>
        <v/>
      </c>
      <c r="AB2774">
        <f>IF(U2774=0,"",IF(Y2774=1,MAX(0,Q2774-G2774),IF(L2774=1,MAX(0,R2774-G2774),MAX(0,Assumptions!$C$6-G2774))))</f>
        <v/>
      </c>
      <c r="AC2774">
        <f>IF(Y2774=1,Q2774-F2774,"")</f>
        <v/>
      </c>
      <c r="AD2774">
        <f>IF(Y2774=1,AC2774^2,"")</f>
        <v/>
      </c>
      <c r="AE2774" s="19">
        <f>IF(Z2774=1,(H2774-M2774)*I2774,0)</f>
        <v/>
      </c>
      <c r="AF2774">
        <f>IF(G2774&lt;EDATE(Assumptions!$C$6,-12)+1,"prior_12m","last_12m")</f>
        <v/>
      </c>
      <c r="AG2774" s="21">
        <f>DATE(YEAR(G2774),MONTH(G2774),1)</f>
        <v/>
      </c>
    </row>
    <row r="2775">
      <c r="A2775" t="inlineStr">
        <is>
          <t>SPO-01495-1</t>
        </is>
      </c>
      <c r="B2775" t="inlineStr">
        <is>
          <t>SPO-01495</t>
        </is>
      </c>
      <c r="C2775" t="inlineStr">
        <is>
          <t>SUP-01</t>
        </is>
      </c>
      <c r="D2775" t="inlineStr">
        <is>
          <t>ELEC</t>
        </is>
      </c>
      <c r="E2775" t="inlineStr">
        <is>
          <t>ELEC-05</t>
        </is>
      </c>
      <c r="F2775" s="17" t="n">
        <v>45981</v>
      </c>
      <c r="G2775" s="17" t="n">
        <v>45999</v>
      </c>
      <c r="H2775" s="18" t="n">
        <v>169</v>
      </c>
      <c r="I2775" s="19" t="n">
        <v>11.95</v>
      </c>
      <c r="J2775" s="19" t="n">
        <v>11.5</v>
      </c>
      <c r="K2775" s="20" t="n">
        <v>0</v>
      </c>
      <c r="L2775" s="20" t="n">
        <v>0</v>
      </c>
      <c r="M2775" s="18" t="n">
        <v>169</v>
      </c>
      <c r="N2775" s="18" t="n">
        <v>169</v>
      </c>
      <c r="O2775" s="18" t="n">
        <v>0</v>
      </c>
      <c r="P2775" s="17" t="n">
        <v>45991</v>
      </c>
      <c r="Q2775" s="17" t="n">
        <v>45991</v>
      </c>
      <c r="R2775" s="17" t="n">
        <v>45991</v>
      </c>
      <c r="S2775" s="19">
        <f>H2775*I2775</f>
        <v/>
      </c>
      <c r="T2775" s="19">
        <f>H2775*J2775</f>
        <v/>
      </c>
      <c r="U2775">
        <f>IF(AND(K2775=0,G2775&lt;=Assumptions!$C$6),1,0)</f>
        <v/>
      </c>
      <c r="V2775">
        <f>IF(U2775=1,IF(M2775&gt;0,IF(P2775&lt;=G2775+Assumptions!$C$7,1,0),0),0)</f>
        <v/>
      </c>
      <c r="W2775">
        <f>IF(AND(U2775=1,M2775&gt;=H2775*(1-Assumptions!$C$8)),1,0)</f>
        <v/>
      </c>
      <c r="X2775">
        <f>IF(AND(U2775=1,N2775&gt;=H2775*(1-Assumptions!$C$8)),1,0)</f>
        <v/>
      </c>
      <c r="Y2775">
        <f>IF(ISNUMBER(Q2775),1,0)</f>
        <v/>
      </c>
      <c r="Z2775">
        <f>IF(AND(K2775=0,L2775=0,Y2775=0),1,0)</f>
        <v/>
      </c>
      <c r="AA2775">
        <f>IF(AND(Z2775=1,G2775&lt;Assumptions!$C$6),1,0)</f>
        <v/>
      </c>
      <c r="AB2775">
        <f>IF(U2775=0,"",IF(Y2775=1,MAX(0,Q2775-G2775),IF(L2775=1,MAX(0,R2775-G2775),MAX(0,Assumptions!$C$6-G2775))))</f>
        <v/>
      </c>
      <c r="AC2775">
        <f>IF(Y2775=1,Q2775-F2775,"")</f>
        <v/>
      </c>
      <c r="AD2775">
        <f>IF(Y2775=1,AC2775^2,"")</f>
        <v/>
      </c>
      <c r="AE2775" s="19">
        <f>IF(Z2775=1,(H2775-M2775)*I2775,0)</f>
        <v/>
      </c>
      <c r="AF2775">
        <f>IF(G2775&lt;EDATE(Assumptions!$C$6,-12)+1,"prior_12m","last_12m")</f>
        <v/>
      </c>
      <c r="AG2775" s="21">
        <f>DATE(YEAR(G2775),MONTH(G2775),1)</f>
        <v/>
      </c>
    </row>
    <row r="2776">
      <c r="A2776" t="inlineStr">
        <is>
          <t>SPO-01495-2</t>
        </is>
      </c>
      <c r="B2776" t="inlineStr">
        <is>
          <t>SPO-01495</t>
        </is>
      </c>
      <c r="C2776" t="inlineStr">
        <is>
          <t>SUP-01</t>
        </is>
      </c>
      <c r="D2776" t="inlineStr">
        <is>
          <t>ELEC</t>
        </is>
      </c>
      <c r="E2776" t="inlineStr">
        <is>
          <t>ELEC-08</t>
        </is>
      </c>
      <c r="F2776" s="17" t="n">
        <v>45981</v>
      </c>
      <c r="G2776" s="17" t="n">
        <v>45999</v>
      </c>
      <c r="H2776" s="18" t="n">
        <v>56</v>
      </c>
      <c r="I2776" s="19" t="n">
        <v>18.52</v>
      </c>
      <c r="J2776" s="19" t="n">
        <v>18</v>
      </c>
      <c r="K2776" s="20" t="n">
        <v>0</v>
      </c>
      <c r="L2776" s="20" t="n">
        <v>0</v>
      </c>
      <c r="M2776" s="18" t="n">
        <v>56</v>
      </c>
      <c r="N2776" s="18" t="n">
        <v>56</v>
      </c>
      <c r="O2776" s="18" t="n">
        <v>0</v>
      </c>
      <c r="P2776" s="17" t="n">
        <v>45993</v>
      </c>
      <c r="Q2776" s="17" t="n">
        <v>45993</v>
      </c>
      <c r="R2776" s="17" t="n">
        <v>45993</v>
      </c>
      <c r="S2776" s="19">
        <f>H2776*I2776</f>
        <v/>
      </c>
      <c r="T2776" s="19">
        <f>H2776*J2776</f>
        <v/>
      </c>
      <c r="U2776">
        <f>IF(AND(K2776=0,G2776&lt;=Assumptions!$C$6),1,0)</f>
        <v/>
      </c>
      <c r="V2776">
        <f>IF(U2776=1,IF(M2776&gt;0,IF(P2776&lt;=G2776+Assumptions!$C$7,1,0),0),0)</f>
        <v/>
      </c>
      <c r="W2776">
        <f>IF(AND(U2776=1,M2776&gt;=H2776*(1-Assumptions!$C$8)),1,0)</f>
        <v/>
      </c>
      <c r="X2776">
        <f>IF(AND(U2776=1,N2776&gt;=H2776*(1-Assumptions!$C$8)),1,0)</f>
        <v/>
      </c>
      <c r="Y2776">
        <f>IF(ISNUMBER(Q2776),1,0)</f>
        <v/>
      </c>
      <c r="Z2776">
        <f>IF(AND(K2776=0,L2776=0,Y2776=0),1,0)</f>
        <v/>
      </c>
      <c r="AA2776">
        <f>IF(AND(Z2776=1,G2776&lt;Assumptions!$C$6),1,0)</f>
        <v/>
      </c>
      <c r="AB2776">
        <f>IF(U2776=0,"",IF(Y2776=1,MAX(0,Q2776-G2776),IF(L2776=1,MAX(0,R2776-G2776),MAX(0,Assumptions!$C$6-G2776))))</f>
        <v/>
      </c>
      <c r="AC2776">
        <f>IF(Y2776=1,Q2776-F2776,"")</f>
        <v/>
      </c>
      <c r="AD2776">
        <f>IF(Y2776=1,AC2776^2,"")</f>
        <v/>
      </c>
      <c r="AE2776" s="19">
        <f>IF(Z2776=1,(H2776-M2776)*I2776,0)</f>
        <v/>
      </c>
      <c r="AF2776">
        <f>IF(G2776&lt;EDATE(Assumptions!$C$6,-12)+1,"prior_12m","last_12m")</f>
        <v/>
      </c>
      <c r="AG2776" s="21">
        <f>DATE(YEAR(G2776),MONTH(G2776),1)</f>
        <v/>
      </c>
    </row>
    <row r="2777">
      <c r="A2777" t="inlineStr">
        <is>
          <t>SPO-01496-1</t>
        </is>
      </c>
      <c r="B2777" t="inlineStr">
        <is>
          <t>SPO-01496</t>
        </is>
      </c>
      <c r="C2777" t="inlineStr">
        <is>
          <t>SUP-14</t>
        </is>
      </c>
      <c r="D2777" t="inlineStr">
        <is>
          <t>FLEET</t>
        </is>
      </c>
      <c r="E2777" t="inlineStr">
        <is>
          <t>FLEET-02</t>
        </is>
      </c>
      <c r="F2777" s="17" t="n">
        <v>45981</v>
      </c>
      <c r="G2777" s="17" t="n">
        <v>45995</v>
      </c>
      <c r="H2777" s="18" t="n">
        <v>99</v>
      </c>
      <c r="I2777" s="19" t="n">
        <v>7.58</v>
      </c>
      <c r="J2777" s="19" t="n">
        <v>7.5</v>
      </c>
      <c r="K2777" s="20" t="n">
        <v>0</v>
      </c>
      <c r="L2777" s="20" t="n">
        <v>0</v>
      </c>
      <c r="M2777" s="18" t="n">
        <v>99</v>
      </c>
      <c r="N2777" s="18" t="n">
        <v>99</v>
      </c>
      <c r="O2777" s="18" t="n">
        <v>0</v>
      </c>
      <c r="P2777" s="17" t="n">
        <v>45994</v>
      </c>
      <c r="Q2777" s="17" t="n">
        <v>45994</v>
      </c>
      <c r="R2777" s="17" t="n">
        <v>45994</v>
      </c>
      <c r="S2777" s="19">
        <f>H2777*I2777</f>
        <v/>
      </c>
      <c r="T2777" s="19">
        <f>H2777*J2777</f>
        <v/>
      </c>
      <c r="U2777">
        <f>IF(AND(K2777=0,G2777&lt;=Assumptions!$C$6),1,0)</f>
        <v/>
      </c>
      <c r="V2777">
        <f>IF(U2777=1,IF(M2777&gt;0,IF(P2777&lt;=G2777+Assumptions!$C$7,1,0),0),0)</f>
        <v/>
      </c>
      <c r="W2777">
        <f>IF(AND(U2777=1,M2777&gt;=H2777*(1-Assumptions!$C$8)),1,0)</f>
        <v/>
      </c>
      <c r="X2777">
        <f>IF(AND(U2777=1,N2777&gt;=H2777*(1-Assumptions!$C$8)),1,0)</f>
        <v/>
      </c>
      <c r="Y2777">
        <f>IF(ISNUMBER(Q2777),1,0)</f>
        <v/>
      </c>
      <c r="Z2777">
        <f>IF(AND(K2777=0,L2777=0,Y2777=0),1,0)</f>
        <v/>
      </c>
      <c r="AA2777">
        <f>IF(AND(Z2777=1,G2777&lt;Assumptions!$C$6),1,0)</f>
        <v/>
      </c>
      <c r="AB2777">
        <f>IF(U2777=0,"",IF(Y2777=1,MAX(0,Q2777-G2777),IF(L2777=1,MAX(0,R2777-G2777),MAX(0,Assumptions!$C$6-G2777))))</f>
        <v/>
      </c>
      <c r="AC2777">
        <f>IF(Y2777=1,Q2777-F2777,"")</f>
        <v/>
      </c>
      <c r="AD2777">
        <f>IF(Y2777=1,AC2777^2,"")</f>
        <v/>
      </c>
      <c r="AE2777" s="19">
        <f>IF(Z2777=1,(H2777-M2777)*I2777,0)</f>
        <v/>
      </c>
      <c r="AF2777">
        <f>IF(G2777&lt;EDATE(Assumptions!$C$6,-12)+1,"prior_12m","last_12m")</f>
        <v/>
      </c>
      <c r="AG2777" s="21">
        <f>DATE(YEAR(G2777),MONTH(G2777),1)</f>
        <v/>
      </c>
    </row>
    <row r="2778">
      <c r="A2778" t="inlineStr">
        <is>
          <t>SPO-01497-1</t>
        </is>
      </c>
      <c r="B2778" t="inlineStr">
        <is>
          <t>SPO-01497</t>
        </is>
      </c>
      <c r="C2778" t="inlineStr">
        <is>
          <t>SUP-09</t>
        </is>
      </c>
      <c r="D2778" t="inlineStr">
        <is>
          <t>CHEM</t>
        </is>
      </c>
      <c r="E2778" t="inlineStr">
        <is>
          <t>CHEM-01</t>
        </is>
      </c>
      <c r="F2778" s="17" t="n">
        <v>45981</v>
      </c>
      <c r="G2778" s="17" t="n">
        <v>45995</v>
      </c>
      <c r="H2778" s="18" t="n">
        <v>1</v>
      </c>
      <c r="I2778" s="19" t="n">
        <v>687.1900000000001</v>
      </c>
      <c r="J2778" s="19" t="n">
        <v>640</v>
      </c>
      <c r="K2778" s="20" t="n">
        <v>0</v>
      </c>
      <c r="L2778" s="20" t="n">
        <v>0</v>
      </c>
      <c r="M2778" s="18" t="n">
        <v>1</v>
      </c>
      <c r="N2778" s="18" t="n">
        <v>1</v>
      </c>
      <c r="O2778" s="18" t="n">
        <v>0</v>
      </c>
      <c r="P2778" s="17" t="n">
        <v>45994</v>
      </c>
      <c r="Q2778" s="17" t="n">
        <v>45994</v>
      </c>
      <c r="R2778" s="17" t="n">
        <v>45994</v>
      </c>
      <c r="S2778" s="19">
        <f>H2778*I2778</f>
        <v/>
      </c>
      <c r="T2778" s="19">
        <f>H2778*J2778</f>
        <v/>
      </c>
      <c r="U2778">
        <f>IF(AND(K2778=0,G2778&lt;=Assumptions!$C$6),1,0)</f>
        <v/>
      </c>
      <c r="V2778">
        <f>IF(U2778=1,IF(M2778&gt;0,IF(P2778&lt;=G2778+Assumptions!$C$7,1,0),0),0)</f>
        <v/>
      </c>
      <c r="W2778">
        <f>IF(AND(U2778=1,M2778&gt;=H2778*(1-Assumptions!$C$8)),1,0)</f>
        <v/>
      </c>
      <c r="X2778">
        <f>IF(AND(U2778=1,N2778&gt;=H2778*(1-Assumptions!$C$8)),1,0)</f>
        <v/>
      </c>
      <c r="Y2778">
        <f>IF(ISNUMBER(Q2778),1,0)</f>
        <v/>
      </c>
      <c r="Z2778">
        <f>IF(AND(K2778=0,L2778=0,Y2778=0),1,0)</f>
        <v/>
      </c>
      <c r="AA2778">
        <f>IF(AND(Z2778=1,G2778&lt;Assumptions!$C$6),1,0)</f>
        <v/>
      </c>
      <c r="AB2778">
        <f>IF(U2778=0,"",IF(Y2778=1,MAX(0,Q2778-G2778),IF(L2778=1,MAX(0,R2778-G2778),MAX(0,Assumptions!$C$6-G2778))))</f>
        <v/>
      </c>
      <c r="AC2778">
        <f>IF(Y2778=1,Q2778-F2778,"")</f>
        <v/>
      </c>
      <c r="AD2778">
        <f>IF(Y2778=1,AC2778^2,"")</f>
        <v/>
      </c>
      <c r="AE2778" s="19">
        <f>IF(Z2778=1,(H2778-M2778)*I2778,0)</f>
        <v/>
      </c>
      <c r="AF2778">
        <f>IF(G2778&lt;EDATE(Assumptions!$C$6,-12)+1,"prior_12m","last_12m")</f>
        <v/>
      </c>
      <c r="AG2778" s="21">
        <f>DATE(YEAR(G2778),MONTH(G2778),1)</f>
        <v/>
      </c>
    </row>
    <row r="2779">
      <c r="A2779" t="inlineStr">
        <is>
          <t>SPO-01497-2</t>
        </is>
      </c>
      <c r="B2779" t="inlineStr">
        <is>
          <t>SPO-01497</t>
        </is>
      </c>
      <c r="C2779" t="inlineStr">
        <is>
          <t>SUP-09</t>
        </is>
      </c>
      <c r="D2779" t="inlineStr">
        <is>
          <t>CHEM</t>
        </is>
      </c>
      <c r="E2779" t="inlineStr">
        <is>
          <t>CHEM-06</t>
        </is>
      </c>
      <c r="F2779" s="17" t="n">
        <v>45981</v>
      </c>
      <c r="G2779" s="17" t="n">
        <v>45995</v>
      </c>
      <c r="H2779" s="18" t="n">
        <v>2</v>
      </c>
      <c r="I2779" s="19" t="n">
        <v>390.89</v>
      </c>
      <c r="J2779" s="19" t="n">
        <v>380</v>
      </c>
      <c r="K2779" s="20" t="n">
        <v>0</v>
      </c>
      <c r="L2779" s="20" t="n">
        <v>0</v>
      </c>
      <c r="M2779" s="18" t="n">
        <v>2</v>
      </c>
      <c r="N2779" s="18" t="n">
        <v>2</v>
      </c>
      <c r="O2779" s="18" t="n">
        <v>0</v>
      </c>
      <c r="P2779" s="17" t="n">
        <v>45992</v>
      </c>
      <c r="Q2779" s="17" t="n">
        <v>45992</v>
      </c>
      <c r="R2779" s="17" t="n">
        <v>45992</v>
      </c>
      <c r="S2779" s="19">
        <f>H2779*I2779</f>
        <v/>
      </c>
      <c r="T2779" s="19">
        <f>H2779*J2779</f>
        <v/>
      </c>
      <c r="U2779">
        <f>IF(AND(K2779=0,G2779&lt;=Assumptions!$C$6),1,0)</f>
        <v/>
      </c>
      <c r="V2779">
        <f>IF(U2779=1,IF(M2779&gt;0,IF(P2779&lt;=G2779+Assumptions!$C$7,1,0),0),0)</f>
        <v/>
      </c>
      <c r="W2779">
        <f>IF(AND(U2779=1,M2779&gt;=H2779*(1-Assumptions!$C$8)),1,0)</f>
        <v/>
      </c>
      <c r="X2779">
        <f>IF(AND(U2779=1,N2779&gt;=H2779*(1-Assumptions!$C$8)),1,0)</f>
        <v/>
      </c>
      <c r="Y2779">
        <f>IF(ISNUMBER(Q2779),1,0)</f>
        <v/>
      </c>
      <c r="Z2779">
        <f>IF(AND(K2779=0,L2779=0,Y2779=0),1,0)</f>
        <v/>
      </c>
      <c r="AA2779">
        <f>IF(AND(Z2779=1,G2779&lt;Assumptions!$C$6),1,0)</f>
        <v/>
      </c>
      <c r="AB2779">
        <f>IF(U2779=0,"",IF(Y2779=1,MAX(0,Q2779-G2779),IF(L2779=1,MAX(0,R2779-G2779),MAX(0,Assumptions!$C$6-G2779))))</f>
        <v/>
      </c>
      <c r="AC2779">
        <f>IF(Y2779=1,Q2779-F2779,"")</f>
        <v/>
      </c>
      <c r="AD2779">
        <f>IF(Y2779=1,AC2779^2,"")</f>
        <v/>
      </c>
      <c r="AE2779" s="19">
        <f>IF(Z2779=1,(H2779-M2779)*I2779,0)</f>
        <v/>
      </c>
      <c r="AF2779">
        <f>IF(G2779&lt;EDATE(Assumptions!$C$6,-12)+1,"prior_12m","last_12m")</f>
        <v/>
      </c>
      <c r="AG2779" s="21">
        <f>DATE(YEAR(G2779),MONTH(G2779),1)</f>
        <v/>
      </c>
    </row>
    <row r="2780">
      <c r="A2780" t="inlineStr">
        <is>
          <t>SPO-01497-3</t>
        </is>
      </c>
      <c r="B2780" t="inlineStr">
        <is>
          <t>SPO-01497</t>
        </is>
      </c>
      <c r="C2780" t="inlineStr">
        <is>
          <t>SUP-09</t>
        </is>
      </c>
      <c r="D2780" t="inlineStr">
        <is>
          <t>CHEM</t>
        </is>
      </c>
      <c r="E2780" t="inlineStr">
        <is>
          <t>CHEM-04</t>
        </is>
      </c>
      <c r="F2780" s="17" t="n">
        <v>45981</v>
      </c>
      <c r="G2780" s="17" t="n">
        <v>45995</v>
      </c>
      <c r="H2780" s="18" t="n">
        <v>2</v>
      </c>
      <c r="I2780" s="19" t="n">
        <v>830.71</v>
      </c>
      <c r="J2780" s="19" t="n">
        <v>820</v>
      </c>
      <c r="K2780" s="20" t="n">
        <v>0</v>
      </c>
      <c r="L2780" s="20" t="n">
        <v>0</v>
      </c>
      <c r="M2780" s="18" t="n">
        <v>2</v>
      </c>
      <c r="N2780" s="18" t="n">
        <v>2</v>
      </c>
      <c r="O2780" s="18" t="n">
        <v>0</v>
      </c>
      <c r="P2780" s="17" t="n">
        <v>45995</v>
      </c>
      <c r="Q2780" s="17" t="n">
        <v>45995</v>
      </c>
      <c r="R2780" s="17" t="n">
        <v>45995</v>
      </c>
      <c r="S2780" s="19">
        <f>H2780*I2780</f>
        <v/>
      </c>
      <c r="T2780" s="19">
        <f>H2780*J2780</f>
        <v/>
      </c>
      <c r="U2780">
        <f>IF(AND(K2780=0,G2780&lt;=Assumptions!$C$6),1,0)</f>
        <v/>
      </c>
      <c r="V2780">
        <f>IF(U2780=1,IF(M2780&gt;0,IF(P2780&lt;=G2780+Assumptions!$C$7,1,0),0),0)</f>
        <v/>
      </c>
      <c r="W2780">
        <f>IF(AND(U2780=1,M2780&gt;=H2780*(1-Assumptions!$C$8)),1,0)</f>
        <v/>
      </c>
      <c r="X2780">
        <f>IF(AND(U2780=1,N2780&gt;=H2780*(1-Assumptions!$C$8)),1,0)</f>
        <v/>
      </c>
      <c r="Y2780">
        <f>IF(ISNUMBER(Q2780),1,0)</f>
        <v/>
      </c>
      <c r="Z2780">
        <f>IF(AND(K2780=0,L2780=0,Y2780=0),1,0)</f>
        <v/>
      </c>
      <c r="AA2780">
        <f>IF(AND(Z2780=1,G2780&lt;Assumptions!$C$6),1,0)</f>
        <v/>
      </c>
      <c r="AB2780">
        <f>IF(U2780=0,"",IF(Y2780=1,MAX(0,Q2780-G2780),IF(L2780=1,MAX(0,R2780-G2780),MAX(0,Assumptions!$C$6-G2780))))</f>
        <v/>
      </c>
      <c r="AC2780">
        <f>IF(Y2780=1,Q2780-F2780,"")</f>
        <v/>
      </c>
      <c r="AD2780">
        <f>IF(Y2780=1,AC2780^2,"")</f>
        <v/>
      </c>
      <c r="AE2780" s="19">
        <f>IF(Z2780=1,(H2780-M2780)*I2780,0)</f>
        <v/>
      </c>
      <c r="AF2780">
        <f>IF(G2780&lt;EDATE(Assumptions!$C$6,-12)+1,"prior_12m","last_12m")</f>
        <v/>
      </c>
      <c r="AG2780" s="21">
        <f>DATE(YEAR(G2780),MONTH(G2780),1)</f>
        <v/>
      </c>
    </row>
    <row r="2781">
      <c r="A2781" t="inlineStr">
        <is>
          <t>SPO-01498-1</t>
        </is>
      </c>
      <c r="B2781" t="inlineStr">
        <is>
          <t>SPO-01498</t>
        </is>
      </c>
      <c r="C2781" t="inlineStr">
        <is>
          <t>SUP-05</t>
        </is>
      </c>
      <c r="D2781" t="inlineStr">
        <is>
          <t>FLEET</t>
        </is>
      </c>
      <c r="E2781" t="inlineStr">
        <is>
          <t>FLEET-08</t>
        </is>
      </c>
      <c r="F2781" s="17" t="n">
        <v>45981</v>
      </c>
      <c r="G2781" s="17" t="n">
        <v>45995</v>
      </c>
      <c r="H2781" s="18" t="n">
        <v>272</v>
      </c>
      <c r="I2781" s="19" t="n">
        <v>6.52</v>
      </c>
      <c r="J2781" s="19" t="n">
        <v>6.4</v>
      </c>
      <c r="K2781" s="20" t="n">
        <v>0</v>
      </c>
      <c r="L2781" s="20" t="n">
        <v>0</v>
      </c>
      <c r="M2781" s="18" t="n">
        <v>272</v>
      </c>
      <c r="N2781" s="18" t="n">
        <v>272</v>
      </c>
      <c r="O2781" s="18" t="n">
        <v>0</v>
      </c>
      <c r="P2781" s="17" t="n">
        <v>45995</v>
      </c>
      <c r="Q2781" s="17" t="n">
        <v>45995</v>
      </c>
      <c r="R2781" s="17" t="n">
        <v>45995</v>
      </c>
      <c r="S2781" s="19">
        <f>H2781*I2781</f>
        <v/>
      </c>
      <c r="T2781" s="19">
        <f>H2781*J2781</f>
        <v/>
      </c>
      <c r="U2781">
        <f>IF(AND(K2781=0,G2781&lt;=Assumptions!$C$6),1,0)</f>
        <v/>
      </c>
      <c r="V2781">
        <f>IF(U2781=1,IF(M2781&gt;0,IF(P2781&lt;=G2781+Assumptions!$C$7,1,0),0),0)</f>
        <v/>
      </c>
      <c r="W2781">
        <f>IF(AND(U2781=1,M2781&gt;=H2781*(1-Assumptions!$C$8)),1,0)</f>
        <v/>
      </c>
      <c r="X2781">
        <f>IF(AND(U2781=1,N2781&gt;=H2781*(1-Assumptions!$C$8)),1,0)</f>
        <v/>
      </c>
      <c r="Y2781">
        <f>IF(ISNUMBER(Q2781),1,0)</f>
        <v/>
      </c>
      <c r="Z2781">
        <f>IF(AND(K2781=0,L2781=0,Y2781=0),1,0)</f>
        <v/>
      </c>
      <c r="AA2781">
        <f>IF(AND(Z2781=1,G2781&lt;Assumptions!$C$6),1,0)</f>
        <v/>
      </c>
      <c r="AB2781">
        <f>IF(U2781=0,"",IF(Y2781=1,MAX(0,Q2781-G2781),IF(L2781=1,MAX(0,R2781-G2781),MAX(0,Assumptions!$C$6-G2781))))</f>
        <v/>
      </c>
      <c r="AC2781">
        <f>IF(Y2781=1,Q2781-F2781,"")</f>
        <v/>
      </c>
      <c r="AD2781">
        <f>IF(Y2781=1,AC2781^2,"")</f>
        <v/>
      </c>
      <c r="AE2781" s="19">
        <f>IF(Z2781=1,(H2781-M2781)*I2781,0)</f>
        <v/>
      </c>
      <c r="AF2781">
        <f>IF(G2781&lt;EDATE(Assumptions!$C$6,-12)+1,"prior_12m","last_12m")</f>
        <v/>
      </c>
      <c r="AG2781" s="21">
        <f>DATE(YEAR(G2781),MONTH(G2781),1)</f>
        <v/>
      </c>
    </row>
    <row r="2782">
      <c r="A2782" t="inlineStr">
        <is>
          <t>SPO-01499-1</t>
        </is>
      </c>
      <c r="B2782" t="inlineStr">
        <is>
          <t>SPO-01499</t>
        </is>
      </c>
      <c r="C2782" t="inlineStr">
        <is>
          <t>SUP-08</t>
        </is>
      </c>
      <c r="D2782" t="inlineStr">
        <is>
          <t>PPE</t>
        </is>
      </c>
      <c r="E2782" t="inlineStr">
        <is>
          <t>PPE-02</t>
        </is>
      </c>
      <c r="F2782" s="17" t="n">
        <v>45981</v>
      </c>
      <c r="G2782" s="17" t="n">
        <v>45992</v>
      </c>
      <c r="H2782" s="18" t="n">
        <v>43</v>
      </c>
      <c r="I2782" s="19" t="n">
        <v>12.43</v>
      </c>
      <c r="J2782" s="19" t="n">
        <v>12.5</v>
      </c>
      <c r="K2782" s="20" t="n">
        <v>0</v>
      </c>
      <c r="L2782" s="20" t="n">
        <v>0</v>
      </c>
      <c r="M2782" s="18" t="n">
        <v>43</v>
      </c>
      <c r="N2782" s="18" t="n">
        <v>43</v>
      </c>
      <c r="O2782" s="18" t="n">
        <v>0</v>
      </c>
      <c r="P2782" s="17" t="n">
        <v>45988</v>
      </c>
      <c r="Q2782" s="17" t="n">
        <v>45988</v>
      </c>
      <c r="R2782" s="17" t="n">
        <v>45988</v>
      </c>
      <c r="S2782" s="19">
        <f>H2782*I2782</f>
        <v/>
      </c>
      <c r="T2782" s="19">
        <f>H2782*J2782</f>
        <v/>
      </c>
      <c r="U2782">
        <f>IF(AND(K2782=0,G2782&lt;=Assumptions!$C$6),1,0)</f>
        <v/>
      </c>
      <c r="V2782">
        <f>IF(U2782=1,IF(M2782&gt;0,IF(P2782&lt;=G2782+Assumptions!$C$7,1,0),0),0)</f>
        <v/>
      </c>
      <c r="W2782">
        <f>IF(AND(U2782=1,M2782&gt;=H2782*(1-Assumptions!$C$8)),1,0)</f>
        <v/>
      </c>
      <c r="X2782">
        <f>IF(AND(U2782=1,N2782&gt;=H2782*(1-Assumptions!$C$8)),1,0)</f>
        <v/>
      </c>
      <c r="Y2782">
        <f>IF(ISNUMBER(Q2782),1,0)</f>
        <v/>
      </c>
      <c r="Z2782">
        <f>IF(AND(K2782=0,L2782=0,Y2782=0),1,0)</f>
        <v/>
      </c>
      <c r="AA2782">
        <f>IF(AND(Z2782=1,G2782&lt;Assumptions!$C$6),1,0)</f>
        <v/>
      </c>
      <c r="AB2782">
        <f>IF(U2782=0,"",IF(Y2782=1,MAX(0,Q2782-G2782),IF(L2782=1,MAX(0,R2782-G2782),MAX(0,Assumptions!$C$6-G2782))))</f>
        <v/>
      </c>
      <c r="AC2782">
        <f>IF(Y2782=1,Q2782-F2782,"")</f>
        <v/>
      </c>
      <c r="AD2782">
        <f>IF(Y2782=1,AC2782^2,"")</f>
        <v/>
      </c>
      <c r="AE2782" s="19">
        <f>IF(Z2782=1,(H2782-M2782)*I2782,0)</f>
        <v/>
      </c>
      <c r="AF2782">
        <f>IF(G2782&lt;EDATE(Assumptions!$C$6,-12)+1,"prior_12m","last_12m")</f>
        <v/>
      </c>
      <c r="AG2782" s="21">
        <f>DATE(YEAR(G2782),MONTH(G2782),1)</f>
        <v/>
      </c>
    </row>
    <row r="2783">
      <c r="A2783" t="inlineStr">
        <is>
          <t>SPO-01500-1</t>
        </is>
      </c>
      <c r="B2783" t="inlineStr">
        <is>
          <t>SPO-01500</t>
        </is>
      </c>
      <c r="C2783" t="inlineStr">
        <is>
          <t>SUP-14</t>
        </is>
      </c>
      <c r="D2783" t="inlineStr">
        <is>
          <t>FLEET</t>
        </is>
      </c>
      <c r="E2783" t="inlineStr">
        <is>
          <t>FLEET-01</t>
        </is>
      </c>
      <c r="F2783" s="17" t="n">
        <v>45981</v>
      </c>
      <c r="G2783" s="17" t="n">
        <v>45995</v>
      </c>
      <c r="H2783" s="18" t="n">
        <v>18</v>
      </c>
      <c r="I2783" s="19" t="n">
        <v>62.17</v>
      </c>
      <c r="J2783" s="19" t="n">
        <v>64</v>
      </c>
      <c r="K2783" s="20" t="n">
        <v>0</v>
      </c>
      <c r="L2783" s="20" t="n">
        <v>0</v>
      </c>
      <c r="M2783" s="18" t="n">
        <v>18</v>
      </c>
      <c r="N2783" s="18" t="n">
        <v>18</v>
      </c>
      <c r="O2783" s="18" t="n">
        <v>0</v>
      </c>
      <c r="P2783" s="17" t="n">
        <v>45992</v>
      </c>
      <c r="Q2783" s="17" t="n">
        <v>45992</v>
      </c>
      <c r="R2783" s="17" t="n">
        <v>45992</v>
      </c>
      <c r="S2783" s="19">
        <f>H2783*I2783</f>
        <v/>
      </c>
      <c r="T2783" s="19">
        <f>H2783*J2783</f>
        <v/>
      </c>
      <c r="U2783">
        <f>IF(AND(K2783=0,G2783&lt;=Assumptions!$C$6),1,0)</f>
        <v/>
      </c>
      <c r="V2783">
        <f>IF(U2783=1,IF(M2783&gt;0,IF(P2783&lt;=G2783+Assumptions!$C$7,1,0),0),0)</f>
        <v/>
      </c>
      <c r="W2783">
        <f>IF(AND(U2783=1,M2783&gt;=H2783*(1-Assumptions!$C$8)),1,0)</f>
        <v/>
      </c>
      <c r="X2783">
        <f>IF(AND(U2783=1,N2783&gt;=H2783*(1-Assumptions!$C$8)),1,0)</f>
        <v/>
      </c>
      <c r="Y2783">
        <f>IF(ISNUMBER(Q2783),1,0)</f>
        <v/>
      </c>
      <c r="Z2783">
        <f>IF(AND(K2783=0,L2783=0,Y2783=0),1,0)</f>
        <v/>
      </c>
      <c r="AA2783">
        <f>IF(AND(Z2783=1,G2783&lt;Assumptions!$C$6),1,0)</f>
        <v/>
      </c>
      <c r="AB2783">
        <f>IF(U2783=0,"",IF(Y2783=1,MAX(0,Q2783-G2783),IF(L2783=1,MAX(0,R2783-G2783),MAX(0,Assumptions!$C$6-G2783))))</f>
        <v/>
      </c>
      <c r="AC2783">
        <f>IF(Y2783=1,Q2783-F2783,"")</f>
        <v/>
      </c>
      <c r="AD2783">
        <f>IF(Y2783=1,AC2783^2,"")</f>
        <v/>
      </c>
      <c r="AE2783" s="19">
        <f>IF(Z2783=1,(H2783-M2783)*I2783,0)</f>
        <v/>
      </c>
      <c r="AF2783">
        <f>IF(G2783&lt;EDATE(Assumptions!$C$6,-12)+1,"prior_12m","last_12m")</f>
        <v/>
      </c>
      <c r="AG2783" s="21">
        <f>DATE(YEAR(G2783),MONTH(G2783),1)</f>
        <v/>
      </c>
    </row>
    <row r="2784">
      <c r="A2784" t="inlineStr">
        <is>
          <t>SPO-01501-1</t>
        </is>
      </c>
      <c r="B2784" t="inlineStr">
        <is>
          <t>SPO-01501</t>
        </is>
      </c>
      <c r="C2784" t="inlineStr">
        <is>
          <t>SUP-12</t>
        </is>
      </c>
      <c r="D2784" t="inlineStr">
        <is>
          <t>IT</t>
        </is>
      </c>
      <c r="E2784" t="inlineStr">
        <is>
          <t>IT-04</t>
        </is>
      </c>
      <c r="F2784" s="17" t="n">
        <v>45982</v>
      </c>
      <c r="G2784" s="17" t="n">
        <v>45992</v>
      </c>
      <c r="H2784" s="18" t="n">
        <v>202</v>
      </c>
      <c r="I2784" s="19" t="n">
        <v>13.86</v>
      </c>
      <c r="J2784" s="19" t="n">
        <v>12</v>
      </c>
      <c r="K2784" s="20" t="n">
        <v>0</v>
      </c>
      <c r="L2784" s="20" t="n">
        <v>0</v>
      </c>
      <c r="M2784" s="18" t="n">
        <v>202</v>
      </c>
      <c r="N2784" s="18" t="n">
        <v>202</v>
      </c>
      <c r="O2784" s="18" t="n">
        <v>0</v>
      </c>
      <c r="P2784" s="17" t="n">
        <v>45983</v>
      </c>
      <c r="Q2784" s="17" t="n">
        <v>45983</v>
      </c>
      <c r="R2784" s="17" t="n">
        <v>45983</v>
      </c>
      <c r="S2784" s="19">
        <f>H2784*I2784</f>
        <v/>
      </c>
      <c r="T2784" s="19">
        <f>H2784*J2784</f>
        <v/>
      </c>
      <c r="U2784">
        <f>IF(AND(K2784=0,G2784&lt;=Assumptions!$C$6),1,0)</f>
        <v/>
      </c>
      <c r="V2784">
        <f>IF(U2784=1,IF(M2784&gt;0,IF(P2784&lt;=G2784+Assumptions!$C$7,1,0),0),0)</f>
        <v/>
      </c>
      <c r="W2784">
        <f>IF(AND(U2784=1,M2784&gt;=H2784*(1-Assumptions!$C$8)),1,0)</f>
        <v/>
      </c>
      <c r="X2784">
        <f>IF(AND(U2784=1,N2784&gt;=H2784*(1-Assumptions!$C$8)),1,0)</f>
        <v/>
      </c>
      <c r="Y2784">
        <f>IF(ISNUMBER(Q2784),1,0)</f>
        <v/>
      </c>
      <c r="Z2784">
        <f>IF(AND(K2784=0,L2784=0,Y2784=0),1,0)</f>
        <v/>
      </c>
      <c r="AA2784">
        <f>IF(AND(Z2784=1,G2784&lt;Assumptions!$C$6),1,0)</f>
        <v/>
      </c>
      <c r="AB2784">
        <f>IF(U2784=0,"",IF(Y2784=1,MAX(0,Q2784-G2784),IF(L2784=1,MAX(0,R2784-G2784),MAX(0,Assumptions!$C$6-G2784))))</f>
        <v/>
      </c>
      <c r="AC2784">
        <f>IF(Y2784=1,Q2784-F2784,"")</f>
        <v/>
      </c>
      <c r="AD2784">
        <f>IF(Y2784=1,AC2784^2,"")</f>
        <v/>
      </c>
      <c r="AE2784" s="19">
        <f>IF(Z2784=1,(H2784-M2784)*I2784,0)</f>
        <v/>
      </c>
      <c r="AF2784">
        <f>IF(G2784&lt;EDATE(Assumptions!$C$6,-12)+1,"prior_12m","last_12m")</f>
        <v/>
      </c>
      <c r="AG2784" s="21">
        <f>DATE(YEAR(G2784),MONTH(G2784),1)</f>
        <v/>
      </c>
    </row>
    <row r="2785">
      <c r="A2785" t="inlineStr">
        <is>
          <t>SPO-01501-2</t>
        </is>
      </c>
      <c r="B2785" t="inlineStr">
        <is>
          <t>SPO-01501</t>
        </is>
      </c>
      <c r="C2785" t="inlineStr">
        <is>
          <t>SUP-12</t>
        </is>
      </c>
      <c r="D2785" t="inlineStr">
        <is>
          <t>IT</t>
        </is>
      </c>
      <c r="E2785" t="inlineStr">
        <is>
          <t>IT-03</t>
        </is>
      </c>
      <c r="F2785" s="17" t="n">
        <v>45982</v>
      </c>
      <c r="G2785" s="17" t="n">
        <v>45992</v>
      </c>
      <c r="H2785" s="18" t="n">
        <v>71</v>
      </c>
      <c r="I2785" s="19" t="n">
        <v>42.64</v>
      </c>
      <c r="J2785" s="19" t="n">
        <v>38</v>
      </c>
      <c r="K2785" s="20" t="n">
        <v>0</v>
      </c>
      <c r="L2785" s="20" t="n">
        <v>0</v>
      </c>
      <c r="M2785" s="18" t="n">
        <v>71</v>
      </c>
      <c r="N2785" s="18" t="n">
        <v>71</v>
      </c>
      <c r="O2785" s="18" t="n">
        <v>0</v>
      </c>
      <c r="P2785" s="17" t="n">
        <v>45988</v>
      </c>
      <c r="Q2785" s="17" t="n">
        <v>45988</v>
      </c>
      <c r="R2785" s="17" t="n">
        <v>45988</v>
      </c>
      <c r="S2785" s="19">
        <f>H2785*I2785</f>
        <v/>
      </c>
      <c r="T2785" s="19">
        <f>H2785*J2785</f>
        <v/>
      </c>
      <c r="U2785">
        <f>IF(AND(K2785=0,G2785&lt;=Assumptions!$C$6),1,0)</f>
        <v/>
      </c>
      <c r="V2785">
        <f>IF(U2785=1,IF(M2785&gt;0,IF(P2785&lt;=G2785+Assumptions!$C$7,1,0),0),0)</f>
        <v/>
      </c>
      <c r="W2785">
        <f>IF(AND(U2785=1,M2785&gt;=H2785*(1-Assumptions!$C$8)),1,0)</f>
        <v/>
      </c>
      <c r="X2785">
        <f>IF(AND(U2785=1,N2785&gt;=H2785*(1-Assumptions!$C$8)),1,0)</f>
        <v/>
      </c>
      <c r="Y2785">
        <f>IF(ISNUMBER(Q2785),1,0)</f>
        <v/>
      </c>
      <c r="Z2785">
        <f>IF(AND(K2785=0,L2785=0,Y2785=0),1,0)</f>
        <v/>
      </c>
      <c r="AA2785">
        <f>IF(AND(Z2785=1,G2785&lt;Assumptions!$C$6),1,0)</f>
        <v/>
      </c>
      <c r="AB2785">
        <f>IF(U2785=0,"",IF(Y2785=1,MAX(0,Q2785-G2785),IF(L2785=1,MAX(0,R2785-G2785),MAX(0,Assumptions!$C$6-G2785))))</f>
        <v/>
      </c>
      <c r="AC2785">
        <f>IF(Y2785=1,Q2785-F2785,"")</f>
        <v/>
      </c>
      <c r="AD2785">
        <f>IF(Y2785=1,AC2785^2,"")</f>
        <v/>
      </c>
      <c r="AE2785" s="19">
        <f>IF(Z2785=1,(H2785-M2785)*I2785,0)</f>
        <v/>
      </c>
      <c r="AF2785">
        <f>IF(G2785&lt;EDATE(Assumptions!$C$6,-12)+1,"prior_12m","last_12m")</f>
        <v/>
      </c>
      <c r="AG2785" s="21">
        <f>DATE(YEAR(G2785),MONTH(G2785),1)</f>
        <v/>
      </c>
    </row>
    <row r="2786">
      <c r="A2786" t="inlineStr">
        <is>
          <t>SPO-01502-1</t>
        </is>
      </c>
      <c r="B2786" t="inlineStr">
        <is>
          <t>SPO-01502</t>
        </is>
      </c>
      <c r="C2786" t="inlineStr">
        <is>
          <t>SUP-07</t>
        </is>
      </c>
      <c r="D2786" t="inlineStr">
        <is>
          <t>MRO</t>
        </is>
      </c>
      <c r="E2786" t="inlineStr">
        <is>
          <t>MRO-08</t>
        </is>
      </c>
      <c r="F2786" s="17" t="n">
        <v>45982</v>
      </c>
      <c r="G2786" s="17" t="n">
        <v>45992</v>
      </c>
      <c r="H2786" s="18" t="n">
        <v>147</v>
      </c>
      <c r="I2786" s="19" t="n">
        <v>7.5</v>
      </c>
      <c r="J2786" s="19" t="n">
        <v>7.2</v>
      </c>
      <c r="K2786" s="20" t="n">
        <v>0</v>
      </c>
      <c r="L2786" s="20" t="n">
        <v>0</v>
      </c>
      <c r="M2786" s="18" t="n">
        <v>147</v>
      </c>
      <c r="N2786" s="18" t="n">
        <v>147</v>
      </c>
      <c r="O2786" s="18" t="n">
        <v>0</v>
      </c>
      <c r="P2786" s="17" t="n">
        <v>45990</v>
      </c>
      <c r="Q2786" s="17" t="n">
        <v>45990</v>
      </c>
      <c r="R2786" s="17" t="n">
        <v>45990</v>
      </c>
      <c r="S2786" s="19">
        <f>H2786*I2786</f>
        <v/>
      </c>
      <c r="T2786" s="19">
        <f>H2786*J2786</f>
        <v/>
      </c>
      <c r="U2786">
        <f>IF(AND(K2786=0,G2786&lt;=Assumptions!$C$6),1,0)</f>
        <v/>
      </c>
      <c r="V2786">
        <f>IF(U2786=1,IF(M2786&gt;0,IF(P2786&lt;=G2786+Assumptions!$C$7,1,0),0),0)</f>
        <v/>
      </c>
      <c r="W2786">
        <f>IF(AND(U2786=1,M2786&gt;=H2786*(1-Assumptions!$C$8)),1,0)</f>
        <v/>
      </c>
      <c r="X2786">
        <f>IF(AND(U2786=1,N2786&gt;=H2786*(1-Assumptions!$C$8)),1,0)</f>
        <v/>
      </c>
      <c r="Y2786">
        <f>IF(ISNUMBER(Q2786),1,0)</f>
        <v/>
      </c>
      <c r="Z2786">
        <f>IF(AND(K2786=0,L2786=0,Y2786=0),1,0)</f>
        <v/>
      </c>
      <c r="AA2786">
        <f>IF(AND(Z2786=1,G2786&lt;Assumptions!$C$6),1,0)</f>
        <v/>
      </c>
      <c r="AB2786">
        <f>IF(U2786=0,"",IF(Y2786=1,MAX(0,Q2786-G2786),IF(L2786=1,MAX(0,R2786-G2786),MAX(0,Assumptions!$C$6-G2786))))</f>
        <v/>
      </c>
      <c r="AC2786">
        <f>IF(Y2786=1,Q2786-F2786,"")</f>
        <v/>
      </c>
      <c r="AD2786">
        <f>IF(Y2786=1,AC2786^2,"")</f>
        <v/>
      </c>
      <c r="AE2786" s="19">
        <f>IF(Z2786=1,(H2786-M2786)*I2786,0)</f>
        <v/>
      </c>
      <c r="AF2786">
        <f>IF(G2786&lt;EDATE(Assumptions!$C$6,-12)+1,"prior_12m","last_12m")</f>
        <v/>
      </c>
      <c r="AG2786" s="21">
        <f>DATE(YEAR(G2786),MONTH(G2786),1)</f>
        <v/>
      </c>
    </row>
    <row r="2787">
      <c r="A2787" t="inlineStr">
        <is>
          <t>SPO-01502-2</t>
        </is>
      </c>
      <c r="B2787" t="inlineStr">
        <is>
          <t>SPO-01502</t>
        </is>
      </c>
      <c r="C2787" t="inlineStr">
        <is>
          <t>SUP-07</t>
        </is>
      </c>
      <c r="D2787" t="inlineStr">
        <is>
          <t>MRO</t>
        </is>
      </c>
      <c r="E2787" t="inlineStr">
        <is>
          <t>MRO-03</t>
        </is>
      </c>
      <c r="F2787" s="17" t="n">
        <v>45982</v>
      </c>
      <c r="G2787" s="17" t="n">
        <v>45992</v>
      </c>
      <c r="H2787" s="18" t="n">
        <v>163</v>
      </c>
      <c r="I2787" s="19" t="n">
        <v>8.890000000000001</v>
      </c>
      <c r="J2787" s="19" t="n">
        <v>8.9</v>
      </c>
      <c r="K2787" s="20" t="n">
        <v>0</v>
      </c>
      <c r="L2787" s="20" t="n">
        <v>0</v>
      </c>
      <c r="M2787" s="18" t="n">
        <v>163</v>
      </c>
      <c r="N2787" s="18" t="n">
        <v>163</v>
      </c>
      <c r="O2787" s="18" t="n">
        <v>0</v>
      </c>
      <c r="P2787" s="17" t="n">
        <v>45990</v>
      </c>
      <c r="Q2787" s="17" t="n">
        <v>45990</v>
      </c>
      <c r="R2787" s="17" t="n">
        <v>45990</v>
      </c>
      <c r="S2787" s="19">
        <f>H2787*I2787</f>
        <v/>
      </c>
      <c r="T2787" s="19">
        <f>H2787*J2787</f>
        <v/>
      </c>
      <c r="U2787">
        <f>IF(AND(K2787=0,G2787&lt;=Assumptions!$C$6),1,0)</f>
        <v/>
      </c>
      <c r="V2787">
        <f>IF(U2787=1,IF(M2787&gt;0,IF(P2787&lt;=G2787+Assumptions!$C$7,1,0),0),0)</f>
        <v/>
      </c>
      <c r="W2787">
        <f>IF(AND(U2787=1,M2787&gt;=H2787*(1-Assumptions!$C$8)),1,0)</f>
        <v/>
      </c>
      <c r="X2787">
        <f>IF(AND(U2787=1,N2787&gt;=H2787*(1-Assumptions!$C$8)),1,0)</f>
        <v/>
      </c>
      <c r="Y2787">
        <f>IF(ISNUMBER(Q2787),1,0)</f>
        <v/>
      </c>
      <c r="Z2787">
        <f>IF(AND(K2787=0,L2787=0,Y2787=0),1,0)</f>
        <v/>
      </c>
      <c r="AA2787">
        <f>IF(AND(Z2787=1,G2787&lt;Assumptions!$C$6),1,0)</f>
        <v/>
      </c>
      <c r="AB2787">
        <f>IF(U2787=0,"",IF(Y2787=1,MAX(0,Q2787-G2787),IF(L2787=1,MAX(0,R2787-G2787),MAX(0,Assumptions!$C$6-G2787))))</f>
        <v/>
      </c>
      <c r="AC2787">
        <f>IF(Y2787=1,Q2787-F2787,"")</f>
        <v/>
      </c>
      <c r="AD2787">
        <f>IF(Y2787=1,AC2787^2,"")</f>
        <v/>
      </c>
      <c r="AE2787" s="19">
        <f>IF(Z2787=1,(H2787-M2787)*I2787,0)</f>
        <v/>
      </c>
      <c r="AF2787">
        <f>IF(G2787&lt;EDATE(Assumptions!$C$6,-12)+1,"prior_12m","last_12m")</f>
        <v/>
      </c>
      <c r="AG2787" s="21">
        <f>DATE(YEAR(G2787),MONTH(G2787),1)</f>
        <v/>
      </c>
    </row>
    <row r="2788">
      <c r="A2788" t="inlineStr">
        <is>
          <t>SPO-01503-1</t>
        </is>
      </c>
      <c r="B2788" t="inlineStr">
        <is>
          <t>SPO-01503</t>
        </is>
      </c>
      <c r="C2788" t="inlineStr">
        <is>
          <t>SUP-02</t>
        </is>
      </c>
      <c r="D2788" t="inlineStr">
        <is>
          <t>ELEC</t>
        </is>
      </c>
      <c r="E2788" t="inlineStr">
        <is>
          <t>ELEC-01</t>
        </is>
      </c>
      <c r="F2788" s="17" t="n">
        <v>45982</v>
      </c>
      <c r="G2788" s="17" t="n">
        <v>45998</v>
      </c>
      <c r="H2788" s="18" t="n">
        <v>53</v>
      </c>
      <c r="I2788" s="19" t="n">
        <v>37.38</v>
      </c>
      <c r="J2788" s="19" t="n">
        <v>38</v>
      </c>
      <c r="K2788" s="20" t="n">
        <v>0</v>
      </c>
      <c r="L2788" s="20" t="n">
        <v>0</v>
      </c>
      <c r="M2788" s="18" t="n">
        <v>53</v>
      </c>
      <c r="N2788" s="18" t="n">
        <v>53</v>
      </c>
      <c r="O2788" s="18" t="n">
        <v>0</v>
      </c>
      <c r="P2788" s="17" t="n">
        <v>45994</v>
      </c>
      <c r="Q2788" s="17" t="n">
        <v>45994</v>
      </c>
      <c r="R2788" s="17" t="n">
        <v>45994</v>
      </c>
      <c r="S2788" s="19">
        <f>H2788*I2788</f>
        <v/>
      </c>
      <c r="T2788" s="19">
        <f>H2788*J2788</f>
        <v/>
      </c>
      <c r="U2788">
        <f>IF(AND(K2788=0,G2788&lt;=Assumptions!$C$6),1,0)</f>
        <v/>
      </c>
      <c r="V2788">
        <f>IF(U2788=1,IF(M2788&gt;0,IF(P2788&lt;=G2788+Assumptions!$C$7,1,0),0),0)</f>
        <v/>
      </c>
      <c r="W2788">
        <f>IF(AND(U2788=1,M2788&gt;=H2788*(1-Assumptions!$C$8)),1,0)</f>
        <v/>
      </c>
      <c r="X2788">
        <f>IF(AND(U2788=1,N2788&gt;=H2788*(1-Assumptions!$C$8)),1,0)</f>
        <v/>
      </c>
      <c r="Y2788">
        <f>IF(ISNUMBER(Q2788),1,0)</f>
        <v/>
      </c>
      <c r="Z2788">
        <f>IF(AND(K2788=0,L2788=0,Y2788=0),1,0)</f>
        <v/>
      </c>
      <c r="AA2788">
        <f>IF(AND(Z2788=1,G2788&lt;Assumptions!$C$6),1,0)</f>
        <v/>
      </c>
      <c r="AB2788">
        <f>IF(U2788=0,"",IF(Y2788=1,MAX(0,Q2788-G2788),IF(L2788=1,MAX(0,R2788-G2788),MAX(0,Assumptions!$C$6-G2788))))</f>
        <v/>
      </c>
      <c r="AC2788">
        <f>IF(Y2788=1,Q2788-F2788,"")</f>
        <v/>
      </c>
      <c r="AD2788">
        <f>IF(Y2788=1,AC2788^2,"")</f>
        <v/>
      </c>
      <c r="AE2788" s="19">
        <f>IF(Z2788=1,(H2788-M2788)*I2788,0)</f>
        <v/>
      </c>
      <c r="AF2788">
        <f>IF(G2788&lt;EDATE(Assumptions!$C$6,-12)+1,"prior_12m","last_12m")</f>
        <v/>
      </c>
      <c r="AG2788" s="21">
        <f>DATE(YEAR(G2788),MONTH(G2788),1)</f>
        <v/>
      </c>
    </row>
    <row r="2789">
      <c r="A2789" t="inlineStr">
        <is>
          <t>SPO-01504-1</t>
        </is>
      </c>
      <c r="B2789" t="inlineStr">
        <is>
          <t>SPO-01504</t>
        </is>
      </c>
      <c r="C2789" t="inlineStr">
        <is>
          <t>SUP-08</t>
        </is>
      </c>
      <c r="D2789" t="inlineStr">
        <is>
          <t>MRO</t>
        </is>
      </c>
      <c r="E2789" t="inlineStr">
        <is>
          <t>MRO-02</t>
        </is>
      </c>
      <c r="F2789" s="17" t="n">
        <v>45982</v>
      </c>
      <c r="G2789" s="17" t="n">
        <v>45993</v>
      </c>
      <c r="H2789" s="18" t="n">
        <v>60</v>
      </c>
      <c r="I2789" s="19" t="n">
        <v>41.54</v>
      </c>
      <c r="J2789" s="19" t="n">
        <v>41</v>
      </c>
      <c r="K2789" s="20" t="n">
        <v>0</v>
      </c>
      <c r="L2789" s="20" t="n">
        <v>0</v>
      </c>
      <c r="M2789" s="18" t="n">
        <v>60</v>
      </c>
      <c r="N2789" s="18" t="n">
        <v>60</v>
      </c>
      <c r="O2789" s="18" t="n">
        <v>0</v>
      </c>
      <c r="P2789" s="17" t="n">
        <v>45991</v>
      </c>
      <c r="Q2789" s="17" t="n">
        <v>45991</v>
      </c>
      <c r="R2789" s="17" t="n">
        <v>45991</v>
      </c>
      <c r="S2789" s="19">
        <f>H2789*I2789</f>
        <v/>
      </c>
      <c r="T2789" s="19">
        <f>H2789*J2789</f>
        <v/>
      </c>
      <c r="U2789">
        <f>IF(AND(K2789=0,G2789&lt;=Assumptions!$C$6),1,0)</f>
        <v/>
      </c>
      <c r="V2789">
        <f>IF(U2789=1,IF(M2789&gt;0,IF(P2789&lt;=G2789+Assumptions!$C$7,1,0),0),0)</f>
        <v/>
      </c>
      <c r="W2789">
        <f>IF(AND(U2789=1,M2789&gt;=H2789*(1-Assumptions!$C$8)),1,0)</f>
        <v/>
      </c>
      <c r="X2789">
        <f>IF(AND(U2789=1,N2789&gt;=H2789*(1-Assumptions!$C$8)),1,0)</f>
        <v/>
      </c>
      <c r="Y2789">
        <f>IF(ISNUMBER(Q2789),1,0)</f>
        <v/>
      </c>
      <c r="Z2789">
        <f>IF(AND(K2789=0,L2789=0,Y2789=0),1,0)</f>
        <v/>
      </c>
      <c r="AA2789">
        <f>IF(AND(Z2789=1,G2789&lt;Assumptions!$C$6),1,0)</f>
        <v/>
      </c>
      <c r="AB2789">
        <f>IF(U2789=0,"",IF(Y2789=1,MAX(0,Q2789-G2789),IF(L2789=1,MAX(0,R2789-G2789),MAX(0,Assumptions!$C$6-G2789))))</f>
        <v/>
      </c>
      <c r="AC2789">
        <f>IF(Y2789=1,Q2789-F2789,"")</f>
        <v/>
      </c>
      <c r="AD2789">
        <f>IF(Y2789=1,AC2789^2,"")</f>
        <v/>
      </c>
      <c r="AE2789" s="19">
        <f>IF(Z2789=1,(H2789-M2789)*I2789,0)</f>
        <v/>
      </c>
      <c r="AF2789">
        <f>IF(G2789&lt;EDATE(Assumptions!$C$6,-12)+1,"prior_12m","last_12m")</f>
        <v/>
      </c>
      <c r="AG2789" s="21">
        <f>DATE(YEAR(G2789),MONTH(G2789),1)</f>
        <v/>
      </c>
    </row>
    <row r="2790">
      <c r="A2790" t="inlineStr">
        <is>
          <t>SPO-01505-1</t>
        </is>
      </c>
      <c r="B2790" t="inlineStr">
        <is>
          <t>SPO-01505</t>
        </is>
      </c>
      <c r="C2790" t="inlineStr">
        <is>
          <t>SUP-02</t>
        </is>
      </c>
      <c r="D2790" t="inlineStr">
        <is>
          <t>ELEC</t>
        </is>
      </c>
      <c r="E2790" t="inlineStr">
        <is>
          <t>ELEC-03</t>
        </is>
      </c>
      <c r="F2790" s="17" t="n">
        <v>45982</v>
      </c>
      <c r="G2790" s="17" t="n">
        <v>45998</v>
      </c>
      <c r="H2790" s="18" t="n">
        <v>42</v>
      </c>
      <c r="I2790" s="19" t="n">
        <v>95.3</v>
      </c>
      <c r="J2790" s="19" t="n">
        <v>96</v>
      </c>
      <c r="K2790" s="20" t="n">
        <v>0</v>
      </c>
      <c r="L2790" s="20" t="n">
        <v>0</v>
      </c>
      <c r="M2790" s="18" t="n">
        <v>42</v>
      </c>
      <c r="N2790" s="18" t="n">
        <v>42</v>
      </c>
      <c r="O2790" s="18" t="n">
        <v>0</v>
      </c>
      <c r="P2790" s="17" t="n">
        <v>45996</v>
      </c>
      <c r="Q2790" s="17" t="n">
        <v>45996</v>
      </c>
      <c r="R2790" s="17" t="n">
        <v>45996</v>
      </c>
      <c r="S2790" s="19">
        <f>H2790*I2790</f>
        <v/>
      </c>
      <c r="T2790" s="19">
        <f>H2790*J2790</f>
        <v/>
      </c>
      <c r="U2790">
        <f>IF(AND(K2790=0,G2790&lt;=Assumptions!$C$6),1,0)</f>
        <v/>
      </c>
      <c r="V2790">
        <f>IF(U2790=1,IF(M2790&gt;0,IF(P2790&lt;=G2790+Assumptions!$C$7,1,0),0),0)</f>
        <v/>
      </c>
      <c r="W2790">
        <f>IF(AND(U2790=1,M2790&gt;=H2790*(1-Assumptions!$C$8)),1,0)</f>
        <v/>
      </c>
      <c r="X2790">
        <f>IF(AND(U2790=1,N2790&gt;=H2790*(1-Assumptions!$C$8)),1,0)</f>
        <v/>
      </c>
      <c r="Y2790">
        <f>IF(ISNUMBER(Q2790),1,0)</f>
        <v/>
      </c>
      <c r="Z2790">
        <f>IF(AND(K2790=0,L2790=0,Y2790=0),1,0)</f>
        <v/>
      </c>
      <c r="AA2790">
        <f>IF(AND(Z2790=1,G2790&lt;Assumptions!$C$6),1,0)</f>
        <v/>
      </c>
      <c r="AB2790">
        <f>IF(U2790=0,"",IF(Y2790=1,MAX(0,Q2790-G2790),IF(L2790=1,MAX(0,R2790-G2790),MAX(0,Assumptions!$C$6-G2790))))</f>
        <v/>
      </c>
      <c r="AC2790">
        <f>IF(Y2790=1,Q2790-F2790,"")</f>
        <v/>
      </c>
      <c r="AD2790">
        <f>IF(Y2790=1,AC2790^2,"")</f>
        <v/>
      </c>
      <c r="AE2790" s="19">
        <f>IF(Z2790=1,(H2790-M2790)*I2790,0)</f>
        <v/>
      </c>
      <c r="AF2790">
        <f>IF(G2790&lt;EDATE(Assumptions!$C$6,-12)+1,"prior_12m","last_12m")</f>
        <v/>
      </c>
      <c r="AG2790" s="21">
        <f>DATE(YEAR(G2790),MONTH(G2790),1)</f>
        <v/>
      </c>
    </row>
    <row r="2791">
      <c r="A2791" t="inlineStr">
        <is>
          <t>SPO-01505-2</t>
        </is>
      </c>
      <c r="B2791" t="inlineStr">
        <is>
          <t>SPO-01505</t>
        </is>
      </c>
      <c r="C2791" t="inlineStr">
        <is>
          <t>SUP-02</t>
        </is>
      </c>
      <c r="D2791" t="inlineStr">
        <is>
          <t>ELEC</t>
        </is>
      </c>
      <c r="E2791" t="inlineStr">
        <is>
          <t>ELEC-06</t>
        </is>
      </c>
      <c r="F2791" s="17" t="n">
        <v>45982</v>
      </c>
      <c r="G2791" s="17" t="n">
        <v>45998</v>
      </c>
      <c r="H2791" s="18" t="n">
        <v>11</v>
      </c>
      <c r="I2791" s="19" t="n">
        <v>149.2</v>
      </c>
      <c r="J2791" s="19" t="n">
        <v>145</v>
      </c>
      <c r="K2791" s="20" t="n">
        <v>0</v>
      </c>
      <c r="L2791" s="20" t="n">
        <v>0</v>
      </c>
      <c r="M2791" s="18" t="n">
        <v>11</v>
      </c>
      <c r="N2791" s="18" t="n">
        <v>11</v>
      </c>
      <c r="O2791" s="18" t="n">
        <v>0</v>
      </c>
      <c r="P2791" s="17" t="n">
        <v>45994</v>
      </c>
      <c r="Q2791" s="17" t="n">
        <v>45994</v>
      </c>
      <c r="R2791" s="17" t="n">
        <v>45994</v>
      </c>
      <c r="S2791" s="19">
        <f>H2791*I2791</f>
        <v/>
      </c>
      <c r="T2791" s="19">
        <f>H2791*J2791</f>
        <v/>
      </c>
      <c r="U2791">
        <f>IF(AND(K2791=0,G2791&lt;=Assumptions!$C$6),1,0)</f>
        <v/>
      </c>
      <c r="V2791">
        <f>IF(U2791=1,IF(M2791&gt;0,IF(P2791&lt;=G2791+Assumptions!$C$7,1,0),0),0)</f>
        <v/>
      </c>
      <c r="W2791">
        <f>IF(AND(U2791=1,M2791&gt;=H2791*(1-Assumptions!$C$8)),1,0)</f>
        <v/>
      </c>
      <c r="X2791">
        <f>IF(AND(U2791=1,N2791&gt;=H2791*(1-Assumptions!$C$8)),1,0)</f>
        <v/>
      </c>
      <c r="Y2791">
        <f>IF(ISNUMBER(Q2791),1,0)</f>
        <v/>
      </c>
      <c r="Z2791">
        <f>IF(AND(K2791=0,L2791=0,Y2791=0),1,0)</f>
        <v/>
      </c>
      <c r="AA2791">
        <f>IF(AND(Z2791=1,G2791&lt;Assumptions!$C$6),1,0)</f>
        <v/>
      </c>
      <c r="AB2791">
        <f>IF(U2791=0,"",IF(Y2791=1,MAX(0,Q2791-G2791),IF(L2791=1,MAX(0,R2791-G2791),MAX(0,Assumptions!$C$6-G2791))))</f>
        <v/>
      </c>
      <c r="AC2791">
        <f>IF(Y2791=1,Q2791-F2791,"")</f>
        <v/>
      </c>
      <c r="AD2791">
        <f>IF(Y2791=1,AC2791^2,"")</f>
        <v/>
      </c>
      <c r="AE2791" s="19">
        <f>IF(Z2791=1,(H2791-M2791)*I2791,0)</f>
        <v/>
      </c>
      <c r="AF2791">
        <f>IF(G2791&lt;EDATE(Assumptions!$C$6,-12)+1,"prior_12m","last_12m")</f>
        <v/>
      </c>
      <c r="AG2791" s="21">
        <f>DATE(YEAR(G2791),MONTH(G2791),1)</f>
        <v/>
      </c>
    </row>
    <row r="2792">
      <c r="A2792" t="inlineStr">
        <is>
          <t>SPO-01506-1</t>
        </is>
      </c>
      <c r="B2792" t="inlineStr">
        <is>
          <t>SPO-01506</t>
        </is>
      </c>
      <c r="C2792" t="inlineStr">
        <is>
          <t>SUP-06</t>
        </is>
      </c>
      <c r="D2792" t="inlineStr">
        <is>
          <t>MRO</t>
        </is>
      </c>
      <c r="E2792" t="inlineStr">
        <is>
          <t>MRO-08</t>
        </is>
      </c>
      <c r="F2792" s="17" t="n">
        <v>45983</v>
      </c>
      <c r="G2792" s="17" t="n">
        <v>45991</v>
      </c>
      <c r="H2792" s="18" t="n">
        <v>149</v>
      </c>
      <c r="I2792" s="19" t="n">
        <v>7.42</v>
      </c>
      <c r="J2792" s="19" t="n">
        <v>7.2</v>
      </c>
      <c r="K2792" s="20" t="n">
        <v>0</v>
      </c>
      <c r="L2792" s="20" t="n">
        <v>0</v>
      </c>
      <c r="M2792" s="18" t="n">
        <v>149</v>
      </c>
      <c r="N2792" s="18" t="n">
        <v>149</v>
      </c>
      <c r="O2792" s="18" t="n">
        <v>0</v>
      </c>
      <c r="P2792" s="17" t="n">
        <v>45989</v>
      </c>
      <c r="Q2792" s="17" t="n">
        <v>45989</v>
      </c>
      <c r="R2792" s="17" t="n">
        <v>45989</v>
      </c>
      <c r="S2792" s="19">
        <f>H2792*I2792</f>
        <v/>
      </c>
      <c r="T2792" s="19">
        <f>H2792*J2792</f>
        <v/>
      </c>
      <c r="U2792">
        <f>IF(AND(K2792=0,G2792&lt;=Assumptions!$C$6),1,0)</f>
        <v/>
      </c>
      <c r="V2792">
        <f>IF(U2792=1,IF(M2792&gt;0,IF(P2792&lt;=G2792+Assumptions!$C$7,1,0),0),0)</f>
        <v/>
      </c>
      <c r="W2792">
        <f>IF(AND(U2792=1,M2792&gt;=H2792*(1-Assumptions!$C$8)),1,0)</f>
        <v/>
      </c>
      <c r="X2792">
        <f>IF(AND(U2792=1,N2792&gt;=H2792*(1-Assumptions!$C$8)),1,0)</f>
        <v/>
      </c>
      <c r="Y2792">
        <f>IF(ISNUMBER(Q2792),1,0)</f>
        <v/>
      </c>
      <c r="Z2792">
        <f>IF(AND(K2792=0,L2792=0,Y2792=0),1,0)</f>
        <v/>
      </c>
      <c r="AA2792">
        <f>IF(AND(Z2792=1,G2792&lt;Assumptions!$C$6),1,0)</f>
        <v/>
      </c>
      <c r="AB2792">
        <f>IF(U2792=0,"",IF(Y2792=1,MAX(0,Q2792-G2792),IF(L2792=1,MAX(0,R2792-G2792),MAX(0,Assumptions!$C$6-G2792))))</f>
        <v/>
      </c>
      <c r="AC2792">
        <f>IF(Y2792=1,Q2792-F2792,"")</f>
        <v/>
      </c>
      <c r="AD2792">
        <f>IF(Y2792=1,AC2792^2,"")</f>
        <v/>
      </c>
      <c r="AE2792" s="19">
        <f>IF(Z2792=1,(H2792-M2792)*I2792,0)</f>
        <v/>
      </c>
      <c r="AF2792">
        <f>IF(G2792&lt;EDATE(Assumptions!$C$6,-12)+1,"prior_12m","last_12m")</f>
        <v/>
      </c>
      <c r="AG2792" s="21">
        <f>DATE(YEAR(G2792),MONTH(G2792),1)</f>
        <v/>
      </c>
    </row>
    <row r="2793">
      <c r="A2793" t="inlineStr">
        <is>
          <t>SPO-01506-2</t>
        </is>
      </c>
      <c r="B2793" t="inlineStr">
        <is>
          <t>SPO-01506</t>
        </is>
      </c>
      <c r="C2793" t="inlineStr">
        <is>
          <t>SUP-06</t>
        </is>
      </c>
      <c r="D2793" t="inlineStr">
        <is>
          <t>MRO</t>
        </is>
      </c>
      <c r="E2793" t="inlineStr">
        <is>
          <t>MRO-04</t>
        </is>
      </c>
      <c r="F2793" s="17" t="n">
        <v>45983</v>
      </c>
      <c r="G2793" s="17" t="n">
        <v>45991</v>
      </c>
      <c r="H2793" s="18" t="n">
        <v>11</v>
      </c>
      <c r="I2793" s="19" t="n">
        <v>58.7</v>
      </c>
      <c r="J2793" s="19" t="n">
        <v>58</v>
      </c>
      <c r="K2793" s="20" t="n">
        <v>0</v>
      </c>
      <c r="L2793" s="20" t="n">
        <v>0</v>
      </c>
      <c r="M2793" s="18" t="n">
        <v>11</v>
      </c>
      <c r="N2793" s="18" t="n">
        <v>11</v>
      </c>
      <c r="O2793" s="18" t="n">
        <v>0</v>
      </c>
      <c r="P2793" s="17" t="n">
        <v>45989</v>
      </c>
      <c r="Q2793" s="17" t="n">
        <v>45989</v>
      </c>
      <c r="R2793" s="17" t="n">
        <v>45989</v>
      </c>
      <c r="S2793" s="19">
        <f>H2793*I2793</f>
        <v/>
      </c>
      <c r="T2793" s="19">
        <f>H2793*J2793</f>
        <v/>
      </c>
      <c r="U2793">
        <f>IF(AND(K2793=0,G2793&lt;=Assumptions!$C$6),1,0)</f>
        <v/>
      </c>
      <c r="V2793">
        <f>IF(U2793=1,IF(M2793&gt;0,IF(P2793&lt;=G2793+Assumptions!$C$7,1,0),0),0)</f>
        <v/>
      </c>
      <c r="W2793">
        <f>IF(AND(U2793=1,M2793&gt;=H2793*(1-Assumptions!$C$8)),1,0)</f>
        <v/>
      </c>
      <c r="X2793">
        <f>IF(AND(U2793=1,N2793&gt;=H2793*(1-Assumptions!$C$8)),1,0)</f>
        <v/>
      </c>
      <c r="Y2793">
        <f>IF(ISNUMBER(Q2793),1,0)</f>
        <v/>
      </c>
      <c r="Z2793">
        <f>IF(AND(K2793=0,L2793=0,Y2793=0),1,0)</f>
        <v/>
      </c>
      <c r="AA2793">
        <f>IF(AND(Z2793=1,G2793&lt;Assumptions!$C$6),1,0)</f>
        <v/>
      </c>
      <c r="AB2793">
        <f>IF(U2793=0,"",IF(Y2793=1,MAX(0,Q2793-G2793),IF(L2793=1,MAX(0,R2793-G2793),MAX(0,Assumptions!$C$6-G2793))))</f>
        <v/>
      </c>
      <c r="AC2793">
        <f>IF(Y2793=1,Q2793-F2793,"")</f>
        <v/>
      </c>
      <c r="AD2793">
        <f>IF(Y2793=1,AC2793^2,"")</f>
        <v/>
      </c>
      <c r="AE2793" s="19">
        <f>IF(Z2793=1,(H2793-M2793)*I2793,0)</f>
        <v/>
      </c>
      <c r="AF2793">
        <f>IF(G2793&lt;EDATE(Assumptions!$C$6,-12)+1,"prior_12m","last_12m")</f>
        <v/>
      </c>
      <c r="AG2793" s="21">
        <f>DATE(YEAR(G2793),MONTH(G2793),1)</f>
        <v/>
      </c>
    </row>
    <row r="2794">
      <c r="A2794" t="inlineStr">
        <is>
          <t>SPO-01506-3</t>
        </is>
      </c>
      <c r="B2794" t="inlineStr">
        <is>
          <t>SPO-01506</t>
        </is>
      </c>
      <c r="C2794" t="inlineStr">
        <is>
          <t>SUP-06</t>
        </is>
      </c>
      <c r="D2794" t="inlineStr">
        <is>
          <t>MRO</t>
        </is>
      </c>
      <c r="E2794" t="inlineStr">
        <is>
          <t>MRO-06</t>
        </is>
      </c>
      <c r="F2794" s="17" t="n">
        <v>45983</v>
      </c>
      <c r="G2794" s="17" t="n">
        <v>45991</v>
      </c>
      <c r="H2794" s="18" t="n">
        <v>418</v>
      </c>
      <c r="I2794" s="19" t="n">
        <v>6.16</v>
      </c>
      <c r="J2794" s="19" t="n">
        <v>6.1</v>
      </c>
      <c r="K2794" s="20" t="n">
        <v>0</v>
      </c>
      <c r="L2794" s="20" t="n">
        <v>0</v>
      </c>
      <c r="M2794" s="18" t="n">
        <v>418</v>
      </c>
      <c r="N2794" s="18" t="n">
        <v>418</v>
      </c>
      <c r="O2794" s="18" t="n">
        <v>0</v>
      </c>
      <c r="P2794" s="17" t="n">
        <v>45989</v>
      </c>
      <c r="Q2794" s="17" t="n">
        <v>45989</v>
      </c>
      <c r="R2794" s="17" t="n">
        <v>45989</v>
      </c>
      <c r="S2794" s="19">
        <f>H2794*I2794</f>
        <v/>
      </c>
      <c r="T2794" s="19">
        <f>H2794*J2794</f>
        <v/>
      </c>
      <c r="U2794">
        <f>IF(AND(K2794=0,G2794&lt;=Assumptions!$C$6),1,0)</f>
        <v/>
      </c>
      <c r="V2794">
        <f>IF(U2794=1,IF(M2794&gt;0,IF(P2794&lt;=G2794+Assumptions!$C$7,1,0),0),0)</f>
        <v/>
      </c>
      <c r="W2794">
        <f>IF(AND(U2794=1,M2794&gt;=H2794*(1-Assumptions!$C$8)),1,0)</f>
        <v/>
      </c>
      <c r="X2794">
        <f>IF(AND(U2794=1,N2794&gt;=H2794*(1-Assumptions!$C$8)),1,0)</f>
        <v/>
      </c>
      <c r="Y2794">
        <f>IF(ISNUMBER(Q2794),1,0)</f>
        <v/>
      </c>
      <c r="Z2794">
        <f>IF(AND(K2794=0,L2794=0,Y2794=0),1,0)</f>
        <v/>
      </c>
      <c r="AA2794">
        <f>IF(AND(Z2794=1,G2794&lt;Assumptions!$C$6),1,0)</f>
        <v/>
      </c>
      <c r="AB2794">
        <f>IF(U2794=0,"",IF(Y2794=1,MAX(0,Q2794-G2794),IF(L2794=1,MAX(0,R2794-G2794),MAX(0,Assumptions!$C$6-G2794))))</f>
        <v/>
      </c>
      <c r="AC2794">
        <f>IF(Y2794=1,Q2794-F2794,"")</f>
        <v/>
      </c>
      <c r="AD2794">
        <f>IF(Y2794=1,AC2794^2,"")</f>
        <v/>
      </c>
      <c r="AE2794" s="19">
        <f>IF(Z2794=1,(H2794-M2794)*I2794,0)</f>
        <v/>
      </c>
      <c r="AF2794">
        <f>IF(G2794&lt;EDATE(Assumptions!$C$6,-12)+1,"prior_12m","last_12m")</f>
        <v/>
      </c>
      <c r="AG2794" s="21">
        <f>DATE(YEAR(G2794),MONTH(G2794),1)</f>
        <v/>
      </c>
    </row>
    <row r="2795">
      <c r="A2795" t="inlineStr">
        <is>
          <t>SPO-01506-4</t>
        </is>
      </c>
      <c r="B2795" t="inlineStr">
        <is>
          <t>SPO-01506</t>
        </is>
      </c>
      <c r="C2795" t="inlineStr">
        <is>
          <t>SUP-06</t>
        </is>
      </c>
      <c r="D2795" t="inlineStr">
        <is>
          <t>MRO</t>
        </is>
      </c>
      <c r="E2795" t="inlineStr">
        <is>
          <t>MRO-07</t>
        </is>
      </c>
      <c r="F2795" s="17" t="n">
        <v>45983</v>
      </c>
      <c r="G2795" s="17" t="n">
        <v>45991</v>
      </c>
      <c r="H2795" s="18" t="n">
        <v>118</v>
      </c>
      <c r="I2795" s="19" t="n">
        <v>13.99</v>
      </c>
      <c r="J2795" s="19" t="n">
        <v>14</v>
      </c>
      <c r="K2795" s="20" t="n">
        <v>0</v>
      </c>
      <c r="L2795" s="20" t="n">
        <v>0</v>
      </c>
      <c r="M2795" s="18" t="n">
        <v>118</v>
      </c>
      <c r="N2795" s="18" t="n">
        <v>118</v>
      </c>
      <c r="O2795" s="18" t="n">
        <v>0</v>
      </c>
      <c r="P2795" s="17" t="n">
        <v>45988</v>
      </c>
      <c r="Q2795" s="17" t="n">
        <v>45988</v>
      </c>
      <c r="R2795" s="17" t="n">
        <v>45988</v>
      </c>
      <c r="S2795" s="19">
        <f>H2795*I2795</f>
        <v/>
      </c>
      <c r="T2795" s="19">
        <f>H2795*J2795</f>
        <v/>
      </c>
      <c r="U2795">
        <f>IF(AND(K2795=0,G2795&lt;=Assumptions!$C$6),1,0)</f>
        <v/>
      </c>
      <c r="V2795">
        <f>IF(U2795=1,IF(M2795&gt;0,IF(P2795&lt;=G2795+Assumptions!$C$7,1,0),0),0)</f>
        <v/>
      </c>
      <c r="W2795">
        <f>IF(AND(U2795=1,M2795&gt;=H2795*(1-Assumptions!$C$8)),1,0)</f>
        <v/>
      </c>
      <c r="X2795">
        <f>IF(AND(U2795=1,N2795&gt;=H2795*(1-Assumptions!$C$8)),1,0)</f>
        <v/>
      </c>
      <c r="Y2795">
        <f>IF(ISNUMBER(Q2795),1,0)</f>
        <v/>
      </c>
      <c r="Z2795">
        <f>IF(AND(K2795=0,L2795=0,Y2795=0),1,0)</f>
        <v/>
      </c>
      <c r="AA2795">
        <f>IF(AND(Z2795=1,G2795&lt;Assumptions!$C$6),1,0)</f>
        <v/>
      </c>
      <c r="AB2795">
        <f>IF(U2795=0,"",IF(Y2795=1,MAX(0,Q2795-G2795),IF(L2795=1,MAX(0,R2795-G2795),MAX(0,Assumptions!$C$6-G2795))))</f>
        <v/>
      </c>
      <c r="AC2795">
        <f>IF(Y2795=1,Q2795-F2795,"")</f>
        <v/>
      </c>
      <c r="AD2795">
        <f>IF(Y2795=1,AC2795^2,"")</f>
        <v/>
      </c>
      <c r="AE2795" s="19">
        <f>IF(Z2795=1,(H2795-M2795)*I2795,0)</f>
        <v/>
      </c>
      <c r="AF2795">
        <f>IF(G2795&lt;EDATE(Assumptions!$C$6,-12)+1,"prior_12m","last_12m")</f>
        <v/>
      </c>
      <c r="AG2795" s="21">
        <f>DATE(YEAR(G2795),MONTH(G2795),1)</f>
        <v/>
      </c>
    </row>
    <row r="2796">
      <c r="A2796" t="inlineStr">
        <is>
          <t>SPO-01507-1</t>
        </is>
      </c>
      <c r="B2796" t="inlineStr">
        <is>
          <t>SPO-01507</t>
        </is>
      </c>
      <c r="C2796" t="inlineStr">
        <is>
          <t>SUP-07</t>
        </is>
      </c>
      <c r="D2796" t="inlineStr">
        <is>
          <t>MRO</t>
        </is>
      </c>
      <c r="E2796" t="inlineStr">
        <is>
          <t>MRO-08</t>
        </is>
      </c>
      <c r="F2796" s="17" t="n">
        <v>45983</v>
      </c>
      <c r="G2796" s="17" t="n">
        <v>45993</v>
      </c>
      <c r="H2796" s="18" t="n">
        <v>248</v>
      </c>
      <c r="I2796" s="19" t="n">
        <v>7.24</v>
      </c>
      <c r="J2796" s="19" t="n">
        <v>7.2</v>
      </c>
      <c r="K2796" s="20" t="n">
        <v>0</v>
      </c>
      <c r="L2796" s="20" t="n">
        <v>0</v>
      </c>
      <c r="M2796" s="18" t="n">
        <v>248</v>
      </c>
      <c r="N2796" s="18" t="n">
        <v>248</v>
      </c>
      <c r="O2796" s="18" t="n">
        <v>0</v>
      </c>
      <c r="P2796" s="17" t="n">
        <v>45992</v>
      </c>
      <c r="Q2796" s="17" t="n">
        <v>45992</v>
      </c>
      <c r="R2796" s="17" t="n">
        <v>45992</v>
      </c>
      <c r="S2796" s="19">
        <f>H2796*I2796</f>
        <v/>
      </c>
      <c r="T2796" s="19">
        <f>H2796*J2796</f>
        <v/>
      </c>
      <c r="U2796">
        <f>IF(AND(K2796=0,G2796&lt;=Assumptions!$C$6),1,0)</f>
        <v/>
      </c>
      <c r="V2796">
        <f>IF(U2796=1,IF(M2796&gt;0,IF(P2796&lt;=G2796+Assumptions!$C$7,1,0),0),0)</f>
        <v/>
      </c>
      <c r="W2796">
        <f>IF(AND(U2796=1,M2796&gt;=H2796*(1-Assumptions!$C$8)),1,0)</f>
        <v/>
      </c>
      <c r="X2796">
        <f>IF(AND(U2796=1,N2796&gt;=H2796*(1-Assumptions!$C$8)),1,0)</f>
        <v/>
      </c>
      <c r="Y2796">
        <f>IF(ISNUMBER(Q2796),1,0)</f>
        <v/>
      </c>
      <c r="Z2796">
        <f>IF(AND(K2796=0,L2796=0,Y2796=0),1,0)</f>
        <v/>
      </c>
      <c r="AA2796">
        <f>IF(AND(Z2796=1,G2796&lt;Assumptions!$C$6),1,0)</f>
        <v/>
      </c>
      <c r="AB2796">
        <f>IF(U2796=0,"",IF(Y2796=1,MAX(0,Q2796-G2796),IF(L2796=1,MAX(0,R2796-G2796),MAX(0,Assumptions!$C$6-G2796))))</f>
        <v/>
      </c>
      <c r="AC2796">
        <f>IF(Y2796=1,Q2796-F2796,"")</f>
        <v/>
      </c>
      <c r="AD2796">
        <f>IF(Y2796=1,AC2796^2,"")</f>
        <v/>
      </c>
      <c r="AE2796" s="19">
        <f>IF(Z2796=1,(H2796-M2796)*I2796,0)</f>
        <v/>
      </c>
      <c r="AF2796">
        <f>IF(G2796&lt;EDATE(Assumptions!$C$6,-12)+1,"prior_12m","last_12m")</f>
        <v/>
      </c>
      <c r="AG2796" s="21">
        <f>DATE(YEAR(G2796),MONTH(G2796),1)</f>
        <v/>
      </c>
    </row>
    <row r="2797">
      <c r="A2797" t="inlineStr">
        <is>
          <t>SPO-01507-2</t>
        </is>
      </c>
      <c r="B2797" t="inlineStr">
        <is>
          <t>SPO-01507</t>
        </is>
      </c>
      <c r="C2797" t="inlineStr">
        <is>
          <t>SUP-07</t>
        </is>
      </c>
      <c r="D2797" t="inlineStr">
        <is>
          <t>MRO</t>
        </is>
      </c>
      <c r="E2797" t="inlineStr">
        <is>
          <t>MRO-01</t>
        </is>
      </c>
      <c r="F2797" s="17" t="n">
        <v>45983</v>
      </c>
      <c r="G2797" s="17" t="n">
        <v>45993</v>
      </c>
      <c r="H2797" s="18" t="n">
        <v>76</v>
      </c>
      <c r="I2797" s="19" t="n">
        <v>54.15</v>
      </c>
      <c r="J2797" s="19" t="n">
        <v>52</v>
      </c>
      <c r="K2797" s="20" t="n">
        <v>0</v>
      </c>
      <c r="L2797" s="20" t="n">
        <v>1</v>
      </c>
      <c r="M2797" s="18" t="n">
        <v>53</v>
      </c>
      <c r="N2797" s="18" t="n">
        <v>53</v>
      </c>
      <c r="O2797" s="18" t="n">
        <v>0</v>
      </c>
      <c r="P2797" s="17" t="n">
        <v>45992</v>
      </c>
      <c r="Q2797" s="17" t="n"/>
      <c r="R2797" s="17" t="n">
        <v>45992</v>
      </c>
      <c r="S2797" s="19">
        <f>H2797*I2797</f>
        <v/>
      </c>
      <c r="T2797" s="19">
        <f>H2797*J2797</f>
        <v/>
      </c>
      <c r="U2797">
        <f>IF(AND(K2797=0,G2797&lt;=Assumptions!$C$6),1,0)</f>
        <v/>
      </c>
      <c r="V2797">
        <f>IF(U2797=1,IF(M2797&gt;0,IF(P2797&lt;=G2797+Assumptions!$C$7,1,0),0),0)</f>
        <v/>
      </c>
      <c r="W2797">
        <f>IF(AND(U2797=1,M2797&gt;=H2797*(1-Assumptions!$C$8)),1,0)</f>
        <v/>
      </c>
      <c r="X2797">
        <f>IF(AND(U2797=1,N2797&gt;=H2797*(1-Assumptions!$C$8)),1,0)</f>
        <v/>
      </c>
      <c r="Y2797">
        <f>IF(ISNUMBER(Q2797),1,0)</f>
        <v/>
      </c>
      <c r="Z2797">
        <f>IF(AND(K2797=0,L2797=0,Y2797=0),1,0)</f>
        <v/>
      </c>
      <c r="AA2797">
        <f>IF(AND(Z2797=1,G2797&lt;Assumptions!$C$6),1,0)</f>
        <v/>
      </c>
      <c r="AB2797">
        <f>IF(U2797=0,"",IF(Y2797=1,MAX(0,Q2797-G2797),IF(L2797=1,MAX(0,R2797-G2797),MAX(0,Assumptions!$C$6-G2797))))</f>
        <v/>
      </c>
      <c r="AC2797">
        <f>IF(Y2797=1,Q2797-F2797,"")</f>
        <v/>
      </c>
      <c r="AD2797">
        <f>IF(Y2797=1,AC2797^2,"")</f>
        <v/>
      </c>
      <c r="AE2797" s="19">
        <f>IF(Z2797=1,(H2797-M2797)*I2797,0)</f>
        <v/>
      </c>
      <c r="AF2797">
        <f>IF(G2797&lt;EDATE(Assumptions!$C$6,-12)+1,"prior_12m","last_12m")</f>
        <v/>
      </c>
      <c r="AG2797" s="21">
        <f>DATE(YEAR(G2797),MONTH(G2797),1)</f>
        <v/>
      </c>
    </row>
    <row r="2798">
      <c r="A2798" t="inlineStr">
        <is>
          <t>SPO-01508-1</t>
        </is>
      </c>
      <c r="B2798" t="inlineStr">
        <is>
          <t>SPO-01508</t>
        </is>
      </c>
      <c r="C2798" t="inlineStr">
        <is>
          <t>SUP-14</t>
        </is>
      </c>
      <c r="D2798" t="inlineStr">
        <is>
          <t>FLEET</t>
        </is>
      </c>
      <c r="E2798" t="inlineStr">
        <is>
          <t>FLEET-04</t>
        </is>
      </c>
      <c r="F2798" s="17" t="n">
        <v>45983</v>
      </c>
      <c r="G2798" s="17" t="n">
        <v>45997</v>
      </c>
      <c r="H2798" s="18" t="n">
        <v>135</v>
      </c>
      <c r="I2798" s="19" t="n">
        <v>9.15</v>
      </c>
      <c r="J2798" s="19" t="n">
        <v>9</v>
      </c>
      <c r="K2798" s="20" t="n">
        <v>0</v>
      </c>
      <c r="L2798" s="20" t="n">
        <v>0</v>
      </c>
      <c r="M2798" s="18" t="n">
        <v>135</v>
      </c>
      <c r="N2798" s="18" t="n">
        <v>135</v>
      </c>
      <c r="O2798" s="18" t="n">
        <v>0</v>
      </c>
      <c r="P2798" s="17" t="n">
        <v>45990</v>
      </c>
      <c r="Q2798" s="17" t="n">
        <v>45990</v>
      </c>
      <c r="R2798" s="17" t="n">
        <v>45990</v>
      </c>
      <c r="S2798" s="19">
        <f>H2798*I2798</f>
        <v/>
      </c>
      <c r="T2798" s="19">
        <f>H2798*J2798</f>
        <v/>
      </c>
      <c r="U2798">
        <f>IF(AND(K2798=0,G2798&lt;=Assumptions!$C$6),1,0)</f>
        <v/>
      </c>
      <c r="V2798">
        <f>IF(U2798=1,IF(M2798&gt;0,IF(P2798&lt;=G2798+Assumptions!$C$7,1,0),0),0)</f>
        <v/>
      </c>
      <c r="W2798">
        <f>IF(AND(U2798=1,M2798&gt;=H2798*(1-Assumptions!$C$8)),1,0)</f>
        <v/>
      </c>
      <c r="X2798">
        <f>IF(AND(U2798=1,N2798&gt;=H2798*(1-Assumptions!$C$8)),1,0)</f>
        <v/>
      </c>
      <c r="Y2798">
        <f>IF(ISNUMBER(Q2798),1,0)</f>
        <v/>
      </c>
      <c r="Z2798">
        <f>IF(AND(K2798=0,L2798=0,Y2798=0),1,0)</f>
        <v/>
      </c>
      <c r="AA2798">
        <f>IF(AND(Z2798=1,G2798&lt;Assumptions!$C$6),1,0)</f>
        <v/>
      </c>
      <c r="AB2798">
        <f>IF(U2798=0,"",IF(Y2798=1,MAX(0,Q2798-G2798),IF(L2798=1,MAX(0,R2798-G2798),MAX(0,Assumptions!$C$6-G2798))))</f>
        <v/>
      </c>
      <c r="AC2798">
        <f>IF(Y2798=1,Q2798-F2798,"")</f>
        <v/>
      </c>
      <c r="AD2798">
        <f>IF(Y2798=1,AC2798^2,"")</f>
        <v/>
      </c>
      <c r="AE2798" s="19">
        <f>IF(Z2798=1,(H2798-M2798)*I2798,0)</f>
        <v/>
      </c>
      <c r="AF2798">
        <f>IF(G2798&lt;EDATE(Assumptions!$C$6,-12)+1,"prior_12m","last_12m")</f>
        <v/>
      </c>
      <c r="AG2798" s="21">
        <f>DATE(YEAR(G2798),MONTH(G2798),1)</f>
        <v/>
      </c>
    </row>
    <row r="2799">
      <c r="A2799" t="inlineStr">
        <is>
          <t>SPO-01508-2</t>
        </is>
      </c>
      <c r="B2799" t="inlineStr">
        <is>
          <t>SPO-01508</t>
        </is>
      </c>
      <c r="C2799" t="inlineStr">
        <is>
          <t>SUP-14</t>
        </is>
      </c>
      <c r="D2799" t="inlineStr">
        <is>
          <t>FLEET</t>
        </is>
      </c>
      <c r="E2799" t="inlineStr">
        <is>
          <t>FLEET-05</t>
        </is>
      </c>
      <c r="F2799" s="17" t="n">
        <v>45983</v>
      </c>
      <c r="G2799" s="17" t="n">
        <v>45997</v>
      </c>
      <c r="H2799" s="18" t="n">
        <v>2</v>
      </c>
      <c r="I2799" s="19" t="n">
        <v>163.22</v>
      </c>
      <c r="J2799" s="19" t="n">
        <v>168</v>
      </c>
      <c r="K2799" s="20" t="n">
        <v>0</v>
      </c>
      <c r="L2799" s="20" t="n">
        <v>0</v>
      </c>
      <c r="M2799" s="18" t="n">
        <v>2</v>
      </c>
      <c r="N2799" s="18" t="n">
        <v>2</v>
      </c>
      <c r="O2799" s="18" t="n">
        <v>0</v>
      </c>
      <c r="P2799" s="17" t="n">
        <v>45991</v>
      </c>
      <c r="Q2799" s="17" t="n">
        <v>45991</v>
      </c>
      <c r="R2799" s="17" t="n">
        <v>45991</v>
      </c>
      <c r="S2799" s="19">
        <f>H2799*I2799</f>
        <v/>
      </c>
      <c r="T2799" s="19">
        <f>H2799*J2799</f>
        <v/>
      </c>
      <c r="U2799">
        <f>IF(AND(K2799=0,G2799&lt;=Assumptions!$C$6),1,0)</f>
        <v/>
      </c>
      <c r="V2799">
        <f>IF(U2799=1,IF(M2799&gt;0,IF(P2799&lt;=G2799+Assumptions!$C$7,1,0),0),0)</f>
        <v/>
      </c>
      <c r="W2799">
        <f>IF(AND(U2799=1,M2799&gt;=H2799*(1-Assumptions!$C$8)),1,0)</f>
        <v/>
      </c>
      <c r="X2799">
        <f>IF(AND(U2799=1,N2799&gt;=H2799*(1-Assumptions!$C$8)),1,0)</f>
        <v/>
      </c>
      <c r="Y2799">
        <f>IF(ISNUMBER(Q2799),1,0)</f>
        <v/>
      </c>
      <c r="Z2799">
        <f>IF(AND(K2799=0,L2799=0,Y2799=0),1,0)</f>
        <v/>
      </c>
      <c r="AA2799">
        <f>IF(AND(Z2799=1,G2799&lt;Assumptions!$C$6),1,0)</f>
        <v/>
      </c>
      <c r="AB2799">
        <f>IF(U2799=0,"",IF(Y2799=1,MAX(0,Q2799-G2799),IF(L2799=1,MAX(0,R2799-G2799),MAX(0,Assumptions!$C$6-G2799))))</f>
        <v/>
      </c>
      <c r="AC2799">
        <f>IF(Y2799=1,Q2799-F2799,"")</f>
        <v/>
      </c>
      <c r="AD2799">
        <f>IF(Y2799=1,AC2799^2,"")</f>
        <v/>
      </c>
      <c r="AE2799" s="19">
        <f>IF(Z2799=1,(H2799-M2799)*I2799,0)</f>
        <v/>
      </c>
      <c r="AF2799">
        <f>IF(G2799&lt;EDATE(Assumptions!$C$6,-12)+1,"prior_12m","last_12m")</f>
        <v/>
      </c>
      <c r="AG2799" s="21">
        <f>DATE(YEAR(G2799),MONTH(G2799),1)</f>
        <v/>
      </c>
    </row>
    <row r="2800">
      <c r="A2800" t="inlineStr">
        <is>
          <t>SPO-01508-3</t>
        </is>
      </c>
      <c r="B2800" t="inlineStr">
        <is>
          <t>SPO-01508</t>
        </is>
      </c>
      <c r="C2800" t="inlineStr">
        <is>
          <t>SUP-14</t>
        </is>
      </c>
      <c r="D2800" t="inlineStr">
        <is>
          <t>FLEET</t>
        </is>
      </c>
      <c r="E2800" t="inlineStr">
        <is>
          <t>FLEET-06</t>
        </is>
      </c>
      <c r="F2800" s="17" t="n">
        <v>45983</v>
      </c>
      <c r="G2800" s="17" t="n">
        <v>45997</v>
      </c>
      <c r="H2800" s="18" t="n">
        <v>13</v>
      </c>
      <c r="I2800" s="19" t="n">
        <v>32.91</v>
      </c>
      <c r="J2800" s="19" t="n">
        <v>33</v>
      </c>
      <c r="K2800" s="20" t="n">
        <v>0</v>
      </c>
      <c r="L2800" s="20" t="n">
        <v>0</v>
      </c>
      <c r="M2800" s="18" t="n">
        <v>13</v>
      </c>
      <c r="N2800" s="18" t="n">
        <v>13</v>
      </c>
      <c r="O2800" s="18" t="n">
        <v>0</v>
      </c>
      <c r="P2800" s="17" t="n">
        <v>45991</v>
      </c>
      <c r="Q2800" s="17" t="n">
        <v>45991</v>
      </c>
      <c r="R2800" s="17" t="n">
        <v>45991</v>
      </c>
      <c r="S2800" s="19">
        <f>H2800*I2800</f>
        <v/>
      </c>
      <c r="T2800" s="19">
        <f>H2800*J2800</f>
        <v/>
      </c>
      <c r="U2800">
        <f>IF(AND(K2800=0,G2800&lt;=Assumptions!$C$6),1,0)</f>
        <v/>
      </c>
      <c r="V2800">
        <f>IF(U2800=1,IF(M2800&gt;0,IF(P2800&lt;=G2800+Assumptions!$C$7,1,0),0),0)</f>
        <v/>
      </c>
      <c r="W2800">
        <f>IF(AND(U2800=1,M2800&gt;=H2800*(1-Assumptions!$C$8)),1,0)</f>
        <v/>
      </c>
      <c r="X2800">
        <f>IF(AND(U2800=1,N2800&gt;=H2800*(1-Assumptions!$C$8)),1,0)</f>
        <v/>
      </c>
      <c r="Y2800">
        <f>IF(ISNUMBER(Q2800),1,0)</f>
        <v/>
      </c>
      <c r="Z2800">
        <f>IF(AND(K2800=0,L2800=0,Y2800=0),1,0)</f>
        <v/>
      </c>
      <c r="AA2800">
        <f>IF(AND(Z2800=1,G2800&lt;Assumptions!$C$6),1,0)</f>
        <v/>
      </c>
      <c r="AB2800">
        <f>IF(U2800=0,"",IF(Y2800=1,MAX(0,Q2800-G2800),IF(L2800=1,MAX(0,R2800-G2800),MAX(0,Assumptions!$C$6-G2800))))</f>
        <v/>
      </c>
      <c r="AC2800">
        <f>IF(Y2800=1,Q2800-F2800,"")</f>
        <v/>
      </c>
      <c r="AD2800">
        <f>IF(Y2800=1,AC2800^2,"")</f>
        <v/>
      </c>
      <c r="AE2800" s="19">
        <f>IF(Z2800=1,(H2800-M2800)*I2800,0)</f>
        <v/>
      </c>
      <c r="AF2800">
        <f>IF(G2800&lt;EDATE(Assumptions!$C$6,-12)+1,"prior_12m","last_12m")</f>
        <v/>
      </c>
      <c r="AG2800" s="21">
        <f>DATE(YEAR(G2800),MONTH(G2800),1)</f>
        <v/>
      </c>
    </row>
    <row r="2801">
      <c r="A2801" t="inlineStr">
        <is>
          <t>SPO-01509-1</t>
        </is>
      </c>
      <c r="B2801" t="inlineStr">
        <is>
          <t>SPO-01509</t>
        </is>
      </c>
      <c r="C2801" t="inlineStr">
        <is>
          <t>SUP-10</t>
        </is>
      </c>
      <c r="D2801" t="inlineStr">
        <is>
          <t>PPE</t>
        </is>
      </c>
      <c r="E2801" t="inlineStr">
        <is>
          <t>PPE-05</t>
        </is>
      </c>
      <c r="F2801" s="17" t="n">
        <v>45983</v>
      </c>
      <c r="G2801" s="17" t="n">
        <v>45996</v>
      </c>
      <c r="H2801" s="18" t="n">
        <v>109</v>
      </c>
      <c r="I2801" s="19" t="n">
        <v>11.15</v>
      </c>
      <c r="J2801" s="19" t="n">
        <v>11</v>
      </c>
      <c r="K2801" s="20" t="n">
        <v>0</v>
      </c>
      <c r="L2801" s="20" t="n">
        <v>0</v>
      </c>
      <c r="M2801" s="18" t="n">
        <v>109</v>
      </c>
      <c r="N2801" s="18" t="n">
        <v>109</v>
      </c>
      <c r="O2801" s="18" t="n">
        <v>0</v>
      </c>
      <c r="P2801" s="17" t="n">
        <v>45989</v>
      </c>
      <c r="Q2801" s="17" t="n">
        <v>45989</v>
      </c>
      <c r="R2801" s="17" t="n">
        <v>45989</v>
      </c>
      <c r="S2801" s="19">
        <f>H2801*I2801</f>
        <v/>
      </c>
      <c r="T2801" s="19">
        <f>H2801*J2801</f>
        <v/>
      </c>
      <c r="U2801">
        <f>IF(AND(K2801=0,G2801&lt;=Assumptions!$C$6),1,0)</f>
        <v/>
      </c>
      <c r="V2801">
        <f>IF(U2801=1,IF(M2801&gt;0,IF(P2801&lt;=G2801+Assumptions!$C$7,1,0),0),0)</f>
        <v/>
      </c>
      <c r="W2801">
        <f>IF(AND(U2801=1,M2801&gt;=H2801*(1-Assumptions!$C$8)),1,0)</f>
        <v/>
      </c>
      <c r="X2801">
        <f>IF(AND(U2801=1,N2801&gt;=H2801*(1-Assumptions!$C$8)),1,0)</f>
        <v/>
      </c>
      <c r="Y2801">
        <f>IF(ISNUMBER(Q2801),1,0)</f>
        <v/>
      </c>
      <c r="Z2801">
        <f>IF(AND(K2801=0,L2801=0,Y2801=0),1,0)</f>
        <v/>
      </c>
      <c r="AA2801">
        <f>IF(AND(Z2801=1,G2801&lt;Assumptions!$C$6),1,0)</f>
        <v/>
      </c>
      <c r="AB2801">
        <f>IF(U2801=0,"",IF(Y2801=1,MAX(0,Q2801-G2801),IF(L2801=1,MAX(0,R2801-G2801),MAX(0,Assumptions!$C$6-G2801))))</f>
        <v/>
      </c>
      <c r="AC2801">
        <f>IF(Y2801=1,Q2801-F2801,"")</f>
        <v/>
      </c>
      <c r="AD2801">
        <f>IF(Y2801=1,AC2801^2,"")</f>
        <v/>
      </c>
      <c r="AE2801" s="19">
        <f>IF(Z2801=1,(H2801-M2801)*I2801,0)</f>
        <v/>
      </c>
      <c r="AF2801">
        <f>IF(G2801&lt;EDATE(Assumptions!$C$6,-12)+1,"prior_12m","last_12m")</f>
        <v/>
      </c>
      <c r="AG2801" s="21">
        <f>DATE(YEAR(G2801),MONTH(G2801),1)</f>
        <v/>
      </c>
    </row>
    <row r="2802">
      <c r="A2802" t="inlineStr">
        <is>
          <t>SPO-01509-2</t>
        </is>
      </c>
      <c r="B2802" t="inlineStr">
        <is>
          <t>SPO-01509</t>
        </is>
      </c>
      <c r="C2802" t="inlineStr">
        <is>
          <t>SUP-10</t>
        </is>
      </c>
      <c r="D2802" t="inlineStr">
        <is>
          <t>PPE</t>
        </is>
      </c>
      <c r="E2802" t="inlineStr">
        <is>
          <t>PPE-07</t>
        </is>
      </c>
      <c r="F2802" s="17" t="n">
        <v>45983</v>
      </c>
      <c r="G2802" s="17" t="n">
        <v>45996</v>
      </c>
      <c r="H2802" s="18" t="n">
        <v>34</v>
      </c>
      <c r="I2802" s="19" t="n">
        <v>30.65</v>
      </c>
      <c r="J2802" s="19" t="n">
        <v>31</v>
      </c>
      <c r="K2802" s="20" t="n">
        <v>0</v>
      </c>
      <c r="L2802" s="20" t="n">
        <v>0</v>
      </c>
      <c r="M2802" s="18" t="n">
        <v>34</v>
      </c>
      <c r="N2802" s="18" t="n">
        <v>34</v>
      </c>
      <c r="O2802" s="18" t="n">
        <v>0</v>
      </c>
      <c r="P2802" s="17" t="n">
        <v>45995</v>
      </c>
      <c r="Q2802" s="17" t="n">
        <v>45995</v>
      </c>
      <c r="R2802" s="17" t="n">
        <v>45995</v>
      </c>
      <c r="S2802" s="19">
        <f>H2802*I2802</f>
        <v/>
      </c>
      <c r="T2802" s="19">
        <f>H2802*J2802</f>
        <v/>
      </c>
      <c r="U2802">
        <f>IF(AND(K2802=0,G2802&lt;=Assumptions!$C$6),1,0)</f>
        <v/>
      </c>
      <c r="V2802">
        <f>IF(U2802=1,IF(M2802&gt;0,IF(P2802&lt;=G2802+Assumptions!$C$7,1,0),0),0)</f>
        <v/>
      </c>
      <c r="W2802">
        <f>IF(AND(U2802=1,M2802&gt;=H2802*(1-Assumptions!$C$8)),1,0)</f>
        <v/>
      </c>
      <c r="X2802">
        <f>IF(AND(U2802=1,N2802&gt;=H2802*(1-Assumptions!$C$8)),1,0)</f>
        <v/>
      </c>
      <c r="Y2802">
        <f>IF(ISNUMBER(Q2802),1,0)</f>
        <v/>
      </c>
      <c r="Z2802">
        <f>IF(AND(K2802=0,L2802=0,Y2802=0),1,0)</f>
        <v/>
      </c>
      <c r="AA2802">
        <f>IF(AND(Z2802=1,G2802&lt;Assumptions!$C$6),1,0)</f>
        <v/>
      </c>
      <c r="AB2802">
        <f>IF(U2802=0,"",IF(Y2802=1,MAX(0,Q2802-G2802),IF(L2802=1,MAX(0,R2802-G2802),MAX(0,Assumptions!$C$6-G2802))))</f>
        <v/>
      </c>
      <c r="AC2802">
        <f>IF(Y2802=1,Q2802-F2802,"")</f>
        <v/>
      </c>
      <c r="AD2802">
        <f>IF(Y2802=1,AC2802^2,"")</f>
        <v/>
      </c>
      <c r="AE2802" s="19">
        <f>IF(Z2802=1,(H2802-M2802)*I2802,0)</f>
        <v/>
      </c>
      <c r="AF2802">
        <f>IF(G2802&lt;EDATE(Assumptions!$C$6,-12)+1,"prior_12m","last_12m")</f>
        <v/>
      </c>
      <c r="AG2802" s="21">
        <f>DATE(YEAR(G2802),MONTH(G2802),1)</f>
        <v/>
      </c>
    </row>
    <row r="2803">
      <c r="A2803" t="inlineStr">
        <is>
          <t>SPO-01510-1</t>
        </is>
      </c>
      <c r="B2803" t="inlineStr">
        <is>
          <t>SPO-01510</t>
        </is>
      </c>
      <c r="C2803" t="inlineStr">
        <is>
          <t>SUP-05</t>
        </is>
      </c>
      <c r="D2803" t="inlineStr">
        <is>
          <t>FLEET</t>
        </is>
      </c>
      <c r="E2803" t="inlineStr">
        <is>
          <t>FLEET-08</t>
        </is>
      </c>
      <c r="F2803" s="17" t="n">
        <v>45984</v>
      </c>
      <c r="G2803" s="17" t="n">
        <v>45998</v>
      </c>
      <c r="H2803" s="18" t="n">
        <v>496</v>
      </c>
      <c r="I2803" s="19" t="n">
        <v>6.57</v>
      </c>
      <c r="J2803" s="19" t="n">
        <v>6.4</v>
      </c>
      <c r="K2803" s="20" t="n">
        <v>0</v>
      </c>
      <c r="L2803" s="20" t="n">
        <v>0</v>
      </c>
      <c r="M2803" s="18" t="n">
        <v>496</v>
      </c>
      <c r="N2803" s="18" t="n">
        <v>496</v>
      </c>
      <c r="O2803" s="18" t="n">
        <v>0</v>
      </c>
      <c r="P2803" s="17" t="n">
        <v>45996</v>
      </c>
      <c r="Q2803" s="17" t="n">
        <v>45996</v>
      </c>
      <c r="R2803" s="17" t="n">
        <v>45996</v>
      </c>
      <c r="S2803" s="19">
        <f>H2803*I2803</f>
        <v/>
      </c>
      <c r="T2803" s="19">
        <f>H2803*J2803</f>
        <v/>
      </c>
      <c r="U2803">
        <f>IF(AND(K2803=0,G2803&lt;=Assumptions!$C$6),1,0)</f>
        <v/>
      </c>
      <c r="V2803">
        <f>IF(U2803=1,IF(M2803&gt;0,IF(P2803&lt;=G2803+Assumptions!$C$7,1,0),0),0)</f>
        <v/>
      </c>
      <c r="W2803">
        <f>IF(AND(U2803=1,M2803&gt;=H2803*(1-Assumptions!$C$8)),1,0)</f>
        <v/>
      </c>
      <c r="X2803">
        <f>IF(AND(U2803=1,N2803&gt;=H2803*(1-Assumptions!$C$8)),1,0)</f>
        <v/>
      </c>
      <c r="Y2803">
        <f>IF(ISNUMBER(Q2803),1,0)</f>
        <v/>
      </c>
      <c r="Z2803">
        <f>IF(AND(K2803=0,L2803=0,Y2803=0),1,0)</f>
        <v/>
      </c>
      <c r="AA2803">
        <f>IF(AND(Z2803=1,G2803&lt;Assumptions!$C$6),1,0)</f>
        <v/>
      </c>
      <c r="AB2803">
        <f>IF(U2803=0,"",IF(Y2803=1,MAX(0,Q2803-G2803),IF(L2803=1,MAX(0,R2803-G2803),MAX(0,Assumptions!$C$6-G2803))))</f>
        <v/>
      </c>
      <c r="AC2803">
        <f>IF(Y2803=1,Q2803-F2803,"")</f>
        <v/>
      </c>
      <c r="AD2803">
        <f>IF(Y2803=1,AC2803^2,"")</f>
        <v/>
      </c>
      <c r="AE2803" s="19">
        <f>IF(Z2803=1,(H2803-M2803)*I2803,0)</f>
        <v/>
      </c>
      <c r="AF2803">
        <f>IF(G2803&lt;EDATE(Assumptions!$C$6,-12)+1,"prior_12m","last_12m")</f>
        <v/>
      </c>
      <c r="AG2803" s="21">
        <f>DATE(YEAR(G2803),MONTH(G2803),1)</f>
        <v/>
      </c>
    </row>
    <row r="2804">
      <c r="A2804" t="inlineStr">
        <is>
          <t>SPO-01510-2</t>
        </is>
      </c>
      <c r="B2804" t="inlineStr">
        <is>
          <t>SPO-01510</t>
        </is>
      </c>
      <c r="C2804" t="inlineStr">
        <is>
          <t>SUP-05</t>
        </is>
      </c>
      <c r="D2804" t="inlineStr">
        <is>
          <t>FLEET</t>
        </is>
      </c>
      <c r="E2804" t="inlineStr">
        <is>
          <t>FLEET-01</t>
        </is>
      </c>
      <c r="F2804" s="17" t="n">
        <v>45984</v>
      </c>
      <c r="G2804" s="17" t="n">
        <v>45998</v>
      </c>
      <c r="H2804" s="18" t="n">
        <v>22</v>
      </c>
      <c r="I2804" s="19" t="n">
        <v>64.34</v>
      </c>
      <c r="J2804" s="19" t="n">
        <v>64</v>
      </c>
      <c r="K2804" s="20" t="n">
        <v>1</v>
      </c>
      <c r="L2804" s="20" t="n">
        <v>0</v>
      </c>
      <c r="M2804" s="18" t="n">
        <v>0</v>
      </c>
      <c r="N2804" s="18" t="n">
        <v>0</v>
      </c>
      <c r="O2804" s="18" t="n">
        <v>0</v>
      </c>
      <c r="P2804" s="17" t="n"/>
      <c r="Q2804" s="17" t="n"/>
      <c r="R2804" s="17" t="n"/>
      <c r="S2804" s="19">
        <f>H2804*I2804</f>
        <v/>
      </c>
      <c r="T2804" s="19">
        <f>H2804*J2804</f>
        <v/>
      </c>
      <c r="U2804">
        <f>IF(AND(K2804=0,G2804&lt;=Assumptions!$C$6),1,0)</f>
        <v/>
      </c>
      <c r="V2804">
        <f>IF(U2804=1,IF(M2804&gt;0,IF(P2804&lt;=G2804+Assumptions!$C$7,1,0),0),0)</f>
        <v/>
      </c>
      <c r="W2804">
        <f>IF(AND(U2804=1,M2804&gt;=H2804*(1-Assumptions!$C$8)),1,0)</f>
        <v/>
      </c>
      <c r="X2804">
        <f>IF(AND(U2804=1,N2804&gt;=H2804*(1-Assumptions!$C$8)),1,0)</f>
        <v/>
      </c>
      <c r="Y2804">
        <f>IF(ISNUMBER(Q2804),1,0)</f>
        <v/>
      </c>
      <c r="Z2804">
        <f>IF(AND(K2804=0,L2804=0,Y2804=0),1,0)</f>
        <v/>
      </c>
      <c r="AA2804">
        <f>IF(AND(Z2804=1,G2804&lt;Assumptions!$C$6),1,0)</f>
        <v/>
      </c>
      <c r="AB2804">
        <f>IF(U2804=0,"",IF(Y2804=1,MAX(0,Q2804-G2804),IF(L2804=1,MAX(0,R2804-G2804),MAX(0,Assumptions!$C$6-G2804))))</f>
        <v/>
      </c>
      <c r="AC2804">
        <f>IF(Y2804=1,Q2804-F2804,"")</f>
        <v/>
      </c>
      <c r="AD2804">
        <f>IF(Y2804=1,AC2804^2,"")</f>
        <v/>
      </c>
      <c r="AE2804" s="19">
        <f>IF(Z2804=1,(H2804-M2804)*I2804,0)</f>
        <v/>
      </c>
      <c r="AF2804">
        <f>IF(G2804&lt;EDATE(Assumptions!$C$6,-12)+1,"prior_12m","last_12m")</f>
        <v/>
      </c>
      <c r="AG2804" s="21">
        <f>DATE(YEAR(G2804),MONTH(G2804),1)</f>
        <v/>
      </c>
    </row>
    <row r="2805">
      <c r="A2805" t="inlineStr">
        <is>
          <t>SPO-01510-3</t>
        </is>
      </c>
      <c r="B2805" t="inlineStr">
        <is>
          <t>SPO-01510</t>
        </is>
      </c>
      <c r="C2805" t="inlineStr">
        <is>
          <t>SUP-05</t>
        </is>
      </c>
      <c r="D2805" t="inlineStr">
        <is>
          <t>FLEET</t>
        </is>
      </c>
      <c r="E2805" t="inlineStr">
        <is>
          <t>FLEET-07</t>
        </is>
      </c>
      <c r="F2805" s="17" t="n">
        <v>45984</v>
      </c>
      <c r="G2805" s="17" t="n">
        <v>45998</v>
      </c>
      <c r="H2805" s="18" t="n">
        <v>12</v>
      </c>
      <c r="I2805" s="19" t="n">
        <v>119.41</v>
      </c>
      <c r="J2805" s="19" t="n">
        <v>118</v>
      </c>
      <c r="K2805" s="20" t="n">
        <v>0</v>
      </c>
      <c r="L2805" s="20" t="n">
        <v>0</v>
      </c>
      <c r="M2805" s="18" t="n">
        <v>12</v>
      </c>
      <c r="N2805" s="18" t="n">
        <v>12</v>
      </c>
      <c r="O2805" s="18" t="n">
        <v>0</v>
      </c>
      <c r="P2805" s="17" t="n">
        <v>45993</v>
      </c>
      <c r="Q2805" s="17" t="n">
        <v>45993</v>
      </c>
      <c r="R2805" s="17" t="n">
        <v>45993</v>
      </c>
      <c r="S2805" s="19">
        <f>H2805*I2805</f>
        <v/>
      </c>
      <c r="T2805" s="19">
        <f>H2805*J2805</f>
        <v/>
      </c>
      <c r="U2805">
        <f>IF(AND(K2805=0,G2805&lt;=Assumptions!$C$6),1,0)</f>
        <v/>
      </c>
      <c r="V2805">
        <f>IF(U2805=1,IF(M2805&gt;0,IF(P2805&lt;=G2805+Assumptions!$C$7,1,0),0),0)</f>
        <v/>
      </c>
      <c r="W2805">
        <f>IF(AND(U2805=1,M2805&gt;=H2805*(1-Assumptions!$C$8)),1,0)</f>
        <v/>
      </c>
      <c r="X2805">
        <f>IF(AND(U2805=1,N2805&gt;=H2805*(1-Assumptions!$C$8)),1,0)</f>
        <v/>
      </c>
      <c r="Y2805">
        <f>IF(ISNUMBER(Q2805),1,0)</f>
        <v/>
      </c>
      <c r="Z2805">
        <f>IF(AND(K2805=0,L2805=0,Y2805=0),1,0)</f>
        <v/>
      </c>
      <c r="AA2805">
        <f>IF(AND(Z2805=1,G2805&lt;Assumptions!$C$6),1,0)</f>
        <v/>
      </c>
      <c r="AB2805">
        <f>IF(U2805=0,"",IF(Y2805=1,MAX(0,Q2805-G2805),IF(L2805=1,MAX(0,R2805-G2805),MAX(0,Assumptions!$C$6-G2805))))</f>
        <v/>
      </c>
      <c r="AC2805">
        <f>IF(Y2805=1,Q2805-F2805,"")</f>
        <v/>
      </c>
      <c r="AD2805">
        <f>IF(Y2805=1,AC2805^2,"")</f>
        <v/>
      </c>
      <c r="AE2805" s="19">
        <f>IF(Z2805=1,(H2805-M2805)*I2805,0)</f>
        <v/>
      </c>
      <c r="AF2805">
        <f>IF(G2805&lt;EDATE(Assumptions!$C$6,-12)+1,"prior_12m","last_12m")</f>
        <v/>
      </c>
      <c r="AG2805" s="21">
        <f>DATE(YEAR(G2805),MONTH(G2805),1)</f>
        <v/>
      </c>
    </row>
    <row r="2806">
      <c r="A2806" t="inlineStr">
        <is>
          <t>SPO-01511-1</t>
        </is>
      </c>
      <c r="B2806" t="inlineStr">
        <is>
          <t>SPO-01511</t>
        </is>
      </c>
      <c r="C2806" t="inlineStr">
        <is>
          <t>SUP-09</t>
        </is>
      </c>
      <c r="D2806" t="inlineStr">
        <is>
          <t>CHEM</t>
        </is>
      </c>
      <c r="E2806" t="inlineStr">
        <is>
          <t>CHEM-05</t>
        </is>
      </c>
      <c r="F2806" s="17" t="n">
        <v>45984</v>
      </c>
      <c r="G2806" s="17" t="n">
        <v>45998</v>
      </c>
      <c r="H2806" s="18" t="n">
        <v>2</v>
      </c>
      <c r="I2806" s="19" t="n">
        <v>945.41</v>
      </c>
      <c r="J2806" s="19" t="n">
        <v>930</v>
      </c>
      <c r="K2806" s="20" t="n">
        <v>0</v>
      </c>
      <c r="L2806" s="20" t="n">
        <v>0</v>
      </c>
      <c r="M2806" s="18" t="n">
        <v>2</v>
      </c>
      <c r="N2806" s="18" t="n">
        <v>0</v>
      </c>
      <c r="O2806" s="18" t="n">
        <v>0</v>
      </c>
      <c r="P2806" s="17" t="n">
        <v>45999</v>
      </c>
      <c r="Q2806" s="17" t="n">
        <v>45999</v>
      </c>
      <c r="R2806" s="17" t="n">
        <v>45999</v>
      </c>
      <c r="S2806" s="19">
        <f>H2806*I2806</f>
        <v/>
      </c>
      <c r="T2806" s="19">
        <f>H2806*J2806</f>
        <v/>
      </c>
      <c r="U2806">
        <f>IF(AND(K2806=0,G2806&lt;=Assumptions!$C$6),1,0)</f>
        <v/>
      </c>
      <c r="V2806">
        <f>IF(U2806=1,IF(M2806&gt;0,IF(P2806&lt;=G2806+Assumptions!$C$7,1,0),0),0)</f>
        <v/>
      </c>
      <c r="W2806">
        <f>IF(AND(U2806=1,M2806&gt;=H2806*(1-Assumptions!$C$8)),1,0)</f>
        <v/>
      </c>
      <c r="X2806">
        <f>IF(AND(U2806=1,N2806&gt;=H2806*(1-Assumptions!$C$8)),1,0)</f>
        <v/>
      </c>
      <c r="Y2806">
        <f>IF(ISNUMBER(Q2806),1,0)</f>
        <v/>
      </c>
      <c r="Z2806">
        <f>IF(AND(K2806=0,L2806=0,Y2806=0),1,0)</f>
        <v/>
      </c>
      <c r="AA2806">
        <f>IF(AND(Z2806=1,G2806&lt;Assumptions!$C$6),1,0)</f>
        <v/>
      </c>
      <c r="AB2806">
        <f>IF(U2806=0,"",IF(Y2806=1,MAX(0,Q2806-G2806),IF(L2806=1,MAX(0,R2806-G2806),MAX(0,Assumptions!$C$6-G2806))))</f>
        <v/>
      </c>
      <c r="AC2806">
        <f>IF(Y2806=1,Q2806-F2806,"")</f>
        <v/>
      </c>
      <c r="AD2806">
        <f>IF(Y2806=1,AC2806^2,"")</f>
        <v/>
      </c>
      <c r="AE2806" s="19">
        <f>IF(Z2806=1,(H2806-M2806)*I2806,0)</f>
        <v/>
      </c>
      <c r="AF2806">
        <f>IF(G2806&lt;EDATE(Assumptions!$C$6,-12)+1,"prior_12m","last_12m")</f>
        <v/>
      </c>
      <c r="AG2806" s="21">
        <f>DATE(YEAR(G2806),MONTH(G2806),1)</f>
        <v/>
      </c>
    </row>
    <row r="2807">
      <c r="A2807" t="inlineStr">
        <is>
          <t>SPO-01512-1</t>
        </is>
      </c>
      <c r="B2807" t="inlineStr">
        <is>
          <t>SPO-01512</t>
        </is>
      </c>
      <c r="C2807" t="inlineStr">
        <is>
          <t>SUP-09</t>
        </is>
      </c>
      <c r="D2807" t="inlineStr">
        <is>
          <t>CHEM</t>
        </is>
      </c>
      <c r="E2807" t="inlineStr">
        <is>
          <t>CHEM-03</t>
        </is>
      </c>
      <c r="F2807" s="17" t="n">
        <v>45985</v>
      </c>
      <c r="G2807" s="17" t="n">
        <v>45999</v>
      </c>
      <c r="H2807" s="18" t="n">
        <v>6</v>
      </c>
      <c r="I2807" s="19" t="n">
        <v>276.98</v>
      </c>
      <c r="J2807" s="19" t="n">
        <v>265</v>
      </c>
      <c r="K2807" s="20" t="n">
        <v>0</v>
      </c>
      <c r="L2807" s="20" t="n">
        <v>0</v>
      </c>
      <c r="M2807" s="18" t="n">
        <v>6</v>
      </c>
      <c r="N2807" s="18" t="n">
        <v>6</v>
      </c>
      <c r="O2807" s="18" t="n">
        <v>0</v>
      </c>
      <c r="P2807" s="17" t="n">
        <v>45996</v>
      </c>
      <c r="Q2807" s="17" t="n">
        <v>45996</v>
      </c>
      <c r="R2807" s="17" t="n">
        <v>45996</v>
      </c>
      <c r="S2807" s="19">
        <f>H2807*I2807</f>
        <v/>
      </c>
      <c r="T2807" s="19">
        <f>H2807*J2807</f>
        <v/>
      </c>
      <c r="U2807">
        <f>IF(AND(K2807=0,G2807&lt;=Assumptions!$C$6),1,0)</f>
        <v/>
      </c>
      <c r="V2807">
        <f>IF(U2807=1,IF(M2807&gt;0,IF(P2807&lt;=G2807+Assumptions!$C$7,1,0),0),0)</f>
        <v/>
      </c>
      <c r="W2807">
        <f>IF(AND(U2807=1,M2807&gt;=H2807*(1-Assumptions!$C$8)),1,0)</f>
        <v/>
      </c>
      <c r="X2807">
        <f>IF(AND(U2807=1,N2807&gt;=H2807*(1-Assumptions!$C$8)),1,0)</f>
        <v/>
      </c>
      <c r="Y2807">
        <f>IF(ISNUMBER(Q2807),1,0)</f>
        <v/>
      </c>
      <c r="Z2807">
        <f>IF(AND(K2807=0,L2807=0,Y2807=0),1,0)</f>
        <v/>
      </c>
      <c r="AA2807">
        <f>IF(AND(Z2807=1,G2807&lt;Assumptions!$C$6),1,0)</f>
        <v/>
      </c>
      <c r="AB2807">
        <f>IF(U2807=0,"",IF(Y2807=1,MAX(0,Q2807-G2807),IF(L2807=1,MAX(0,R2807-G2807),MAX(0,Assumptions!$C$6-G2807))))</f>
        <v/>
      </c>
      <c r="AC2807">
        <f>IF(Y2807=1,Q2807-F2807,"")</f>
        <v/>
      </c>
      <c r="AD2807">
        <f>IF(Y2807=1,AC2807^2,"")</f>
        <v/>
      </c>
      <c r="AE2807" s="19">
        <f>IF(Z2807=1,(H2807-M2807)*I2807,0)</f>
        <v/>
      </c>
      <c r="AF2807">
        <f>IF(G2807&lt;EDATE(Assumptions!$C$6,-12)+1,"prior_12m","last_12m")</f>
        <v/>
      </c>
      <c r="AG2807" s="21">
        <f>DATE(YEAR(G2807),MONTH(G2807),1)</f>
        <v/>
      </c>
    </row>
    <row r="2808">
      <c r="A2808" t="inlineStr">
        <is>
          <t>SPO-01513-1</t>
        </is>
      </c>
      <c r="B2808" t="inlineStr">
        <is>
          <t>SPO-01513</t>
        </is>
      </c>
      <c r="C2808" t="inlineStr">
        <is>
          <t>SUP-06</t>
        </is>
      </c>
      <c r="D2808" t="inlineStr">
        <is>
          <t>MRO</t>
        </is>
      </c>
      <c r="E2808" t="inlineStr">
        <is>
          <t>MRO-06</t>
        </is>
      </c>
      <c r="F2808" s="17" t="n">
        <v>45985</v>
      </c>
      <c r="G2808" s="17" t="n">
        <v>45993</v>
      </c>
      <c r="H2808" s="18" t="n">
        <v>370</v>
      </c>
      <c r="I2808" s="19" t="n">
        <v>6.19</v>
      </c>
      <c r="J2808" s="19" t="n">
        <v>6.1</v>
      </c>
      <c r="K2808" s="20" t="n">
        <v>0</v>
      </c>
      <c r="L2808" s="20" t="n">
        <v>0</v>
      </c>
      <c r="M2808" s="18" t="n">
        <v>370</v>
      </c>
      <c r="N2808" s="18" t="n">
        <v>370</v>
      </c>
      <c r="O2808" s="18" t="n">
        <v>0</v>
      </c>
      <c r="P2808" s="17" t="n">
        <v>45990</v>
      </c>
      <c r="Q2808" s="17" t="n">
        <v>45990</v>
      </c>
      <c r="R2808" s="17" t="n">
        <v>45990</v>
      </c>
      <c r="S2808" s="19">
        <f>H2808*I2808</f>
        <v/>
      </c>
      <c r="T2808" s="19">
        <f>H2808*J2808</f>
        <v/>
      </c>
      <c r="U2808">
        <f>IF(AND(K2808=0,G2808&lt;=Assumptions!$C$6),1,0)</f>
        <v/>
      </c>
      <c r="V2808">
        <f>IF(U2808=1,IF(M2808&gt;0,IF(P2808&lt;=G2808+Assumptions!$C$7,1,0),0),0)</f>
        <v/>
      </c>
      <c r="W2808">
        <f>IF(AND(U2808=1,M2808&gt;=H2808*(1-Assumptions!$C$8)),1,0)</f>
        <v/>
      </c>
      <c r="X2808">
        <f>IF(AND(U2808=1,N2808&gt;=H2808*(1-Assumptions!$C$8)),1,0)</f>
        <v/>
      </c>
      <c r="Y2808">
        <f>IF(ISNUMBER(Q2808),1,0)</f>
        <v/>
      </c>
      <c r="Z2808">
        <f>IF(AND(K2808=0,L2808=0,Y2808=0),1,0)</f>
        <v/>
      </c>
      <c r="AA2808">
        <f>IF(AND(Z2808=1,G2808&lt;Assumptions!$C$6),1,0)</f>
        <v/>
      </c>
      <c r="AB2808">
        <f>IF(U2808=0,"",IF(Y2808=1,MAX(0,Q2808-G2808),IF(L2808=1,MAX(0,R2808-G2808),MAX(0,Assumptions!$C$6-G2808))))</f>
        <v/>
      </c>
      <c r="AC2808">
        <f>IF(Y2808=1,Q2808-F2808,"")</f>
        <v/>
      </c>
      <c r="AD2808">
        <f>IF(Y2808=1,AC2808^2,"")</f>
        <v/>
      </c>
      <c r="AE2808" s="19">
        <f>IF(Z2808=1,(H2808-M2808)*I2808,0)</f>
        <v/>
      </c>
      <c r="AF2808">
        <f>IF(G2808&lt;EDATE(Assumptions!$C$6,-12)+1,"prior_12m","last_12m")</f>
        <v/>
      </c>
      <c r="AG2808" s="21">
        <f>DATE(YEAR(G2808),MONTH(G2808),1)</f>
        <v/>
      </c>
    </row>
    <row r="2809">
      <c r="A2809" t="inlineStr">
        <is>
          <t>SPO-01513-2</t>
        </is>
      </c>
      <c r="B2809" t="inlineStr">
        <is>
          <t>SPO-01513</t>
        </is>
      </c>
      <c r="C2809" t="inlineStr">
        <is>
          <t>SUP-06</t>
        </is>
      </c>
      <c r="D2809" t="inlineStr">
        <is>
          <t>MRO</t>
        </is>
      </c>
      <c r="E2809" t="inlineStr">
        <is>
          <t>MRO-02</t>
        </is>
      </c>
      <c r="F2809" s="17" t="n">
        <v>45985</v>
      </c>
      <c r="G2809" s="17" t="n">
        <v>45993</v>
      </c>
      <c r="H2809" s="18" t="n">
        <v>27</v>
      </c>
      <c r="I2809" s="19" t="n">
        <v>43.5</v>
      </c>
      <c r="J2809" s="19" t="n">
        <v>41</v>
      </c>
      <c r="K2809" s="20" t="n">
        <v>0</v>
      </c>
      <c r="L2809" s="20" t="n">
        <v>0</v>
      </c>
      <c r="M2809" s="18" t="n">
        <v>27</v>
      </c>
      <c r="N2809" s="18" t="n">
        <v>27</v>
      </c>
      <c r="O2809" s="18" t="n">
        <v>0</v>
      </c>
      <c r="P2809" s="17" t="n">
        <v>45991</v>
      </c>
      <c r="Q2809" s="17" t="n">
        <v>45991</v>
      </c>
      <c r="R2809" s="17" t="n">
        <v>45991</v>
      </c>
      <c r="S2809" s="19">
        <f>H2809*I2809</f>
        <v/>
      </c>
      <c r="T2809" s="19">
        <f>H2809*J2809</f>
        <v/>
      </c>
      <c r="U2809">
        <f>IF(AND(K2809=0,G2809&lt;=Assumptions!$C$6),1,0)</f>
        <v/>
      </c>
      <c r="V2809">
        <f>IF(U2809=1,IF(M2809&gt;0,IF(P2809&lt;=G2809+Assumptions!$C$7,1,0),0),0)</f>
        <v/>
      </c>
      <c r="W2809">
        <f>IF(AND(U2809=1,M2809&gt;=H2809*(1-Assumptions!$C$8)),1,0)</f>
        <v/>
      </c>
      <c r="X2809">
        <f>IF(AND(U2809=1,N2809&gt;=H2809*(1-Assumptions!$C$8)),1,0)</f>
        <v/>
      </c>
      <c r="Y2809">
        <f>IF(ISNUMBER(Q2809),1,0)</f>
        <v/>
      </c>
      <c r="Z2809">
        <f>IF(AND(K2809=0,L2809=0,Y2809=0),1,0)</f>
        <v/>
      </c>
      <c r="AA2809">
        <f>IF(AND(Z2809=1,G2809&lt;Assumptions!$C$6),1,0)</f>
        <v/>
      </c>
      <c r="AB2809">
        <f>IF(U2809=0,"",IF(Y2809=1,MAX(0,Q2809-G2809),IF(L2809=1,MAX(0,R2809-G2809),MAX(0,Assumptions!$C$6-G2809))))</f>
        <v/>
      </c>
      <c r="AC2809">
        <f>IF(Y2809=1,Q2809-F2809,"")</f>
        <v/>
      </c>
      <c r="AD2809">
        <f>IF(Y2809=1,AC2809^2,"")</f>
        <v/>
      </c>
      <c r="AE2809" s="19">
        <f>IF(Z2809=1,(H2809-M2809)*I2809,0)</f>
        <v/>
      </c>
      <c r="AF2809">
        <f>IF(G2809&lt;EDATE(Assumptions!$C$6,-12)+1,"prior_12m","last_12m")</f>
        <v/>
      </c>
      <c r="AG2809" s="21">
        <f>DATE(YEAR(G2809),MONTH(G2809),1)</f>
        <v/>
      </c>
    </row>
    <row r="2810">
      <c r="A2810" t="inlineStr">
        <is>
          <t>SPO-01513-3</t>
        </is>
      </c>
      <c r="B2810" t="inlineStr">
        <is>
          <t>SPO-01513</t>
        </is>
      </c>
      <c r="C2810" t="inlineStr">
        <is>
          <t>SUP-06</t>
        </is>
      </c>
      <c r="D2810" t="inlineStr">
        <is>
          <t>MRO</t>
        </is>
      </c>
      <c r="E2810" t="inlineStr">
        <is>
          <t>MRO-01</t>
        </is>
      </c>
      <c r="F2810" s="17" t="n">
        <v>45985</v>
      </c>
      <c r="G2810" s="17" t="n">
        <v>45993</v>
      </c>
      <c r="H2810" s="18" t="n">
        <v>34</v>
      </c>
      <c r="I2810" s="19" t="n">
        <v>52.82</v>
      </c>
      <c r="J2810" s="19" t="n">
        <v>52</v>
      </c>
      <c r="K2810" s="20" t="n">
        <v>0</v>
      </c>
      <c r="L2810" s="20" t="n">
        <v>0</v>
      </c>
      <c r="M2810" s="18" t="n">
        <v>34</v>
      </c>
      <c r="N2810" s="18" t="n">
        <v>34</v>
      </c>
      <c r="O2810" s="18" t="n">
        <v>0</v>
      </c>
      <c r="P2810" s="17" t="n">
        <v>45991</v>
      </c>
      <c r="Q2810" s="17" t="n">
        <v>45991</v>
      </c>
      <c r="R2810" s="17" t="n">
        <v>45991</v>
      </c>
      <c r="S2810" s="19">
        <f>H2810*I2810</f>
        <v/>
      </c>
      <c r="T2810" s="19">
        <f>H2810*J2810</f>
        <v/>
      </c>
      <c r="U2810">
        <f>IF(AND(K2810=0,G2810&lt;=Assumptions!$C$6),1,0)</f>
        <v/>
      </c>
      <c r="V2810">
        <f>IF(U2810=1,IF(M2810&gt;0,IF(P2810&lt;=G2810+Assumptions!$C$7,1,0),0),0)</f>
        <v/>
      </c>
      <c r="W2810">
        <f>IF(AND(U2810=1,M2810&gt;=H2810*(1-Assumptions!$C$8)),1,0)</f>
        <v/>
      </c>
      <c r="X2810">
        <f>IF(AND(U2810=1,N2810&gt;=H2810*(1-Assumptions!$C$8)),1,0)</f>
        <v/>
      </c>
      <c r="Y2810">
        <f>IF(ISNUMBER(Q2810),1,0)</f>
        <v/>
      </c>
      <c r="Z2810">
        <f>IF(AND(K2810=0,L2810=0,Y2810=0),1,0)</f>
        <v/>
      </c>
      <c r="AA2810">
        <f>IF(AND(Z2810=1,G2810&lt;Assumptions!$C$6),1,0)</f>
        <v/>
      </c>
      <c r="AB2810">
        <f>IF(U2810=0,"",IF(Y2810=1,MAX(0,Q2810-G2810),IF(L2810=1,MAX(0,R2810-G2810),MAX(0,Assumptions!$C$6-G2810))))</f>
        <v/>
      </c>
      <c r="AC2810">
        <f>IF(Y2810=1,Q2810-F2810,"")</f>
        <v/>
      </c>
      <c r="AD2810">
        <f>IF(Y2810=1,AC2810^2,"")</f>
        <v/>
      </c>
      <c r="AE2810" s="19">
        <f>IF(Z2810=1,(H2810-M2810)*I2810,0)</f>
        <v/>
      </c>
      <c r="AF2810">
        <f>IF(G2810&lt;EDATE(Assumptions!$C$6,-12)+1,"prior_12m","last_12m")</f>
        <v/>
      </c>
      <c r="AG2810" s="21">
        <f>DATE(YEAR(G2810),MONTH(G2810),1)</f>
        <v/>
      </c>
    </row>
    <row r="2811">
      <c r="A2811" t="inlineStr">
        <is>
          <t>SPO-01514-1</t>
        </is>
      </c>
      <c r="B2811" t="inlineStr">
        <is>
          <t>SPO-01514</t>
        </is>
      </c>
      <c r="C2811" t="inlineStr">
        <is>
          <t>SUP-07</t>
        </is>
      </c>
      <c r="D2811" t="inlineStr">
        <is>
          <t>MRO</t>
        </is>
      </c>
      <c r="E2811" t="inlineStr">
        <is>
          <t>MRO-04</t>
        </is>
      </c>
      <c r="F2811" s="17" t="n">
        <v>45985</v>
      </c>
      <c r="G2811" s="17" t="n">
        <v>45995</v>
      </c>
      <c r="H2811" s="18" t="n">
        <v>8</v>
      </c>
      <c r="I2811" s="19" t="n">
        <v>59</v>
      </c>
      <c r="J2811" s="19" t="n">
        <v>58</v>
      </c>
      <c r="K2811" s="20" t="n">
        <v>0</v>
      </c>
      <c r="L2811" s="20" t="n">
        <v>0</v>
      </c>
      <c r="M2811" s="18" t="n">
        <v>8</v>
      </c>
      <c r="N2811" s="18" t="n">
        <v>8</v>
      </c>
      <c r="O2811" s="18" t="n">
        <v>0</v>
      </c>
      <c r="P2811" s="17" t="n">
        <v>45992</v>
      </c>
      <c r="Q2811" s="17" t="n">
        <v>45992</v>
      </c>
      <c r="R2811" s="17" t="n">
        <v>45992</v>
      </c>
      <c r="S2811" s="19">
        <f>H2811*I2811</f>
        <v/>
      </c>
      <c r="T2811" s="19">
        <f>H2811*J2811</f>
        <v/>
      </c>
      <c r="U2811">
        <f>IF(AND(K2811=0,G2811&lt;=Assumptions!$C$6),1,0)</f>
        <v/>
      </c>
      <c r="V2811">
        <f>IF(U2811=1,IF(M2811&gt;0,IF(P2811&lt;=G2811+Assumptions!$C$7,1,0),0),0)</f>
        <v/>
      </c>
      <c r="W2811">
        <f>IF(AND(U2811=1,M2811&gt;=H2811*(1-Assumptions!$C$8)),1,0)</f>
        <v/>
      </c>
      <c r="X2811">
        <f>IF(AND(U2811=1,N2811&gt;=H2811*(1-Assumptions!$C$8)),1,0)</f>
        <v/>
      </c>
      <c r="Y2811">
        <f>IF(ISNUMBER(Q2811),1,0)</f>
        <v/>
      </c>
      <c r="Z2811">
        <f>IF(AND(K2811=0,L2811=0,Y2811=0),1,0)</f>
        <v/>
      </c>
      <c r="AA2811">
        <f>IF(AND(Z2811=1,G2811&lt;Assumptions!$C$6),1,0)</f>
        <v/>
      </c>
      <c r="AB2811">
        <f>IF(U2811=0,"",IF(Y2811=1,MAX(0,Q2811-G2811),IF(L2811=1,MAX(0,R2811-G2811),MAX(0,Assumptions!$C$6-G2811))))</f>
        <v/>
      </c>
      <c r="AC2811">
        <f>IF(Y2811=1,Q2811-F2811,"")</f>
        <v/>
      </c>
      <c r="AD2811">
        <f>IF(Y2811=1,AC2811^2,"")</f>
        <v/>
      </c>
      <c r="AE2811" s="19">
        <f>IF(Z2811=1,(H2811-M2811)*I2811,0)</f>
        <v/>
      </c>
      <c r="AF2811">
        <f>IF(G2811&lt;EDATE(Assumptions!$C$6,-12)+1,"prior_12m","last_12m")</f>
        <v/>
      </c>
      <c r="AG2811" s="21">
        <f>DATE(YEAR(G2811),MONTH(G2811),1)</f>
        <v/>
      </c>
    </row>
    <row r="2812">
      <c r="A2812" t="inlineStr">
        <is>
          <t>SPO-01514-2</t>
        </is>
      </c>
      <c r="B2812" t="inlineStr">
        <is>
          <t>SPO-01514</t>
        </is>
      </c>
      <c r="C2812" t="inlineStr">
        <is>
          <t>SUP-07</t>
        </is>
      </c>
      <c r="D2812" t="inlineStr">
        <is>
          <t>MRO</t>
        </is>
      </c>
      <c r="E2812" t="inlineStr">
        <is>
          <t>MRO-07</t>
        </is>
      </c>
      <c r="F2812" s="17" t="n">
        <v>45985</v>
      </c>
      <c r="G2812" s="17" t="n">
        <v>45995</v>
      </c>
      <c r="H2812" s="18" t="n">
        <v>161</v>
      </c>
      <c r="I2812" s="19" t="n">
        <v>13.84</v>
      </c>
      <c r="J2812" s="19" t="n">
        <v>14</v>
      </c>
      <c r="K2812" s="20" t="n">
        <v>0</v>
      </c>
      <c r="L2812" s="20" t="n">
        <v>0</v>
      </c>
      <c r="M2812" s="18" t="n">
        <v>161</v>
      </c>
      <c r="N2812" s="18" t="n">
        <v>127</v>
      </c>
      <c r="O2812" s="18" t="n">
        <v>0</v>
      </c>
      <c r="P2812" s="17" t="n">
        <v>45994</v>
      </c>
      <c r="Q2812" s="17" t="n">
        <v>46006</v>
      </c>
      <c r="R2812" s="17" t="n">
        <v>46006</v>
      </c>
      <c r="S2812" s="19">
        <f>H2812*I2812</f>
        <v/>
      </c>
      <c r="T2812" s="19">
        <f>H2812*J2812</f>
        <v/>
      </c>
      <c r="U2812">
        <f>IF(AND(K2812=0,G2812&lt;=Assumptions!$C$6),1,0)</f>
        <v/>
      </c>
      <c r="V2812">
        <f>IF(U2812=1,IF(M2812&gt;0,IF(P2812&lt;=G2812+Assumptions!$C$7,1,0),0),0)</f>
        <v/>
      </c>
      <c r="W2812">
        <f>IF(AND(U2812=1,M2812&gt;=H2812*(1-Assumptions!$C$8)),1,0)</f>
        <v/>
      </c>
      <c r="X2812">
        <f>IF(AND(U2812=1,N2812&gt;=H2812*(1-Assumptions!$C$8)),1,0)</f>
        <v/>
      </c>
      <c r="Y2812">
        <f>IF(ISNUMBER(Q2812),1,0)</f>
        <v/>
      </c>
      <c r="Z2812">
        <f>IF(AND(K2812=0,L2812=0,Y2812=0),1,0)</f>
        <v/>
      </c>
      <c r="AA2812">
        <f>IF(AND(Z2812=1,G2812&lt;Assumptions!$C$6),1,0)</f>
        <v/>
      </c>
      <c r="AB2812">
        <f>IF(U2812=0,"",IF(Y2812=1,MAX(0,Q2812-G2812),IF(L2812=1,MAX(0,R2812-G2812),MAX(0,Assumptions!$C$6-G2812))))</f>
        <v/>
      </c>
      <c r="AC2812">
        <f>IF(Y2812=1,Q2812-F2812,"")</f>
        <v/>
      </c>
      <c r="AD2812">
        <f>IF(Y2812=1,AC2812^2,"")</f>
        <v/>
      </c>
      <c r="AE2812" s="19">
        <f>IF(Z2812=1,(H2812-M2812)*I2812,0)</f>
        <v/>
      </c>
      <c r="AF2812">
        <f>IF(G2812&lt;EDATE(Assumptions!$C$6,-12)+1,"prior_12m","last_12m")</f>
        <v/>
      </c>
      <c r="AG2812" s="21">
        <f>DATE(YEAR(G2812),MONTH(G2812),1)</f>
        <v/>
      </c>
    </row>
    <row r="2813">
      <c r="A2813" t="inlineStr">
        <is>
          <t>SPO-01515-1</t>
        </is>
      </c>
      <c r="B2813" t="inlineStr">
        <is>
          <t>SPO-01515</t>
        </is>
      </c>
      <c r="C2813" t="inlineStr">
        <is>
          <t>SUP-02</t>
        </is>
      </c>
      <c r="D2813" t="inlineStr">
        <is>
          <t>ELEC</t>
        </is>
      </c>
      <c r="E2813" t="inlineStr">
        <is>
          <t>ELEC-02</t>
        </is>
      </c>
      <c r="F2813" s="17" t="n">
        <v>45985</v>
      </c>
      <c r="G2813" s="17" t="n">
        <v>46001</v>
      </c>
      <c r="H2813" s="18" t="n">
        <v>505</v>
      </c>
      <c r="I2813" s="19" t="n">
        <v>4.08</v>
      </c>
      <c r="J2813" s="19" t="n">
        <v>4.2</v>
      </c>
      <c r="K2813" s="20" t="n">
        <v>0</v>
      </c>
      <c r="L2813" s="20" t="n">
        <v>0</v>
      </c>
      <c r="M2813" s="18" t="n">
        <v>505</v>
      </c>
      <c r="N2813" s="18" t="n">
        <v>505</v>
      </c>
      <c r="O2813" s="18" t="n">
        <v>0</v>
      </c>
      <c r="P2813" s="17" t="n">
        <v>45996</v>
      </c>
      <c r="Q2813" s="17" t="n">
        <v>45996</v>
      </c>
      <c r="R2813" s="17" t="n">
        <v>45996</v>
      </c>
      <c r="S2813" s="19">
        <f>H2813*I2813</f>
        <v/>
      </c>
      <c r="T2813" s="19">
        <f>H2813*J2813</f>
        <v/>
      </c>
      <c r="U2813">
        <f>IF(AND(K2813=0,G2813&lt;=Assumptions!$C$6),1,0)</f>
        <v/>
      </c>
      <c r="V2813">
        <f>IF(U2813=1,IF(M2813&gt;0,IF(P2813&lt;=G2813+Assumptions!$C$7,1,0),0),0)</f>
        <v/>
      </c>
      <c r="W2813">
        <f>IF(AND(U2813=1,M2813&gt;=H2813*(1-Assumptions!$C$8)),1,0)</f>
        <v/>
      </c>
      <c r="X2813">
        <f>IF(AND(U2813=1,N2813&gt;=H2813*(1-Assumptions!$C$8)),1,0)</f>
        <v/>
      </c>
      <c r="Y2813">
        <f>IF(ISNUMBER(Q2813),1,0)</f>
        <v/>
      </c>
      <c r="Z2813">
        <f>IF(AND(K2813=0,L2813=0,Y2813=0),1,0)</f>
        <v/>
      </c>
      <c r="AA2813">
        <f>IF(AND(Z2813=1,G2813&lt;Assumptions!$C$6),1,0)</f>
        <v/>
      </c>
      <c r="AB2813">
        <f>IF(U2813=0,"",IF(Y2813=1,MAX(0,Q2813-G2813),IF(L2813=1,MAX(0,R2813-G2813),MAX(0,Assumptions!$C$6-G2813))))</f>
        <v/>
      </c>
      <c r="AC2813">
        <f>IF(Y2813=1,Q2813-F2813,"")</f>
        <v/>
      </c>
      <c r="AD2813">
        <f>IF(Y2813=1,AC2813^2,"")</f>
        <v/>
      </c>
      <c r="AE2813" s="19">
        <f>IF(Z2813=1,(H2813-M2813)*I2813,0)</f>
        <v/>
      </c>
      <c r="AF2813">
        <f>IF(G2813&lt;EDATE(Assumptions!$C$6,-12)+1,"prior_12m","last_12m")</f>
        <v/>
      </c>
      <c r="AG2813" s="21">
        <f>DATE(YEAR(G2813),MONTH(G2813),1)</f>
        <v/>
      </c>
    </row>
    <row r="2814">
      <c r="A2814" t="inlineStr">
        <is>
          <t>SPO-01515-2</t>
        </is>
      </c>
      <c r="B2814" t="inlineStr">
        <is>
          <t>SPO-01515</t>
        </is>
      </c>
      <c r="C2814" t="inlineStr">
        <is>
          <t>SUP-02</t>
        </is>
      </c>
      <c r="D2814" t="inlineStr">
        <is>
          <t>ELEC</t>
        </is>
      </c>
      <c r="E2814" t="inlineStr">
        <is>
          <t>ELEC-04</t>
        </is>
      </c>
      <c r="F2814" s="17" t="n">
        <v>45985</v>
      </c>
      <c r="G2814" s="17" t="n">
        <v>46001</v>
      </c>
      <c r="H2814" s="18" t="n">
        <v>24</v>
      </c>
      <c r="I2814" s="19" t="n">
        <v>73.17</v>
      </c>
      <c r="J2814" s="19" t="n">
        <v>72</v>
      </c>
      <c r="K2814" s="20" t="n">
        <v>0</v>
      </c>
      <c r="L2814" s="20" t="n">
        <v>0</v>
      </c>
      <c r="M2814" s="18" t="n">
        <v>24</v>
      </c>
      <c r="N2814" s="18" t="n">
        <v>24</v>
      </c>
      <c r="O2814" s="18" t="n">
        <v>0</v>
      </c>
      <c r="P2814" s="17" t="n">
        <v>45998</v>
      </c>
      <c r="Q2814" s="17" t="n">
        <v>45998</v>
      </c>
      <c r="R2814" s="17" t="n">
        <v>45998</v>
      </c>
      <c r="S2814" s="19">
        <f>H2814*I2814</f>
        <v/>
      </c>
      <c r="T2814" s="19">
        <f>H2814*J2814</f>
        <v/>
      </c>
      <c r="U2814">
        <f>IF(AND(K2814=0,G2814&lt;=Assumptions!$C$6),1,0)</f>
        <v/>
      </c>
      <c r="V2814">
        <f>IF(U2814=1,IF(M2814&gt;0,IF(P2814&lt;=G2814+Assumptions!$C$7,1,0),0),0)</f>
        <v/>
      </c>
      <c r="W2814">
        <f>IF(AND(U2814=1,M2814&gt;=H2814*(1-Assumptions!$C$8)),1,0)</f>
        <v/>
      </c>
      <c r="X2814">
        <f>IF(AND(U2814=1,N2814&gt;=H2814*(1-Assumptions!$C$8)),1,0)</f>
        <v/>
      </c>
      <c r="Y2814">
        <f>IF(ISNUMBER(Q2814),1,0)</f>
        <v/>
      </c>
      <c r="Z2814">
        <f>IF(AND(K2814=0,L2814=0,Y2814=0),1,0)</f>
        <v/>
      </c>
      <c r="AA2814">
        <f>IF(AND(Z2814=1,G2814&lt;Assumptions!$C$6),1,0)</f>
        <v/>
      </c>
      <c r="AB2814">
        <f>IF(U2814=0,"",IF(Y2814=1,MAX(0,Q2814-G2814),IF(L2814=1,MAX(0,R2814-G2814),MAX(0,Assumptions!$C$6-G2814))))</f>
        <v/>
      </c>
      <c r="AC2814">
        <f>IF(Y2814=1,Q2814-F2814,"")</f>
        <v/>
      </c>
      <c r="AD2814">
        <f>IF(Y2814=1,AC2814^2,"")</f>
        <v/>
      </c>
      <c r="AE2814" s="19">
        <f>IF(Z2814=1,(H2814-M2814)*I2814,0)</f>
        <v/>
      </c>
      <c r="AF2814">
        <f>IF(G2814&lt;EDATE(Assumptions!$C$6,-12)+1,"prior_12m","last_12m")</f>
        <v/>
      </c>
      <c r="AG2814" s="21">
        <f>DATE(YEAR(G2814),MONTH(G2814),1)</f>
        <v/>
      </c>
    </row>
    <row r="2815">
      <c r="A2815" t="inlineStr">
        <is>
          <t>SPO-01515-3</t>
        </is>
      </c>
      <c r="B2815" t="inlineStr">
        <is>
          <t>SPO-01515</t>
        </is>
      </c>
      <c r="C2815" t="inlineStr">
        <is>
          <t>SUP-02</t>
        </is>
      </c>
      <c r="D2815" t="inlineStr">
        <is>
          <t>ELEC</t>
        </is>
      </c>
      <c r="E2815" t="inlineStr">
        <is>
          <t>ELEC-01</t>
        </is>
      </c>
      <c r="F2815" s="17" t="n">
        <v>45985</v>
      </c>
      <c r="G2815" s="17" t="n">
        <v>46001</v>
      </c>
      <c r="H2815" s="18" t="n">
        <v>81</v>
      </c>
      <c r="I2815" s="19" t="n">
        <v>37.97</v>
      </c>
      <c r="J2815" s="19" t="n">
        <v>38</v>
      </c>
      <c r="K2815" s="20" t="n">
        <v>0</v>
      </c>
      <c r="L2815" s="20" t="n">
        <v>0</v>
      </c>
      <c r="M2815" s="18" t="n">
        <v>81</v>
      </c>
      <c r="N2815" s="18" t="n">
        <v>81</v>
      </c>
      <c r="O2815" s="18" t="n">
        <v>0</v>
      </c>
      <c r="P2815" s="17" t="n">
        <v>45997</v>
      </c>
      <c r="Q2815" s="17" t="n">
        <v>45997</v>
      </c>
      <c r="R2815" s="17" t="n">
        <v>45997</v>
      </c>
      <c r="S2815" s="19">
        <f>H2815*I2815</f>
        <v/>
      </c>
      <c r="T2815" s="19">
        <f>H2815*J2815</f>
        <v/>
      </c>
      <c r="U2815">
        <f>IF(AND(K2815=0,G2815&lt;=Assumptions!$C$6),1,0)</f>
        <v/>
      </c>
      <c r="V2815">
        <f>IF(U2815=1,IF(M2815&gt;0,IF(P2815&lt;=G2815+Assumptions!$C$7,1,0),0),0)</f>
        <v/>
      </c>
      <c r="W2815">
        <f>IF(AND(U2815=1,M2815&gt;=H2815*(1-Assumptions!$C$8)),1,0)</f>
        <v/>
      </c>
      <c r="X2815">
        <f>IF(AND(U2815=1,N2815&gt;=H2815*(1-Assumptions!$C$8)),1,0)</f>
        <v/>
      </c>
      <c r="Y2815">
        <f>IF(ISNUMBER(Q2815),1,0)</f>
        <v/>
      </c>
      <c r="Z2815">
        <f>IF(AND(K2815=0,L2815=0,Y2815=0),1,0)</f>
        <v/>
      </c>
      <c r="AA2815">
        <f>IF(AND(Z2815=1,G2815&lt;Assumptions!$C$6),1,0)</f>
        <v/>
      </c>
      <c r="AB2815">
        <f>IF(U2815=0,"",IF(Y2815=1,MAX(0,Q2815-G2815),IF(L2815=1,MAX(0,R2815-G2815),MAX(0,Assumptions!$C$6-G2815))))</f>
        <v/>
      </c>
      <c r="AC2815">
        <f>IF(Y2815=1,Q2815-F2815,"")</f>
        <v/>
      </c>
      <c r="AD2815">
        <f>IF(Y2815=1,AC2815^2,"")</f>
        <v/>
      </c>
      <c r="AE2815" s="19">
        <f>IF(Z2815=1,(H2815-M2815)*I2815,0)</f>
        <v/>
      </c>
      <c r="AF2815">
        <f>IF(G2815&lt;EDATE(Assumptions!$C$6,-12)+1,"prior_12m","last_12m")</f>
        <v/>
      </c>
      <c r="AG2815" s="21">
        <f>DATE(YEAR(G2815),MONTH(G2815),1)</f>
        <v/>
      </c>
    </row>
    <row r="2816">
      <c r="A2816" t="inlineStr">
        <is>
          <t>SPO-01516-1</t>
        </is>
      </c>
      <c r="B2816" t="inlineStr">
        <is>
          <t>SPO-01516</t>
        </is>
      </c>
      <c r="C2816" t="inlineStr">
        <is>
          <t>SUP-05</t>
        </is>
      </c>
      <c r="D2816" t="inlineStr">
        <is>
          <t>FLEET</t>
        </is>
      </c>
      <c r="E2816" t="inlineStr">
        <is>
          <t>FLEET-04</t>
        </is>
      </c>
      <c r="F2816" s="17" t="n">
        <v>45985</v>
      </c>
      <c r="G2816" s="17" t="n">
        <v>45999</v>
      </c>
      <c r="H2816" s="18" t="n">
        <v>157</v>
      </c>
      <c r="I2816" s="19" t="n">
        <v>9.140000000000001</v>
      </c>
      <c r="J2816" s="19" t="n">
        <v>9</v>
      </c>
      <c r="K2816" s="20" t="n">
        <v>0</v>
      </c>
      <c r="L2816" s="20" t="n">
        <v>0</v>
      </c>
      <c r="M2816" s="18" t="n">
        <v>157</v>
      </c>
      <c r="N2816" s="18" t="n">
        <v>157</v>
      </c>
      <c r="O2816" s="18" t="n">
        <v>0</v>
      </c>
      <c r="P2816" s="17" t="n">
        <v>45995</v>
      </c>
      <c r="Q2816" s="17" t="n">
        <v>45995</v>
      </c>
      <c r="R2816" s="17" t="n">
        <v>45995</v>
      </c>
      <c r="S2816" s="19">
        <f>H2816*I2816</f>
        <v/>
      </c>
      <c r="T2816" s="19">
        <f>H2816*J2816</f>
        <v/>
      </c>
      <c r="U2816">
        <f>IF(AND(K2816=0,G2816&lt;=Assumptions!$C$6),1,0)</f>
        <v/>
      </c>
      <c r="V2816">
        <f>IF(U2816=1,IF(M2816&gt;0,IF(P2816&lt;=G2816+Assumptions!$C$7,1,0),0),0)</f>
        <v/>
      </c>
      <c r="W2816">
        <f>IF(AND(U2816=1,M2816&gt;=H2816*(1-Assumptions!$C$8)),1,0)</f>
        <v/>
      </c>
      <c r="X2816">
        <f>IF(AND(U2816=1,N2816&gt;=H2816*(1-Assumptions!$C$8)),1,0)</f>
        <v/>
      </c>
      <c r="Y2816">
        <f>IF(ISNUMBER(Q2816),1,0)</f>
        <v/>
      </c>
      <c r="Z2816">
        <f>IF(AND(K2816=0,L2816=0,Y2816=0),1,0)</f>
        <v/>
      </c>
      <c r="AA2816">
        <f>IF(AND(Z2816=1,G2816&lt;Assumptions!$C$6),1,0)</f>
        <v/>
      </c>
      <c r="AB2816">
        <f>IF(U2816=0,"",IF(Y2816=1,MAX(0,Q2816-G2816),IF(L2816=1,MAX(0,R2816-G2816),MAX(0,Assumptions!$C$6-G2816))))</f>
        <v/>
      </c>
      <c r="AC2816">
        <f>IF(Y2816=1,Q2816-F2816,"")</f>
        <v/>
      </c>
      <c r="AD2816">
        <f>IF(Y2816=1,AC2816^2,"")</f>
        <v/>
      </c>
      <c r="AE2816" s="19">
        <f>IF(Z2816=1,(H2816-M2816)*I2816,0)</f>
        <v/>
      </c>
      <c r="AF2816">
        <f>IF(G2816&lt;EDATE(Assumptions!$C$6,-12)+1,"prior_12m","last_12m")</f>
        <v/>
      </c>
      <c r="AG2816" s="21">
        <f>DATE(YEAR(G2816),MONTH(G2816),1)</f>
        <v/>
      </c>
    </row>
    <row r="2817">
      <c r="A2817" t="inlineStr">
        <is>
          <t>SPO-01517-1</t>
        </is>
      </c>
      <c r="B2817" t="inlineStr">
        <is>
          <t>SPO-01517</t>
        </is>
      </c>
      <c r="C2817" t="inlineStr">
        <is>
          <t>SUP-05</t>
        </is>
      </c>
      <c r="D2817" t="inlineStr">
        <is>
          <t>FLEET</t>
        </is>
      </c>
      <c r="E2817" t="inlineStr">
        <is>
          <t>FLEET-04</t>
        </is>
      </c>
      <c r="F2817" s="17" t="n">
        <v>45985</v>
      </c>
      <c r="G2817" s="17" t="n">
        <v>45999</v>
      </c>
      <c r="H2817" s="18" t="n">
        <v>83</v>
      </c>
      <c r="I2817" s="19" t="n">
        <v>9.07</v>
      </c>
      <c r="J2817" s="19" t="n">
        <v>9</v>
      </c>
      <c r="K2817" s="20" t="n">
        <v>0</v>
      </c>
      <c r="L2817" s="20" t="n">
        <v>0</v>
      </c>
      <c r="M2817" s="18" t="n">
        <v>83</v>
      </c>
      <c r="N2817" s="18" t="n">
        <v>83</v>
      </c>
      <c r="O2817" s="18" t="n">
        <v>0</v>
      </c>
      <c r="P2817" s="17" t="n">
        <v>45996</v>
      </c>
      <c r="Q2817" s="17" t="n">
        <v>45996</v>
      </c>
      <c r="R2817" s="17" t="n">
        <v>45996</v>
      </c>
      <c r="S2817" s="19">
        <f>H2817*I2817</f>
        <v/>
      </c>
      <c r="T2817" s="19">
        <f>H2817*J2817</f>
        <v/>
      </c>
      <c r="U2817">
        <f>IF(AND(K2817=0,G2817&lt;=Assumptions!$C$6),1,0)</f>
        <v/>
      </c>
      <c r="V2817">
        <f>IF(U2817=1,IF(M2817&gt;0,IF(P2817&lt;=G2817+Assumptions!$C$7,1,0),0),0)</f>
        <v/>
      </c>
      <c r="W2817">
        <f>IF(AND(U2817=1,M2817&gt;=H2817*(1-Assumptions!$C$8)),1,0)</f>
        <v/>
      </c>
      <c r="X2817">
        <f>IF(AND(U2817=1,N2817&gt;=H2817*(1-Assumptions!$C$8)),1,0)</f>
        <v/>
      </c>
      <c r="Y2817">
        <f>IF(ISNUMBER(Q2817),1,0)</f>
        <v/>
      </c>
      <c r="Z2817">
        <f>IF(AND(K2817=0,L2817=0,Y2817=0),1,0)</f>
        <v/>
      </c>
      <c r="AA2817">
        <f>IF(AND(Z2817=1,G2817&lt;Assumptions!$C$6),1,0)</f>
        <v/>
      </c>
      <c r="AB2817">
        <f>IF(U2817=0,"",IF(Y2817=1,MAX(0,Q2817-G2817),IF(L2817=1,MAX(0,R2817-G2817),MAX(0,Assumptions!$C$6-G2817))))</f>
        <v/>
      </c>
      <c r="AC2817">
        <f>IF(Y2817=1,Q2817-F2817,"")</f>
        <v/>
      </c>
      <c r="AD2817">
        <f>IF(Y2817=1,AC2817^2,"")</f>
        <v/>
      </c>
      <c r="AE2817" s="19">
        <f>IF(Z2817=1,(H2817-M2817)*I2817,0)</f>
        <v/>
      </c>
      <c r="AF2817">
        <f>IF(G2817&lt;EDATE(Assumptions!$C$6,-12)+1,"prior_12m","last_12m")</f>
        <v/>
      </c>
      <c r="AG2817" s="21">
        <f>DATE(YEAR(G2817),MONTH(G2817),1)</f>
        <v/>
      </c>
    </row>
    <row r="2818">
      <c r="A2818" t="inlineStr">
        <is>
          <t>SPO-01517-2</t>
        </is>
      </c>
      <c r="B2818" t="inlineStr">
        <is>
          <t>SPO-01517</t>
        </is>
      </c>
      <c r="C2818" t="inlineStr">
        <is>
          <t>SUP-05</t>
        </is>
      </c>
      <c r="D2818" t="inlineStr">
        <is>
          <t>FLEET</t>
        </is>
      </c>
      <c r="E2818" t="inlineStr">
        <is>
          <t>FLEET-06</t>
        </is>
      </c>
      <c r="F2818" s="17" t="n">
        <v>45985</v>
      </c>
      <c r="G2818" s="17" t="n">
        <v>45999</v>
      </c>
      <c r="H2818" s="18" t="n">
        <v>71</v>
      </c>
      <c r="I2818" s="19" t="n">
        <v>32.63</v>
      </c>
      <c r="J2818" s="19" t="n">
        <v>33</v>
      </c>
      <c r="K2818" s="20" t="n">
        <v>0</v>
      </c>
      <c r="L2818" s="20" t="n">
        <v>0</v>
      </c>
      <c r="M2818" s="18" t="n">
        <v>71</v>
      </c>
      <c r="N2818" s="18" t="n">
        <v>71</v>
      </c>
      <c r="O2818" s="18" t="n">
        <v>0</v>
      </c>
      <c r="P2818" s="17" t="n">
        <v>45996</v>
      </c>
      <c r="Q2818" s="17" t="n">
        <v>45996</v>
      </c>
      <c r="R2818" s="17" t="n">
        <v>45996</v>
      </c>
      <c r="S2818" s="19">
        <f>H2818*I2818</f>
        <v/>
      </c>
      <c r="T2818" s="19">
        <f>H2818*J2818</f>
        <v/>
      </c>
      <c r="U2818">
        <f>IF(AND(K2818=0,G2818&lt;=Assumptions!$C$6),1,0)</f>
        <v/>
      </c>
      <c r="V2818">
        <f>IF(U2818=1,IF(M2818&gt;0,IF(P2818&lt;=G2818+Assumptions!$C$7,1,0),0),0)</f>
        <v/>
      </c>
      <c r="W2818">
        <f>IF(AND(U2818=1,M2818&gt;=H2818*(1-Assumptions!$C$8)),1,0)</f>
        <v/>
      </c>
      <c r="X2818">
        <f>IF(AND(U2818=1,N2818&gt;=H2818*(1-Assumptions!$C$8)),1,0)</f>
        <v/>
      </c>
      <c r="Y2818">
        <f>IF(ISNUMBER(Q2818),1,0)</f>
        <v/>
      </c>
      <c r="Z2818">
        <f>IF(AND(K2818=0,L2818=0,Y2818=0),1,0)</f>
        <v/>
      </c>
      <c r="AA2818">
        <f>IF(AND(Z2818=1,G2818&lt;Assumptions!$C$6),1,0)</f>
        <v/>
      </c>
      <c r="AB2818">
        <f>IF(U2818=0,"",IF(Y2818=1,MAX(0,Q2818-G2818),IF(L2818=1,MAX(0,R2818-G2818),MAX(0,Assumptions!$C$6-G2818))))</f>
        <v/>
      </c>
      <c r="AC2818">
        <f>IF(Y2818=1,Q2818-F2818,"")</f>
        <v/>
      </c>
      <c r="AD2818">
        <f>IF(Y2818=1,AC2818^2,"")</f>
        <v/>
      </c>
      <c r="AE2818" s="19">
        <f>IF(Z2818=1,(H2818-M2818)*I2818,0)</f>
        <v/>
      </c>
      <c r="AF2818">
        <f>IF(G2818&lt;EDATE(Assumptions!$C$6,-12)+1,"prior_12m","last_12m")</f>
        <v/>
      </c>
      <c r="AG2818" s="21">
        <f>DATE(YEAR(G2818),MONTH(G2818),1)</f>
        <v/>
      </c>
    </row>
    <row r="2819">
      <c r="A2819" t="inlineStr">
        <is>
          <t>SPO-01518-1</t>
        </is>
      </c>
      <c r="B2819" t="inlineStr">
        <is>
          <t>SPO-01518</t>
        </is>
      </c>
      <c r="C2819" t="inlineStr">
        <is>
          <t>SUP-04</t>
        </is>
      </c>
      <c r="D2819" t="inlineStr">
        <is>
          <t>FLEET</t>
        </is>
      </c>
      <c r="E2819" t="inlineStr">
        <is>
          <t>FLEET-03</t>
        </is>
      </c>
      <c r="F2819" s="17" t="n">
        <v>45985</v>
      </c>
      <c r="G2819" s="17" t="n">
        <v>45998</v>
      </c>
      <c r="H2819" s="18" t="n">
        <v>33</v>
      </c>
      <c r="I2819" s="19" t="n">
        <v>21.48</v>
      </c>
      <c r="J2819" s="19" t="n">
        <v>21</v>
      </c>
      <c r="K2819" s="20" t="n">
        <v>0</v>
      </c>
      <c r="L2819" s="20" t="n">
        <v>0</v>
      </c>
      <c r="M2819" s="18" t="n">
        <v>33</v>
      </c>
      <c r="N2819" s="18" t="n">
        <v>33</v>
      </c>
      <c r="O2819" s="18" t="n">
        <v>0</v>
      </c>
      <c r="P2819" s="17" t="n">
        <v>45996</v>
      </c>
      <c r="Q2819" s="17" t="n">
        <v>45996</v>
      </c>
      <c r="R2819" s="17" t="n">
        <v>45996</v>
      </c>
      <c r="S2819" s="19">
        <f>H2819*I2819</f>
        <v/>
      </c>
      <c r="T2819" s="19">
        <f>H2819*J2819</f>
        <v/>
      </c>
      <c r="U2819">
        <f>IF(AND(K2819=0,G2819&lt;=Assumptions!$C$6),1,0)</f>
        <v/>
      </c>
      <c r="V2819">
        <f>IF(U2819=1,IF(M2819&gt;0,IF(P2819&lt;=G2819+Assumptions!$C$7,1,0),0),0)</f>
        <v/>
      </c>
      <c r="W2819">
        <f>IF(AND(U2819=1,M2819&gt;=H2819*(1-Assumptions!$C$8)),1,0)</f>
        <v/>
      </c>
      <c r="X2819">
        <f>IF(AND(U2819=1,N2819&gt;=H2819*(1-Assumptions!$C$8)),1,0)</f>
        <v/>
      </c>
      <c r="Y2819">
        <f>IF(ISNUMBER(Q2819),1,0)</f>
        <v/>
      </c>
      <c r="Z2819">
        <f>IF(AND(K2819=0,L2819=0,Y2819=0),1,0)</f>
        <v/>
      </c>
      <c r="AA2819">
        <f>IF(AND(Z2819=1,G2819&lt;Assumptions!$C$6),1,0)</f>
        <v/>
      </c>
      <c r="AB2819">
        <f>IF(U2819=0,"",IF(Y2819=1,MAX(0,Q2819-G2819),IF(L2819=1,MAX(0,R2819-G2819),MAX(0,Assumptions!$C$6-G2819))))</f>
        <v/>
      </c>
      <c r="AC2819">
        <f>IF(Y2819=1,Q2819-F2819,"")</f>
        <v/>
      </c>
      <c r="AD2819">
        <f>IF(Y2819=1,AC2819^2,"")</f>
        <v/>
      </c>
      <c r="AE2819" s="19">
        <f>IF(Z2819=1,(H2819-M2819)*I2819,0)</f>
        <v/>
      </c>
      <c r="AF2819">
        <f>IF(G2819&lt;EDATE(Assumptions!$C$6,-12)+1,"prior_12m","last_12m")</f>
        <v/>
      </c>
      <c r="AG2819" s="21">
        <f>DATE(YEAR(G2819),MONTH(G2819),1)</f>
        <v/>
      </c>
    </row>
    <row r="2820">
      <c r="A2820" t="inlineStr">
        <is>
          <t>SPO-01518-2</t>
        </is>
      </c>
      <c r="B2820" t="inlineStr">
        <is>
          <t>SPO-01518</t>
        </is>
      </c>
      <c r="C2820" t="inlineStr">
        <is>
          <t>SUP-04</t>
        </is>
      </c>
      <c r="D2820" t="inlineStr">
        <is>
          <t>FLEET</t>
        </is>
      </c>
      <c r="E2820" t="inlineStr">
        <is>
          <t>FLEET-07</t>
        </is>
      </c>
      <c r="F2820" s="17" t="n">
        <v>45985</v>
      </c>
      <c r="G2820" s="17" t="n">
        <v>45998</v>
      </c>
      <c r="H2820" s="18" t="n">
        <v>37</v>
      </c>
      <c r="I2820" s="19" t="n">
        <v>120.58</v>
      </c>
      <c r="J2820" s="19" t="n">
        <v>118</v>
      </c>
      <c r="K2820" s="20" t="n">
        <v>0</v>
      </c>
      <c r="L2820" s="20" t="n">
        <v>0</v>
      </c>
      <c r="M2820" s="18" t="n">
        <v>37</v>
      </c>
      <c r="N2820" s="18" t="n">
        <v>29</v>
      </c>
      <c r="O2820" s="18" t="n">
        <v>0</v>
      </c>
      <c r="P2820" s="17" t="n">
        <v>45998</v>
      </c>
      <c r="Q2820" s="17" t="n">
        <v>46016</v>
      </c>
      <c r="R2820" s="17" t="n">
        <v>46016</v>
      </c>
      <c r="S2820" s="19">
        <f>H2820*I2820</f>
        <v/>
      </c>
      <c r="T2820" s="19">
        <f>H2820*J2820</f>
        <v/>
      </c>
      <c r="U2820">
        <f>IF(AND(K2820=0,G2820&lt;=Assumptions!$C$6),1,0)</f>
        <v/>
      </c>
      <c r="V2820">
        <f>IF(U2820=1,IF(M2820&gt;0,IF(P2820&lt;=G2820+Assumptions!$C$7,1,0),0),0)</f>
        <v/>
      </c>
      <c r="W2820">
        <f>IF(AND(U2820=1,M2820&gt;=H2820*(1-Assumptions!$C$8)),1,0)</f>
        <v/>
      </c>
      <c r="X2820">
        <f>IF(AND(U2820=1,N2820&gt;=H2820*(1-Assumptions!$C$8)),1,0)</f>
        <v/>
      </c>
      <c r="Y2820">
        <f>IF(ISNUMBER(Q2820),1,0)</f>
        <v/>
      </c>
      <c r="Z2820">
        <f>IF(AND(K2820=0,L2820=0,Y2820=0),1,0)</f>
        <v/>
      </c>
      <c r="AA2820">
        <f>IF(AND(Z2820=1,G2820&lt;Assumptions!$C$6),1,0)</f>
        <v/>
      </c>
      <c r="AB2820">
        <f>IF(U2820=0,"",IF(Y2820=1,MAX(0,Q2820-G2820),IF(L2820=1,MAX(0,R2820-G2820),MAX(0,Assumptions!$C$6-G2820))))</f>
        <v/>
      </c>
      <c r="AC2820">
        <f>IF(Y2820=1,Q2820-F2820,"")</f>
        <v/>
      </c>
      <c r="AD2820">
        <f>IF(Y2820=1,AC2820^2,"")</f>
        <v/>
      </c>
      <c r="AE2820" s="19">
        <f>IF(Z2820=1,(H2820-M2820)*I2820,0)</f>
        <v/>
      </c>
      <c r="AF2820">
        <f>IF(G2820&lt;EDATE(Assumptions!$C$6,-12)+1,"prior_12m","last_12m")</f>
        <v/>
      </c>
      <c r="AG2820" s="21">
        <f>DATE(YEAR(G2820),MONTH(G2820),1)</f>
        <v/>
      </c>
    </row>
    <row r="2821">
      <c r="A2821" t="inlineStr">
        <is>
          <t>SPO-01519-1</t>
        </is>
      </c>
      <c r="B2821" t="inlineStr">
        <is>
          <t>SPO-01519</t>
        </is>
      </c>
      <c r="C2821" t="inlineStr">
        <is>
          <t>SUP-07</t>
        </is>
      </c>
      <c r="D2821" t="inlineStr">
        <is>
          <t>MRO</t>
        </is>
      </c>
      <c r="E2821" t="inlineStr">
        <is>
          <t>MRO-07</t>
        </is>
      </c>
      <c r="F2821" s="17" t="n">
        <v>45986</v>
      </c>
      <c r="G2821" s="17" t="n">
        <v>45996</v>
      </c>
      <c r="H2821" s="18" t="n">
        <v>74</v>
      </c>
      <c r="I2821" s="19" t="n">
        <v>13.74</v>
      </c>
      <c r="J2821" s="19" t="n">
        <v>14</v>
      </c>
      <c r="K2821" s="20" t="n">
        <v>0</v>
      </c>
      <c r="L2821" s="20" t="n">
        <v>0</v>
      </c>
      <c r="M2821" s="18" t="n">
        <v>74</v>
      </c>
      <c r="N2821" s="18" t="n">
        <v>74</v>
      </c>
      <c r="O2821" s="18" t="n">
        <v>0</v>
      </c>
      <c r="P2821" s="17" t="n">
        <v>45991</v>
      </c>
      <c r="Q2821" s="17" t="n">
        <v>45991</v>
      </c>
      <c r="R2821" s="17" t="n">
        <v>45991</v>
      </c>
      <c r="S2821" s="19">
        <f>H2821*I2821</f>
        <v/>
      </c>
      <c r="T2821" s="19">
        <f>H2821*J2821</f>
        <v/>
      </c>
      <c r="U2821">
        <f>IF(AND(K2821=0,G2821&lt;=Assumptions!$C$6),1,0)</f>
        <v/>
      </c>
      <c r="V2821">
        <f>IF(U2821=1,IF(M2821&gt;0,IF(P2821&lt;=G2821+Assumptions!$C$7,1,0),0),0)</f>
        <v/>
      </c>
      <c r="W2821">
        <f>IF(AND(U2821=1,M2821&gt;=H2821*(1-Assumptions!$C$8)),1,0)</f>
        <v/>
      </c>
      <c r="X2821">
        <f>IF(AND(U2821=1,N2821&gt;=H2821*(1-Assumptions!$C$8)),1,0)</f>
        <v/>
      </c>
      <c r="Y2821">
        <f>IF(ISNUMBER(Q2821),1,0)</f>
        <v/>
      </c>
      <c r="Z2821">
        <f>IF(AND(K2821=0,L2821=0,Y2821=0),1,0)</f>
        <v/>
      </c>
      <c r="AA2821">
        <f>IF(AND(Z2821=1,G2821&lt;Assumptions!$C$6),1,0)</f>
        <v/>
      </c>
      <c r="AB2821">
        <f>IF(U2821=0,"",IF(Y2821=1,MAX(0,Q2821-G2821),IF(L2821=1,MAX(0,R2821-G2821),MAX(0,Assumptions!$C$6-G2821))))</f>
        <v/>
      </c>
      <c r="AC2821">
        <f>IF(Y2821=1,Q2821-F2821,"")</f>
        <v/>
      </c>
      <c r="AD2821">
        <f>IF(Y2821=1,AC2821^2,"")</f>
        <v/>
      </c>
      <c r="AE2821" s="19">
        <f>IF(Z2821=1,(H2821-M2821)*I2821,0)</f>
        <v/>
      </c>
      <c r="AF2821">
        <f>IF(G2821&lt;EDATE(Assumptions!$C$6,-12)+1,"prior_12m","last_12m")</f>
        <v/>
      </c>
      <c r="AG2821" s="21">
        <f>DATE(YEAR(G2821),MONTH(G2821),1)</f>
        <v/>
      </c>
    </row>
    <row r="2822">
      <c r="A2822" t="inlineStr">
        <is>
          <t>SPO-01520-1</t>
        </is>
      </c>
      <c r="B2822" t="inlineStr">
        <is>
          <t>SPO-01520</t>
        </is>
      </c>
      <c r="C2822" t="inlineStr">
        <is>
          <t>SUP-01</t>
        </is>
      </c>
      <c r="D2822" t="inlineStr">
        <is>
          <t>ELEC</t>
        </is>
      </c>
      <c r="E2822" t="inlineStr">
        <is>
          <t>ELEC-07</t>
        </is>
      </c>
      <c r="F2822" s="17" t="n">
        <v>45986</v>
      </c>
      <c r="G2822" s="17" t="n">
        <v>46004</v>
      </c>
      <c r="H2822" s="18" t="n">
        <v>204</v>
      </c>
      <c r="I2822" s="19" t="n">
        <v>10.04</v>
      </c>
      <c r="J2822" s="19" t="n">
        <v>9.800000000000001</v>
      </c>
      <c r="K2822" s="20" t="n">
        <v>0</v>
      </c>
      <c r="L2822" s="20" t="n">
        <v>0</v>
      </c>
      <c r="M2822" s="18" t="n">
        <v>204</v>
      </c>
      <c r="N2822" s="18" t="n">
        <v>0</v>
      </c>
      <c r="O2822" s="18" t="n">
        <v>0</v>
      </c>
      <c r="P2822" s="17" t="n">
        <v>46013</v>
      </c>
      <c r="Q2822" s="17" t="n">
        <v>46013</v>
      </c>
      <c r="R2822" s="17" t="n">
        <v>46013</v>
      </c>
      <c r="S2822" s="19">
        <f>H2822*I2822</f>
        <v/>
      </c>
      <c r="T2822" s="19">
        <f>H2822*J2822</f>
        <v/>
      </c>
      <c r="U2822">
        <f>IF(AND(K2822=0,G2822&lt;=Assumptions!$C$6),1,0)</f>
        <v/>
      </c>
      <c r="V2822">
        <f>IF(U2822=1,IF(M2822&gt;0,IF(P2822&lt;=G2822+Assumptions!$C$7,1,0),0),0)</f>
        <v/>
      </c>
      <c r="W2822">
        <f>IF(AND(U2822=1,M2822&gt;=H2822*(1-Assumptions!$C$8)),1,0)</f>
        <v/>
      </c>
      <c r="X2822">
        <f>IF(AND(U2822=1,N2822&gt;=H2822*(1-Assumptions!$C$8)),1,0)</f>
        <v/>
      </c>
      <c r="Y2822">
        <f>IF(ISNUMBER(Q2822),1,0)</f>
        <v/>
      </c>
      <c r="Z2822">
        <f>IF(AND(K2822=0,L2822=0,Y2822=0),1,0)</f>
        <v/>
      </c>
      <c r="AA2822">
        <f>IF(AND(Z2822=1,G2822&lt;Assumptions!$C$6),1,0)</f>
        <v/>
      </c>
      <c r="AB2822">
        <f>IF(U2822=0,"",IF(Y2822=1,MAX(0,Q2822-G2822),IF(L2822=1,MAX(0,R2822-G2822),MAX(0,Assumptions!$C$6-G2822))))</f>
        <v/>
      </c>
      <c r="AC2822">
        <f>IF(Y2822=1,Q2822-F2822,"")</f>
        <v/>
      </c>
      <c r="AD2822">
        <f>IF(Y2822=1,AC2822^2,"")</f>
        <v/>
      </c>
      <c r="AE2822" s="19">
        <f>IF(Z2822=1,(H2822-M2822)*I2822,0)</f>
        <v/>
      </c>
      <c r="AF2822">
        <f>IF(G2822&lt;EDATE(Assumptions!$C$6,-12)+1,"prior_12m","last_12m")</f>
        <v/>
      </c>
      <c r="AG2822" s="21">
        <f>DATE(YEAR(G2822),MONTH(G2822),1)</f>
        <v/>
      </c>
    </row>
    <row r="2823">
      <c r="A2823" t="inlineStr">
        <is>
          <t>SPO-01521-1</t>
        </is>
      </c>
      <c r="B2823" t="inlineStr">
        <is>
          <t>SPO-01521</t>
        </is>
      </c>
      <c r="C2823" t="inlineStr">
        <is>
          <t>SUP-04</t>
        </is>
      </c>
      <c r="D2823" t="inlineStr">
        <is>
          <t>FLEET</t>
        </is>
      </c>
      <c r="E2823" t="inlineStr">
        <is>
          <t>FLEET-05</t>
        </is>
      </c>
      <c r="F2823" s="17" t="n">
        <v>45986</v>
      </c>
      <c r="G2823" s="17" t="n">
        <v>45999</v>
      </c>
      <c r="H2823" s="18" t="n">
        <v>19</v>
      </c>
      <c r="I2823" s="19" t="n">
        <v>172.8</v>
      </c>
      <c r="J2823" s="19" t="n">
        <v>168</v>
      </c>
      <c r="K2823" s="20" t="n">
        <v>0</v>
      </c>
      <c r="L2823" s="20" t="n">
        <v>0</v>
      </c>
      <c r="M2823" s="18" t="n">
        <v>19</v>
      </c>
      <c r="N2823" s="18" t="n">
        <v>19</v>
      </c>
      <c r="O2823" s="18" t="n">
        <v>0</v>
      </c>
      <c r="P2823" s="17" t="n">
        <v>45987</v>
      </c>
      <c r="Q2823" s="17" t="n">
        <v>45987</v>
      </c>
      <c r="R2823" s="17" t="n">
        <v>45987</v>
      </c>
      <c r="S2823" s="19">
        <f>H2823*I2823</f>
        <v/>
      </c>
      <c r="T2823" s="19">
        <f>H2823*J2823</f>
        <v/>
      </c>
      <c r="U2823">
        <f>IF(AND(K2823=0,G2823&lt;=Assumptions!$C$6),1,0)</f>
        <v/>
      </c>
      <c r="V2823">
        <f>IF(U2823=1,IF(M2823&gt;0,IF(P2823&lt;=G2823+Assumptions!$C$7,1,0),0),0)</f>
        <v/>
      </c>
      <c r="W2823">
        <f>IF(AND(U2823=1,M2823&gt;=H2823*(1-Assumptions!$C$8)),1,0)</f>
        <v/>
      </c>
      <c r="X2823">
        <f>IF(AND(U2823=1,N2823&gt;=H2823*(1-Assumptions!$C$8)),1,0)</f>
        <v/>
      </c>
      <c r="Y2823">
        <f>IF(ISNUMBER(Q2823),1,0)</f>
        <v/>
      </c>
      <c r="Z2823">
        <f>IF(AND(K2823=0,L2823=0,Y2823=0),1,0)</f>
        <v/>
      </c>
      <c r="AA2823">
        <f>IF(AND(Z2823=1,G2823&lt;Assumptions!$C$6),1,0)</f>
        <v/>
      </c>
      <c r="AB2823">
        <f>IF(U2823=0,"",IF(Y2823=1,MAX(0,Q2823-G2823),IF(L2823=1,MAX(0,R2823-G2823),MAX(0,Assumptions!$C$6-G2823))))</f>
        <v/>
      </c>
      <c r="AC2823">
        <f>IF(Y2823=1,Q2823-F2823,"")</f>
        <v/>
      </c>
      <c r="AD2823">
        <f>IF(Y2823=1,AC2823^2,"")</f>
        <v/>
      </c>
      <c r="AE2823" s="19">
        <f>IF(Z2823=1,(H2823-M2823)*I2823,0)</f>
        <v/>
      </c>
      <c r="AF2823">
        <f>IF(G2823&lt;EDATE(Assumptions!$C$6,-12)+1,"prior_12m","last_12m")</f>
        <v/>
      </c>
      <c r="AG2823" s="21">
        <f>DATE(YEAR(G2823),MONTH(G2823),1)</f>
        <v/>
      </c>
    </row>
    <row r="2824">
      <c r="A2824" t="inlineStr">
        <is>
          <t>SPO-01522-1</t>
        </is>
      </c>
      <c r="B2824" t="inlineStr">
        <is>
          <t>SPO-01522</t>
        </is>
      </c>
      <c r="C2824" t="inlineStr">
        <is>
          <t>SUP-05</t>
        </is>
      </c>
      <c r="D2824" t="inlineStr">
        <is>
          <t>FLEET</t>
        </is>
      </c>
      <c r="E2824" t="inlineStr">
        <is>
          <t>FLEET-03</t>
        </is>
      </c>
      <c r="F2824" s="17" t="n">
        <v>45986</v>
      </c>
      <c r="G2824" s="17" t="n">
        <v>46000</v>
      </c>
      <c r="H2824" s="18" t="n">
        <v>179</v>
      </c>
      <c r="I2824" s="19" t="n">
        <v>21.65</v>
      </c>
      <c r="J2824" s="19" t="n">
        <v>21</v>
      </c>
      <c r="K2824" s="20" t="n">
        <v>0</v>
      </c>
      <c r="L2824" s="20" t="n">
        <v>0</v>
      </c>
      <c r="M2824" s="18" t="n">
        <v>179</v>
      </c>
      <c r="N2824" s="18" t="n">
        <v>179</v>
      </c>
      <c r="O2824" s="18" t="n">
        <v>0</v>
      </c>
      <c r="P2824" s="17" t="n">
        <v>45997</v>
      </c>
      <c r="Q2824" s="17" t="n">
        <v>45997</v>
      </c>
      <c r="R2824" s="17" t="n">
        <v>45997</v>
      </c>
      <c r="S2824" s="19">
        <f>H2824*I2824</f>
        <v/>
      </c>
      <c r="T2824" s="19">
        <f>H2824*J2824</f>
        <v/>
      </c>
      <c r="U2824">
        <f>IF(AND(K2824=0,G2824&lt;=Assumptions!$C$6),1,0)</f>
        <v/>
      </c>
      <c r="V2824">
        <f>IF(U2824=1,IF(M2824&gt;0,IF(P2824&lt;=G2824+Assumptions!$C$7,1,0),0),0)</f>
        <v/>
      </c>
      <c r="W2824">
        <f>IF(AND(U2824=1,M2824&gt;=H2824*(1-Assumptions!$C$8)),1,0)</f>
        <v/>
      </c>
      <c r="X2824">
        <f>IF(AND(U2824=1,N2824&gt;=H2824*(1-Assumptions!$C$8)),1,0)</f>
        <v/>
      </c>
      <c r="Y2824">
        <f>IF(ISNUMBER(Q2824),1,0)</f>
        <v/>
      </c>
      <c r="Z2824">
        <f>IF(AND(K2824=0,L2824=0,Y2824=0),1,0)</f>
        <v/>
      </c>
      <c r="AA2824">
        <f>IF(AND(Z2824=1,G2824&lt;Assumptions!$C$6),1,0)</f>
        <v/>
      </c>
      <c r="AB2824">
        <f>IF(U2824=0,"",IF(Y2824=1,MAX(0,Q2824-G2824),IF(L2824=1,MAX(0,R2824-G2824),MAX(0,Assumptions!$C$6-G2824))))</f>
        <v/>
      </c>
      <c r="AC2824">
        <f>IF(Y2824=1,Q2824-F2824,"")</f>
        <v/>
      </c>
      <c r="AD2824">
        <f>IF(Y2824=1,AC2824^2,"")</f>
        <v/>
      </c>
      <c r="AE2824" s="19">
        <f>IF(Z2824=1,(H2824-M2824)*I2824,0)</f>
        <v/>
      </c>
      <c r="AF2824">
        <f>IF(G2824&lt;EDATE(Assumptions!$C$6,-12)+1,"prior_12m","last_12m")</f>
        <v/>
      </c>
      <c r="AG2824" s="21">
        <f>DATE(YEAR(G2824),MONTH(G2824),1)</f>
        <v/>
      </c>
    </row>
    <row r="2825">
      <c r="A2825" t="inlineStr">
        <is>
          <t>SPO-01523-1</t>
        </is>
      </c>
      <c r="B2825" t="inlineStr">
        <is>
          <t>SPO-01523</t>
        </is>
      </c>
      <c r="C2825" t="inlineStr">
        <is>
          <t>SUP-01</t>
        </is>
      </c>
      <c r="D2825" t="inlineStr">
        <is>
          <t>ELEC</t>
        </is>
      </c>
      <c r="E2825" t="inlineStr">
        <is>
          <t>ELEC-08</t>
        </is>
      </c>
      <c r="F2825" s="17" t="n">
        <v>45987</v>
      </c>
      <c r="G2825" s="17" t="n">
        <v>46005</v>
      </c>
      <c r="H2825" s="18" t="n">
        <v>356</v>
      </c>
      <c r="I2825" s="19" t="n">
        <v>18.67</v>
      </c>
      <c r="J2825" s="19" t="n">
        <v>18</v>
      </c>
      <c r="K2825" s="20" t="n">
        <v>0</v>
      </c>
      <c r="L2825" s="20" t="n">
        <v>0</v>
      </c>
      <c r="M2825" s="18" t="n">
        <v>356</v>
      </c>
      <c r="N2825" s="18" t="n">
        <v>356</v>
      </c>
      <c r="O2825" s="18" t="n">
        <v>0</v>
      </c>
      <c r="P2825" s="17" t="n">
        <v>46004</v>
      </c>
      <c r="Q2825" s="17" t="n">
        <v>46004</v>
      </c>
      <c r="R2825" s="17" t="n">
        <v>46004</v>
      </c>
      <c r="S2825" s="19">
        <f>H2825*I2825</f>
        <v/>
      </c>
      <c r="T2825" s="19">
        <f>H2825*J2825</f>
        <v/>
      </c>
      <c r="U2825">
        <f>IF(AND(K2825=0,G2825&lt;=Assumptions!$C$6),1,0)</f>
        <v/>
      </c>
      <c r="V2825">
        <f>IF(U2825=1,IF(M2825&gt;0,IF(P2825&lt;=G2825+Assumptions!$C$7,1,0),0),0)</f>
        <v/>
      </c>
      <c r="W2825">
        <f>IF(AND(U2825=1,M2825&gt;=H2825*(1-Assumptions!$C$8)),1,0)</f>
        <v/>
      </c>
      <c r="X2825">
        <f>IF(AND(U2825=1,N2825&gt;=H2825*(1-Assumptions!$C$8)),1,0)</f>
        <v/>
      </c>
      <c r="Y2825">
        <f>IF(ISNUMBER(Q2825),1,0)</f>
        <v/>
      </c>
      <c r="Z2825">
        <f>IF(AND(K2825=0,L2825=0,Y2825=0),1,0)</f>
        <v/>
      </c>
      <c r="AA2825">
        <f>IF(AND(Z2825=1,G2825&lt;Assumptions!$C$6),1,0)</f>
        <v/>
      </c>
      <c r="AB2825">
        <f>IF(U2825=0,"",IF(Y2825=1,MAX(0,Q2825-G2825),IF(L2825=1,MAX(0,R2825-G2825),MAX(0,Assumptions!$C$6-G2825))))</f>
        <v/>
      </c>
      <c r="AC2825">
        <f>IF(Y2825=1,Q2825-F2825,"")</f>
        <v/>
      </c>
      <c r="AD2825">
        <f>IF(Y2825=1,AC2825^2,"")</f>
        <v/>
      </c>
      <c r="AE2825" s="19">
        <f>IF(Z2825=1,(H2825-M2825)*I2825,0)</f>
        <v/>
      </c>
      <c r="AF2825">
        <f>IF(G2825&lt;EDATE(Assumptions!$C$6,-12)+1,"prior_12m","last_12m")</f>
        <v/>
      </c>
      <c r="AG2825" s="21">
        <f>DATE(YEAR(G2825),MONTH(G2825),1)</f>
        <v/>
      </c>
    </row>
    <row r="2826">
      <c r="A2826" t="inlineStr">
        <is>
          <t>SPO-01523-2</t>
        </is>
      </c>
      <c r="B2826" t="inlineStr">
        <is>
          <t>SPO-01523</t>
        </is>
      </c>
      <c r="C2826" t="inlineStr">
        <is>
          <t>SUP-01</t>
        </is>
      </c>
      <c r="D2826" t="inlineStr">
        <is>
          <t>ELEC</t>
        </is>
      </c>
      <c r="E2826" t="inlineStr">
        <is>
          <t>ELEC-04</t>
        </is>
      </c>
      <c r="F2826" s="17" t="n">
        <v>45987</v>
      </c>
      <c r="G2826" s="17" t="n">
        <v>46005</v>
      </c>
      <c r="H2826" s="18" t="n">
        <v>60</v>
      </c>
      <c r="I2826" s="19" t="n">
        <v>74.91</v>
      </c>
      <c r="J2826" s="19" t="n">
        <v>72</v>
      </c>
      <c r="K2826" s="20" t="n">
        <v>0</v>
      </c>
      <c r="L2826" s="20" t="n">
        <v>0</v>
      </c>
      <c r="M2826" s="18" t="n">
        <v>60</v>
      </c>
      <c r="N2826" s="18" t="n">
        <v>0</v>
      </c>
      <c r="O2826" s="18" t="n">
        <v>0</v>
      </c>
      <c r="P2826" s="17" t="n">
        <v>46010</v>
      </c>
      <c r="Q2826" s="17" t="n">
        <v>46010</v>
      </c>
      <c r="R2826" s="17" t="n">
        <v>46010</v>
      </c>
      <c r="S2826" s="19">
        <f>H2826*I2826</f>
        <v/>
      </c>
      <c r="T2826" s="19">
        <f>H2826*J2826</f>
        <v/>
      </c>
      <c r="U2826">
        <f>IF(AND(K2826=0,G2826&lt;=Assumptions!$C$6),1,0)</f>
        <v/>
      </c>
      <c r="V2826">
        <f>IF(U2826=1,IF(M2826&gt;0,IF(P2826&lt;=G2826+Assumptions!$C$7,1,0),0),0)</f>
        <v/>
      </c>
      <c r="W2826">
        <f>IF(AND(U2826=1,M2826&gt;=H2826*(1-Assumptions!$C$8)),1,0)</f>
        <v/>
      </c>
      <c r="X2826">
        <f>IF(AND(U2826=1,N2826&gt;=H2826*(1-Assumptions!$C$8)),1,0)</f>
        <v/>
      </c>
      <c r="Y2826">
        <f>IF(ISNUMBER(Q2826),1,0)</f>
        <v/>
      </c>
      <c r="Z2826">
        <f>IF(AND(K2826=0,L2826=0,Y2826=0),1,0)</f>
        <v/>
      </c>
      <c r="AA2826">
        <f>IF(AND(Z2826=1,G2826&lt;Assumptions!$C$6),1,0)</f>
        <v/>
      </c>
      <c r="AB2826">
        <f>IF(U2826=0,"",IF(Y2826=1,MAX(0,Q2826-G2826),IF(L2826=1,MAX(0,R2826-G2826),MAX(0,Assumptions!$C$6-G2826))))</f>
        <v/>
      </c>
      <c r="AC2826">
        <f>IF(Y2826=1,Q2826-F2826,"")</f>
        <v/>
      </c>
      <c r="AD2826">
        <f>IF(Y2826=1,AC2826^2,"")</f>
        <v/>
      </c>
      <c r="AE2826" s="19">
        <f>IF(Z2826=1,(H2826-M2826)*I2826,0)</f>
        <v/>
      </c>
      <c r="AF2826">
        <f>IF(G2826&lt;EDATE(Assumptions!$C$6,-12)+1,"prior_12m","last_12m")</f>
        <v/>
      </c>
      <c r="AG2826" s="21">
        <f>DATE(YEAR(G2826),MONTH(G2826),1)</f>
        <v/>
      </c>
    </row>
    <row r="2827">
      <c r="A2827" t="inlineStr">
        <is>
          <t>SPO-01523-3</t>
        </is>
      </c>
      <c r="B2827" t="inlineStr">
        <is>
          <t>SPO-01523</t>
        </is>
      </c>
      <c r="C2827" t="inlineStr">
        <is>
          <t>SUP-01</t>
        </is>
      </c>
      <c r="D2827" t="inlineStr">
        <is>
          <t>ELEC</t>
        </is>
      </c>
      <c r="E2827" t="inlineStr">
        <is>
          <t>ELEC-02</t>
        </is>
      </c>
      <c r="F2827" s="17" t="n">
        <v>45987</v>
      </c>
      <c r="G2827" s="17" t="n">
        <v>46005</v>
      </c>
      <c r="H2827" s="18" t="n">
        <v>577</v>
      </c>
      <c r="I2827" s="19" t="n">
        <v>4.17</v>
      </c>
      <c r="J2827" s="19" t="n">
        <v>4.2</v>
      </c>
      <c r="K2827" s="20" t="n">
        <v>0</v>
      </c>
      <c r="L2827" s="20" t="n">
        <v>0</v>
      </c>
      <c r="M2827" s="18" t="n">
        <v>577</v>
      </c>
      <c r="N2827" s="18" t="n">
        <v>577</v>
      </c>
      <c r="O2827" s="18" t="n">
        <v>0</v>
      </c>
      <c r="P2827" s="17" t="n">
        <v>46000</v>
      </c>
      <c r="Q2827" s="17" t="n">
        <v>46000</v>
      </c>
      <c r="R2827" s="17" t="n">
        <v>46000</v>
      </c>
      <c r="S2827" s="19">
        <f>H2827*I2827</f>
        <v/>
      </c>
      <c r="T2827" s="19">
        <f>H2827*J2827</f>
        <v/>
      </c>
      <c r="U2827">
        <f>IF(AND(K2827=0,G2827&lt;=Assumptions!$C$6),1,0)</f>
        <v/>
      </c>
      <c r="V2827">
        <f>IF(U2827=1,IF(M2827&gt;0,IF(P2827&lt;=G2827+Assumptions!$C$7,1,0),0),0)</f>
        <v/>
      </c>
      <c r="W2827">
        <f>IF(AND(U2827=1,M2827&gt;=H2827*(1-Assumptions!$C$8)),1,0)</f>
        <v/>
      </c>
      <c r="X2827">
        <f>IF(AND(U2827=1,N2827&gt;=H2827*(1-Assumptions!$C$8)),1,0)</f>
        <v/>
      </c>
      <c r="Y2827">
        <f>IF(ISNUMBER(Q2827),1,0)</f>
        <v/>
      </c>
      <c r="Z2827">
        <f>IF(AND(K2827=0,L2827=0,Y2827=0),1,0)</f>
        <v/>
      </c>
      <c r="AA2827">
        <f>IF(AND(Z2827=1,G2827&lt;Assumptions!$C$6),1,0)</f>
        <v/>
      </c>
      <c r="AB2827">
        <f>IF(U2827=0,"",IF(Y2827=1,MAX(0,Q2827-G2827),IF(L2827=1,MAX(0,R2827-G2827),MAX(0,Assumptions!$C$6-G2827))))</f>
        <v/>
      </c>
      <c r="AC2827">
        <f>IF(Y2827=1,Q2827-F2827,"")</f>
        <v/>
      </c>
      <c r="AD2827">
        <f>IF(Y2827=1,AC2827^2,"")</f>
        <v/>
      </c>
      <c r="AE2827" s="19">
        <f>IF(Z2827=1,(H2827-M2827)*I2827,0)</f>
        <v/>
      </c>
      <c r="AF2827">
        <f>IF(G2827&lt;EDATE(Assumptions!$C$6,-12)+1,"prior_12m","last_12m")</f>
        <v/>
      </c>
      <c r="AG2827" s="21">
        <f>DATE(YEAR(G2827),MONTH(G2827),1)</f>
        <v/>
      </c>
    </row>
    <row r="2828">
      <c r="A2828" t="inlineStr">
        <is>
          <t>SPO-01524-1</t>
        </is>
      </c>
      <c r="B2828" t="inlineStr">
        <is>
          <t>SPO-01524</t>
        </is>
      </c>
      <c r="C2828" t="inlineStr">
        <is>
          <t>SUP-05</t>
        </is>
      </c>
      <c r="D2828" t="inlineStr">
        <is>
          <t>FLEET</t>
        </is>
      </c>
      <c r="E2828" t="inlineStr">
        <is>
          <t>FLEET-01</t>
        </is>
      </c>
      <c r="F2828" s="17" t="n">
        <v>45987</v>
      </c>
      <c r="G2828" s="17" t="n">
        <v>46001</v>
      </c>
      <c r="H2828" s="18" t="n">
        <v>27</v>
      </c>
      <c r="I2828" s="19" t="n">
        <v>64.98</v>
      </c>
      <c r="J2828" s="19" t="n">
        <v>64</v>
      </c>
      <c r="K2828" s="20" t="n">
        <v>0</v>
      </c>
      <c r="L2828" s="20" t="n">
        <v>0</v>
      </c>
      <c r="M2828" s="18" t="n">
        <v>27</v>
      </c>
      <c r="N2828" s="18" t="n">
        <v>16</v>
      </c>
      <c r="O2828" s="18" t="n">
        <v>0</v>
      </c>
      <c r="P2828" s="17" t="n">
        <v>45999</v>
      </c>
      <c r="Q2828" s="17" t="n">
        <v>46018</v>
      </c>
      <c r="R2828" s="17" t="n">
        <v>46018</v>
      </c>
      <c r="S2828" s="19">
        <f>H2828*I2828</f>
        <v/>
      </c>
      <c r="T2828" s="19">
        <f>H2828*J2828</f>
        <v/>
      </c>
      <c r="U2828">
        <f>IF(AND(K2828=0,G2828&lt;=Assumptions!$C$6),1,0)</f>
        <v/>
      </c>
      <c r="V2828">
        <f>IF(U2828=1,IF(M2828&gt;0,IF(P2828&lt;=G2828+Assumptions!$C$7,1,0),0),0)</f>
        <v/>
      </c>
      <c r="W2828">
        <f>IF(AND(U2828=1,M2828&gt;=H2828*(1-Assumptions!$C$8)),1,0)</f>
        <v/>
      </c>
      <c r="X2828">
        <f>IF(AND(U2828=1,N2828&gt;=H2828*(1-Assumptions!$C$8)),1,0)</f>
        <v/>
      </c>
      <c r="Y2828">
        <f>IF(ISNUMBER(Q2828),1,0)</f>
        <v/>
      </c>
      <c r="Z2828">
        <f>IF(AND(K2828=0,L2828=0,Y2828=0),1,0)</f>
        <v/>
      </c>
      <c r="AA2828">
        <f>IF(AND(Z2828=1,G2828&lt;Assumptions!$C$6),1,0)</f>
        <v/>
      </c>
      <c r="AB2828">
        <f>IF(U2828=0,"",IF(Y2828=1,MAX(0,Q2828-G2828),IF(L2828=1,MAX(0,R2828-G2828),MAX(0,Assumptions!$C$6-G2828))))</f>
        <v/>
      </c>
      <c r="AC2828">
        <f>IF(Y2828=1,Q2828-F2828,"")</f>
        <v/>
      </c>
      <c r="AD2828">
        <f>IF(Y2828=1,AC2828^2,"")</f>
        <v/>
      </c>
      <c r="AE2828" s="19">
        <f>IF(Z2828=1,(H2828-M2828)*I2828,0)</f>
        <v/>
      </c>
      <c r="AF2828">
        <f>IF(G2828&lt;EDATE(Assumptions!$C$6,-12)+1,"prior_12m","last_12m")</f>
        <v/>
      </c>
      <c r="AG2828" s="21">
        <f>DATE(YEAR(G2828),MONTH(G2828),1)</f>
        <v/>
      </c>
    </row>
    <row r="2829">
      <c r="A2829" t="inlineStr">
        <is>
          <t>SPO-01524-2</t>
        </is>
      </c>
      <c r="B2829" t="inlineStr">
        <is>
          <t>SPO-01524</t>
        </is>
      </c>
      <c r="C2829" t="inlineStr">
        <is>
          <t>SUP-05</t>
        </is>
      </c>
      <c r="D2829" t="inlineStr">
        <is>
          <t>FLEET</t>
        </is>
      </c>
      <c r="E2829" t="inlineStr">
        <is>
          <t>FLEET-07</t>
        </is>
      </c>
      <c r="F2829" s="17" t="n">
        <v>45987</v>
      </c>
      <c r="G2829" s="17" t="n">
        <v>46001</v>
      </c>
      <c r="H2829" s="18" t="n">
        <v>23</v>
      </c>
      <c r="I2829" s="19" t="n">
        <v>118.97</v>
      </c>
      <c r="J2829" s="19" t="n">
        <v>118</v>
      </c>
      <c r="K2829" s="20" t="n">
        <v>0</v>
      </c>
      <c r="L2829" s="20" t="n">
        <v>0</v>
      </c>
      <c r="M2829" s="18" t="n">
        <v>23</v>
      </c>
      <c r="N2829" s="18" t="n">
        <v>23</v>
      </c>
      <c r="O2829" s="18" t="n">
        <v>0</v>
      </c>
      <c r="P2829" s="17" t="n">
        <v>45994</v>
      </c>
      <c r="Q2829" s="17" t="n">
        <v>45994</v>
      </c>
      <c r="R2829" s="17" t="n">
        <v>45994</v>
      </c>
      <c r="S2829" s="19">
        <f>H2829*I2829</f>
        <v/>
      </c>
      <c r="T2829" s="19">
        <f>H2829*J2829</f>
        <v/>
      </c>
      <c r="U2829">
        <f>IF(AND(K2829=0,G2829&lt;=Assumptions!$C$6),1,0)</f>
        <v/>
      </c>
      <c r="V2829">
        <f>IF(U2829=1,IF(M2829&gt;0,IF(P2829&lt;=G2829+Assumptions!$C$7,1,0),0),0)</f>
        <v/>
      </c>
      <c r="W2829">
        <f>IF(AND(U2829=1,M2829&gt;=H2829*(1-Assumptions!$C$8)),1,0)</f>
        <v/>
      </c>
      <c r="X2829">
        <f>IF(AND(U2829=1,N2829&gt;=H2829*(1-Assumptions!$C$8)),1,0)</f>
        <v/>
      </c>
      <c r="Y2829">
        <f>IF(ISNUMBER(Q2829),1,0)</f>
        <v/>
      </c>
      <c r="Z2829">
        <f>IF(AND(K2829=0,L2829=0,Y2829=0),1,0)</f>
        <v/>
      </c>
      <c r="AA2829">
        <f>IF(AND(Z2829=1,G2829&lt;Assumptions!$C$6),1,0)</f>
        <v/>
      </c>
      <c r="AB2829">
        <f>IF(U2829=0,"",IF(Y2829=1,MAX(0,Q2829-G2829),IF(L2829=1,MAX(0,R2829-G2829),MAX(0,Assumptions!$C$6-G2829))))</f>
        <v/>
      </c>
      <c r="AC2829">
        <f>IF(Y2829=1,Q2829-F2829,"")</f>
        <v/>
      </c>
      <c r="AD2829">
        <f>IF(Y2829=1,AC2829^2,"")</f>
        <v/>
      </c>
      <c r="AE2829" s="19">
        <f>IF(Z2829=1,(H2829-M2829)*I2829,0)</f>
        <v/>
      </c>
      <c r="AF2829">
        <f>IF(G2829&lt;EDATE(Assumptions!$C$6,-12)+1,"prior_12m","last_12m")</f>
        <v/>
      </c>
      <c r="AG2829" s="21">
        <f>DATE(YEAR(G2829),MONTH(G2829),1)</f>
        <v/>
      </c>
    </row>
    <row r="2830">
      <c r="A2830" t="inlineStr">
        <is>
          <t>SPO-01524-3</t>
        </is>
      </c>
      <c r="B2830" t="inlineStr">
        <is>
          <t>SPO-01524</t>
        </is>
      </c>
      <c r="C2830" t="inlineStr">
        <is>
          <t>SUP-05</t>
        </is>
      </c>
      <c r="D2830" t="inlineStr">
        <is>
          <t>FLEET</t>
        </is>
      </c>
      <c r="E2830" t="inlineStr">
        <is>
          <t>FLEET-04</t>
        </is>
      </c>
      <c r="F2830" s="17" t="n">
        <v>45987</v>
      </c>
      <c r="G2830" s="17" t="n">
        <v>46001</v>
      </c>
      <c r="H2830" s="18" t="n">
        <v>114</v>
      </c>
      <c r="I2830" s="19" t="n">
        <v>9.18</v>
      </c>
      <c r="J2830" s="19" t="n">
        <v>9</v>
      </c>
      <c r="K2830" s="20" t="n">
        <v>0</v>
      </c>
      <c r="L2830" s="20" t="n">
        <v>0</v>
      </c>
      <c r="M2830" s="18" t="n">
        <v>114</v>
      </c>
      <c r="N2830" s="18" t="n">
        <v>114</v>
      </c>
      <c r="O2830" s="18" t="n">
        <v>0</v>
      </c>
      <c r="P2830" s="17" t="n">
        <v>46000</v>
      </c>
      <c r="Q2830" s="17" t="n">
        <v>46000</v>
      </c>
      <c r="R2830" s="17" t="n">
        <v>46000</v>
      </c>
      <c r="S2830" s="19">
        <f>H2830*I2830</f>
        <v/>
      </c>
      <c r="T2830" s="19">
        <f>H2830*J2830</f>
        <v/>
      </c>
      <c r="U2830">
        <f>IF(AND(K2830=0,G2830&lt;=Assumptions!$C$6),1,0)</f>
        <v/>
      </c>
      <c r="V2830">
        <f>IF(U2830=1,IF(M2830&gt;0,IF(P2830&lt;=G2830+Assumptions!$C$7,1,0),0),0)</f>
        <v/>
      </c>
      <c r="W2830">
        <f>IF(AND(U2830=1,M2830&gt;=H2830*(1-Assumptions!$C$8)),1,0)</f>
        <v/>
      </c>
      <c r="X2830">
        <f>IF(AND(U2830=1,N2830&gt;=H2830*(1-Assumptions!$C$8)),1,0)</f>
        <v/>
      </c>
      <c r="Y2830">
        <f>IF(ISNUMBER(Q2830),1,0)</f>
        <v/>
      </c>
      <c r="Z2830">
        <f>IF(AND(K2830=0,L2830=0,Y2830=0),1,0)</f>
        <v/>
      </c>
      <c r="AA2830">
        <f>IF(AND(Z2830=1,G2830&lt;Assumptions!$C$6),1,0)</f>
        <v/>
      </c>
      <c r="AB2830">
        <f>IF(U2830=0,"",IF(Y2830=1,MAX(0,Q2830-G2830),IF(L2830=1,MAX(0,R2830-G2830),MAX(0,Assumptions!$C$6-G2830))))</f>
        <v/>
      </c>
      <c r="AC2830">
        <f>IF(Y2830=1,Q2830-F2830,"")</f>
        <v/>
      </c>
      <c r="AD2830">
        <f>IF(Y2830=1,AC2830^2,"")</f>
        <v/>
      </c>
      <c r="AE2830" s="19">
        <f>IF(Z2830=1,(H2830-M2830)*I2830,0)</f>
        <v/>
      </c>
      <c r="AF2830">
        <f>IF(G2830&lt;EDATE(Assumptions!$C$6,-12)+1,"prior_12m","last_12m")</f>
        <v/>
      </c>
      <c r="AG2830" s="21">
        <f>DATE(YEAR(G2830),MONTH(G2830),1)</f>
        <v/>
      </c>
    </row>
    <row r="2831">
      <c r="A2831" t="inlineStr">
        <is>
          <t>SPO-01525-1</t>
        </is>
      </c>
      <c r="B2831" t="inlineStr">
        <is>
          <t>SPO-01525</t>
        </is>
      </c>
      <c r="C2831" t="inlineStr">
        <is>
          <t>SUP-02</t>
        </is>
      </c>
      <c r="D2831" t="inlineStr">
        <is>
          <t>ELEC</t>
        </is>
      </c>
      <c r="E2831" t="inlineStr">
        <is>
          <t>ELEC-05</t>
        </is>
      </c>
      <c r="F2831" s="17" t="n">
        <v>45987</v>
      </c>
      <c r="G2831" s="17" t="n">
        <v>46003</v>
      </c>
      <c r="H2831" s="18" t="n">
        <v>145</v>
      </c>
      <c r="I2831" s="19" t="n">
        <v>11</v>
      </c>
      <c r="J2831" s="19" t="n">
        <v>11.5</v>
      </c>
      <c r="K2831" s="20" t="n">
        <v>0</v>
      </c>
      <c r="L2831" s="20" t="n">
        <v>0</v>
      </c>
      <c r="M2831" s="18" t="n">
        <v>145</v>
      </c>
      <c r="N2831" s="18" t="n">
        <v>145</v>
      </c>
      <c r="O2831" s="18" t="n">
        <v>0</v>
      </c>
      <c r="P2831" s="17" t="n">
        <v>45999</v>
      </c>
      <c r="Q2831" s="17" t="n">
        <v>45999</v>
      </c>
      <c r="R2831" s="17" t="n">
        <v>45999</v>
      </c>
      <c r="S2831" s="19">
        <f>H2831*I2831</f>
        <v/>
      </c>
      <c r="T2831" s="19">
        <f>H2831*J2831</f>
        <v/>
      </c>
      <c r="U2831">
        <f>IF(AND(K2831=0,G2831&lt;=Assumptions!$C$6),1,0)</f>
        <v/>
      </c>
      <c r="V2831">
        <f>IF(U2831=1,IF(M2831&gt;0,IF(P2831&lt;=G2831+Assumptions!$C$7,1,0),0),0)</f>
        <v/>
      </c>
      <c r="W2831">
        <f>IF(AND(U2831=1,M2831&gt;=H2831*(1-Assumptions!$C$8)),1,0)</f>
        <v/>
      </c>
      <c r="X2831">
        <f>IF(AND(U2831=1,N2831&gt;=H2831*(1-Assumptions!$C$8)),1,0)</f>
        <v/>
      </c>
      <c r="Y2831">
        <f>IF(ISNUMBER(Q2831),1,0)</f>
        <v/>
      </c>
      <c r="Z2831">
        <f>IF(AND(K2831=0,L2831=0,Y2831=0),1,0)</f>
        <v/>
      </c>
      <c r="AA2831">
        <f>IF(AND(Z2831=1,G2831&lt;Assumptions!$C$6),1,0)</f>
        <v/>
      </c>
      <c r="AB2831">
        <f>IF(U2831=0,"",IF(Y2831=1,MAX(0,Q2831-G2831),IF(L2831=1,MAX(0,R2831-G2831),MAX(0,Assumptions!$C$6-G2831))))</f>
        <v/>
      </c>
      <c r="AC2831">
        <f>IF(Y2831=1,Q2831-F2831,"")</f>
        <v/>
      </c>
      <c r="AD2831">
        <f>IF(Y2831=1,AC2831^2,"")</f>
        <v/>
      </c>
      <c r="AE2831" s="19">
        <f>IF(Z2831=1,(H2831-M2831)*I2831,0)</f>
        <v/>
      </c>
      <c r="AF2831">
        <f>IF(G2831&lt;EDATE(Assumptions!$C$6,-12)+1,"prior_12m","last_12m")</f>
        <v/>
      </c>
      <c r="AG2831" s="21">
        <f>DATE(YEAR(G2831),MONTH(G2831),1)</f>
        <v/>
      </c>
    </row>
    <row r="2832">
      <c r="A2832" t="inlineStr">
        <is>
          <t>SPO-01526-1</t>
        </is>
      </c>
      <c r="B2832" t="inlineStr">
        <is>
          <t>SPO-01526</t>
        </is>
      </c>
      <c r="C2832" t="inlineStr">
        <is>
          <t>SUP-08</t>
        </is>
      </c>
      <c r="D2832" t="inlineStr">
        <is>
          <t>MRO</t>
        </is>
      </c>
      <c r="E2832" t="inlineStr">
        <is>
          <t>MRO-05</t>
        </is>
      </c>
      <c r="F2832" s="17" t="n">
        <v>45987</v>
      </c>
      <c r="G2832" s="17" t="n">
        <v>45998</v>
      </c>
      <c r="H2832" s="18" t="n">
        <v>52</v>
      </c>
      <c r="I2832" s="19" t="n">
        <v>34.92</v>
      </c>
      <c r="J2832" s="19" t="n">
        <v>36</v>
      </c>
      <c r="K2832" s="20" t="n">
        <v>0</v>
      </c>
      <c r="L2832" s="20" t="n">
        <v>0</v>
      </c>
      <c r="M2832" s="18" t="n">
        <v>52</v>
      </c>
      <c r="N2832" s="18" t="n">
        <v>52</v>
      </c>
      <c r="O2832" s="18" t="n">
        <v>0</v>
      </c>
      <c r="P2832" s="17" t="n">
        <v>45995</v>
      </c>
      <c r="Q2832" s="17" t="n">
        <v>45995</v>
      </c>
      <c r="R2832" s="17" t="n">
        <v>45995</v>
      </c>
      <c r="S2832" s="19">
        <f>H2832*I2832</f>
        <v/>
      </c>
      <c r="T2832" s="19">
        <f>H2832*J2832</f>
        <v/>
      </c>
      <c r="U2832">
        <f>IF(AND(K2832=0,G2832&lt;=Assumptions!$C$6),1,0)</f>
        <v/>
      </c>
      <c r="V2832">
        <f>IF(U2832=1,IF(M2832&gt;0,IF(P2832&lt;=G2832+Assumptions!$C$7,1,0),0),0)</f>
        <v/>
      </c>
      <c r="W2832">
        <f>IF(AND(U2832=1,M2832&gt;=H2832*(1-Assumptions!$C$8)),1,0)</f>
        <v/>
      </c>
      <c r="X2832">
        <f>IF(AND(U2832=1,N2832&gt;=H2832*(1-Assumptions!$C$8)),1,0)</f>
        <v/>
      </c>
      <c r="Y2832">
        <f>IF(ISNUMBER(Q2832),1,0)</f>
        <v/>
      </c>
      <c r="Z2832">
        <f>IF(AND(K2832=0,L2832=0,Y2832=0),1,0)</f>
        <v/>
      </c>
      <c r="AA2832">
        <f>IF(AND(Z2832=1,G2832&lt;Assumptions!$C$6),1,0)</f>
        <v/>
      </c>
      <c r="AB2832">
        <f>IF(U2832=0,"",IF(Y2832=1,MAX(0,Q2832-G2832),IF(L2832=1,MAX(0,R2832-G2832),MAX(0,Assumptions!$C$6-G2832))))</f>
        <v/>
      </c>
      <c r="AC2832">
        <f>IF(Y2832=1,Q2832-F2832,"")</f>
        <v/>
      </c>
      <c r="AD2832">
        <f>IF(Y2832=1,AC2832^2,"")</f>
        <v/>
      </c>
      <c r="AE2832" s="19">
        <f>IF(Z2832=1,(H2832-M2832)*I2832,0)</f>
        <v/>
      </c>
      <c r="AF2832">
        <f>IF(G2832&lt;EDATE(Assumptions!$C$6,-12)+1,"prior_12m","last_12m")</f>
        <v/>
      </c>
      <c r="AG2832" s="21">
        <f>DATE(YEAR(G2832),MONTH(G2832),1)</f>
        <v/>
      </c>
    </row>
    <row r="2833">
      <c r="A2833" t="inlineStr">
        <is>
          <t>SPO-01526-2</t>
        </is>
      </c>
      <c r="B2833" t="inlineStr">
        <is>
          <t>SPO-01526</t>
        </is>
      </c>
      <c r="C2833" t="inlineStr">
        <is>
          <t>SUP-08</t>
        </is>
      </c>
      <c r="D2833" t="inlineStr">
        <is>
          <t>MRO</t>
        </is>
      </c>
      <c r="E2833" t="inlineStr">
        <is>
          <t>MRO-06</t>
        </is>
      </c>
      <c r="F2833" s="17" t="n">
        <v>45987</v>
      </c>
      <c r="G2833" s="17" t="n">
        <v>45998</v>
      </c>
      <c r="H2833" s="18" t="n">
        <v>279</v>
      </c>
      <c r="I2833" s="19" t="n">
        <v>5.89</v>
      </c>
      <c r="J2833" s="19" t="n">
        <v>6.1</v>
      </c>
      <c r="K2833" s="20" t="n">
        <v>0</v>
      </c>
      <c r="L2833" s="20" t="n">
        <v>0</v>
      </c>
      <c r="M2833" s="18" t="n">
        <v>279</v>
      </c>
      <c r="N2833" s="18" t="n">
        <v>202</v>
      </c>
      <c r="O2833" s="18" t="n">
        <v>0</v>
      </c>
      <c r="P2833" s="17" t="n">
        <v>45997</v>
      </c>
      <c r="Q2833" s="17" t="n">
        <v>46016</v>
      </c>
      <c r="R2833" s="17" t="n">
        <v>46016</v>
      </c>
      <c r="S2833" s="19">
        <f>H2833*I2833</f>
        <v/>
      </c>
      <c r="T2833" s="19">
        <f>H2833*J2833</f>
        <v/>
      </c>
      <c r="U2833">
        <f>IF(AND(K2833=0,G2833&lt;=Assumptions!$C$6),1,0)</f>
        <v/>
      </c>
      <c r="V2833">
        <f>IF(U2833=1,IF(M2833&gt;0,IF(P2833&lt;=G2833+Assumptions!$C$7,1,0),0),0)</f>
        <v/>
      </c>
      <c r="W2833">
        <f>IF(AND(U2833=1,M2833&gt;=H2833*(1-Assumptions!$C$8)),1,0)</f>
        <v/>
      </c>
      <c r="X2833">
        <f>IF(AND(U2833=1,N2833&gt;=H2833*(1-Assumptions!$C$8)),1,0)</f>
        <v/>
      </c>
      <c r="Y2833">
        <f>IF(ISNUMBER(Q2833),1,0)</f>
        <v/>
      </c>
      <c r="Z2833">
        <f>IF(AND(K2833=0,L2833=0,Y2833=0),1,0)</f>
        <v/>
      </c>
      <c r="AA2833">
        <f>IF(AND(Z2833=1,G2833&lt;Assumptions!$C$6),1,0)</f>
        <v/>
      </c>
      <c r="AB2833">
        <f>IF(U2833=0,"",IF(Y2833=1,MAX(0,Q2833-G2833),IF(L2833=1,MAX(0,R2833-G2833),MAX(0,Assumptions!$C$6-G2833))))</f>
        <v/>
      </c>
      <c r="AC2833">
        <f>IF(Y2833=1,Q2833-F2833,"")</f>
        <v/>
      </c>
      <c r="AD2833">
        <f>IF(Y2833=1,AC2833^2,"")</f>
        <v/>
      </c>
      <c r="AE2833" s="19">
        <f>IF(Z2833=1,(H2833-M2833)*I2833,0)</f>
        <v/>
      </c>
      <c r="AF2833">
        <f>IF(G2833&lt;EDATE(Assumptions!$C$6,-12)+1,"prior_12m","last_12m")</f>
        <v/>
      </c>
      <c r="AG2833" s="21">
        <f>DATE(YEAR(G2833),MONTH(G2833),1)</f>
        <v/>
      </c>
    </row>
    <row r="2834">
      <c r="A2834" t="inlineStr">
        <is>
          <t>SPO-01527-1</t>
        </is>
      </c>
      <c r="B2834" t="inlineStr">
        <is>
          <t>SPO-01527</t>
        </is>
      </c>
      <c r="C2834" t="inlineStr">
        <is>
          <t>SUP-01</t>
        </is>
      </c>
      <c r="D2834" t="inlineStr">
        <is>
          <t>ELEC</t>
        </is>
      </c>
      <c r="E2834" t="inlineStr">
        <is>
          <t>ELEC-05</t>
        </is>
      </c>
      <c r="F2834" s="17" t="n">
        <v>45988</v>
      </c>
      <c r="G2834" s="17" t="n">
        <v>46006</v>
      </c>
      <c r="H2834" s="18" t="n">
        <v>189</v>
      </c>
      <c r="I2834" s="19" t="n">
        <v>11.67</v>
      </c>
      <c r="J2834" s="19" t="n">
        <v>11.5</v>
      </c>
      <c r="K2834" s="20" t="n">
        <v>0</v>
      </c>
      <c r="L2834" s="20" t="n">
        <v>0</v>
      </c>
      <c r="M2834" s="18" t="n">
        <v>189</v>
      </c>
      <c r="N2834" s="18" t="n">
        <v>189</v>
      </c>
      <c r="O2834" s="18" t="n">
        <v>0</v>
      </c>
      <c r="P2834" s="17" t="n">
        <v>46004</v>
      </c>
      <c r="Q2834" s="17" t="n">
        <v>46004</v>
      </c>
      <c r="R2834" s="17" t="n">
        <v>46004</v>
      </c>
      <c r="S2834" s="19">
        <f>H2834*I2834</f>
        <v/>
      </c>
      <c r="T2834" s="19">
        <f>H2834*J2834</f>
        <v/>
      </c>
      <c r="U2834">
        <f>IF(AND(K2834=0,G2834&lt;=Assumptions!$C$6),1,0)</f>
        <v/>
      </c>
      <c r="V2834">
        <f>IF(U2834=1,IF(M2834&gt;0,IF(P2834&lt;=G2834+Assumptions!$C$7,1,0),0),0)</f>
        <v/>
      </c>
      <c r="W2834">
        <f>IF(AND(U2834=1,M2834&gt;=H2834*(1-Assumptions!$C$8)),1,0)</f>
        <v/>
      </c>
      <c r="X2834">
        <f>IF(AND(U2834=1,N2834&gt;=H2834*(1-Assumptions!$C$8)),1,0)</f>
        <v/>
      </c>
      <c r="Y2834">
        <f>IF(ISNUMBER(Q2834),1,0)</f>
        <v/>
      </c>
      <c r="Z2834">
        <f>IF(AND(K2834=0,L2834=0,Y2834=0),1,0)</f>
        <v/>
      </c>
      <c r="AA2834">
        <f>IF(AND(Z2834=1,G2834&lt;Assumptions!$C$6),1,0)</f>
        <v/>
      </c>
      <c r="AB2834">
        <f>IF(U2834=0,"",IF(Y2834=1,MAX(0,Q2834-G2834),IF(L2834=1,MAX(0,R2834-G2834),MAX(0,Assumptions!$C$6-G2834))))</f>
        <v/>
      </c>
      <c r="AC2834">
        <f>IF(Y2834=1,Q2834-F2834,"")</f>
        <v/>
      </c>
      <c r="AD2834">
        <f>IF(Y2834=1,AC2834^2,"")</f>
        <v/>
      </c>
      <c r="AE2834" s="19">
        <f>IF(Z2834=1,(H2834-M2834)*I2834,0)</f>
        <v/>
      </c>
      <c r="AF2834">
        <f>IF(G2834&lt;EDATE(Assumptions!$C$6,-12)+1,"prior_12m","last_12m")</f>
        <v/>
      </c>
      <c r="AG2834" s="21">
        <f>DATE(YEAR(G2834),MONTH(G2834),1)</f>
        <v/>
      </c>
    </row>
    <row r="2835">
      <c r="A2835" t="inlineStr">
        <is>
          <t>SPO-01527-2</t>
        </is>
      </c>
      <c r="B2835" t="inlineStr">
        <is>
          <t>SPO-01527</t>
        </is>
      </c>
      <c r="C2835" t="inlineStr">
        <is>
          <t>SUP-01</t>
        </is>
      </c>
      <c r="D2835" t="inlineStr">
        <is>
          <t>ELEC</t>
        </is>
      </c>
      <c r="E2835" t="inlineStr">
        <is>
          <t>ELEC-03</t>
        </is>
      </c>
      <c r="F2835" s="17" t="n">
        <v>45988</v>
      </c>
      <c r="G2835" s="17" t="n">
        <v>46006</v>
      </c>
      <c r="H2835" s="18" t="n">
        <v>13</v>
      </c>
      <c r="I2835" s="19" t="n">
        <v>98.40000000000001</v>
      </c>
      <c r="J2835" s="19" t="n">
        <v>96</v>
      </c>
      <c r="K2835" s="20" t="n">
        <v>0</v>
      </c>
      <c r="L2835" s="20" t="n">
        <v>0</v>
      </c>
      <c r="M2835" s="18" t="n">
        <v>13</v>
      </c>
      <c r="N2835" s="18" t="n">
        <v>13</v>
      </c>
      <c r="O2835" s="18" t="n">
        <v>0</v>
      </c>
      <c r="P2835" s="17" t="n">
        <v>46001</v>
      </c>
      <c r="Q2835" s="17" t="n">
        <v>46001</v>
      </c>
      <c r="R2835" s="17" t="n">
        <v>46001</v>
      </c>
      <c r="S2835" s="19">
        <f>H2835*I2835</f>
        <v/>
      </c>
      <c r="T2835" s="19">
        <f>H2835*J2835</f>
        <v/>
      </c>
      <c r="U2835">
        <f>IF(AND(K2835=0,G2835&lt;=Assumptions!$C$6),1,0)</f>
        <v/>
      </c>
      <c r="V2835">
        <f>IF(U2835=1,IF(M2835&gt;0,IF(P2835&lt;=G2835+Assumptions!$C$7,1,0),0),0)</f>
        <v/>
      </c>
      <c r="W2835">
        <f>IF(AND(U2835=1,M2835&gt;=H2835*(1-Assumptions!$C$8)),1,0)</f>
        <v/>
      </c>
      <c r="X2835">
        <f>IF(AND(U2835=1,N2835&gt;=H2835*(1-Assumptions!$C$8)),1,0)</f>
        <v/>
      </c>
      <c r="Y2835">
        <f>IF(ISNUMBER(Q2835),1,0)</f>
        <v/>
      </c>
      <c r="Z2835">
        <f>IF(AND(K2835=0,L2835=0,Y2835=0),1,0)</f>
        <v/>
      </c>
      <c r="AA2835">
        <f>IF(AND(Z2835=1,G2835&lt;Assumptions!$C$6),1,0)</f>
        <v/>
      </c>
      <c r="AB2835">
        <f>IF(U2835=0,"",IF(Y2835=1,MAX(0,Q2835-G2835),IF(L2835=1,MAX(0,R2835-G2835),MAX(0,Assumptions!$C$6-G2835))))</f>
        <v/>
      </c>
      <c r="AC2835">
        <f>IF(Y2835=1,Q2835-F2835,"")</f>
        <v/>
      </c>
      <c r="AD2835">
        <f>IF(Y2835=1,AC2835^2,"")</f>
        <v/>
      </c>
      <c r="AE2835" s="19">
        <f>IF(Z2835=1,(H2835-M2835)*I2835,0)</f>
        <v/>
      </c>
      <c r="AF2835">
        <f>IF(G2835&lt;EDATE(Assumptions!$C$6,-12)+1,"prior_12m","last_12m")</f>
        <v/>
      </c>
      <c r="AG2835" s="21">
        <f>DATE(YEAR(G2835),MONTH(G2835),1)</f>
        <v/>
      </c>
    </row>
    <row r="2836">
      <c r="A2836" t="inlineStr">
        <is>
          <t>SPO-01527-3</t>
        </is>
      </c>
      <c r="B2836" t="inlineStr">
        <is>
          <t>SPO-01527</t>
        </is>
      </c>
      <c r="C2836" t="inlineStr">
        <is>
          <t>SUP-01</t>
        </is>
      </c>
      <c r="D2836" t="inlineStr">
        <is>
          <t>ELEC</t>
        </is>
      </c>
      <c r="E2836" t="inlineStr">
        <is>
          <t>ELEC-07</t>
        </is>
      </c>
      <c r="F2836" s="17" t="n">
        <v>45988</v>
      </c>
      <c r="G2836" s="17" t="n">
        <v>46006</v>
      </c>
      <c r="H2836" s="18" t="n">
        <v>404</v>
      </c>
      <c r="I2836" s="19" t="n">
        <v>10.05</v>
      </c>
      <c r="J2836" s="19" t="n">
        <v>9.800000000000001</v>
      </c>
      <c r="K2836" s="20" t="n">
        <v>0</v>
      </c>
      <c r="L2836" s="20" t="n">
        <v>0</v>
      </c>
      <c r="M2836" s="18" t="n">
        <v>404</v>
      </c>
      <c r="N2836" s="18" t="n">
        <v>404</v>
      </c>
      <c r="O2836" s="18" t="n">
        <v>0</v>
      </c>
      <c r="P2836" s="17" t="n">
        <v>45991</v>
      </c>
      <c r="Q2836" s="17" t="n">
        <v>45991</v>
      </c>
      <c r="R2836" s="17" t="n">
        <v>45991</v>
      </c>
      <c r="S2836" s="19">
        <f>H2836*I2836</f>
        <v/>
      </c>
      <c r="T2836" s="19">
        <f>H2836*J2836</f>
        <v/>
      </c>
      <c r="U2836">
        <f>IF(AND(K2836=0,G2836&lt;=Assumptions!$C$6),1,0)</f>
        <v/>
      </c>
      <c r="V2836">
        <f>IF(U2836=1,IF(M2836&gt;0,IF(P2836&lt;=G2836+Assumptions!$C$7,1,0),0),0)</f>
        <v/>
      </c>
      <c r="W2836">
        <f>IF(AND(U2836=1,M2836&gt;=H2836*(1-Assumptions!$C$8)),1,0)</f>
        <v/>
      </c>
      <c r="X2836">
        <f>IF(AND(U2836=1,N2836&gt;=H2836*(1-Assumptions!$C$8)),1,0)</f>
        <v/>
      </c>
      <c r="Y2836">
        <f>IF(ISNUMBER(Q2836),1,0)</f>
        <v/>
      </c>
      <c r="Z2836">
        <f>IF(AND(K2836=0,L2836=0,Y2836=0),1,0)</f>
        <v/>
      </c>
      <c r="AA2836">
        <f>IF(AND(Z2836=1,G2836&lt;Assumptions!$C$6),1,0)</f>
        <v/>
      </c>
      <c r="AB2836">
        <f>IF(U2836=0,"",IF(Y2836=1,MAX(0,Q2836-G2836),IF(L2836=1,MAX(0,R2836-G2836),MAX(0,Assumptions!$C$6-G2836))))</f>
        <v/>
      </c>
      <c r="AC2836">
        <f>IF(Y2836=1,Q2836-F2836,"")</f>
        <v/>
      </c>
      <c r="AD2836">
        <f>IF(Y2836=1,AC2836^2,"")</f>
        <v/>
      </c>
      <c r="AE2836" s="19">
        <f>IF(Z2836=1,(H2836-M2836)*I2836,0)</f>
        <v/>
      </c>
      <c r="AF2836">
        <f>IF(G2836&lt;EDATE(Assumptions!$C$6,-12)+1,"prior_12m","last_12m")</f>
        <v/>
      </c>
      <c r="AG2836" s="21">
        <f>DATE(YEAR(G2836),MONTH(G2836),1)</f>
        <v/>
      </c>
    </row>
    <row r="2837">
      <c r="A2837" t="inlineStr">
        <is>
          <t>SPO-01528-1</t>
        </is>
      </c>
      <c r="B2837" t="inlineStr">
        <is>
          <t>SPO-01528</t>
        </is>
      </c>
      <c r="C2837" t="inlineStr">
        <is>
          <t>SUP-10</t>
        </is>
      </c>
      <c r="D2837" t="inlineStr">
        <is>
          <t>PPE</t>
        </is>
      </c>
      <c r="E2837" t="inlineStr">
        <is>
          <t>PPE-08</t>
        </is>
      </c>
      <c r="F2837" s="17" t="n">
        <v>45988</v>
      </c>
      <c r="G2837" s="17" t="n">
        <v>46001</v>
      </c>
      <c r="H2837" s="18" t="n">
        <v>26</v>
      </c>
      <c r="I2837" s="19" t="n">
        <v>62.2</v>
      </c>
      <c r="J2837" s="19" t="n">
        <v>64</v>
      </c>
      <c r="K2837" s="20" t="n">
        <v>0</v>
      </c>
      <c r="L2837" s="20" t="n">
        <v>0</v>
      </c>
      <c r="M2837" s="18" t="n">
        <v>26</v>
      </c>
      <c r="N2837" s="18" t="n">
        <v>26</v>
      </c>
      <c r="O2837" s="18" t="n">
        <v>0</v>
      </c>
      <c r="P2837" s="17" t="n">
        <v>45996</v>
      </c>
      <c r="Q2837" s="17" t="n">
        <v>45996</v>
      </c>
      <c r="R2837" s="17" t="n">
        <v>45996</v>
      </c>
      <c r="S2837" s="19">
        <f>H2837*I2837</f>
        <v/>
      </c>
      <c r="T2837" s="19">
        <f>H2837*J2837</f>
        <v/>
      </c>
      <c r="U2837">
        <f>IF(AND(K2837=0,G2837&lt;=Assumptions!$C$6),1,0)</f>
        <v/>
      </c>
      <c r="V2837">
        <f>IF(U2837=1,IF(M2837&gt;0,IF(P2837&lt;=G2837+Assumptions!$C$7,1,0),0),0)</f>
        <v/>
      </c>
      <c r="W2837">
        <f>IF(AND(U2837=1,M2837&gt;=H2837*(1-Assumptions!$C$8)),1,0)</f>
        <v/>
      </c>
      <c r="X2837">
        <f>IF(AND(U2837=1,N2837&gt;=H2837*(1-Assumptions!$C$8)),1,0)</f>
        <v/>
      </c>
      <c r="Y2837">
        <f>IF(ISNUMBER(Q2837),1,0)</f>
        <v/>
      </c>
      <c r="Z2837">
        <f>IF(AND(K2837=0,L2837=0,Y2837=0),1,0)</f>
        <v/>
      </c>
      <c r="AA2837">
        <f>IF(AND(Z2837=1,G2837&lt;Assumptions!$C$6),1,0)</f>
        <v/>
      </c>
      <c r="AB2837">
        <f>IF(U2837=0,"",IF(Y2837=1,MAX(0,Q2837-G2837),IF(L2837=1,MAX(0,R2837-G2837),MAX(0,Assumptions!$C$6-G2837))))</f>
        <v/>
      </c>
      <c r="AC2837">
        <f>IF(Y2837=1,Q2837-F2837,"")</f>
        <v/>
      </c>
      <c r="AD2837">
        <f>IF(Y2837=1,AC2837^2,"")</f>
        <v/>
      </c>
      <c r="AE2837" s="19">
        <f>IF(Z2837=1,(H2837-M2837)*I2837,0)</f>
        <v/>
      </c>
      <c r="AF2837">
        <f>IF(G2837&lt;EDATE(Assumptions!$C$6,-12)+1,"prior_12m","last_12m")</f>
        <v/>
      </c>
      <c r="AG2837" s="21">
        <f>DATE(YEAR(G2837),MONTH(G2837),1)</f>
        <v/>
      </c>
    </row>
    <row r="2838">
      <c r="A2838" t="inlineStr">
        <is>
          <t>SPO-01529-1</t>
        </is>
      </c>
      <c r="B2838" t="inlineStr">
        <is>
          <t>SPO-01529</t>
        </is>
      </c>
      <c r="C2838" t="inlineStr">
        <is>
          <t>SUP-08</t>
        </is>
      </c>
      <c r="D2838" t="inlineStr">
        <is>
          <t>PPE</t>
        </is>
      </c>
      <c r="E2838" t="inlineStr">
        <is>
          <t>PPE-03</t>
        </is>
      </c>
      <c r="F2838" s="17" t="n">
        <v>45988</v>
      </c>
      <c r="G2838" s="17" t="n">
        <v>45999</v>
      </c>
      <c r="H2838" s="18" t="n">
        <v>65</v>
      </c>
      <c r="I2838" s="19" t="n">
        <v>21.01</v>
      </c>
      <c r="J2838" s="19" t="n">
        <v>21</v>
      </c>
      <c r="K2838" s="20" t="n">
        <v>0</v>
      </c>
      <c r="L2838" s="20" t="n">
        <v>0</v>
      </c>
      <c r="M2838" s="18" t="n">
        <v>65</v>
      </c>
      <c r="N2838" s="18" t="n">
        <v>65</v>
      </c>
      <c r="O2838" s="18" t="n">
        <v>0</v>
      </c>
      <c r="P2838" s="17" t="n">
        <v>45998</v>
      </c>
      <c r="Q2838" s="17" t="n">
        <v>45998</v>
      </c>
      <c r="R2838" s="17" t="n">
        <v>45998</v>
      </c>
      <c r="S2838" s="19">
        <f>H2838*I2838</f>
        <v/>
      </c>
      <c r="T2838" s="19">
        <f>H2838*J2838</f>
        <v/>
      </c>
      <c r="U2838">
        <f>IF(AND(K2838=0,G2838&lt;=Assumptions!$C$6),1,0)</f>
        <v/>
      </c>
      <c r="V2838">
        <f>IF(U2838=1,IF(M2838&gt;0,IF(P2838&lt;=G2838+Assumptions!$C$7,1,0),0),0)</f>
        <v/>
      </c>
      <c r="W2838">
        <f>IF(AND(U2838=1,M2838&gt;=H2838*(1-Assumptions!$C$8)),1,0)</f>
        <v/>
      </c>
      <c r="X2838">
        <f>IF(AND(U2838=1,N2838&gt;=H2838*(1-Assumptions!$C$8)),1,0)</f>
        <v/>
      </c>
      <c r="Y2838">
        <f>IF(ISNUMBER(Q2838),1,0)</f>
        <v/>
      </c>
      <c r="Z2838">
        <f>IF(AND(K2838=0,L2838=0,Y2838=0),1,0)</f>
        <v/>
      </c>
      <c r="AA2838">
        <f>IF(AND(Z2838=1,G2838&lt;Assumptions!$C$6),1,0)</f>
        <v/>
      </c>
      <c r="AB2838">
        <f>IF(U2838=0,"",IF(Y2838=1,MAX(0,Q2838-G2838),IF(L2838=1,MAX(0,R2838-G2838),MAX(0,Assumptions!$C$6-G2838))))</f>
        <v/>
      </c>
      <c r="AC2838">
        <f>IF(Y2838=1,Q2838-F2838,"")</f>
        <v/>
      </c>
      <c r="AD2838">
        <f>IF(Y2838=1,AC2838^2,"")</f>
        <v/>
      </c>
      <c r="AE2838" s="19">
        <f>IF(Z2838=1,(H2838-M2838)*I2838,0)</f>
        <v/>
      </c>
      <c r="AF2838">
        <f>IF(G2838&lt;EDATE(Assumptions!$C$6,-12)+1,"prior_12m","last_12m")</f>
        <v/>
      </c>
      <c r="AG2838" s="21">
        <f>DATE(YEAR(G2838),MONTH(G2838),1)</f>
        <v/>
      </c>
    </row>
    <row r="2839">
      <c r="A2839" t="inlineStr">
        <is>
          <t>SPO-01529-2</t>
        </is>
      </c>
      <c r="B2839" t="inlineStr">
        <is>
          <t>SPO-01529</t>
        </is>
      </c>
      <c r="C2839" t="inlineStr">
        <is>
          <t>SUP-08</t>
        </is>
      </c>
      <c r="D2839" t="inlineStr">
        <is>
          <t>PPE</t>
        </is>
      </c>
      <c r="E2839" t="inlineStr">
        <is>
          <t>PPE-01</t>
        </is>
      </c>
      <c r="F2839" s="17" t="n">
        <v>45988</v>
      </c>
      <c r="G2839" s="17" t="n">
        <v>45999</v>
      </c>
      <c r="H2839" s="18" t="n">
        <v>180</v>
      </c>
      <c r="I2839" s="19" t="n">
        <v>4.75</v>
      </c>
      <c r="J2839" s="19" t="n">
        <v>4.8</v>
      </c>
      <c r="K2839" s="20" t="n">
        <v>0</v>
      </c>
      <c r="L2839" s="20" t="n">
        <v>0</v>
      </c>
      <c r="M2839" s="18" t="n">
        <v>180</v>
      </c>
      <c r="N2839" s="18" t="n">
        <v>0</v>
      </c>
      <c r="O2839" s="18" t="n">
        <v>0</v>
      </c>
      <c r="P2839" s="17" t="n">
        <v>46000</v>
      </c>
      <c r="Q2839" s="17" t="n">
        <v>46000</v>
      </c>
      <c r="R2839" s="17" t="n">
        <v>46000</v>
      </c>
      <c r="S2839" s="19">
        <f>H2839*I2839</f>
        <v/>
      </c>
      <c r="T2839" s="19">
        <f>H2839*J2839</f>
        <v/>
      </c>
      <c r="U2839">
        <f>IF(AND(K2839=0,G2839&lt;=Assumptions!$C$6),1,0)</f>
        <v/>
      </c>
      <c r="V2839">
        <f>IF(U2839=1,IF(M2839&gt;0,IF(P2839&lt;=G2839+Assumptions!$C$7,1,0),0),0)</f>
        <v/>
      </c>
      <c r="W2839">
        <f>IF(AND(U2839=1,M2839&gt;=H2839*(1-Assumptions!$C$8)),1,0)</f>
        <v/>
      </c>
      <c r="X2839">
        <f>IF(AND(U2839=1,N2839&gt;=H2839*(1-Assumptions!$C$8)),1,0)</f>
        <v/>
      </c>
      <c r="Y2839">
        <f>IF(ISNUMBER(Q2839),1,0)</f>
        <v/>
      </c>
      <c r="Z2839">
        <f>IF(AND(K2839=0,L2839=0,Y2839=0),1,0)</f>
        <v/>
      </c>
      <c r="AA2839">
        <f>IF(AND(Z2839=1,G2839&lt;Assumptions!$C$6),1,0)</f>
        <v/>
      </c>
      <c r="AB2839">
        <f>IF(U2839=0,"",IF(Y2839=1,MAX(0,Q2839-G2839),IF(L2839=1,MAX(0,R2839-G2839),MAX(0,Assumptions!$C$6-G2839))))</f>
        <v/>
      </c>
      <c r="AC2839">
        <f>IF(Y2839=1,Q2839-F2839,"")</f>
        <v/>
      </c>
      <c r="AD2839">
        <f>IF(Y2839=1,AC2839^2,"")</f>
        <v/>
      </c>
      <c r="AE2839" s="19">
        <f>IF(Z2839=1,(H2839-M2839)*I2839,0)</f>
        <v/>
      </c>
      <c r="AF2839">
        <f>IF(G2839&lt;EDATE(Assumptions!$C$6,-12)+1,"prior_12m","last_12m")</f>
        <v/>
      </c>
      <c r="AG2839" s="21">
        <f>DATE(YEAR(G2839),MONTH(G2839),1)</f>
        <v/>
      </c>
    </row>
    <row r="2840">
      <c r="A2840" t="inlineStr">
        <is>
          <t>SPO-01530-1</t>
        </is>
      </c>
      <c r="B2840" t="inlineStr">
        <is>
          <t>SPO-01530</t>
        </is>
      </c>
      <c r="C2840" t="inlineStr">
        <is>
          <t>SUP-06</t>
        </is>
      </c>
      <c r="D2840" t="inlineStr">
        <is>
          <t>MRO</t>
        </is>
      </c>
      <c r="E2840" t="inlineStr">
        <is>
          <t>MRO-04</t>
        </is>
      </c>
      <c r="F2840" s="17" t="n">
        <v>45989</v>
      </c>
      <c r="G2840" s="17" t="n">
        <v>45997</v>
      </c>
      <c r="H2840" s="18" t="n">
        <v>17</v>
      </c>
      <c r="I2840" s="19" t="n">
        <v>58.02</v>
      </c>
      <c r="J2840" s="19" t="n">
        <v>58</v>
      </c>
      <c r="K2840" s="20" t="n">
        <v>0</v>
      </c>
      <c r="L2840" s="20" t="n">
        <v>0</v>
      </c>
      <c r="M2840" s="18" t="n">
        <v>17</v>
      </c>
      <c r="N2840" s="18" t="n">
        <v>17</v>
      </c>
      <c r="O2840" s="18" t="n">
        <v>0</v>
      </c>
      <c r="P2840" s="17" t="n">
        <v>45994</v>
      </c>
      <c r="Q2840" s="17" t="n">
        <v>45994</v>
      </c>
      <c r="R2840" s="17" t="n">
        <v>45994</v>
      </c>
      <c r="S2840" s="19">
        <f>H2840*I2840</f>
        <v/>
      </c>
      <c r="T2840" s="19">
        <f>H2840*J2840</f>
        <v/>
      </c>
      <c r="U2840">
        <f>IF(AND(K2840=0,G2840&lt;=Assumptions!$C$6),1,0)</f>
        <v/>
      </c>
      <c r="V2840">
        <f>IF(U2840=1,IF(M2840&gt;0,IF(P2840&lt;=G2840+Assumptions!$C$7,1,0),0),0)</f>
        <v/>
      </c>
      <c r="W2840">
        <f>IF(AND(U2840=1,M2840&gt;=H2840*(1-Assumptions!$C$8)),1,0)</f>
        <v/>
      </c>
      <c r="X2840">
        <f>IF(AND(U2840=1,N2840&gt;=H2840*(1-Assumptions!$C$8)),1,0)</f>
        <v/>
      </c>
      <c r="Y2840">
        <f>IF(ISNUMBER(Q2840),1,0)</f>
        <v/>
      </c>
      <c r="Z2840">
        <f>IF(AND(K2840=0,L2840=0,Y2840=0),1,0)</f>
        <v/>
      </c>
      <c r="AA2840">
        <f>IF(AND(Z2840=1,G2840&lt;Assumptions!$C$6),1,0)</f>
        <v/>
      </c>
      <c r="AB2840">
        <f>IF(U2840=0,"",IF(Y2840=1,MAX(0,Q2840-G2840),IF(L2840=1,MAX(0,R2840-G2840),MAX(0,Assumptions!$C$6-G2840))))</f>
        <v/>
      </c>
      <c r="AC2840">
        <f>IF(Y2840=1,Q2840-F2840,"")</f>
        <v/>
      </c>
      <c r="AD2840">
        <f>IF(Y2840=1,AC2840^2,"")</f>
        <v/>
      </c>
      <c r="AE2840" s="19">
        <f>IF(Z2840=1,(H2840-M2840)*I2840,0)</f>
        <v/>
      </c>
      <c r="AF2840">
        <f>IF(G2840&lt;EDATE(Assumptions!$C$6,-12)+1,"prior_12m","last_12m")</f>
        <v/>
      </c>
      <c r="AG2840" s="21">
        <f>DATE(YEAR(G2840),MONTH(G2840),1)</f>
        <v/>
      </c>
    </row>
    <row r="2841">
      <c r="A2841" t="inlineStr">
        <is>
          <t>SPO-01531-1</t>
        </is>
      </c>
      <c r="B2841" t="inlineStr">
        <is>
          <t>SPO-01531</t>
        </is>
      </c>
      <c r="C2841" t="inlineStr">
        <is>
          <t>SUP-09</t>
        </is>
      </c>
      <c r="D2841" t="inlineStr">
        <is>
          <t>CHEM</t>
        </is>
      </c>
      <c r="E2841" t="inlineStr">
        <is>
          <t>CHEM-05</t>
        </is>
      </c>
      <c r="F2841" s="17" t="n">
        <v>45989</v>
      </c>
      <c r="G2841" s="17" t="n">
        <v>46003</v>
      </c>
      <c r="H2841" s="18" t="n">
        <v>2</v>
      </c>
      <c r="I2841" s="19" t="n">
        <v>953.48</v>
      </c>
      <c r="J2841" s="19" t="n">
        <v>930</v>
      </c>
      <c r="K2841" s="20" t="n">
        <v>0</v>
      </c>
      <c r="L2841" s="20" t="n">
        <v>0</v>
      </c>
      <c r="M2841" s="18" t="n">
        <v>2</v>
      </c>
      <c r="N2841" s="18" t="n">
        <v>2</v>
      </c>
      <c r="O2841" s="18" t="n">
        <v>0</v>
      </c>
      <c r="P2841" s="17" t="n">
        <v>45999</v>
      </c>
      <c r="Q2841" s="17" t="n">
        <v>45999</v>
      </c>
      <c r="R2841" s="17" t="n">
        <v>45999</v>
      </c>
      <c r="S2841" s="19">
        <f>H2841*I2841</f>
        <v/>
      </c>
      <c r="T2841" s="19">
        <f>H2841*J2841</f>
        <v/>
      </c>
      <c r="U2841">
        <f>IF(AND(K2841=0,G2841&lt;=Assumptions!$C$6),1,0)</f>
        <v/>
      </c>
      <c r="V2841">
        <f>IF(U2841=1,IF(M2841&gt;0,IF(P2841&lt;=G2841+Assumptions!$C$7,1,0),0),0)</f>
        <v/>
      </c>
      <c r="W2841">
        <f>IF(AND(U2841=1,M2841&gt;=H2841*(1-Assumptions!$C$8)),1,0)</f>
        <v/>
      </c>
      <c r="X2841">
        <f>IF(AND(U2841=1,N2841&gt;=H2841*(1-Assumptions!$C$8)),1,0)</f>
        <v/>
      </c>
      <c r="Y2841">
        <f>IF(ISNUMBER(Q2841),1,0)</f>
        <v/>
      </c>
      <c r="Z2841">
        <f>IF(AND(K2841=0,L2841=0,Y2841=0),1,0)</f>
        <v/>
      </c>
      <c r="AA2841">
        <f>IF(AND(Z2841=1,G2841&lt;Assumptions!$C$6),1,0)</f>
        <v/>
      </c>
      <c r="AB2841">
        <f>IF(U2841=0,"",IF(Y2841=1,MAX(0,Q2841-G2841),IF(L2841=1,MAX(0,R2841-G2841),MAX(0,Assumptions!$C$6-G2841))))</f>
        <v/>
      </c>
      <c r="AC2841">
        <f>IF(Y2841=1,Q2841-F2841,"")</f>
        <v/>
      </c>
      <c r="AD2841">
        <f>IF(Y2841=1,AC2841^2,"")</f>
        <v/>
      </c>
      <c r="AE2841" s="19">
        <f>IF(Z2841=1,(H2841-M2841)*I2841,0)</f>
        <v/>
      </c>
      <c r="AF2841">
        <f>IF(G2841&lt;EDATE(Assumptions!$C$6,-12)+1,"prior_12m","last_12m")</f>
        <v/>
      </c>
      <c r="AG2841" s="21">
        <f>DATE(YEAR(G2841),MONTH(G2841),1)</f>
        <v/>
      </c>
    </row>
    <row r="2842">
      <c r="A2842" t="inlineStr">
        <is>
          <t>SPO-01532-1</t>
        </is>
      </c>
      <c r="B2842" t="inlineStr">
        <is>
          <t>SPO-01532</t>
        </is>
      </c>
      <c r="C2842" t="inlineStr">
        <is>
          <t>SUP-05</t>
        </is>
      </c>
      <c r="D2842" t="inlineStr">
        <is>
          <t>FLEET</t>
        </is>
      </c>
      <c r="E2842" t="inlineStr">
        <is>
          <t>FLEET-02</t>
        </is>
      </c>
      <c r="F2842" s="17" t="n">
        <v>45989</v>
      </c>
      <c r="G2842" s="17" t="n">
        <v>46003</v>
      </c>
      <c r="H2842" s="18" t="n">
        <v>224</v>
      </c>
      <c r="I2842" s="19" t="n">
        <v>8.050000000000001</v>
      </c>
      <c r="J2842" s="19" t="n">
        <v>7.5</v>
      </c>
      <c r="K2842" s="20" t="n">
        <v>0</v>
      </c>
      <c r="L2842" s="20" t="n">
        <v>0</v>
      </c>
      <c r="M2842" s="18" t="n">
        <v>224</v>
      </c>
      <c r="N2842" s="18" t="n">
        <v>224</v>
      </c>
      <c r="O2842" s="18" t="n">
        <v>0</v>
      </c>
      <c r="P2842" s="17" t="n">
        <v>45995</v>
      </c>
      <c r="Q2842" s="17" t="n">
        <v>45995</v>
      </c>
      <c r="R2842" s="17" t="n">
        <v>45995</v>
      </c>
      <c r="S2842" s="19">
        <f>H2842*I2842</f>
        <v/>
      </c>
      <c r="T2842" s="19">
        <f>H2842*J2842</f>
        <v/>
      </c>
      <c r="U2842">
        <f>IF(AND(K2842=0,G2842&lt;=Assumptions!$C$6),1,0)</f>
        <v/>
      </c>
      <c r="V2842">
        <f>IF(U2842=1,IF(M2842&gt;0,IF(P2842&lt;=G2842+Assumptions!$C$7,1,0),0),0)</f>
        <v/>
      </c>
      <c r="W2842">
        <f>IF(AND(U2842=1,M2842&gt;=H2842*(1-Assumptions!$C$8)),1,0)</f>
        <v/>
      </c>
      <c r="X2842">
        <f>IF(AND(U2842=1,N2842&gt;=H2842*(1-Assumptions!$C$8)),1,0)</f>
        <v/>
      </c>
      <c r="Y2842">
        <f>IF(ISNUMBER(Q2842),1,0)</f>
        <v/>
      </c>
      <c r="Z2842">
        <f>IF(AND(K2842=0,L2842=0,Y2842=0),1,0)</f>
        <v/>
      </c>
      <c r="AA2842">
        <f>IF(AND(Z2842=1,G2842&lt;Assumptions!$C$6),1,0)</f>
        <v/>
      </c>
      <c r="AB2842">
        <f>IF(U2842=0,"",IF(Y2842=1,MAX(0,Q2842-G2842),IF(L2842=1,MAX(0,R2842-G2842),MAX(0,Assumptions!$C$6-G2842))))</f>
        <v/>
      </c>
      <c r="AC2842">
        <f>IF(Y2842=1,Q2842-F2842,"")</f>
        <v/>
      </c>
      <c r="AD2842">
        <f>IF(Y2842=1,AC2842^2,"")</f>
        <v/>
      </c>
      <c r="AE2842" s="19">
        <f>IF(Z2842=1,(H2842-M2842)*I2842,0)</f>
        <v/>
      </c>
      <c r="AF2842">
        <f>IF(G2842&lt;EDATE(Assumptions!$C$6,-12)+1,"prior_12m","last_12m")</f>
        <v/>
      </c>
      <c r="AG2842" s="21">
        <f>DATE(YEAR(G2842),MONTH(G2842),1)</f>
        <v/>
      </c>
    </row>
    <row r="2843">
      <c r="A2843" t="inlineStr">
        <is>
          <t>SPO-01532-2</t>
        </is>
      </c>
      <c r="B2843" t="inlineStr">
        <is>
          <t>SPO-01532</t>
        </is>
      </c>
      <c r="C2843" t="inlineStr">
        <is>
          <t>SUP-05</t>
        </is>
      </c>
      <c r="D2843" t="inlineStr">
        <is>
          <t>FLEET</t>
        </is>
      </c>
      <c r="E2843" t="inlineStr">
        <is>
          <t>FLEET-05</t>
        </is>
      </c>
      <c r="F2843" s="17" t="n">
        <v>45989</v>
      </c>
      <c r="G2843" s="17" t="n">
        <v>46003</v>
      </c>
      <c r="H2843" s="18" t="n">
        <v>4</v>
      </c>
      <c r="I2843" s="19" t="n">
        <v>169.59</v>
      </c>
      <c r="J2843" s="19" t="n">
        <v>168</v>
      </c>
      <c r="K2843" s="20" t="n">
        <v>0</v>
      </c>
      <c r="L2843" s="20" t="n">
        <v>0</v>
      </c>
      <c r="M2843" s="18" t="n">
        <v>4</v>
      </c>
      <c r="N2843" s="18" t="n">
        <v>4</v>
      </c>
      <c r="O2843" s="18" t="n">
        <v>0</v>
      </c>
      <c r="P2843" s="17" t="n">
        <v>46001</v>
      </c>
      <c r="Q2843" s="17" t="n">
        <v>46001</v>
      </c>
      <c r="R2843" s="17" t="n">
        <v>46001</v>
      </c>
      <c r="S2843" s="19">
        <f>H2843*I2843</f>
        <v/>
      </c>
      <c r="T2843" s="19">
        <f>H2843*J2843</f>
        <v/>
      </c>
      <c r="U2843">
        <f>IF(AND(K2843=0,G2843&lt;=Assumptions!$C$6),1,0)</f>
        <v/>
      </c>
      <c r="V2843">
        <f>IF(U2843=1,IF(M2843&gt;0,IF(P2843&lt;=G2843+Assumptions!$C$7,1,0),0),0)</f>
        <v/>
      </c>
      <c r="W2843">
        <f>IF(AND(U2843=1,M2843&gt;=H2843*(1-Assumptions!$C$8)),1,0)</f>
        <v/>
      </c>
      <c r="X2843">
        <f>IF(AND(U2843=1,N2843&gt;=H2843*(1-Assumptions!$C$8)),1,0)</f>
        <v/>
      </c>
      <c r="Y2843">
        <f>IF(ISNUMBER(Q2843),1,0)</f>
        <v/>
      </c>
      <c r="Z2843">
        <f>IF(AND(K2843=0,L2843=0,Y2843=0),1,0)</f>
        <v/>
      </c>
      <c r="AA2843">
        <f>IF(AND(Z2843=1,G2843&lt;Assumptions!$C$6),1,0)</f>
        <v/>
      </c>
      <c r="AB2843">
        <f>IF(U2843=0,"",IF(Y2843=1,MAX(0,Q2843-G2843),IF(L2843=1,MAX(0,R2843-G2843),MAX(0,Assumptions!$C$6-G2843))))</f>
        <v/>
      </c>
      <c r="AC2843">
        <f>IF(Y2843=1,Q2843-F2843,"")</f>
        <v/>
      </c>
      <c r="AD2843">
        <f>IF(Y2843=1,AC2843^2,"")</f>
        <v/>
      </c>
      <c r="AE2843" s="19">
        <f>IF(Z2843=1,(H2843-M2843)*I2843,0)</f>
        <v/>
      </c>
      <c r="AF2843">
        <f>IF(G2843&lt;EDATE(Assumptions!$C$6,-12)+1,"prior_12m","last_12m")</f>
        <v/>
      </c>
      <c r="AG2843" s="21">
        <f>DATE(YEAR(G2843),MONTH(G2843),1)</f>
        <v/>
      </c>
    </row>
    <row r="2844">
      <c r="A2844" t="inlineStr">
        <is>
          <t>SPO-01533-1</t>
        </is>
      </c>
      <c r="B2844" t="inlineStr">
        <is>
          <t>SPO-01533</t>
        </is>
      </c>
      <c r="C2844" t="inlineStr">
        <is>
          <t>SUP-01</t>
        </is>
      </c>
      <c r="D2844" t="inlineStr">
        <is>
          <t>ELEC</t>
        </is>
      </c>
      <c r="E2844" t="inlineStr">
        <is>
          <t>ELEC-01</t>
        </is>
      </c>
      <c r="F2844" s="17" t="n">
        <v>45990</v>
      </c>
      <c r="G2844" s="17" t="n">
        <v>46008</v>
      </c>
      <c r="H2844" s="18" t="n">
        <v>48</v>
      </c>
      <c r="I2844" s="19" t="n">
        <v>36.57</v>
      </c>
      <c r="J2844" s="19" t="n">
        <v>38</v>
      </c>
      <c r="K2844" s="20" t="n">
        <v>0</v>
      </c>
      <c r="L2844" s="20" t="n">
        <v>0</v>
      </c>
      <c r="M2844" s="18" t="n">
        <v>48</v>
      </c>
      <c r="N2844" s="18" t="n">
        <v>48</v>
      </c>
      <c r="O2844" s="18" t="n">
        <v>0</v>
      </c>
      <c r="P2844" s="17" t="n">
        <v>46001</v>
      </c>
      <c r="Q2844" s="17" t="n">
        <v>46001</v>
      </c>
      <c r="R2844" s="17" t="n">
        <v>46001</v>
      </c>
      <c r="S2844" s="19">
        <f>H2844*I2844</f>
        <v/>
      </c>
      <c r="T2844" s="19">
        <f>H2844*J2844</f>
        <v/>
      </c>
      <c r="U2844">
        <f>IF(AND(K2844=0,G2844&lt;=Assumptions!$C$6),1,0)</f>
        <v/>
      </c>
      <c r="V2844">
        <f>IF(U2844=1,IF(M2844&gt;0,IF(P2844&lt;=G2844+Assumptions!$C$7,1,0),0),0)</f>
        <v/>
      </c>
      <c r="W2844">
        <f>IF(AND(U2844=1,M2844&gt;=H2844*(1-Assumptions!$C$8)),1,0)</f>
        <v/>
      </c>
      <c r="X2844">
        <f>IF(AND(U2844=1,N2844&gt;=H2844*(1-Assumptions!$C$8)),1,0)</f>
        <v/>
      </c>
      <c r="Y2844">
        <f>IF(ISNUMBER(Q2844),1,0)</f>
        <v/>
      </c>
      <c r="Z2844">
        <f>IF(AND(K2844=0,L2844=0,Y2844=0),1,0)</f>
        <v/>
      </c>
      <c r="AA2844">
        <f>IF(AND(Z2844=1,G2844&lt;Assumptions!$C$6),1,0)</f>
        <v/>
      </c>
      <c r="AB2844">
        <f>IF(U2844=0,"",IF(Y2844=1,MAX(0,Q2844-G2844),IF(L2844=1,MAX(0,R2844-G2844),MAX(0,Assumptions!$C$6-G2844))))</f>
        <v/>
      </c>
      <c r="AC2844">
        <f>IF(Y2844=1,Q2844-F2844,"")</f>
        <v/>
      </c>
      <c r="AD2844">
        <f>IF(Y2844=1,AC2844^2,"")</f>
        <v/>
      </c>
      <c r="AE2844" s="19">
        <f>IF(Z2844=1,(H2844-M2844)*I2844,0)</f>
        <v/>
      </c>
      <c r="AF2844">
        <f>IF(G2844&lt;EDATE(Assumptions!$C$6,-12)+1,"prior_12m","last_12m")</f>
        <v/>
      </c>
      <c r="AG2844" s="21">
        <f>DATE(YEAR(G2844),MONTH(G2844),1)</f>
        <v/>
      </c>
    </row>
    <row r="2845">
      <c r="A2845" t="inlineStr">
        <is>
          <t>SPO-01534-1</t>
        </is>
      </c>
      <c r="B2845" t="inlineStr">
        <is>
          <t>SPO-01534</t>
        </is>
      </c>
      <c r="C2845" t="inlineStr">
        <is>
          <t>SUP-08</t>
        </is>
      </c>
      <c r="D2845" t="inlineStr">
        <is>
          <t>MRO</t>
        </is>
      </c>
      <c r="E2845" t="inlineStr">
        <is>
          <t>MRO-01</t>
        </is>
      </c>
      <c r="F2845" s="17" t="n">
        <v>45991</v>
      </c>
      <c r="G2845" s="17" t="n">
        <v>46002</v>
      </c>
      <c r="H2845" s="18" t="n">
        <v>29</v>
      </c>
      <c r="I2845" s="19" t="n">
        <v>52.07</v>
      </c>
      <c r="J2845" s="19" t="n">
        <v>52</v>
      </c>
      <c r="K2845" s="20" t="n">
        <v>0</v>
      </c>
      <c r="L2845" s="20" t="n">
        <v>0</v>
      </c>
      <c r="M2845" s="18" t="n">
        <v>29</v>
      </c>
      <c r="N2845" s="18" t="n">
        <v>29</v>
      </c>
      <c r="O2845" s="18" t="n">
        <v>0</v>
      </c>
      <c r="P2845" s="17" t="n">
        <v>45998</v>
      </c>
      <c r="Q2845" s="17" t="n">
        <v>45998</v>
      </c>
      <c r="R2845" s="17" t="n">
        <v>45998</v>
      </c>
      <c r="S2845" s="19">
        <f>H2845*I2845</f>
        <v/>
      </c>
      <c r="T2845" s="19">
        <f>H2845*J2845</f>
        <v/>
      </c>
      <c r="U2845">
        <f>IF(AND(K2845=0,G2845&lt;=Assumptions!$C$6),1,0)</f>
        <v/>
      </c>
      <c r="V2845">
        <f>IF(U2845=1,IF(M2845&gt;0,IF(P2845&lt;=G2845+Assumptions!$C$7,1,0),0),0)</f>
        <v/>
      </c>
      <c r="W2845">
        <f>IF(AND(U2845=1,M2845&gt;=H2845*(1-Assumptions!$C$8)),1,0)</f>
        <v/>
      </c>
      <c r="X2845">
        <f>IF(AND(U2845=1,N2845&gt;=H2845*(1-Assumptions!$C$8)),1,0)</f>
        <v/>
      </c>
      <c r="Y2845">
        <f>IF(ISNUMBER(Q2845),1,0)</f>
        <v/>
      </c>
      <c r="Z2845">
        <f>IF(AND(K2845=0,L2845=0,Y2845=0),1,0)</f>
        <v/>
      </c>
      <c r="AA2845">
        <f>IF(AND(Z2845=1,G2845&lt;Assumptions!$C$6),1,0)</f>
        <v/>
      </c>
      <c r="AB2845">
        <f>IF(U2845=0,"",IF(Y2845=1,MAX(0,Q2845-G2845),IF(L2845=1,MAX(0,R2845-G2845),MAX(0,Assumptions!$C$6-G2845))))</f>
        <v/>
      </c>
      <c r="AC2845">
        <f>IF(Y2845=1,Q2845-F2845,"")</f>
        <v/>
      </c>
      <c r="AD2845">
        <f>IF(Y2845=1,AC2845^2,"")</f>
        <v/>
      </c>
      <c r="AE2845" s="19">
        <f>IF(Z2845=1,(H2845-M2845)*I2845,0)</f>
        <v/>
      </c>
      <c r="AF2845">
        <f>IF(G2845&lt;EDATE(Assumptions!$C$6,-12)+1,"prior_12m","last_12m")</f>
        <v/>
      </c>
      <c r="AG2845" s="21">
        <f>DATE(YEAR(G2845),MONTH(G2845),1)</f>
        <v/>
      </c>
    </row>
    <row r="2846">
      <c r="A2846" t="inlineStr">
        <is>
          <t>SPO-01534-2</t>
        </is>
      </c>
      <c r="B2846" t="inlineStr">
        <is>
          <t>SPO-01534</t>
        </is>
      </c>
      <c r="C2846" t="inlineStr">
        <is>
          <t>SUP-08</t>
        </is>
      </c>
      <c r="D2846" t="inlineStr">
        <is>
          <t>MRO</t>
        </is>
      </c>
      <c r="E2846" t="inlineStr">
        <is>
          <t>MRO-05</t>
        </is>
      </c>
      <c r="F2846" s="17" t="n">
        <v>45991</v>
      </c>
      <c r="G2846" s="17" t="n">
        <v>46002</v>
      </c>
      <c r="H2846" s="18" t="n">
        <v>31</v>
      </c>
      <c r="I2846" s="19" t="n">
        <v>36.55</v>
      </c>
      <c r="J2846" s="19" t="n">
        <v>36</v>
      </c>
      <c r="K2846" s="20" t="n">
        <v>0</v>
      </c>
      <c r="L2846" s="20" t="n">
        <v>0</v>
      </c>
      <c r="M2846" s="18" t="n">
        <v>31</v>
      </c>
      <c r="N2846" s="18" t="n">
        <v>31</v>
      </c>
      <c r="O2846" s="18" t="n">
        <v>0</v>
      </c>
      <c r="P2846" s="17" t="n">
        <v>45999</v>
      </c>
      <c r="Q2846" s="17" t="n">
        <v>45999</v>
      </c>
      <c r="R2846" s="17" t="n">
        <v>45999</v>
      </c>
      <c r="S2846" s="19">
        <f>H2846*I2846</f>
        <v/>
      </c>
      <c r="T2846" s="19">
        <f>H2846*J2846</f>
        <v/>
      </c>
      <c r="U2846">
        <f>IF(AND(K2846=0,G2846&lt;=Assumptions!$C$6),1,0)</f>
        <v/>
      </c>
      <c r="V2846">
        <f>IF(U2846=1,IF(M2846&gt;0,IF(P2846&lt;=G2846+Assumptions!$C$7,1,0),0),0)</f>
        <v/>
      </c>
      <c r="W2846">
        <f>IF(AND(U2846=1,M2846&gt;=H2846*(1-Assumptions!$C$8)),1,0)</f>
        <v/>
      </c>
      <c r="X2846">
        <f>IF(AND(U2846=1,N2846&gt;=H2846*(1-Assumptions!$C$8)),1,0)</f>
        <v/>
      </c>
      <c r="Y2846">
        <f>IF(ISNUMBER(Q2846),1,0)</f>
        <v/>
      </c>
      <c r="Z2846">
        <f>IF(AND(K2846=0,L2846=0,Y2846=0),1,0)</f>
        <v/>
      </c>
      <c r="AA2846">
        <f>IF(AND(Z2846=1,G2846&lt;Assumptions!$C$6),1,0)</f>
        <v/>
      </c>
      <c r="AB2846">
        <f>IF(U2846=0,"",IF(Y2846=1,MAX(0,Q2846-G2846),IF(L2846=1,MAX(0,R2846-G2846),MAX(0,Assumptions!$C$6-G2846))))</f>
        <v/>
      </c>
      <c r="AC2846">
        <f>IF(Y2846=1,Q2846-F2846,"")</f>
        <v/>
      </c>
      <c r="AD2846">
        <f>IF(Y2846=1,AC2846^2,"")</f>
        <v/>
      </c>
      <c r="AE2846" s="19">
        <f>IF(Z2846=1,(H2846-M2846)*I2846,0)</f>
        <v/>
      </c>
      <c r="AF2846">
        <f>IF(G2846&lt;EDATE(Assumptions!$C$6,-12)+1,"prior_12m","last_12m")</f>
        <v/>
      </c>
      <c r="AG2846" s="21">
        <f>DATE(YEAR(G2846),MONTH(G2846),1)</f>
        <v/>
      </c>
    </row>
    <row r="2847">
      <c r="A2847" t="inlineStr">
        <is>
          <t>SPO-01534-3</t>
        </is>
      </c>
      <c r="B2847" t="inlineStr">
        <is>
          <t>SPO-01534</t>
        </is>
      </c>
      <c r="C2847" t="inlineStr">
        <is>
          <t>SUP-08</t>
        </is>
      </c>
      <c r="D2847" t="inlineStr">
        <is>
          <t>MRO</t>
        </is>
      </c>
      <c r="E2847" t="inlineStr">
        <is>
          <t>MRO-04</t>
        </is>
      </c>
      <c r="F2847" s="17" t="n">
        <v>45991</v>
      </c>
      <c r="G2847" s="17" t="n">
        <v>46002</v>
      </c>
      <c r="H2847" s="18" t="n">
        <v>33</v>
      </c>
      <c r="I2847" s="19" t="n">
        <v>56.52</v>
      </c>
      <c r="J2847" s="19" t="n">
        <v>58</v>
      </c>
      <c r="K2847" s="20" t="n">
        <v>0</v>
      </c>
      <c r="L2847" s="20" t="n">
        <v>0</v>
      </c>
      <c r="M2847" s="18" t="n">
        <v>33</v>
      </c>
      <c r="N2847" s="18" t="n">
        <v>33</v>
      </c>
      <c r="O2847" s="18" t="n">
        <v>0</v>
      </c>
      <c r="P2847" s="17" t="n">
        <v>46000</v>
      </c>
      <c r="Q2847" s="17" t="n">
        <v>46000</v>
      </c>
      <c r="R2847" s="17" t="n">
        <v>46000</v>
      </c>
      <c r="S2847" s="19">
        <f>H2847*I2847</f>
        <v/>
      </c>
      <c r="T2847" s="19">
        <f>H2847*J2847</f>
        <v/>
      </c>
      <c r="U2847">
        <f>IF(AND(K2847=0,G2847&lt;=Assumptions!$C$6),1,0)</f>
        <v/>
      </c>
      <c r="V2847">
        <f>IF(U2847=1,IF(M2847&gt;0,IF(P2847&lt;=G2847+Assumptions!$C$7,1,0),0),0)</f>
        <v/>
      </c>
      <c r="W2847">
        <f>IF(AND(U2847=1,M2847&gt;=H2847*(1-Assumptions!$C$8)),1,0)</f>
        <v/>
      </c>
      <c r="X2847">
        <f>IF(AND(U2847=1,N2847&gt;=H2847*(1-Assumptions!$C$8)),1,0)</f>
        <v/>
      </c>
      <c r="Y2847">
        <f>IF(ISNUMBER(Q2847),1,0)</f>
        <v/>
      </c>
      <c r="Z2847">
        <f>IF(AND(K2847=0,L2847=0,Y2847=0),1,0)</f>
        <v/>
      </c>
      <c r="AA2847">
        <f>IF(AND(Z2847=1,G2847&lt;Assumptions!$C$6),1,0)</f>
        <v/>
      </c>
      <c r="AB2847">
        <f>IF(U2847=0,"",IF(Y2847=1,MAX(0,Q2847-G2847),IF(L2847=1,MAX(0,R2847-G2847),MAX(0,Assumptions!$C$6-G2847))))</f>
        <v/>
      </c>
      <c r="AC2847">
        <f>IF(Y2847=1,Q2847-F2847,"")</f>
        <v/>
      </c>
      <c r="AD2847">
        <f>IF(Y2847=1,AC2847^2,"")</f>
        <v/>
      </c>
      <c r="AE2847" s="19">
        <f>IF(Z2847=1,(H2847-M2847)*I2847,0)</f>
        <v/>
      </c>
      <c r="AF2847">
        <f>IF(G2847&lt;EDATE(Assumptions!$C$6,-12)+1,"prior_12m","last_12m")</f>
        <v/>
      </c>
      <c r="AG2847" s="21">
        <f>DATE(YEAR(G2847),MONTH(G2847),1)</f>
        <v/>
      </c>
    </row>
    <row r="2848">
      <c r="A2848" t="inlineStr">
        <is>
          <t>SPO-01535-1</t>
        </is>
      </c>
      <c r="B2848" t="inlineStr">
        <is>
          <t>SPO-01535</t>
        </is>
      </c>
      <c r="C2848" t="inlineStr">
        <is>
          <t>SUP-01</t>
        </is>
      </c>
      <c r="D2848" t="inlineStr">
        <is>
          <t>ELEC</t>
        </is>
      </c>
      <c r="E2848" t="inlineStr">
        <is>
          <t>ELEC-02</t>
        </is>
      </c>
      <c r="F2848" s="17" t="n">
        <v>45991</v>
      </c>
      <c r="G2848" s="17" t="n">
        <v>46009</v>
      </c>
      <c r="H2848" s="18" t="n">
        <v>510</v>
      </c>
      <c r="I2848" s="19" t="n">
        <v>4.18</v>
      </c>
      <c r="J2848" s="19" t="n">
        <v>4.2</v>
      </c>
      <c r="K2848" s="20" t="n">
        <v>0</v>
      </c>
      <c r="L2848" s="20" t="n">
        <v>0</v>
      </c>
      <c r="M2848" s="18" t="n">
        <v>510</v>
      </c>
      <c r="N2848" s="18" t="n">
        <v>0</v>
      </c>
      <c r="O2848" s="18" t="n">
        <v>0</v>
      </c>
      <c r="P2848" s="17" t="n">
        <v>46024</v>
      </c>
      <c r="Q2848" s="17" t="n">
        <v>46024</v>
      </c>
      <c r="R2848" s="17" t="n">
        <v>46024</v>
      </c>
      <c r="S2848" s="19">
        <f>H2848*I2848</f>
        <v/>
      </c>
      <c r="T2848" s="19">
        <f>H2848*J2848</f>
        <v/>
      </c>
      <c r="U2848">
        <f>IF(AND(K2848=0,G2848&lt;=Assumptions!$C$6),1,0)</f>
        <v/>
      </c>
      <c r="V2848">
        <f>IF(U2848=1,IF(M2848&gt;0,IF(P2848&lt;=G2848+Assumptions!$C$7,1,0),0),0)</f>
        <v/>
      </c>
      <c r="W2848">
        <f>IF(AND(U2848=1,M2848&gt;=H2848*(1-Assumptions!$C$8)),1,0)</f>
        <v/>
      </c>
      <c r="X2848">
        <f>IF(AND(U2848=1,N2848&gt;=H2848*(1-Assumptions!$C$8)),1,0)</f>
        <v/>
      </c>
      <c r="Y2848">
        <f>IF(ISNUMBER(Q2848),1,0)</f>
        <v/>
      </c>
      <c r="Z2848">
        <f>IF(AND(K2848=0,L2848=0,Y2848=0),1,0)</f>
        <v/>
      </c>
      <c r="AA2848">
        <f>IF(AND(Z2848=1,G2848&lt;Assumptions!$C$6),1,0)</f>
        <v/>
      </c>
      <c r="AB2848">
        <f>IF(U2848=0,"",IF(Y2848=1,MAX(0,Q2848-G2848),IF(L2848=1,MAX(0,R2848-G2848),MAX(0,Assumptions!$C$6-G2848))))</f>
        <v/>
      </c>
      <c r="AC2848">
        <f>IF(Y2848=1,Q2848-F2848,"")</f>
        <v/>
      </c>
      <c r="AD2848">
        <f>IF(Y2848=1,AC2848^2,"")</f>
        <v/>
      </c>
      <c r="AE2848" s="19">
        <f>IF(Z2848=1,(H2848-M2848)*I2848,0)</f>
        <v/>
      </c>
      <c r="AF2848">
        <f>IF(G2848&lt;EDATE(Assumptions!$C$6,-12)+1,"prior_12m","last_12m")</f>
        <v/>
      </c>
      <c r="AG2848" s="21">
        <f>DATE(YEAR(G2848),MONTH(G2848),1)</f>
        <v/>
      </c>
    </row>
    <row r="2849">
      <c r="A2849" t="inlineStr">
        <is>
          <t>SPO-01536-1</t>
        </is>
      </c>
      <c r="B2849" t="inlineStr">
        <is>
          <t>SPO-01536</t>
        </is>
      </c>
      <c r="C2849" t="inlineStr">
        <is>
          <t>SUP-02</t>
        </is>
      </c>
      <c r="D2849" t="inlineStr">
        <is>
          <t>ELEC</t>
        </is>
      </c>
      <c r="E2849" t="inlineStr">
        <is>
          <t>ELEC-05</t>
        </is>
      </c>
      <c r="F2849" s="17" t="n">
        <v>45991</v>
      </c>
      <c r="G2849" s="17" t="n">
        <v>46007</v>
      </c>
      <c r="H2849" s="18" t="n">
        <v>64</v>
      </c>
      <c r="I2849" s="19" t="n">
        <v>11.48</v>
      </c>
      <c r="J2849" s="19" t="n">
        <v>11.5</v>
      </c>
      <c r="K2849" s="20" t="n">
        <v>0</v>
      </c>
      <c r="L2849" s="20" t="n">
        <v>0</v>
      </c>
      <c r="M2849" s="18" t="n">
        <v>64</v>
      </c>
      <c r="N2849" s="18" t="n">
        <v>0</v>
      </c>
      <c r="O2849" s="18" t="n">
        <v>0</v>
      </c>
      <c r="P2849" s="17" t="n">
        <v>46008</v>
      </c>
      <c r="Q2849" s="17" t="n">
        <v>46008</v>
      </c>
      <c r="R2849" s="17" t="n">
        <v>46008</v>
      </c>
      <c r="S2849" s="19">
        <f>H2849*I2849</f>
        <v/>
      </c>
      <c r="T2849" s="19">
        <f>H2849*J2849</f>
        <v/>
      </c>
      <c r="U2849">
        <f>IF(AND(K2849=0,G2849&lt;=Assumptions!$C$6),1,0)</f>
        <v/>
      </c>
      <c r="V2849">
        <f>IF(U2849=1,IF(M2849&gt;0,IF(P2849&lt;=G2849+Assumptions!$C$7,1,0),0),0)</f>
        <v/>
      </c>
      <c r="W2849">
        <f>IF(AND(U2849=1,M2849&gt;=H2849*(1-Assumptions!$C$8)),1,0)</f>
        <v/>
      </c>
      <c r="X2849">
        <f>IF(AND(U2849=1,N2849&gt;=H2849*(1-Assumptions!$C$8)),1,0)</f>
        <v/>
      </c>
      <c r="Y2849">
        <f>IF(ISNUMBER(Q2849),1,0)</f>
        <v/>
      </c>
      <c r="Z2849">
        <f>IF(AND(K2849=0,L2849=0,Y2849=0),1,0)</f>
        <v/>
      </c>
      <c r="AA2849">
        <f>IF(AND(Z2849=1,G2849&lt;Assumptions!$C$6),1,0)</f>
        <v/>
      </c>
      <c r="AB2849">
        <f>IF(U2849=0,"",IF(Y2849=1,MAX(0,Q2849-G2849),IF(L2849=1,MAX(0,R2849-G2849),MAX(0,Assumptions!$C$6-G2849))))</f>
        <v/>
      </c>
      <c r="AC2849">
        <f>IF(Y2849=1,Q2849-F2849,"")</f>
        <v/>
      </c>
      <c r="AD2849">
        <f>IF(Y2849=1,AC2849^2,"")</f>
        <v/>
      </c>
      <c r="AE2849" s="19">
        <f>IF(Z2849=1,(H2849-M2849)*I2849,0)</f>
        <v/>
      </c>
      <c r="AF2849">
        <f>IF(G2849&lt;EDATE(Assumptions!$C$6,-12)+1,"prior_12m","last_12m")</f>
        <v/>
      </c>
      <c r="AG2849" s="21">
        <f>DATE(YEAR(G2849),MONTH(G2849),1)</f>
        <v/>
      </c>
    </row>
    <row r="2850">
      <c r="A2850" t="inlineStr">
        <is>
          <t>SPO-01536-2</t>
        </is>
      </c>
      <c r="B2850" t="inlineStr">
        <is>
          <t>SPO-01536</t>
        </is>
      </c>
      <c r="C2850" t="inlineStr">
        <is>
          <t>SUP-02</t>
        </is>
      </c>
      <c r="D2850" t="inlineStr">
        <is>
          <t>ELEC</t>
        </is>
      </c>
      <c r="E2850" t="inlineStr">
        <is>
          <t>ELEC-02</t>
        </is>
      </c>
      <c r="F2850" s="17" t="n">
        <v>45991</v>
      </c>
      <c r="G2850" s="17" t="n">
        <v>46007</v>
      </c>
      <c r="H2850" s="18" t="n">
        <v>275</v>
      </c>
      <c r="I2850" s="19" t="n">
        <v>4.31</v>
      </c>
      <c r="J2850" s="19" t="n">
        <v>4.2</v>
      </c>
      <c r="K2850" s="20" t="n">
        <v>0</v>
      </c>
      <c r="L2850" s="20" t="n">
        <v>0</v>
      </c>
      <c r="M2850" s="18" t="n">
        <v>275</v>
      </c>
      <c r="N2850" s="18" t="n">
        <v>275</v>
      </c>
      <c r="O2850" s="18" t="n">
        <v>0</v>
      </c>
      <c r="P2850" s="17" t="n">
        <v>46003</v>
      </c>
      <c r="Q2850" s="17" t="n">
        <v>46003</v>
      </c>
      <c r="R2850" s="17" t="n">
        <v>46003</v>
      </c>
      <c r="S2850" s="19">
        <f>H2850*I2850</f>
        <v/>
      </c>
      <c r="T2850" s="19">
        <f>H2850*J2850</f>
        <v/>
      </c>
      <c r="U2850">
        <f>IF(AND(K2850=0,G2850&lt;=Assumptions!$C$6),1,0)</f>
        <v/>
      </c>
      <c r="V2850">
        <f>IF(U2850=1,IF(M2850&gt;0,IF(P2850&lt;=G2850+Assumptions!$C$7,1,0),0),0)</f>
        <v/>
      </c>
      <c r="W2850">
        <f>IF(AND(U2850=1,M2850&gt;=H2850*(1-Assumptions!$C$8)),1,0)</f>
        <v/>
      </c>
      <c r="X2850">
        <f>IF(AND(U2850=1,N2850&gt;=H2850*(1-Assumptions!$C$8)),1,0)</f>
        <v/>
      </c>
      <c r="Y2850">
        <f>IF(ISNUMBER(Q2850),1,0)</f>
        <v/>
      </c>
      <c r="Z2850">
        <f>IF(AND(K2850=0,L2850=0,Y2850=0),1,0)</f>
        <v/>
      </c>
      <c r="AA2850">
        <f>IF(AND(Z2850=1,G2850&lt;Assumptions!$C$6),1,0)</f>
        <v/>
      </c>
      <c r="AB2850">
        <f>IF(U2850=0,"",IF(Y2850=1,MAX(0,Q2850-G2850),IF(L2850=1,MAX(0,R2850-G2850),MAX(0,Assumptions!$C$6-G2850))))</f>
        <v/>
      </c>
      <c r="AC2850">
        <f>IF(Y2850=1,Q2850-F2850,"")</f>
        <v/>
      </c>
      <c r="AD2850">
        <f>IF(Y2850=1,AC2850^2,"")</f>
        <v/>
      </c>
      <c r="AE2850" s="19">
        <f>IF(Z2850=1,(H2850-M2850)*I2850,0)</f>
        <v/>
      </c>
      <c r="AF2850">
        <f>IF(G2850&lt;EDATE(Assumptions!$C$6,-12)+1,"prior_12m","last_12m")</f>
        <v/>
      </c>
      <c r="AG2850" s="21">
        <f>DATE(YEAR(G2850),MONTH(G2850),1)</f>
        <v/>
      </c>
    </row>
    <row r="2851">
      <c r="A2851" t="inlineStr">
        <is>
          <t>SPO-01537-1</t>
        </is>
      </c>
      <c r="B2851" t="inlineStr">
        <is>
          <t>SPO-01537</t>
        </is>
      </c>
      <c r="C2851" t="inlineStr">
        <is>
          <t>SUP-02</t>
        </is>
      </c>
      <c r="D2851" t="inlineStr">
        <is>
          <t>ELEC</t>
        </is>
      </c>
      <c r="E2851" t="inlineStr">
        <is>
          <t>ELEC-07</t>
        </is>
      </c>
      <c r="F2851" s="17" t="n">
        <v>45991</v>
      </c>
      <c r="G2851" s="17" t="n">
        <v>46007</v>
      </c>
      <c r="H2851" s="18" t="n">
        <v>328</v>
      </c>
      <c r="I2851" s="19" t="n">
        <v>9.859999999999999</v>
      </c>
      <c r="J2851" s="19" t="n">
        <v>9.800000000000001</v>
      </c>
      <c r="K2851" s="20" t="n">
        <v>0</v>
      </c>
      <c r="L2851" s="20" t="n">
        <v>0</v>
      </c>
      <c r="M2851" s="18" t="n">
        <v>328</v>
      </c>
      <c r="N2851" s="18" t="n">
        <v>328</v>
      </c>
      <c r="O2851" s="18" t="n">
        <v>0</v>
      </c>
      <c r="P2851" s="17" t="n">
        <v>46005</v>
      </c>
      <c r="Q2851" s="17" t="n">
        <v>46005</v>
      </c>
      <c r="R2851" s="17" t="n">
        <v>46005</v>
      </c>
      <c r="S2851" s="19">
        <f>H2851*I2851</f>
        <v/>
      </c>
      <c r="T2851" s="19">
        <f>H2851*J2851</f>
        <v/>
      </c>
      <c r="U2851">
        <f>IF(AND(K2851=0,G2851&lt;=Assumptions!$C$6),1,0)</f>
        <v/>
      </c>
      <c r="V2851">
        <f>IF(U2851=1,IF(M2851&gt;0,IF(P2851&lt;=G2851+Assumptions!$C$7,1,0),0),0)</f>
        <v/>
      </c>
      <c r="W2851">
        <f>IF(AND(U2851=1,M2851&gt;=H2851*(1-Assumptions!$C$8)),1,0)</f>
        <v/>
      </c>
      <c r="X2851">
        <f>IF(AND(U2851=1,N2851&gt;=H2851*(1-Assumptions!$C$8)),1,0)</f>
        <v/>
      </c>
      <c r="Y2851">
        <f>IF(ISNUMBER(Q2851),1,0)</f>
        <v/>
      </c>
      <c r="Z2851">
        <f>IF(AND(K2851=0,L2851=0,Y2851=0),1,0)</f>
        <v/>
      </c>
      <c r="AA2851">
        <f>IF(AND(Z2851=1,G2851&lt;Assumptions!$C$6),1,0)</f>
        <v/>
      </c>
      <c r="AB2851">
        <f>IF(U2851=0,"",IF(Y2851=1,MAX(0,Q2851-G2851),IF(L2851=1,MAX(0,R2851-G2851),MAX(0,Assumptions!$C$6-G2851))))</f>
        <v/>
      </c>
      <c r="AC2851">
        <f>IF(Y2851=1,Q2851-F2851,"")</f>
        <v/>
      </c>
      <c r="AD2851">
        <f>IF(Y2851=1,AC2851^2,"")</f>
        <v/>
      </c>
      <c r="AE2851" s="19">
        <f>IF(Z2851=1,(H2851-M2851)*I2851,0)</f>
        <v/>
      </c>
      <c r="AF2851">
        <f>IF(G2851&lt;EDATE(Assumptions!$C$6,-12)+1,"prior_12m","last_12m")</f>
        <v/>
      </c>
      <c r="AG2851" s="21">
        <f>DATE(YEAR(G2851),MONTH(G2851),1)</f>
        <v/>
      </c>
    </row>
    <row r="2852">
      <c r="A2852" t="inlineStr">
        <is>
          <t>SPO-01537-2</t>
        </is>
      </c>
      <c r="B2852" t="inlineStr">
        <is>
          <t>SPO-01537</t>
        </is>
      </c>
      <c r="C2852" t="inlineStr">
        <is>
          <t>SUP-02</t>
        </is>
      </c>
      <c r="D2852" t="inlineStr">
        <is>
          <t>ELEC</t>
        </is>
      </c>
      <c r="E2852" t="inlineStr">
        <is>
          <t>ELEC-03</t>
        </is>
      </c>
      <c r="F2852" s="17" t="n">
        <v>45991</v>
      </c>
      <c r="G2852" s="17" t="n">
        <v>46007</v>
      </c>
      <c r="H2852" s="18" t="n">
        <v>9</v>
      </c>
      <c r="I2852" s="19" t="n">
        <v>94.25</v>
      </c>
      <c r="J2852" s="19" t="n">
        <v>96</v>
      </c>
      <c r="K2852" s="20" t="n">
        <v>0</v>
      </c>
      <c r="L2852" s="20" t="n">
        <v>0</v>
      </c>
      <c r="M2852" s="18" t="n">
        <v>9</v>
      </c>
      <c r="N2852" s="18" t="n">
        <v>9</v>
      </c>
      <c r="O2852" s="18" t="n">
        <v>0</v>
      </c>
      <c r="P2852" s="17" t="n">
        <v>46006</v>
      </c>
      <c r="Q2852" s="17" t="n">
        <v>46006</v>
      </c>
      <c r="R2852" s="17" t="n">
        <v>46006</v>
      </c>
      <c r="S2852" s="19">
        <f>H2852*I2852</f>
        <v/>
      </c>
      <c r="T2852" s="19">
        <f>H2852*J2852</f>
        <v/>
      </c>
      <c r="U2852">
        <f>IF(AND(K2852=0,G2852&lt;=Assumptions!$C$6),1,0)</f>
        <v/>
      </c>
      <c r="V2852">
        <f>IF(U2852=1,IF(M2852&gt;0,IF(P2852&lt;=G2852+Assumptions!$C$7,1,0),0),0)</f>
        <v/>
      </c>
      <c r="W2852">
        <f>IF(AND(U2852=1,M2852&gt;=H2852*(1-Assumptions!$C$8)),1,0)</f>
        <v/>
      </c>
      <c r="X2852">
        <f>IF(AND(U2852=1,N2852&gt;=H2852*(1-Assumptions!$C$8)),1,0)</f>
        <v/>
      </c>
      <c r="Y2852">
        <f>IF(ISNUMBER(Q2852),1,0)</f>
        <v/>
      </c>
      <c r="Z2852">
        <f>IF(AND(K2852=0,L2852=0,Y2852=0),1,0)</f>
        <v/>
      </c>
      <c r="AA2852">
        <f>IF(AND(Z2852=1,G2852&lt;Assumptions!$C$6),1,0)</f>
        <v/>
      </c>
      <c r="AB2852">
        <f>IF(U2852=0,"",IF(Y2852=1,MAX(0,Q2852-G2852),IF(L2852=1,MAX(0,R2852-G2852),MAX(0,Assumptions!$C$6-G2852))))</f>
        <v/>
      </c>
      <c r="AC2852">
        <f>IF(Y2852=1,Q2852-F2852,"")</f>
        <v/>
      </c>
      <c r="AD2852">
        <f>IF(Y2852=1,AC2852^2,"")</f>
        <v/>
      </c>
      <c r="AE2852" s="19">
        <f>IF(Z2852=1,(H2852-M2852)*I2852,0)</f>
        <v/>
      </c>
      <c r="AF2852">
        <f>IF(G2852&lt;EDATE(Assumptions!$C$6,-12)+1,"prior_12m","last_12m")</f>
        <v/>
      </c>
      <c r="AG2852" s="21">
        <f>DATE(YEAR(G2852),MONTH(G2852),1)</f>
        <v/>
      </c>
    </row>
    <row r="2853">
      <c r="A2853" t="inlineStr">
        <is>
          <t>SPO-01538-1</t>
        </is>
      </c>
      <c r="B2853" t="inlineStr">
        <is>
          <t>SPO-01538</t>
        </is>
      </c>
      <c r="C2853" t="inlineStr">
        <is>
          <t>SUP-02</t>
        </is>
      </c>
      <c r="D2853" t="inlineStr">
        <is>
          <t>ELEC</t>
        </is>
      </c>
      <c r="E2853" t="inlineStr">
        <is>
          <t>ELEC-03</t>
        </is>
      </c>
      <c r="F2853" s="17" t="n">
        <v>45991</v>
      </c>
      <c r="G2853" s="17" t="n">
        <v>46007</v>
      </c>
      <c r="H2853" s="18" t="n">
        <v>10</v>
      </c>
      <c r="I2853" s="19" t="n">
        <v>91.91</v>
      </c>
      <c r="J2853" s="19" t="n">
        <v>96</v>
      </c>
      <c r="K2853" s="20" t="n">
        <v>0</v>
      </c>
      <c r="L2853" s="20" t="n">
        <v>0</v>
      </c>
      <c r="M2853" s="18" t="n">
        <v>10</v>
      </c>
      <c r="N2853" s="18" t="n">
        <v>10</v>
      </c>
      <c r="O2853" s="18" t="n">
        <v>0</v>
      </c>
      <c r="P2853" s="17" t="n">
        <v>46002</v>
      </c>
      <c r="Q2853" s="17" t="n">
        <v>46002</v>
      </c>
      <c r="R2853" s="17" t="n">
        <v>46002</v>
      </c>
      <c r="S2853" s="19">
        <f>H2853*I2853</f>
        <v/>
      </c>
      <c r="T2853" s="19">
        <f>H2853*J2853</f>
        <v/>
      </c>
      <c r="U2853">
        <f>IF(AND(K2853=0,G2853&lt;=Assumptions!$C$6),1,0)</f>
        <v/>
      </c>
      <c r="V2853">
        <f>IF(U2853=1,IF(M2853&gt;0,IF(P2853&lt;=G2853+Assumptions!$C$7,1,0),0),0)</f>
        <v/>
      </c>
      <c r="W2853">
        <f>IF(AND(U2853=1,M2853&gt;=H2853*(1-Assumptions!$C$8)),1,0)</f>
        <v/>
      </c>
      <c r="X2853">
        <f>IF(AND(U2853=1,N2853&gt;=H2853*(1-Assumptions!$C$8)),1,0)</f>
        <v/>
      </c>
      <c r="Y2853">
        <f>IF(ISNUMBER(Q2853),1,0)</f>
        <v/>
      </c>
      <c r="Z2853">
        <f>IF(AND(K2853=0,L2853=0,Y2853=0),1,0)</f>
        <v/>
      </c>
      <c r="AA2853">
        <f>IF(AND(Z2853=1,G2853&lt;Assumptions!$C$6),1,0)</f>
        <v/>
      </c>
      <c r="AB2853">
        <f>IF(U2853=0,"",IF(Y2853=1,MAX(0,Q2853-G2853),IF(L2853=1,MAX(0,R2853-G2853),MAX(0,Assumptions!$C$6-G2853))))</f>
        <v/>
      </c>
      <c r="AC2853">
        <f>IF(Y2853=1,Q2853-F2853,"")</f>
        <v/>
      </c>
      <c r="AD2853">
        <f>IF(Y2853=1,AC2853^2,"")</f>
        <v/>
      </c>
      <c r="AE2853" s="19">
        <f>IF(Z2853=1,(H2853-M2853)*I2853,0)</f>
        <v/>
      </c>
      <c r="AF2853">
        <f>IF(G2853&lt;EDATE(Assumptions!$C$6,-12)+1,"prior_12m","last_12m")</f>
        <v/>
      </c>
      <c r="AG2853" s="21">
        <f>DATE(YEAR(G2853),MONTH(G2853),1)</f>
        <v/>
      </c>
    </row>
    <row r="2854">
      <c r="A2854" t="inlineStr">
        <is>
          <t>SPO-01538-2</t>
        </is>
      </c>
      <c r="B2854" t="inlineStr">
        <is>
          <t>SPO-01538</t>
        </is>
      </c>
      <c r="C2854" t="inlineStr">
        <is>
          <t>SUP-02</t>
        </is>
      </c>
      <c r="D2854" t="inlineStr">
        <is>
          <t>ELEC</t>
        </is>
      </c>
      <c r="E2854" t="inlineStr">
        <is>
          <t>ELEC-01</t>
        </is>
      </c>
      <c r="F2854" s="17" t="n">
        <v>45991</v>
      </c>
      <c r="G2854" s="17" t="n">
        <v>46007</v>
      </c>
      <c r="H2854" s="18" t="n">
        <v>49</v>
      </c>
      <c r="I2854" s="19" t="n">
        <v>37.76</v>
      </c>
      <c r="J2854" s="19" t="n">
        <v>38</v>
      </c>
      <c r="K2854" s="20" t="n">
        <v>0</v>
      </c>
      <c r="L2854" s="20" t="n">
        <v>0</v>
      </c>
      <c r="M2854" s="18" t="n">
        <v>49</v>
      </c>
      <c r="N2854" s="18" t="n">
        <v>49</v>
      </c>
      <c r="O2854" s="18" t="n">
        <v>0</v>
      </c>
      <c r="P2854" s="17" t="n">
        <v>46002</v>
      </c>
      <c r="Q2854" s="17" t="n">
        <v>46002</v>
      </c>
      <c r="R2854" s="17" t="n">
        <v>46002</v>
      </c>
      <c r="S2854" s="19">
        <f>H2854*I2854</f>
        <v/>
      </c>
      <c r="T2854" s="19">
        <f>H2854*J2854</f>
        <v/>
      </c>
      <c r="U2854">
        <f>IF(AND(K2854=0,G2854&lt;=Assumptions!$C$6),1,0)</f>
        <v/>
      </c>
      <c r="V2854">
        <f>IF(U2854=1,IF(M2854&gt;0,IF(P2854&lt;=G2854+Assumptions!$C$7,1,0),0),0)</f>
        <v/>
      </c>
      <c r="W2854">
        <f>IF(AND(U2854=1,M2854&gt;=H2854*(1-Assumptions!$C$8)),1,0)</f>
        <v/>
      </c>
      <c r="X2854">
        <f>IF(AND(U2854=1,N2854&gt;=H2854*(1-Assumptions!$C$8)),1,0)</f>
        <v/>
      </c>
      <c r="Y2854">
        <f>IF(ISNUMBER(Q2854),1,0)</f>
        <v/>
      </c>
      <c r="Z2854">
        <f>IF(AND(K2854=0,L2854=0,Y2854=0),1,0)</f>
        <v/>
      </c>
      <c r="AA2854">
        <f>IF(AND(Z2854=1,G2854&lt;Assumptions!$C$6),1,0)</f>
        <v/>
      </c>
      <c r="AB2854">
        <f>IF(U2854=0,"",IF(Y2854=1,MAX(0,Q2854-G2854),IF(L2854=1,MAX(0,R2854-G2854),MAX(0,Assumptions!$C$6-G2854))))</f>
        <v/>
      </c>
      <c r="AC2854">
        <f>IF(Y2854=1,Q2854-F2854,"")</f>
        <v/>
      </c>
      <c r="AD2854">
        <f>IF(Y2854=1,AC2854^2,"")</f>
        <v/>
      </c>
      <c r="AE2854" s="19">
        <f>IF(Z2854=1,(H2854-M2854)*I2854,0)</f>
        <v/>
      </c>
      <c r="AF2854">
        <f>IF(G2854&lt;EDATE(Assumptions!$C$6,-12)+1,"prior_12m","last_12m")</f>
        <v/>
      </c>
      <c r="AG2854" s="21">
        <f>DATE(YEAR(G2854),MONTH(G2854),1)</f>
        <v/>
      </c>
    </row>
    <row r="2855">
      <c r="A2855" t="inlineStr">
        <is>
          <t>SPO-01539-1</t>
        </is>
      </c>
      <c r="B2855" t="inlineStr">
        <is>
          <t>SPO-01539</t>
        </is>
      </c>
      <c r="C2855" t="inlineStr">
        <is>
          <t>SUP-05</t>
        </is>
      </c>
      <c r="D2855" t="inlineStr">
        <is>
          <t>FLEET</t>
        </is>
      </c>
      <c r="E2855" t="inlineStr">
        <is>
          <t>FLEET-04</t>
        </is>
      </c>
      <c r="F2855" s="17" t="n">
        <v>45992</v>
      </c>
      <c r="G2855" s="17" t="n">
        <v>46006</v>
      </c>
      <c r="H2855" s="18" t="n">
        <v>82</v>
      </c>
      <c r="I2855" s="19" t="n">
        <v>9.210000000000001</v>
      </c>
      <c r="J2855" s="19" t="n">
        <v>9</v>
      </c>
      <c r="K2855" s="20" t="n">
        <v>0</v>
      </c>
      <c r="L2855" s="20" t="n">
        <v>0</v>
      </c>
      <c r="M2855" s="18" t="n">
        <v>82</v>
      </c>
      <c r="N2855" s="18" t="n">
        <v>82</v>
      </c>
      <c r="O2855" s="18" t="n">
        <v>0</v>
      </c>
      <c r="P2855" s="17" t="n">
        <v>46003</v>
      </c>
      <c r="Q2855" s="17" t="n">
        <v>46003</v>
      </c>
      <c r="R2855" s="17" t="n">
        <v>46003</v>
      </c>
      <c r="S2855" s="19">
        <f>H2855*I2855</f>
        <v/>
      </c>
      <c r="T2855" s="19">
        <f>H2855*J2855</f>
        <v/>
      </c>
      <c r="U2855">
        <f>IF(AND(K2855=0,G2855&lt;=Assumptions!$C$6),1,0)</f>
        <v/>
      </c>
      <c r="V2855">
        <f>IF(U2855=1,IF(M2855&gt;0,IF(P2855&lt;=G2855+Assumptions!$C$7,1,0),0),0)</f>
        <v/>
      </c>
      <c r="W2855">
        <f>IF(AND(U2855=1,M2855&gt;=H2855*(1-Assumptions!$C$8)),1,0)</f>
        <v/>
      </c>
      <c r="X2855">
        <f>IF(AND(U2855=1,N2855&gt;=H2855*(1-Assumptions!$C$8)),1,0)</f>
        <v/>
      </c>
      <c r="Y2855">
        <f>IF(ISNUMBER(Q2855),1,0)</f>
        <v/>
      </c>
      <c r="Z2855">
        <f>IF(AND(K2855=0,L2855=0,Y2855=0),1,0)</f>
        <v/>
      </c>
      <c r="AA2855">
        <f>IF(AND(Z2855=1,G2855&lt;Assumptions!$C$6),1,0)</f>
        <v/>
      </c>
      <c r="AB2855">
        <f>IF(U2855=0,"",IF(Y2855=1,MAX(0,Q2855-G2855),IF(L2855=1,MAX(0,R2855-G2855),MAX(0,Assumptions!$C$6-G2855))))</f>
        <v/>
      </c>
      <c r="AC2855">
        <f>IF(Y2855=1,Q2855-F2855,"")</f>
        <v/>
      </c>
      <c r="AD2855">
        <f>IF(Y2855=1,AC2855^2,"")</f>
        <v/>
      </c>
      <c r="AE2855" s="19">
        <f>IF(Z2855=1,(H2855-M2855)*I2855,0)</f>
        <v/>
      </c>
      <c r="AF2855">
        <f>IF(G2855&lt;EDATE(Assumptions!$C$6,-12)+1,"prior_12m","last_12m")</f>
        <v/>
      </c>
      <c r="AG2855" s="21">
        <f>DATE(YEAR(G2855),MONTH(G2855),1)</f>
        <v/>
      </c>
    </row>
    <row r="2856">
      <c r="A2856" t="inlineStr">
        <is>
          <t>SPO-01539-2</t>
        </is>
      </c>
      <c r="B2856" t="inlineStr">
        <is>
          <t>SPO-01539</t>
        </is>
      </c>
      <c r="C2856" t="inlineStr">
        <is>
          <t>SUP-05</t>
        </is>
      </c>
      <c r="D2856" t="inlineStr">
        <is>
          <t>FLEET</t>
        </is>
      </c>
      <c r="E2856" t="inlineStr">
        <is>
          <t>FLEET-03</t>
        </is>
      </c>
      <c r="F2856" s="17" t="n">
        <v>45992</v>
      </c>
      <c r="G2856" s="17" t="n">
        <v>46006</v>
      </c>
      <c r="H2856" s="18" t="n">
        <v>27</v>
      </c>
      <c r="I2856" s="19" t="n">
        <v>20.82</v>
      </c>
      <c r="J2856" s="19" t="n">
        <v>21</v>
      </c>
      <c r="K2856" s="20" t="n">
        <v>0</v>
      </c>
      <c r="L2856" s="20" t="n">
        <v>0</v>
      </c>
      <c r="M2856" s="18" t="n">
        <v>27</v>
      </c>
      <c r="N2856" s="18" t="n">
        <v>27</v>
      </c>
      <c r="O2856" s="18" t="n">
        <v>0</v>
      </c>
      <c r="P2856" s="17" t="n">
        <v>46005</v>
      </c>
      <c r="Q2856" s="17" t="n">
        <v>46005</v>
      </c>
      <c r="R2856" s="17" t="n">
        <v>46005</v>
      </c>
      <c r="S2856" s="19">
        <f>H2856*I2856</f>
        <v/>
      </c>
      <c r="T2856" s="19">
        <f>H2856*J2856</f>
        <v/>
      </c>
      <c r="U2856">
        <f>IF(AND(K2856=0,G2856&lt;=Assumptions!$C$6),1,0)</f>
        <v/>
      </c>
      <c r="V2856">
        <f>IF(U2856=1,IF(M2856&gt;0,IF(P2856&lt;=G2856+Assumptions!$C$7,1,0),0),0)</f>
        <v/>
      </c>
      <c r="W2856">
        <f>IF(AND(U2856=1,M2856&gt;=H2856*(1-Assumptions!$C$8)),1,0)</f>
        <v/>
      </c>
      <c r="X2856">
        <f>IF(AND(U2856=1,N2856&gt;=H2856*(1-Assumptions!$C$8)),1,0)</f>
        <v/>
      </c>
      <c r="Y2856">
        <f>IF(ISNUMBER(Q2856),1,0)</f>
        <v/>
      </c>
      <c r="Z2856">
        <f>IF(AND(K2856=0,L2856=0,Y2856=0),1,0)</f>
        <v/>
      </c>
      <c r="AA2856">
        <f>IF(AND(Z2856=1,G2856&lt;Assumptions!$C$6),1,0)</f>
        <v/>
      </c>
      <c r="AB2856">
        <f>IF(U2856=0,"",IF(Y2856=1,MAX(0,Q2856-G2856),IF(L2856=1,MAX(0,R2856-G2856),MAX(0,Assumptions!$C$6-G2856))))</f>
        <v/>
      </c>
      <c r="AC2856">
        <f>IF(Y2856=1,Q2856-F2856,"")</f>
        <v/>
      </c>
      <c r="AD2856">
        <f>IF(Y2856=1,AC2856^2,"")</f>
        <v/>
      </c>
      <c r="AE2856" s="19">
        <f>IF(Z2856=1,(H2856-M2856)*I2856,0)</f>
        <v/>
      </c>
      <c r="AF2856">
        <f>IF(G2856&lt;EDATE(Assumptions!$C$6,-12)+1,"prior_12m","last_12m")</f>
        <v/>
      </c>
      <c r="AG2856" s="21">
        <f>DATE(YEAR(G2856),MONTH(G2856),1)</f>
        <v/>
      </c>
    </row>
    <row r="2857">
      <c r="A2857" t="inlineStr">
        <is>
          <t>SPO-01539-3</t>
        </is>
      </c>
      <c r="B2857" t="inlineStr">
        <is>
          <t>SPO-01539</t>
        </is>
      </c>
      <c r="C2857" t="inlineStr">
        <is>
          <t>SUP-05</t>
        </is>
      </c>
      <c r="D2857" t="inlineStr">
        <is>
          <t>FLEET</t>
        </is>
      </c>
      <c r="E2857" t="inlineStr">
        <is>
          <t>FLEET-06</t>
        </is>
      </c>
      <c r="F2857" s="17" t="n">
        <v>45992</v>
      </c>
      <c r="G2857" s="17" t="n">
        <v>46006</v>
      </c>
      <c r="H2857" s="18" t="n">
        <v>73</v>
      </c>
      <c r="I2857" s="19" t="n">
        <v>33.8</v>
      </c>
      <c r="J2857" s="19" t="n">
        <v>33</v>
      </c>
      <c r="K2857" s="20" t="n">
        <v>0</v>
      </c>
      <c r="L2857" s="20" t="n">
        <v>0</v>
      </c>
      <c r="M2857" s="18" t="n">
        <v>73</v>
      </c>
      <c r="N2857" s="18" t="n">
        <v>73</v>
      </c>
      <c r="O2857" s="18" t="n">
        <v>0</v>
      </c>
      <c r="P2857" s="17" t="n">
        <v>46001</v>
      </c>
      <c r="Q2857" s="17" t="n">
        <v>46001</v>
      </c>
      <c r="R2857" s="17" t="n">
        <v>46001</v>
      </c>
      <c r="S2857" s="19">
        <f>H2857*I2857</f>
        <v/>
      </c>
      <c r="T2857" s="19">
        <f>H2857*J2857</f>
        <v/>
      </c>
      <c r="U2857">
        <f>IF(AND(K2857=0,G2857&lt;=Assumptions!$C$6),1,0)</f>
        <v/>
      </c>
      <c r="V2857">
        <f>IF(U2857=1,IF(M2857&gt;0,IF(P2857&lt;=G2857+Assumptions!$C$7,1,0),0),0)</f>
        <v/>
      </c>
      <c r="W2857">
        <f>IF(AND(U2857=1,M2857&gt;=H2857*(1-Assumptions!$C$8)),1,0)</f>
        <v/>
      </c>
      <c r="X2857">
        <f>IF(AND(U2857=1,N2857&gt;=H2857*(1-Assumptions!$C$8)),1,0)</f>
        <v/>
      </c>
      <c r="Y2857">
        <f>IF(ISNUMBER(Q2857),1,0)</f>
        <v/>
      </c>
      <c r="Z2857">
        <f>IF(AND(K2857=0,L2857=0,Y2857=0),1,0)</f>
        <v/>
      </c>
      <c r="AA2857">
        <f>IF(AND(Z2857=1,G2857&lt;Assumptions!$C$6),1,0)</f>
        <v/>
      </c>
      <c r="AB2857">
        <f>IF(U2857=0,"",IF(Y2857=1,MAX(0,Q2857-G2857),IF(L2857=1,MAX(0,R2857-G2857),MAX(0,Assumptions!$C$6-G2857))))</f>
        <v/>
      </c>
      <c r="AC2857">
        <f>IF(Y2857=1,Q2857-F2857,"")</f>
        <v/>
      </c>
      <c r="AD2857">
        <f>IF(Y2857=1,AC2857^2,"")</f>
        <v/>
      </c>
      <c r="AE2857" s="19">
        <f>IF(Z2857=1,(H2857-M2857)*I2857,0)</f>
        <v/>
      </c>
      <c r="AF2857">
        <f>IF(G2857&lt;EDATE(Assumptions!$C$6,-12)+1,"prior_12m","last_12m")</f>
        <v/>
      </c>
      <c r="AG2857" s="21">
        <f>DATE(YEAR(G2857),MONTH(G2857),1)</f>
        <v/>
      </c>
    </row>
    <row r="2858">
      <c r="A2858" t="inlineStr">
        <is>
          <t>SPO-01540-1</t>
        </is>
      </c>
      <c r="B2858" t="inlineStr">
        <is>
          <t>SPO-01540</t>
        </is>
      </c>
      <c r="C2858" t="inlineStr">
        <is>
          <t>SUP-10</t>
        </is>
      </c>
      <c r="D2858" t="inlineStr">
        <is>
          <t>PPE</t>
        </is>
      </c>
      <c r="E2858" t="inlineStr">
        <is>
          <t>PPE-07</t>
        </is>
      </c>
      <c r="F2858" s="17" t="n">
        <v>45992</v>
      </c>
      <c r="G2858" s="17" t="n">
        <v>46005</v>
      </c>
      <c r="H2858" s="18" t="n">
        <v>85</v>
      </c>
      <c r="I2858" s="19" t="n">
        <v>28.67</v>
      </c>
      <c r="J2858" s="19" t="n">
        <v>31</v>
      </c>
      <c r="K2858" s="20" t="n">
        <v>0</v>
      </c>
      <c r="L2858" s="20" t="n">
        <v>0</v>
      </c>
      <c r="M2858" s="18" t="n">
        <v>85</v>
      </c>
      <c r="N2858" s="18" t="n">
        <v>85</v>
      </c>
      <c r="O2858" s="18" t="n">
        <v>0</v>
      </c>
      <c r="P2858" s="17" t="n">
        <v>46002</v>
      </c>
      <c r="Q2858" s="17" t="n">
        <v>46002</v>
      </c>
      <c r="R2858" s="17" t="n">
        <v>46002</v>
      </c>
      <c r="S2858" s="19">
        <f>H2858*I2858</f>
        <v/>
      </c>
      <c r="T2858" s="19">
        <f>H2858*J2858</f>
        <v/>
      </c>
      <c r="U2858">
        <f>IF(AND(K2858=0,G2858&lt;=Assumptions!$C$6),1,0)</f>
        <v/>
      </c>
      <c r="V2858">
        <f>IF(U2858=1,IF(M2858&gt;0,IF(P2858&lt;=G2858+Assumptions!$C$7,1,0),0),0)</f>
        <v/>
      </c>
      <c r="W2858">
        <f>IF(AND(U2858=1,M2858&gt;=H2858*(1-Assumptions!$C$8)),1,0)</f>
        <v/>
      </c>
      <c r="X2858">
        <f>IF(AND(U2858=1,N2858&gt;=H2858*(1-Assumptions!$C$8)),1,0)</f>
        <v/>
      </c>
      <c r="Y2858">
        <f>IF(ISNUMBER(Q2858),1,0)</f>
        <v/>
      </c>
      <c r="Z2858">
        <f>IF(AND(K2858=0,L2858=0,Y2858=0),1,0)</f>
        <v/>
      </c>
      <c r="AA2858">
        <f>IF(AND(Z2858=1,G2858&lt;Assumptions!$C$6),1,0)</f>
        <v/>
      </c>
      <c r="AB2858">
        <f>IF(U2858=0,"",IF(Y2858=1,MAX(0,Q2858-G2858),IF(L2858=1,MAX(0,R2858-G2858),MAX(0,Assumptions!$C$6-G2858))))</f>
        <v/>
      </c>
      <c r="AC2858">
        <f>IF(Y2858=1,Q2858-F2858,"")</f>
        <v/>
      </c>
      <c r="AD2858">
        <f>IF(Y2858=1,AC2858^2,"")</f>
        <v/>
      </c>
      <c r="AE2858" s="19">
        <f>IF(Z2858=1,(H2858-M2858)*I2858,0)</f>
        <v/>
      </c>
      <c r="AF2858">
        <f>IF(G2858&lt;EDATE(Assumptions!$C$6,-12)+1,"prior_12m","last_12m")</f>
        <v/>
      </c>
      <c r="AG2858" s="21">
        <f>DATE(YEAR(G2858),MONTH(G2858),1)</f>
        <v/>
      </c>
    </row>
    <row r="2859">
      <c r="A2859" t="inlineStr">
        <is>
          <t>SPO-01541-1</t>
        </is>
      </c>
      <c r="B2859" t="inlineStr">
        <is>
          <t>SPO-01541</t>
        </is>
      </c>
      <c r="C2859" t="inlineStr">
        <is>
          <t>SUP-02</t>
        </is>
      </c>
      <c r="D2859" t="inlineStr">
        <is>
          <t>ELEC</t>
        </is>
      </c>
      <c r="E2859" t="inlineStr">
        <is>
          <t>ELEC-05</t>
        </is>
      </c>
      <c r="F2859" s="17" t="n">
        <v>45992</v>
      </c>
      <c r="G2859" s="17" t="n">
        <v>46008</v>
      </c>
      <c r="H2859" s="18" t="n">
        <v>547</v>
      </c>
      <c r="I2859" s="19" t="n">
        <v>11.88</v>
      </c>
      <c r="J2859" s="19" t="n">
        <v>11.5</v>
      </c>
      <c r="K2859" s="20" t="n">
        <v>0</v>
      </c>
      <c r="L2859" s="20" t="n">
        <v>0</v>
      </c>
      <c r="M2859" s="18" t="n">
        <v>547</v>
      </c>
      <c r="N2859" s="18" t="n">
        <v>220</v>
      </c>
      <c r="O2859" s="18" t="n">
        <v>0</v>
      </c>
      <c r="P2859" s="17" t="n">
        <v>46008</v>
      </c>
      <c r="Q2859" s="17" t="n">
        <v>46014</v>
      </c>
      <c r="R2859" s="17" t="n">
        <v>46014</v>
      </c>
      <c r="S2859" s="19">
        <f>H2859*I2859</f>
        <v/>
      </c>
      <c r="T2859" s="19">
        <f>H2859*J2859</f>
        <v/>
      </c>
      <c r="U2859">
        <f>IF(AND(K2859=0,G2859&lt;=Assumptions!$C$6),1,0)</f>
        <v/>
      </c>
      <c r="V2859">
        <f>IF(U2859=1,IF(M2859&gt;0,IF(P2859&lt;=G2859+Assumptions!$C$7,1,0),0),0)</f>
        <v/>
      </c>
      <c r="W2859">
        <f>IF(AND(U2859=1,M2859&gt;=H2859*(1-Assumptions!$C$8)),1,0)</f>
        <v/>
      </c>
      <c r="X2859">
        <f>IF(AND(U2859=1,N2859&gt;=H2859*(1-Assumptions!$C$8)),1,0)</f>
        <v/>
      </c>
      <c r="Y2859">
        <f>IF(ISNUMBER(Q2859),1,0)</f>
        <v/>
      </c>
      <c r="Z2859">
        <f>IF(AND(K2859=0,L2859=0,Y2859=0),1,0)</f>
        <v/>
      </c>
      <c r="AA2859">
        <f>IF(AND(Z2859=1,G2859&lt;Assumptions!$C$6),1,0)</f>
        <v/>
      </c>
      <c r="AB2859">
        <f>IF(U2859=0,"",IF(Y2859=1,MAX(0,Q2859-G2859),IF(L2859=1,MAX(0,R2859-G2859),MAX(0,Assumptions!$C$6-G2859))))</f>
        <v/>
      </c>
      <c r="AC2859">
        <f>IF(Y2859=1,Q2859-F2859,"")</f>
        <v/>
      </c>
      <c r="AD2859">
        <f>IF(Y2859=1,AC2859^2,"")</f>
        <v/>
      </c>
      <c r="AE2859" s="19">
        <f>IF(Z2859=1,(H2859-M2859)*I2859,0)</f>
        <v/>
      </c>
      <c r="AF2859">
        <f>IF(G2859&lt;EDATE(Assumptions!$C$6,-12)+1,"prior_12m","last_12m")</f>
        <v/>
      </c>
      <c r="AG2859" s="21">
        <f>DATE(YEAR(G2859),MONTH(G2859),1)</f>
        <v/>
      </c>
    </row>
    <row r="2860">
      <c r="A2860" t="inlineStr">
        <is>
          <t>SPO-01542-1</t>
        </is>
      </c>
      <c r="B2860" t="inlineStr">
        <is>
          <t>SPO-01542</t>
        </is>
      </c>
      <c r="C2860" t="inlineStr">
        <is>
          <t>SUP-05</t>
        </is>
      </c>
      <c r="D2860" t="inlineStr">
        <is>
          <t>FLEET</t>
        </is>
      </c>
      <c r="E2860" t="inlineStr">
        <is>
          <t>FLEET-07</t>
        </is>
      </c>
      <c r="F2860" s="17" t="n">
        <v>45992</v>
      </c>
      <c r="G2860" s="17" t="n">
        <v>46006</v>
      </c>
      <c r="H2860" s="18" t="n">
        <v>9</v>
      </c>
      <c r="I2860" s="19" t="n">
        <v>120.39</v>
      </c>
      <c r="J2860" s="19" t="n">
        <v>118</v>
      </c>
      <c r="K2860" s="20" t="n">
        <v>0</v>
      </c>
      <c r="L2860" s="20" t="n">
        <v>0</v>
      </c>
      <c r="M2860" s="18" t="n">
        <v>9</v>
      </c>
      <c r="N2860" s="18" t="n">
        <v>9</v>
      </c>
      <c r="O2860" s="18" t="n">
        <v>0</v>
      </c>
      <c r="P2860" s="17" t="n">
        <v>46000</v>
      </c>
      <c r="Q2860" s="17" t="n">
        <v>46000</v>
      </c>
      <c r="R2860" s="17" t="n">
        <v>46000</v>
      </c>
      <c r="S2860" s="19">
        <f>H2860*I2860</f>
        <v/>
      </c>
      <c r="T2860" s="19">
        <f>H2860*J2860</f>
        <v/>
      </c>
      <c r="U2860">
        <f>IF(AND(K2860=0,G2860&lt;=Assumptions!$C$6),1,0)</f>
        <v/>
      </c>
      <c r="V2860">
        <f>IF(U2860=1,IF(M2860&gt;0,IF(P2860&lt;=G2860+Assumptions!$C$7,1,0),0),0)</f>
        <v/>
      </c>
      <c r="W2860">
        <f>IF(AND(U2860=1,M2860&gt;=H2860*(1-Assumptions!$C$8)),1,0)</f>
        <v/>
      </c>
      <c r="X2860">
        <f>IF(AND(U2860=1,N2860&gt;=H2860*(1-Assumptions!$C$8)),1,0)</f>
        <v/>
      </c>
      <c r="Y2860">
        <f>IF(ISNUMBER(Q2860),1,0)</f>
        <v/>
      </c>
      <c r="Z2860">
        <f>IF(AND(K2860=0,L2860=0,Y2860=0),1,0)</f>
        <v/>
      </c>
      <c r="AA2860">
        <f>IF(AND(Z2860=1,G2860&lt;Assumptions!$C$6),1,0)</f>
        <v/>
      </c>
      <c r="AB2860">
        <f>IF(U2860=0,"",IF(Y2860=1,MAX(0,Q2860-G2860),IF(L2860=1,MAX(0,R2860-G2860),MAX(0,Assumptions!$C$6-G2860))))</f>
        <v/>
      </c>
      <c r="AC2860">
        <f>IF(Y2860=1,Q2860-F2860,"")</f>
        <v/>
      </c>
      <c r="AD2860">
        <f>IF(Y2860=1,AC2860^2,"")</f>
        <v/>
      </c>
      <c r="AE2860" s="19">
        <f>IF(Z2860=1,(H2860-M2860)*I2860,0)</f>
        <v/>
      </c>
      <c r="AF2860">
        <f>IF(G2860&lt;EDATE(Assumptions!$C$6,-12)+1,"prior_12m","last_12m")</f>
        <v/>
      </c>
      <c r="AG2860" s="21">
        <f>DATE(YEAR(G2860),MONTH(G2860),1)</f>
        <v/>
      </c>
    </row>
    <row r="2861">
      <c r="A2861" t="inlineStr">
        <is>
          <t>SPO-01543-1</t>
        </is>
      </c>
      <c r="B2861" t="inlineStr">
        <is>
          <t>SPO-01543</t>
        </is>
      </c>
      <c r="C2861" t="inlineStr">
        <is>
          <t>SUP-06</t>
        </is>
      </c>
      <c r="D2861" t="inlineStr">
        <is>
          <t>MRO</t>
        </is>
      </c>
      <c r="E2861" t="inlineStr">
        <is>
          <t>MRO-06</t>
        </is>
      </c>
      <c r="F2861" s="17" t="n">
        <v>45993</v>
      </c>
      <c r="G2861" s="17" t="n">
        <v>46001</v>
      </c>
      <c r="H2861" s="18" t="n">
        <v>91</v>
      </c>
      <c r="I2861" s="19" t="n">
        <v>6.1</v>
      </c>
      <c r="J2861" s="19" t="n">
        <v>6.1</v>
      </c>
      <c r="K2861" s="20" t="n">
        <v>0</v>
      </c>
      <c r="L2861" s="20" t="n">
        <v>0</v>
      </c>
      <c r="M2861" s="18" t="n">
        <v>91</v>
      </c>
      <c r="N2861" s="18" t="n">
        <v>91</v>
      </c>
      <c r="O2861" s="18" t="n">
        <v>0</v>
      </c>
      <c r="P2861" s="17" t="n">
        <v>45999</v>
      </c>
      <c r="Q2861" s="17" t="n">
        <v>45999</v>
      </c>
      <c r="R2861" s="17" t="n">
        <v>45999</v>
      </c>
      <c r="S2861" s="19">
        <f>H2861*I2861</f>
        <v/>
      </c>
      <c r="T2861" s="19">
        <f>H2861*J2861</f>
        <v/>
      </c>
      <c r="U2861">
        <f>IF(AND(K2861=0,G2861&lt;=Assumptions!$C$6),1,0)</f>
        <v/>
      </c>
      <c r="V2861">
        <f>IF(U2861=1,IF(M2861&gt;0,IF(P2861&lt;=G2861+Assumptions!$C$7,1,0),0),0)</f>
        <v/>
      </c>
      <c r="W2861">
        <f>IF(AND(U2861=1,M2861&gt;=H2861*(1-Assumptions!$C$8)),1,0)</f>
        <v/>
      </c>
      <c r="X2861">
        <f>IF(AND(U2861=1,N2861&gt;=H2861*(1-Assumptions!$C$8)),1,0)</f>
        <v/>
      </c>
      <c r="Y2861">
        <f>IF(ISNUMBER(Q2861),1,0)</f>
        <v/>
      </c>
      <c r="Z2861">
        <f>IF(AND(K2861=0,L2861=0,Y2861=0),1,0)</f>
        <v/>
      </c>
      <c r="AA2861">
        <f>IF(AND(Z2861=1,G2861&lt;Assumptions!$C$6),1,0)</f>
        <v/>
      </c>
      <c r="AB2861">
        <f>IF(U2861=0,"",IF(Y2861=1,MAX(0,Q2861-G2861),IF(L2861=1,MAX(0,R2861-G2861),MAX(0,Assumptions!$C$6-G2861))))</f>
        <v/>
      </c>
      <c r="AC2861">
        <f>IF(Y2861=1,Q2861-F2861,"")</f>
        <v/>
      </c>
      <c r="AD2861">
        <f>IF(Y2861=1,AC2861^2,"")</f>
        <v/>
      </c>
      <c r="AE2861" s="19">
        <f>IF(Z2861=1,(H2861-M2861)*I2861,0)</f>
        <v/>
      </c>
      <c r="AF2861">
        <f>IF(G2861&lt;EDATE(Assumptions!$C$6,-12)+1,"prior_12m","last_12m")</f>
        <v/>
      </c>
      <c r="AG2861" s="21">
        <f>DATE(YEAR(G2861),MONTH(G2861),1)</f>
        <v/>
      </c>
    </row>
    <row r="2862">
      <c r="A2862" t="inlineStr">
        <is>
          <t>SPO-01544-1</t>
        </is>
      </c>
      <c r="B2862" t="inlineStr">
        <is>
          <t>SPO-01544</t>
        </is>
      </c>
      <c r="C2862" t="inlineStr">
        <is>
          <t>SUP-12</t>
        </is>
      </c>
      <c r="D2862" t="inlineStr">
        <is>
          <t>IT</t>
        </is>
      </c>
      <c r="E2862" t="inlineStr">
        <is>
          <t>IT-05</t>
        </is>
      </c>
      <c r="F2862" s="17" t="n">
        <v>45993</v>
      </c>
      <c r="G2862" s="17" t="n">
        <v>46003</v>
      </c>
      <c r="H2862" s="18" t="n">
        <v>3</v>
      </c>
      <c r="I2862" s="19" t="n">
        <v>747.9299999999999</v>
      </c>
      <c r="J2862" s="19" t="n">
        <v>640</v>
      </c>
      <c r="K2862" s="20" t="n">
        <v>0</v>
      </c>
      <c r="L2862" s="20" t="n">
        <v>0</v>
      </c>
      <c r="M2862" s="18" t="n">
        <v>3</v>
      </c>
      <c r="N2862" s="18" t="n">
        <v>3</v>
      </c>
      <c r="O2862" s="18" t="n">
        <v>0</v>
      </c>
      <c r="P2862" s="17" t="n">
        <v>46001</v>
      </c>
      <c r="Q2862" s="17" t="n">
        <v>46001</v>
      </c>
      <c r="R2862" s="17" t="n">
        <v>46001</v>
      </c>
      <c r="S2862" s="19">
        <f>H2862*I2862</f>
        <v/>
      </c>
      <c r="T2862" s="19">
        <f>H2862*J2862</f>
        <v/>
      </c>
      <c r="U2862">
        <f>IF(AND(K2862=0,G2862&lt;=Assumptions!$C$6),1,0)</f>
        <v/>
      </c>
      <c r="V2862">
        <f>IF(U2862=1,IF(M2862&gt;0,IF(P2862&lt;=G2862+Assumptions!$C$7,1,0),0),0)</f>
        <v/>
      </c>
      <c r="W2862">
        <f>IF(AND(U2862=1,M2862&gt;=H2862*(1-Assumptions!$C$8)),1,0)</f>
        <v/>
      </c>
      <c r="X2862">
        <f>IF(AND(U2862=1,N2862&gt;=H2862*(1-Assumptions!$C$8)),1,0)</f>
        <v/>
      </c>
      <c r="Y2862">
        <f>IF(ISNUMBER(Q2862),1,0)</f>
        <v/>
      </c>
      <c r="Z2862">
        <f>IF(AND(K2862=0,L2862=0,Y2862=0),1,0)</f>
        <v/>
      </c>
      <c r="AA2862">
        <f>IF(AND(Z2862=1,G2862&lt;Assumptions!$C$6),1,0)</f>
        <v/>
      </c>
      <c r="AB2862">
        <f>IF(U2862=0,"",IF(Y2862=1,MAX(0,Q2862-G2862),IF(L2862=1,MAX(0,R2862-G2862),MAX(0,Assumptions!$C$6-G2862))))</f>
        <v/>
      </c>
      <c r="AC2862">
        <f>IF(Y2862=1,Q2862-F2862,"")</f>
        <v/>
      </c>
      <c r="AD2862">
        <f>IF(Y2862=1,AC2862^2,"")</f>
        <v/>
      </c>
      <c r="AE2862" s="19">
        <f>IF(Z2862=1,(H2862-M2862)*I2862,0)</f>
        <v/>
      </c>
      <c r="AF2862">
        <f>IF(G2862&lt;EDATE(Assumptions!$C$6,-12)+1,"prior_12m","last_12m")</f>
        <v/>
      </c>
      <c r="AG2862" s="21">
        <f>DATE(YEAR(G2862),MONTH(G2862),1)</f>
        <v/>
      </c>
    </row>
    <row r="2863">
      <c r="A2863" t="inlineStr">
        <is>
          <t>SPO-01544-2</t>
        </is>
      </c>
      <c r="B2863" t="inlineStr">
        <is>
          <t>SPO-01544</t>
        </is>
      </c>
      <c r="C2863" t="inlineStr">
        <is>
          <t>SUP-12</t>
        </is>
      </c>
      <c r="D2863" t="inlineStr">
        <is>
          <t>IT</t>
        </is>
      </c>
      <c r="E2863" t="inlineStr">
        <is>
          <t>IT-08</t>
        </is>
      </c>
      <c r="F2863" s="17" t="n">
        <v>45993</v>
      </c>
      <c r="G2863" s="17" t="n">
        <v>46003</v>
      </c>
      <c r="H2863" s="18" t="n">
        <v>9</v>
      </c>
      <c r="I2863" s="19" t="n">
        <v>272.71</v>
      </c>
      <c r="J2863" s="19" t="n">
        <v>245</v>
      </c>
      <c r="K2863" s="20" t="n">
        <v>0</v>
      </c>
      <c r="L2863" s="20" t="n">
        <v>0</v>
      </c>
      <c r="M2863" s="18" t="n">
        <v>9</v>
      </c>
      <c r="N2863" s="18" t="n">
        <v>9</v>
      </c>
      <c r="O2863" s="18" t="n">
        <v>0</v>
      </c>
      <c r="P2863" s="17" t="n">
        <v>45999</v>
      </c>
      <c r="Q2863" s="17" t="n">
        <v>45999</v>
      </c>
      <c r="R2863" s="17" t="n">
        <v>45999</v>
      </c>
      <c r="S2863" s="19">
        <f>H2863*I2863</f>
        <v/>
      </c>
      <c r="T2863" s="19">
        <f>H2863*J2863</f>
        <v/>
      </c>
      <c r="U2863">
        <f>IF(AND(K2863=0,G2863&lt;=Assumptions!$C$6),1,0)</f>
        <v/>
      </c>
      <c r="V2863">
        <f>IF(U2863=1,IF(M2863&gt;0,IF(P2863&lt;=G2863+Assumptions!$C$7,1,0),0),0)</f>
        <v/>
      </c>
      <c r="W2863">
        <f>IF(AND(U2863=1,M2863&gt;=H2863*(1-Assumptions!$C$8)),1,0)</f>
        <v/>
      </c>
      <c r="X2863">
        <f>IF(AND(U2863=1,N2863&gt;=H2863*(1-Assumptions!$C$8)),1,0)</f>
        <v/>
      </c>
      <c r="Y2863">
        <f>IF(ISNUMBER(Q2863),1,0)</f>
        <v/>
      </c>
      <c r="Z2863">
        <f>IF(AND(K2863=0,L2863=0,Y2863=0),1,0)</f>
        <v/>
      </c>
      <c r="AA2863">
        <f>IF(AND(Z2863=1,G2863&lt;Assumptions!$C$6),1,0)</f>
        <v/>
      </c>
      <c r="AB2863">
        <f>IF(U2863=0,"",IF(Y2863=1,MAX(0,Q2863-G2863),IF(L2863=1,MAX(0,R2863-G2863),MAX(0,Assumptions!$C$6-G2863))))</f>
        <v/>
      </c>
      <c r="AC2863">
        <f>IF(Y2863=1,Q2863-F2863,"")</f>
        <v/>
      </c>
      <c r="AD2863">
        <f>IF(Y2863=1,AC2863^2,"")</f>
        <v/>
      </c>
      <c r="AE2863" s="19">
        <f>IF(Z2863=1,(H2863-M2863)*I2863,0)</f>
        <v/>
      </c>
      <c r="AF2863">
        <f>IF(G2863&lt;EDATE(Assumptions!$C$6,-12)+1,"prior_12m","last_12m")</f>
        <v/>
      </c>
      <c r="AG2863" s="21">
        <f>DATE(YEAR(G2863),MONTH(G2863),1)</f>
        <v/>
      </c>
    </row>
    <row r="2864">
      <c r="A2864" t="inlineStr">
        <is>
          <t>SPO-01544-3</t>
        </is>
      </c>
      <c r="B2864" t="inlineStr">
        <is>
          <t>SPO-01544</t>
        </is>
      </c>
      <c r="C2864" t="inlineStr">
        <is>
          <t>SUP-12</t>
        </is>
      </c>
      <c r="D2864" t="inlineStr">
        <is>
          <t>IT</t>
        </is>
      </c>
      <c r="E2864" t="inlineStr">
        <is>
          <t>IT-07</t>
        </is>
      </c>
      <c r="F2864" s="17" t="n">
        <v>45993</v>
      </c>
      <c r="G2864" s="17" t="n">
        <v>46003</v>
      </c>
      <c r="H2864" s="18" t="n">
        <v>13</v>
      </c>
      <c r="I2864" s="19" t="n">
        <v>83.29000000000001</v>
      </c>
      <c r="J2864" s="19" t="n">
        <v>74</v>
      </c>
      <c r="K2864" s="20" t="n">
        <v>0</v>
      </c>
      <c r="L2864" s="20" t="n">
        <v>0</v>
      </c>
      <c r="M2864" s="18" t="n">
        <v>13</v>
      </c>
      <c r="N2864" s="18" t="n">
        <v>13</v>
      </c>
      <c r="O2864" s="18" t="n">
        <v>0</v>
      </c>
      <c r="P2864" s="17" t="n">
        <v>46001</v>
      </c>
      <c r="Q2864" s="17" t="n">
        <v>46001</v>
      </c>
      <c r="R2864" s="17" t="n">
        <v>46001</v>
      </c>
      <c r="S2864" s="19">
        <f>H2864*I2864</f>
        <v/>
      </c>
      <c r="T2864" s="19">
        <f>H2864*J2864</f>
        <v/>
      </c>
      <c r="U2864">
        <f>IF(AND(K2864=0,G2864&lt;=Assumptions!$C$6),1,0)</f>
        <v/>
      </c>
      <c r="V2864">
        <f>IF(U2864=1,IF(M2864&gt;0,IF(P2864&lt;=G2864+Assumptions!$C$7,1,0),0),0)</f>
        <v/>
      </c>
      <c r="W2864">
        <f>IF(AND(U2864=1,M2864&gt;=H2864*(1-Assumptions!$C$8)),1,0)</f>
        <v/>
      </c>
      <c r="X2864">
        <f>IF(AND(U2864=1,N2864&gt;=H2864*(1-Assumptions!$C$8)),1,0)</f>
        <v/>
      </c>
      <c r="Y2864">
        <f>IF(ISNUMBER(Q2864),1,0)</f>
        <v/>
      </c>
      <c r="Z2864">
        <f>IF(AND(K2864=0,L2864=0,Y2864=0),1,0)</f>
        <v/>
      </c>
      <c r="AA2864">
        <f>IF(AND(Z2864=1,G2864&lt;Assumptions!$C$6),1,0)</f>
        <v/>
      </c>
      <c r="AB2864">
        <f>IF(U2864=0,"",IF(Y2864=1,MAX(0,Q2864-G2864),IF(L2864=1,MAX(0,R2864-G2864),MAX(0,Assumptions!$C$6-G2864))))</f>
        <v/>
      </c>
      <c r="AC2864">
        <f>IF(Y2864=1,Q2864-F2864,"")</f>
        <v/>
      </c>
      <c r="AD2864">
        <f>IF(Y2864=1,AC2864^2,"")</f>
        <v/>
      </c>
      <c r="AE2864" s="19">
        <f>IF(Z2864=1,(H2864-M2864)*I2864,0)</f>
        <v/>
      </c>
      <c r="AF2864">
        <f>IF(G2864&lt;EDATE(Assumptions!$C$6,-12)+1,"prior_12m","last_12m")</f>
        <v/>
      </c>
      <c r="AG2864" s="21">
        <f>DATE(YEAR(G2864),MONTH(G2864),1)</f>
        <v/>
      </c>
    </row>
    <row r="2865">
      <c r="A2865" t="inlineStr">
        <is>
          <t>SPO-01544-4</t>
        </is>
      </c>
      <c r="B2865" t="inlineStr">
        <is>
          <t>SPO-01544</t>
        </is>
      </c>
      <c r="C2865" t="inlineStr">
        <is>
          <t>SUP-12</t>
        </is>
      </c>
      <c r="D2865" t="inlineStr">
        <is>
          <t>IT</t>
        </is>
      </c>
      <c r="E2865" t="inlineStr">
        <is>
          <t>IT-04</t>
        </is>
      </c>
      <c r="F2865" s="17" t="n">
        <v>45993</v>
      </c>
      <c r="G2865" s="17" t="n">
        <v>46003</v>
      </c>
      <c r="H2865" s="18" t="n">
        <v>217</v>
      </c>
      <c r="I2865" s="19" t="n">
        <v>13.25</v>
      </c>
      <c r="J2865" s="19" t="n">
        <v>12</v>
      </c>
      <c r="K2865" s="20" t="n">
        <v>0</v>
      </c>
      <c r="L2865" s="20" t="n">
        <v>0</v>
      </c>
      <c r="M2865" s="18" t="n">
        <v>217</v>
      </c>
      <c r="N2865" s="18" t="n">
        <v>217</v>
      </c>
      <c r="O2865" s="18" t="n">
        <v>0</v>
      </c>
      <c r="P2865" s="17" t="n">
        <v>46001</v>
      </c>
      <c r="Q2865" s="17" t="n">
        <v>46001</v>
      </c>
      <c r="R2865" s="17" t="n">
        <v>46001</v>
      </c>
      <c r="S2865" s="19">
        <f>H2865*I2865</f>
        <v/>
      </c>
      <c r="T2865" s="19">
        <f>H2865*J2865</f>
        <v/>
      </c>
      <c r="U2865">
        <f>IF(AND(K2865=0,G2865&lt;=Assumptions!$C$6),1,0)</f>
        <v/>
      </c>
      <c r="V2865">
        <f>IF(U2865=1,IF(M2865&gt;0,IF(P2865&lt;=G2865+Assumptions!$C$7,1,0),0),0)</f>
        <v/>
      </c>
      <c r="W2865">
        <f>IF(AND(U2865=1,M2865&gt;=H2865*(1-Assumptions!$C$8)),1,0)</f>
        <v/>
      </c>
      <c r="X2865">
        <f>IF(AND(U2865=1,N2865&gt;=H2865*(1-Assumptions!$C$8)),1,0)</f>
        <v/>
      </c>
      <c r="Y2865">
        <f>IF(ISNUMBER(Q2865),1,0)</f>
        <v/>
      </c>
      <c r="Z2865">
        <f>IF(AND(K2865=0,L2865=0,Y2865=0),1,0)</f>
        <v/>
      </c>
      <c r="AA2865">
        <f>IF(AND(Z2865=1,G2865&lt;Assumptions!$C$6),1,0)</f>
        <v/>
      </c>
      <c r="AB2865">
        <f>IF(U2865=0,"",IF(Y2865=1,MAX(0,Q2865-G2865),IF(L2865=1,MAX(0,R2865-G2865),MAX(0,Assumptions!$C$6-G2865))))</f>
        <v/>
      </c>
      <c r="AC2865">
        <f>IF(Y2865=1,Q2865-F2865,"")</f>
        <v/>
      </c>
      <c r="AD2865">
        <f>IF(Y2865=1,AC2865^2,"")</f>
        <v/>
      </c>
      <c r="AE2865" s="19">
        <f>IF(Z2865=1,(H2865-M2865)*I2865,0)</f>
        <v/>
      </c>
      <c r="AF2865">
        <f>IF(G2865&lt;EDATE(Assumptions!$C$6,-12)+1,"prior_12m","last_12m")</f>
        <v/>
      </c>
      <c r="AG2865" s="21">
        <f>DATE(YEAR(G2865),MONTH(G2865),1)</f>
        <v/>
      </c>
    </row>
    <row r="2866">
      <c r="A2866" t="inlineStr">
        <is>
          <t>SPO-01545-1</t>
        </is>
      </c>
      <c r="B2866" t="inlineStr">
        <is>
          <t>SPO-01545</t>
        </is>
      </c>
      <c r="C2866" t="inlineStr">
        <is>
          <t>SUP-01</t>
        </is>
      </c>
      <c r="D2866" t="inlineStr">
        <is>
          <t>ELEC</t>
        </is>
      </c>
      <c r="E2866" t="inlineStr">
        <is>
          <t>ELEC-05</t>
        </is>
      </c>
      <c r="F2866" s="17" t="n">
        <v>45994</v>
      </c>
      <c r="G2866" s="17" t="n">
        <v>46012</v>
      </c>
      <c r="H2866" s="18" t="n">
        <v>226</v>
      </c>
      <c r="I2866" s="19" t="n">
        <v>10.95</v>
      </c>
      <c r="J2866" s="19" t="n">
        <v>11.5</v>
      </c>
      <c r="K2866" s="20" t="n">
        <v>0</v>
      </c>
      <c r="L2866" s="20" t="n">
        <v>0</v>
      </c>
      <c r="M2866" s="18" t="n">
        <v>226</v>
      </c>
      <c r="N2866" s="18" t="n">
        <v>226</v>
      </c>
      <c r="O2866" s="18" t="n">
        <v>0</v>
      </c>
      <c r="P2866" s="17" t="n">
        <v>46004</v>
      </c>
      <c r="Q2866" s="17" t="n">
        <v>46004</v>
      </c>
      <c r="R2866" s="17" t="n">
        <v>46004</v>
      </c>
      <c r="S2866" s="19">
        <f>H2866*I2866</f>
        <v/>
      </c>
      <c r="T2866" s="19">
        <f>H2866*J2866</f>
        <v/>
      </c>
      <c r="U2866">
        <f>IF(AND(K2866=0,G2866&lt;=Assumptions!$C$6),1,0)</f>
        <v/>
      </c>
      <c r="V2866">
        <f>IF(U2866=1,IF(M2866&gt;0,IF(P2866&lt;=G2866+Assumptions!$C$7,1,0),0),0)</f>
        <v/>
      </c>
      <c r="W2866">
        <f>IF(AND(U2866=1,M2866&gt;=H2866*(1-Assumptions!$C$8)),1,0)</f>
        <v/>
      </c>
      <c r="X2866">
        <f>IF(AND(U2866=1,N2866&gt;=H2866*(1-Assumptions!$C$8)),1,0)</f>
        <v/>
      </c>
      <c r="Y2866">
        <f>IF(ISNUMBER(Q2866),1,0)</f>
        <v/>
      </c>
      <c r="Z2866">
        <f>IF(AND(K2866=0,L2866=0,Y2866=0),1,0)</f>
        <v/>
      </c>
      <c r="AA2866">
        <f>IF(AND(Z2866=1,G2866&lt;Assumptions!$C$6),1,0)</f>
        <v/>
      </c>
      <c r="AB2866">
        <f>IF(U2866=0,"",IF(Y2866=1,MAX(0,Q2866-G2866),IF(L2866=1,MAX(0,R2866-G2866),MAX(0,Assumptions!$C$6-G2866))))</f>
        <v/>
      </c>
      <c r="AC2866">
        <f>IF(Y2866=1,Q2866-F2866,"")</f>
        <v/>
      </c>
      <c r="AD2866">
        <f>IF(Y2866=1,AC2866^2,"")</f>
        <v/>
      </c>
      <c r="AE2866" s="19">
        <f>IF(Z2866=1,(H2866-M2866)*I2866,0)</f>
        <v/>
      </c>
      <c r="AF2866">
        <f>IF(G2866&lt;EDATE(Assumptions!$C$6,-12)+1,"prior_12m","last_12m")</f>
        <v/>
      </c>
      <c r="AG2866" s="21">
        <f>DATE(YEAR(G2866),MONTH(G2866),1)</f>
        <v/>
      </c>
    </row>
    <row r="2867">
      <c r="A2867" t="inlineStr">
        <is>
          <t>SPO-01545-2</t>
        </is>
      </c>
      <c r="B2867" t="inlineStr">
        <is>
          <t>SPO-01545</t>
        </is>
      </c>
      <c r="C2867" t="inlineStr">
        <is>
          <t>SUP-01</t>
        </is>
      </c>
      <c r="D2867" t="inlineStr">
        <is>
          <t>ELEC</t>
        </is>
      </c>
      <c r="E2867" t="inlineStr">
        <is>
          <t>ELEC-03</t>
        </is>
      </c>
      <c r="F2867" s="17" t="n">
        <v>45994</v>
      </c>
      <c r="G2867" s="17" t="n">
        <v>46012</v>
      </c>
      <c r="H2867" s="18" t="n">
        <v>50</v>
      </c>
      <c r="I2867" s="19" t="n">
        <v>102.02</v>
      </c>
      <c r="J2867" s="19" t="n">
        <v>96</v>
      </c>
      <c r="K2867" s="20" t="n">
        <v>0</v>
      </c>
      <c r="L2867" s="20" t="n">
        <v>0</v>
      </c>
      <c r="M2867" s="18" t="n">
        <v>50</v>
      </c>
      <c r="N2867" s="18" t="n">
        <v>50</v>
      </c>
      <c r="O2867" s="18" t="n">
        <v>0</v>
      </c>
      <c r="P2867" s="17" t="n">
        <v>46000</v>
      </c>
      <c r="Q2867" s="17" t="n">
        <v>46000</v>
      </c>
      <c r="R2867" s="17" t="n">
        <v>46000</v>
      </c>
      <c r="S2867" s="19">
        <f>H2867*I2867</f>
        <v/>
      </c>
      <c r="T2867" s="19">
        <f>H2867*J2867</f>
        <v/>
      </c>
      <c r="U2867">
        <f>IF(AND(K2867=0,G2867&lt;=Assumptions!$C$6),1,0)</f>
        <v/>
      </c>
      <c r="V2867">
        <f>IF(U2867=1,IF(M2867&gt;0,IF(P2867&lt;=G2867+Assumptions!$C$7,1,0),0),0)</f>
        <v/>
      </c>
      <c r="W2867">
        <f>IF(AND(U2867=1,M2867&gt;=H2867*(1-Assumptions!$C$8)),1,0)</f>
        <v/>
      </c>
      <c r="X2867">
        <f>IF(AND(U2867=1,N2867&gt;=H2867*(1-Assumptions!$C$8)),1,0)</f>
        <v/>
      </c>
      <c r="Y2867">
        <f>IF(ISNUMBER(Q2867),1,0)</f>
        <v/>
      </c>
      <c r="Z2867">
        <f>IF(AND(K2867=0,L2867=0,Y2867=0),1,0)</f>
        <v/>
      </c>
      <c r="AA2867">
        <f>IF(AND(Z2867=1,G2867&lt;Assumptions!$C$6),1,0)</f>
        <v/>
      </c>
      <c r="AB2867">
        <f>IF(U2867=0,"",IF(Y2867=1,MAX(0,Q2867-G2867),IF(L2867=1,MAX(0,R2867-G2867),MAX(0,Assumptions!$C$6-G2867))))</f>
        <v/>
      </c>
      <c r="AC2867">
        <f>IF(Y2867=1,Q2867-F2867,"")</f>
        <v/>
      </c>
      <c r="AD2867">
        <f>IF(Y2867=1,AC2867^2,"")</f>
        <v/>
      </c>
      <c r="AE2867" s="19">
        <f>IF(Z2867=1,(H2867-M2867)*I2867,0)</f>
        <v/>
      </c>
      <c r="AF2867">
        <f>IF(G2867&lt;EDATE(Assumptions!$C$6,-12)+1,"prior_12m","last_12m")</f>
        <v/>
      </c>
      <c r="AG2867" s="21">
        <f>DATE(YEAR(G2867),MONTH(G2867),1)</f>
        <v/>
      </c>
    </row>
    <row r="2868">
      <c r="A2868" t="inlineStr">
        <is>
          <t>SPO-01545-3</t>
        </is>
      </c>
      <c r="B2868" t="inlineStr">
        <is>
          <t>SPO-01545</t>
        </is>
      </c>
      <c r="C2868" t="inlineStr">
        <is>
          <t>SUP-01</t>
        </is>
      </c>
      <c r="D2868" t="inlineStr">
        <is>
          <t>ELEC</t>
        </is>
      </c>
      <c r="E2868" t="inlineStr">
        <is>
          <t>ELEC-01</t>
        </is>
      </c>
      <c r="F2868" s="17" t="n">
        <v>45994</v>
      </c>
      <c r="G2868" s="17" t="n">
        <v>46012</v>
      </c>
      <c r="H2868" s="18" t="n">
        <v>54</v>
      </c>
      <c r="I2868" s="19" t="n">
        <v>39.91</v>
      </c>
      <c r="J2868" s="19" t="n">
        <v>38</v>
      </c>
      <c r="K2868" s="20" t="n">
        <v>0</v>
      </c>
      <c r="L2868" s="20" t="n">
        <v>0</v>
      </c>
      <c r="M2868" s="18" t="n">
        <v>54</v>
      </c>
      <c r="N2868" s="18" t="n">
        <v>54</v>
      </c>
      <c r="O2868" s="18" t="n">
        <v>0</v>
      </c>
      <c r="P2868" s="17" t="n">
        <v>46000</v>
      </c>
      <c r="Q2868" s="17" t="n">
        <v>46000</v>
      </c>
      <c r="R2868" s="17" t="n">
        <v>46000</v>
      </c>
      <c r="S2868" s="19">
        <f>H2868*I2868</f>
        <v/>
      </c>
      <c r="T2868" s="19">
        <f>H2868*J2868</f>
        <v/>
      </c>
      <c r="U2868">
        <f>IF(AND(K2868=0,G2868&lt;=Assumptions!$C$6),1,0)</f>
        <v/>
      </c>
      <c r="V2868">
        <f>IF(U2868=1,IF(M2868&gt;0,IF(P2868&lt;=G2868+Assumptions!$C$7,1,0),0),0)</f>
        <v/>
      </c>
      <c r="W2868">
        <f>IF(AND(U2868=1,M2868&gt;=H2868*(1-Assumptions!$C$8)),1,0)</f>
        <v/>
      </c>
      <c r="X2868">
        <f>IF(AND(U2868=1,N2868&gt;=H2868*(1-Assumptions!$C$8)),1,0)</f>
        <v/>
      </c>
      <c r="Y2868">
        <f>IF(ISNUMBER(Q2868),1,0)</f>
        <v/>
      </c>
      <c r="Z2868">
        <f>IF(AND(K2868=0,L2868=0,Y2868=0),1,0)</f>
        <v/>
      </c>
      <c r="AA2868">
        <f>IF(AND(Z2868=1,G2868&lt;Assumptions!$C$6),1,0)</f>
        <v/>
      </c>
      <c r="AB2868">
        <f>IF(U2868=0,"",IF(Y2868=1,MAX(0,Q2868-G2868),IF(L2868=1,MAX(0,R2868-G2868),MAX(0,Assumptions!$C$6-G2868))))</f>
        <v/>
      </c>
      <c r="AC2868">
        <f>IF(Y2868=1,Q2868-F2868,"")</f>
        <v/>
      </c>
      <c r="AD2868">
        <f>IF(Y2868=1,AC2868^2,"")</f>
        <v/>
      </c>
      <c r="AE2868" s="19">
        <f>IF(Z2868=1,(H2868-M2868)*I2868,0)</f>
        <v/>
      </c>
      <c r="AF2868">
        <f>IF(G2868&lt;EDATE(Assumptions!$C$6,-12)+1,"prior_12m","last_12m")</f>
        <v/>
      </c>
      <c r="AG2868" s="21">
        <f>DATE(YEAR(G2868),MONTH(G2868),1)</f>
        <v/>
      </c>
    </row>
    <row r="2869">
      <c r="A2869" t="inlineStr">
        <is>
          <t>SPO-01546-1</t>
        </is>
      </c>
      <c r="B2869" t="inlineStr">
        <is>
          <t>SPO-01546</t>
        </is>
      </c>
      <c r="C2869" t="inlineStr">
        <is>
          <t>SUP-10</t>
        </is>
      </c>
      <c r="D2869" t="inlineStr">
        <is>
          <t>PPE</t>
        </is>
      </c>
      <c r="E2869" t="inlineStr">
        <is>
          <t>PPE-04</t>
        </is>
      </c>
      <c r="F2869" s="17" t="n">
        <v>45995</v>
      </c>
      <c r="G2869" s="17" t="n">
        <v>46008</v>
      </c>
      <c r="H2869" s="18" t="n">
        <v>61</v>
      </c>
      <c r="I2869" s="19" t="n">
        <v>25.72</v>
      </c>
      <c r="J2869" s="19" t="n">
        <v>26</v>
      </c>
      <c r="K2869" s="20" t="n">
        <v>0</v>
      </c>
      <c r="L2869" s="20" t="n">
        <v>0</v>
      </c>
      <c r="M2869" s="18" t="n">
        <v>61</v>
      </c>
      <c r="N2869" s="18" t="n">
        <v>61</v>
      </c>
      <c r="O2869" s="18" t="n">
        <v>0</v>
      </c>
      <c r="P2869" s="17" t="n">
        <v>46008</v>
      </c>
      <c r="Q2869" s="17" t="n">
        <v>46008</v>
      </c>
      <c r="R2869" s="17" t="n">
        <v>46008</v>
      </c>
      <c r="S2869" s="19">
        <f>H2869*I2869</f>
        <v/>
      </c>
      <c r="T2869" s="19">
        <f>H2869*J2869</f>
        <v/>
      </c>
      <c r="U2869">
        <f>IF(AND(K2869=0,G2869&lt;=Assumptions!$C$6),1,0)</f>
        <v/>
      </c>
      <c r="V2869">
        <f>IF(U2869=1,IF(M2869&gt;0,IF(P2869&lt;=G2869+Assumptions!$C$7,1,0),0),0)</f>
        <v/>
      </c>
      <c r="W2869">
        <f>IF(AND(U2869=1,M2869&gt;=H2869*(1-Assumptions!$C$8)),1,0)</f>
        <v/>
      </c>
      <c r="X2869">
        <f>IF(AND(U2869=1,N2869&gt;=H2869*(1-Assumptions!$C$8)),1,0)</f>
        <v/>
      </c>
      <c r="Y2869">
        <f>IF(ISNUMBER(Q2869),1,0)</f>
        <v/>
      </c>
      <c r="Z2869">
        <f>IF(AND(K2869=0,L2869=0,Y2869=0),1,0)</f>
        <v/>
      </c>
      <c r="AA2869">
        <f>IF(AND(Z2869=1,G2869&lt;Assumptions!$C$6),1,0)</f>
        <v/>
      </c>
      <c r="AB2869">
        <f>IF(U2869=0,"",IF(Y2869=1,MAX(0,Q2869-G2869),IF(L2869=1,MAX(0,R2869-G2869),MAX(0,Assumptions!$C$6-G2869))))</f>
        <v/>
      </c>
      <c r="AC2869">
        <f>IF(Y2869=1,Q2869-F2869,"")</f>
        <v/>
      </c>
      <c r="AD2869">
        <f>IF(Y2869=1,AC2869^2,"")</f>
        <v/>
      </c>
      <c r="AE2869" s="19">
        <f>IF(Z2869=1,(H2869-M2869)*I2869,0)</f>
        <v/>
      </c>
      <c r="AF2869">
        <f>IF(G2869&lt;EDATE(Assumptions!$C$6,-12)+1,"prior_12m","last_12m")</f>
        <v/>
      </c>
      <c r="AG2869" s="21">
        <f>DATE(YEAR(G2869),MONTH(G2869),1)</f>
        <v/>
      </c>
    </row>
    <row r="2870">
      <c r="A2870" t="inlineStr">
        <is>
          <t>SPO-01547-1</t>
        </is>
      </c>
      <c r="B2870" t="inlineStr">
        <is>
          <t>SPO-01547</t>
        </is>
      </c>
      <c r="C2870" t="inlineStr">
        <is>
          <t>SUP-06</t>
        </is>
      </c>
      <c r="D2870" t="inlineStr">
        <is>
          <t>MRO</t>
        </is>
      </c>
      <c r="E2870" t="inlineStr">
        <is>
          <t>MRO-08</t>
        </is>
      </c>
      <c r="F2870" s="17" t="n">
        <v>45995</v>
      </c>
      <c r="G2870" s="17" t="n">
        <v>46003</v>
      </c>
      <c r="H2870" s="18" t="n">
        <v>188</v>
      </c>
      <c r="I2870" s="19" t="n">
        <v>7.06</v>
      </c>
      <c r="J2870" s="19" t="n">
        <v>7.2</v>
      </c>
      <c r="K2870" s="20" t="n">
        <v>0</v>
      </c>
      <c r="L2870" s="20" t="n">
        <v>0</v>
      </c>
      <c r="M2870" s="18" t="n">
        <v>188</v>
      </c>
      <c r="N2870" s="18" t="n">
        <v>188</v>
      </c>
      <c r="O2870" s="18" t="n">
        <v>0</v>
      </c>
      <c r="P2870" s="17" t="n">
        <v>46000</v>
      </c>
      <c r="Q2870" s="17" t="n">
        <v>46000</v>
      </c>
      <c r="R2870" s="17" t="n">
        <v>46000</v>
      </c>
      <c r="S2870" s="19">
        <f>H2870*I2870</f>
        <v/>
      </c>
      <c r="T2870" s="19">
        <f>H2870*J2870</f>
        <v/>
      </c>
      <c r="U2870">
        <f>IF(AND(K2870=0,G2870&lt;=Assumptions!$C$6),1,0)</f>
        <v/>
      </c>
      <c r="V2870">
        <f>IF(U2870=1,IF(M2870&gt;0,IF(P2870&lt;=G2870+Assumptions!$C$7,1,0),0),0)</f>
        <v/>
      </c>
      <c r="W2870">
        <f>IF(AND(U2870=1,M2870&gt;=H2870*(1-Assumptions!$C$8)),1,0)</f>
        <v/>
      </c>
      <c r="X2870">
        <f>IF(AND(U2870=1,N2870&gt;=H2870*(1-Assumptions!$C$8)),1,0)</f>
        <v/>
      </c>
      <c r="Y2870">
        <f>IF(ISNUMBER(Q2870),1,0)</f>
        <v/>
      </c>
      <c r="Z2870">
        <f>IF(AND(K2870=0,L2870=0,Y2870=0),1,0)</f>
        <v/>
      </c>
      <c r="AA2870">
        <f>IF(AND(Z2870=1,G2870&lt;Assumptions!$C$6),1,0)</f>
        <v/>
      </c>
      <c r="AB2870">
        <f>IF(U2870=0,"",IF(Y2870=1,MAX(0,Q2870-G2870),IF(L2870=1,MAX(0,R2870-G2870),MAX(0,Assumptions!$C$6-G2870))))</f>
        <v/>
      </c>
      <c r="AC2870">
        <f>IF(Y2870=1,Q2870-F2870,"")</f>
        <v/>
      </c>
      <c r="AD2870">
        <f>IF(Y2870=1,AC2870^2,"")</f>
        <v/>
      </c>
      <c r="AE2870" s="19">
        <f>IF(Z2870=1,(H2870-M2870)*I2870,0)</f>
        <v/>
      </c>
      <c r="AF2870">
        <f>IF(G2870&lt;EDATE(Assumptions!$C$6,-12)+1,"prior_12m","last_12m")</f>
        <v/>
      </c>
      <c r="AG2870" s="21">
        <f>DATE(YEAR(G2870),MONTH(G2870),1)</f>
        <v/>
      </c>
    </row>
    <row r="2871">
      <c r="A2871" t="inlineStr">
        <is>
          <t>SPO-01548-1</t>
        </is>
      </c>
      <c r="B2871" t="inlineStr">
        <is>
          <t>SPO-01548</t>
        </is>
      </c>
      <c r="C2871" t="inlineStr">
        <is>
          <t>SUP-14</t>
        </is>
      </c>
      <c r="D2871" t="inlineStr">
        <is>
          <t>FLEET</t>
        </is>
      </c>
      <c r="E2871" t="inlineStr">
        <is>
          <t>FLEET-02</t>
        </is>
      </c>
      <c r="F2871" s="17" t="n">
        <v>45995</v>
      </c>
      <c r="G2871" s="17" t="n">
        <v>46009</v>
      </c>
      <c r="H2871" s="18" t="n">
        <v>196</v>
      </c>
      <c r="I2871" s="19" t="n">
        <v>7.02</v>
      </c>
      <c r="J2871" s="19" t="n">
        <v>7.5</v>
      </c>
      <c r="K2871" s="20" t="n">
        <v>0</v>
      </c>
      <c r="L2871" s="20" t="n">
        <v>0</v>
      </c>
      <c r="M2871" s="18" t="n">
        <v>196</v>
      </c>
      <c r="N2871" s="18" t="n">
        <v>196</v>
      </c>
      <c r="O2871" s="18" t="n">
        <v>0</v>
      </c>
      <c r="P2871" s="17" t="n">
        <v>46004</v>
      </c>
      <c r="Q2871" s="17" t="n">
        <v>46004</v>
      </c>
      <c r="R2871" s="17" t="n">
        <v>46004</v>
      </c>
      <c r="S2871" s="19">
        <f>H2871*I2871</f>
        <v/>
      </c>
      <c r="T2871" s="19">
        <f>H2871*J2871</f>
        <v/>
      </c>
      <c r="U2871">
        <f>IF(AND(K2871=0,G2871&lt;=Assumptions!$C$6),1,0)</f>
        <v/>
      </c>
      <c r="V2871">
        <f>IF(U2871=1,IF(M2871&gt;0,IF(P2871&lt;=G2871+Assumptions!$C$7,1,0),0),0)</f>
        <v/>
      </c>
      <c r="W2871">
        <f>IF(AND(U2871=1,M2871&gt;=H2871*(1-Assumptions!$C$8)),1,0)</f>
        <v/>
      </c>
      <c r="X2871">
        <f>IF(AND(U2871=1,N2871&gt;=H2871*(1-Assumptions!$C$8)),1,0)</f>
        <v/>
      </c>
      <c r="Y2871">
        <f>IF(ISNUMBER(Q2871),1,0)</f>
        <v/>
      </c>
      <c r="Z2871">
        <f>IF(AND(K2871=0,L2871=0,Y2871=0),1,0)</f>
        <v/>
      </c>
      <c r="AA2871">
        <f>IF(AND(Z2871=1,G2871&lt;Assumptions!$C$6),1,0)</f>
        <v/>
      </c>
      <c r="AB2871">
        <f>IF(U2871=0,"",IF(Y2871=1,MAX(0,Q2871-G2871),IF(L2871=1,MAX(0,R2871-G2871),MAX(0,Assumptions!$C$6-G2871))))</f>
        <v/>
      </c>
      <c r="AC2871">
        <f>IF(Y2871=1,Q2871-F2871,"")</f>
        <v/>
      </c>
      <c r="AD2871">
        <f>IF(Y2871=1,AC2871^2,"")</f>
        <v/>
      </c>
      <c r="AE2871" s="19">
        <f>IF(Z2871=1,(H2871-M2871)*I2871,0)</f>
        <v/>
      </c>
      <c r="AF2871">
        <f>IF(G2871&lt;EDATE(Assumptions!$C$6,-12)+1,"prior_12m","last_12m")</f>
        <v/>
      </c>
      <c r="AG2871" s="21">
        <f>DATE(YEAR(G2871),MONTH(G2871),1)</f>
        <v/>
      </c>
    </row>
    <row r="2872">
      <c r="A2872" t="inlineStr">
        <is>
          <t>SPO-01548-2</t>
        </is>
      </c>
      <c r="B2872" t="inlineStr">
        <is>
          <t>SPO-01548</t>
        </is>
      </c>
      <c r="C2872" t="inlineStr">
        <is>
          <t>SUP-14</t>
        </is>
      </c>
      <c r="D2872" t="inlineStr">
        <is>
          <t>FLEET</t>
        </is>
      </c>
      <c r="E2872" t="inlineStr">
        <is>
          <t>FLEET-08</t>
        </is>
      </c>
      <c r="F2872" s="17" t="n">
        <v>45995</v>
      </c>
      <c r="G2872" s="17" t="n">
        <v>46009</v>
      </c>
      <c r="H2872" s="18" t="n">
        <v>150</v>
      </c>
      <c r="I2872" s="19" t="n">
        <v>6.27</v>
      </c>
      <c r="J2872" s="19" t="n">
        <v>6.4</v>
      </c>
      <c r="K2872" s="20" t="n">
        <v>1</v>
      </c>
      <c r="L2872" s="20" t="n">
        <v>0</v>
      </c>
      <c r="M2872" s="18" t="n">
        <v>0</v>
      </c>
      <c r="N2872" s="18" t="n">
        <v>0</v>
      </c>
      <c r="O2872" s="18" t="n">
        <v>0</v>
      </c>
      <c r="P2872" s="17" t="n"/>
      <c r="Q2872" s="17" t="n"/>
      <c r="R2872" s="17" t="n"/>
      <c r="S2872" s="19">
        <f>H2872*I2872</f>
        <v/>
      </c>
      <c r="T2872" s="19">
        <f>H2872*J2872</f>
        <v/>
      </c>
      <c r="U2872">
        <f>IF(AND(K2872=0,G2872&lt;=Assumptions!$C$6),1,0)</f>
        <v/>
      </c>
      <c r="V2872">
        <f>IF(U2872=1,IF(M2872&gt;0,IF(P2872&lt;=G2872+Assumptions!$C$7,1,0),0),0)</f>
        <v/>
      </c>
      <c r="W2872">
        <f>IF(AND(U2872=1,M2872&gt;=H2872*(1-Assumptions!$C$8)),1,0)</f>
        <v/>
      </c>
      <c r="X2872">
        <f>IF(AND(U2872=1,N2872&gt;=H2872*(1-Assumptions!$C$8)),1,0)</f>
        <v/>
      </c>
      <c r="Y2872">
        <f>IF(ISNUMBER(Q2872),1,0)</f>
        <v/>
      </c>
      <c r="Z2872">
        <f>IF(AND(K2872=0,L2872=0,Y2872=0),1,0)</f>
        <v/>
      </c>
      <c r="AA2872">
        <f>IF(AND(Z2872=1,G2872&lt;Assumptions!$C$6),1,0)</f>
        <v/>
      </c>
      <c r="AB2872">
        <f>IF(U2872=0,"",IF(Y2872=1,MAX(0,Q2872-G2872),IF(L2872=1,MAX(0,R2872-G2872),MAX(0,Assumptions!$C$6-G2872))))</f>
        <v/>
      </c>
      <c r="AC2872">
        <f>IF(Y2872=1,Q2872-F2872,"")</f>
        <v/>
      </c>
      <c r="AD2872">
        <f>IF(Y2872=1,AC2872^2,"")</f>
        <v/>
      </c>
      <c r="AE2872" s="19">
        <f>IF(Z2872=1,(H2872-M2872)*I2872,0)</f>
        <v/>
      </c>
      <c r="AF2872">
        <f>IF(G2872&lt;EDATE(Assumptions!$C$6,-12)+1,"prior_12m","last_12m")</f>
        <v/>
      </c>
      <c r="AG2872" s="21">
        <f>DATE(YEAR(G2872),MONTH(G2872),1)</f>
        <v/>
      </c>
    </row>
    <row r="2873">
      <c r="A2873" t="inlineStr">
        <is>
          <t>SPO-01548-3</t>
        </is>
      </c>
      <c r="B2873" t="inlineStr">
        <is>
          <t>SPO-01548</t>
        </is>
      </c>
      <c r="C2873" t="inlineStr">
        <is>
          <t>SUP-14</t>
        </is>
      </c>
      <c r="D2873" t="inlineStr">
        <is>
          <t>FLEET</t>
        </is>
      </c>
      <c r="E2873" t="inlineStr">
        <is>
          <t>FLEET-03</t>
        </is>
      </c>
      <c r="F2873" s="17" t="n">
        <v>45995</v>
      </c>
      <c r="G2873" s="17" t="n">
        <v>46009</v>
      </c>
      <c r="H2873" s="18" t="n">
        <v>100</v>
      </c>
      <c r="I2873" s="19" t="n">
        <v>22.35</v>
      </c>
      <c r="J2873" s="19" t="n">
        <v>21</v>
      </c>
      <c r="K2873" s="20" t="n">
        <v>0</v>
      </c>
      <c r="L2873" s="20" t="n">
        <v>0</v>
      </c>
      <c r="M2873" s="18" t="n">
        <v>100</v>
      </c>
      <c r="N2873" s="18" t="n">
        <v>100</v>
      </c>
      <c r="O2873" s="18" t="n">
        <v>0</v>
      </c>
      <c r="P2873" s="17" t="n">
        <v>46006</v>
      </c>
      <c r="Q2873" s="17" t="n">
        <v>46006</v>
      </c>
      <c r="R2873" s="17" t="n">
        <v>46006</v>
      </c>
      <c r="S2873" s="19">
        <f>H2873*I2873</f>
        <v/>
      </c>
      <c r="T2873" s="19">
        <f>H2873*J2873</f>
        <v/>
      </c>
      <c r="U2873">
        <f>IF(AND(K2873=0,G2873&lt;=Assumptions!$C$6),1,0)</f>
        <v/>
      </c>
      <c r="V2873">
        <f>IF(U2873=1,IF(M2873&gt;0,IF(P2873&lt;=G2873+Assumptions!$C$7,1,0),0),0)</f>
        <v/>
      </c>
      <c r="W2873">
        <f>IF(AND(U2873=1,M2873&gt;=H2873*(1-Assumptions!$C$8)),1,0)</f>
        <v/>
      </c>
      <c r="X2873">
        <f>IF(AND(U2873=1,N2873&gt;=H2873*(1-Assumptions!$C$8)),1,0)</f>
        <v/>
      </c>
      <c r="Y2873">
        <f>IF(ISNUMBER(Q2873),1,0)</f>
        <v/>
      </c>
      <c r="Z2873">
        <f>IF(AND(K2873=0,L2873=0,Y2873=0),1,0)</f>
        <v/>
      </c>
      <c r="AA2873">
        <f>IF(AND(Z2873=1,G2873&lt;Assumptions!$C$6),1,0)</f>
        <v/>
      </c>
      <c r="AB2873">
        <f>IF(U2873=0,"",IF(Y2873=1,MAX(0,Q2873-G2873),IF(L2873=1,MAX(0,R2873-G2873),MAX(0,Assumptions!$C$6-G2873))))</f>
        <v/>
      </c>
      <c r="AC2873">
        <f>IF(Y2873=1,Q2873-F2873,"")</f>
        <v/>
      </c>
      <c r="AD2873">
        <f>IF(Y2873=1,AC2873^2,"")</f>
        <v/>
      </c>
      <c r="AE2873" s="19">
        <f>IF(Z2873=1,(H2873-M2873)*I2873,0)</f>
        <v/>
      </c>
      <c r="AF2873">
        <f>IF(G2873&lt;EDATE(Assumptions!$C$6,-12)+1,"prior_12m","last_12m")</f>
        <v/>
      </c>
      <c r="AG2873" s="21">
        <f>DATE(YEAR(G2873),MONTH(G2873),1)</f>
        <v/>
      </c>
    </row>
    <row r="2874">
      <c r="A2874" t="inlineStr">
        <is>
          <t>SPO-01548-4</t>
        </is>
      </c>
      <c r="B2874" t="inlineStr">
        <is>
          <t>SPO-01548</t>
        </is>
      </c>
      <c r="C2874" t="inlineStr">
        <is>
          <t>SUP-14</t>
        </is>
      </c>
      <c r="D2874" t="inlineStr">
        <is>
          <t>FLEET</t>
        </is>
      </c>
      <c r="E2874" t="inlineStr">
        <is>
          <t>FLEET-07</t>
        </is>
      </c>
      <c r="F2874" s="17" t="n">
        <v>45995</v>
      </c>
      <c r="G2874" s="17" t="n">
        <v>46009</v>
      </c>
      <c r="H2874" s="18" t="n">
        <v>29</v>
      </c>
      <c r="I2874" s="19" t="n">
        <v>123.95</v>
      </c>
      <c r="J2874" s="19" t="n">
        <v>118</v>
      </c>
      <c r="K2874" s="20" t="n">
        <v>0</v>
      </c>
      <c r="L2874" s="20" t="n">
        <v>0</v>
      </c>
      <c r="M2874" s="18" t="n">
        <v>29</v>
      </c>
      <c r="N2874" s="18" t="n">
        <v>29</v>
      </c>
      <c r="O2874" s="18" t="n">
        <v>0</v>
      </c>
      <c r="P2874" s="17" t="n">
        <v>46003</v>
      </c>
      <c r="Q2874" s="17" t="n">
        <v>46003</v>
      </c>
      <c r="R2874" s="17" t="n">
        <v>46003</v>
      </c>
      <c r="S2874" s="19">
        <f>H2874*I2874</f>
        <v/>
      </c>
      <c r="T2874" s="19">
        <f>H2874*J2874</f>
        <v/>
      </c>
      <c r="U2874">
        <f>IF(AND(K2874=0,G2874&lt;=Assumptions!$C$6),1,0)</f>
        <v/>
      </c>
      <c r="V2874">
        <f>IF(U2874=1,IF(M2874&gt;0,IF(P2874&lt;=G2874+Assumptions!$C$7,1,0),0),0)</f>
        <v/>
      </c>
      <c r="W2874">
        <f>IF(AND(U2874=1,M2874&gt;=H2874*(1-Assumptions!$C$8)),1,0)</f>
        <v/>
      </c>
      <c r="X2874">
        <f>IF(AND(U2874=1,N2874&gt;=H2874*(1-Assumptions!$C$8)),1,0)</f>
        <v/>
      </c>
      <c r="Y2874">
        <f>IF(ISNUMBER(Q2874),1,0)</f>
        <v/>
      </c>
      <c r="Z2874">
        <f>IF(AND(K2874=0,L2874=0,Y2874=0),1,0)</f>
        <v/>
      </c>
      <c r="AA2874">
        <f>IF(AND(Z2874=1,G2874&lt;Assumptions!$C$6),1,0)</f>
        <v/>
      </c>
      <c r="AB2874">
        <f>IF(U2874=0,"",IF(Y2874=1,MAX(0,Q2874-G2874),IF(L2874=1,MAX(0,R2874-G2874),MAX(0,Assumptions!$C$6-G2874))))</f>
        <v/>
      </c>
      <c r="AC2874">
        <f>IF(Y2874=1,Q2874-F2874,"")</f>
        <v/>
      </c>
      <c r="AD2874">
        <f>IF(Y2874=1,AC2874^2,"")</f>
        <v/>
      </c>
      <c r="AE2874" s="19">
        <f>IF(Z2874=1,(H2874-M2874)*I2874,0)</f>
        <v/>
      </c>
      <c r="AF2874">
        <f>IF(G2874&lt;EDATE(Assumptions!$C$6,-12)+1,"prior_12m","last_12m")</f>
        <v/>
      </c>
      <c r="AG2874" s="21">
        <f>DATE(YEAR(G2874),MONTH(G2874),1)</f>
        <v/>
      </c>
    </row>
    <row r="2875">
      <c r="A2875" t="inlineStr">
        <is>
          <t>SPO-01549-1</t>
        </is>
      </c>
      <c r="B2875" t="inlineStr">
        <is>
          <t>SPO-01549</t>
        </is>
      </c>
      <c r="C2875" t="inlineStr">
        <is>
          <t>SUP-14</t>
        </is>
      </c>
      <c r="D2875" t="inlineStr">
        <is>
          <t>FLEET</t>
        </is>
      </c>
      <c r="E2875" t="inlineStr">
        <is>
          <t>FLEET-07</t>
        </is>
      </c>
      <c r="F2875" s="17" t="n">
        <v>45995</v>
      </c>
      <c r="G2875" s="17" t="n">
        <v>46009</v>
      </c>
      <c r="H2875" s="18" t="n">
        <v>9</v>
      </c>
      <c r="I2875" s="19" t="n">
        <v>113.59</v>
      </c>
      <c r="J2875" s="19" t="n">
        <v>118</v>
      </c>
      <c r="K2875" s="20" t="n">
        <v>0</v>
      </c>
      <c r="L2875" s="20" t="n">
        <v>0</v>
      </c>
      <c r="M2875" s="18" t="n">
        <v>9</v>
      </c>
      <c r="N2875" s="18" t="n">
        <v>9</v>
      </c>
      <c r="O2875" s="18" t="n">
        <v>0</v>
      </c>
      <c r="P2875" s="17" t="n">
        <v>46009</v>
      </c>
      <c r="Q2875" s="17" t="n">
        <v>46009</v>
      </c>
      <c r="R2875" s="17" t="n">
        <v>46009</v>
      </c>
      <c r="S2875" s="19">
        <f>H2875*I2875</f>
        <v/>
      </c>
      <c r="T2875" s="19">
        <f>H2875*J2875</f>
        <v/>
      </c>
      <c r="U2875">
        <f>IF(AND(K2875=0,G2875&lt;=Assumptions!$C$6),1,0)</f>
        <v/>
      </c>
      <c r="V2875">
        <f>IF(U2875=1,IF(M2875&gt;0,IF(P2875&lt;=G2875+Assumptions!$C$7,1,0),0),0)</f>
        <v/>
      </c>
      <c r="W2875">
        <f>IF(AND(U2875=1,M2875&gt;=H2875*(1-Assumptions!$C$8)),1,0)</f>
        <v/>
      </c>
      <c r="X2875">
        <f>IF(AND(U2875=1,N2875&gt;=H2875*(1-Assumptions!$C$8)),1,0)</f>
        <v/>
      </c>
      <c r="Y2875">
        <f>IF(ISNUMBER(Q2875),1,0)</f>
        <v/>
      </c>
      <c r="Z2875">
        <f>IF(AND(K2875=0,L2875=0,Y2875=0),1,0)</f>
        <v/>
      </c>
      <c r="AA2875">
        <f>IF(AND(Z2875=1,G2875&lt;Assumptions!$C$6),1,0)</f>
        <v/>
      </c>
      <c r="AB2875">
        <f>IF(U2875=0,"",IF(Y2875=1,MAX(0,Q2875-G2875),IF(L2875=1,MAX(0,R2875-G2875),MAX(0,Assumptions!$C$6-G2875))))</f>
        <v/>
      </c>
      <c r="AC2875">
        <f>IF(Y2875=1,Q2875-F2875,"")</f>
        <v/>
      </c>
      <c r="AD2875">
        <f>IF(Y2875=1,AC2875^2,"")</f>
        <v/>
      </c>
      <c r="AE2875" s="19">
        <f>IF(Z2875=1,(H2875-M2875)*I2875,0)</f>
        <v/>
      </c>
      <c r="AF2875">
        <f>IF(G2875&lt;EDATE(Assumptions!$C$6,-12)+1,"prior_12m","last_12m")</f>
        <v/>
      </c>
      <c r="AG2875" s="21">
        <f>DATE(YEAR(G2875),MONTH(G2875),1)</f>
        <v/>
      </c>
    </row>
    <row r="2876">
      <c r="A2876" t="inlineStr">
        <is>
          <t>SPO-01549-2</t>
        </is>
      </c>
      <c r="B2876" t="inlineStr">
        <is>
          <t>SPO-01549</t>
        </is>
      </c>
      <c r="C2876" t="inlineStr">
        <is>
          <t>SUP-14</t>
        </is>
      </c>
      <c r="D2876" t="inlineStr">
        <is>
          <t>FLEET</t>
        </is>
      </c>
      <c r="E2876" t="inlineStr">
        <is>
          <t>FLEET-08</t>
        </is>
      </c>
      <c r="F2876" s="17" t="n">
        <v>45995</v>
      </c>
      <c r="G2876" s="17" t="n">
        <v>46009</v>
      </c>
      <c r="H2876" s="18" t="n">
        <v>211</v>
      </c>
      <c r="I2876" s="19" t="n">
        <v>6.46</v>
      </c>
      <c r="J2876" s="19" t="n">
        <v>6.4</v>
      </c>
      <c r="K2876" s="20" t="n">
        <v>0</v>
      </c>
      <c r="L2876" s="20" t="n">
        <v>0</v>
      </c>
      <c r="M2876" s="18" t="n">
        <v>211</v>
      </c>
      <c r="N2876" s="18" t="n">
        <v>211</v>
      </c>
      <c r="O2876" s="18" t="n">
        <v>0</v>
      </c>
      <c r="P2876" s="17" t="n">
        <v>46003</v>
      </c>
      <c r="Q2876" s="17" t="n">
        <v>46003</v>
      </c>
      <c r="R2876" s="17" t="n">
        <v>46003</v>
      </c>
      <c r="S2876" s="19">
        <f>H2876*I2876</f>
        <v/>
      </c>
      <c r="T2876" s="19">
        <f>H2876*J2876</f>
        <v/>
      </c>
      <c r="U2876">
        <f>IF(AND(K2876=0,G2876&lt;=Assumptions!$C$6),1,0)</f>
        <v/>
      </c>
      <c r="V2876">
        <f>IF(U2876=1,IF(M2876&gt;0,IF(P2876&lt;=G2876+Assumptions!$C$7,1,0),0),0)</f>
        <v/>
      </c>
      <c r="W2876">
        <f>IF(AND(U2876=1,M2876&gt;=H2876*(1-Assumptions!$C$8)),1,0)</f>
        <v/>
      </c>
      <c r="X2876">
        <f>IF(AND(U2876=1,N2876&gt;=H2876*(1-Assumptions!$C$8)),1,0)</f>
        <v/>
      </c>
      <c r="Y2876">
        <f>IF(ISNUMBER(Q2876),1,0)</f>
        <v/>
      </c>
      <c r="Z2876">
        <f>IF(AND(K2876=0,L2876=0,Y2876=0),1,0)</f>
        <v/>
      </c>
      <c r="AA2876">
        <f>IF(AND(Z2876=1,G2876&lt;Assumptions!$C$6),1,0)</f>
        <v/>
      </c>
      <c r="AB2876">
        <f>IF(U2876=0,"",IF(Y2876=1,MAX(0,Q2876-G2876),IF(L2876=1,MAX(0,R2876-G2876),MAX(0,Assumptions!$C$6-G2876))))</f>
        <v/>
      </c>
      <c r="AC2876">
        <f>IF(Y2876=1,Q2876-F2876,"")</f>
        <v/>
      </c>
      <c r="AD2876">
        <f>IF(Y2876=1,AC2876^2,"")</f>
        <v/>
      </c>
      <c r="AE2876" s="19">
        <f>IF(Z2876=1,(H2876-M2876)*I2876,0)</f>
        <v/>
      </c>
      <c r="AF2876">
        <f>IF(G2876&lt;EDATE(Assumptions!$C$6,-12)+1,"prior_12m","last_12m")</f>
        <v/>
      </c>
      <c r="AG2876" s="21">
        <f>DATE(YEAR(G2876),MONTH(G2876),1)</f>
        <v/>
      </c>
    </row>
    <row r="2877">
      <c r="A2877" t="inlineStr">
        <is>
          <t>SPO-01550-1</t>
        </is>
      </c>
      <c r="B2877" t="inlineStr">
        <is>
          <t>SPO-01550</t>
        </is>
      </c>
      <c r="C2877" t="inlineStr">
        <is>
          <t>SUP-07</t>
        </is>
      </c>
      <c r="D2877" t="inlineStr">
        <is>
          <t>MRO</t>
        </is>
      </c>
      <c r="E2877" t="inlineStr">
        <is>
          <t>MRO-04</t>
        </is>
      </c>
      <c r="F2877" s="17" t="n">
        <v>45995</v>
      </c>
      <c r="G2877" s="17" t="n">
        <v>46005</v>
      </c>
      <c r="H2877" s="18" t="n">
        <v>14</v>
      </c>
      <c r="I2877" s="19" t="n">
        <v>55.45</v>
      </c>
      <c r="J2877" s="19" t="n">
        <v>58</v>
      </c>
      <c r="K2877" s="20" t="n">
        <v>0</v>
      </c>
      <c r="L2877" s="20" t="n">
        <v>0</v>
      </c>
      <c r="M2877" s="18" t="n">
        <v>14</v>
      </c>
      <c r="N2877" s="18" t="n">
        <v>14</v>
      </c>
      <c r="O2877" s="18" t="n">
        <v>0</v>
      </c>
      <c r="P2877" s="17" t="n">
        <v>46004</v>
      </c>
      <c r="Q2877" s="17" t="n">
        <v>46004</v>
      </c>
      <c r="R2877" s="17" t="n">
        <v>46004</v>
      </c>
      <c r="S2877" s="19">
        <f>H2877*I2877</f>
        <v/>
      </c>
      <c r="T2877" s="19">
        <f>H2877*J2877</f>
        <v/>
      </c>
      <c r="U2877">
        <f>IF(AND(K2877=0,G2877&lt;=Assumptions!$C$6),1,0)</f>
        <v/>
      </c>
      <c r="V2877">
        <f>IF(U2877=1,IF(M2877&gt;0,IF(P2877&lt;=G2877+Assumptions!$C$7,1,0),0),0)</f>
        <v/>
      </c>
      <c r="W2877">
        <f>IF(AND(U2877=1,M2877&gt;=H2877*(1-Assumptions!$C$8)),1,0)</f>
        <v/>
      </c>
      <c r="X2877">
        <f>IF(AND(U2877=1,N2877&gt;=H2877*(1-Assumptions!$C$8)),1,0)</f>
        <v/>
      </c>
      <c r="Y2877">
        <f>IF(ISNUMBER(Q2877),1,0)</f>
        <v/>
      </c>
      <c r="Z2877">
        <f>IF(AND(K2877=0,L2877=0,Y2877=0),1,0)</f>
        <v/>
      </c>
      <c r="AA2877">
        <f>IF(AND(Z2877=1,G2877&lt;Assumptions!$C$6),1,0)</f>
        <v/>
      </c>
      <c r="AB2877">
        <f>IF(U2877=0,"",IF(Y2877=1,MAX(0,Q2877-G2877),IF(L2877=1,MAX(0,R2877-G2877),MAX(0,Assumptions!$C$6-G2877))))</f>
        <v/>
      </c>
      <c r="AC2877">
        <f>IF(Y2877=1,Q2877-F2877,"")</f>
        <v/>
      </c>
      <c r="AD2877">
        <f>IF(Y2877=1,AC2877^2,"")</f>
        <v/>
      </c>
      <c r="AE2877" s="19">
        <f>IF(Z2877=1,(H2877-M2877)*I2877,0)</f>
        <v/>
      </c>
      <c r="AF2877">
        <f>IF(G2877&lt;EDATE(Assumptions!$C$6,-12)+1,"prior_12m","last_12m")</f>
        <v/>
      </c>
      <c r="AG2877" s="21">
        <f>DATE(YEAR(G2877),MONTH(G2877),1)</f>
        <v/>
      </c>
    </row>
    <row r="2878">
      <c r="A2878" t="inlineStr">
        <is>
          <t>SPO-01550-2</t>
        </is>
      </c>
      <c r="B2878" t="inlineStr">
        <is>
          <t>SPO-01550</t>
        </is>
      </c>
      <c r="C2878" t="inlineStr">
        <is>
          <t>SUP-07</t>
        </is>
      </c>
      <c r="D2878" t="inlineStr">
        <is>
          <t>MRO</t>
        </is>
      </c>
      <c r="E2878" t="inlineStr">
        <is>
          <t>MRO-08</t>
        </is>
      </c>
      <c r="F2878" s="17" t="n">
        <v>45995</v>
      </c>
      <c r="G2878" s="17" t="n">
        <v>46005</v>
      </c>
      <c r="H2878" s="18" t="n">
        <v>139</v>
      </c>
      <c r="I2878" s="19" t="n">
        <v>7.27</v>
      </c>
      <c r="J2878" s="19" t="n">
        <v>7.2</v>
      </c>
      <c r="K2878" s="20" t="n">
        <v>0</v>
      </c>
      <c r="L2878" s="20" t="n">
        <v>0</v>
      </c>
      <c r="M2878" s="18" t="n">
        <v>139</v>
      </c>
      <c r="N2878" s="18" t="n">
        <v>139</v>
      </c>
      <c r="O2878" s="18" t="n">
        <v>0</v>
      </c>
      <c r="P2878" s="17" t="n">
        <v>46001</v>
      </c>
      <c r="Q2878" s="17" t="n">
        <v>46001</v>
      </c>
      <c r="R2878" s="17" t="n">
        <v>46001</v>
      </c>
      <c r="S2878" s="19">
        <f>H2878*I2878</f>
        <v/>
      </c>
      <c r="T2878" s="19">
        <f>H2878*J2878</f>
        <v/>
      </c>
      <c r="U2878">
        <f>IF(AND(K2878=0,G2878&lt;=Assumptions!$C$6),1,0)</f>
        <v/>
      </c>
      <c r="V2878">
        <f>IF(U2878=1,IF(M2878&gt;0,IF(P2878&lt;=G2878+Assumptions!$C$7,1,0),0),0)</f>
        <v/>
      </c>
      <c r="W2878">
        <f>IF(AND(U2878=1,M2878&gt;=H2878*(1-Assumptions!$C$8)),1,0)</f>
        <v/>
      </c>
      <c r="X2878">
        <f>IF(AND(U2878=1,N2878&gt;=H2878*(1-Assumptions!$C$8)),1,0)</f>
        <v/>
      </c>
      <c r="Y2878">
        <f>IF(ISNUMBER(Q2878),1,0)</f>
        <v/>
      </c>
      <c r="Z2878">
        <f>IF(AND(K2878=0,L2878=0,Y2878=0),1,0)</f>
        <v/>
      </c>
      <c r="AA2878">
        <f>IF(AND(Z2878=1,G2878&lt;Assumptions!$C$6),1,0)</f>
        <v/>
      </c>
      <c r="AB2878">
        <f>IF(U2878=0,"",IF(Y2878=1,MAX(0,Q2878-G2878),IF(L2878=1,MAX(0,R2878-G2878),MAX(0,Assumptions!$C$6-G2878))))</f>
        <v/>
      </c>
      <c r="AC2878">
        <f>IF(Y2878=1,Q2878-F2878,"")</f>
        <v/>
      </c>
      <c r="AD2878">
        <f>IF(Y2878=1,AC2878^2,"")</f>
        <v/>
      </c>
      <c r="AE2878" s="19">
        <f>IF(Z2878=1,(H2878-M2878)*I2878,0)</f>
        <v/>
      </c>
      <c r="AF2878">
        <f>IF(G2878&lt;EDATE(Assumptions!$C$6,-12)+1,"prior_12m","last_12m")</f>
        <v/>
      </c>
      <c r="AG2878" s="21">
        <f>DATE(YEAR(G2878),MONTH(G2878),1)</f>
        <v/>
      </c>
    </row>
    <row r="2879">
      <c r="A2879" t="inlineStr">
        <is>
          <t>SPO-01550-3</t>
        </is>
      </c>
      <c r="B2879" t="inlineStr">
        <is>
          <t>SPO-01550</t>
        </is>
      </c>
      <c r="C2879" t="inlineStr">
        <is>
          <t>SUP-07</t>
        </is>
      </c>
      <c r="D2879" t="inlineStr">
        <is>
          <t>MRO</t>
        </is>
      </c>
      <c r="E2879" t="inlineStr">
        <is>
          <t>MRO-01</t>
        </is>
      </c>
      <c r="F2879" s="17" t="n">
        <v>45995</v>
      </c>
      <c r="G2879" s="17" t="n">
        <v>46005</v>
      </c>
      <c r="H2879" s="18" t="n">
        <v>19</v>
      </c>
      <c r="I2879" s="19" t="n">
        <v>52.83</v>
      </c>
      <c r="J2879" s="19" t="n">
        <v>52</v>
      </c>
      <c r="K2879" s="20" t="n">
        <v>0</v>
      </c>
      <c r="L2879" s="20" t="n">
        <v>0</v>
      </c>
      <c r="M2879" s="18" t="n">
        <v>19</v>
      </c>
      <c r="N2879" s="18" t="n">
        <v>19</v>
      </c>
      <c r="O2879" s="18" t="n">
        <v>0</v>
      </c>
      <c r="P2879" s="17" t="n">
        <v>46000</v>
      </c>
      <c r="Q2879" s="17" t="n">
        <v>46000</v>
      </c>
      <c r="R2879" s="17" t="n">
        <v>46000</v>
      </c>
      <c r="S2879" s="19">
        <f>H2879*I2879</f>
        <v/>
      </c>
      <c r="T2879" s="19">
        <f>H2879*J2879</f>
        <v/>
      </c>
      <c r="U2879">
        <f>IF(AND(K2879=0,G2879&lt;=Assumptions!$C$6),1,0)</f>
        <v/>
      </c>
      <c r="V2879">
        <f>IF(U2879=1,IF(M2879&gt;0,IF(P2879&lt;=G2879+Assumptions!$C$7,1,0),0),0)</f>
        <v/>
      </c>
      <c r="W2879">
        <f>IF(AND(U2879=1,M2879&gt;=H2879*(1-Assumptions!$C$8)),1,0)</f>
        <v/>
      </c>
      <c r="X2879">
        <f>IF(AND(U2879=1,N2879&gt;=H2879*(1-Assumptions!$C$8)),1,0)</f>
        <v/>
      </c>
      <c r="Y2879">
        <f>IF(ISNUMBER(Q2879),1,0)</f>
        <v/>
      </c>
      <c r="Z2879">
        <f>IF(AND(K2879=0,L2879=0,Y2879=0),1,0)</f>
        <v/>
      </c>
      <c r="AA2879">
        <f>IF(AND(Z2879=1,G2879&lt;Assumptions!$C$6),1,0)</f>
        <v/>
      </c>
      <c r="AB2879">
        <f>IF(U2879=0,"",IF(Y2879=1,MAX(0,Q2879-G2879),IF(L2879=1,MAX(0,R2879-G2879),MAX(0,Assumptions!$C$6-G2879))))</f>
        <v/>
      </c>
      <c r="AC2879">
        <f>IF(Y2879=1,Q2879-F2879,"")</f>
        <v/>
      </c>
      <c r="AD2879">
        <f>IF(Y2879=1,AC2879^2,"")</f>
        <v/>
      </c>
      <c r="AE2879" s="19">
        <f>IF(Z2879=1,(H2879-M2879)*I2879,0)</f>
        <v/>
      </c>
      <c r="AF2879">
        <f>IF(G2879&lt;EDATE(Assumptions!$C$6,-12)+1,"prior_12m","last_12m")</f>
        <v/>
      </c>
      <c r="AG2879" s="21">
        <f>DATE(YEAR(G2879),MONTH(G2879),1)</f>
        <v/>
      </c>
    </row>
    <row r="2880">
      <c r="A2880" t="inlineStr">
        <is>
          <t>SPO-01550-4</t>
        </is>
      </c>
      <c r="B2880" t="inlineStr">
        <is>
          <t>SPO-01550</t>
        </is>
      </c>
      <c r="C2880" t="inlineStr">
        <is>
          <t>SUP-07</t>
        </is>
      </c>
      <c r="D2880" t="inlineStr">
        <is>
          <t>MRO</t>
        </is>
      </c>
      <c r="E2880" t="inlineStr">
        <is>
          <t>MRO-07</t>
        </is>
      </c>
      <c r="F2880" s="17" t="n">
        <v>45995</v>
      </c>
      <c r="G2880" s="17" t="n">
        <v>46005</v>
      </c>
      <c r="H2880" s="18" t="n">
        <v>51</v>
      </c>
      <c r="I2880" s="19" t="n">
        <v>13.11</v>
      </c>
      <c r="J2880" s="19" t="n">
        <v>14</v>
      </c>
      <c r="K2880" s="20" t="n">
        <v>0</v>
      </c>
      <c r="L2880" s="20" t="n">
        <v>0</v>
      </c>
      <c r="M2880" s="18" t="n">
        <v>51</v>
      </c>
      <c r="N2880" s="18" t="n">
        <v>51</v>
      </c>
      <c r="O2880" s="18" t="n">
        <v>0</v>
      </c>
      <c r="P2880" s="17" t="n">
        <v>46001</v>
      </c>
      <c r="Q2880" s="17" t="n">
        <v>46001</v>
      </c>
      <c r="R2880" s="17" t="n">
        <v>46001</v>
      </c>
      <c r="S2880" s="19">
        <f>H2880*I2880</f>
        <v/>
      </c>
      <c r="T2880" s="19">
        <f>H2880*J2880</f>
        <v/>
      </c>
      <c r="U2880">
        <f>IF(AND(K2880=0,G2880&lt;=Assumptions!$C$6),1,0)</f>
        <v/>
      </c>
      <c r="V2880">
        <f>IF(U2880=1,IF(M2880&gt;0,IF(P2880&lt;=G2880+Assumptions!$C$7,1,0),0),0)</f>
        <v/>
      </c>
      <c r="W2880">
        <f>IF(AND(U2880=1,M2880&gt;=H2880*(1-Assumptions!$C$8)),1,0)</f>
        <v/>
      </c>
      <c r="X2880">
        <f>IF(AND(U2880=1,N2880&gt;=H2880*(1-Assumptions!$C$8)),1,0)</f>
        <v/>
      </c>
      <c r="Y2880">
        <f>IF(ISNUMBER(Q2880),1,0)</f>
        <v/>
      </c>
      <c r="Z2880">
        <f>IF(AND(K2880=0,L2880=0,Y2880=0),1,0)</f>
        <v/>
      </c>
      <c r="AA2880">
        <f>IF(AND(Z2880=1,G2880&lt;Assumptions!$C$6),1,0)</f>
        <v/>
      </c>
      <c r="AB2880">
        <f>IF(U2880=0,"",IF(Y2880=1,MAX(0,Q2880-G2880),IF(L2880=1,MAX(0,R2880-G2880),MAX(0,Assumptions!$C$6-G2880))))</f>
        <v/>
      </c>
      <c r="AC2880">
        <f>IF(Y2880=1,Q2880-F2880,"")</f>
        <v/>
      </c>
      <c r="AD2880">
        <f>IF(Y2880=1,AC2880^2,"")</f>
        <v/>
      </c>
      <c r="AE2880" s="19">
        <f>IF(Z2880=1,(H2880-M2880)*I2880,0)</f>
        <v/>
      </c>
      <c r="AF2880">
        <f>IF(G2880&lt;EDATE(Assumptions!$C$6,-12)+1,"prior_12m","last_12m")</f>
        <v/>
      </c>
      <c r="AG2880" s="21">
        <f>DATE(YEAR(G2880),MONTH(G2880),1)</f>
        <v/>
      </c>
    </row>
    <row r="2881">
      <c r="A2881" t="inlineStr">
        <is>
          <t>SPO-01551-1</t>
        </is>
      </c>
      <c r="B2881" t="inlineStr">
        <is>
          <t>SPO-01551</t>
        </is>
      </c>
      <c r="C2881" t="inlineStr">
        <is>
          <t>SUP-02</t>
        </is>
      </c>
      <c r="D2881" t="inlineStr">
        <is>
          <t>ELEC</t>
        </is>
      </c>
      <c r="E2881" t="inlineStr">
        <is>
          <t>ELEC-03</t>
        </is>
      </c>
      <c r="F2881" s="17" t="n">
        <v>45995</v>
      </c>
      <c r="G2881" s="17" t="n">
        <v>46011</v>
      </c>
      <c r="H2881" s="18" t="n">
        <v>32</v>
      </c>
      <c r="I2881" s="19" t="n">
        <v>92.84999999999999</v>
      </c>
      <c r="J2881" s="19" t="n">
        <v>96</v>
      </c>
      <c r="K2881" s="20" t="n">
        <v>1</v>
      </c>
      <c r="L2881" s="20" t="n">
        <v>0</v>
      </c>
      <c r="M2881" s="18" t="n">
        <v>0</v>
      </c>
      <c r="N2881" s="18" t="n">
        <v>0</v>
      </c>
      <c r="O2881" s="18" t="n">
        <v>0</v>
      </c>
      <c r="P2881" s="17" t="n"/>
      <c r="Q2881" s="17" t="n"/>
      <c r="R2881" s="17" t="n"/>
      <c r="S2881" s="19">
        <f>H2881*I2881</f>
        <v/>
      </c>
      <c r="T2881" s="19">
        <f>H2881*J2881</f>
        <v/>
      </c>
      <c r="U2881">
        <f>IF(AND(K2881=0,G2881&lt;=Assumptions!$C$6),1,0)</f>
        <v/>
      </c>
      <c r="V2881">
        <f>IF(U2881=1,IF(M2881&gt;0,IF(P2881&lt;=G2881+Assumptions!$C$7,1,0),0),0)</f>
        <v/>
      </c>
      <c r="W2881">
        <f>IF(AND(U2881=1,M2881&gt;=H2881*(1-Assumptions!$C$8)),1,0)</f>
        <v/>
      </c>
      <c r="X2881">
        <f>IF(AND(U2881=1,N2881&gt;=H2881*(1-Assumptions!$C$8)),1,0)</f>
        <v/>
      </c>
      <c r="Y2881">
        <f>IF(ISNUMBER(Q2881),1,0)</f>
        <v/>
      </c>
      <c r="Z2881">
        <f>IF(AND(K2881=0,L2881=0,Y2881=0),1,0)</f>
        <v/>
      </c>
      <c r="AA2881">
        <f>IF(AND(Z2881=1,G2881&lt;Assumptions!$C$6),1,0)</f>
        <v/>
      </c>
      <c r="AB2881">
        <f>IF(U2881=0,"",IF(Y2881=1,MAX(0,Q2881-G2881),IF(L2881=1,MAX(0,R2881-G2881),MAX(0,Assumptions!$C$6-G2881))))</f>
        <v/>
      </c>
      <c r="AC2881">
        <f>IF(Y2881=1,Q2881-F2881,"")</f>
        <v/>
      </c>
      <c r="AD2881">
        <f>IF(Y2881=1,AC2881^2,"")</f>
        <v/>
      </c>
      <c r="AE2881" s="19">
        <f>IF(Z2881=1,(H2881-M2881)*I2881,0)</f>
        <v/>
      </c>
      <c r="AF2881">
        <f>IF(G2881&lt;EDATE(Assumptions!$C$6,-12)+1,"prior_12m","last_12m")</f>
        <v/>
      </c>
      <c r="AG2881" s="21">
        <f>DATE(YEAR(G2881),MONTH(G2881),1)</f>
        <v/>
      </c>
    </row>
    <row r="2882">
      <c r="A2882" t="inlineStr">
        <is>
          <t>SPO-01551-2</t>
        </is>
      </c>
      <c r="B2882" t="inlineStr">
        <is>
          <t>SPO-01551</t>
        </is>
      </c>
      <c r="C2882" t="inlineStr">
        <is>
          <t>SUP-02</t>
        </is>
      </c>
      <c r="D2882" t="inlineStr">
        <is>
          <t>ELEC</t>
        </is>
      </c>
      <c r="E2882" t="inlineStr">
        <is>
          <t>ELEC-06</t>
        </is>
      </c>
      <c r="F2882" s="17" t="n">
        <v>45995</v>
      </c>
      <c r="G2882" s="17" t="n">
        <v>46011</v>
      </c>
      <c r="H2882" s="18" t="n">
        <v>5</v>
      </c>
      <c r="I2882" s="19" t="n">
        <v>150.05</v>
      </c>
      <c r="J2882" s="19" t="n">
        <v>145</v>
      </c>
      <c r="K2882" s="20" t="n">
        <v>0</v>
      </c>
      <c r="L2882" s="20" t="n">
        <v>0</v>
      </c>
      <c r="M2882" s="18" t="n">
        <v>5</v>
      </c>
      <c r="N2882" s="18" t="n">
        <v>5</v>
      </c>
      <c r="O2882" s="18" t="n">
        <v>0</v>
      </c>
      <c r="P2882" s="17" t="n">
        <v>46003</v>
      </c>
      <c r="Q2882" s="17" t="n">
        <v>46003</v>
      </c>
      <c r="R2882" s="17" t="n">
        <v>46003</v>
      </c>
      <c r="S2882" s="19">
        <f>H2882*I2882</f>
        <v/>
      </c>
      <c r="T2882" s="19">
        <f>H2882*J2882</f>
        <v/>
      </c>
      <c r="U2882">
        <f>IF(AND(K2882=0,G2882&lt;=Assumptions!$C$6),1,0)</f>
        <v/>
      </c>
      <c r="V2882">
        <f>IF(U2882=1,IF(M2882&gt;0,IF(P2882&lt;=G2882+Assumptions!$C$7,1,0),0),0)</f>
        <v/>
      </c>
      <c r="W2882">
        <f>IF(AND(U2882=1,M2882&gt;=H2882*(1-Assumptions!$C$8)),1,0)</f>
        <v/>
      </c>
      <c r="X2882">
        <f>IF(AND(U2882=1,N2882&gt;=H2882*(1-Assumptions!$C$8)),1,0)</f>
        <v/>
      </c>
      <c r="Y2882">
        <f>IF(ISNUMBER(Q2882),1,0)</f>
        <v/>
      </c>
      <c r="Z2882">
        <f>IF(AND(K2882=0,L2882=0,Y2882=0),1,0)</f>
        <v/>
      </c>
      <c r="AA2882">
        <f>IF(AND(Z2882=1,G2882&lt;Assumptions!$C$6),1,0)</f>
        <v/>
      </c>
      <c r="AB2882">
        <f>IF(U2882=0,"",IF(Y2882=1,MAX(0,Q2882-G2882),IF(L2882=1,MAX(0,R2882-G2882),MAX(0,Assumptions!$C$6-G2882))))</f>
        <v/>
      </c>
      <c r="AC2882">
        <f>IF(Y2882=1,Q2882-F2882,"")</f>
        <v/>
      </c>
      <c r="AD2882">
        <f>IF(Y2882=1,AC2882^2,"")</f>
        <v/>
      </c>
      <c r="AE2882" s="19">
        <f>IF(Z2882=1,(H2882-M2882)*I2882,0)</f>
        <v/>
      </c>
      <c r="AF2882">
        <f>IF(G2882&lt;EDATE(Assumptions!$C$6,-12)+1,"prior_12m","last_12m")</f>
        <v/>
      </c>
      <c r="AG2882" s="21">
        <f>DATE(YEAR(G2882),MONTH(G2882),1)</f>
        <v/>
      </c>
    </row>
    <row r="2883">
      <c r="A2883" t="inlineStr">
        <is>
          <t>SPO-01551-3</t>
        </is>
      </c>
      <c r="B2883" t="inlineStr">
        <is>
          <t>SPO-01551</t>
        </is>
      </c>
      <c r="C2883" t="inlineStr">
        <is>
          <t>SUP-02</t>
        </is>
      </c>
      <c r="D2883" t="inlineStr">
        <is>
          <t>ELEC</t>
        </is>
      </c>
      <c r="E2883" t="inlineStr">
        <is>
          <t>ELEC-01</t>
        </is>
      </c>
      <c r="F2883" s="17" t="n">
        <v>45995</v>
      </c>
      <c r="G2883" s="17" t="n">
        <v>46011</v>
      </c>
      <c r="H2883" s="18" t="n">
        <v>40</v>
      </c>
      <c r="I2883" s="19" t="n">
        <v>38.34</v>
      </c>
      <c r="J2883" s="19" t="n">
        <v>38</v>
      </c>
      <c r="K2883" s="20" t="n">
        <v>0</v>
      </c>
      <c r="L2883" s="20" t="n">
        <v>0</v>
      </c>
      <c r="M2883" s="18" t="n">
        <v>40</v>
      </c>
      <c r="N2883" s="18" t="n">
        <v>40</v>
      </c>
      <c r="O2883" s="18" t="n">
        <v>0</v>
      </c>
      <c r="P2883" s="17" t="n">
        <v>46007</v>
      </c>
      <c r="Q2883" s="17" t="n">
        <v>46007</v>
      </c>
      <c r="R2883" s="17" t="n">
        <v>46007</v>
      </c>
      <c r="S2883" s="19">
        <f>H2883*I2883</f>
        <v/>
      </c>
      <c r="T2883" s="19">
        <f>H2883*J2883</f>
        <v/>
      </c>
      <c r="U2883">
        <f>IF(AND(K2883=0,G2883&lt;=Assumptions!$C$6),1,0)</f>
        <v/>
      </c>
      <c r="V2883">
        <f>IF(U2883=1,IF(M2883&gt;0,IF(P2883&lt;=G2883+Assumptions!$C$7,1,0),0),0)</f>
        <v/>
      </c>
      <c r="W2883">
        <f>IF(AND(U2883=1,M2883&gt;=H2883*(1-Assumptions!$C$8)),1,0)</f>
        <v/>
      </c>
      <c r="X2883">
        <f>IF(AND(U2883=1,N2883&gt;=H2883*(1-Assumptions!$C$8)),1,0)</f>
        <v/>
      </c>
      <c r="Y2883">
        <f>IF(ISNUMBER(Q2883),1,0)</f>
        <v/>
      </c>
      <c r="Z2883">
        <f>IF(AND(K2883=0,L2883=0,Y2883=0),1,0)</f>
        <v/>
      </c>
      <c r="AA2883">
        <f>IF(AND(Z2883=1,G2883&lt;Assumptions!$C$6),1,0)</f>
        <v/>
      </c>
      <c r="AB2883">
        <f>IF(U2883=0,"",IF(Y2883=1,MAX(0,Q2883-G2883),IF(L2883=1,MAX(0,R2883-G2883),MAX(0,Assumptions!$C$6-G2883))))</f>
        <v/>
      </c>
      <c r="AC2883">
        <f>IF(Y2883=1,Q2883-F2883,"")</f>
        <v/>
      </c>
      <c r="AD2883">
        <f>IF(Y2883=1,AC2883^2,"")</f>
        <v/>
      </c>
      <c r="AE2883" s="19">
        <f>IF(Z2883=1,(H2883-M2883)*I2883,0)</f>
        <v/>
      </c>
      <c r="AF2883">
        <f>IF(G2883&lt;EDATE(Assumptions!$C$6,-12)+1,"prior_12m","last_12m")</f>
        <v/>
      </c>
      <c r="AG2883" s="21">
        <f>DATE(YEAR(G2883),MONTH(G2883),1)</f>
        <v/>
      </c>
    </row>
    <row r="2884">
      <c r="A2884" t="inlineStr">
        <is>
          <t>SPO-01552-1</t>
        </is>
      </c>
      <c r="B2884" t="inlineStr">
        <is>
          <t>SPO-01552</t>
        </is>
      </c>
      <c r="C2884" t="inlineStr">
        <is>
          <t>SUP-01</t>
        </is>
      </c>
      <c r="D2884" t="inlineStr">
        <is>
          <t>ELEC</t>
        </is>
      </c>
      <c r="E2884" t="inlineStr">
        <is>
          <t>ELEC-03</t>
        </is>
      </c>
      <c r="F2884" s="17" t="n">
        <v>45996</v>
      </c>
      <c r="G2884" s="17" t="n">
        <v>46014</v>
      </c>
      <c r="H2884" s="18" t="n">
        <v>20</v>
      </c>
      <c r="I2884" s="19" t="n">
        <v>101.68</v>
      </c>
      <c r="J2884" s="19" t="n">
        <v>96</v>
      </c>
      <c r="K2884" s="20" t="n">
        <v>0</v>
      </c>
      <c r="L2884" s="20" t="n">
        <v>0</v>
      </c>
      <c r="M2884" s="18" t="n">
        <v>20</v>
      </c>
      <c r="N2884" s="18" t="n">
        <v>0</v>
      </c>
      <c r="O2884" s="18" t="n">
        <v>0</v>
      </c>
      <c r="P2884" s="17" t="n">
        <v>46015</v>
      </c>
      <c r="Q2884" s="17" t="n">
        <v>46015</v>
      </c>
      <c r="R2884" s="17" t="n">
        <v>46015</v>
      </c>
      <c r="S2884" s="19">
        <f>H2884*I2884</f>
        <v/>
      </c>
      <c r="T2884" s="19">
        <f>H2884*J2884</f>
        <v/>
      </c>
      <c r="U2884">
        <f>IF(AND(K2884=0,G2884&lt;=Assumptions!$C$6),1,0)</f>
        <v/>
      </c>
      <c r="V2884">
        <f>IF(U2884=1,IF(M2884&gt;0,IF(P2884&lt;=G2884+Assumptions!$C$7,1,0),0),0)</f>
        <v/>
      </c>
      <c r="W2884">
        <f>IF(AND(U2884=1,M2884&gt;=H2884*(1-Assumptions!$C$8)),1,0)</f>
        <v/>
      </c>
      <c r="X2884">
        <f>IF(AND(U2884=1,N2884&gt;=H2884*(1-Assumptions!$C$8)),1,0)</f>
        <v/>
      </c>
      <c r="Y2884">
        <f>IF(ISNUMBER(Q2884),1,0)</f>
        <v/>
      </c>
      <c r="Z2884">
        <f>IF(AND(K2884=0,L2884=0,Y2884=0),1,0)</f>
        <v/>
      </c>
      <c r="AA2884">
        <f>IF(AND(Z2884=1,G2884&lt;Assumptions!$C$6),1,0)</f>
        <v/>
      </c>
      <c r="AB2884">
        <f>IF(U2884=0,"",IF(Y2884=1,MAX(0,Q2884-G2884),IF(L2884=1,MAX(0,R2884-G2884),MAX(0,Assumptions!$C$6-G2884))))</f>
        <v/>
      </c>
      <c r="AC2884">
        <f>IF(Y2884=1,Q2884-F2884,"")</f>
        <v/>
      </c>
      <c r="AD2884">
        <f>IF(Y2884=1,AC2884^2,"")</f>
        <v/>
      </c>
      <c r="AE2884" s="19">
        <f>IF(Z2884=1,(H2884-M2884)*I2884,0)</f>
        <v/>
      </c>
      <c r="AF2884">
        <f>IF(G2884&lt;EDATE(Assumptions!$C$6,-12)+1,"prior_12m","last_12m")</f>
        <v/>
      </c>
      <c r="AG2884" s="21">
        <f>DATE(YEAR(G2884),MONTH(G2884),1)</f>
        <v/>
      </c>
    </row>
    <row r="2885">
      <c r="A2885" t="inlineStr">
        <is>
          <t>SPO-01552-2</t>
        </is>
      </c>
      <c r="B2885" t="inlineStr">
        <is>
          <t>SPO-01552</t>
        </is>
      </c>
      <c r="C2885" t="inlineStr">
        <is>
          <t>SUP-01</t>
        </is>
      </c>
      <c r="D2885" t="inlineStr">
        <is>
          <t>ELEC</t>
        </is>
      </c>
      <c r="E2885" t="inlineStr">
        <is>
          <t>ELEC-06</t>
        </is>
      </c>
      <c r="F2885" s="17" t="n">
        <v>45996</v>
      </c>
      <c r="G2885" s="17" t="n">
        <v>46014</v>
      </c>
      <c r="H2885" s="18" t="n">
        <v>23</v>
      </c>
      <c r="I2885" s="19" t="n">
        <v>145.04</v>
      </c>
      <c r="J2885" s="19" t="n">
        <v>145</v>
      </c>
      <c r="K2885" s="20" t="n">
        <v>0</v>
      </c>
      <c r="L2885" s="20" t="n">
        <v>0</v>
      </c>
      <c r="M2885" s="18" t="n">
        <v>23</v>
      </c>
      <c r="N2885" s="18" t="n">
        <v>23</v>
      </c>
      <c r="O2885" s="18" t="n">
        <v>6</v>
      </c>
      <c r="P2885" s="17" t="n">
        <v>46012</v>
      </c>
      <c r="Q2885" s="17" t="n">
        <v>46012</v>
      </c>
      <c r="R2885" s="17" t="n">
        <v>46012</v>
      </c>
      <c r="S2885" s="19">
        <f>H2885*I2885</f>
        <v/>
      </c>
      <c r="T2885" s="19">
        <f>H2885*J2885</f>
        <v/>
      </c>
      <c r="U2885">
        <f>IF(AND(K2885=0,G2885&lt;=Assumptions!$C$6),1,0)</f>
        <v/>
      </c>
      <c r="V2885">
        <f>IF(U2885=1,IF(M2885&gt;0,IF(P2885&lt;=G2885+Assumptions!$C$7,1,0),0),0)</f>
        <v/>
      </c>
      <c r="W2885">
        <f>IF(AND(U2885=1,M2885&gt;=H2885*(1-Assumptions!$C$8)),1,0)</f>
        <v/>
      </c>
      <c r="X2885">
        <f>IF(AND(U2885=1,N2885&gt;=H2885*(1-Assumptions!$C$8)),1,0)</f>
        <v/>
      </c>
      <c r="Y2885">
        <f>IF(ISNUMBER(Q2885),1,0)</f>
        <v/>
      </c>
      <c r="Z2885">
        <f>IF(AND(K2885=0,L2885=0,Y2885=0),1,0)</f>
        <v/>
      </c>
      <c r="AA2885">
        <f>IF(AND(Z2885=1,G2885&lt;Assumptions!$C$6),1,0)</f>
        <v/>
      </c>
      <c r="AB2885">
        <f>IF(U2885=0,"",IF(Y2885=1,MAX(0,Q2885-G2885),IF(L2885=1,MAX(0,R2885-G2885),MAX(0,Assumptions!$C$6-G2885))))</f>
        <v/>
      </c>
      <c r="AC2885">
        <f>IF(Y2885=1,Q2885-F2885,"")</f>
        <v/>
      </c>
      <c r="AD2885">
        <f>IF(Y2885=1,AC2885^2,"")</f>
        <v/>
      </c>
      <c r="AE2885" s="19">
        <f>IF(Z2885=1,(H2885-M2885)*I2885,0)</f>
        <v/>
      </c>
      <c r="AF2885">
        <f>IF(G2885&lt;EDATE(Assumptions!$C$6,-12)+1,"prior_12m","last_12m")</f>
        <v/>
      </c>
      <c r="AG2885" s="21">
        <f>DATE(YEAR(G2885),MONTH(G2885),1)</f>
        <v/>
      </c>
    </row>
    <row r="2886">
      <c r="A2886" t="inlineStr">
        <is>
          <t>SPO-01552-3</t>
        </is>
      </c>
      <c r="B2886" t="inlineStr">
        <is>
          <t>SPO-01552</t>
        </is>
      </c>
      <c r="C2886" t="inlineStr">
        <is>
          <t>SUP-01</t>
        </is>
      </c>
      <c r="D2886" t="inlineStr">
        <is>
          <t>ELEC</t>
        </is>
      </c>
      <c r="E2886" t="inlineStr">
        <is>
          <t>ELEC-04</t>
        </is>
      </c>
      <c r="F2886" s="17" t="n">
        <v>45996</v>
      </c>
      <c r="G2886" s="17" t="n">
        <v>46014</v>
      </c>
      <c r="H2886" s="18" t="n">
        <v>59</v>
      </c>
      <c r="I2886" s="19" t="n">
        <v>76.5</v>
      </c>
      <c r="J2886" s="19" t="n">
        <v>72</v>
      </c>
      <c r="K2886" s="20" t="n">
        <v>0</v>
      </c>
      <c r="L2886" s="20" t="n">
        <v>0</v>
      </c>
      <c r="M2886" s="18" t="n">
        <v>59</v>
      </c>
      <c r="N2886" s="18" t="n">
        <v>59</v>
      </c>
      <c r="O2886" s="18" t="n">
        <v>0</v>
      </c>
      <c r="P2886" s="17" t="n">
        <v>46006</v>
      </c>
      <c r="Q2886" s="17" t="n">
        <v>46006</v>
      </c>
      <c r="R2886" s="17" t="n">
        <v>46006</v>
      </c>
      <c r="S2886" s="19">
        <f>H2886*I2886</f>
        <v/>
      </c>
      <c r="T2886" s="19">
        <f>H2886*J2886</f>
        <v/>
      </c>
      <c r="U2886">
        <f>IF(AND(K2886=0,G2886&lt;=Assumptions!$C$6),1,0)</f>
        <v/>
      </c>
      <c r="V2886">
        <f>IF(U2886=1,IF(M2886&gt;0,IF(P2886&lt;=G2886+Assumptions!$C$7,1,0),0),0)</f>
        <v/>
      </c>
      <c r="W2886">
        <f>IF(AND(U2886=1,M2886&gt;=H2886*(1-Assumptions!$C$8)),1,0)</f>
        <v/>
      </c>
      <c r="X2886">
        <f>IF(AND(U2886=1,N2886&gt;=H2886*(1-Assumptions!$C$8)),1,0)</f>
        <v/>
      </c>
      <c r="Y2886">
        <f>IF(ISNUMBER(Q2886),1,0)</f>
        <v/>
      </c>
      <c r="Z2886">
        <f>IF(AND(K2886=0,L2886=0,Y2886=0),1,0)</f>
        <v/>
      </c>
      <c r="AA2886">
        <f>IF(AND(Z2886=1,G2886&lt;Assumptions!$C$6),1,0)</f>
        <v/>
      </c>
      <c r="AB2886">
        <f>IF(U2886=0,"",IF(Y2886=1,MAX(0,Q2886-G2886),IF(L2886=1,MAX(0,R2886-G2886),MAX(0,Assumptions!$C$6-G2886))))</f>
        <v/>
      </c>
      <c r="AC2886">
        <f>IF(Y2886=1,Q2886-F2886,"")</f>
        <v/>
      </c>
      <c r="AD2886">
        <f>IF(Y2886=1,AC2886^2,"")</f>
        <v/>
      </c>
      <c r="AE2886" s="19">
        <f>IF(Z2886=1,(H2886-M2886)*I2886,0)</f>
        <v/>
      </c>
      <c r="AF2886">
        <f>IF(G2886&lt;EDATE(Assumptions!$C$6,-12)+1,"prior_12m","last_12m")</f>
        <v/>
      </c>
      <c r="AG2886" s="21">
        <f>DATE(YEAR(G2886),MONTH(G2886),1)</f>
        <v/>
      </c>
    </row>
    <row r="2887">
      <c r="A2887" t="inlineStr">
        <is>
          <t>SPO-01553-1</t>
        </is>
      </c>
      <c r="B2887" t="inlineStr">
        <is>
          <t>SPO-01553</t>
        </is>
      </c>
      <c r="C2887" t="inlineStr">
        <is>
          <t>SUP-05</t>
        </is>
      </c>
      <c r="D2887" t="inlineStr">
        <is>
          <t>FLEET</t>
        </is>
      </c>
      <c r="E2887" t="inlineStr">
        <is>
          <t>FLEET-02</t>
        </is>
      </c>
      <c r="F2887" s="17" t="n">
        <v>45996</v>
      </c>
      <c r="G2887" s="17" t="n">
        <v>46010</v>
      </c>
      <c r="H2887" s="18" t="n">
        <v>104</v>
      </c>
      <c r="I2887" s="19" t="n">
        <v>7.83</v>
      </c>
      <c r="J2887" s="19" t="n">
        <v>7.5</v>
      </c>
      <c r="K2887" s="20" t="n">
        <v>0</v>
      </c>
      <c r="L2887" s="20" t="n">
        <v>0</v>
      </c>
      <c r="M2887" s="18" t="n">
        <v>104</v>
      </c>
      <c r="N2887" s="18" t="n">
        <v>104</v>
      </c>
      <c r="O2887" s="18" t="n">
        <v>0</v>
      </c>
      <c r="P2887" s="17" t="n">
        <v>46007</v>
      </c>
      <c r="Q2887" s="17" t="n">
        <v>46007</v>
      </c>
      <c r="R2887" s="17" t="n">
        <v>46007</v>
      </c>
      <c r="S2887" s="19">
        <f>H2887*I2887</f>
        <v/>
      </c>
      <c r="T2887" s="19">
        <f>H2887*J2887</f>
        <v/>
      </c>
      <c r="U2887">
        <f>IF(AND(K2887=0,G2887&lt;=Assumptions!$C$6),1,0)</f>
        <v/>
      </c>
      <c r="V2887">
        <f>IF(U2887=1,IF(M2887&gt;0,IF(P2887&lt;=G2887+Assumptions!$C$7,1,0),0),0)</f>
        <v/>
      </c>
      <c r="W2887">
        <f>IF(AND(U2887=1,M2887&gt;=H2887*(1-Assumptions!$C$8)),1,0)</f>
        <v/>
      </c>
      <c r="X2887">
        <f>IF(AND(U2887=1,N2887&gt;=H2887*(1-Assumptions!$C$8)),1,0)</f>
        <v/>
      </c>
      <c r="Y2887">
        <f>IF(ISNUMBER(Q2887),1,0)</f>
        <v/>
      </c>
      <c r="Z2887">
        <f>IF(AND(K2887=0,L2887=0,Y2887=0),1,0)</f>
        <v/>
      </c>
      <c r="AA2887">
        <f>IF(AND(Z2887=1,G2887&lt;Assumptions!$C$6),1,0)</f>
        <v/>
      </c>
      <c r="AB2887">
        <f>IF(U2887=0,"",IF(Y2887=1,MAX(0,Q2887-G2887),IF(L2887=1,MAX(0,R2887-G2887),MAX(0,Assumptions!$C$6-G2887))))</f>
        <v/>
      </c>
      <c r="AC2887">
        <f>IF(Y2887=1,Q2887-F2887,"")</f>
        <v/>
      </c>
      <c r="AD2887">
        <f>IF(Y2887=1,AC2887^2,"")</f>
        <v/>
      </c>
      <c r="AE2887" s="19">
        <f>IF(Z2887=1,(H2887-M2887)*I2887,0)</f>
        <v/>
      </c>
      <c r="AF2887">
        <f>IF(G2887&lt;EDATE(Assumptions!$C$6,-12)+1,"prior_12m","last_12m")</f>
        <v/>
      </c>
      <c r="AG2887" s="21">
        <f>DATE(YEAR(G2887),MONTH(G2887),1)</f>
        <v/>
      </c>
    </row>
    <row r="2888">
      <c r="A2888" t="inlineStr">
        <is>
          <t>SPO-01553-2</t>
        </is>
      </c>
      <c r="B2888" t="inlineStr">
        <is>
          <t>SPO-01553</t>
        </is>
      </c>
      <c r="C2888" t="inlineStr">
        <is>
          <t>SUP-05</t>
        </is>
      </c>
      <c r="D2888" t="inlineStr">
        <is>
          <t>FLEET</t>
        </is>
      </c>
      <c r="E2888" t="inlineStr">
        <is>
          <t>FLEET-06</t>
        </is>
      </c>
      <c r="F2888" s="17" t="n">
        <v>45996</v>
      </c>
      <c r="G2888" s="17" t="n">
        <v>46010</v>
      </c>
      <c r="H2888" s="18" t="n">
        <v>60</v>
      </c>
      <c r="I2888" s="19" t="n">
        <v>34.21</v>
      </c>
      <c r="J2888" s="19" t="n">
        <v>33</v>
      </c>
      <c r="K2888" s="20" t="n">
        <v>0</v>
      </c>
      <c r="L2888" s="20" t="n">
        <v>0</v>
      </c>
      <c r="M2888" s="18" t="n">
        <v>60</v>
      </c>
      <c r="N2888" s="18" t="n">
        <v>60</v>
      </c>
      <c r="O2888" s="18" t="n">
        <v>0</v>
      </c>
      <c r="P2888" s="17" t="n">
        <v>46009</v>
      </c>
      <c r="Q2888" s="17" t="n">
        <v>46009</v>
      </c>
      <c r="R2888" s="17" t="n">
        <v>46009</v>
      </c>
      <c r="S2888" s="19">
        <f>H2888*I2888</f>
        <v/>
      </c>
      <c r="T2888" s="19">
        <f>H2888*J2888</f>
        <v/>
      </c>
      <c r="U2888">
        <f>IF(AND(K2888=0,G2888&lt;=Assumptions!$C$6),1,0)</f>
        <v/>
      </c>
      <c r="V2888">
        <f>IF(U2888=1,IF(M2888&gt;0,IF(P2888&lt;=G2888+Assumptions!$C$7,1,0),0),0)</f>
        <v/>
      </c>
      <c r="W2888">
        <f>IF(AND(U2888=1,M2888&gt;=H2888*(1-Assumptions!$C$8)),1,0)</f>
        <v/>
      </c>
      <c r="X2888">
        <f>IF(AND(U2888=1,N2888&gt;=H2888*(1-Assumptions!$C$8)),1,0)</f>
        <v/>
      </c>
      <c r="Y2888">
        <f>IF(ISNUMBER(Q2888),1,0)</f>
        <v/>
      </c>
      <c r="Z2888">
        <f>IF(AND(K2888=0,L2888=0,Y2888=0),1,0)</f>
        <v/>
      </c>
      <c r="AA2888">
        <f>IF(AND(Z2888=1,G2888&lt;Assumptions!$C$6),1,0)</f>
        <v/>
      </c>
      <c r="AB2888">
        <f>IF(U2888=0,"",IF(Y2888=1,MAX(0,Q2888-G2888),IF(L2888=1,MAX(0,R2888-G2888),MAX(0,Assumptions!$C$6-G2888))))</f>
        <v/>
      </c>
      <c r="AC2888">
        <f>IF(Y2888=1,Q2888-F2888,"")</f>
        <v/>
      </c>
      <c r="AD2888">
        <f>IF(Y2888=1,AC2888^2,"")</f>
        <v/>
      </c>
      <c r="AE2888" s="19">
        <f>IF(Z2888=1,(H2888-M2888)*I2888,0)</f>
        <v/>
      </c>
      <c r="AF2888">
        <f>IF(G2888&lt;EDATE(Assumptions!$C$6,-12)+1,"prior_12m","last_12m")</f>
        <v/>
      </c>
      <c r="AG2888" s="21">
        <f>DATE(YEAR(G2888),MONTH(G2888),1)</f>
        <v/>
      </c>
    </row>
    <row r="2889">
      <c r="A2889" t="inlineStr">
        <is>
          <t>SPO-01553-3</t>
        </is>
      </c>
      <c r="B2889" t="inlineStr">
        <is>
          <t>SPO-01553</t>
        </is>
      </c>
      <c r="C2889" t="inlineStr">
        <is>
          <t>SUP-05</t>
        </is>
      </c>
      <c r="D2889" t="inlineStr">
        <is>
          <t>FLEET</t>
        </is>
      </c>
      <c r="E2889" t="inlineStr">
        <is>
          <t>FLEET-05</t>
        </is>
      </c>
      <c r="F2889" s="17" t="n">
        <v>45996</v>
      </c>
      <c r="G2889" s="17" t="n">
        <v>46010</v>
      </c>
      <c r="H2889" s="18" t="n">
        <v>6</v>
      </c>
      <c r="I2889" s="19" t="n">
        <v>165.87</v>
      </c>
      <c r="J2889" s="19" t="n">
        <v>168</v>
      </c>
      <c r="K2889" s="20" t="n">
        <v>0</v>
      </c>
      <c r="L2889" s="20" t="n">
        <v>0</v>
      </c>
      <c r="M2889" s="18" t="n">
        <v>6</v>
      </c>
      <c r="N2889" s="18" t="n">
        <v>6</v>
      </c>
      <c r="O2889" s="18" t="n">
        <v>0</v>
      </c>
      <c r="P2889" s="17" t="n">
        <v>46004</v>
      </c>
      <c r="Q2889" s="17" t="n">
        <v>46004</v>
      </c>
      <c r="R2889" s="17" t="n">
        <v>46004</v>
      </c>
      <c r="S2889" s="19">
        <f>H2889*I2889</f>
        <v/>
      </c>
      <c r="T2889" s="19">
        <f>H2889*J2889</f>
        <v/>
      </c>
      <c r="U2889">
        <f>IF(AND(K2889=0,G2889&lt;=Assumptions!$C$6),1,0)</f>
        <v/>
      </c>
      <c r="V2889">
        <f>IF(U2889=1,IF(M2889&gt;0,IF(P2889&lt;=G2889+Assumptions!$C$7,1,0),0),0)</f>
        <v/>
      </c>
      <c r="W2889">
        <f>IF(AND(U2889=1,M2889&gt;=H2889*(1-Assumptions!$C$8)),1,0)</f>
        <v/>
      </c>
      <c r="X2889">
        <f>IF(AND(U2889=1,N2889&gt;=H2889*(1-Assumptions!$C$8)),1,0)</f>
        <v/>
      </c>
      <c r="Y2889">
        <f>IF(ISNUMBER(Q2889),1,0)</f>
        <v/>
      </c>
      <c r="Z2889">
        <f>IF(AND(K2889=0,L2889=0,Y2889=0),1,0)</f>
        <v/>
      </c>
      <c r="AA2889">
        <f>IF(AND(Z2889=1,G2889&lt;Assumptions!$C$6),1,0)</f>
        <v/>
      </c>
      <c r="AB2889">
        <f>IF(U2889=0,"",IF(Y2889=1,MAX(0,Q2889-G2889),IF(L2889=1,MAX(0,R2889-G2889),MAX(0,Assumptions!$C$6-G2889))))</f>
        <v/>
      </c>
      <c r="AC2889">
        <f>IF(Y2889=1,Q2889-F2889,"")</f>
        <v/>
      </c>
      <c r="AD2889">
        <f>IF(Y2889=1,AC2889^2,"")</f>
        <v/>
      </c>
      <c r="AE2889" s="19">
        <f>IF(Z2889=1,(H2889-M2889)*I2889,0)</f>
        <v/>
      </c>
      <c r="AF2889">
        <f>IF(G2889&lt;EDATE(Assumptions!$C$6,-12)+1,"prior_12m","last_12m")</f>
        <v/>
      </c>
      <c r="AG2889" s="21">
        <f>DATE(YEAR(G2889),MONTH(G2889),1)</f>
        <v/>
      </c>
    </row>
    <row r="2890">
      <c r="A2890" t="inlineStr">
        <is>
          <t>SPO-01553-4</t>
        </is>
      </c>
      <c r="B2890" t="inlineStr">
        <is>
          <t>SPO-01553</t>
        </is>
      </c>
      <c r="C2890" t="inlineStr">
        <is>
          <t>SUP-05</t>
        </is>
      </c>
      <c r="D2890" t="inlineStr">
        <is>
          <t>FLEET</t>
        </is>
      </c>
      <c r="E2890" t="inlineStr">
        <is>
          <t>FLEET-01</t>
        </is>
      </c>
      <c r="F2890" s="17" t="n">
        <v>45996</v>
      </c>
      <c r="G2890" s="17" t="n">
        <v>46010</v>
      </c>
      <c r="H2890" s="18" t="n">
        <v>15</v>
      </c>
      <c r="I2890" s="19" t="n">
        <v>66.3</v>
      </c>
      <c r="J2890" s="19" t="n">
        <v>64</v>
      </c>
      <c r="K2890" s="20" t="n">
        <v>0</v>
      </c>
      <c r="L2890" s="20" t="n">
        <v>0</v>
      </c>
      <c r="M2890" s="18" t="n">
        <v>15</v>
      </c>
      <c r="N2890" s="18" t="n">
        <v>15</v>
      </c>
      <c r="O2890" s="18" t="n">
        <v>0</v>
      </c>
      <c r="P2890" s="17" t="n">
        <v>46006</v>
      </c>
      <c r="Q2890" s="17" t="n">
        <v>46006</v>
      </c>
      <c r="R2890" s="17" t="n">
        <v>46006</v>
      </c>
      <c r="S2890" s="19">
        <f>H2890*I2890</f>
        <v/>
      </c>
      <c r="T2890" s="19">
        <f>H2890*J2890</f>
        <v/>
      </c>
      <c r="U2890">
        <f>IF(AND(K2890=0,G2890&lt;=Assumptions!$C$6),1,0)</f>
        <v/>
      </c>
      <c r="V2890">
        <f>IF(U2890=1,IF(M2890&gt;0,IF(P2890&lt;=G2890+Assumptions!$C$7,1,0),0),0)</f>
        <v/>
      </c>
      <c r="W2890">
        <f>IF(AND(U2890=1,M2890&gt;=H2890*(1-Assumptions!$C$8)),1,0)</f>
        <v/>
      </c>
      <c r="X2890">
        <f>IF(AND(U2890=1,N2890&gt;=H2890*(1-Assumptions!$C$8)),1,0)</f>
        <v/>
      </c>
      <c r="Y2890">
        <f>IF(ISNUMBER(Q2890),1,0)</f>
        <v/>
      </c>
      <c r="Z2890">
        <f>IF(AND(K2890=0,L2890=0,Y2890=0),1,0)</f>
        <v/>
      </c>
      <c r="AA2890">
        <f>IF(AND(Z2890=1,G2890&lt;Assumptions!$C$6),1,0)</f>
        <v/>
      </c>
      <c r="AB2890">
        <f>IF(U2890=0,"",IF(Y2890=1,MAX(0,Q2890-G2890),IF(L2890=1,MAX(0,R2890-G2890),MAX(0,Assumptions!$C$6-G2890))))</f>
        <v/>
      </c>
      <c r="AC2890">
        <f>IF(Y2890=1,Q2890-F2890,"")</f>
        <v/>
      </c>
      <c r="AD2890">
        <f>IF(Y2890=1,AC2890^2,"")</f>
        <v/>
      </c>
      <c r="AE2890" s="19">
        <f>IF(Z2890=1,(H2890-M2890)*I2890,0)</f>
        <v/>
      </c>
      <c r="AF2890">
        <f>IF(G2890&lt;EDATE(Assumptions!$C$6,-12)+1,"prior_12m","last_12m")</f>
        <v/>
      </c>
      <c r="AG2890" s="21">
        <f>DATE(YEAR(G2890),MONTH(G2890),1)</f>
        <v/>
      </c>
    </row>
    <row r="2891">
      <c r="A2891" t="inlineStr">
        <is>
          <t>SPO-01554-1</t>
        </is>
      </c>
      <c r="B2891" t="inlineStr">
        <is>
          <t>SPO-01554</t>
        </is>
      </c>
      <c r="C2891" t="inlineStr">
        <is>
          <t>SUP-06</t>
        </is>
      </c>
      <c r="D2891" t="inlineStr">
        <is>
          <t>MRO</t>
        </is>
      </c>
      <c r="E2891" t="inlineStr">
        <is>
          <t>MRO-02</t>
        </is>
      </c>
      <c r="F2891" s="17" t="n">
        <v>45997</v>
      </c>
      <c r="G2891" s="17" t="n">
        <v>46005</v>
      </c>
      <c r="H2891" s="18" t="n">
        <v>58</v>
      </c>
      <c r="I2891" s="19" t="n">
        <v>41.57</v>
      </c>
      <c r="J2891" s="19" t="n">
        <v>41</v>
      </c>
      <c r="K2891" s="20" t="n">
        <v>0</v>
      </c>
      <c r="L2891" s="20" t="n">
        <v>0</v>
      </c>
      <c r="M2891" s="18" t="n">
        <v>58</v>
      </c>
      <c r="N2891" s="18" t="n">
        <v>58</v>
      </c>
      <c r="O2891" s="18" t="n">
        <v>0</v>
      </c>
      <c r="P2891" s="17" t="n">
        <v>46004</v>
      </c>
      <c r="Q2891" s="17" t="n">
        <v>46004</v>
      </c>
      <c r="R2891" s="17" t="n">
        <v>46004</v>
      </c>
      <c r="S2891" s="19">
        <f>H2891*I2891</f>
        <v/>
      </c>
      <c r="T2891" s="19">
        <f>H2891*J2891</f>
        <v/>
      </c>
      <c r="U2891">
        <f>IF(AND(K2891=0,G2891&lt;=Assumptions!$C$6),1,0)</f>
        <v/>
      </c>
      <c r="V2891">
        <f>IF(U2891=1,IF(M2891&gt;0,IF(P2891&lt;=G2891+Assumptions!$C$7,1,0),0),0)</f>
        <v/>
      </c>
      <c r="W2891">
        <f>IF(AND(U2891=1,M2891&gt;=H2891*(1-Assumptions!$C$8)),1,0)</f>
        <v/>
      </c>
      <c r="X2891">
        <f>IF(AND(U2891=1,N2891&gt;=H2891*(1-Assumptions!$C$8)),1,0)</f>
        <v/>
      </c>
      <c r="Y2891">
        <f>IF(ISNUMBER(Q2891),1,0)</f>
        <v/>
      </c>
      <c r="Z2891">
        <f>IF(AND(K2891=0,L2891=0,Y2891=0),1,0)</f>
        <v/>
      </c>
      <c r="AA2891">
        <f>IF(AND(Z2891=1,G2891&lt;Assumptions!$C$6),1,0)</f>
        <v/>
      </c>
      <c r="AB2891">
        <f>IF(U2891=0,"",IF(Y2891=1,MAX(0,Q2891-G2891),IF(L2891=1,MAX(0,R2891-G2891),MAX(0,Assumptions!$C$6-G2891))))</f>
        <v/>
      </c>
      <c r="AC2891">
        <f>IF(Y2891=1,Q2891-F2891,"")</f>
        <v/>
      </c>
      <c r="AD2891">
        <f>IF(Y2891=1,AC2891^2,"")</f>
        <v/>
      </c>
      <c r="AE2891" s="19">
        <f>IF(Z2891=1,(H2891-M2891)*I2891,0)</f>
        <v/>
      </c>
      <c r="AF2891">
        <f>IF(G2891&lt;EDATE(Assumptions!$C$6,-12)+1,"prior_12m","last_12m")</f>
        <v/>
      </c>
      <c r="AG2891" s="21">
        <f>DATE(YEAR(G2891),MONTH(G2891),1)</f>
        <v/>
      </c>
    </row>
    <row r="2892">
      <c r="A2892" t="inlineStr">
        <is>
          <t>SPO-01555-1</t>
        </is>
      </c>
      <c r="B2892" t="inlineStr">
        <is>
          <t>SPO-01555</t>
        </is>
      </c>
      <c r="C2892" t="inlineStr">
        <is>
          <t>SUP-02</t>
        </is>
      </c>
      <c r="D2892" t="inlineStr">
        <is>
          <t>ELEC</t>
        </is>
      </c>
      <c r="E2892" t="inlineStr">
        <is>
          <t>ELEC-01</t>
        </is>
      </c>
      <c r="F2892" s="17" t="n">
        <v>45997</v>
      </c>
      <c r="G2892" s="17" t="n">
        <v>46013</v>
      </c>
      <c r="H2892" s="18" t="n">
        <v>56</v>
      </c>
      <c r="I2892" s="19" t="n">
        <v>37.07</v>
      </c>
      <c r="J2892" s="19" t="n">
        <v>38</v>
      </c>
      <c r="K2892" s="20" t="n">
        <v>0</v>
      </c>
      <c r="L2892" s="20" t="n">
        <v>0</v>
      </c>
      <c r="M2892" s="18" t="n">
        <v>56</v>
      </c>
      <c r="N2892" s="18" t="n">
        <v>56</v>
      </c>
      <c r="O2892" s="18" t="n">
        <v>0</v>
      </c>
      <c r="P2892" s="17" t="n">
        <v>46010</v>
      </c>
      <c r="Q2892" s="17" t="n">
        <v>46010</v>
      </c>
      <c r="R2892" s="17" t="n">
        <v>46010</v>
      </c>
      <c r="S2892" s="19">
        <f>H2892*I2892</f>
        <v/>
      </c>
      <c r="T2892" s="19">
        <f>H2892*J2892</f>
        <v/>
      </c>
      <c r="U2892">
        <f>IF(AND(K2892=0,G2892&lt;=Assumptions!$C$6),1,0)</f>
        <v/>
      </c>
      <c r="V2892">
        <f>IF(U2892=1,IF(M2892&gt;0,IF(P2892&lt;=G2892+Assumptions!$C$7,1,0),0),0)</f>
        <v/>
      </c>
      <c r="W2892">
        <f>IF(AND(U2892=1,M2892&gt;=H2892*(1-Assumptions!$C$8)),1,0)</f>
        <v/>
      </c>
      <c r="X2892">
        <f>IF(AND(U2892=1,N2892&gt;=H2892*(1-Assumptions!$C$8)),1,0)</f>
        <v/>
      </c>
      <c r="Y2892">
        <f>IF(ISNUMBER(Q2892),1,0)</f>
        <v/>
      </c>
      <c r="Z2892">
        <f>IF(AND(K2892=0,L2892=0,Y2892=0),1,0)</f>
        <v/>
      </c>
      <c r="AA2892">
        <f>IF(AND(Z2892=1,G2892&lt;Assumptions!$C$6),1,0)</f>
        <v/>
      </c>
      <c r="AB2892">
        <f>IF(U2892=0,"",IF(Y2892=1,MAX(0,Q2892-G2892),IF(L2892=1,MAX(0,R2892-G2892),MAX(0,Assumptions!$C$6-G2892))))</f>
        <v/>
      </c>
      <c r="AC2892">
        <f>IF(Y2892=1,Q2892-F2892,"")</f>
        <v/>
      </c>
      <c r="AD2892">
        <f>IF(Y2892=1,AC2892^2,"")</f>
        <v/>
      </c>
      <c r="AE2892" s="19">
        <f>IF(Z2892=1,(H2892-M2892)*I2892,0)</f>
        <v/>
      </c>
      <c r="AF2892">
        <f>IF(G2892&lt;EDATE(Assumptions!$C$6,-12)+1,"prior_12m","last_12m")</f>
        <v/>
      </c>
      <c r="AG2892" s="21">
        <f>DATE(YEAR(G2892),MONTH(G2892),1)</f>
        <v/>
      </c>
    </row>
    <row r="2893">
      <c r="A2893" t="inlineStr">
        <is>
          <t>SPO-01555-2</t>
        </is>
      </c>
      <c r="B2893" t="inlineStr">
        <is>
          <t>SPO-01555</t>
        </is>
      </c>
      <c r="C2893" t="inlineStr">
        <is>
          <t>SUP-02</t>
        </is>
      </c>
      <c r="D2893" t="inlineStr">
        <is>
          <t>ELEC</t>
        </is>
      </c>
      <c r="E2893" t="inlineStr">
        <is>
          <t>ELEC-04</t>
        </is>
      </c>
      <c r="F2893" s="17" t="n">
        <v>45997</v>
      </c>
      <c r="G2893" s="17" t="n">
        <v>46013</v>
      </c>
      <c r="H2893" s="18" t="n">
        <v>28</v>
      </c>
      <c r="I2893" s="19" t="n">
        <v>71.01000000000001</v>
      </c>
      <c r="J2893" s="19" t="n">
        <v>72</v>
      </c>
      <c r="K2893" s="20" t="n">
        <v>0</v>
      </c>
      <c r="L2893" s="20" t="n">
        <v>0</v>
      </c>
      <c r="M2893" s="18" t="n">
        <v>28</v>
      </c>
      <c r="N2893" s="18" t="n">
        <v>28</v>
      </c>
      <c r="O2893" s="18" t="n">
        <v>0</v>
      </c>
      <c r="P2893" s="17" t="n">
        <v>46010</v>
      </c>
      <c r="Q2893" s="17" t="n">
        <v>46010</v>
      </c>
      <c r="R2893" s="17" t="n">
        <v>46010</v>
      </c>
      <c r="S2893" s="19">
        <f>H2893*I2893</f>
        <v/>
      </c>
      <c r="T2893" s="19">
        <f>H2893*J2893</f>
        <v/>
      </c>
      <c r="U2893">
        <f>IF(AND(K2893=0,G2893&lt;=Assumptions!$C$6),1,0)</f>
        <v/>
      </c>
      <c r="V2893">
        <f>IF(U2893=1,IF(M2893&gt;0,IF(P2893&lt;=G2893+Assumptions!$C$7,1,0),0),0)</f>
        <v/>
      </c>
      <c r="W2893">
        <f>IF(AND(U2893=1,M2893&gt;=H2893*(1-Assumptions!$C$8)),1,0)</f>
        <v/>
      </c>
      <c r="X2893">
        <f>IF(AND(U2893=1,N2893&gt;=H2893*(1-Assumptions!$C$8)),1,0)</f>
        <v/>
      </c>
      <c r="Y2893">
        <f>IF(ISNUMBER(Q2893),1,0)</f>
        <v/>
      </c>
      <c r="Z2893">
        <f>IF(AND(K2893=0,L2893=0,Y2893=0),1,0)</f>
        <v/>
      </c>
      <c r="AA2893">
        <f>IF(AND(Z2893=1,G2893&lt;Assumptions!$C$6),1,0)</f>
        <v/>
      </c>
      <c r="AB2893">
        <f>IF(U2893=0,"",IF(Y2893=1,MAX(0,Q2893-G2893),IF(L2893=1,MAX(0,R2893-G2893),MAX(0,Assumptions!$C$6-G2893))))</f>
        <v/>
      </c>
      <c r="AC2893">
        <f>IF(Y2893=1,Q2893-F2893,"")</f>
        <v/>
      </c>
      <c r="AD2893">
        <f>IF(Y2893=1,AC2893^2,"")</f>
        <v/>
      </c>
      <c r="AE2893" s="19">
        <f>IF(Z2893=1,(H2893-M2893)*I2893,0)</f>
        <v/>
      </c>
      <c r="AF2893">
        <f>IF(G2893&lt;EDATE(Assumptions!$C$6,-12)+1,"prior_12m","last_12m")</f>
        <v/>
      </c>
      <c r="AG2893" s="21">
        <f>DATE(YEAR(G2893),MONTH(G2893),1)</f>
        <v/>
      </c>
    </row>
    <row r="2894">
      <c r="A2894" t="inlineStr">
        <is>
          <t>SPO-01555-3</t>
        </is>
      </c>
      <c r="B2894" t="inlineStr">
        <is>
          <t>SPO-01555</t>
        </is>
      </c>
      <c r="C2894" t="inlineStr">
        <is>
          <t>SUP-02</t>
        </is>
      </c>
      <c r="D2894" t="inlineStr">
        <is>
          <t>ELEC</t>
        </is>
      </c>
      <c r="E2894" t="inlineStr">
        <is>
          <t>ELEC-08</t>
        </is>
      </c>
      <c r="F2894" s="17" t="n">
        <v>45997</v>
      </c>
      <c r="G2894" s="17" t="n">
        <v>46013</v>
      </c>
      <c r="H2894" s="18" t="n">
        <v>120</v>
      </c>
      <c r="I2894" s="19" t="n">
        <v>17.11</v>
      </c>
      <c r="J2894" s="19" t="n">
        <v>18</v>
      </c>
      <c r="K2894" s="20" t="n">
        <v>0</v>
      </c>
      <c r="L2894" s="20" t="n">
        <v>0</v>
      </c>
      <c r="M2894" s="18" t="n">
        <v>120</v>
      </c>
      <c r="N2894" s="18" t="n">
        <v>120</v>
      </c>
      <c r="O2894" s="18" t="n">
        <v>0</v>
      </c>
      <c r="P2894" s="17" t="n">
        <v>46011</v>
      </c>
      <c r="Q2894" s="17" t="n">
        <v>46011</v>
      </c>
      <c r="R2894" s="17" t="n">
        <v>46011</v>
      </c>
      <c r="S2894" s="19">
        <f>H2894*I2894</f>
        <v/>
      </c>
      <c r="T2894" s="19">
        <f>H2894*J2894</f>
        <v/>
      </c>
      <c r="U2894">
        <f>IF(AND(K2894=0,G2894&lt;=Assumptions!$C$6),1,0)</f>
        <v/>
      </c>
      <c r="V2894">
        <f>IF(U2894=1,IF(M2894&gt;0,IF(P2894&lt;=G2894+Assumptions!$C$7,1,0),0),0)</f>
        <v/>
      </c>
      <c r="W2894">
        <f>IF(AND(U2894=1,M2894&gt;=H2894*(1-Assumptions!$C$8)),1,0)</f>
        <v/>
      </c>
      <c r="X2894">
        <f>IF(AND(U2894=1,N2894&gt;=H2894*(1-Assumptions!$C$8)),1,0)</f>
        <v/>
      </c>
      <c r="Y2894">
        <f>IF(ISNUMBER(Q2894),1,0)</f>
        <v/>
      </c>
      <c r="Z2894">
        <f>IF(AND(K2894=0,L2894=0,Y2894=0),1,0)</f>
        <v/>
      </c>
      <c r="AA2894">
        <f>IF(AND(Z2894=1,G2894&lt;Assumptions!$C$6),1,0)</f>
        <v/>
      </c>
      <c r="AB2894">
        <f>IF(U2894=0,"",IF(Y2894=1,MAX(0,Q2894-G2894),IF(L2894=1,MAX(0,R2894-G2894),MAX(0,Assumptions!$C$6-G2894))))</f>
        <v/>
      </c>
      <c r="AC2894">
        <f>IF(Y2894=1,Q2894-F2894,"")</f>
        <v/>
      </c>
      <c r="AD2894">
        <f>IF(Y2894=1,AC2894^2,"")</f>
        <v/>
      </c>
      <c r="AE2894" s="19">
        <f>IF(Z2894=1,(H2894-M2894)*I2894,0)</f>
        <v/>
      </c>
      <c r="AF2894">
        <f>IF(G2894&lt;EDATE(Assumptions!$C$6,-12)+1,"prior_12m","last_12m")</f>
        <v/>
      </c>
      <c r="AG2894" s="21">
        <f>DATE(YEAR(G2894),MONTH(G2894),1)</f>
        <v/>
      </c>
    </row>
    <row r="2895">
      <c r="A2895" t="inlineStr">
        <is>
          <t>SPO-01555-4</t>
        </is>
      </c>
      <c r="B2895" t="inlineStr">
        <is>
          <t>SPO-01555</t>
        </is>
      </c>
      <c r="C2895" t="inlineStr">
        <is>
          <t>SUP-02</t>
        </is>
      </c>
      <c r="D2895" t="inlineStr">
        <is>
          <t>ELEC</t>
        </is>
      </c>
      <c r="E2895" t="inlineStr">
        <is>
          <t>ELEC-02</t>
        </is>
      </c>
      <c r="F2895" s="17" t="n">
        <v>45997</v>
      </c>
      <c r="G2895" s="17" t="n">
        <v>46013</v>
      </c>
      <c r="H2895" s="18" t="n">
        <v>391</v>
      </c>
      <c r="I2895" s="19" t="n">
        <v>4.13</v>
      </c>
      <c r="J2895" s="19" t="n">
        <v>4.2</v>
      </c>
      <c r="K2895" s="20" t="n">
        <v>0</v>
      </c>
      <c r="L2895" s="20" t="n">
        <v>0</v>
      </c>
      <c r="M2895" s="18" t="n">
        <v>391</v>
      </c>
      <c r="N2895" s="18" t="n">
        <v>391</v>
      </c>
      <c r="O2895" s="18" t="n">
        <v>0</v>
      </c>
      <c r="P2895" s="17" t="n">
        <v>46013</v>
      </c>
      <c r="Q2895" s="17" t="n">
        <v>46013</v>
      </c>
      <c r="R2895" s="17" t="n">
        <v>46013</v>
      </c>
      <c r="S2895" s="19">
        <f>H2895*I2895</f>
        <v/>
      </c>
      <c r="T2895" s="19">
        <f>H2895*J2895</f>
        <v/>
      </c>
      <c r="U2895">
        <f>IF(AND(K2895=0,G2895&lt;=Assumptions!$C$6),1,0)</f>
        <v/>
      </c>
      <c r="V2895">
        <f>IF(U2895=1,IF(M2895&gt;0,IF(P2895&lt;=G2895+Assumptions!$C$7,1,0),0),0)</f>
        <v/>
      </c>
      <c r="W2895">
        <f>IF(AND(U2895=1,M2895&gt;=H2895*(1-Assumptions!$C$8)),1,0)</f>
        <v/>
      </c>
      <c r="X2895">
        <f>IF(AND(U2895=1,N2895&gt;=H2895*(1-Assumptions!$C$8)),1,0)</f>
        <v/>
      </c>
      <c r="Y2895">
        <f>IF(ISNUMBER(Q2895),1,0)</f>
        <v/>
      </c>
      <c r="Z2895">
        <f>IF(AND(K2895=0,L2895=0,Y2895=0),1,0)</f>
        <v/>
      </c>
      <c r="AA2895">
        <f>IF(AND(Z2895=1,G2895&lt;Assumptions!$C$6),1,0)</f>
        <v/>
      </c>
      <c r="AB2895">
        <f>IF(U2895=0,"",IF(Y2895=1,MAX(0,Q2895-G2895),IF(L2895=1,MAX(0,R2895-G2895),MAX(0,Assumptions!$C$6-G2895))))</f>
        <v/>
      </c>
      <c r="AC2895">
        <f>IF(Y2895=1,Q2895-F2895,"")</f>
        <v/>
      </c>
      <c r="AD2895">
        <f>IF(Y2895=1,AC2895^2,"")</f>
        <v/>
      </c>
      <c r="AE2895" s="19">
        <f>IF(Z2895=1,(H2895-M2895)*I2895,0)</f>
        <v/>
      </c>
      <c r="AF2895">
        <f>IF(G2895&lt;EDATE(Assumptions!$C$6,-12)+1,"prior_12m","last_12m")</f>
        <v/>
      </c>
      <c r="AG2895" s="21">
        <f>DATE(YEAR(G2895),MONTH(G2895),1)</f>
        <v/>
      </c>
    </row>
    <row r="2896">
      <c r="A2896" t="inlineStr">
        <is>
          <t>SPO-01556-1</t>
        </is>
      </c>
      <c r="B2896" t="inlineStr">
        <is>
          <t>SPO-01556</t>
        </is>
      </c>
      <c r="C2896" t="inlineStr">
        <is>
          <t>SUP-01</t>
        </is>
      </c>
      <c r="D2896" t="inlineStr">
        <is>
          <t>ELEC</t>
        </is>
      </c>
      <c r="E2896" t="inlineStr">
        <is>
          <t>ELEC-02</t>
        </is>
      </c>
      <c r="F2896" s="17" t="n">
        <v>45997</v>
      </c>
      <c r="G2896" s="17" t="n">
        <v>46015</v>
      </c>
      <c r="H2896" s="18" t="n">
        <v>1131</v>
      </c>
      <c r="I2896" s="19" t="n">
        <v>4.17</v>
      </c>
      <c r="J2896" s="19" t="n">
        <v>4.2</v>
      </c>
      <c r="K2896" s="20" t="n">
        <v>0</v>
      </c>
      <c r="L2896" s="20" t="n">
        <v>0</v>
      </c>
      <c r="M2896" s="18" t="n">
        <v>1131</v>
      </c>
      <c r="N2896" s="18" t="n">
        <v>0</v>
      </c>
      <c r="O2896" s="18" t="n">
        <v>0</v>
      </c>
      <c r="P2896" s="17" t="n">
        <v>46016</v>
      </c>
      <c r="Q2896" s="17" t="n">
        <v>46016</v>
      </c>
      <c r="R2896" s="17" t="n">
        <v>46016</v>
      </c>
      <c r="S2896" s="19">
        <f>H2896*I2896</f>
        <v/>
      </c>
      <c r="T2896" s="19">
        <f>H2896*J2896</f>
        <v/>
      </c>
      <c r="U2896">
        <f>IF(AND(K2896=0,G2896&lt;=Assumptions!$C$6),1,0)</f>
        <v/>
      </c>
      <c r="V2896">
        <f>IF(U2896=1,IF(M2896&gt;0,IF(P2896&lt;=G2896+Assumptions!$C$7,1,0),0),0)</f>
        <v/>
      </c>
      <c r="W2896">
        <f>IF(AND(U2896=1,M2896&gt;=H2896*(1-Assumptions!$C$8)),1,0)</f>
        <v/>
      </c>
      <c r="X2896">
        <f>IF(AND(U2896=1,N2896&gt;=H2896*(1-Assumptions!$C$8)),1,0)</f>
        <v/>
      </c>
      <c r="Y2896">
        <f>IF(ISNUMBER(Q2896),1,0)</f>
        <v/>
      </c>
      <c r="Z2896">
        <f>IF(AND(K2896=0,L2896=0,Y2896=0),1,0)</f>
        <v/>
      </c>
      <c r="AA2896">
        <f>IF(AND(Z2896=1,G2896&lt;Assumptions!$C$6),1,0)</f>
        <v/>
      </c>
      <c r="AB2896">
        <f>IF(U2896=0,"",IF(Y2896=1,MAX(0,Q2896-G2896),IF(L2896=1,MAX(0,R2896-G2896),MAX(0,Assumptions!$C$6-G2896))))</f>
        <v/>
      </c>
      <c r="AC2896">
        <f>IF(Y2896=1,Q2896-F2896,"")</f>
        <v/>
      </c>
      <c r="AD2896">
        <f>IF(Y2896=1,AC2896^2,"")</f>
        <v/>
      </c>
      <c r="AE2896" s="19">
        <f>IF(Z2896=1,(H2896-M2896)*I2896,0)</f>
        <v/>
      </c>
      <c r="AF2896">
        <f>IF(G2896&lt;EDATE(Assumptions!$C$6,-12)+1,"prior_12m","last_12m")</f>
        <v/>
      </c>
      <c r="AG2896" s="21">
        <f>DATE(YEAR(G2896),MONTH(G2896),1)</f>
        <v/>
      </c>
    </row>
    <row r="2897">
      <c r="A2897" t="inlineStr">
        <is>
          <t>SPO-01556-2</t>
        </is>
      </c>
      <c r="B2897" t="inlineStr">
        <is>
          <t>SPO-01556</t>
        </is>
      </c>
      <c r="C2897" t="inlineStr">
        <is>
          <t>SUP-01</t>
        </is>
      </c>
      <c r="D2897" t="inlineStr">
        <is>
          <t>ELEC</t>
        </is>
      </c>
      <c r="E2897" t="inlineStr">
        <is>
          <t>ELEC-06</t>
        </is>
      </c>
      <c r="F2897" s="17" t="n">
        <v>45997</v>
      </c>
      <c r="G2897" s="17" t="n">
        <v>46015</v>
      </c>
      <c r="H2897" s="18" t="n">
        <v>32</v>
      </c>
      <c r="I2897" s="19" t="n">
        <v>149.35</v>
      </c>
      <c r="J2897" s="19" t="n">
        <v>145</v>
      </c>
      <c r="K2897" s="20" t="n">
        <v>0</v>
      </c>
      <c r="L2897" s="20" t="n">
        <v>0</v>
      </c>
      <c r="M2897" s="18" t="n">
        <v>32</v>
      </c>
      <c r="N2897" s="18" t="n">
        <v>32</v>
      </c>
      <c r="O2897" s="18" t="n">
        <v>0</v>
      </c>
      <c r="P2897" s="17" t="n">
        <v>46013</v>
      </c>
      <c r="Q2897" s="17" t="n">
        <v>46013</v>
      </c>
      <c r="R2897" s="17" t="n">
        <v>46013</v>
      </c>
      <c r="S2897" s="19">
        <f>H2897*I2897</f>
        <v/>
      </c>
      <c r="T2897" s="19">
        <f>H2897*J2897</f>
        <v/>
      </c>
      <c r="U2897">
        <f>IF(AND(K2897=0,G2897&lt;=Assumptions!$C$6),1,0)</f>
        <v/>
      </c>
      <c r="V2897">
        <f>IF(U2897=1,IF(M2897&gt;0,IF(P2897&lt;=G2897+Assumptions!$C$7,1,0),0),0)</f>
        <v/>
      </c>
      <c r="W2897">
        <f>IF(AND(U2897=1,M2897&gt;=H2897*(1-Assumptions!$C$8)),1,0)</f>
        <v/>
      </c>
      <c r="X2897">
        <f>IF(AND(U2897=1,N2897&gt;=H2897*(1-Assumptions!$C$8)),1,0)</f>
        <v/>
      </c>
      <c r="Y2897">
        <f>IF(ISNUMBER(Q2897),1,0)</f>
        <v/>
      </c>
      <c r="Z2897">
        <f>IF(AND(K2897=0,L2897=0,Y2897=0),1,0)</f>
        <v/>
      </c>
      <c r="AA2897">
        <f>IF(AND(Z2897=1,G2897&lt;Assumptions!$C$6),1,0)</f>
        <v/>
      </c>
      <c r="AB2897">
        <f>IF(U2897=0,"",IF(Y2897=1,MAX(0,Q2897-G2897),IF(L2897=1,MAX(0,R2897-G2897),MAX(0,Assumptions!$C$6-G2897))))</f>
        <v/>
      </c>
      <c r="AC2897">
        <f>IF(Y2897=1,Q2897-F2897,"")</f>
        <v/>
      </c>
      <c r="AD2897">
        <f>IF(Y2897=1,AC2897^2,"")</f>
        <v/>
      </c>
      <c r="AE2897" s="19">
        <f>IF(Z2897=1,(H2897-M2897)*I2897,0)</f>
        <v/>
      </c>
      <c r="AF2897">
        <f>IF(G2897&lt;EDATE(Assumptions!$C$6,-12)+1,"prior_12m","last_12m")</f>
        <v/>
      </c>
      <c r="AG2897" s="21">
        <f>DATE(YEAR(G2897),MONTH(G2897),1)</f>
        <v/>
      </c>
    </row>
    <row r="2898">
      <c r="A2898" t="inlineStr">
        <is>
          <t>SPO-01557-1</t>
        </is>
      </c>
      <c r="B2898" t="inlineStr">
        <is>
          <t>SPO-01557</t>
        </is>
      </c>
      <c r="C2898" t="inlineStr">
        <is>
          <t>SUP-07</t>
        </is>
      </c>
      <c r="D2898" t="inlineStr">
        <is>
          <t>MRO</t>
        </is>
      </c>
      <c r="E2898" t="inlineStr">
        <is>
          <t>MRO-07</t>
        </is>
      </c>
      <c r="F2898" s="17" t="n">
        <v>45997</v>
      </c>
      <c r="G2898" s="17" t="n">
        <v>46007</v>
      </c>
      <c r="H2898" s="18" t="n">
        <v>87</v>
      </c>
      <c r="I2898" s="19" t="n">
        <v>13.72</v>
      </c>
      <c r="J2898" s="19" t="n">
        <v>14</v>
      </c>
      <c r="K2898" s="20" t="n">
        <v>0</v>
      </c>
      <c r="L2898" s="20" t="n">
        <v>0</v>
      </c>
      <c r="M2898" s="18" t="n">
        <v>87</v>
      </c>
      <c r="N2898" s="18" t="n">
        <v>87</v>
      </c>
      <c r="O2898" s="18" t="n">
        <v>0</v>
      </c>
      <c r="P2898" s="17" t="n">
        <v>45999</v>
      </c>
      <c r="Q2898" s="17" t="n">
        <v>46007</v>
      </c>
      <c r="R2898" s="17" t="n">
        <v>46007</v>
      </c>
      <c r="S2898" s="19">
        <f>H2898*I2898</f>
        <v/>
      </c>
      <c r="T2898" s="19">
        <f>H2898*J2898</f>
        <v/>
      </c>
      <c r="U2898">
        <f>IF(AND(K2898=0,G2898&lt;=Assumptions!$C$6),1,0)</f>
        <v/>
      </c>
      <c r="V2898">
        <f>IF(U2898=1,IF(M2898&gt;0,IF(P2898&lt;=G2898+Assumptions!$C$7,1,0),0),0)</f>
        <v/>
      </c>
      <c r="W2898">
        <f>IF(AND(U2898=1,M2898&gt;=H2898*(1-Assumptions!$C$8)),1,0)</f>
        <v/>
      </c>
      <c r="X2898">
        <f>IF(AND(U2898=1,N2898&gt;=H2898*(1-Assumptions!$C$8)),1,0)</f>
        <v/>
      </c>
      <c r="Y2898">
        <f>IF(ISNUMBER(Q2898),1,0)</f>
        <v/>
      </c>
      <c r="Z2898">
        <f>IF(AND(K2898=0,L2898=0,Y2898=0),1,0)</f>
        <v/>
      </c>
      <c r="AA2898">
        <f>IF(AND(Z2898=1,G2898&lt;Assumptions!$C$6),1,0)</f>
        <v/>
      </c>
      <c r="AB2898">
        <f>IF(U2898=0,"",IF(Y2898=1,MAX(0,Q2898-G2898),IF(L2898=1,MAX(0,R2898-G2898),MAX(0,Assumptions!$C$6-G2898))))</f>
        <v/>
      </c>
      <c r="AC2898">
        <f>IF(Y2898=1,Q2898-F2898,"")</f>
        <v/>
      </c>
      <c r="AD2898">
        <f>IF(Y2898=1,AC2898^2,"")</f>
        <v/>
      </c>
      <c r="AE2898" s="19">
        <f>IF(Z2898=1,(H2898-M2898)*I2898,0)</f>
        <v/>
      </c>
      <c r="AF2898">
        <f>IF(G2898&lt;EDATE(Assumptions!$C$6,-12)+1,"prior_12m","last_12m")</f>
        <v/>
      </c>
      <c r="AG2898" s="21">
        <f>DATE(YEAR(G2898),MONTH(G2898),1)</f>
        <v/>
      </c>
    </row>
    <row r="2899">
      <c r="A2899" t="inlineStr">
        <is>
          <t>SPO-01558-1</t>
        </is>
      </c>
      <c r="B2899" t="inlineStr">
        <is>
          <t>SPO-01558</t>
        </is>
      </c>
      <c r="C2899" t="inlineStr">
        <is>
          <t>SUP-06</t>
        </is>
      </c>
      <c r="D2899" t="inlineStr">
        <is>
          <t>MRO</t>
        </is>
      </c>
      <c r="E2899" t="inlineStr">
        <is>
          <t>MRO-08</t>
        </is>
      </c>
      <c r="F2899" s="17" t="n">
        <v>45997</v>
      </c>
      <c r="G2899" s="17" t="n">
        <v>46005</v>
      </c>
      <c r="H2899" s="18" t="n">
        <v>265</v>
      </c>
      <c r="I2899" s="19" t="n">
        <v>6.76</v>
      </c>
      <c r="J2899" s="19" t="n">
        <v>7.2</v>
      </c>
      <c r="K2899" s="20" t="n">
        <v>0</v>
      </c>
      <c r="L2899" s="20" t="n">
        <v>0</v>
      </c>
      <c r="M2899" s="18" t="n">
        <v>265</v>
      </c>
      <c r="N2899" s="18" t="n">
        <v>265</v>
      </c>
      <c r="O2899" s="18" t="n">
        <v>0</v>
      </c>
      <c r="P2899" s="17" t="n">
        <v>46003</v>
      </c>
      <c r="Q2899" s="17" t="n">
        <v>46003</v>
      </c>
      <c r="R2899" s="17" t="n">
        <v>46003</v>
      </c>
      <c r="S2899" s="19">
        <f>H2899*I2899</f>
        <v/>
      </c>
      <c r="T2899" s="19">
        <f>H2899*J2899</f>
        <v/>
      </c>
      <c r="U2899">
        <f>IF(AND(K2899=0,G2899&lt;=Assumptions!$C$6),1,0)</f>
        <v/>
      </c>
      <c r="V2899">
        <f>IF(U2899=1,IF(M2899&gt;0,IF(P2899&lt;=G2899+Assumptions!$C$7,1,0),0),0)</f>
        <v/>
      </c>
      <c r="W2899">
        <f>IF(AND(U2899=1,M2899&gt;=H2899*(1-Assumptions!$C$8)),1,0)</f>
        <v/>
      </c>
      <c r="X2899">
        <f>IF(AND(U2899=1,N2899&gt;=H2899*(1-Assumptions!$C$8)),1,0)</f>
        <v/>
      </c>
      <c r="Y2899">
        <f>IF(ISNUMBER(Q2899),1,0)</f>
        <v/>
      </c>
      <c r="Z2899">
        <f>IF(AND(K2899=0,L2899=0,Y2899=0),1,0)</f>
        <v/>
      </c>
      <c r="AA2899">
        <f>IF(AND(Z2899=1,G2899&lt;Assumptions!$C$6),1,0)</f>
        <v/>
      </c>
      <c r="AB2899">
        <f>IF(U2899=0,"",IF(Y2899=1,MAX(0,Q2899-G2899),IF(L2899=1,MAX(0,R2899-G2899),MAX(0,Assumptions!$C$6-G2899))))</f>
        <v/>
      </c>
      <c r="AC2899">
        <f>IF(Y2899=1,Q2899-F2899,"")</f>
        <v/>
      </c>
      <c r="AD2899">
        <f>IF(Y2899=1,AC2899^2,"")</f>
        <v/>
      </c>
      <c r="AE2899" s="19">
        <f>IF(Z2899=1,(H2899-M2899)*I2899,0)</f>
        <v/>
      </c>
      <c r="AF2899">
        <f>IF(G2899&lt;EDATE(Assumptions!$C$6,-12)+1,"prior_12m","last_12m")</f>
        <v/>
      </c>
      <c r="AG2899" s="21">
        <f>DATE(YEAR(G2899),MONTH(G2899),1)</f>
        <v/>
      </c>
    </row>
    <row r="2900">
      <c r="A2900" t="inlineStr">
        <is>
          <t>SPO-01558-2</t>
        </is>
      </c>
      <c r="B2900" t="inlineStr">
        <is>
          <t>SPO-01558</t>
        </is>
      </c>
      <c r="C2900" t="inlineStr">
        <is>
          <t>SUP-06</t>
        </is>
      </c>
      <c r="D2900" t="inlineStr">
        <is>
          <t>MRO</t>
        </is>
      </c>
      <c r="E2900" t="inlineStr">
        <is>
          <t>MRO-04</t>
        </is>
      </c>
      <c r="F2900" s="17" t="n">
        <v>45997</v>
      </c>
      <c r="G2900" s="17" t="n">
        <v>46005</v>
      </c>
      <c r="H2900" s="18" t="n">
        <v>17</v>
      </c>
      <c r="I2900" s="19" t="n">
        <v>59.86</v>
      </c>
      <c r="J2900" s="19" t="n">
        <v>58</v>
      </c>
      <c r="K2900" s="20" t="n">
        <v>0</v>
      </c>
      <c r="L2900" s="20" t="n">
        <v>0</v>
      </c>
      <c r="M2900" s="18" t="n">
        <v>17</v>
      </c>
      <c r="N2900" s="18" t="n">
        <v>17</v>
      </c>
      <c r="O2900" s="18" t="n">
        <v>0</v>
      </c>
      <c r="P2900" s="17" t="n">
        <v>46003</v>
      </c>
      <c r="Q2900" s="17" t="n">
        <v>46003</v>
      </c>
      <c r="R2900" s="17" t="n">
        <v>46003</v>
      </c>
      <c r="S2900" s="19">
        <f>H2900*I2900</f>
        <v/>
      </c>
      <c r="T2900" s="19">
        <f>H2900*J2900</f>
        <v/>
      </c>
      <c r="U2900">
        <f>IF(AND(K2900=0,G2900&lt;=Assumptions!$C$6),1,0)</f>
        <v/>
      </c>
      <c r="V2900">
        <f>IF(U2900=1,IF(M2900&gt;0,IF(P2900&lt;=G2900+Assumptions!$C$7,1,0),0),0)</f>
        <v/>
      </c>
      <c r="W2900">
        <f>IF(AND(U2900=1,M2900&gt;=H2900*(1-Assumptions!$C$8)),1,0)</f>
        <v/>
      </c>
      <c r="X2900">
        <f>IF(AND(U2900=1,N2900&gt;=H2900*(1-Assumptions!$C$8)),1,0)</f>
        <v/>
      </c>
      <c r="Y2900">
        <f>IF(ISNUMBER(Q2900),1,0)</f>
        <v/>
      </c>
      <c r="Z2900">
        <f>IF(AND(K2900=0,L2900=0,Y2900=0),1,0)</f>
        <v/>
      </c>
      <c r="AA2900">
        <f>IF(AND(Z2900=1,G2900&lt;Assumptions!$C$6),1,0)</f>
        <v/>
      </c>
      <c r="AB2900">
        <f>IF(U2900=0,"",IF(Y2900=1,MAX(0,Q2900-G2900),IF(L2900=1,MAX(0,R2900-G2900),MAX(0,Assumptions!$C$6-G2900))))</f>
        <v/>
      </c>
      <c r="AC2900">
        <f>IF(Y2900=1,Q2900-F2900,"")</f>
        <v/>
      </c>
      <c r="AD2900">
        <f>IF(Y2900=1,AC2900^2,"")</f>
        <v/>
      </c>
      <c r="AE2900" s="19">
        <f>IF(Z2900=1,(H2900-M2900)*I2900,0)</f>
        <v/>
      </c>
      <c r="AF2900">
        <f>IF(G2900&lt;EDATE(Assumptions!$C$6,-12)+1,"prior_12m","last_12m")</f>
        <v/>
      </c>
      <c r="AG2900" s="21">
        <f>DATE(YEAR(G2900),MONTH(G2900),1)</f>
        <v/>
      </c>
    </row>
    <row r="2901">
      <c r="A2901" t="inlineStr">
        <is>
          <t>SPO-01558-3</t>
        </is>
      </c>
      <c r="B2901" t="inlineStr">
        <is>
          <t>SPO-01558</t>
        </is>
      </c>
      <c r="C2901" t="inlineStr">
        <is>
          <t>SUP-06</t>
        </is>
      </c>
      <c r="D2901" t="inlineStr">
        <is>
          <t>MRO</t>
        </is>
      </c>
      <c r="E2901" t="inlineStr">
        <is>
          <t>MRO-02</t>
        </is>
      </c>
      <c r="F2901" s="17" t="n">
        <v>45997</v>
      </c>
      <c r="G2901" s="17" t="n">
        <v>46005</v>
      </c>
      <c r="H2901" s="18" t="n">
        <v>46</v>
      </c>
      <c r="I2901" s="19" t="n">
        <v>40.4</v>
      </c>
      <c r="J2901" s="19" t="n">
        <v>41</v>
      </c>
      <c r="K2901" s="20" t="n">
        <v>0</v>
      </c>
      <c r="L2901" s="20" t="n">
        <v>0</v>
      </c>
      <c r="M2901" s="18" t="n">
        <v>46</v>
      </c>
      <c r="N2901" s="18" t="n">
        <v>46</v>
      </c>
      <c r="O2901" s="18" t="n">
        <v>0</v>
      </c>
      <c r="P2901" s="17" t="n">
        <v>46003</v>
      </c>
      <c r="Q2901" s="17" t="n">
        <v>46003</v>
      </c>
      <c r="R2901" s="17" t="n">
        <v>46003</v>
      </c>
      <c r="S2901" s="19">
        <f>H2901*I2901</f>
        <v/>
      </c>
      <c r="T2901" s="19">
        <f>H2901*J2901</f>
        <v/>
      </c>
      <c r="U2901">
        <f>IF(AND(K2901=0,G2901&lt;=Assumptions!$C$6),1,0)</f>
        <v/>
      </c>
      <c r="V2901">
        <f>IF(U2901=1,IF(M2901&gt;0,IF(P2901&lt;=G2901+Assumptions!$C$7,1,0),0),0)</f>
        <v/>
      </c>
      <c r="W2901">
        <f>IF(AND(U2901=1,M2901&gt;=H2901*(1-Assumptions!$C$8)),1,0)</f>
        <v/>
      </c>
      <c r="X2901">
        <f>IF(AND(U2901=1,N2901&gt;=H2901*(1-Assumptions!$C$8)),1,0)</f>
        <v/>
      </c>
      <c r="Y2901">
        <f>IF(ISNUMBER(Q2901),1,0)</f>
        <v/>
      </c>
      <c r="Z2901">
        <f>IF(AND(K2901=0,L2901=0,Y2901=0),1,0)</f>
        <v/>
      </c>
      <c r="AA2901">
        <f>IF(AND(Z2901=1,G2901&lt;Assumptions!$C$6),1,0)</f>
        <v/>
      </c>
      <c r="AB2901">
        <f>IF(U2901=0,"",IF(Y2901=1,MAX(0,Q2901-G2901),IF(L2901=1,MAX(0,R2901-G2901),MAX(0,Assumptions!$C$6-G2901))))</f>
        <v/>
      </c>
      <c r="AC2901">
        <f>IF(Y2901=1,Q2901-F2901,"")</f>
        <v/>
      </c>
      <c r="AD2901">
        <f>IF(Y2901=1,AC2901^2,"")</f>
        <v/>
      </c>
      <c r="AE2901" s="19">
        <f>IF(Z2901=1,(H2901-M2901)*I2901,0)</f>
        <v/>
      </c>
      <c r="AF2901">
        <f>IF(G2901&lt;EDATE(Assumptions!$C$6,-12)+1,"prior_12m","last_12m")</f>
        <v/>
      </c>
      <c r="AG2901" s="21">
        <f>DATE(YEAR(G2901),MONTH(G2901),1)</f>
        <v/>
      </c>
    </row>
    <row r="2902">
      <c r="A2902" t="inlineStr">
        <is>
          <t>SPO-01559-1</t>
        </is>
      </c>
      <c r="B2902" t="inlineStr">
        <is>
          <t>SPO-01559</t>
        </is>
      </c>
      <c r="C2902" t="inlineStr">
        <is>
          <t>SUP-14</t>
        </is>
      </c>
      <c r="D2902" t="inlineStr">
        <is>
          <t>FLEET</t>
        </is>
      </c>
      <c r="E2902" t="inlineStr">
        <is>
          <t>FLEET-02</t>
        </is>
      </c>
      <c r="F2902" s="17" t="n">
        <v>45998</v>
      </c>
      <c r="G2902" s="17" t="n">
        <v>46012</v>
      </c>
      <c r="H2902" s="18" t="n">
        <v>56</v>
      </c>
      <c r="I2902" s="19" t="n">
        <v>7.51</v>
      </c>
      <c r="J2902" s="19" t="n">
        <v>7.5</v>
      </c>
      <c r="K2902" s="20" t="n">
        <v>0</v>
      </c>
      <c r="L2902" s="20" t="n">
        <v>0</v>
      </c>
      <c r="M2902" s="18" t="n">
        <v>56</v>
      </c>
      <c r="N2902" s="18" t="n">
        <v>56</v>
      </c>
      <c r="O2902" s="18" t="n">
        <v>16</v>
      </c>
      <c r="P2902" s="17" t="n">
        <v>46009</v>
      </c>
      <c r="Q2902" s="17" t="n">
        <v>46009</v>
      </c>
      <c r="R2902" s="17" t="n">
        <v>46009</v>
      </c>
      <c r="S2902" s="19">
        <f>H2902*I2902</f>
        <v/>
      </c>
      <c r="T2902" s="19">
        <f>H2902*J2902</f>
        <v/>
      </c>
      <c r="U2902">
        <f>IF(AND(K2902=0,G2902&lt;=Assumptions!$C$6),1,0)</f>
        <v/>
      </c>
      <c r="V2902">
        <f>IF(U2902=1,IF(M2902&gt;0,IF(P2902&lt;=G2902+Assumptions!$C$7,1,0),0),0)</f>
        <v/>
      </c>
      <c r="W2902">
        <f>IF(AND(U2902=1,M2902&gt;=H2902*(1-Assumptions!$C$8)),1,0)</f>
        <v/>
      </c>
      <c r="X2902">
        <f>IF(AND(U2902=1,N2902&gt;=H2902*(1-Assumptions!$C$8)),1,0)</f>
        <v/>
      </c>
      <c r="Y2902">
        <f>IF(ISNUMBER(Q2902),1,0)</f>
        <v/>
      </c>
      <c r="Z2902">
        <f>IF(AND(K2902=0,L2902=0,Y2902=0),1,0)</f>
        <v/>
      </c>
      <c r="AA2902">
        <f>IF(AND(Z2902=1,G2902&lt;Assumptions!$C$6),1,0)</f>
        <v/>
      </c>
      <c r="AB2902">
        <f>IF(U2902=0,"",IF(Y2902=1,MAX(0,Q2902-G2902),IF(L2902=1,MAX(0,R2902-G2902),MAX(0,Assumptions!$C$6-G2902))))</f>
        <v/>
      </c>
      <c r="AC2902">
        <f>IF(Y2902=1,Q2902-F2902,"")</f>
        <v/>
      </c>
      <c r="AD2902">
        <f>IF(Y2902=1,AC2902^2,"")</f>
        <v/>
      </c>
      <c r="AE2902" s="19">
        <f>IF(Z2902=1,(H2902-M2902)*I2902,0)</f>
        <v/>
      </c>
      <c r="AF2902">
        <f>IF(G2902&lt;EDATE(Assumptions!$C$6,-12)+1,"prior_12m","last_12m")</f>
        <v/>
      </c>
      <c r="AG2902" s="21">
        <f>DATE(YEAR(G2902),MONTH(G2902),1)</f>
        <v/>
      </c>
    </row>
    <row r="2903">
      <c r="A2903" t="inlineStr">
        <is>
          <t>SPO-01560-1</t>
        </is>
      </c>
      <c r="B2903" t="inlineStr">
        <is>
          <t>SPO-01560</t>
        </is>
      </c>
      <c r="C2903" t="inlineStr">
        <is>
          <t>SUP-12</t>
        </is>
      </c>
      <c r="D2903" t="inlineStr">
        <is>
          <t>IT</t>
        </is>
      </c>
      <c r="E2903" t="inlineStr">
        <is>
          <t>IT-07</t>
        </is>
      </c>
      <c r="F2903" s="17" t="n">
        <v>45998</v>
      </c>
      <c r="G2903" s="17" t="n">
        <v>46008</v>
      </c>
      <c r="H2903" s="18" t="n">
        <v>17</v>
      </c>
      <c r="I2903" s="19" t="n">
        <v>82.84</v>
      </c>
      <c r="J2903" s="19" t="n">
        <v>74</v>
      </c>
      <c r="K2903" s="20" t="n">
        <v>0</v>
      </c>
      <c r="L2903" s="20" t="n">
        <v>0</v>
      </c>
      <c r="M2903" s="18" t="n">
        <v>17</v>
      </c>
      <c r="N2903" s="18" t="n">
        <v>17</v>
      </c>
      <c r="O2903" s="18" t="n">
        <v>0</v>
      </c>
      <c r="P2903" s="17" t="n">
        <v>46005</v>
      </c>
      <c r="Q2903" s="17" t="n">
        <v>46005</v>
      </c>
      <c r="R2903" s="17" t="n">
        <v>46005</v>
      </c>
      <c r="S2903" s="19">
        <f>H2903*I2903</f>
        <v/>
      </c>
      <c r="T2903" s="19">
        <f>H2903*J2903</f>
        <v/>
      </c>
      <c r="U2903">
        <f>IF(AND(K2903=0,G2903&lt;=Assumptions!$C$6),1,0)</f>
        <v/>
      </c>
      <c r="V2903">
        <f>IF(U2903=1,IF(M2903&gt;0,IF(P2903&lt;=G2903+Assumptions!$C$7,1,0),0),0)</f>
        <v/>
      </c>
      <c r="W2903">
        <f>IF(AND(U2903=1,M2903&gt;=H2903*(1-Assumptions!$C$8)),1,0)</f>
        <v/>
      </c>
      <c r="X2903">
        <f>IF(AND(U2903=1,N2903&gt;=H2903*(1-Assumptions!$C$8)),1,0)</f>
        <v/>
      </c>
      <c r="Y2903">
        <f>IF(ISNUMBER(Q2903),1,0)</f>
        <v/>
      </c>
      <c r="Z2903">
        <f>IF(AND(K2903=0,L2903=0,Y2903=0),1,0)</f>
        <v/>
      </c>
      <c r="AA2903">
        <f>IF(AND(Z2903=1,G2903&lt;Assumptions!$C$6),1,0)</f>
        <v/>
      </c>
      <c r="AB2903">
        <f>IF(U2903=0,"",IF(Y2903=1,MAX(0,Q2903-G2903),IF(L2903=1,MAX(0,R2903-G2903),MAX(0,Assumptions!$C$6-G2903))))</f>
        <v/>
      </c>
      <c r="AC2903">
        <f>IF(Y2903=1,Q2903-F2903,"")</f>
        <v/>
      </c>
      <c r="AD2903">
        <f>IF(Y2903=1,AC2903^2,"")</f>
        <v/>
      </c>
      <c r="AE2903" s="19">
        <f>IF(Z2903=1,(H2903-M2903)*I2903,0)</f>
        <v/>
      </c>
      <c r="AF2903">
        <f>IF(G2903&lt;EDATE(Assumptions!$C$6,-12)+1,"prior_12m","last_12m")</f>
        <v/>
      </c>
      <c r="AG2903" s="21">
        <f>DATE(YEAR(G2903),MONTH(G2903),1)</f>
        <v/>
      </c>
    </row>
    <row r="2904">
      <c r="A2904" t="inlineStr">
        <is>
          <t>SPO-01560-2</t>
        </is>
      </c>
      <c r="B2904" t="inlineStr">
        <is>
          <t>SPO-01560</t>
        </is>
      </c>
      <c r="C2904" t="inlineStr">
        <is>
          <t>SUP-12</t>
        </is>
      </c>
      <c r="D2904" t="inlineStr">
        <is>
          <t>IT</t>
        </is>
      </c>
      <c r="E2904" t="inlineStr">
        <is>
          <t>IT-08</t>
        </is>
      </c>
      <c r="F2904" s="17" t="n">
        <v>45998</v>
      </c>
      <c r="G2904" s="17" t="n">
        <v>46008</v>
      </c>
      <c r="H2904" s="18" t="n">
        <v>7</v>
      </c>
      <c r="I2904" s="19" t="n">
        <v>280.12</v>
      </c>
      <c r="J2904" s="19" t="n">
        <v>245</v>
      </c>
      <c r="K2904" s="20" t="n">
        <v>0</v>
      </c>
      <c r="L2904" s="20" t="n">
        <v>0</v>
      </c>
      <c r="M2904" s="18" t="n">
        <v>7</v>
      </c>
      <c r="N2904" s="18" t="n">
        <v>7</v>
      </c>
      <c r="O2904" s="18" t="n">
        <v>0</v>
      </c>
      <c r="P2904" s="17" t="n">
        <v>46007</v>
      </c>
      <c r="Q2904" s="17" t="n">
        <v>46007</v>
      </c>
      <c r="R2904" s="17" t="n">
        <v>46007</v>
      </c>
      <c r="S2904" s="19">
        <f>H2904*I2904</f>
        <v/>
      </c>
      <c r="T2904" s="19">
        <f>H2904*J2904</f>
        <v/>
      </c>
      <c r="U2904">
        <f>IF(AND(K2904=0,G2904&lt;=Assumptions!$C$6),1,0)</f>
        <v/>
      </c>
      <c r="V2904">
        <f>IF(U2904=1,IF(M2904&gt;0,IF(P2904&lt;=G2904+Assumptions!$C$7,1,0),0),0)</f>
        <v/>
      </c>
      <c r="W2904">
        <f>IF(AND(U2904=1,M2904&gt;=H2904*(1-Assumptions!$C$8)),1,0)</f>
        <v/>
      </c>
      <c r="X2904">
        <f>IF(AND(U2904=1,N2904&gt;=H2904*(1-Assumptions!$C$8)),1,0)</f>
        <v/>
      </c>
      <c r="Y2904">
        <f>IF(ISNUMBER(Q2904),1,0)</f>
        <v/>
      </c>
      <c r="Z2904">
        <f>IF(AND(K2904=0,L2904=0,Y2904=0),1,0)</f>
        <v/>
      </c>
      <c r="AA2904">
        <f>IF(AND(Z2904=1,G2904&lt;Assumptions!$C$6),1,0)</f>
        <v/>
      </c>
      <c r="AB2904">
        <f>IF(U2904=0,"",IF(Y2904=1,MAX(0,Q2904-G2904),IF(L2904=1,MAX(0,R2904-G2904),MAX(0,Assumptions!$C$6-G2904))))</f>
        <v/>
      </c>
      <c r="AC2904">
        <f>IF(Y2904=1,Q2904-F2904,"")</f>
        <v/>
      </c>
      <c r="AD2904">
        <f>IF(Y2904=1,AC2904^2,"")</f>
        <v/>
      </c>
      <c r="AE2904" s="19">
        <f>IF(Z2904=1,(H2904-M2904)*I2904,0)</f>
        <v/>
      </c>
      <c r="AF2904">
        <f>IF(G2904&lt;EDATE(Assumptions!$C$6,-12)+1,"prior_12m","last_12m")</f>
        <v/>
      </c>
      <c r="AG2904" s="21">
        <f>DATE(YEAR(G2904),MONTH(G2904),1)</f>
        <v/>
      </c>
    </row>
    <row r="2905">
      <c r="A2905" t="inlineStr">
        <is>
          <t>SPO-01560-3</t>
        </is>
      </c>
      <c r="B2905" t="inlineStr">
        <is>
          <t>SPO-01560</t>
        </is>
      </c>
      <c r="C2905" t="inlineStr">
        <is>
          <t>SUP-12</t>
        </is>
      </c>
      <c r="D2905" t="inlineStr">
        <is>
          <t>IT</t>
        </is>
      </c>
      <c r="E2905" t="inlineStr">
        <is>
          <t>IT-05</t>
        </is>
      </c>
      <c r="F2905" s="17" t="n">
        <v>45998</v>
      </c>
      <c r="G2905" s="17" t="n">
        <v>46008</v>
      </c>
      <c r="H2905" s="18" t="n">
        <v>1</v>
      </c>
      <c r="I2905" s="19" t="n">
        <v>716.5</v>
      </c>
      <c r="J2905" s="19" t="n">
        <v>640</v>
      </c>
      <c r="K2905" s="20" t="n">
        <v>0</v>
      </c>
      <c r="L2905" s="20" t="n">
        <v>0</v>
      </c>
      <c r="M2905" s="18" t="n">
        <v>1</v>
      </c>
      <c r="N2905" s="18" t="n">
        <v>1</v>
      </c>
      <c r="O2905" s="18" t="n">
        <v>0</v>
      </c>
      <c r="P2905" s="17" t="n">
        <v>46004</v>
      </c>
      <c r="Q2905" s="17" t="n">
        <v>46004</v>
      </c>
      <c r="R2905" s="17" t="n">
        <v>46004</v>
      </c>
      <c r="S2905" s="19">
        <f>H2905*I2905</f>
        <v/>
      </c>
      <c r="T2905" s="19">
        <f>H2905*J2905</f>
        <v/>
      </c>
      <c r="U2905">
        <f>IF(AND(K2905=0,G2905&lt;=Assumptions!$C$6),1,0)</f>
        <v/>
      </c>
      <c r="V2905">
        <f>IF(U2905=1,IF(M2905&gt;0,IF(P2905&lt;=G2905+Assumptions!$C$7,1,0),0),0)</f>
        <v/>
      </c>
      <c r="W2905">
        <f>IF(AND(U2905=1,M2905&gt;=H2905*(1-Assumptions!$C$8)),1,0)</f>
        <v/>
      </c>
      <c r="X2905">
        <f>IF(AND(U2905=1,N2905&gt;=H2905*(1-Assumptions!$C$8)),1,0)</f>
        <v/>
      </c>
      <c r="Y2905">
        <f>IF(ISNUMBER(Q2905),1,0)</f>
        <v/>
      </c>
      <c r="Z2905">
        <f>IF(AND(K2905=0,L2905=0,Y2905=0),1,0)</f>
        <v/>
      </c>
      <c r="AA2905">
        <f>IF(AND(Z2905=1,G2905&lt;Assumptions!$C$6),1,0)</f>
        <v/>
      </c>
      <c r="AB2905">
        <f>IF(U2905=0,"",IF(Y2905=1,MAX(0,Q2905-G2905),IF(L2905=1,MAX(0,R2905-G2905),MAX(0,Assumptions!$C$6-G2905))))</f>
        <v/>
      </c>
      <c r="AC2905">
        <f>IF(Y2905=1,Q2905-F2905,"")</f>
        <v/>
      </c>
      <c r="AD2905">
        <f>IF(Y2905=1,AC2905^2,"")</f>
        <v/>
      </c>
      <c r="AE2905" s="19">
        <f>IF(Z2905=1,(H2905-M2905)*I2905,0)</f>
        <v/>
      </c>
      <c r="AF2905">
        <f>IF(G2905&lt;EDATE(Assumptions!$C$6,-12)+1,"prior_12m","last_12m")</f>
        <v/>
      </c>
      <c r="AG2905" s="21">
        <f>DATE(YEAR(G2905),MONTH(G2905),1)</f>
        <v/>
      </c>
    </row>
    <row r="2906">
      <c r="A2906" t="inlineStr">
        <is>
          <t>SPO-01561-1</t>
        </is>
      </c>
      <c r="B2906" t="inlineStr">
        <is>
          <t>SPO-01561</t>
        </is>
      </c>
      <c r="C2906" t="inlineStr">
        <is>
          <t>SUP-09</t>
        </is>
      </c>
      <c r="D2906" t="inlineStr">
        <is>
          <t>CHEM</t>
        </is>
      </c>
      <c r="E2906" t="inlineStr">
        <is>
          <t>CHEM-03</t>
        </is>
      </c>
      <c r="F2906" s="17" t="n">
        <v>45998</v>
      </c>
      <c r="G2906" s="17" t="n">
        <v>46012</v>
      </c>
      <c r="H2906" s="18" t="n">
        <v>4</v>
      </c>
      <c r="I2906" s="19" t="n">
        <v>279.28</v>
      </c>
      <c r="J2906" s="19" t="n">
        <v>265</v>
      </c>
      <c r="K2906" s="20" t="n">
        <v>0</v>
      </c>
      <c r="L2906" s="20" t="n">
        <v>0</v>
      </c>
      <c r="M2906" s="18" t="n">
        <v>4</v>
      </c>
      <c r="N2906" s="18" t="n">
        <v>4</v>
      </c>
      <c r="O2906" s="18" t="n">
        <v>0</v>
      </c>
      <c r="P2906" s="17" t="n">
        <v>46011</v>
      </c>
      <c r="Q2906" s="17" t="n">
        <v>46011</v>
      </c>
      <c r="R2906" s="17" t="n">
        <v>46011</v>
      </c>
      <c r="S2906" s="19">
        <f>H2906*I2906</f>
        <v/>
      </c>
      <c r="T2906" s="19">
        <f>H2906*J2906</f>
        <v/>
      </c>
      <c r="U2906">
        <f>IF(AND(K2906=0,G2906&lt;=Assumptions!$C$6),1,0)</f>
        <v/>
      </c>
      <c r="V2906">
        <f>IF(U2906=1,IF(M2906&gt;0,IF(P2906&lt;=G2906+Assumptions!$C$7,1,0),0),0)</f>
        <v/>
      </c>
      <c r="W2906">
        <f>IF(AND(U2906=1,M2906&gt;=H2906*(1-Assumptions!$C$8)),1,0)</f>
        <v/>
      </c>
      <c r="X2906">
        <f>IF(AND(U2906=1,N2906&gt;=H2906*(1-Assumptions!$C$8)),1,0)</f>
        <v/>
      </c>
      <c r="Y2906">
        <f>IF(ISNUMBER(Q2906),1,0)</f>
        <v/>
      </c>
      <c r="Z2906">
        <f>IF(AND(K2906=0,L2906=0,Y2906=0),1,0)</f>
        <v/>
      </c>
      <c r="AA2906">
        <f>IF(AND(Z2906=1,G2906&lt;Assumptions!$C$6),1,0)</f>
        <v/>
      </c>
      <c r="AB2906">
        <f>IF(U2906=0,"",IF(Y2906=1,MAX(0,Q2906-G2906),IF(L2906=1,MAX(0,R2906-G2906),MAX(0,Assumptions!$C$6-G2906))))</f>
        <v/>
      </c>
      <c r="AC2906">
        <f>IF(Y2906=1,Q2906-F2906,"")</f>
        <v/>
      </c>
      <c r="AD2906">
        <f>IF(Y2906=1,AC2906^2,"")</f>
        <v/>
      </c>
      <c r="AE2906" s="19">
        <f>IF(Z2906=1,(H2906-M2906)*I2906,0)</f>
        <v/>
      </c>
      <c r="AF2906">
        <f>IF(G2906&lt;EDATE(Assumptions!$C$6,-12)+1,"prior_12m","last_12m")</f>
        <v/>
      </c>
      <c r="AG2906" s="21">
        <f>DATE(YEAR(G2906),MONTH(G2906),1)</f>
        <v/>
      </c>
    </row>
    <row r="2907">
      <c r="A2907" t="inlineStr">
        <is>
          <t>SPO-01561-2</t>
        </is>
      </c>
      <c r="B2907" t="inlineStr">
        <is>
          <t>SPO-01561</t>
        </is>
      </c>
      <c r="C2907" t="inlineStr">
        <is>
          <t>SUP-09</t>
        </is>
      </c>
      <c r="D2907" t="inlineStr">
        <is>
          <t>CHEM</t>
        </is>
      </c>
      <c r="E2907" t="inlineStr">
        <is>
          <t>CHEM-06</t>
        </is>
      </c>
      <c r="F2907" s="17" t="n">
        <v>45998</v>
      </c>
      <c r="G2907" s="17" t="n">
        <v>46012</v>
      </c>
      <c r="H2907" s="18" t="n">
        <v>3</v>
      </c>
      <c r="I2907" s="19" t="n">
        <v>393.38</v>
      </c>
      <c r="J2907" s="19" t="n">
        <v>380</v>
      </c>
      <c r="K2907" s="20" t="n">
        <v>0</v>
      </c>
      <c r="L2907" s="20" t="n">
        <v>0</v>
      </c>
      <c r="M2907" s="18" t="n">
        <v>3</v>
      </c>
      <c r="N2907" s="18" t="n">
        <v>3</v>
      </c>
      <c r="O2907" s="18" t="n">
        <v>0</v>
      </c>
      <c r="P2907" s="17" t="n">
        <v>46010</v>
      </c>
      <c r="Q2907" s="17" t="n">
        <v>46010</v>
      </c>
      <c r="R2907" s="17" t="n">
        <v>46010</v>
      </c>
      <c r="S2907" s="19">
        <f>H2907*I2907</f>
        <v/>
      </c>
      <c r="T2907" s="19">
        <f>H2907*J2907</f>
        <v/>
      </c>
      <c r="U2907">
        <f>IF(AND(K2907=0,G2907&lt;=Assumptions!$C$6),1,0)</f>
        <v/>
      </c>
      <c r="V2907">
        <f>IF(U2907=1,IF(M2907&gt;0,IF(P2907&lt;=G2907+Assumptions!$C$7,1,0),0),0)</f>
        <v/>
      </c>
      <c r="W2907">
        <f>IF(AND(U2907=1,M2907&gt;=H2907*(1-Assumptions!$C$8)),1,0)</f>
        <v/>
      </c>
      <c r="X2907">
        <f>IF(AND(U2907=1,N2907&gt;=H2907*(1-Assumptions!$C$8)),1,0)</f>
        <v/>
      </c>
      <c r="Y2907">
        <f>IF(ISNUMBER(Q2907),1,0)</f>
        <v/>
      </c>
      <c r="Z2907">
        <f>IF(AND(K2907=0,L2907=0,Y2907=0),1,0)</f>
        <v/>
      </c>
      <c r="AA2907">
        <f>IF(AND(Z2907=1,G2907&lt;Assumptions!$C$6),1,0)</f>
        <v/>
      </c>
      <c r="AB2907">
        <f>IF(U2907=0,"",IF(Y2907=1,MAX(0,Q2907-G2907),IF(L2907=1,MAX(0,R2907-G2907),MAX(0,Assumptions!$C$6-G2907))))</f>
        <v/>
      </c>
      <c r="AC2907">
        <f>IF(Y2907=1,Q2907-F2907,"")</f>
        <v/>
      </c>
      <c r="AD2907">
        <f>IF(Y2907=1,AC2907^2,"")</f>
        <v/>
      </c>
      <c r="AE2907" s="19">
        <f>IF(Z2907=1,(H2907-M2907)*I2907,0)</f>
        <v/>
      </c>
      <c r="AF2907">
        <f>IF(G2907&lt;EDATE(Assumptions!$C$6,-12)+1,"prior_12m","last_12m")</f>
        <v/>
      </c>
      <c r="AG2907" s="21">
        <f>DATE(YEAR(G2907),MONTH(G2907),1)</f>
        <v/>
      </c>
    </row>
    <row r="2908">
      <c r="A2908" t="inlineStr">
        <is>
          <t>SPO-01562-1</t>
        </is>
      </c>
      <c r="B2908" t="inlineStr">
        <is>
          <t>SPO-01562</t>
        </is>
      </c>
      <c r="C2908" t="inlineStr">
        <is>
          <t>SUP-09</t>
        </is>
      </c>
      <c r="D2908" t="inlineStr">
        <is>
          <t>CHEM</t>
        </is>
      </c>
      <c r="E2908" t="inlineStr">
        <is>
          <t>CHEM-03</t>
        </is>
      </c>
      <c r="F2908" s="17" t="n">
        <v>45999</v>
      </c>
      <c r="G2908" s="17" t="n">
        <v>46013</v>
      </c>
      <c r="H2908" s="18" t="n">
        <v>5</v>
      </c>
      <c r="I2908" s="19" t="n">
        <v>278.2</v>
      </c>
      <c r="J2908" s="19" t="n">
        <v>265</v>
      </c>
      <c r="K2908" s="20" t="n">
        <v>0</v>
      </c>
      <c r="L2908" s="20" t="n">
        <v>0</v>
      </c>
      <c r="M2908" s="18" t="n">
        <v>5</v>
      </c>
      <c r="N2908" s="18" t="n">
        <v>5</v>
      </c>
      <c r="O2908" s="18" t="n">
        <v>0</v>
      </c>
      <c r="P2908" s="17" t="n">
        <v>46013</v>
      </c>
      <c r="Q2908" s="17" t="n">
        <v>46013</v>
      </c>
      <c r="R2908" s="17" t="n">
        <v>46013</v>
      </c>
      <c r="S2908" s="19">
        <f>H2908*I2908</f>
        <v/>
      </c>
      <c r="T2908" s="19">
        <f>H2908*J2908</f>
        <v/>
      </c>
      <c r="U2908">
        <f>IF(AND(K2908=0,G2908&lt;=Assumptions!$C$6),1,0)</f>
        <v/>
      </c>
      <c r="V2908">
        <f>IF(U2908=1,IF(M2908&gt;0,IF(P2908&lt;=G2908+Assumptions!$C$7,1,0),0),0)</f>
        <v/>
      </c>
      <c r="W2908">
        <f>IF(AND(U2908=1,M2908&gt;=H2908*(1-Assumptions!$C$8)),1,0)</f>
        <v/>
      </c>
      <c r="X2908">
        <f>IF(AND(U2908=1,N2908&gt;=H2908*(1-Assumptions!$C$8)),1,0)</f>
        <v/>
      </c>
      <c r="Y2908">
        <f>IF(ISNUMBER(Q2908),1,0)</f>
        <v/>
      </c>
      <c r="Z2908">
        <f>IF(AND(K2908=0,L2908=0,Y2908=0),1,0)</f>
        <v/>
      </c>
      <c r="AA2908">
        <f>IF(AND(Z2908=1,G2908&lt;Assumptions!$C$6),1,0)</f>
        <v/>
      </c>
      <c r="AB2908">
        <f>IF(U2908=0,"",IF(Y2908=1,MAX(0,Q2908-G2908),IF(L2908=1,MAX(0,R2908-G2908),MAX(0,Assumptions!$C$6-G2908))))</f>
        <v/>
      </c>
      <c r="AC2908">
        <f>IF(Y2908=1,Q2908-F2908,"")</f>
        <v/>
      </c>
      <c r="AD2908">
        <f>IF(Y2908=1,AC2908^2,"")</f>
        <v/>
      </c>
      <c r="AE2908" s="19">
        <f>IF(Z2908=1,(H2908-M2908)*I2908,0)</f>
        <v/>
      </c>
      <c r="AF2908">
        <f>IF(G2908&lt;EDATE(Assumptions!$C$6,-12)+1,"prior_12m","last_12m")</f>
        <v/>
      </c>
      <c r="AG2908" s="21">
        <f>DATE(YEAR(G2908),MONTH(G2908),1)</f>
        <v/>
      </c>
    </row>
    <row r="2909">
      <c r="A2909" t="inlineStr">
        <is>
          <t>SPO-01563-1</t>
        </is>
      </c>
      <c r="B2909" t="inlineStr">
        <is>
          <t>SPO-01563</t>
        </is>
      </c>
      <c r="C2909" t="inlineStr">
        <is>
          <t>SUP-04</t>
        </is>
      </c>
      <c r="D2909" t="inlineStr">
        <is>
          <t>FLEET</t>
        </is>
      </c>
      <c r="E2909" t="inlineStr">
        <is>
          <t>FLEET-04</t>
        </is>
      </c>
      <c r="F2909" s="17" t="n">
        <v>45999</v>
      </c>
      <c r="G2909" s="17" t="n">
        <v>46012</v>
      </c>
      <c r="H2909" s="18" t="n">
        <v>190</v>
      </c>
      <c r="I2909" s="19" t="n">
        <v>8.869999999999999</v>
      </c>
      <c r="J2909" s="19" t="n">
        <v>9</v>
      </c>
      <c r="K2909" s="20" t="n">
        <v>0</v>
      </c>
      <c r="L2909" s="20" t="n">
        <v>0</v>
      </c>
      <c r="M2909" s="18" t="n">
        <v>190</v>
      </c>
      <c r="N2909" s="18" t="n">
        <v>190</v>
      </c>
      <c r="O2909" s="18" t="n">
        <v>0</v>
      </c>
      <c r="P2909" s="17" t="n">
        <v>46012</v>
      </c>
      <c r="Q2909" s="17" t="n">
        <v>46012</v>
      </c>
      <c r="R2909" s="17" t="n">
        <v>46012</v>
      </c>
      <c r="S2909" s="19">
        <f>H2909*I2909</f>
        <v/>
      </c>
      <c r="T2909" s="19">
        <f>H2909*J2909</f>
        <v/>
      </c>
      <c r="U2909">
        <f>IF(AND(K2909=0,G2909&lt;=Assumptions!$C$6),1,0)</f>
        <v/>
      </c>
      <c r="V2909">
        <f>IF(U2909=1,IF(M2909&gt;0,IF(P2909&lt;=G2909+Assumptions!$C$7,1,0),0),0)</f>
        <v/>
      </c>
      <c r="W2909">
        <f>IF(AND(U2909=1,M2909&gt;=H2909*(1-Assumptions!$C$8)),1,0)</f>
        <v/>
      </c>
      <c r="X2909">
        <f>IF(AND(U2909=1,N2909&gt;=H2909*(1-Assumptions!$C$8)),1,0)</f>
        <v/>
      </c>
      <c r="Y2909">
        <f>IF(ISNUMBER(Q2909),1,0)</f>
        <v/>
      </c>
      <c r="Z2909">
        <f>IF(AND(K2909=0,L2909=0,Y2909=0),1,0)</f>
        <v/>
      </c>
      <c r="AA2909">
        <f>IF(AND(Z2909=1,G2909&lt;Assumptions!$C$6),1,0)</f>
        <v/>
      </c>
      <c r="AB2909">
        <f>IF(U2909=0,"",IF(Y2909=1,MAX(0,Q2909-G2909),IF(L2909=1,MAX(0,R2909-G2909),MAX(0,Assumptions!$C$6-G2909))))</f>
        <v/>
      </c>
      <c r="AC2909">
        <f>IF(Y2909=1,Q2909-F2909,"")</f>
        <v/>
      </c>
      <c r="AD2909">
        <f>IF(Y2909=1,AC2909^2,"")</f>
        <v/>
      </c>
      <c r="AE2909" s="19">
        <f>IF(Z2909=1,(H2909-M2909)*I2909,0)</f>
        <v/>
      </c>
      <c r="AF2909">
        <f>IF(G2909&lt;EDATE(Assumptions!$C$6,-12)+1,"prior_12m","last_12m")</f>
        <v/>
      </c>
      <c r="AG2909" s="21">
        <f>DATE(YEAR(G2909),MONTH(G2909),1)</f>
        <v/>
      </c>
    </row>
    <row r="2910">
      <c r="A2910" t="inlineStr">
        <is>
          <t>SPO-01564-1</t>
        </is>
      </c>
      <c r="B2910" t="inlineStr">
        <is>
          <t>SPO-01564</t>
        </is>
      </c>
      <c r="C2910" t="inlineStr">
        <is>
          <t>SUP-01</t>
        </is>
      </c>
      <c r="D2910" t="inlineStr">
        <is>
          <t>ELEC</t>
        </is>
      </c>
      <c r="E2910" t="inlineStr">
        <is>
          <t>ELEC-08</t>
        </is>
      </c>
      <c r="F2910" s="17" t="n">
        <v>45999</v>
      </c>
      <c r="G2910" s="17" t="n">
        <v>46017</v>
      </c>
      <c r="H2910" s="18" t="n">
        <v>232</v>
      </c>
      <c r="I2910" s="19" t="n">
        <v>18.55</v>
      </c>
      <c r="J2910" s="19" t="n">
        <v>18</v>
      </c>
      <c r="K2910" s="20" t="n">
        <v>0</v>
      </c>
      <c r="L2910" s="20" t="n">
        <v>0</v>
      </c>
      <c r="M2910" s="18" t="n">
        <v>232</v>
      </c>
      <c r="N2910" s="18" t="n">
        <v>0</v>
      </c>
      <c r="O2910" s="18" t="n">
        <v>0</v>
      </c>
      <c r="P2910" s="17" t="n">
        <v>46022</v>
      </c>
      <c r="Q2910" s="17" t="n">
        <v>46022</v>
      </c>
      <c r="R2910" s="17" t="n">
        <v>46022</v>
      </c>
      <c r="S2910" s="19">
        <f>H2910*I2910</f>
        <v/>
      </c>
      <c r="T2910" s="19">
        <f>H2910*J2910</f>
        <v/>
      </c>
      <c r="U2910">
        <f>IF(AND(K2910=0,G2910&lt;=Assumptions!$C$6),1,0)</f>
        <v/>
      </c>
      <c r="V2910">
        <f>IF(U2910=1,IF(M2910&gt;0,IF(P2910&lt;=G2910+Assumptions!$C$7,1,0),0),0)</f>
        <v/>
      </c>
      <c r="W2910">
        <f>IF(AND(U2910=1,M2910&gt;=H2910*(1-Assumptions!$C$8)),1,0)</f>
        <v/>
      </c>
      <c r="X2910">
        <f>IF(AND(U2910=1,N2910&gt;=H2910*(1-Assumptions!$C$8)),1,0)</f>
        <v/>
      </c>
      <c r="Y2910">
        <f>IF(ISNUMBER(Q2910),1,0)</f>
        <v/>
      </c>
      <c r="Z2910">
        <f>IF(AND(K2910=0,L2910=0,Y2910=0),1,0)</f>
        <v/>
      </c>
      <c r="AA2910">
        <f>IF(AND(Z2910=1,G2910&lt;Assumptions!$C$6),1,0)</f>
        <v/>
      </c>
      <c r="AB2910">
        <f>IF(U2910=0,"",IF(Y2910=1,MAX(0,Q2910-G2910),IF(L2910=1,MAX(0,R2910-G2910),MAX(0,Assumptions!$C$6-G2910))))</f>
        <v/>
      </c>
      <c r="AC2910">
        <f>IF(Y2910=1,Q2910-F2910,"")</f>
        <v/>
      </c>
      <c r="AD2910">
        <f>IF(Y2910=1,AC2910^2,"")</f>
        <v/>
      </c>
      <c r="AE2910" s="19">
        <f>IF(Z2910=1,(H2910-M2910)*I2910,0)</f>
        <v/>
      </c>
      <c r="AF2910">
        <f>IF(G2910&lt;EDATE(Assumptions!$C$6,-12)+1,"prior_12m","last_12m")</f>
        <v/>
      </c>
      <c r="AG2910" s="21">
        <f>DATE(YEAR(G2910),MONTH(G2910),1)</f>
        <v/>
      </c>
    </row>
    <row r="2911">
      <c r="A2911" t="inlineStr">
        <is>
          <t>SPO-01564-2</t>
        </is>
      </c>
      <c r="B2911" t="inlineStr">
        <is>
          <t>SPO-01564</t>
        </is>
      </c>
      <c r="C2911" t="inlineStr">
        <is>
          <t>SUP-01</t>
        </is>
      </c>
      <c r="D2911" t="inlineStr">
        <is>
          <t>ELEC</t>
        </is>
      </c>
      <c r="E2911" t="inlineStr">
        <is>
          <t>ELEC-07</t>
        </is>
      </c>
      <c r="F2911" s="17" t="n">
        <v>45999</v>
      </c>
      <c r="G2911" s="17" t="n">
        <v>46017</v>
      </c>
      <c r="H2911" s="18" t="n">
        <v>107</v>
      </c>
      <c r="I2911" s="19" t="n">
        <v>10.2</v>
      </c>
      <c r="J2911" s="19" t="n">
        <v>9.800000000000001</v>
      </c>
      <c r="K2911" s="20" t="n">
        <v>0</v>
      </c>
      <c r="L2911" s="20" t="n">
        <v>0</v>
      </c>
      <c r="M2911" s="18" t="n">
        <v>107</v>
      </c>
      <c r="N2911" s="18" t="n">
        <v>0</v>
      </c>
      <c r="O2911" s="18" t="n">
        <v>0</v>
      </c>
      <c r="P2911" s="17" t="n">
        <v>46142</v>
      </c>
      <c r="Q2911" s="17" t="n">
        <v>46142</v>
      </c>
      <c r="R2911" s="17" t="n">
        <v>46142</v>
      </c>
      <c r="S2911" s="19">
        <f>H2911*I2911</f>
        <v/>
      </c>
      <c r="T2911" s="19">
        <f>H2911*J2911</f>
        <v/>
      </c>
      <c r="U2911">
        <f>IF(AND(K2911=0,G2911&lt;=Assumptions!$C$6),1,0)</f>
        <v/>
      </c>
      <c r="V2911">
        <f>IF(U2911=1,IF(M2911&gt;0,IF(P2911&lt;=G2911+Assumptions!$C$7,1,0),0),0)</f>
        <v/>
      </c>
      <c r="W2911">
        <f>IF(AND(U2911=1,M2911&gt;=H2911*(1-Assumptions!$C$8)),1,0)</f>
        <v/>
      </c>
      <c r="X2911">
        <f>IF(AND(U2911=1,N2911&gt;=H2911*(1-Assumptions!$C$8)),1,0)</f>
        <v/>
      </c>
      <c r="Y2911">
        <f>IF(ISNUMBER(Q2911),1,0)</f>
        <v/>
      </c>
      <c r="Z2911">
        <f>IF(AND(K2911=0,L2911=0,Y2911=0),1,0)</f>
        <v/>
      </c>
      <c r="AA2911">
        <f>IF(AND(Z2911=1,G2911&lt;Assumptions!$C$6),1,0)</f>
        <v/>
      </c>
      <c r="AB2911">
        <f>IF(U2911=0,"",IF(Y2911=1,MAX(0,Q2911-G2911),IF(L2911=1,MAX(0,R2911-G2911),MAX(0,Assumptions!$C$6-G2911))))</f>
        <v/>
      </c>
      <c r="AC2911">
        <f>IF(Y2911=1,Q2911-F2911,"")</f>
        <v/>
      </c>
      <c r="AD2911">
        <f>IF(Y2911=1,AC2911^2,"")</f>
        <v/>
      </c>
      <c r="AE2911" s="19">
        <f>IF(Z2911=1,(H2911-M2911)*I2911,0)</f>
        <v/>
      </c>
      <c r="AF2911">
        <f>IF(G2911&lt;EDATE(Assumptions!$C$6,-12)+1,"prior_12m","last_12m")</f>
        <v/>
      </c>
      <c r="AG2911" s="21">
        <f>DATE(YEAR(G2911),MONTH(G2911),1)</f>
        <v/>
      </c>
    </row>
    <row r="2912">
      <c r="A2912" t="inlineStr">
        <is>
          <t>SPO-01565-1</t>
        </is>
      </c>
      <c r="B2912" t="inlineStr">
        <is>
          <t>SPO-01565</t>
        </is>
      </c>
      <c r="C2912" t="inlineStr">
        <is>
          <t>SUP-01</t>
        </is>
      </c>
      <c r="D2912" t="inlineStr">
        <is>
          <t>ELEC</t>
        </is>
      </c>
      <c r="E2912" t="inlineStr">
        <is>
          <t>ELEC-04</t>
        </is>
      </c>
      <c r="F2912" s="17" t="n">
        <v>45999</v>
      </c>
      <c r="G2912" s="17" t="n">
        <v>46017</v>
      </c>
      <c r="H2912" s="18" t="n">
        <v>10</v>
      </c>
      <c r="I2912" s="19" t="n">
        <v>72.65000000000001</v>
      </c>
      <c r="J2912" s="19" t="n">
        <v>72</v>
      </c>
      <c r="K2912" s="20" t="n">
        <v>0</v>
      </c>
      <c r="L2912" s="20" t="n">
        <v>0</v>
      </c>
      <c r="M2912" s="18" t="n">
        <v>10</v>
      </c>
      <c r="N2912" s="18" t="n">
        <v>10</v>
      </c>
      <c r="O2912" s="18" t="n">
        <v>0</v>
      </c>
      <c r="P2912" s="17" t="n">
        <v>46014</v>
      </c>
      <c r="Q2912" s="17" t="n">
        <v>46014</v>
      </c>
      <c r="R2912" s="17" t="n">
        <v>46014</v>
      </c>
      <c r="S2912" s="19">
        <f>H2912*I2912</f>
        <v/>
      </c>
      <c r="T2912" s="19">
        <f>H2912*J2912</f>
        <v/>
      </c>
      <c r="U2912">
        <f>IF(AND(K2912=0,G2912&lt;=Assumptions!$C$6),1,0)</f>
        <v/>
      </c>
      <c r="V2912">
        <f>IF(U2912=1,IF(M2912&gt;0,IF(P2912&lt;=G2912+Assumptions!$C$7,1,0),0),0)</f>
        <v/>
      </c>
      <c r="W2912">
        <f>IF(AND(U2912=1,M2912&gt;=H2912*(1-Assumptions!$C$8)),1,0)</f>
        <v/>
      </c>
      <c r="X2912">
        <f>IF(AND(U2912=1,N2912&gt;=H2912*(1-Assumptions!$C$8)),1,0)</f>
        <v/>
      </c>
      <c r="Y2912">
        <f>IF(ISNUMBER(Q2912),1,0)</f>
        <v/>
      </c>
      <c r="Z2912">
        <f>IF(AND(K2912=0,L2912=0,Y2912=0),1,0)</f>
        <v/>
      </c>
      <c r="AA2912">
        <f>IF(AND(Z2912=1,G2912&lt;Assumptions!$C$6),1,0)</f>
        <v/>
      </c>
      <c r="AB2912">
        <f>IF(U2912=0,"",IF(Y2912=1,MAX(0,Q2912-G2912),IF(L2912=1,MAX(0,R2912-G2912),MAX(0,Assumptions!$C$6-G2912))))</f>
        <v/>
      </c>
      <c r="AC2912">
        <f>IF(Y2912=1,Q2912-F2912,"")</f>
        <v/>
      </c>
      <c r="AD2912">
        <f>IF(Y2912=1,AC2912^2,"")</f>
        <v/>
      </c>
      <c r="AE2912" s="19">
        <f>IF(Z2912=1,(H2912-M2912)*I2912,0)</f>
        <v/>
      </c>
      <c r="AF2912">
        <f>IF(G2912&lt;EDATE(Assumptions!$C$6,-12)+1,"prior_12m","last_12m")</f>
        <v/>
      </c>
      <c r="AG2912" s="21">
        <f>DATE(YEAR(G2912),MONTH(G2912),1)</f>
        <v/>
      </c>
    </row>
    <row r="2913">
      <c r="A2913" t="inlineStr">
        <is>
          <t>SPO-01566-1</t>
        </is>
      </c>
      <c r="B2913" t="inlineStr">
        <is>
          <t>SPO-01566</t>
        </is>
      </c>
      <c r="C2913" t="inlineStr">
        <is>
          <t>SUP-06</t>
        </is>
      </c>
      <c r="D2913" t="inlineStr">
        <is>
          <t>MRO</t>
        </is>
      </c>
      <c r="E2913" t="inlineStr">
        <is>
          <t>MRO-06</t>
        </is>
      </c>
      <c r="F2913" s="17" t="n">
        <v>45999</v>
      </c>
      <c r="G2913" s="17" t="n">
        <v>46007</v>
      </c>
      <c r="H2913" s="18" t="n">
        <v>113</v>
      </c>
      <c r="I2913" s="19" t="n">
        <v>6.16</v>
      </c>
      <c r="J2913" s="19" t="n">
        <v>6.1</v>
      </c>
      <c r="K2913" s="20" t="n">
        <v>0</v>
      </c>
      <c r="L2913" s="20" t="n">
        <v>0</v>
      </c>
      <c r="M2913" s="18" t="n">
        <v>113</v>
      </c>
      <c r="N2913" s="18" t="n">
        <v>113</v>
      </c>
      <c r="O2913" s="18" t="n">
        <v>0</v>
      </c>
      <c r="P2913" s="17" t="n">
        <v>46006</v>
      </c>
      <c r="Q2913" s="17" t="n">
        <v>46006</v>
      </c>
      <c r="R2913" s="17" t="n">
        <v>46006</v>
      </c>
      <c r="S2913" s="19">
        <f>H2913*I2913</f>
        <v/>
      </c>
      <c r="T2913" s="19">
        <f>H2913*J2913</f>
        <v/>
      </c>
      <c r="U2913">
        <f>IF(AND(K2913=0,G2913&lt;=Assumptions!$C$6),1,0)</f>
        <v/>
      </c>
      <c r="V2913">
        <f>IF(U2913=1,IF(M2913&gt;0,IF(P2913&lt;=G2913+Assumptions!$C$7,1,0),0),0)</f>
        <v/>
      </c>
      <c r="W2913">
        <f>IF(AND(U2913=1,M2913&gt;=H2913*(1-Assumptions!$C$8)),1,0)</f>
        <v/>
      </c>
      <c r="X2913">
        <f>IF(AND(U2913=1,N2913&gt;=H2913*(1-Assumptions!$C$8)),1,0)</f>
        <v/>
      </c>
      <c r="Y2913">
        <f>IF(ISNUMBER(Q2913),1,0)</f>
        <v/>
      </c>
      <c r="Z2913">
        <f>IF(AND(K2913=0,L2913=0,Y2913=0),1,0)</f>
        <v/>
      </c>
      <c r="AA2913">
        <f>IF(AND(Z2913=1,G2913&lt;Assumptions!$C$6),1,0)</f>
        <v/>
      </c>
      <c r="AB2913">
        <f>IF(U2913=0,"",IF(Y2913=1,MAX(0,Q2913-G2913),IF(L2913=1,MAX(0,R2913-G2913),MAX(0,Assumptions!$C$6-G2913))))</f>
        <v/>
      </c>
      <c r="AC2913">
        <f>IF(Y2913=1,Q2913-F2913,"")</f>
        <v/>
      </c>
      <c r="AD2913">
        <f>IF(Y2913=1,AC2913^2,"")</f>
        <v/>
      </c>
      <c r="AE2913" s="19">
        <f>IF(Z2913=1,(H2913-M2913)*I2913,0)</f>
        <v/>
      </c>
      <c r="AF2913">
        <f>IF(G2913&lt;EDATE(Assumptions!$C$6,-12)+1,"prior_12m","last_12m")</f>
        <v/>
      </c>
      <c r="AG2913" s="21">
        <f>DATE(YEAR(G2913),MONTH(G2913),1)</f>
        <v/>
      </c>
    </row>
    <row r="2914">
      <c r="A2914" t="inlineStr">
        <is>
          <t>SPO-01566-2</t>
        </is>
      </c>
      <c r="B2914" t="inlineStr">
        <is>
          <t>SPO-01566</t>
        </is>
      </c>
      <c r="C2914" t="inlineStr">
        <is>
          <t>SUP-06</t>
        </is>
      </c>
      <c r="D2914" t="inlineStr">
        <is>
          <t>MRO</t>
        </is>
      </c>
      <c r="E2914" t="inlineStr">
        <is>
          <t>MRO-02</t>
        </is>
      </c>
      <c r="F2914" s="17" t="n">
        <v>45999</v>
      </c>
      <c r="G2914" s="17" t="n">
        <v>46007</v>
      </c>
      <c r="H2914" s="18" t="n">
        <v>58</v>
      </c>
      <c r="I2914" s="19" t="n">
        <v>42.63</v>
      </c>
      <c r="J2914" s="19" t="n">
        <v>41</v>
      </c>
      <c r="K2914" s="20" t="n">
        <v>0</v>
      </c>
      <c r="L2914" s="20" t="n">
        <v>0</v>
      </c>
      <c r="M2914" s="18" t="n">
        <v>58</v>
      </c>
      <c r="N2914" s="18" t="n">
        <v>58</v>
      </c>
      <c r="O2914" s="18" t="n">
        <v>0</v>
      </c>
      <c r="P2914" s="17" t="n">
        <v>46006</v>
      </c>
      <c r="Q2914" s="17" t="n">
        <v>46006</v>
      </c>
      <c r="R2914" s="17" t="n">
        <v>46006</v>
      </c>
      <c r="S2914" s="19">
        <f>H2914*I2914</f>
        <v/>
      </c>
      <c r="T2914" s="19">
        <f>H2914*J2914</f>
        <v/>
      </c>
      <c r="U2914">
        <f>IF(AND(K2914=0,G2914&lt;=Assumptions!$C$6),1,0)</f>
        <v/>
      </c>
      <c r="V2914">
        <f>IF(U2914=1,IF(M2914&gt;0,IF(P2914&lt;=G2914+Assumptions!$C$7,1,0),0),0)</f>
        <v/>
      </c>
      <c r="W2914">
        <f>IF(AND(U2914=1,M2914&gt;=H2914*(1-Assumptions!$C$8)),1,0)</f>
        <v/>
      </c>
      <c r="X2914">
        <f>IF(AND(U2914=1,N2914&gt;=H2914*(1-Assumptions!$C$8)),1,0)</f>
        <v/>
      </c>
      <c r="Y2914">
        <f>IF(ISNUMBER(Q2914),1,0)</f>
        <v/>
      </c>
      <c r="Z2914">
        <f>IF(AND(K2914=0,L2914=0,Y2914=0),1,0)</f>
        <v/>
      </c>
      <c r="AA2914">
        <f>IF(AND(Z2914=1,G2914&lt;Assumptions!$C$6),1,0)</f>
        <v/>
      </c>
      <c r="AB2914">
        <f>IF(U2914=0,"",IF(Y2914=1,MAX(0,Q2914-G2914),IF(L2914=1,MAX(0,R2914-G2914),MAX(0,Assumptions!$C$6-G2914))))</f>
        <v/>
      </c>
      <c r="AC2914">
        <f>IF(Y2914=1,Q2914-F2914,"")</f>
        <v/>
      </c>
      <c r="AD2914">
        <f>IF(Y2914=1,AC2914^2,"")</f>
        <v/>
      </c>
      <c r="AE2914" s="19">
        <f>IF(Z2914=1,(H2914-M2914)*I2914,0)</f>
        <v/>
      </c>
      <c r="AF2914">
        <f>IF(G2914&lt;EDATE(Assumptions!$C$6,-12)+1,"prior_12m","last_12m")</f>
        <v/>
      </c>
      <c r="AG2914" s="21">
        <f>DATE(YEAR(G2914),MONTH(G2914),1)</f>
        <v/>
      </c>
    </row>
    <row r="2915">
      <c r="A2915" t="inlineStr">
        <is>
          <t>SPO-01567-1</t>
        </is>
      </c>
      <c r="B2915" t="inlineStr">
        <is>
          <t>SPO-01567</t>
        </is>
      </c>
      <c r="C2915" t="inlineStr">
        <is>
          <t>SUP-07</t>
        </is>
      </c>
      <c r="D2915" t="inlineStr">
        <is>
          <t>MRO</t>
        </is>
      </c>
      <c r="E2915" t="inlineStr">
        <is>
          <t>MRO-06</t>
        </is>
      </c>
      <c r="F2915" s="17" t="n">
        <v>46000</v>
      </c>
      <c r="G2915" s="17" t="n">
        <v>46010</v>
      </c>
      <c r="H2915" s="18" t="n">
        <v>196</v>
      </c>
      <c r="I2915" s="19" t="n">
        <v>6.33</v>
      </c>
      <c r="J2915" s="19" t="n">
        <v>6.1</v>
      </c>
      <c r="K2915" s="20" t="n">
        <v>0</v>
      </c>
      <c r="L2915" s="20" t="n">
        <v>0</v>
      </c>
      <c r="M2915" s="18" t="n">
        <v>196</v>
      </c>
      <c r="N2915" s="18" t="n">
        <v>196</v>
      </c>
      <c r="O2915" s="18" t="n">
        <v>0</v>
      </c>
      <c r="P2915" s="17" t="n">
        <v>46007</v>
      </c>
      <c r="Q2915" s="17" t="n">
        <v>46007</v>
      </c>
      <c r="R2915" s="17" t="n">
        <v>46007</v>
      </c>
      <c r="S2915" s="19">
        <f>H2915*I2915</f>
        <v/>
      </c>
      <c r="T2915" s="19">
        <f>H2915*J2915</f>
        <v/>
      </c>
      <c r="U2915">
        <f>IF(AND(K2915=0,G2915&lt;=Assumptions!$C$6),1,0)</f>
        <v/>
      </c>
      <c r="V2915">
        <f>IF(U2915=1,IF(M2915&gt;0,IF(P2915&lt;=G2915+Assumptions!$C$7,1,0),0),0)</f>
        <v/>
      </c>
      <c r="W2915">
        <f>IF(AND(U2915=1,M2915&gt;=H2915*(1-Assumptions!$C$8)),1,0)</f>
        <v/>
      </c>
      <c r="X2915">
        <f>IF(AND(U2915=1,N2915&gt;=H2915*(1-Assumptions!$C$8)),1,0)</f>
        <v/>
      </c>
      <c r="Y2915">
        <f>IF(ISNUMBER(Q2915),1,0)</f>
        <v/>
      </c>
      <c r="Z2915">
        <f>IF(AND(K2915=0,L2915=0,Y2915=0),1,0)</f>
        <v/>
      </c>
      <c r="AA2915">
        <f>IF(AND(Z2915=1,G2915&lt;Assumptions!$C$6),1,0)</f>
        <v/>
      </c>
      <c r="AB2915">
        <f>IF(U2915=0,"",IF(Y2915=1,MAX(0,Q2915-G2915),IF(L2915=1,MAX(0,R2915-G2915),MAX(0,Assumptions!$C$6-G2915))))</f>
        <v/>
      </c>
      <c r="AC2915">
        <f>IF(Y2915=1,Q2915-F2915,"")</f>
        <v/>
      </c>
      <c r="AD2915">
        <f>IF(Y2915=1,AC2915^2,"")</f>
        <v/>
      </c>
      <c r="AE2915" s="19">
        <f>IF(Z2915=1,(H2915-M2915)*I2915,0)</f>
        <v/>
      </c>
      <c r="AF2915">
        <f>IF(G2915&lt;EDATE(Assumptions!$C$6,-12)+1,"prior_12m","last_12m")</f>
        <v/>
      </c>
      <c r="AG2915" s="21">
        <f>DATE(YEAR(G2915),MONTH(G2915),1)</f>
        <v/>
      </c>
    </row>
    <row r="2916">
      <c r="A2916" t="inlineStr">
        <is>
          <t>SPO-01568-1</t>
        </is>
      </c>
      <c r="B2916" t="inlineStr">
        <is>
          <t>SPO-01568</t>
        </is>
      </c>
      <c r="C2916" t="inlineStr">
        <is>
          <t>SUP-08</t>
        </is>
      </c>
      <c r="D2916" t="inlineStr">
        <is>
          <t>MRO</t>
        </is>
      </c>
      <c r="E2916" t="inlineStr">
        <is>
          <t>MRO-08</t>
        </is>
      </c>
      <c r="F2916" s="17" t="n">
        <v>46000</v>
      </c>
      <c r="G2916" s="17" t="n">
        <v>46011</v>
      </c>
      <c r="H2916" s="18" t="n">
        <v>157</v>
      </c>
      <c r="I2916" s="19" t="n">
        <v>7.52</v>
      </c>
      <c r="J2916" s="19" t="n">
        <v>7.2</v>
      </c>
      <c r="K2916" s="20" t="n">
        <v>0</v>
      </c>
      <c r="L2916" s="20" t="n">
        <v>0</v>
      </c>
      <c r="M2916" s="18" t="n">
        <v>157</v>
      </c>
      <c r="N2916" s="18" t="n">
        <v>157</v>
      </c>
      <c r="O2916" s="18" t="n">
        <v>0</v>
      </c>
      <c r="P2916" s="17" t="n">
        <v>46010</v>
      </c>
      <c r="Q2916" s="17" t="n">
        <v>46010</v>
      </c>
      <c r="R2916" s="17" t="n">
        <v>46010</v>
      </c>
      <c r="S2916" s="19">
        <f>H2916*I2916</f>
        <v/>
      </c>
      <c r="T2916" s="19">
        <f>H2916*J2916</f>
        <v/>
      </c>
      <c r="U2916">
        <f>IF(AND(K2916=0,G2916&lt;=Assumptions!$C$6),1,0)</f>
        <v/>
      </c>
      <c r="V2916">
        <f>IF(U2916=1,IF(M2916&gt;0,IF(P2916&lt;=G2916+Assumptions!$C$7,1,0),0),0)</f>
        <v/>
      </c>
      <c r="W2916">
        <f>IF(AND(U2916=1,M2916&gt;=H2916*(1-Assumptions!$C$8)),1,0)</f>
        <v/>
      </c>
      <c r="X2916">
        <f>IF(AND(U2916=1,N2916&gt;=H2916*(1-Assumptions!$C$8)),1,0)</f>
        <v/>
      </c>
      <c r="Y2916">
        <f>IF(ISNUMBER(Q2916),1,0)</f>
        <v/>
      </c>
      <c r="Z2916">
        <f>IF(AND(K2916=0,L2916=0,Y2916=0),1,0)</f>
        <v/>
      </c>
      <c r="AA2916">
        <f>IF(AND(Z2916=1,G2916&lt;Assumptions!$C$6),1,0)</f>
        <v/>
      </c>
      <c r="AB2916">
        <f>IF(U2916=0,"",IF(Y2916=1,MAX(0,Q2916-G2916),IF(L2916=1,MAX(0,R2916-G2916),MAX(0,Assumptions!$C$6-G2916))))</f>
        <v/>
      </c>
      <c r="AC2916">
        <f>IF(Y2916=1,Q2916-F2916,"")</f>
        <v/>
      </c>
      <c r="AD2916">
        <f>IF(Y2916=1,AC2916^2,"")</f>
        <v/>
      </c>
      <c r="AE2916" s="19">
        <f>IF(Z2916=1,(H2916-M2916)*I2916,0)</f>
        <v/>
      </c>
      <c r="AF2916">
        <f>IF(G2916&lt;EDATE(Assumptions!$C$6,-12)+1,"prior_12m","last_12m")</f>
        <v/>
      </c>
      <c r="AG2916" s="21">
        <f>DATE(YEAR(G2916),MONTH(G2916),1)</f>
        <v/>
      </c>
    </row>
    <row r="2917">
      <c r="A2917" t="inlineStr">
        <is>
          <t>SPO-01568-2</t>
        </is>
      </c>
      <c r="B2917" t="inlineStr">
        <is>
          <t>SPO-01568</t>
        </is>
      </c>
      <c r="C2917" t="inlineStr">
        <is>
          <t>SUP-08</t>
        </is>
      </c>
      <c r="D2917" t="inlineStr">
        <is>
          <t>MRO</t>
        </is>
      </c>
      <c r="E2917" t="inlineStr">
        <is>
          <t>MRO-05</t>
        </is>
      </c>
      <c r="F2917" s="17" t="n">
        <v>46000</v>
      </c>
      <c r="G2917" s="17" t="n">
        <v>46011</v>
      </c>
      <c r="H2917" s="18" t="n">
        <v>65</v>
      </c>
      <c r="I2917" s="19" t="n">
        <v>33.75</v>
      </c>
      <c r="J2917" s="19" t="n">
        <v>36</v>
      </c>
      <c r="K2917" s="20" t="n">
        <v>0</v>
      </c>
      <c r="L2917" s="20" t="n">
        <v>0</v>
      </c>
      <c r="M2917" s="18" t="n">
        <v>65</v>
      </c>
      <c r="N2917" s="18" t="n">
        <v>65</v>
      </c>
      <c r="O2917" s="18" t="n">
        <v>0</v>
      </c>
      <c r="P2917" s="17" t="n">
        <v>46009</v>
      </c>
      <c r="Q2917" s="17" t="n">
        <v>46009</v>
      </c>
      <c r="R2917" s="17" t="n">
        <v>46009</v>
      </c>
      <c r="S2917" s="19">
        <f>H2917*I2917</f>
        <v/>
      </c>
      <c r="T2917" s="19">
        <f>H2917*J2917</f>
        <v/>
      </c>
      <c r="U2917">
        <f>IF(AND(K2917=0,G2917&lt;=Assumptions!$C$6),1,0)</f>
        <v/>
      </c>
      <c r="V2917">
        <f>IF(U2917=1,IF(M2917&gt;0,IF(P2917&lt;=G2917+Assumptions!$C$7,1,0),0),0)</f>
        <v/>
      </c>
      <c r="W2917">
        <f>IF(AND(U2917=1,M2917&gt;=H2917*(1-Assumptions!$C$8)),1,0)</f>
        <v/>
      </c>
      <c r="X2917">
        <f>IF(AND(U2917=1,N2917&gt;=H2917*(1-Assumptions!$C$8)),1,0)</f>
        <v/>
      </c>
      <c r="Y2917">
        <f>IF(ISNUMBER(Q2917),1,0)</f>
        <v/>
      </c>
      <c r="Z2917">
        <f>IF(AND(K2917=0,L2917=0,Y2917=0),1,0)</f>
        <v/>
      </c>
      <c r="AA2917">
        <f>IF(AND(Z2917=1,G2917&lt;Assumptions!$C$6),1,0)</f>
        <v/>
      </c>
      <c r="AB2917">
        <f>IF(U2917=0,"",IF(Y2917=1,MAX(0,Q2917-G2917),IF(L2917=1,MAX(0,R2917-G2917),MAX(0,Assumptions!$C$6-G2917))))</f>
        <v/>
      </c>
      <c r="AC2917">
        <f>IF(Y2917=1,Q2917-F2917,"")</f>
        <v/>
      </c>
      <c r="AD2917">
        <f>IF(Y2917=1,AC2917^2,"")</f>
        <v/>
      </c>
      <c r="AE2917" s="19">
        <f>IF(Z2917=1,(H2917-M2917)*I2917,0)</f>
        <v/>
      </c>
      <c r="AF2917">
        <f>IF(G2917&lt;EDATE(Assumptions!$C$6,-12)+1,"prior_12m","last_12m")</f>
        <v/>
      </c>
      <c r="AG2917" s="21">
        <f>DATE(YEAR(G2917),MONTH(G2917),1)</f>
        <v/>
      </c>
    </row>
    <row r="2918">
      <c r="A2918" t="inlineStr">
        <is>
          <t>SPO-01568-3</t>
        </is>
      </c>
      <c r="B2918" t="inlineStr">
        <is>
          <t>SPO-01568</t>
        </is>
      </c>
      <c r="C2918" t="inlineStr">
        <is>
          <t>SUP-08</t>
        </is>
      </c>
      <c r="D2918" t="inlineStr">
        <is>
          <t>MRO</t>
        </is>
      </c>
      <c r="E2918" t="inlineStr">
        <is>
          <t>MRO-04</t>
        </is>
      </c>
      <c r="F2918" s="17" t="n">
        <v>46000</v>
      </c>
      <c r="G2918" s="17" t="n">
        <v>46011</v>
      </c>
      <c r="H2918" s="18" t="n">
        <v>8</v>
      </c>
      <c r="I2918" s="19" t="n">
        <v>57.63</v>
      </c>
      <c r="J2918" s="19" t="n">
        <v>58</v>
      </c>
      <c r="K2918" s="20" t="n">
        <v>0</v>
      </c>
      <c r="L2918" s="20" t="n">
        <v>0</v>
      </c>
      <c r="M2918" s="18" t="n">
        <v>8</v>
      </c>
      <c r="N2918" s="18" t="n">
        <v>8</v>
      </c>
      <c r="O2918" s="18" t="n">
        <v>0</v>
      </c>
      <c r="P2918" s="17" t="n">
        <v>46008</v>
      </c>
      <c r="Q2918" s="17" t="n">
        <v>46008</v>
      </c>
      <c r="R2918" s="17" t="n">
        <v>46008</v>
      </c>
      <c r="S2918" s="19">
        <f>H2918*I2918</f>
        <v/>
      </c>
      <c r="T2918" s="19">
        <f>H2918*J2918</f>
        <v/>
      </c>
      <c r="U2918">
        <f>IF(AND(K2918=0,G2918&lt;=Assumptions!$C$6),1,0)</f>
        <v/>
      </c>
      <c r="V2918">
        <f>IF(U2918=1,IF(M2918&gt;0,IF(P2918&lt;=G2918+Assumptions!$C$7,1,0),0),0)</f>
        <v/>
      </c>
      <c r="W2918">
        <f>IF(AND(U2918=1,M2918&gt;=H2918*(1-Assumptions!$C$8)),1,0)</f>
        <v/>
      </c>
      <c r="X2918">
        <f>IF(AND(U2918=1,N2918&gt;=H2918*(1-Assumptions!$C$8)),1,0)</f>
        <v/>
      </c>
      <c r="Y2918">
        <f>IF(ISNUMBER(Q2918),1,0)</f>
        <v/>
      </c>
      <c r="Z2918">
        <f>IF(AND(K2918=0,L2918=0,Y2918=0),1,0)</f>
        <v/>
      </c>
      <c r="AA2918">
        <f>IF(AND(Z2918=1,G2918&lt;Assumptions!$C$6),1,0)</f>
        <v/>
      </c>
      <c r="AB2918">
        <f>IF(U2918=0,"",IF(Y2918=1,MAX(0,Q2918-G2918),IF(L2918=1,MAX(0,R2918-G2918),MAX(0,Assumptions!$C$6-G2918))))</f>
        <v/>
      </c>
      <c r="AC2918">
        <f>IF(Y2918=1,Q2918-F2918,"")</f>
        <v/>
      </c>
      <c r="AD2918">
        <f>IF(Y2918=1,AC2918^2,"")</f>
        <v/>
      </c>
      <c r="AE2918" s="19">
        <f>IF(Z2918=1,(H2918-M2918)*I2918,0)</f>
        <v/>
      </c>
      <c r="AF2918">
        <f>IF(G2918&lt;EDATE(Assumptions!$C$6,-12)+1,"prior_12m","last_12m")</f>
        <v/>
      </c>
      <c r="AG2918" s="21">
        <f>DATE(YEAR(G2918),MONTH(G2918),1)</f>
        <v/>
      </c>
    </row>
    <row r="2919">
      <c r="A2919" t="inlineStr">
        <is>
          <t>SPO-01569-1</t>
        </is>
      </c>
      <c r="B2919" t="inlineStr">
        <is>
          <t>SPO-01569</t>
        </is>
      </c>
      <c r="C2919" t="inlineStr">
        <is>
          <t>SUP-01</t>
        </is>
      </c>
      <c r="D2919" t="inlineStr">
        <is>
          <t>ELEC</t>
        </is>
      </c>
      <c r="E2919" t="inlineStr">
        <is>
          <t>ELEC-05</t>
        </is>
      </c>
      <c r="F2919" s="17" t="n">
        <v>46000</v>
      </c>
      <c r="G2919" s="17" t="n">
        <v>46018</v>
      </c>
      <c r="H2919" s="18" t="n">
        <v>280</v>
      </c>
      <c r="I2919" s="19" t="n">
        <v>11.65</v>
      </c>
      <c r="J2919" s="19" t="n">
        <v>11.5</v>
      </c>
      <c r="K2919" s="20" t="n">
        <v>0</v>
      </c>
      <c r="L2919" s="20" t="n">
        <v>0</v>
      </c>
      <c r="M2919" s="18" t="n">
        <v>280</v>
      </c>
      <c r="N2919" s="18" t="n">
        <v>280</v>
      </c>
      <c r="O2919" s="18" t="n">
        <v>0</v>
      </c>
      <c r="P2919" s="17" t="n">
        <v>46017</v>
      </c>
      <c r="Q2919" s="17" t="n">
        <v>46017</v>
      </c>
      <c r="R2919" s="17" t="n">
        <v>46017</v>
      </c>
      <c r="S2919" s="19">
        <f>H2919*I2919</f>
        <v/>
      </c>
      <c r="T2919" s="19">
        <f>H2919*J2919</f>
        <v/>
      </c>
      <c r="U2919">
        <f>IF(AND(K2919=0,G2919&lt;=Assumptions!$C$6),1,0)</f>
        <v/>
      </c>
      <c r="V2919">
        <f>IF(U2919=1,IF(M2919&gt;0,IF(P2919&lt;=G2919+Assumptions!$C$7,1,0),0),0)</f>
        <v/>
      </c>
      <c r="W2919">
        <f>IF(AND(U2919=1,M2919&gt;=H2919*(1-Assumptions!$C$8)),1,0)</f>
        <v/>
      </c>
      <c r="X2919">
        <f>IF(AND(U2919=1,N2919&gt;=H2919*(1-Assumptions!$C$8)),1,0)</f>
        <v/>
      </c>
      <c r="Y2919">
        <f>IF(ISNUMBER(Q2919),1,0)</f>
        <v/>
      </c>
      <c r="Z2919">
        <f>IF(AND(K2919=0,L2919=0,Y2919=0),1,0)</f>
        <v/>
      </c>
      <c r="AA2919">
        <f>IF(AND(Z2919=1,G2919&lt;Assumptions!$C$6),1,0)</f>
        <v/>
      </c>
      <c r="AB2919">
        <f>IF(U2919=0,"",IF(Y2919=1,MAX(0,Q2919-G2919),IF(L2919=1,MAX(0,R2919-G2919),MAX(0,Assumptions!$C$6-G2919))))</f>
        <v/>
      </c>
      <c r="AC2919">
        <f>IF(Y2919=1,Q2919-F2919,"")</f>
        <v/>
      </c>
      <c r="AD2919">
        <f>IF(Y2919=1,AC2919^2,"")</f>
        <v/>
      </c>
      <c r="AE2919" s="19">
        <f>IF(Z2919=1,(H2919-M2919)*I2919,0)</f>
        <v/>
      </c>
      <c r="AF2919">
        <f>IF(G2919&lt;EDATE(Assumptions!$C$6,-12)+1,"prior_12m","last_12m")</f>
        <v/>
      </c>
      <c r="AG2919" s="21">
        <f>DATE(YEAR(G2919),MONTH(G2919),1)</f>
        <v/>
      </c>
    </row>
    <row r="2920">
      <c r="A2920" t="inlineStr">
        <is>
          <t>SPO-01570-1</t>
        </is>
      </c>
      <c r="B2920" t="inlineStr">
        <is>
          <t>SPO-01570</t>
        </is>
      </c>
      <c r="C2920" t="inlineStr">
        <is>
          <t>SUP-02</t>
        </is>
      </c>
      <c r="D2920" t="inlineStr">
        <is>
          <t>ELEC</t>
        </is>
      </c>
      <c r="E2920" t="inlineStr">
        <is>
          <t>ELEC-06</t>
        </is>
      </c>
      <c r="F2920" s="17" t="n">
        <v>46000</v>
      </c>
      <c r="G2920" s="17" t="n">
        <v>46016</v>
      </c>
      <c r="H2920" s="18" t="n">
        <v>10</v>
      </c>
      <c r="I2920" s="19" t="n">
        <v>150.58</v>
      </c>
      <c r="J2920" s="19" t="n">
        <v>145</v>
      </c>
      <c r="K2920" s="20" t="n">
        <v>0</v>
      </c>
      <c r="L2920" s="20" t="n">
        <v>0</v>
      </c>
      <c r="M2920" s="18" t="n">
        <v>10</v>
      </c>
      <c r="N2920" s="18" t="n">
        <v>10</v>
      </c>
      <c r="O2920" s="18" t="n">
        <v>0</v>
      </c>
      <c r="P2920" s="17" t="n">
        <v>46014</v>
      </c>
      <c r="Q2920" s="17" t="n">
        <v>46014</v>
      </c>
      <c r="R2920" s="17" t="n">
        <v>46014</v>
      </c>
      <c r="S2920" s="19">
        <f>H2920*I2920</f>
        <v/>
      </c>
      <c r="T2920" s="19">
        <f>H2920*J2920</f>
        <v/>
      </c>
      <c r="U2920">
        <f>IF(AND(K2920=0,G2920&lt;=Assumptions!$C$6),1,0)</f>
        <v/>
      </c>
      <c r="V2920">
        <f>IF(U2920=1,IF(M2920&gt;0,IF(P2920&lt;=G2920+Assumptions!$C$7,1,0),0),0)</f>
        <v/>
      </c>
      <c r="W2920">
        <f>IF(AND(U2920=1,M2920&gt;=H2920*(1-Assumptions!$C$8)),1,0)</f>
        <v/>
      </c>
      <c r="X2920">
        <f>IF(AND(U2920=1,N2920&gt;=H2920*(1-Assumptions!$C$8)),1,0)</f>
        <v/>
      </c>
      <c r="Y2920">
        <f>IF(ISNUMBER(Q2920),1,0)</f>
        <v/>
      </c>
      <c r="Z2920">
        <f>IF(AND(K2920=0,L2920=0,Y2920=0),1,0)</f>
        <v/>
      </c>
      <c r="AA2920">
        <f>IF(AND(Z2920=1,G2920&lt;Assumptions!$C$6),1,0)</f>
        <v/>
      </c>
      <c r="AB2920">
        <f>IF(U2920=0,"",IF(Y2920=1,MAX(0,Q2920-G2920),IF(L2920=1,MAX(0,R2920-G2920),MAX(0,Assumptions!$C$6-G2920))))</f>
        <v/>
      </c>
      <c r="AC2920">
        <f>IF(Y2920=1,Q2920-F2920,"")</f>
        <v/>
      </c>
      <c r="AD2920">
        <f>IF(Y2920=1,AC2920^2,"")</f>
        <v/>
      </c>
      <c r="AE2920" s="19">
        <f>IF(Z2920=1,(H2920-M2920)*I2920,0)</f>
        <v/>
      </c>
      <c r="AF2920">
        <f>IF(G2920&lt;EDATE(Assumptions!$C$6,-12)+1,"prior_12m","last_12m")</f>
        <v/>
      </c>
      <c r="AG2920" s="21">
        <f>DATE(YEAR(G2920),MONTH(G2920),1)</f>
        <v/>
      </c>
    </row>
    <row r="2921">
      <c r="A2921" t="inlineStr">
        <is>
          <t>SPO-01571-1</t>
        </is>
      </c>
      <c r="B2921" t="inlineStr">
        <is>
          <t>SPO-01571</t>
        </is>
      </c>
      <c r="C2921" t="inlineStr">
        <is>
          <t>SUP-12</t>
        </is>
      </c>
      <c r="D2921" t="inlineStr">
        <is>
          <t>IT</t>
        </is>
      </c>
      <c r="E2921" t="inlineStr">
        <is>
          <t>IT-05</t>
        </is>
      </c>
      <c r="F2921" s="17" t="n">
        <v>46000</v>
      </c>
      <c r="G2921" s="17" t="n">
        <v>46010</v>
      </c>
      <c r="H2921" s="18" t="n">
        <v>2</v>
      </c>
      <c r="I2921" s="19" t="n">
        <v>697.67</v>
      </c>
      <c r="J2921" s="19" t="n">
        <v>640</v>
      </c>
      <c r="K2921" s="20" t="n">
        <v>0</v>
      </c>
      <c r="L2921" s="20" t="n">
        <v>0</v>
      </c>
      <c r="M2921" s="18" t="n">
        <v>2</v>
      </c>
      <c r="N2921" s="18" t="n">
        <v>2</v>
      </c>
      <c r="O2921" s="18" t="n">
        <v>0</v>
      </c>
      <c r="P2921" s="17" t="n">
        <v>46009</v>
      </c>
      <c r="Q2921" s="17" t="n">
        <v>46009</v>
      </c>
      <c r="R2921" s="17" t="n">
        <v>46009</v>
      </c>
      <c r="S2921" s="19">
        <f>H2921*I2921</f>
        <v/>
      </c>
      <c r="T2921" s="19">
        <f>H2921*J2921</f>
        <v/>
      </c>
      <c r="U2921">
        <f>IF(AND(K2921=0,G2921&lt;=Assumptions!$C$6),1,0)</f>
        <v/>
      </c>
      <c r="V2921">
        <f>IF(U2921=1,IF(M2921&gt;0,IF(P2921&lt;=G2921+Assumptions!$C$7,1,0),0),0)</f>
        <v/>
      </c>
      <c r="W2921">
        <f>IF(AND(U2921=1,M2921&gt;=H2921*(1-Assumptions!$C$8)),1,0)</f>
        <v/>
      </c>
      <c r="X2921">
        <f>IF(AND(U2921=1,N2921&gt;=H2921*(1-Assumptions!$C$8)),1,0)</f>
        <v/>
      </c>
      <c r="Y2921">
        <f>IF(ISNUMBER(Q2921),1,0)</f>
        <v/>
      </c>
      <c r="Z2921">
        <f>IF(AND(K2921=0,L2921=0,Y2921=0),1,0)</f>
        <v/>
      </c>
      <c r="AA2921">
        <f>IF(AND(Z2921=1,G2921&lt;Assumptions!$C$6),1,0)</f>
        <v/>
      </c>
      <c r="AB2921">
        <f>IF(U2921=0,"",IF(Y2921=1,MAX(0,Q2921-G2921),IF(L2921=1,MAX(0,R2921-G2921),MAX(0,Assumptions!$C$6-G2921))))</f>
        <v/>
      </c>
      <c r="AC2921">
        <f>IF(Y2921=1,Q2921-F2921,"")</f>
        <v/>
      </c>
      <c r="AD2921">
        <f>IF(Y2921=1,AC2921^2,"")</f>
        <v/>
      </c>
      <c r="AE2921" s="19">
        <f>IF(Z2921=1,(H2921-M2921)*I2921,0)</f>
        <v/>
      </c>
      <c r="AF2921">
        <f>IF(G2921&lt;EDATE(Assumptions!$C$6,-12)+1,"prior_12m","last_12m")</f>
        <v/>
      </c>
      <c r="AG2921" s="21">
        <f>DATE(YEAR(G2921),MONTH(G2921),1)</f>
        <v/>
      </c>
    </row>
    <row r="2922">
      <c r="A2922" t="inlineStr">
        <is>
          <t>SPO-01571-2</t>
        </is>
      </c>
      <c r="B2922" t="inlineStr">
        <is>
          <t>SPO-01571</t>
        </is>
      </c>
      <c r="C2922" t="inlineStr">
        <is>
          <t>SUP-12</t>
        </is>
      </c>
      <c r="D2922" t="inlineStr">
        <is>
          <t>IT</t>
        </is>
      </c>
      <c r="E2922" t="inlineStr">
        <is>
          <t>IT-01</t>
        </is>
      </c>
      <c r="F2922" s="17" t="n">
        <v>46000</v>
      </c>
      <c r="G2922" s="17" t="n">
        <v>46010</v>
      </c>
      <c r="H2922" s="18" t="n">
        <v>7</v>
      </c>
      <c r="I2922" s="19" t="n">
        <v>213.27</v>
      </c>
      <c r="J2922" s="19" t="n">
        <v>189</v>
      </c>
      <c r="K2922" s="20" t="n">
        <v>1</v>
      </c>
      <c r="L2922" s="20" t="n">
        <v>0</v>
      </c>
      <c r="M2922" s="18" t="n">
        <v>0</v>
      </c>
      <c r="N2922" s="18" t="n">
        <v>0</v>
      </c>
      <c r="O2922" s="18" t="n">
        <v>0</v>
      </c>
      <c r="P2922" s="17" t="n"/>
      <c r="Q2922" s="17" t="n"/>
      <c r="R2922" s="17" t="n"/>
      <c r="S2922" s="19">
        <f>H2922*I2922</f>
        <v/>
      </c>
      <c r="T2922" s="19">
        <f>H2922*J2922</f>
        <v/>
      </c>
      <c r="U2922">
        <f>IF(AND(K2922=0,G2922&lt;=Assumptions!$C$6),1,0)</f>
        <v/>
      </c>
      <c r="V2922">
        <f>IF(U2922=1,IF(M2922&gt;0,IF(P2922&lt;=G2922+Assumptions!$C$7,1,0),0),0)</f>
        <v/>
      </c>
      <c r="W2922">
        <f>IF(AND(U2922=1,M2922&gt;=H2922*(1-Assumptions!$C$8)),1,0)</f>
        <v/>
      </c>
      <c r="X2922">
        <f>IF(AND(U2922=1,N2922&gt;=H2922*(1-Assumptions!$C$8)),1,0)</f>
        <v/>
      </c>
      <c r="Y2922">
        <f>IF(ISNUMBER(Q2922),1,0)</f>
        <v/>
      </c>
      <c r="Z2922">
        <f>IF(AND(K2922=0,L2922=0,Y2922=0),1,0)</f>
        <v/>
      </c>
      <c r="AA2922">
        <f>IF(AND(Z2922=1,G2922&lt;Assumptions!$C$6),1,0)</f>
        <v/>
      </c>
      <c r="AB2922">
        <f>IF(U2922=0,"",IF(Y2922=1,MAX(0,Q2922-G2922),IF(L2922=1,MAX(0,R2922-G2922),MAX(0,Assumptions!$C$6-G2922))))</f>
        <v/>
      </c>
      <c r="AC2922">
        <f>IF(Y2922=1,Q2922-F2922,"")</f>
        <v/>
      </c>
      <c r="AD2922">
        <f>IF(Y2922=1,AC2922^2,"")</f>
        <v/>
      </c>
      <c r="AE2922" s="19">
        <f>IF(Z2922=1,(H2922-M2922)*I2922,0)</f>
        <v/>
      </c>
      <c r="AF2922">
        <f>IF(G2922&lt;EDATE(Assumptions!$C$6,-12)+1,"prior_12m","last_12m")</f>
        <v/>
      </c>
      <c r="AG2922" s="21">
        <f>DATE(YEAR(G2922),MONTH(G2922),1)</f>
        <v/>
      </c>
    </row>
    <row r="2923">
      <c r="A2923" t="inlineStr">
        <is>
          <t>SPO-01571-3</t>
        </is>
      </c>
      <c r="B2923" t="inlineStr">
        <is>
          <t>SPO-01571</t>
        </is>
      </c>
      <c r="C2923" t="inlineStr">
        <is>
          <t>SUP-12</t>
        </is>
      </c>
      <c r="D2923" t="inlineStr">
        <is>
          <t>IT</t>
        </is>
      </c>
      <c r="E2923" t="inlineStr">
        <is>
          <t>IT-04</t>
        </is>
      </c>
      <c r="F2923" s="17" t="n">
        <v>46000</v>
      </c>
      <c r="G2923" s="17" t="n">
        <v>46010</v>
      </c>
      <c r="H2923" s="18" t="n">
        <v>80</v>
      </c>
      <c r="I2923" s="19" t="n">
        <v>13.48</v>
      </c>
      <c r="J2923" s="19" t="n">
        <v>12</v>
      </c>
      <c r="K2923" s="20" t="n">
        <v>0</v>
      </c>
      <c r="L2923" s="20" t="n">
        <v>0</v>
      </c>
      <c r="M2923" s="18" t="n">
        <v>80</v>
      </c>
      <c r="N2923" s="18" t="n">
        <v>80</v>
      </c>
      <c r="O2923" s="18" t="n">
        <v>0</v>
      </c>
      <c r="P2923" s="17" t="n">
        <v>46006</v>
      </c>
      <c r="Q2923" s="17" t="n">
        <v>46006</v>
      </c>
      <c r="R2923" s="17" t="n">
        <v>46006</v>
      </c>
      <c r="S2923" s="19">
        <f>H2923*I2923</f>
        <v/>
      </c>
      <c r="T2923" s="19">
        <f>H2923*J2923</f>
        <v/>
      </c>
      <c r="U2923">
        <f>IF(AND(K2923=0,G2923&lt;=Assumptions!$C$6),1,0)</f>
        <v/>
      </c>
      <c r="V2923">
        <f>IF(U2923=1,IF(M2923&gt;0,IF(P2923&lt;=G2923+Assumptions!$C$7,1,0),0),0)</f>
        <v/>
      </c>
      <c r="W2923">
        <f>IF(AND(U2923=1,M2923&gt;=H2923*(1-Assumptions!$C$8)),1,0)</f>
        <v/>
      </c>
      <c r="X2923">
        <f>IF(AND(U2923=1,N2923&gt;=H2923*(1-Assumptions!$C$8)),1,0)</f>
        <v/>
      </c>
      <c r="Y2923">
        <f>IF(ISNUMBER(Q2923),1,0)</f>
        <v/>
      </c>
      <c r="Z2923">
        <f>IF(AND(K2923=0,L2923=0,Y2923=0),1,0)</f>
        <v/>
      </c>
      <c r="AA2923">
        <f>IF(AND(Z2923=1,G2923&lt;Assumptions!$C$6),1,0)</f>
        <v/>
      </c>
      <c r="AB2923">
        <f>IF(U2923=0,"",IF(Y2923=1,MAX(0,Q2923-G2923),IF(L2923=1,MAX(0,R2923-G2923),MAX(0,Assumptions!$C$6-G2923))))</f>
        <v/>
      </c>
      <c r="AC2923">
        <f>IF(Y2923=1,Q2923-F2923,"")</f>
        <v/>
      </c>
      <c r="AD2923">
        <f>IF(Y2923=1,AC2923^2,"")</f>
        <v/>
      </c>
      <c r="AE2923" s="19">
        <f>IF(Z2923=1,(H2923-M2923)*I2923,0)</f>
        <v/>
      </c>
      <c r="AF2923">
        <f>IF(G2923&lt;EDATE(Assumptions!$C$6,-12)+1,"prior_12m","last_12m")</f>
        <v/>
      </c>
      <c r="AG2923" s="21">
        <f>DATE(YEAR(G2923),MONTH(G2923),1)</f>
        <v/>
      </c>
    </row>
    <row r="2924">
      <c r="A2924" t="inlineStr">
        <is>
          <t>SPO-01572-1</t>
        </is>
      </c>
      <c r="B2924" t="inlineStr">
        <is>
          <t>SPO-01572</t>
        </is>
      </c>
      <c r="C2924" t="inlineStr">
        <is>
          <t>SUP-09</t>
        </is>
      </c>
      <c r="D2924" t="inlineStr">
        <is>
          <t>CHEM</t>
        </is>
      </c>
      <c r="E2924" t="inlineStr">
        <is>
          <t>CHEM-02</t>
        </is>
      </c>
      <c r="F2924" s="17" t="n">
        <v>46001</v>
      </c>
      <c r="G2924" s="17" t="n">
        <v>46015</v>
      </c>
      <c r="H2924" s="18" t="n">
        <v>5</v>
      </c>
      <c r="I2924" s="19" t="n">
        <v>434.98</v>
      </c>
      <c r="J2924" s="19" t="n">
        <v>410</v>
      </c>
      <c r="K2924" s="20" t="n">
        <v>0</v>
      </c>
      <c r="L2924" s="20" t="n">
        <v>0</v>
      </c>
      <c r="M2924" s="18" t="n">
        <v>5</v>
      </c>
      <c r="N2924" s="18" t="n">
        <v>5</v>
      </c>
      <c r="O2924" s="18" t="n">
        <v>0</v>
      </c>
      <c r="P2924" s="17" t="n">
        <v>46013</v>
      </c>
      <c r="Q2924" s="17" t="n">
        <v>46013</v>
      </c>
      <c r="R2924" s="17" t="n">
        <v>46013</v>
      </c>
      <c r="S2924" s="19">
        <f>H2924*I2924</f>
        <v/>
      </c>
      <c r="T2924" s="19">
        <f>H2924*J2924</f>
        <v/>
      </c>
      <c r="U2924">
        <f>IF(AND(K2924=0,G2924&lt;=Assumptions!$C$6),1,0)</f>
        <v/>
      </c>
      <c r="V2924">
        <f>IF(U2924=1,IF(M2924&gt;0,IF(P2924&lt;=G2924+Assumptions!$C$7,1,0),0),0)</f>
        <v/>
      </c>
      <c r="W2924">
        <f>IF(AND(U2924=1,M2924&gt;=H2924*(1-Assumptions!$C$8)),1,0)</f>
        <v/>
      </c>
      <c r="X2924">
        <f>IF(AND(U2924=1,N2924&gt;=H2924*(1-Assumptions!$C$8)),1,0)</f>
        <v/>
      </c>
      <c r="Y2924">
        <f>IF(ISNUMBER(Q2924),1,0)</f>
        <v/>
      </c>
      <c r="Z2924">
        <f>IF(AND(K2924=0,L2924=0,Y2924=0),1,0)</f>
        <v/>
      </c>
      <c r="AA2924">
        <f>IF(AND(Z2924=1,G2924&lt;Assumptions!$C$6),1,0)</f>
        <v/>
      </c>
      <c r="AB2924">
        <f>IF(U2924=0,"",IF(Y2924=1,MAX(0,Q2924-G2924),IF(L2924=1,MAX(0,R2924-G2924),MAX(0,Assumptions!$C$6-G2924))))</f>
        <v/>
      </c>
      <c r="AC2924">
        <f>IF(Y2924=1,Q2924-F2924,"")</f>
        <v/>
      </c>
      <c r="AD2924">
        <f>IF(Y2924=1,AC2924^2,"")</f>
        <v/>
      </c>
      <c r="AE2924" s="19">
        <f>IF(Z2924=1,(H2924-M2924)*I2924,0)</f>
        <v/>
      </c>
      <c r="AF2924">
        <f>IF(G2924&lt;EDATE(Assumptions!$C$6,-12)+1,"prior_12m","last_12m")</f>
        <v/>
      </c>
      <c r="AG2924" s="21">
        <f>DATE(YEAR(G2924),MONTH(G2924),1)</f>
        <v/>
      </c>
    </row>
    <row r="2925">
      <c r="A2925" t="inlineStr">
        <is>
          <t>SPO-01572-2</t>
        </is>
      </c>
      <c r="B2925" t="inlineStr">
        <is>
          <t>SPO-01572</t>
        </is>
      </c>
      <c r="C2925" t="inlineStr">
        <is>
          <t>SUP-09</t>
        </is>
      </c>
      <c r="D2925" t="inlineStr">
        <is>
          <t>CHEM</t>
        </is>
      </c>
      <c r="E2925" t="inlineStr">
        <is>
          <t>CHEM-06</t>
        </is>
      </c>
      <c r="F2925" s="17" t="n">
        <v>46001</v>
      </c>
      <c r="G2925" s="17" t="n">
        <v>46015</v>
      </c>
      <c r="H2925" s="18" t="n">
        <v>6</v>
      </c>
      <c r="I2925" s="19" t="n">
        <v>382.18</v>
      </c>
      <c r="J2925" s="19" t="n">
        <v>380</v>
      </c>
      <c r="K2925" s="20" t="n">
        <v>0</v>
      </c>
      <c r="L2925" s="20" t="n">
        <v>0</v>
      </c>
      <c r="M2925" s="18" t="n">
        <v>6</v>
      </c>
      <c r="N2925" s="18" t="n">
        <v>6</v>
      </c>
      <c r="O2925" s="18" t="n">
        <v>0</v>
      </c>
      <c r="P2925" s="17" t="n">
        <v>46014</v>
      </c>
      <c r="Q2925" s="17" t="n">
        <v>46014</v>
      </c>
      <c r="R2925" s="17" t="n">
        <v>46014</v>
      </c>
      <c r="S2925" s="19">
        <f>H2925*I2925</f>
        <v/>
      </c>
      <c r="T2925" s="19">
        <f>H2925*J2925</f>
        <v/>
      </c>
      <c r="U2925">
        <f>IF(AND(K2925=0,G2925&lt;=Assumptions!$C$6),1,0)</f>
        <v/>
      </c>
      <c r="V2925">
        <f>IF(U2925=1,IF(M2925&gt;0,IF(P2925&lt;=G2925+Assumptions!$C$7,1,0),0),0)</f>
        <v/>
      </c>
      <c r="W2925">
        <f>IF(AND(U2925=1,M2925&gt;=H2925*(1-Assumptions!$C$8)),1,0)</f>
        <v/>
      </c>
      <c r="X2925">
        <f>IF(AND(U2925=1,N2925&gt;=H2925*(1-Assumptions!$C$8)),1,0)</f>
        <v/>
      </c>
      <c r="Y2925">
        <f>IF(ISNUMBER(Q2925),1,0)</f>
        <v/>
      </c>
      <c r="Z2925">
        <f>IF(AND(K2925=0,L2925=0,Y2925=0),1,0)</f>
        <v/>
      </c>
      <c r="AA2925">
        <f>IF(AND(Z2925=1,G2925&lt;Assumptions!$C$6),1,0)</f>
        <v/>
      </c>
      <c r="AB2925">
        <f>IF(U2925=0,"",IF(Y2925=1,MAX(0,Q2925-G2925),IF(L2925=1,MAX(0,R2925-G2925),MAX(0,Assumptions!$C$6-G2925))))</f>
        <v/>
      </c>
      <c r="AC2925">
        <f>IF(Y2925=1,Q2925-F2925,"")</f>
        <v/>
      </c>
      <c r="AD2925">
        <f>IF(Y2925=1,AC2925^2,"")</f>
        <v/>
      </c>
      <c r="AE2925" s="19">
        <f>IF(Z2925=1,(H2925-M2925)*I2925,0)</f>
        <v/>
      </c>
      <c r="AF2925">
        <f>IF(G2925&lt;EDATE(Assumptions!$C$6,-12)+1,"prior_12m","last_12m")</f>
        <v/>
      </c>
      <c r="AG2925" s="21">
        <f>DATE(YEAR(G2925),MONTH(G2925),1)</f>
        <v/>
      </c>
    </row>
    <row r="2926">
      <c r="A2926" t="inlineStr">
        <is>
          <t>SPO-01573-1</t>
        </is>
      </c>
      <c r="B2926" t="inlineStr">
        <is>
          <t>SPO-01573</t>
        </is>
      </c>
      <c r="C2926" t="inlineStr">
        <is>
          <t>SUP-05</t>
        </is>
      </c>
      <c r="D2926" t="inlineStr">
        <is>
          <t>FLEET</t>
        </is>
      </c>
      <c r="E2926" t="inlineStr">
        <is>
          <t>FLEET-05</t>
        </is>
      </c>
      <c r="F2926" s="17" t="n">
        <v>46001</v>
      </c>
      <c r="G2926" s="17" t="n">
        <v>46015</v>
      </c>
      <c r="H2926" s="18" t="n">
        <v>7</v>
      </c>
      <c r="I2926" s="19" t="n">
        <v>174.53</v>
      </c>
      <c r="J2926" s="19" t="n">
        <v>168</v>
      </c>
      <c r="K2926" s="20" t="n">
        <v>0</v>
      </c>
      <c r="L2926" s="20" t="n">
        <v>0</v>
      </c>
      <c r="M2926" s="18" t="n">
        <v>7</v>
      </c>
      <c r="N2926" s="18" t="n">
        <v>7</v>
      </c>
      <c r="O2926" s="18" t="n">
        <v>0</v>
      </c>
      <c r="P2926" s="17" t="n">
        <v>46011</v>
      </c>
      <c r="Q2926" s="17" t="n">
        <v>46011</v>
      </c>
      <c r="R2926" s="17" t="n">
        <v>46011</v>
      </c>
      <c r="S2926" s="19">
        <f>H2926*I2926</f>
        <v/>
      </c>
      <c r="T2926" s="19">
        <f>H2926*J2926</f>
        <v/>
      </c>
      <c r="U2926">
        <f>IF(AND(K2926=0,G2926&lt;=Assumptions!$C$6),1,0)</f>
        <v/>
      </c>
      <c r="V2926">
        <f>IF(U2926=1,IF(M2926&gt;0,IF(P2926&lt;=G2926+Assumptions!$C$7,1,0),0),0)</f>
        <v/>
      </c>
      <c r="W2926">
        <f>IF(AND(U2926=1,M2926&gt;=H2926*(1-Assumptions!$C$8)),1,0)</f>
        <v/>
      </c>
      <c r="X2926">
        <f>IF(AND(U2926=1,N2926&gt;=H2926*(1-Assumptions!$C$8)),1,0)</f>
        <v/>
      </c>
      <c r="Y2926">
        <f>IF(ISNUMBER(Q2926),1,0)</f>
        <v/>
      </c>
      <c r="Z2926">
        <f>IF(AND(K2926=0,L2926=0,Y2926=0),1,0)</f>
        <v/>
      </c>
      <c r="AA2926">
        <f>IF(AND(Z2926=1,G2926&lt;Assumptions!$C$6),1,0)</f>
        <v/>
      </c>
      <c r="AB2926">
        <f>IF(U2926=0,"",IF(Y2926=1,MAX(0,Q2926-G2926),IF(L2926=1,MAX(0,R2926-G2926),MAX(0,Assumptions!$C$6-G2926))))</f>
        <v/>
      </c>
      <c r="AC2926">
        <f>IF(Y2926=1,Q2926-F2926,"")</f>
        <v/>
      </c>
      <c r="AD2926">
        <f>IF(Y2926=1,AC2926^2,"")</f>
        <v/>
      </c>
      <c r="AE2926" s="19">
        <f>IF(Z2926=1,(H2926-M2926)*I2926,0)</f>
        <v/>
      </c>
      <c r="AF2926">
        <f>IF(G2926&lt;EDATE(Assumptions!$C$6,-12)+1,"prior_12m","last_12m")</f>
        <v/>
      </c>
      <c r="AG2926" s="21">
        <f>DATE(YEAR(G2926),MONTH(G2926),1)</f>
        <v/>
      </c>
    </row>
    <row r="2927">
      <c r="A2927" t="inlineStr">
        <is>
          <t>SPO-01574-1</t>
        </is>
      </c>
      <c r="B2927" t="inlineStr">
        <is>
          <t>SPO-01574</t>
        </is>
      </c>
      <c r="C2927" t="inlineStr">
        <is>
          <t>SUP-08</t>
        </is>
      </c>
      <c r="D2927" t="inlineStr">
        <is>
          <t>PPE</t>
        </is>
      </c>
      <c r="E2927" t="inlineStr">
        <is>
          <t>PPE-06</t>
        </is>
      </c>
      <c r="F2927" s="17" t="n">
        <v>46002</v>
      </c>
      <c r="G2927" s="17" t="n">
        <v>46013</v>
      </c>
      <c r="H2927" s="18" t="n">
        <v>25</v>
      </c>
      <c r="I2927" s="19" t="n">
        <v>110.99</v>
      </c>
      <c r="J2927" s="19" t="n">
        <v>115</v>
      </c>
      <c r="K2927" s="20" t="n">
        <v>0</v>
      </c>
      <c r="L2927" s="20" t="n">
        <v>1</v>
      </c>
      <c r="M2927" s="18" t="n">
        <v>11</v>
      </c>
      <c r="N2927" s="18" t="n">
        <v>11</v>
      </c>
      <c r="O2927" s="18" t="n">
        <v>0</v>
      </c>
      <c r="P2927" s="17" t="n">
        <v>46006</v>
      </c>
      <c r="Q2927" s="17" t="n"/>
      <c r="R2927" s="17" t="n">
        <v>46006</v>
      </c>
      <c r="S2927" s="19">
        <f>H2927*I2927</f>
        <v/>
      </c>
      <c r="T2927" s="19">
        <f>H2927*J2927</f>
        <v/>
      </c>
      <c r="U2927">
        <f>IF(AND(K2927=0,G2927&lt;=Assumptions!$C$6),1,0)</f>
        <v/>
      </c>
      <c r="V2927">
        <f>IF(U2927=1,IF(M2927&gt;0,IF(P2927&lt;=G2927+Assumptions!$C$7,1,0),0),0)</f>
        <v/>
      </c>
      <c r="W2927">
        <f>IF(AND(U2927=1,M2927&gt;=H2927*(1-Assumptions!$C$8)),1,0)</f>
        <v/>
      </c>
      <c r="X2927">
        <f>IF(AND(U2927=1,N2927&gt;=H2927*(1-Assumptions!$C$8)),1,0)</f>
        <v/>
      </c>
      <c r="Y2927">
        <f>IF(ISNUMBER(Q2927),1,0)</f>
        <v/>
      </c>
      <c r="Z2927">
        <f>IF(AND(K2927=0,L2927=0,Y2927=0),1,0)</f>
        <v/>
      </c>
      <c r="AA2927">
        <f>IF(AND(Z2927=1,G2927&lt;Assumptions!$C$6),1,0)</f>
        <v/>
      </c>
      <c r="AB2927">
        <f>IF(U2927=0,"",IF(Y2927=1,MAX(0,Q2927-G2927),IF(L2927=1,MAX(0,R2927-G2927),MAX(0,Assumptions!$C$6-G2927))))</f>
        <v/>
      </c>
      <c r="AC2927">
        <f>IF(Y2927=1,Q2927-F2927,"")</f>
        <v/>
      </c>
      <c r="AD2927">
        <f>IF(Y2927=1,AC2927^2,"")</f>
        <v/>
      </c>
      <c r="AE2927" s="19">
        <f>IF(Z2927=1,(H2927-M2927)*I2927,0)</f>
        <v/>
      </c>
      <c r="AF2927">
        <f>IF(G2927&lt;EDATE(Assumptions!$C$6,-12)+1,"prior_12m","last_12m")</f>
        <v/>
      </c>
      <c r="AG2927" s="21">
        <f>DATE(YEAR(G2927),MONTH(G2927),1)</f>
        <v/>
      </c>
    </row>
    <row r="2928">
      <c r="A2928" t="inlineStr">
        <is>
          <t>SPO-01574-2</t>
        </is>
      </c>
      <c r="B2928" t="inlineStr">
        <is>
          <t>SPO-01574</t>
        </is>
      </c>
      <c r="C2928" t="inlineStr">
        <is>
          <t>SUP-08</t>
        </is>
      </c>
      <c r="D2928" t="inlineStr">
        <is>
          <t>PPE</t>
        </is>
      </c>
      <c r="E2928" t="inlineStr">
        <is>
          <t>PPE-04</t>
        </is>
      </c>
      <c r="F2928" s="17" t="n">
        <v>46002</v>
      </c>
      <c r="G2928" s="17" t="n">
        <v>46013</v>
      </c>
      <c r="H2928" s="18" t="n">
        <v>84</v>
      </c>
      <c r="I2928" s="19" t="n">
        <v>25.4</v>
      </c>
      <c r="J2928" s="19" t="n">
        <v>26</v>
      </c>
      <c r="K2928" s="20" t="n">
        <v>0</v>
      </c>
      <c r="L2928" s="20" t="n">
        <v>0</v>
      </c>
      <c r="M2928" s="18" t="n">
        <v>84</v>
      </c>
      <c r="N2928" s="18" t="n">
        <v>84</v>
      </c>
      <c r="O2928" s="18" t="n">
        <v>0</v>
      </c>
      <c r="P2928" s="17" t="n">
        <v>46010</v>
      </c>
      <c r="Q2928" s="17" t="n">
        <v>46010</v>
      </c>
      <c r="R2928" s="17" t="n">
        <v>46010</v>
      </c>
      <c r="S2928" s="19">
        <f>H2928*I2928</f>
        <v/>
      </c>
      <c r="T2928" s="19">
        <f>H2928*J2928</f>
        <v/>
      </c>
      <c r="U2928">
        <f>IF(AND(K2928=0,G2928&lt;=Assumptions!$C$6),1,0)</f>
        <v/>
      </c>
      <c r="V2928">
        <f>IF(U2928=1,IF(M2928&gt;0,IF(P2928&lt;=G2928+Assumptions!$C$7,1,0),0),0)</f>
        <v/>
      </c>
      <c r="W2928">
        <f>IF(AND(U2928=1,M2928&gt;=H2928*(1-Assumptions!$C$8)),1,0)</f>
        <v/>
      </c>
      <c r="X2928">
        <f>IF(AND(U2928=1,N2928&gt;=H2928*(1-Assumptions!$C$8)),1,0)</f>
        <v/>
      </c>
      <c r="Y2928">
        <f>IF(ISNUMBER(Q2928),1,0)</f>
        <v/>
      </c>
      <c r="Z2928">
        <f>IF(AND(K2928=0,L2928=0,Y2928=0),1,0)</f>
        <v/>
      </c>
      <c r="AA2928">
        <f>IF(AND(Z2928=1,G2928&lt;Assumptions!$C$6),1,0)</f>
        <v/>
      </c>
      <c r="AB2928">
        <f>IF(U2928=0,"",IF(Y2928=1,MAX(0,Q2928-G2928),IF(L2928=1,MAX(0,R2928-G2928),MAX(0,Assumptions!$C$6-G2928))))</f>
        <v/>
      </c>
      <c r="AC2928">
        <f>IF(Y2928=1,Q2928-F2928,"")</f>
        <v/>
      </c>
      <c r="AD2928">
        <f>IF(Y2928=1,AC2928^2,"")</f>
        <v/>
      </c>
      <c r="AE2928" s="19">
        <f>IF(Z2928=1,(H2928-M2928)*I2928,0)</f>
        <v/>
      </c>
      <c r="AF2928">
        <f>IF(G2928&lt;EDATE(Assumptions!$C$6,-12)+1,"prior_12m","last_12m")</f>
        <v/>
      </c>
      <c r="AG2928" s="21">
        <f>DATE(YEAR(G2928),MONTH(G2928),1)</f>
        <v/>
      </c>
    </row>
    <row r="2929">
      <c r="A2929" t="inlineStr">
        <is>
          <t>SPO-01574-3</t>
        </is>
      </c>
      <c r="B2929" t="inlineStr">
        <is>
          <t>SPO-01574</t>
        </is>
      </c>
      <c r="C2929" t="inlineStr">
        <is>
          <t>SUP-08</t>
        </is>
      </c>
      <c r="D2929" t="inlineStr">
        <is>
          <t>PPE</t>
        </is>
      </c>
      <c r="E2929" t="inlineStr">
        <is>
          <t>PPE-03</t>
        </is>
      </c>
      <c r="F2929" s="17" t="n">
        <v>46002</v>
      </c>
      <c r="G2929" s="17" t="n">
        <v>46013</v>
      </c>
      <c r="H2929" s="18" t="n">
        <v>50</v>
      </c>
      <c r="I2929" s="19" t="n">
        <v>20.69</v>
      </c>
      <c r="J2929" s="19" t="n">
        <v>21</v>
      </c>
      <c r="K2929" s="20" t="n">
        <v>0</v>
      </c>
      <c r="L2929" s="20" t="n">
        <v>0</v>
      </c>
      <c r="M2929" s="18" t="n">
        <v>50</v>
      </c>
      <c r="N2929" s="18" t="n">
        <v>50</v>
      </c>
      <c r="O2929" s="18" t="n">
        <v>0</v>
      </c>
      <c r="P2929" s="17" t="n">
        <v>46013</v>
      </c>
      <c r="Q2929" s="17" t="n">
        <v>46013</v>
      </c>
      <c r="R2929" s="17" t="n">
        <v>46013</v>
      </c>
      <c r="S2929" s="19">
        <f>H2929*I2929</f>
        <v/>
      </c>
      <c r="T2929" s="19">
        <f>H2929*J2929</f>
        <v/>
      </c>
      <c r="U2929">
        <f>IF(AND(K2929=0,G2929&lt;=Assumptions!$C$6),1,0)</f>
        <v/>
      </c>
      <c r="V2929">
        <f>IF(U2929=1,IF(M2929&gt;0,IF(P2929&lt;=G2929+Assumptions!$C$7,1,0),0),0)</f>
        <v/>
      </c>
      <c r="W2929">
        <f>IF(AND(U2929=1,M2929&gt;=H2929*(1-Assumptions!$C$8)),1,0)</f>
        <v/>
      </c>
      <c r="X2929">
        <f>IF(AND(U2929=1,N2929&gt;=H2929*(1-Assumptions!$C$8)),1,0)</f>
        <v/>
      </c>
      <c r="Y2929">
        <f>IF(ISNUMBER(Q2929),1,0)</f>
        <v/>
      </c>
      <c r="Z2929">
        <f>IF(AND(K2929=0,L2929=0,Y2929=0),1,0)</f>
        <v/>
      </c>
      <c r="AA2929">
        <f>IF(AND(Z2929=1,G2929&lt;Assumptions!$C$6),1,0)</f>
        <v/>
      </c>
      <c r="AB2929">
        <f>IF(U2929=0,"",IF(Y2929=1,MAX(0,Q2929-G2929),IF(L2929=1,MAX(0,R2929-G2929),MAX(0,Assumptions!$C$6-G2929))))</f>
        <v/>
      </c>
      <c r="AC2929">
        <f>IF(Y2929=1,Q2929-F2929,"")</f>
        <v/>
      </c>
      <c r="AD2929">
        <f>IF(Y2929=1,AC2929^2,"")</f>
        <v/>
      </c>
      <c r="AE2929" s="19">
        <f>IF(Z2929=1,(H2929-M2929)*I2929,0)</f>
        <v/>
      </c>
      <c r="AF2929">
        <f>IF(G2929&lt;EDATE(Assumptions!$C$6,-12)+1,"prior_12m","last_12m")</f>
        <v/>
      </c>
      <c r="AG2929" s="21">
        <f>DATE(YEAR(G2929),MONTH(G2929),1)</f>
        <v/>
      </c>
    </row>
    <row r="2930">
      <c r="A2930" t="inlineStr">
        <is>
          <t>SPO-01575-1</t>
        </is>
      </c>
      <c r="B2930" t="inlineStr">
        <is>
          <t>SPO-01575</t>
        </is>
      </c>
      <c r="C2930" t="inlineStr">
        <is>
          <t>SUP-09</t>
        </is>
      </c>
      <c r="D2930" t="inlineStr">
        <is>
          <t>CHEM</t>
        </is>
      </c>
      <c r="E2930" t="inlineStr">
        <is>
          <t>CHEM-04</t>
        </is>
      </c>
      <c r="F2930" s="17" t="n">
        <v>46002</v>
      </c>
      <c r="G2930" s="17" t="n">
        <v>46016</v>
      </c>
      <c r="H2930" s="18" t="n">
        <v>2</v>
      </c>
      <c r="I2930" s="19" t="n">
        <v>819.76</v>
      </c>
      <c r="J2930" s="19" t="n">
        <v>820</v>
      </c>
      <c r="K2930" s="20" t="n">
        <v>0</v>
      </c>
      <c r="L2930" s="20" t="n">
        <v>0</v>
      </c>
      <c r="M2930" s="18" t="n">
        <v>2</v>
      </c>
      <c r="N2930" s="18" t="n">
        <v>2</v>
      </c>
      <c r="O2930" s="18" t="n">
        <v>0</v>
      </c>
      <c r="P2930" s="17" t="n">
        <v>46014</v>
      </c>
      <c r="Q2930" s="17" t="n">
        <v>46014</v>
      </c>
      <c r="R2930" s="17" t="n">
        <v>46014</v>
      </c>
      <c r="S2930" s="19">
        <f>H2930*I2930</f>
        <v/>
      </c>
      <c r="T2930" s="19">
        <f>H2930*J2930</f>
        <v/>
      </c>
      <c r="U2930">
        <f>IF(AND(K2930=0,G2930&lt;=Assumptions!$C$6),1,0)</f>
        <v/>
      </c>
      <c r="V2930">
        <f>IF(U2930=1,IF(M2930&gt;0,IF(P2930&lt;=G2930+Assumptions!$C$7,1,0),0),0)</f>
        <v/>
      </c>
      <c r="W2930">
        <f>IF(AND(U2930=1,M2930&gt;=H2930*(1-Assumptions!$C$8)),1,0)</f>
        <v/>
      </c>
      <c r="X2930">
        <f>IF(AND(U2930=1,N2930&gt;=H2930*(1-Assumptions!$C$8)),1,0)</f>
        <v/>
      </c>
      <c r="Y2930">
        <f>IF(ISNUMBER(Q2930),1,0)</f>
        <v/>
      </c>
      <c r="Z2930">
        <f>IF(AND(K2930=0,L2930=0,Y2930=0),1,0)</f>
        <v/>
      </c>
      <c r="AA2930">
        <f>IF(AND(Z2930=1,G2930&lt;Assumptions!$C$6),1,0)</f>
        <v/>
      </c>
      <c r="AB2930">
        <f>IF(U2930=0,"",IF(Y2930=1,MAX(0,Q2930-G2930),IF(L2930=1,MAX(0,R2930-G2930),MAX(0,Assumptions!$C$6-G2930))))</f>
        <v/>
      </c>
      <c r="AC2930">
        <f>IF(Y2930=1,Q2930-F2930,"")</f>
        <v/>
      </c>
      <c r="AD2930">
        <f>IF(Y2930=1,AC2930^2,"")</f>
        <v/>
      </c>
      <c r="AE2930" s="19">
        <f>IF(Z2930=1,(H2930-M2930)*I2930,0)</f>
        <v/>
      </c>
      <c r="AF2930">
        <f>IF(G2930&lt;EDATE(Assumptions!$C$6,-12)+1,"prior_12m","last_12m")</f>
        <v/>
      </c>
      <c r="AG2930" s="21">
        <f>DATE(YEAR(G2930),MONTH(G2930),1)</f>
        <v/>
      </c>
    </row>
    <row r="2931">
      <c r="A2931" t="inlineStr">
        <is>
          <t>SPO-01575-2</t>
        </is>
      </c>
      <c r="B2931" t="inlineStr">
        <is>
          <t>SPO-01575</t>
        </is>
      </c>
      <c r="C2931" t="inlineStr">
        <is>
          <t>SUP-09</t>
        </is>
      </c>
      <c r="D2931" t="inlineStr">
        <is>
          <t>CHEM</t>
        </is>
      </c>
      <c r="E2931" t="inlineStr">
        <is>
          <t>CHEM-05</t>
        </is>
      </c>
      <c r="F2931" s="17" t="n">
        <v>46002</v>
      </c>
      <c r="G2931" s="17" t="n">
        <v>46016</v>
      </c>
      <c r="H2931" s="18" t="n">
        <v>1</v>
      </c>
      <c r="I2931" s="19" t="n">
        <v>925.08</v>
      </c>
      <c r="J2931" s="19" t="n">
        <v>930</v>
      </c>
      <c r="K2931" s="20" t="n">
        <v>0</v>
      </c>
      <c r="L2931" s="20" t="n">
        <v>0</v>
      </c>
      <c r="M2931" s="18" t="n">
        <v>1</v>
      </c>
      <c r="N2931" s="18" t="n">
        <v>0</v>
      </c>
      <c r="O2931" s="18" t="n">
        <v>0</v>
      </c>
      <c r="P2931" s="17" t="n">
        <v>46017</v>
      </c>
      <c r="Q2931" s="17" t="n">
        <v>46017</v>
      </c>
      <c r="R2931" s="17" t="n">
        <v>46017</v>
      </c>
      <c r="S2931" s="19">
        <f>H2931*I2931</f>
        <v/>
      </c>
      <c r="T2931" s="19">
        <f>H2931*J2931</f>
        <v/>
      </c>
      <c r="U2931">
        <f>IF(AND(K2931=0,G2931&lt;=Assumptions!$C$6),1,0)</f>
        <v/>
      </c>
      <c r="V2931">
        <f>IF(U2931=1,IF(M2931&gt;0,IF(P2931&lt;=G2931+Assumptions!$C$7,1,0),0),0)</f>
        <v/>
      </c>
      <c r="W2931">
        <f>IF(AND(U2931=1,M2931&gt;=H2931*(1-Assumptions!$C$8)),1,0)</f>
        <v/>
      </c>
      <c r="X2931">
        <f>IF(AND(U2931=1,N2931&gt;=H2931*(1-Assumptions!$C$8)),1,0)</f>
        <v/>
      </c>
      <c r="Y2931">
        <f>IF(ISNUMBER(Q2931),1,0)</f>
        <v/>
      </c>
      <c r="Z2931">
        <f>IF(AND(K2931=0,L2931=0,Y2931=0),1,0)</f>
        <v/>
      </c>
      <c r="AA2931">
        <f>IF(AND(Z2931=1,G2931&lt;Assumptions!$C$6),1,0)</f>
        <v/>
      </c>
      <c r="AB2931">
        <f>IF(U2931=0,"",IF(Y2931=1,MAX(0,Q2931-G2931),IF(L2931=1,MAX(0,R2931-G2931),MAX(0,Assumptions!$C$6-G2931))))</f>
        <v/>
      </c>
      <c r="AC2931">
        <f>IF(Y2931=1,Q2931-F2931,"")</f>
        <v/>
      </c>
      <c r="AD2931">
        <f>IF(Y2931=1,AC2931^2,"")</f>
        <v/>
      </c>
      <c r="AE2931" s="19">
        <f>IF(Z2931=1,(H2931-M2931)*I2931,0)</f>
        <v/>
      </c>
      <c r="AF2931">
        <f>IF(G2931&lt;EDATE(Assumptions!$C$6,-12)+1,"prior_12m","last_12m")</f>
        <v/>
      </c>
      <c r="AG2931" s="21">
        <f>DATE(YEAR(G2931),MONTH(G2931),1)</f>
        <v/>
      </c>
    </row>
    <row r="2932">
      <c r="A2932" t="inlineStr">
        <is>
          <t>SPO-01576-1</t>
        </is>
      </c>
      <c r="B2932" t="inlineStr">
        <is>
          <t>SPO-01576</t>
        </is>
      </c>
      <c r="C2932" t="inlineStr">
        <is>
          <t>SUP-14</t>
        </is>
      </c>
      <c r="D2932" t="inlineStr">
        <is>
          <t>FLEET</t>
        </is>
      </c>
      <c r="E2932" t="inlineStr">
        <is>
          <t>FLEET-05</t>
        </is>
      </c>
      <c r="F2932" s="17" t="n">
        <v>46002</v>
      </c>
      <c r="G2932" s="17" t="n">
        <v>46016</v>
      </c>
      <c r="H2932" s="18" t="n">
        <v>8</v>
      </c>
      <c r="I2932" s="19" t="n">
        <v>174.53</v>
      </c>
      <c r="J2932" s="19" t="n">
        <v>168</v>
      </c>
      <c r="K2932" s="20" t="n">
        <v>0</v>
      </c>
      <c r="L2932" s="20" t="n">
        <v>0</v>
      </c>
      <c r="M2932" s="18" t="n">
        <v>8</v>
      </c>
      <c r="N2932" s="18" t="n">
        <v>0</v>
      </c>
      <c r="O2932" s="18" t="n">
        <v>0</v>
      </c>
      <c r="P2932" s="17" t="n">
        <v>46017</v>
      </c>
      <c r="Q2932" s="17" t="n">
        <v>46017</v>
      </c>
      <c r="R2932" s="17" t="n">
        <v>46017</v>
      </c>
      <c r="S2932" s="19">
        <f>H2932*I2932</f>
        <v/>
      </c>
      <c r="T2932" s="19">
        <f>H2932*J2932</f>
        <v/>
      </c>
      <c r="U2932">
        <f>IF(AND(K2932=0,G2932&lt;=Assumptions!$C$6),1,0)</f>
        <v/>
      </c>
      <c r="V2932">
        <f>IF(U2932=1,IF(M2932&gt;0,IF(P2932&lt;=G2932+Assumptions!$C$7,1,0),0),0)</f>
        <v/>
      </c>
      <c r="W2932">
        <f>IF(AND(U2932=1,M2932&gt;=H2932*(1-Assumptions!$C$8)),1,0)</f>
        <v/>
      </c>
      <c r="X2932">
        <f>IF(AND(U2932=1,N2932&gt;=H2932*(1-Assumptions!$C$8)),1,0)</f>
        <v/>
      </c>
      <c r="Y2932">
        <f>IF(ISNUMBER(Q2932),1,0)</f>
        <v/>
      </c>
      <c r="Z2932">
        <f>IF(AND(K2932=0,L2932=0,Y2932=0),1,0)</f>
        <v/>
      </c>
      <c r="AA2932">
        <f>IF(AND(Z2932=1,G2932&lt;Assumptions!$C$6),1,0)</f>
        <v/>
      </c>
      <c r="AB2932">
        <f>IF(U2932=0,"",IF(Y2932=1,MAX(0,Q2932-G2932),IF(L2932=1,MAX(0,R2932-G2932),MAX(0,Assumptions!$C$6-G2932))))</f>
        <v/>
      </c>
      <c r="AC2932">
        <f>IF(Y2932=1,Q2932-F2932,"")</f>
        <v/>
      </c>
      <c r="AD2932">
        <f>IF(Y2932=1,AC2932^2,"")</f>
        <v/>
      </c>
      <c r="AE2932" s="19">
        <f>IF(Z2932=1,(H2932-M2932)*I2932,0)</f>
        <v/>
      </c>
      <c r="AF2932">
        <f>IF(G2932&lt;EDATE(Assumptions!$C$6,-12)+1,"prior_12m","last_12m")</f>
        <v/>
      </c>
      <c r="AG2932" s="21">
        <f>DATE(YEAR(G2932),MONTH(G2932),1)</f>
        <v/>
      </c>
    </row>
    <row r="2933">
      <c r="A2933" t="inlineStr">
        <is>
          <t>SPO-01576-2</t>
        </is>
      </c>
      <c r="B2933" t="inlineStr">
        <is>
          <t>SPO-01576</t>
        </is>
      </c>
      <c r="C2933" t="inlineStr">
        <is>
          <t>SUP-14</t>
        </is>
      </c>
      <c r="D2933" t="inlineStr">
        <is>
          <t>FLEET</t>
        </is>
      </c>
      <c r="E2933" t="inlineStr">
        <is>
          <t>FLEET-06</t>
        </is>
      </c>
      <c r="F2933" s="17" t="n">
        <v>46002</v>
      </c>
      <c r="G2933" s="17" t="n">
        <v>46016</v>
      </c>
      <c r="H2933" s="18" t="n">
        <v>64</v>
      </c>
      <c r="I2933" s="19" t="n">
        <v>31.03</v>
      </c>
      <c r="J2933" s="19" t="n">
        <v>33</v>
      </c>
      <c r="K2933" s="20" t="n">
        <v>0</v>
      </c>
      <c r="L2933" s="20" t="n">
        <v>0</v>
      </c>
      <c r="M2933" s="18" t="n">
        <v>64</v>
      </c>
      <c r="N2933" s="18" t="n">
        <v>64</v>
      </c>
      <c r="O2933" s="18" t="n">
        <v>0</v>
      </c>
      <c r="P2933" s="17" t="n">
        <v>46009</v>
      </c>
      <c r="Q2933" s="17" t="n">
        <v>46009</v>
      </c>
      <c r="R2933" s="17" t="n">
        <v>46009</v>
      </c>
      <c r="S2933" s="19">
        <f>H2933*I2933</f>
        <v/>
      </c>
      <c r="T2933" s="19">
        <f>H2933*J2933</f>
        <v/>
      </c>
      <c r="U2933">
        <f>IF(AND(K2933=0,G2933&lt;=Assumptions!$C$6),1,0)</f>
        <v/>
      </c>
      <c r="V2933">
        <f>IF(U2933=1,IF(M2933&gt;0,IF(P2933&lt;=G2933+Assumptions!$C$7,1,0),0),0)</f>
        <v/>
      </c>
      <c r="W2933">
        <f>IF(AND(U2933=1,M2933&gt;=H2933*(1-Assumptions!$C$8)),1,0)</f>
        <v/>
      </c>
      <c r="X2933">
        <f>IF(AND(U2933=1,N2933&gt;=H2933*(1-Assumptions!$C$8)),1,0)</f>
        <v/>
      </c>
      <c r="Y2933">
        <f>IF(ISNUMBER(Q2933),1,0)</f>
        <v/>
      </c>
      <c r="Z2933">
        <f>IF(AND(K2933=0,L2933=0,Y2933=0),1,0)</f>
        <v/>
      </c>
      <c r="AA2933">
        <f>IF(AND(Z2933=1,G2933&lt;Assumptions!$C$6),1,0)</f>
        <v/>
      </c>
      <c r="AB2933">
        <f>IF(U2933=0,"",IF(Y2933=1,MAX(0,Q2933-G2933),IF(L2933=1,MAX(0,R2933-G2933),MAX(0,Assumptions!$C$6-G2933))))</f>
        <v/>
      </c>
      <c r="AC2933">
        <f>IF(Y2933=1,Q2933-F2933,"")</f>
        <v/>
      </c>
      <c r="AD2933">
        <f>IF(Y2933=1,AC2933^2,"")</f>
        <v/>
      </c>
      <c r="AE2933" s="19">
        <f>IF(Z2933=1,(H2933-M2933)*I2933,0)</f>
        <v/>
      </c>
      <c r="AF2933">
        <f>IF(G2933&lt;EDATE(Assumptions!$C$6,-12)+1,"prior_12m","last_12m")</f>
        <v/>
      </c>
      <c r="AG2933" s="21">
        <f>DATE(YEAR(G2933),MONTH(G2933),1)</f>
        <v/>
      </c>
    </row>
    <row r="2934">
      <c r="A2934" t="inlineStr">
        <is>
          <t>SPO-01576-3</t>
        </is>
      </c>
      <c r="B2934" t="inlineStr">
        <is>
          <t>SPO-01576</t>
        </is>
      </c>
      <c r="C2934" t="inlineStr">
        <is>
          <t>SUP-14</t>
        </is>
      </c>
      <c r="D2934" t="inlineStr">
        <is>
          <t>FLEET</t>
        </is>
      </c>
      <c r="E2934" t="inlineStr">
        <is>
          <t>FLEET-01</t>
        </is>
      </c>
      <c r="F2934" s="17" t="n">
        <v>46002</v>
      </c>
      <c r="G2934" s="17" t="n">
        <v>46016</v>
      </c>
      <c r="H2934" s="18" t="n">
        <v>23</v>
      </c>
      <c r="I2934" s="19" t="n">
        <v>64.5</v>
      </c>
      <c r="J2934" s="19" t="n">
        <v>64</v>
      </c>
      <c r="K2934" s="20" t="n">
        <v>0</v>
      </c>
      <c r="L2934" s="20" t="n">
        <v>0</v>
      </c>
      <c r="M2934" s="18" t="n">
        <v>23</v>
      </c>
      <c r="N2934" s="18" t="n">
        <v>23</v>
      </c>
      <c r="O2934" s="18" t="n">
        <v>0</v>
      </c>
      <c r="P2934" s="17" t="n">
        <v>46016</v>
      </c>
      <c r="Q2934" s="17" t="n">
        <v>46016</v>
      </c>
      <c r="R2934" s="17" t="n">
        <v>46016</v>
      </c>
      <c r="S2934" s="19">
        <f>H2934*I2934</f>
        <v/>
      </c>
      <c r="T2934" s="19">
        <f>H2934*J2934</f>
        <v/>
      </c>
      <c r="U2934">
        <f>IF(AND(K2934=0,G2934&lt;=Assumptions!$C$6),1,0)</f>
        <v/>
      </c>
      <c r="V2934">
        <f>IF(U2934=1,IF(M2934&gt;0,IF(P2934&lt;=G2934+Assumptions!$C$7,1,0),0),0)</f>
        <v/>
      </c>
      <c r="W2934">
        <f>IF(AND(U2934=1,M2934&gt;=H2934*(1-Assumptions!$C$8)),1,0)</f>
        <v/>
      </c>
      <c r="X2934">
        <f>IF(AND(U2934=1,N2934&gt;=H2934*(1-Assumptions!$C$8)),1,0)</f>
        <v/>
      </c>
      <c r="Y2934">
        <f>IF(ISNUMBER(Q2934),1,0)</f>
        <v/>
      </c>
      <c r="Z2934">
        <f>IF(AND(K2934=0,L2934=0,Y2934=0),1,0)</f>
        <v/>
      </c>
      <c r="AA2934">
        <f>IF(AND(Z2934=1,G2934&lt;Assumptions!$C$6),1,0)</f>
        <v/>
      </c>
      <c r="AB2934">
        <f>IF(U2934=0,"",IF(Y2934=1,MAX(0,Q2934-G2934),IF(L2934=1,MAX(0,R2934-G2934),MAX(0,Assumptions!$C$6-G2934))))</f>
        <v/>
      </c>
      <c r="AC2934">
        <f>IF(Y2934=1,Q2934-F2934,"")</f>
        <v/>
      </c>
      <c r="AD2934">
        <f>IF(Y2934=1,AC2934^2,"")</f>
        <v/>
      </c>
      <c r="AE2934" s="19">
        <f>IF(Z2934=1,(H2934-M2934)*I2934,0)</f>
        <v/>
      </c>
      <c r="AF2934">
        <f>IF(G2934&lt;EDATE(Assumptions!$C$6,-12)+1,"prior_12m","last_12m")</f>
        <v/>
      </c>
      <c r="AG2934" s="21">
        <f>DATE(YEAR(G2934),MONTH(G2934),1)</f>
        <v/>
      </c>
    </row>
    <row r="2935">
      <c r="A2935" t="inlineStr">
        <is>
          <t>SPO-01577-1</t>
        </is>
      </c>
      <c r="B2935" t="inlineStr">
        <is>
          <t>SPO-01577</t>
        </is>
      </c>
      <c r="C2935" t="inlineStr">
        <is>
          <t>SUP-06</t>
        </is>
      </c>
      <c r="D2935" t="inlineStr">
        <is>
          <t>MRO</t>
        </is>
      </c>
      <c r="E2935" t="inlineStr">
        <is>
          <t>MRO-08</t>
        </is>
      </c>
      <c r="F2935" s="17" t="n">
        <v>46002</v>
      </c>
      <c r="G2935" s="17" t="n">
        <v>46010</v>
      </c>
      <c r="H2935" s="18" t="n">
        <v>332</v>
      </c>
      <c r="I2935" s="19" t="n">
        <v>7.37</v>
      </c>
      <c r="J2935" s="19" t="n">
        <v>7.2</v>
      </c>
      <c r="K2935" s="20" t="n">
        <v>0</v>
      </c>
      <c r="L2935" s="20" t="n">
        <v>0</v>
      </c>
      <c r="M2935" s="18" t="n">
        <v>332</v>
      </c>
      <c r="N2935" s="18" t="n">
        <v>332</v>
      </c>
      <c r="O2935" s="18" t="n">
        <v>0</v>
      </c>
      <c r="P2935" s="17" t="n">
        <v>46009</v>
      </c>
      <c r="Q2935" s="17" t="n">
        <v>46009</v>
      </c>
      <c r="R2935" s="17" t="n">
        <v>46009</v>
      </c>
      <c r="S2935" s="19">
        <f>H2935*I2935</f>
        <v/>
      </c>
      <c r="T2935" s="19">
        <f>H2935*J2935</f>
        <v/>
      </c>
      <c r="U2935">
        <f>IF(AND(K2935=0,G2935&lt;=Assumptions!$C$6),1,0)</f>
        <v/>
      </c>
      <c r="V2935">
        <f>IF(U2935=1,IF(M2935&gt;0,IF(P2935&lt;=G2935+Assumptions!$C$7,1,0),0),0)</f>
        <v/>
      </c>
      <c r="W2935">
        <f>IF(AND(U2935=1,M2935&gt;=H2935*(1-Assumptions!$C$8)),1,0)</f>
        <v/>
      </c>
      <c r="X2935">
        <f>IF(AND(U2935=1,N2935&gt;=H2935*(1-Assumptions!$C$8)),1,0)</f>
        <v/>
      </c>
      <c r="Y2935">
        <f>IF(ISNUMBER(Q2935),1,0)</f>
        <v/>
      </c>
      <c r="Z2935">
        <f>IF(AND(K2935=0,L2935=0,Y2935=0),1,0)</f>
        <v/>
      </c>
      <c r="AA2935">
        <f>IF(AND(Z2935=1,G2935&lt;Assumptions!$C$6),1,0)</f>
        <v/>
      </c>
      <c r="AB2935">
        <f>IF(U2935=0,"",IF(Y2935=1,MAX(0,Q2935-G2935),IF(L2935=1,MAX(0,R2935-G2935),MAX(0,Assumptions!$C$6-G2935))))</f>
        <v/>
      </c>
      <c r="AC2935">
        <f>IF(Y2935=1,Q2935-F2935,"")</f>
        <v/>
      </c>
      <c r="AD2935">
        <f>IF(Y2935=1,AC2935^2,"")</f>
        <v/>
      </c>
      <c r="AE2935" s="19">
        <f>IF(Z2935=1,(H2935-M2935)*I2935,0)</f>
        <v/>
      </c>
      <c r="AF2935">
        <f>IF(G2935&lt;EDATE(Assumptions!$C$6,-12)+1,"prior_12m","last_12m")</f>
        <v/>
      </c>
      <c r="AG2935" s="21">
        <f>DATE(YEAR(G2935),MONTH(G2935),1)</f>
        <v/>
      </c>
    </row>
    <row r="2936">
      <c r="A2936" t="inlineStr">
        <is>
          <t>SPO-01577-2</t>
        </is>
      </c>
      <c r="B2936" t="inlineStr">
        <is>
          <t>SPO-01577</t>
        </is>
      </c>
      <c r="C2936" t="inlineStr">
        <is>
          <t>SUP-06</t>
        </is>
      </c>
      <c r="D2936" t="inlineStr">
        <is>
          <t>MRO</t>
        </is>
      </c>
      <c r="E2936" t="inlineStr">
        <is>
          <t>MRO-03</t>
        </is>
      </c>
      <c r="F2936" s="17" t="n">
        <v>46002</v>
      </c>
      <c r="G2936" s="17" t="n">
        <v>46010</v>
      </c>
      <c r="H2936" s="18" t="n">
        <v>78</v>
      </c>
      <c r="I2936" s="19" t="n">
        <v>8.44</v>
      </c>
      <c r="J2936" s="19" t="n">
        <v>8.9</v>
      </c>
      <c r="K2936" s="20" t="n">
        <v>1</v>
      </c>
      <c r="L2936" s="20" t="n">
        <v>0</v>
      </c>
      <c r="M2936" s="18" t="n">
        <v>0</v>
      </c>
      <c r="N2936" s="18" t="n">
        <v>0</v>
      </c>
      <c r="O2936" s="18" t="n">
        <v>0</v>
      </c>
      <c r="P2936" s="17" t="n"/>
      <c r="Q2936" s="17" t="n"/>
      <c r="R2936" s="17" t="n"/>
      <c r="S2936" s="19">
        <f>H2936*I2936</f>
        <v/>
      </c>
      <c r="T2936" s="19">
        <f>H2936*J2936</f>
        <v/>
      </c>
      <c r="U2936">
        <f>IF(AND(K2936=0,G2936&lt;=Assumptions!$C$6),1,0)</f>
        <v/>
      </c>
      <c r="V2936">
        <f>IF(U2936=1,IF(M2936&gt;0,IF(P2936&lt;=G2936+Assumptions!$C$7,1,0),0),0)</f>
        <v/>
      </c>
      <c r="W2936">
        <f>IF(AND(U2936=1,M2936&gt;=H2936*(1-Assumptions!$C$8)),1,0)</f>
        <v/>
      </c>
      <c r="X2936">
        <f>IF(AND(U2936=1,N2936&gt;=H2936*(1-Assumptions!$C$8)),1,0)</f>
        <v/>
      </c>
      <c r="Y2936">
        <f>IF(ISNUMBER(Q2936),1,0)</f>
        <v/>
      </c>
      <c r="Z2936">
        <f>IF(AND(K2936=0,L2936=0,Y2936=0),1,0)</f>
        <v/>
      </c>
      <c r="AA2936">
        <f>IF(AND(Z2936=1,G2936&lt;Assumptions!$C$6),1,0)</f>
        <v/>
      </c>
      <c r="AB2936">
        <f>IF(U2936=0,"",IF(Y2936=1,MAX(0,Q2936-G2936),IF(L2936=1,MAX(0,R2936-G2936),MAX(0,Assumptions!$C$6-G2936))))</f>
        <v/>
      </c>
      <c r="AC2936">
        <f>IF(Y2936=1,Q2936-F2936,"")</f>
        <v/>
      </c>
      <c r="AD2936">
        <f>IF(Y2936=1,AC2936^2,"")</f>
        <v/>
      </c>
      <c r="AE2936" s="19">
        <f>IF(Z2936=1,(H2936-M2936)*I2936,0)</f>
        <v/>
      </c>
      <c r="AF2936">
        <f>IF(G2936&lt;EDATE(Assumptions!$C$6,-12)+1,"prior_12m","last_12m")</f>
        <v/>
      </c>
      <c r="AG2936" s="21">
        <f>DATE(YEAR(G2936),MONTH(G2936),1)</f>
        <v/>
      </c>
    </row>
    <row r="2937">
      <c r="A2937" t="inlineStr">
        <is>
          <t>SPO-01577-3</t>
        </is>
      </c>
      <c r="B2937" t="inlineStr">
        <is>
          <t>SPO-01577</t>
        </is>
      </c>
      <c r="C2937" t="inlineStr">
        <is>
          <t>SUP-06</t>
        </is>
      </c>
      <c r="D2937" t="inlineStr">
        <is>
          <t>MRO</t>
        </is>
      </c>
      <c r="E2937" t="inlineStr">
        <is>
          <t>MRO-02</t>
        </is>
      </c>
      <c r="F2937" s="17" t="n">
        <v>46002</v>
      </c>
      <c r="G2937" s="17" t="n">
        <v>46010</v>
      </c>
      <c r="H2937" s="18" t="n">
        <v>35</v>
      </c>
      <c r="I2937" s="19" t="n">
        <v>40.83</v>
      </c>
      <c r="J2937" s="19" t="n">
        <v>41</v>
      </c>
      <c r="K2937" s="20" t="n">
        <v>0</v>
      </c>
      <c r="L2937" s="20" t="n">
        <v>0</v>
      </c>
      <c r="M2937" s="18" t="n">
        <v>35</v>
      </c>
      <c r="N2937" s="18" t="n">
        <v>35</v>
      </c>
      <c r="O2937" s="18" t="n">
        <v>0</v>
      </c>
      <c r="P2937" s="17" t="n">
        <v>46008</v>
      </c>
      <c r="Q2937" s="17" t="n">
        <v>46008</v>
      </c>
      <c r="R2937" s="17" t="n">
        <v>46008</v>
      </c>
      <c r="S2937" s="19">
        <f>H2937*I2937</f>
        <v/>
      </c>
      <c r="T2937" s="19">
        <f>H2937*J2937</f>
        <v/>
      </c>
      <c r="U2937">
        <f>IF(AND(K2937=0,G2937&lt;=Assumptions!$C$6),1,0)</f>
        <v/>
      </c>
      <c r="V2937">
        <f>IF(U2937=1,IF(M2937&gt;0,IF(P2937&lt;=G2937+Assumptions!$C$7,1,0),0),0)</f>
        <v/>
      </c>
      <c r="W2937">
        <f>IF(AND(U2937=1,M2937&gt;=H2937*(1-Assumptions!$C$8)),1,0)</f>
        <v/>
      </c>
      <c r="X2937">
        <f>IF(AND(U2937=1,N2937&gt;=H2937*(1-Assumptions!$C$8)),1,0)</f>
        <v/>
      </c>
      <c r="Y2937">
        <f>IF(ISNUMBER(Q2937),1,0)</f>
        <v/>
      </c>
      <c r="Z2937">
        <f>IF(AND(K2937=0,L2937=0,Y2937=0),1,0)</f>
        <v/>
      </c>
      <c r="AA2937">
        <f>IF(AND(Z2937=1,G2937&lt;Assumptions!$C$6),1,0)</f>
        <v/>
      </c>
      <c r="AB2937">
        <f>IF(U2937=0,"",IF(Y2937=1,MAX(0,Q2937-G2937),IF(L2937=1,MAX(0,R2937-G2937),MAX(0,Assumptions!$C$6-G2937))))</f>
        <v/>
      </c>
      <c r="AC2937">
        <f>IF(Y2937=1,Q2937-F2937,"")</f>
        <v/>
      </c>
      <c r="AD2937">
        <f>IF(Y2937=1,AC2937^2,"")</f>
        <v/>
      </c>
      <c r="AE2937" s="19">
        <f>IF(Z2937=1,(H2937-M2937)*I2937,0)</f>
        <v/>
      </c>
      <c r="AF2937">
        <f>IF(G2937&lt;EDATE(Assumptions!$C$6,-12)+1,"prior_12m","last_12m")</f>
        <v/>
      </c>
      <c r="AG2937" s="21">
        <f>DATE(YEAR(G2937),MONTH(G2937),1)</f>
        <v/>
      </c>
    </row>
    <row r="2938">
      <c r="A2938" t="inlineStr">
        <is>
          <t>SPO-01578-1</t>
        </is>
      </c>
      <c r="B2938" t="inlineStr">
        <is>
          <t>SPO-01578</t>
        </is>
      </c>
      <c r="C2938" t="inlineStr">
        <is>
          <t>SUP-01</t>
        </is>
      </c>
      <c r="D2938" t="inlineStr">
        <is>
          <t>ELEC</t>
        </is>
      </c>
      <c r="E2938" t="inlineStr">
        <is>
          <t>ELEC-07</t>
        </is>
      </c>
      <c r="F2938" s="17" t="n">
        <v>46002</v>
      </c>
      <c r="G2938" s="17" t="n">
        <v>46020</v>
      </c>
      <c r="H2938" s="18" t="n">
        <v>134</v>
      </c>
      <c r="I2938" s="19" t="n">
        <v>9.449999999999999</v>
      </c>
      <c r="J2938" s="19" t="n">
        <v>9.800000000000001</v>
      </c>
      <c r="K2938" s="20" t="n">
        <v>0</v>
      </c>
      <c r="L2938" s="20" t="n">
        <v>0</v>
      </c>
      <c r="M2938" s="18" t="n">
        <v>134</v>
      </c>
      <c r="N2938" s="18" t="n">
        <v>134</v>
      </c>
      <c r="O2938" s="18" t="n">
        <v>0</v>
      </c>
      <c r="P2938" s="17" t="n">
        <v>46017</v>
      </c>
      <c r="Q2938" s="17" t="n">
        <v>46017</v>
      </c>
      <c r="R2938" s="17" t="n">
        <v>46017</v>
      </c>
      <c r="S2938" s="19">
        <f>H2938*I2938</f>
        <v/>
      </c>
      <c r="T2938" s="19">
        <f>H2938*J2938</f>
        <v/>
      </c>
      <c r="U2938">
        <f>IF(AND(K2938=0,G2938&lt;=Assumptions!$C$6),1,0)</f>
        <v/>
      </c>
      <c r="V2938">
        <f>IF(U2938=1,IF(M2938&gt;0,IF(P2938&lt;=G2938+Assumptions!$C$7,1,0),0),0)</f>
        <v/>
      </c>
      <c r="W2938">
        <f>IF(AND(U2938=1,M2938&gt;=H2938*(1-Assumptions!$C$8)),1,0)</f>
        <v/>
      </c>
      <c r="X2938">
        <f>IF(AND(U2938=1,N2938&gt;=H2938*(1-Assumptions!$C$8)),1,0)</f>
        <v/>
      </c>
      <c r="Y2938">
        <f>IF(ISNUMBER(Q2938),1,0)</f>
        <v/>
      </c>
      <c r="Z2938">
        <f>IF(AND(K2938=0,L2938=0,Y2938=0),1,0)</f>
        <v/>
      </c>
      <c r="AA2938">
        <f>IF(AND(Z2938=1,G2938&lt;Assumptions!$C$6),1,0)</f>
        <v/>
      </c>
      <c r="AB2938">
        <f>IF(U2938=0,"",IF(Y2938=1,MAX(0,Q2938-G2938),IF(L2938=1,MAX(0,R2938-G2938),MAX(0,Assumptions!$C$6-G2938))))</f>
        <v/>
      </c>
      <c r="AC2938">
        <f>IF(Y2938=1,Q2938-F2938,"")</f>
        <v/>
      </c>
      <c r="AD2938">
        <f>IF(Y2938=1,AC2938^2,"")</f>
        <v/>
      </c>
      <c r="AE2938" s="19">
        <f>IF(Z2938=1,(H2938-M2938)*I2938,0)</f>
        <v/>
      </c>
      <c r="AF2938">
        <f>IF(G2938&lt;EDATE(Assumptions!$C$6,-12)+1,"prior_12m","last_12m")</f>
        <v/>
      </c>
      <c r="AG2938" s="21">
        <f>DATE(YEAR(G2938),MONTH(G2938),1)</f>
        <v/>
      </c>
    </row>
    <row r="2939">
      <c r="A2939" t="inlineStr">
        <is>
          <t>SPO-01578-2</t>
        </is>
      </c>
      <c r="B2939" t="inlineStr">
        <is>
          <t>SPO-01578</t>
        </is>
      </c>
      <c r="C2939" t="inlineStr">
        <is>
          <t>SUP-01</t>
        </is>
      </c>
      <c r="D2939" t="inlineStr">
        <is>
          <t>ELEC</t>
        </is>
      </c>
      <c r="E2939" t="inlineStr">
        <is>
          <t>ELEC-08</t>
        </is>
      </c>
      <c r="F2939" s="17" t="n">
        <v>46002</v>
      </c>
      <c r="G2939" s="17" t="n">
        <v>46020</v>
      </c>
      <c r="H2939" s="18" t="n">
        <v>146</v>
      </c>
      <c r="I2939" s="19" t="n">
        <v>18.19</v>
      </c>
      <c r="J2939" s="19" t="n">
        <v>18</v>
      </c>
      <c r="K2939" s="20" t="n">
        <v>0</v>
      </c>
      <c r="L2939" s="20" t="n">
        <v>0</v>
      </c>
      <c r="M2939" s="18" t="n">
        <v>146</v>
      </c>
      <c r="N2939" s="18" t="n">
        <v>146</v>
      </c>
      <c r="O2939" s="18" t="n">
        <v>0</v>
      </c>
      <c r="P2939" s="17" t="n">
        <v>46020</v>
      </c>
      <c r="Q2939" s="17" t="n">
        <v>46020</v>
      </c>
      <c r="R2939" s="17" t="n">
        <v>46020</v>
      </c>
      <c r="S2939" s="19">
        <f>H2939*I2939</f>
        <v/>
      </c>
      <c r="T2939" s="19">
        <f>H2939*J2939</f>
        <v/>
      </c>
      <c r="U2939">
        <f>IF(AND(K2939=0,G2939&lt;=Assumptions!$C$6),1,0)</f>
        <v/>
      </c>
      <c r="V2939">
        <f>IF(U2939=1,IF(M2939&gt;0,IF(P2939&lt;=G2939+Assumptions!$C$7,1,0),0),0)</f>
        <v/>
      </c>
      <c r="W2939">
        <f>IF(AND(U2939=1,M2939&gt;=H2939*(1-Assumptions!$C$8)),1,0)</f>
        <v/>
      </c>
      <c r="X2939">
        <f>IF(AND(U2939=1,N2939&gt;=H2939*(1-Assumptions!$C$8)),1,0)</f>
        <v/>
      </c>
      <c r="Y2939">
        <f>IF(ISNUMBER(Q2939),1,0)</f>
        <v/>
      </c>
      <c r="Z2939">
        <f>IF(AND(K2939=0,L2939=0,Y2939=0),1,0)</f>
        <v/>
      </c>
      <c r="AA2939">
        <f>IF(AND(Z2939=1,G2939&lt;Assumptions!$C$6),1,0)</f>
        <v/>
      </c>
      <c r="AB2939">
        <f>IF(U2939=0,"",IF(Y2939=1,MAX(0,Q2939-G2939),IF(L2939=1,MAX(0,R2939-G2939),MAX(0,Assumptions!$C$6-G2939))))</f>
        <v/>
      </c>
      <c r="AC2939">
        <f>IF(Y2939=1,Q2939-F2939,"")</f>
        <v/>
      </c>
      <c r="AD2939">
        <f>IF(Y2939=1,AC2939^2,"")</f>
        <v/>
      </c>
      <c r="AE2939" s="19">
        <f>IF(Z2939=1,(H2939-M2939)*I2939,0)</f>
        <v/>
      </c>
      <c r="AF2939">
        <f>IF(G2939&lt;EDATE(Assumptions!$C$6,-12)+1,"prior_12m","last_12m")</f>
        <v/>
      </c>
      <c r="AG2939" s="21">
        <f>DATE(YEAR(G2939),MONTH(G2939),1)</f>
        <v/>
      </c>
    </row>
    <row r="2940">
      <c r="A2940" t="inlineStr">
        <is>
          <t>SPO-01579-1</t>
        </is>
      </c>
      <c r="B2940" t="inlineStr">
        <is>
          <t>SPO-01579</t>
        </is>
      </c>
      <c r="C2940" t="inlineStr">
        <is>
          <t>SUP-12</t>
        </is>
      </c>
      <c r="D2940" t="inlineStr">
        <is>
          <t>IT</t>
        </is>
      </c>
      <c r="E2940" t="inlineStr">
        <is>
          <t>IT-04</t>
        </is>
      </c>
      <c r="F2940" s="17" t="n">
        <v>46003</v>
      </c>
      <c r="G2940" s="17" t="n">
        <v>46013</v>
      </c>
      <c r="H2940" s="18" t="n">
        <v>175</v>
      </c>
      <c r="I2940" s="19" t="n">
        <v>13.25</v>
      </c>
      <c r="J2940" s="19" t="n">
        <v>12</v>
      </c>
      <c r="K2940" s="20" t="n">
        <v>0</v>
      </c>
      <c r="L2940" s="20" t="n">
        <v>0</v>
      </c>
      <c r="M2940" s="18" t="n">
        <v>175</v>
      </c>
      <c r="N2940" s="18" t="n">
        <v>175</v>
      </c>
      <c r="O2940" s="18" t="n">
        <v>0</v>
      </c>
      <c r="P2940" s="17" t="n">
        <v>46013</v>
      </c>
      <c r="Q2940" s="17" t="n">
        <v>46013</v>
      </c>
      <c r="R2940" s="17" t="n">
        <v>46013</v>
      </c>
      <c r="S2940" s="19">
        <f>H2940*I2940</f>
        <v/>
      </c>
      <c r="T2940" s="19">
        <f>H2940*J2940</f>
        <v/>
      </c>
      <c r="U2940">
        <f>IF(AND(K2940=0,G2940&lt;=Assumptions!$C$6),1,0)</f>
        <v/>
      </c>
      <c r="V2940">
        <f>IF(U2940=1,IF(M2940&gt;0,IF(P2940&lt;=G2940+Assumptions!$C$7,1,0),0),0)</f>
        <v/>
      </c>
      <c r="W2940">
        <f>IF(AND(U2940=1,M2940&gt;=H2940*(1-Assumptions!$C$8)),1,0)</f>
        <v/>
      </c>
      <c r="X2940">
        <f>IF(AND(U2940=1,N2940&gt;=H2940*(1-Assumptions!$C$8)),1,0)</f>
        <v/>
      </c>
      <c r="Y2940">
        <f>IF(ISNUMBER(Q2940),1,0)</f>
        <v/>
      </c>
      <c r="Z2940">
        <f>IF(AND(K2940=0,L2940=0,Y2940=0),1,0)</f>
        <v/>
      </c>
      <c r="AA2940">
        <f>IF(AND(Z2940=1,G2940&lt;Assumptions!$C$6),1,0)</f>
        <v/>
      </c>
      <c r="AB2940">
        <f>IF(U2940=0,"",IF(Y2940=1,MAX(0,Q2940-G2940),IF(L2940=1,MAX(0,R2940-G2940),MAX(0,Assumptions!$C$6-G2940))))</f>
        <v/>
      </c>
      <c r="AC2940">
        <f>IF(Y2940=1,Q2940-F2940,"")</f>
        <v/>
      </c>
      <c r="AD2940">
        <f>IF(Y2940=1,AC2940^2,"")</f>
        <v/>
      </c>
      <c r="AE2940" s="19">
        <f>IF(Z2940=1,(H2940-M2940)*I2940,0)</f>
        <v/>
      </c>
      <c r="AF2940">
        <f>IF(G2940&lt;EDATE(Assumptions!$C$6,-12)+1,"prior_12m","last_12m")</f>
        <v/>
      </c>
      <c r="AG2940" s="21">
        <f>DATE(YEAR(G2940),MONTH(G2940),1)</f>
        <v/>
      </c>
    </row>
    <row r="2941">
      <c r="A2941" t="inlineStr">
        <is>
          <t>SPO-01579-2</t>
        </is>
      </c>
      <c r="B2941" t="inlineStr">
        <is>
          <t>SPO-01579</t>
        </is>
      </c>
      <c r="C2941" t="inlineStr">
        <is>
          <t>SUP-12</t>
        </is>
      </c>
      <c r="D2941" t="inlineStr">
        <is>
          <t>IT</t>
        </is>
      </c>
      <c r="E2941" t="inlineStr">
        <is>
          <t>IT-05</t>
        </is>
      </c>
      <c r="F2941" s="17" t="n">
        <v>46003</v>
      </c>
      <c r="G2941" s="17" t="n">
        <v>46013</v>
      </c>
      <c r="H2941" s="18" t="n">
        <v>2</v>
      </c>
      <c r="I2941" s="19" t="n">
        <v>708.03</v>
      </c>
      <c r="J2941" s="19" t="n">
        <v>640</v>
      </c>
      <c r="K2941" s="20" t="n">
        <v>0</v>
      </c>
      <c r="L2941" s="20" t="n">
        <v>0</v>
      </c>
      <c r="M2941" s="18" t="n">
        <v>2</v>
      </c>
      <c r="N2941" s="18" t="n">
        <v>2</v>
      </c>
      <c r="O2941" s="18" t="n">
        <v>0</v>
      </c>
      <c r="P2941" s="17" t="n">
        <v>46012</v>
      </c>
      <c r="Q2941" s="17" t="n">
        <v>46012</v>
      </c>
      <c r="R2941" s="17" t="n">
        <v>46012</v>
      </c>
      <c r="S2941" s="19">
        <f>H2941*I2941</f>
        <v/>
      </c>
      <c r="T2941" s="19">
        <f>H2941*J2941</f>
        <v/>
      </c>
      <c r="U2941">
        <f>IF(AND(K2941=0,G2941&lt;=Assumptions!$C$6),1,0)</f>
        <v/>
      </c>
      <c r="V2941">
        <f>IF(U2941=1,IF(M2941&gt;0,IF(P2941&lt;=G2941+Assumptions!$C$7,1,0),0),0)</f>
        <v/>
      </c>
      <c r="W2941">
        <f>IF(AND(U2941=1,M2941&gt;=H2941*(1-Assumptions!$C$8)),1,0)</f>
        <v/>
      </c>
      <c r="X2941">
        <f>IF(AND(U2941=1,N2941&gt;=H2941*(1-Assumptions!$C$8)),1,0)</f>
        <v/>
      </c>
      <c r="Y2941">
        <f>IF(ISNUMBER(Q2941),1,0)</f>
        <v/>
      </c>
      <c r="Z2941">
        <f>IF(AND(K2941=0,L2941=0,Y2941=0),1,0)</f>
        <v/>
      </c>
      <c r="AA2941">
        <f>IF(AND(Z2941=1,G2941&lt;Assumptions!$C$6),1,0)</f>
        <v/>
      </c>
      <c r="AB2941">
        <f>IF(U2941=0,"",IF(Y2941=1,MAX(0,Q2941-G2941),IF(L2941=1,MAX(0,R2941-G2941),MAX(0,Assumptions!$C$6-G2941))))</f>
        <v/>
      </c>
      <c r="AC2941">
        <f>IF(Y2941=1,Q2941-F2941,"")</f>
        <v/>
      </c>
      <c r="AD2941">
        <f>IF(Y2941=1,AC2941^2,"")</f>
        <v/>
      </c>
      <c r="AE2941" s="19">
        <f>IF(Z2941=1,(H2941-M2941)*I2941,0)</f>
        <v/>
      </c>
      <c r="AF2941">
        <f>IF(G2941&lt;EDATE(Assumptions!$C$6,-12)+1,"prior_12m","last_12m")</f>
        <v/>
      </c>
      <c r="AG2941" s="21">
        <f>DATE(YEAR(G2941),MONTH(G2941),1)</f>
        <v/>
      </c>
    </row>
    <row r="2942">
      <c r="A2942" t="inlineStr">
        <is>
          <t>SPO-01579-3</t>
        </is>
      </c>
      <c r="B2942" t="inlineStr">
        <is>
          <t>SPO-01579</t>
        </is>
      </c>
      <c r="C2942" t="inlineStr">
        <is>
          <t>SUP-12</t>
        </is>
      </c>
      <c r="D2942" t="inlineStr">
        <is>
          <t>IT</t>
        </is>
      </c>
      <c r="E2942" t="inlineStr">
        <is>
          <t>IT-07</t>
        </is>
      </c>
      <c r="F2942" s="17" t="n">
        <v>46003</v>
      </c>
      <c r="G2942" s="17" t="n">
        <v>46013</v>
      </c>
      <c r="H2942" s="18" t="n">
        <v>33</v>
      </c>
      <c r="I2942" s="19" t="n">
        <v>85.77</v>
      </c>
      <c r="J2942" s="19" t="n">
        <v>74</v>
      </c>
      <c r="K2942" s="20" t="n">
        <v>0</v>
      </c>
      <c r="L2942" s="20" t="n">
        <v>0</v>
      </c>
      <c r="M2942" s="18" t="n">
        <v>33</v>
      </c>
      <c r="N2942" s="18" t="n">
        <v>33</v>
      </c>
      <c r="O2942" s="18" t="n">
        <v>0</v>
      </c>
      <c r="P2942" s="17" t="n">
        <v>46007</v>
      </c>
      <c r="Q2942" s="17" t="n">
        <v>46007</v>
      </c>
      <c r="R2942" s="17" t="n">
        <v>46007</v>
      </c>
      <c r="S2942" s="19">
        <f>H2942*I2942</f>
        <v/>
      </c>
      <c r="T2942" s="19">
        <f>H2942*J2942</f>
        <v/>
      </c>
      <c r="U2942">
        <f>IF(AND(K2942=0,G2942&lt;=Assumptions!$C$6),1,0)</f>
        <v/>
      </c>
      <c r="V2942">
        <f>IF(U2942=1,IF(M2942&gt;0,IF(P2942&lt;=G2942+Assumptions!$C$7,1,0),0),0)</f>
        <v/>
      </c>
      <c r="W2942">
        <f>IF(AND(U2942=1,M2942&gt;=H2942*(1-Assumptions!$C$8)),1,0)</f>
        <v/>
      </c>
      <c r="X2942">
        <f>IF(AND(U2942=1,N2942&gt;=H2942*(1-Assumptions!$C$8)),1,0)</f>
        <v/>
      </c>
      <c r="Y2942">
        <f>IF(ISNUMBER(Q2942),1,0)</f>
        <v/>
      </c>
      <c r="Z2942">
        <f>IF(AND(K2942=0,L2942=0,Y2942=0),1,0)</f>
        <v/>
      </c>
      <c r="AA2942">
        <f>IF(AND(Z2942=1,G2942&lt;Assumptions!$C$6),1,0)</f>
        <v/>
      </c>
      <c r="AB2942">
        <f>IF(U2942=0,"",IF(Y2942=1,MAX(0,Q2942-G2942),IF(L2942=1,MAX(0,R2942-G2942),MAX(0,Assumptions!$C$6-G2942))))</f>
        <v/>
      </c>
      <c r="AC2942">
        <f>IF(Y2942=1,Q2942-F2942,"")</f>
        <v/>
      </c>
      <c r="AD2942">
        <f>IF(Y2942=1,AC2942^2,"")</f>
        <v/>
      </c>
      <c r="AE2942" s="19">
        <f>IF(Z2942=1,(H2942-M2942)*I2942,0)</f>
        <v/>
      </c>
      <c r="AF2942">
        <f>IF(G2942&lt;EDATE(Assumptions!$C$6,-12)+1,"prior_12m","last_12m")</f>
        <v/>
      </c>
      <c r="AG2942" s="21">
        <f>DATE(YEAR(G2942),MONTH(G2942),1)</f>
        <v/>
      </c>
    </row>
    <row r="2943">
      <c r="A2943" t="inlineStr">
        <is>
          <t>SPO-01579-4</t>
        </is>
      </c>
      <c r="B2943" t="inlineStr">
        <is>
          <t>SPO-01579</t>
        </is>
      </c>
      <c r="C2943" t="inlineStr">
        <is>
          <t>SUP-12</t>
        </is>
      </c>
      <c r="D2943" t="inlineStr">
        <is>
          <t>IT</t>
        </is>
      </c>
      <c r="E2943" t="inlineStr">
        <is>
          <t>IT-01</t>
        </is>
      </c>
      <c r="F2943" s="17" t="n">
        <v>46003</v>
      </c>
      <c r="G2943" s="17" t="n">
        <v>46013</v>
      </c>
      <c r="H2943" s="18" t="n">
        <v>9</v>
      </c>
      <c r="I2943" s="19" t="n">
        <v>227.17</v>
      </c>
      <c r="J2943" s="19" t="n">
        <v>189</v>
      </c>
      <c r="K2943" s="20" t="n">
        <v>0</v>
      </c>
      <c r="L2943" s="20" t="n">
        <v>0</v>
      </c>
      <c r="M2943" s="18" t="n">
        <v>9</v>
      </c>
      <c r="N2943" s="18" t="n">
        <v>9</v>
      </c>
      <c r="O2943" s="18" t="n">
        <v>0</v>
      </c>
      <c r="P2943" s="17" t="n">
        <v>46011</v>
      </c>
      <c r="Q2943" s="17" t="n">
        <v>46011</v>
      </c>
      <c r="R2943" s="17" t="n">
        <v>46011</v>
      </c>
      <c r="S2943" s="19">
        <f>H2943*I2943</f>
        <v/>
      </c>
      <c r="T2943" s="19">
        <f>H2943*J2943</f>
        <v/>
      </c>
      <c r="U2943">
        <f>IF(AND(K2943=0,G2943&lt;=Assumptions!$C$6),1,0)</f>
        <v/>
      </c>
      <c r="V2943">
        <f>IF(U2943=1,IF(M2943&gt;0,IF(P2943&lt;=G2943+Assumptions!$C$7,1,0),0),0)</f>
        <v/>
      </c>
      <c r="W2943">
        <f>IF(AND(U2943=1,M2943&gt;=H2943*(1-Assumptions!$C$8)),1,0)</f>
        <v/>
      </c>
      <c r="X2943">
        <f>IF(AND(U2943=1,N2943&gt;=H2943*(1-Assumptions!$C$8)),1,0)</f>
        <v/>
      </c>
      <c r="Y2943">
        <f>IF(ISNUMBER(Q2943),1,0)</f>
        <v/>
      </c>
      <c r="Z2943">
        <f>IF(AND(K2943=0,L2943=0,Y2943=0),1,0)</f>
        <v/>
      </c>
      <c r="AA2943">
        <f>IF(AND(Z2943=1,G2943&lt;Assumptions!$C$6),1,0)</f>
        <v/>
      </c>
      <c r="AB2943">
        <f>IF(U2943=0,"",IF(Y2943=1,MAX(0,Q2943-G2943),IF(L2943=1,MAX(0,R2943-G2943),MAX(0,Assumptions!$C$6-G2943))))</f>
        <v/>
      </c>
      <c r="AC2943">
        <f>IF(Y2943=1,Q2943-F2943,"")</f>
        <v/>
      </c>
      <c r="AD2943">
        <f>IF(Y2943=1,AC2943^2,"")</f>
        <v/>
      </c>
      <c r="AE2943" s="19">
        <f>IF(Z2943=1,(H2943-M2943)*I2943,0)</f>
        <v/>
      </c>
      <c r="AF2943">
        <f>IF(G2943&lt;EDATE(Assumptions!$C$6,-12)+1,"prior_12m","last_12m")</f>
        <v/>
      </c>
      <c r="AG2943" s="21">
        <f>DATE(YEAR(G2943),MONTH(G2943),1)</f>
        <v/>
      </c>
    </row>
    <row r="2944">
      <c r="A2944" t="inlineStr">
        <is>
          <t>SPO-01580-1</t>
        </is>
      </c>
      <c r="B2944" t="inlineStr">
        <is>
          <t>SPO-01580</t>
        </is>
      </c>
      <c r="C2944" t="inlineStr">
        <is>
          <t>SUP-09</t>
        </is>
      </c>
      <c r="D2944" t="inlineStr">
        <is>
          <t>CHEM</t>
        </is>
      </c>
      <c r="E2944" t="inlineStr">
        <is>
          <t>CHEM-06</t>
        </is>
      </c>
      <c r="F2944" s="17" t="n">
        <v>46003</v>
      </c>
      <c r="G2944" s="17" t="n">
        <v>46017</v>
      </c>
      <c r="H2944" s="18" t="n">
        <v>2</v>
      </c>
      <c r="I2944" s="19" t="n">
        <v>381.37</v>
      </c>
      <c r="J2944" s="19" t="n">
        <v>380</v>
      </c>
      <c r="K2944" s="20" t="n">
        <v>0</v>
      </c>
      <c r="L2944" s="20" t="n">
        <v>0</v>
      </c>
      <c r="M2944" s="18" t="n">
        <v>2</v>
      </c>
      <c r="N2944" s="18" t="n">
        <v>2</v>
      </c>
      <c r="O2944" s="18" t="n">
        <v>0</v>
      </c>
      <c r="P2944" s="17" t="n">
        <v>46014</v>
      </c>
      <c r="Q2944" s="17" t="n">
        <v>46014</v>
      </c>
      <c r="R2944" s="17" t="n">
        <v>46034</v>
      </c>
      <c r="S2944" s="19">
        <f>H2944*I2944</f>
        <v/>
      </c>
      <c r="T2944" s="19">
        <f>H2944*J2944</f>
        <v/>
      </c>
      <c r="U2944">
        <f>IF(AND(K2944=0,G2944&lt;=Assumptions!$C$6),1,0)</f>
        <v/>
      </c>
      <c r="V2944">
        <f>IF(U2944=1,IF(M2944&gt;0,IF(P2944&lt;=G2944+Assumptions!$C$7,1,0),0),0)</f>
        <v/>
      </c>
      <c r="W2944">
        <f>IF(AND(U2944=1,M2944&gt;=H2944*(1-Assumptions!$C$8)),1,0)</f>
        <v/>
      </c>
      <c r="X2944">
        <f>IF(AND(U2944=1,N2944&gt;=H2944*(1-Assumptions!$C$8)),1,0)</f>
        <v/>
      </c>
      <c r="Y2944">
        <f>IF(ISNUMBER(Q2944),1,0)</f>
        <v/>
      </c>
      <c r="Z2944">
        <f>IF(AND(K2944=0,L2944=0,Y2944=0),1,0)</f>
        <v/>
      </c>
      <c r="AA2944">
        <f>IF(AND(Z2944=1,G2944&lt;Assumptions!$C$6),1,0)</f>
        <v/>
      </c>
      <c r="AB2944">
        <f>IF(U2944=0,"",IF(Y2944=1,MAX(0,Q2944-G2944),IF(L2944=1,MAX(0,R2944-G2944),MAX(0,Assumptions!$C$6-G2944))))</f>
        <v/>
      </c>
      <c r="AC2944">
        <f>IF(Y2944=1,Q2944-F2944,"")</f>
        <v/>
      </c>
      <c r="AD2944">
        <f>IF(Y2944=1,AC2944^2,"")</f>
        <v/>
      </c>
      <c r="AE2944" s="19">
        <f>IF(Z2944=1,(H2944-M2944)*I2944,0)</f>
        <v/>
      </c>
      <c r="AF2944">
        <f>IF(G2944&lt;EDATE(Assumptions!$C$6,-12)+1,"prior_12m","last_12m")</f>
        <v/>
      </c>
      <c r="AG2944" s="21">
        <f>DATE(YEAR(G2944),MONTH(G2944),1)</f>
        <v/>
      </c>
    </row>
    <row r="2945">
      <c r="A2945" t="inlineStr">
        <is>
          <t>SPO-01581-1</t>
        </is>
      </c>
      <c r="B2945" t="inlineStr">
        <is>
          <t>SPO-01581</t>
        </is>
      </c>
      <c r="C2945" t="inlineStr">
        <is>
          <t>SUP-10</t>
        </is>
      </c>
      <c r="D2945" t="inlineStr">
        <is>
          <t>PPE</t>
        </is>
      </c>
      <c r="E2945" t="inlineStr">
        <is>
          <t>PPE-02</t>
        </is>
      </c>
      <c r="F2945" s="17" t="n">
        <v>46005</v>
      </c>
      <c r="G2945" s="17" t="n">
        <v>46018</v>
      </c>
      <c r="H2945" s="18" t="n">
        <v>184</v>
      </c>
      <c r="I2945" s="19" t="n">
        <v>12.61</v>
      </c>
      <c r="J2945" s="19" t="n">
        <v>12.5</v>
      </c>
      <c r="K2945" s="20" t="n">
        <v>0</v>
      </c>
      <c r="L2945" s="20" t="n">
        <v>0</v>
      </c>
      <c r="M2945" s="18" t="n">
        <v>184</v>
      </c>
      <c r="N2945" s="18" t="n">
        <v>184</v>
      </c>
      <c r="O2945" s="18" t="n">
        <v>0</v>
      </c>
      <c r="P2945" s="17" t="n">
        <v>46016</v>
      </c>
      <c r="Q2945" s="17" t="n">
        <v>46016</v>
      </c>
      <c r="R2945" s="17" t="n">
        <v>46016</v>
      </c>
      <c r="S2945" s="19">
        <f>H2945*I2945</f>
        <v/>
      </c>
      <c r="T2945" s="19">
        <f>H2945*J2945</f>
        <v/>
      </c>
      <c r="U2945">
        <f>IF(AND(K2945=0,G2945&lt;=Assumptions!$C$6),1,0)</f>
        <v/>
      </c>
      <c r="V2945">
        <f>IF(U2945=1,IF(M2945&gt;0,IF(P2945&lt;=G2945+Assumptions!$C$7,1,0),0),0)</f>
        <v/>
      </c>
      <c r="W2945">
        <f>IF(AND(U2945=1,M2945&gt;=H2945*(1-Assumptions!$C$8)),1,0)</f>
        <v/>
      </c>
      <c r="X2945">
        <f>IF(AND(U2945=1,N2945&gt;=H2945*(1-Assumptions!$C$8)),1,0)</f>
        <v/>
      </c>
      <c r="Y2945">
        <f>IF(ISNUMBER(Q2945),1,0)</f>
        <v/>
      </c>
      <c r="Z2945">
        <f>IF(AND(K2945=0,L2945=0,Y2945=0),1,0)</f>
        <v/>
      </c>
      <c r="AA2945">
        <f>IF(AND(Z2945=1,G2945&lt;Assumptions!$C$6),1,0)</f>
        <v/>
      </c>
      <c r="AB2945">
        <f>IF(U2945=0,"",IF(Y2945=1,MAX(0,Q2945-G2945),IF(L2945=1,MAX(0,R2945-G2945),MAX(0,Assumptions!$C$6-G2945))))</f>
        <v/>
      </c>
      <c r="AC2945">
        <f>IF(Y2945=1,Q2945-F2945,"")</f>
        <v/>
      </c>
      <c r="AD2945">
        <f>IF(Y2945=1,AC2945^2,"")</f>
        <v/>
      </c>
      <c r="AE2945" s="19">
        <f>IF(Z2945=1,(H2945-M2945)*I2945,0)</f>
        <v/>
      </c>
      <c r="AF2945">
        <f>IF(G2945&lt;EDATE(Assumptions!$C$6,-12)+1,"prior_12m","last_12m")</f>
        <v/>
      </c>
      <c r="AG2945" s="21">
        <f>DATE(YEAR(G2945),MONTH(G2945),1)</f>
        <v/>
      </c>
    </row>
    <row r="2946">
      <c r="A2946" t="inlineStr">
        <is>
          <t>SPO-01581-2</t>
        </is>
      </c>
      <c r="B2946" t="inlineStr">
        <is>
          <t>SPO-01581</t>
        </is>
      </c>
      <c r="C2946" t="inlineStr">
        <is>
          <t>SUP-10</t>
        </is>
      </c>
      <c r="D2946" t="inlineStr">
        <is>
          <t>PPE</t>
        </is>
      </c>
      <c r="E2946" t="inlineStr">
        <is>
          <t>PPE-01</t>
        </is>
      </c>
      <c r="F2946" s="17" t="n">
        <v>46005</v>
      </c>
      <c r="G2946" s="17" t="n">
        <v>46018</v>
      </c>
      <c r="H2946" s="18" t="n">
        <v>240</v>
      </c>
      <c r="I2946" s="19" t="n">
        <v>4.58</v>
      </c>
      <c r="J2946" s="19" t="n">
        <v>4.8</v>
      </c>
      <c r="K2946" s="20" t="n">
        <v>0</v>
      </c>
      <c r="L2946" s="20" t="n">
        <v>0</v>
      </c>
      <c r="M2946" s="18" t="n">
        <v>240</v>
      </c>
      <c r="N2946" s="18" t="n">
        <v>240</v>
      </c>
      <c r="O2946" s="18" t="n">
        <v>37</v>
      </c>
      <c r="P2946" s="17" t="n">
        <v>46018</v>
      </c>
      <c r="Q2946" s="17" t="n">
        <v>46018</v>
      </c>
      <c r="R2946" s="17" t="n">
        <v>46018</v>
      </c>
      <c r="S2946" s="19">
        <f>H2946*I2946</f>
        <v/>
      </c>
      <c r="T2946" s="19">
        <f>H2946*J2946</f>
        <v/>
      </c>
      <c r="U2946">
        <f>IF(AND(K2946=0,G2946&lt;=Assumptions!$C$6),1,0)</f>
        <v/>
      </c>
      <c r="V2946">
        <f>IF(U2946=1,IF(M2946&gt;0,IF(P2946&lt;=G2946+Assumptions!$C$7,1,0),0),0)</f>
        <v/>
      </c>
      <c r="W2946">
        <f>IF(AND(U2946=1,M2946&gt;=H2946*(1-Assumptions!$C$8)),1,0)</f>
        <v/>
      </c>
      <c r="X2946">
        <f>IF(AND(U2946=1,N2946&gt;=H2946*(1-Assumptions!$C$8)),1,0)</f>
        <v/>
      </c>
      <c r="Y2946">
        <f>IF(ISNUMBER(Q2946),1,0)</f>
        <v/>
      </c>
      <c r="Z2946">
        <f>IF(AND(K2946=0,L2946=0,Y2946=0),1,0)</f>
        <v/>
      </c>
      <c r="AA2946">
        <f>IF(AND(Z2946=1,G2946&lt;Assumptions!$C$6),1,0)</f>
        <v/>
      </c>
      <c r="AB2946">
        <f>IF(U2946=0,"",IF(Y2946=1,MAX(0,Q2946-G2946),IF(L2946=1,MAX(0,R2946-G2946),MAX(0,Assumptions!$C$6-G2946))))</f>
        <v/>
      </c>
      <c r="AC2946">
        <f>IF(Y2946=1,Q2946-F2946,"")</f>
        <v/>
      </c>
      <c r="AD2946">
        <f>IF(Y2946=1,AC2946^2,"")</f>
        <v/>
      </c>
      <c r="AE2946" s="19">
        <f>IF(Z2946=1,(H2946-M2946)*I2946,0)</f>
        <v/>
      </c>
      <c r="AF2946">
        <f>IF(G2946&lt;EDATE(Assumptions!$C$6,-12)+1,"prior_12m","last_12m")</f>
        <v/>
      </c>
      <c r="AG2946" s="21">
        <f>DATE(YEAR(G2946),MONTH(G2946),1)</f>
        <v/>
      </c>
    </row>
    <row r="2947">
      <c r="A2947" t="inlineStr">
        <is>
          <t>SPO-01582-1</t>
        </is>
      </c>
      <c r="B2947" t="inlineStr">
        <is>
          <t>SPO-01582</t>
        </is>
      </c>
      <c r="C2947" t="inlineStr">
        <is>
          <t>SUP-01</t>
        </is>
      </c>
      <c r="D2947" t="inlineStr">
        <is>
          <t>ELEC</t>
        </is>
      </c>
      <c r="E2947" t="inlineStr">
        <is>
          <t>ELEC-08</t>
        </is>
      </c>
      <c r="F2947" s="17" t="n">
        <v>46005</v>
      </c>
      <c r="G2947" s="17" t="n">
        <v>46023</v>
      </c>
      <c r="H2947" s="18" t="n">
        <v>126</v>
      </c>
      <c r="I2947" s="19" t="n">
        <v>17.86</v>
      </c>
      <c r="J2947" s="19" t="n">
        <v>18</v>
      </c>
      <c r="K2947" s="20" t="n">
        <v>0</v>
      </c>
      <c r="L2947" s="20" t="n">
        <v>0</v>
      </c>
      <c r="M2947" s="18" t="n">
        <v>126</v>
      </c>
      <c r="N2947" s="18" t="n">
        <v>126</v>
      </c>
      <c r="O2947" s="18" t="n">
        <v>0</v>
      </c>
      <c r="P2947" s="17" t="n">
        <v>46009</v>
      </c>
      <c r="Q2947" s="17" t="n">
        <v>46009</v>
      </c>
      <c r="R2947" s="17" t="n">
        <v>46009</v>
      </c>
      <c r="S2947" s="19">
        <f>H2947*I2947</f>
        <v/>
      </c>
      <c r="T2947" s="19">
        <f>H2947*J2947</f>
        <v/>
      </c>
      <c r="U2947">
        <f>IF(AND(K2947=0,G2947&lt;=Assumptions!$C$6),1,0)</f>
        <v/>
      </c>
      <c r="V2947">
        <f>IF(U2947=1,IF(M2947&gt;0,IF(P2947&lt;=G2947+Assumptions!$C$7,1,0),0),0)</f>
        <v/>
      </c>
      <c r="W2947">
        <f>IF(AND(U2947=1,M2947&gt;=H2947*(1-Assumptions!$C$8)),1,0)</f>
        <v/>
      </c>
      <c r="X2947">
        <f>IF(AND(U2947=1,N2947&gt;=H2947*(1-Assumptions!$C$8)),1,0)</f>
        <v/>
      </c>
      <c r="Y2947">
        <f>IF(ISNUMBER(Q2947),1,0)</f>
        <v/>
      </c>
      <c r="Z2947">
        <f>IF(AND(K2947=0,L2947=0,Y2947=0),1,0)</f>
        <v/>
      </c>
      <c r="AA2947">
        <f>IF(AND(Z2947=1,G2947&lt;Assumptions!$C$6),1,0)</f>
        <v/>
      </c>
      <c r="AB2947">
        <f>IF(U2947=0,"",IF(Y2947=1,MAX(0,Q2947-G2947),IF(L2947=1,MAX(0,R2947-G2947),MAX(0,Assumptions!$C$6-G2947))))</f>
        <v/>
      </c>
      <c r="AC2947">
        <f>IF(Y2947=1,Q2947-F2947,"")</f>
        <v/>
      </c>
      <c r="AD2947">
        <f>IF(Y2947=1,AC2947^2,"")</f>
        <v/>
      </c>
      <c r="AE2947" s="19">
        <f>IF(Z2947=1,(H2947-M2947)*I2947,0)</f>
        <v/>
      </c>
      <c r="AF2947">
        <f>IF(G2947&lt;EDATE(Assumptions!$C$6,-12)+1,"prior_12m","last_12m")</f>
        <v/>
      </c>
      <c r="AG2947" s="21">
        <f>DATE(YEAR(G2947),MONTH(G2947),1)</f>
        <v/>
      </c>
    </row>
    <row r="2948">
      <c r="A2948" t="inlineStr">
        <is>
          <t>SPO-01583-1</t>
        </is>
      </c>
      <c r="B2948" t="inlineStr">
        <is>
          <t>SPO-01583</t>
        </is>
      </c>
      <c r="C2948" t="inlineStr">
        <is>
          <t>SUP-05</t>
        </is>
      </c>
      <c r="D2948" t="inlineStr">
        <is>
          <t>FLEET</t>
        </is>
      </c>
      <c r="E2948" t="inlineStr">
        <is>
          <t>FLEET-02</t>
        </is>
      </c>
      <c r="F2948" s="17" t="n">
        <v>46006</v>
      </c>
      <c r="G2948" s="17" t="n">
        <v>46020</v>
      </c>
      <c r="H2948" s="18" t="n">
        <v>195</v>
      </c>
      <c r="I2948" s="19" t="n">
        <v>7.81</v>
      </c>
      <c r="J2948" s="19" t="n">
        <v>7.5</v>
      </c>
      <c r="K2948" s="20" t="n">
        <v>0</v>
      </c>
      <c r="L2948" s="20" t="n">
        <v>0</v>
      </c>
      <c r="M2948" s="18" t="n">
        <v>195</v>
      </c>
      <c r="N2948" s="18" t="n">
        <v>195</v>
      </c>
      <c r="O2948" s="18" t="n">
        <v>0</v>
      </c>
      <c r="P2948" s="17" t="n">
        <v>46020</v>
      </c>
      <c r="Q2948" s="17" t="n">
        <v>46020</v>
      </c>
      <c r="R2948" s="17" t="n">
        <v>46020</v>
      </c>
      <c r="S2948" s="19">
        <f>H2948*I2948</f>
        <v/>
      </c>
      <c r="T2948" s="19">
        <f>H2948*J2948</f>
        <v/>
      </c>
      <c r="U2948">
        <f>IF(AND(K2948=0,G2948&lt;=Assumptions!$C$6),1,0)</f>
        <v/>
      </c>
      <c r="V2948">
        <f>IF(U2948=1,IF(M2948&gt;0,IF(P2948&lt;=G2948+Assumptions!$C$7,1,0),0),0)</f>
        <v/>
      </c>
      <c r="W2948">
        <f>IF(AND(U2948=1,M2948&gt;=H2948*(1-Assumptions!$C$8)),1,0)</f>
        <v/>
      </c>
      <c r="X2948">
        <f>IF(AND(U2948=1,N2948&gt;=H2948*(1-Assumptions!$C$8)),1,0)</f>
        <v/>
      </c>
      <c r="Y2948">
        <f>IF(ISNUMBER(Q2948),1,0)</f>
        <v/>
      </c>
      <c r="Z2948">
        <f>IF(AND(K2948=0,L2948=0,Y2948=0),1,0)</f>
        <v/>
      </c>
      <c r="AA2948">
        <f>IF(AND(Z2948=1,G2948&lt;Assumptions!$C$6),1,0)</f>
        <v/>
      </c>
      <c r="AB2948">
        <f>IF(U2948=0,"",IF(Y2948=1,MAX(0,Q2948-G2948),IF(L2948=1,MAX(0,R2948-G2948),MAX(0,Assumptions!$C$6-G2948))))</f>
        <v/>
      </c>
      <c r="AC2948">
        <f>IF(Y2948=1,Q2948-F2948,"")</f>
        <v/>
      </c>
      <c r="AD2948">
        <f>IF(Y2948=1,AC2948^2,"")</f>
        <v/>
      </c>
      <c r="AE2948" s="19">
        <f>IF(Z2948=1,(H2948-M2948)*I2948,0)</f>
        <v/>
      </c>
      <c r="AF2948">
        <f>IF(G2948&lt;EDATE(Assumptions!$C$6,-12)+1,"prior_12m","last_12m")</f>
        <v/>
      </c>
      <c r="AG2948" s="21">
        <f>DATE(YEAR(G2948),MONTH(G2948),1)</f>
        <v/>
      </c>
    </row>
    <row r="2949">
      <c r="A2949" t="inlineStr">
        <is>
          <t>SPO-01583-2</t>
        </is>
      </c>
      <c r="B2949" t="inlineStr">
        <is>
          <t>SPO-01583</t>
        </is>
      </c>
      <c r="C2949" t="inlineStr">
        <is>
          <t>SUP-05</t>
        </is>
      </c>
      <c r="D2949" t="inlineStr">
        <is>
          <t>FLEET</t>
        </is>
      </c>
      <c r="E2949" t="inlineStr">
        <is>
          <t>FLEET-08</t>
        </is>
      </c>
      <c r="F2949" s="17" t="n">
        <v>46006</v>
      </c>
      <c r="G2949" s="17" t="n">
        <v>46020</v>
      </c>
      <c r="H2949" s="18" t="n">
        <v>202</v>
      </c>
      <c r="I2949" s="19" t="n">
        <v>6.87</v>
      </c>
      <c r="J2949" s="19" t="n">
        <v>6.4</v>
      </c>
      <c r="K2949" s="20" t="n">
        <v>0</v>
      </c>
      <c r="L2949" s="20" t="n">
        <v>0</v>
      </c>
      <c r="M2949" s="18" t="n">
        <v>202</v>
      </c>
      <c r="N2949" s="18" t="n">
        <v>202</v>
      </c>
      <c r="O2949" s="18" t="n">
        <v>0</v>
      </c>
      <c r="P2949" s="17" t="n">
        <v>46018</v>
      </c>
      <c r="Q2949" s="17" t="n">
        <v>46018</v>
      </c>
      <c r="R2949" s="17" t="n">
        <v>46018</v>
      </c>
      <c r="S2949" s="19">
        <f>H2949*I2949</f>
        <v/>
      </c>
      <c r="T2949" s="19">
        <f>H2949*J2949</f>
        <v/>
      </c>
      <c r="U2949">
        <f>IF(AND(K2949=0,G2949&lt;=Assumptions!$C$6),1,0)</f>
        <v/>
      </c>
      <c r="V2949">
        <f>IF(U2949=1,IF(M2949&gt;0,IF(P2949&lt;=G2949+Assumptions!$C$7,1,0),0),0)</f>
        <v/>
      </c>
      <c r="W2949">
        <f>IF(AND(U2949=1,M2949&gt;=H2949*(1-Assumptions!$C$8)),1,0)</f>
        <v/>
      </c>
      <c r="X2949">
        <f>IF(AND(U2949=1,N2949&gt;=H2949*(1-Assumptions!$C$8)),1,0)</f>
        <v/>
      </c>
      <c r="Y2949">
        <f>IF(ISNUMBER(Q2949),1,0)</f>
        <v/>
      </c>
      <c r="Z2949">
        <f>IF(AND(K2949=0,L2949=0,Y2949=0),1,0)</f>
        <v/>
      </c>
      <c r="AA2949">
        <f>IF(AND(Z2949=1,G2949&lt;Assumptions!$C$6),1,0)</f>
        <v/>
      </c>
      <c r="AB2949">
        <f>IF(U2949=0,"",IF(Y2949=1,MAX(0,Q2949-G2949),IF(L2949=1,MAX(0,R2949-G2949),MAX(0,Assumptions!$C$6-G2949))))</f>
        <v/>
      </c>
      <c r="AC2949">
        <f>IF(Y2949=1,Q2949-F2949,"")</f>
        <v/>
      </c>
      <c r="AD2949">
        <f>IF(Y2949=1,AC2949^2,"")</f>
        <v/>
      </c>
      <c r="AE2949" s="19">
        <f>IF(Z2949=1,(H2949-M2949)*I2949,0)</f>
        <v/>
      </c>
      <c r="AF2949">
        <f>IF(G2949&lt;EDATE(Assumptions!$C$6,-12)+1,"prior_12m","last_12m")</f>
        <v/>
      </c>
      <c r="AG2949" s="21">
        <f>DATE(YEAR(G2949),MONTH(G2949),1)</f>
        <v/>
      </c>
    </row>
    <row r="2950">
      <c r="A2950" t="inlineStr">
        <is>
          <t>SPO-01583-3</t>
        </is>
      </c>
      <c r="B2950" t="inlineStr">
        <is>
          <t>SPO-01583</t>
        </is>
      </c>
      <c r="C2950" t="inlineStr">
        <is>
          <t>SUP-05</t>
        </is>
      </c>
      <c r="D2950" t="inlineStr">
        <is>
          <t>FLEET</t>
        </is>
      </c>
      <c r="E2950" t="inlineStr">
        <is>
          <t>FLEET-04</t>
        </is>
      </c>
      <c r="F2950" s="17" t="n">
        <v>46006</v>
      </c>
      <c r="G2950" s="17" t="n">
        <v>46020</v>
      </c>
      <c r="H2950" s="18" t="n">
        <v>169</v>
      </c>
      <c r="I2950" s="19" t="n">
        <v>8.9</v>
      </c>
      <c r="J2950" s="19" t="n">
        <v>9</v>
      </c>
      <c r="K2950" s="20" t="n">
        <v>0</v>
      </c>
      <c r="L2950" s="20" t="n">
        <v>0</v>
      </c>
      <c r="M2950" s="18" t="n">
        <v>169</v>
      </c>
      <c r="N2950" s="18" t="n">
        <v>169</v>
      </c>
      <c r="O2950" s="18" t="n">
        <v>0</v>
      </c>
      <c r="P2950" s="17" t="n">
        <v>46014</v>
      </c>
      <c r="Q2950" s="17" t="n">
        <v>46014</v>
      </c>
      <c r="R2950" s="17" t="n">
        <v>46014</v>
      </c>
      <c r="S2950" s="19">
        <f>H2950*I2950</f>
        <v/>
      </c>
      <c r="T2950" s="19">
        <f>H2950*J2950</f>
        <v/>
      </c>
      <c r="U2950">
        <f>IF(AND(K2950=0,G2950&lt;=Assumptions!$C$6),1,0)</f>
        <v/>
      </c>
      <c r="V2950">
        <f>IF(U2950=1,IF(M2950&gt;0,IF(P2950&lt;=G2950+Assumptions!$C$7,1,0),0),0)</f>
        <v/>
      </c>
      <c r="W2950">
        <f>IF(AND(U2950=1,M2950&gt;=H2950*(1-Assumptions!$C$8)),1,0)</f>
        <v/>
      </c>
      <c r="X2950">
        <f>IF(AND(U2950=1,N2950&gt;=H2950*(1-Assumptions!$C$8)),1,0)</f>
        <v/>
      </c>
      <c r="Y2950">
        <f>IF(ISNUMBER(Q2950),1,0)</f>
        <v/>
      </c>
      <c r="Z2950">
        <f>IF(AND(K2950=0,L2950=0,Y2950=0),1,0)</f>
        <v/>
      </c>
      <c r="AA2950">
        <f>IF(AND(Z2950=1,G2950&lt;Assumptions!$C$6),1,0)</f>
        <v/>
      </c>
      <c r="AB2950">
        <f>IF(U2950=0,"",IF(Y2950=1,MAX(0,Q2950-G2950),IF(L2950=1,MAX(0,R2950-G2950),MAX(0,Assumptions!$C$6-G2950))))</f>
        <v/>
      </c>
      <c r="AC2950">
        <f>IF(Y2950=1,Q2950-F2950,"")</f>
        <v/>
      </c>
      <c r="AD2950">
        <f>IF(Y2950=1,AC2950^2,"")</f>
        <v/>
      </c>
      <c r="AE2950" s="19">
        <f>IF(Z2950=1,(H2950-M2950)*I2950,0)</f>
        <v/>
      </c>
      <c r="AF2950">
        <f>IF(G2950&lt;EDATE(Assumptions!$C$6,-12)+1,"prior_12m","last_12m")</f>
        <v/>
      </c>
      <c r="AG2950" s="21">
        <f>DATE(YEAR(G2950),MONTH(G2950),1)</f>
        <v/>
      </c>
    </row>
    <row r="2951">
      <c r="A2951" t="inlineStr">
        <is>
          <t>SPO-01584-1</t>
        </is>
      </c>
      <c r="B2951" t="inlineStr">
        <is>
          <t>SPO-01584</t>
        </is>
      </c>
      <c r="C2951" t="inlineStr">
        <is>
          <t>SUP-06</t>
        </is>
      </c>
      <c r="D2951" t="inlineStr">
        <is>
          <t>MRO</t>
        </is>
      </c>
      <c r="E2951" t="inlineStr">
        <is>
          <t>MRO-06</t>
        </is>
      </c>
      <c r="F2951" s="17" t="n">
        <v>46006</v>
      </c>
      <c r="G2951" s="17" t="n">
        <v>46014</v>
      </c>
      <c r="H2951" s="18" t="n">
        <v>286</v>
      </c>
      <c r="I2951" s="19" t="n">
        <v>6.16</v>
      </c>
      <c r="J2951" s="19" t="n">
        <v>6.1</v>
      </c>
      <c r="K2951" s="20" t="n">
        <v>0</v>
      </c>
      <c r="L2951" s="20" t="n">
        <v>0</v>
      </c>
      <c r="M2951" s="18" t="n">
        <v>286</v>
      </c>
      <c r="N2951" s="18" t="n">
        <v>286</v>
      </c>
      <c r="O2951" s="18" t="n">
        <v>0</v>
      </c>
      <c r="P2951" s="17" t="n">
        <v>46013</v>
      </c>
      <c r="Q2951" s="17" t="n">
        <v>46013</v>
      </c>
      <c r="R2951" s="17" t="n">
        <v>46013</v>
      </c>
      <c r="S2951" s="19">
        <f>H2951*I2951</f>
        <v/>
      </c>
      <c r="T2951" s="19">
        <f>H2951*J2951</f>
        <v/>
      </c>
      <c r="U2951">
        <f>IF(AND(K2951=0,G2951&lt;=Assumptions!$C$6),1,0)</f>
        <v/>
      </c>
      <c r="V2951">
        <f>IF(U2951=1,IF(M2951&gt;0,IF(P2951&lt;=G2951+Assumptions!$C$7,1,0),0),0)</f>
        <v/>
      </c>
      <c r="W2951">
        <f>IF(AND(U2951=1,M2951&gt;=H2951*(1-Assumptions!$C$8)),1,0)</f>
        <v/>
      </c>
      <c r="X2951">
        <f>IF(AND(U2951=1,N2951&gt;=H2951*(1-Assumptions!$C$8)),1,0)</f>
        <v/>
      </c>
      <c r="Y2951">
        <f>IF(ISNUMBER(Q2951),1,0)</f>
        <v/>
      </c>
      <c r="Z2951">
        <f>IF(AND(K2951=0,L2951=0,Y2951=0),1,0)</f>
        <v/>
      </c>
      <c r="AA2951">
        <f>IF(AND(Z2951=1,G2951&lt;Assumptions!$C$6),1,0)</f>
        <v/>
      </c>
      <c r="AB2951">
        <f>IF(U2951=0,"",IF(Y2951=1,MAX(0,Q2951-G2951),IF(L2951=1,MAX(0,R2951-G2951),MAX(0,Assumptions!$C$6-G2951))))</f>
        <v/>
      </c>
      <c r="AC2951">
        <f>IF(Y2951=1,Q2951-F2951,"")</f>
        <v/>
      </c>
      <c r="AD2951">
        <f>IF(Y2951=1,AC2951^2,"")</f>
        <v/>
      </c>
      <c r="AE2951" s="19">
        <f>IF(Z2951=1,(H2951-M2951)*I2951,0)</f>
        <v/>
      </c>
      <c r="AF2951">
        <f>IF(G2951&lt;EDATE(Assumptions!$C$6,-12)+1,"prior_12m","last_12m")</f>
        <v/>
      </c>
      <c r="AG2951" s="21">
        <f>DATE(YEAR(G2951),MONTH(G2951),1)</f>
        <v/>
      </c>
    </row>
    <row r="2952">
      <c r="A2952" t="inlineStr">
        <is>
          <t>SPO-01584-2</t>
        </is>
      </c>
      <c r="B2952" t="inlineStr">
        <is>
          <t>SPO-01584</t>
        </is>
      </c>
      <c r="C2952" t="inlineStr">
        <is>
          <t>SUP-06</t>
        </is>
      </c>
      <c r="D2952" t="inlineStr">
        <is>
          <t>MRO</t>
        </is>
      </c>
      <c r="E2952" t="inlineStr">
        <is>
          <t>MRO-04</t>
        </is>
      </c>
      <c r="F2952" s="17" t="n">
        <v>46006</v>
      </c>
      <c r="G2952" s="17" t="n">
        <v>46014</v>
      </c>
      <c r="H2952" s="18" t="n">
        <v>19</v>
      </c>
      <c r="I2952" s="19" t="n">
        <v>58.61</v>
      </c>
      <c r="J2952" s="19" t="n">
        <v>58</v>
      </c>
      <c r="K2952" s="20" t="n">
        <v>0</v>
      </c>
      <c r="L2952" s="20" t="n">
        <v>0</v>
      </c>
      <c r="M2952" s="18" t="n">
        <v>19</v>
      </c>
      <c r="N2952" s="18" t="n">
        <v>19</v>
      </c>
      <c r="O2952" s="18" t="n">
        <v>0</v>
      </c>
      <c r="P2952" s="17" t="n">
        <v>46011</v>
      </c>
      <c r="Q2952" s="17" t="n">
        <v>46011</v>
      </c>
      <c r="R2952" s="17" t="n">
        <v>46011</v>
      </c>
      <c r="S2952" s="19">
        <f>H2952*I2952</f>
        <v/>
      </c>
      <c r="T2952" s="19">
        <f>H2952*J2952</f>
        <v/>
      </c>
      <c r="U2952">
        <f>IF(AND(K2952=0,G2952&lt;=Assumptions!$C$6),1,0)</f>
        <v/>
      </c>
      <c r="V2952">
        <f>IF(U2952=1,IF(M2952&gt;0,IF(P2952&lt;=G2952+Assumptions!$C$7,1,0),0),0)</f>
        <v/>
      </c>
      <c r="W2952">
        <f>IF(AND(U2952=1,M2952&gt;=H2952*(1-Assumptions!$C$8)),1,0)</f>
        <v/>
      </c>
      <c r="X2952">
        <f>IF(AND(U2952=1,N2952&gt;=H2952*(1-Assumptions!$C$8)),1,0)</f>
        <v/>
      </c>
      <c r="Y2952">
        <f>IF(ISNUMBER(Q2952),1,0)</f>
        <v/>
      </c>
      <c r="Z2952">
        <f>IF(AND(K2952=0,L2952=0,Y2952=0),1,0)</f>
        <v/>
      </c>
      <c r="AA2952">
        <f>IF(AND(Z2952=1,G2952&lt;Assumptions!$C$6),1,0)</f>
        <v/>
      </c>
      <c r="AB2952">
        <f>IF(U2952=0,"",IF(Y2952=1,MAX(0,Q2952-G2952),IF(L2952=1,MAX(0,R2952-G2952),MAX(0,Assumptions!$C$6-G2952))))</f>
        <v/>
      </c>
      <c r="AC2952">
        <f>IF(Y2952=1,Q2952-F2952,"")</f>
        <v/>
      </c>
      <c r="AD2952">
        <f>IF(Y2952=1,AC2952^2,"")</f>
        <v/>
      </c>
      <c r="AE2952" s="19">
        <f>IF(Z2952=1,(H2952-M2952)*I2952,0)</f>
        <v/>
      </c>
      <c r="AF2952">
        <f>IF(G2952&lt;EDATE(Assumptions!$C$6,-12)+1,"prior_12m","last_12m")</f>
        <v/>
      </c>
      <c r="AG2952" s="21">
        <f>DATE(YEAR(G2952),MONTH(G2952),1)</f>
        <v/>
      </c>
    </row>
    <row r="2953">
      <c r="A2953" t="inlineStr">
        <is>
          <t>SPO-01585-1</t>
        </is>
      </c>
      <c r="B2953" t="inlineStr">
        <is>
          <t>SPO-01585</t>
        </is>
      </c>
      <c r="C2953" t="inlineStr">
        <is>
          <t>SUP-02</t>
        </is>
      </c>
      <c r="D2953" t="inlineStr">
        <is>
          <t>ELEC</t>
        </is>
      </c>
      <c r="E2953" t="inlineStr">
        <is>
          <t>ELEC-01</t>
        </is>
      </c>
      <c r="F2953" s="17" t="n">
        <v>46007</v>
      </c>
      <c r="G2953" s="17" t="n">
        <v>46023</v>
      </c>
      <c r="H2953" s="18" t="n">
        <v>70</v>
      </c>
      <c r="I2953" s="19" t="n">
        <v>37.86</v>
      </c>
      <c r="J2953" s="19" t="n">
        <v>38</v>
      </c>
      <c r="K2953" s="20" t="n">
        <v>0</v>
      </c>
      <c r="L2953" s="20" t="n">
        <v>0</v>
      </c>
      <c r="M2953" s="18" t="n">
        <v>70</v>
      </c>
      <c r="N2953" s="18" t="n">
        <v>70</v>
      </c>
      <c r="O2953" s="18" t="n">
        <v>0</v>
      </c>
      <c r="P2953" s="17" t="n">
        <v>46021</v>
      </c>
      <c r="Q2953" s="17" t="n">
        <v>46021</v>
      </c>
      <c r="R2953" s="17" t="n">
        <v>46021</v>
      </c>
      <c r="S2953" s="19">
        <f>H2953*I2953</f>
        <v/>
      </c>
      <c r="T2953" s="19">
        <f>H2953*J2953</f>
        <v/>
      </c>
      <c r="U2953">
        <f>IF(AND(K2953=0,G2953&lt;=Assumptions!$C$6),1,0)</f>
        <v/>
      </c>
      <c r="V2953">
        <f>IF(U2953=1,IF(M2953&gt;0,IF(P2953&lt;=G2953+Assumptions!$C$7,1,0),0),0)</f>
        <v/>
      </c>
      <c r="W2953">
        <f>IF(AND(U2953=1,M2953&gt;=H2953*(1-Assumptions!$C$8)),1,0)</f>
        <v/>
      </c>
      <c r="X2953">
        <f>IF(AND(U2953=1,N2953&gt;=H2953*(1-Assumptions!$C$8)),1,0)</f>
        <v/>
      </c>
      <c r="Y2953">
        <f>IF(ISNUMBER(Q2953),1,0)</f>
        <v/>
      </c>
      <c r="Z2953">
        <f>IF(AND(K2953=0,L2953=0,Y2953=0),1,0)</f>
        <v/>
      </c>
      <c r="AA2953">
        <f>IF(AND(Z2953=1,G2953&lt;Assumptions!$C$6),1,0)</f>
        <v/>
      </c>
      <c r="AB2953">
        <f>IF(U2953=0,"",IF(Y2953=1,MAX(0,Q2953-G2953),IF(L2953=1,MAX(0,R2953-G2953),MAX(0,Assumptions!$C$6-G2953))))</f>
        <v/>
      </c>
      <c r="AC2953">
        <f>IF(Y2953=1,Q2953-F2953,"")</f>
        <v/>
      </c>
      <c r="AD2953">
        <f>IF(Y2953=1,AC2953^2,"")</f>
        <v/>
      </c>
      <c r="AE2953" s="19">
        <f>IF(Z2953=1,(H2953-M2953)*I2953,0)</f>
        <v/>
      </c>
      <c r="AF2953">
        <f>IF(G2953&lt;EDATE(Assumptions!$C$6,-12)+1,"prior_12m","last_12m")</f>
        <v/>
      </c>
      <c r="AG2953" s="21">
        <f>DATE(YEAR(G2953),MONTH(G2953),1)</f>
        <v/>
      </c>
    </row>
    <row r="2954">
      <c r="A2954" t="inlineStr">
        <is>
          <t>SPO-01585-2</t>
        </is>
      </c>
      <c r="B2954" t="inlineStr">
        <is>
          <t>SPO-01585</t>
        </is>
      </c>
      <c r="C2954" t="inlineStr">
        <is>
          <t>SUP-02</t>
        </is>
      </c>
      <c r="D2954" t="inlineStr">
        <is>
          <t>ELEC</t>
        </is>
      </c>
      <c r="E2954" t="inlineStr">
        <is>
          <t>ELEC-02</t>
        </is>
      </c>
      <c r="F2954" s="17" t="n">
        <v>46007</v>
      </c>
      <c r="G2954" s="17" t="n">
        <v>46023</v>
      </c>
      <c r="H2954" s="18" t="n">
        <v>247</v>
      </c>
      <c r="I2954" s="19" t="n">
        <v>4.27</v>
      </c>
      <c r="J2954" s="19" t="n">
        <v>4.2</v>
      </c>
      <c r="K2954" s="20" t="n">
        <v>0</v>
      </c>
      <c r="L2954" s="20" t="n">
        <v>0</v>
      </c>
      <c r="M2954" s="18" t="n">
        <v>247</v>
      </c>
      <c r="N2954" s="18" t="n">
        <v>247</v>
      </c>
      <c r="O2954" s="18" t="n">
        <v>0</v>
      </c>
      <c r="P2954" s="17" t="n">
        <v>46019</v>
      </c>
      <c r="Q2954" s="17" t="n">
        <v>46019</v>
      </c>
      <c r="R2954" s="17" t="n">
        <v>46019</v>
      </c>
      <c r="S2954" s="19">
        <f>H2954*I2954</f>
        <v/>
      </c>
      <c r="T2954" s="19">
        <f>H2954*J2954</f>
        <v/>
      </c>
      <c r="U2954">
        <f>IF(AND(K2954=0,G2954&lt;=Assumptions!$C$6),1,0)</f>
        <v/>
      </c>
      <c r="V2954">
        <f>IF(U2954=1,IF(M2954&gt;0,IF(P2954&lt;=G2954+Assumptions!$C$7,1,0),0),0)</f>
        <v/>
      </c>
      <c r="W2954">
        <f>IF(AND(U2954=1,M2954&gt;=H2954*(1-Assumptions!$C$8)),1,0)</f>
        <v/>
      </c>
      <c r="X2954">
        <f>IF(AND(U2954=1,N2954&gt;=H2954*(1-Assumptions!$C$8)),1,0)</f>
        <v/>
      </c>
      <c r="Y2954">
        <f>IF(ISNUMBER(Q2954),1,0)</f>
        <v/>
      </c>
      <c r="Z2954">
        <f>IF(AND(K2954=0,L2954=0,Y2954=0),1,0)</f>
        <v/>
      </c>
      <c r="AA2954">
        <f>IF(AND(Z2954=1,G2954&lt;Assumptions!$C$6),1,0)</f>
        <v/>
      </c>
      <c r="AB2954">
        <f>IF(U2954=0,"",IF(Y2954=1,MAX(0,Q2954-G2954),IF(L2954=1,MAX(0,R2954-G2954),MAX(0,Assumptions!$C$6-G2954))))</f>
        <v/>
      </c>
      <c r="AC2954">
        <f>IF(Y2954=1,Q2954-F2954,"")</f>
        <v/>
      </c>
      <c r="AD2954">
        <f>IF(Y2954=1,AC2954^2,"")</f>
        <v/>
      </c>
      <c r="AE2954" s="19">
        <f>IF(Z2954=1,(H2954-M2954)*I2954,0)</f>
        <v/>
      </c>
      <c r="AF2954">
        <f>IF(G2954&lt;EDATE(Assumptions!$C$6,-12)+1,"prior_12m","last_12m")</f>
        <v/>
      </c>
      <c r="AG2954" s="21">
        <f>DATE(YEAR(G2954),MONTH(G2954),1)</f>
        <v/>
      </c>
    </row>
    <row r="2955">
      <c r="A2955" t="inlineStr">
        <is>
          <t>SPO-01585-3</t>
        </is>
      </c>
      <c r="B2955" t="inlineStr">
        <is>
          <t>SPO-01585</t>
        </is>
      </c>
      <c r="C2955" t="inlineStr">
        <is>
          <t>SUP-02</t>
        </is>
      </c>
      <c r="D2955" t="inlineStr">
        <is>
          <t>ELEC</t>
        </is>
      </c>
      <c r="E2955" t="inlineStr">
        <is>
          <t>ELEC-07</t>
        </is>
      </c>
      <c r="F2955" s="17" t="n">
        <v>46007</v>
      </c>
      <c r="G2955" s="17" t="n">
        <v>46023</v>
      </c>
      <c r="H2955" s="18" t="n">
        <v>86</v>
      </c>
      <c r="I2955" s="19" t="n">
        <v>9.92</v>
      </c>
      <c r="J2955" s="19" t="n">
        <v>9.800000000000001</v>
      </c>
      <c r="K2955" s="20" t="n">
        <v>0</v>
      </c>
      <c r="L2955" s="20" t="n">
        <v>0</v>
      </c>
      <c r="M2955" s="18" t="n">
        <v>86</v>
      </c>
      <c r="N2955" s="18" t="n">
        <v>86</v>
      </c>
      <c r="O2955" s="18" t="n">
        <v>0</v>
      </c>
      <c r="P2955" s="17" t="n">
        <v>46018</v>
      </c>
      <c r="Q2955" s="17" t="n">
        <v>46018</v>
      </c>
      <c r="R2955" s="17" t="n">
        <v>46018</v>
      </c>
      <c r="S2955" s="19">
        <f>H2955*I2955</f>
        <v/>
      </c>
      <c r="T2955" s="19">
        <f>H2955*J2955</f>
        <v/>
      </c>
      <c r="U2955">
        <f>IF(AND(K2955=0,G2955&lt;=Assumptions!$C$6),1,0)</f>
        <v/>
      </c>
      <c r="V2955">
        <f>IF(U2955=1,IF(M2955&gt;0,IF(P2955&lt;=G2955+Assumptions!$C$7,1,0),0),0)</f>
        <v/>
      </c>
      <c r="W2955">
        <f>IF(AND(U2955=1,M2955&gt;=H2955*(1-Assumptions!$C$8)),1,0)</f>
        <v/>
      </c>
      <c r="X2955">
        <f>IF(AND(U2955=1,N2955&gt;=H2955*(1-Assumptions!$C$8)),1,0)</f>
        <v/>
      </c>
      <c r="Y2955">
        <f>IF(ISNUMBER(Q2955),1,0)</f>
        <v/>
      </c>
      <c r="Z2955">
        <f>IF(AND(K2955=0,L2955=0,Y2955=0),1,0)</f>
        <v/>
      </c>
      <c r="AA2955">
        <f>IF(AND(Z2955=1,G2955&lt;Assumptions!$C$6),1,0)</f>
        <v/>
      </c>
      <c r="AB2955">
        <f>IF(U2955=0,"",IF(Y2955=1,MAX(0,Q2955-G2955),IF(L2955=1,MAX(0,R2955-G2955),MAX(0,Assumptions!$C$6-G2955))))</f>
        <v/>
      </c>
      <c r="AC2955">
        <f>IF(Y2955=1,Q2955-F2955,"")</f>
        <v/>
      </c>
      <c r="AD2955">
        <f>IF(Y2955=1,AC2955^2,"")</f>
        <v/>
      </c>
      <c r="AE2955" s="19">
        <f>IF(Z2955=1,(H2955-M2955)*I2955,0)</f>
        <v/>
      </c>
      <c r="AF2955">
        <f>IF(G2955&lt;EDATE(Assumptions!$C$6,-12)+1,"prior_12m","last_12m")</f>
        <v/>
      </c>
      <c r="AG2955" s="21">
        <f>DATE(YEAR(G2955),MONTH(G2955),1)</f>
        <v/>
      </c>
    </row>
    <row r="2956">
      <c r="A2956" t="inlineStr">
        <is>
          <t>SPO-01586-1</t>
        </is>
      </c>
      <c r="B2956" t="inlineStr">
        <is>
          <t>SPO-01586</t>
        </is>
      </c>
      <c r="C2956" t="inlineStr">
        <is>
          <t>SUP-01</t>
        </is>
      </c>
      <c r="D2956" t="inlineStr">
        <is>
          <t>ELEC</t>
        </is>
      </c>
      <c r="E2956" t="inlineStr">
        <is>
          <t>ELEC-01</t>
        </is>
      </c>
      <c r="F2956" s="17" t="n">
        <v>46007</v>
      </c>
      <c r="G2956" s="17" t="n">
        <v>46025</v>
      </c>
      <c r="H2956" s="18" t="n">
        <v>98</v>
      </c>
      <c r="I2956" s="19" t="n">
        <v>37.95</v>
      </c>
      <c r="J2956" s="19" t="n">
        <v>38</v>
      </c>
      <c r="K2956" s="20" t="n">
        <v>0</v>
      </c>
      <c r="L2956" s="20" t="n">
        <v>0</v>
      </c>
      <c r="M2956" s="18" t="n">
        <v>98</v>
      </c>
      <c r="N2956" s="18" t="n">
        <v>0</v>
      </c>
      <c r="O2956" s="18" t="n">
        <v>0</v>
      </c>
      <c r="P2956" s="17" t="n">
        <v>46055</v>
      </c>
      <c r="Q2956" s="17" t="n">
        <v>46065</v>
      </c>
      <c r="R2956" s="17" t="n">
        <v>46065</v>
      </c>
      <c r="S2956" s="19">
        <f>H2956*I2956</f>
        <v/>
      </c>
      <c r="T2956" s="19">
        <f>H2956*J2956</f>
        <v/>
      </c>
      <c r="U2956">
        <f>IF(AND(K2956=0,G2956&lt;=Assumptions!$C$6),1,0)</f>
        <v/>
      </c>
      <c r="V2956">
        <f>IF(U2956=1,IF(M2956&gt;0,IF(P2956&lt;=G2956+Assumptions!$C$7,1,0),0),0)</f>
        <v/>
      </c>
      <c r="W2956">
        <f>IF(AND(U2956=1,M2956&gt;=H2956*(1-Assumptions!$C$8)),1,0)</f>
        <v/>
      </c>
      <c r="X2956">
        <f>IF(AND(U2956=1,N2956&gt;=H2956*(1-Assumptions!$C$8)),1,0)</f>
        <v/>
      </c>
      <c r="Y2956">
        <f>IF(ISNUMBER(Q2956),1,0)</f>
        <v/>
      </c>
      <c r="Z2956">
        <f>IF(AND(K2956=0,L2956=0,Y2956=0),1,0)</f>
        <v/>
      </c>
      <c r="AA2956">
        <f>IF(AND(Z2956=1,G2956&lt;Assumptions!$C$6),1,0)</f>
        <v/>
      </c>
      <c r="AB2956">
        <f>IF(U2956=0,"",IF(Y2956=1,MAX(0,Q2956-G2956),IF(L2956=1,MAX(0,R2956-G2956),MAX(0,Assumptions!$C$6-G2956))))</f>
        <v/>
      </c>
      <c r="AC2956">
        <f>IF(Y2956=1,Q2956-F2956,"")</f>
        <v/>
      </c>
      <c r="AD2956">
        <f>IF(Y2956=1,AC2956^2,"")</f>
        <v/>
      </c>
      <c r="AE2956" s="19">
        <f>IF(Z2956=1,(H2956-M2956)*I2956,0)</f>
        <v/>
      </c>
      <c r="AF2956">
        <f>IF(G2956&lt;EDATE(Assumptions!$C$6,-12)+1,"prior_12m","last_12m")</f>
        <v/>
      </c>
      <c r="AG2956" s="21">
        <f>DATE(YEAR(G2956),MONTH(G2956),1)</f>
        <v/>
      </c>
    </row>
    <row r="2957">
      <c r="A2957" t="inlineStr">
        <is>
          <t>SPO-01586-2</t>
        </is>
      </c>
      <c r="B2957" t="inlineStr">
        <is>
          <t>SPO-01586</t>
        </is>
      </c>
      <c r="C2957" t="inlineStr">
        <is>
          <t>SUP-01</t>
        </is>
      </c>
      <c r="D2957" t="inlineStr">
        <is>
          <t>ELEC</t>
        </is>
      </c>
      <c r="E2957" t="inlineStr">
        <is>
          <t>ELEC-04</t>
        </is>
      </c>
      <c r="F2957" s="17" t="n">
        <v>46007</v>
      </c>
      <c r="G2957" s="17" t="n">
        <v>46025</v>
      </c>
      <c r="H2957" s="18" t="n">
        <v>17</v>
      </c>
      <c r="I2957" s="19" t="n">
        <v>71.55</v>
      </c>
      <c r="J2957" s="19" t="n">
        <v>72</v>
      </c>
      <c r="K2957" s="20" t="n">
        <v>0</v>
      </c>
      <c r="L2957" s="20" t="n">
        <v>0</v>
      </c>
      <c r="M2957" s="18" t="n">
        <v>17</v>
      </c>
      <c r="N2957" s="18" t="n">
        <v>17</v>
      </c>
      <c r="O2957" s="18" t="n">
        <v>0</v>
      </c>
      <c r="P2957" s="17" t="n">
        <v>46021</v>
      </c>
      <c r="Q2957" s="17" t="n">
        <v>46021</v>
      </c>
      <c r="R2957" s="17" t="n">
        <v>46021</v>
      </c>
      <c r="S2957" s="19">
        <f>H2957*I2957</f>
        <v/>
      </c>
      <c r="T2957" s="19">
        <f>H2957*J2957</f>
        <v/>
      </c>
      <c r="U2957">
        <f>IF(AND(K2957=0,G2957&lt;=Assumptions!$C$6),1,0)</f>
        <v/>
      </c>
      <c r="V2957">
        <f>IF(U2957=1,IF(M2957&gt;0,IF(P2957&lt;=G2957+Assumptions!$C$7,1,0),0),0)</f>
        <v/>
      </c>
      <c r="W2957">
        <f>IF(AND(U2957=1,M2957&gt;=H2957*(1-Assumptions!$C$8)),1,0)</f>
        <v/>
      </c>
      <c r="X2957">
        <f>IF(AND(U2957=1,N2957&gt;=H2957*(1-Assumptions!$C$8)),1,0)</f>
        <v/>
      </c>
      <c r="Y2957">
        <f>IF(ISNUMBER(Q2957),1,0)</f>
        <v/>
      </c>
      <c r="Z2957">
        <f>IF(AND(K2957=0,L2957=0,Y2957=0),1,0)</f>
        <v/>
      </c>
      <c r="AA2957">
        <f>IF(AND(Z2957=1,G2957&lt;Assumptions!$C$6),1,0)</f>
        <v/>
      </c>
      <c r="AB2957">
        <f>IF(U2957=0,"",IF(Y2957=1,MAX(0,Q2957-G2957),IF(L2957=1,MAX(0,R2957-G2957),MAX(0,Assumptions!$C$6-G2957))))</f>
        <v/>
      </c>
      <c r="AC2957">
        <f>IF(Y2957=1,Q2957-F2957,"")</f>
        <v/>
      </c>
      <c r="AD2957">
        <f>IF(Y2957=1,AC2957^2,"")</f>
        <v/>
      </c>
      <c r="AE2957" s="19">
        <f>IF(Z2957=1,(H2957-M2957)*I2957,0)</f>
        <v/>
      </c>
      <c r="AF2957">
        <f>IF(G2957&lt;EDATE(Assumptions!$C$6,-12)+1,"prior_12m","last_12m")</f>
        <v/>
      </c>
      <c r="AG2957" s="21">
        <f>DATE(YEAR(G2957),MONTH(G2957),1)</f>
        <v/>
      </c>
    </row>
    <row r="2958">
      <c r="A2958" t="inlineStr">
        <is>
          <t>SPO-01587-1</t>
        </is>
      </c>
      <c r="B2958" t="inlineStr">
        <is>
          <t>SPO-01587</t>
        </is>
      </c>
      <c r="C2958" t="inlineStr">
        <is>
          <t>SUP-08</t>
        </is>
      </c>
      <c r="D2958" t="inlineStr">
        <is>
          <t>PPE</t>
        </is>
      </c>
      <c r="E2958" t="inlineStr">
        <is>
          <t>PPE-05</t>
        </is>
      </c>
      <c r="F2958" s="17" t="n">
        <v>46007</v>
      </c>
      <c r="G2958" s="17" t="n">
        <v>46018</v>
      </c>
      <c r="H2958" s="18" t="n">
        <v>143</v>
      </c>
      <c r="I2958" s="19" t="n">
        <v>10.79</v>
      </c>
      <c r="J2958" s="19" t="n">
        <v>11</v>
      </c>
      <c r="K2958" s="20" t="n">
        <v>0</v>
      </c>
      <c r="L2958" s="20" t="n">
        <v>0</v>
      </c>
      <c r="M2958" s="18" t="n">
        <v>143</v>
      </c>
      <c r="N2958" s="18" t="n">
        <v>143</v>
      </c>
      <c r="O2958" s="18" t="n">
        <v>0</v>
      </c>
      <c r="P2958" s="17" t="n">
        <v>46012</v>
      </c>
      <c r="Q2958" s="17" t="n">
        <v>46012</v>
      </c>
      <c r="R2958" s="17" t="n">
        <v>46012</v>
      </c>
      <c r="S2958" s="19">
        <f>H2958*I2958</f>
        <v/>
      </c>
      <c r="T2958" s="19">
        <f>H2958*J2958</f>
        <v/>
      </c>
      <c r="U2958">
        <f>IF(AND(K2958=0,G2958&lt;=Assumptions!$C$6),1,0)</f>
        <v/>
      </c>
      <c r="V2958">
        <f>IF(U2958=1,IF(M2958&gt;0,IF(P2958&lt;=G2958+Assumptions!$C$7,1,0),0),0)</f>
        <v/>
      </c>
      <c r="W2958">
        <f>IF(AND(U2958=1,M2958&gt;=H2958*(1-Assumptions!$C$8)),1,0)</f>
        <v/>
      </c>
      <c r="X2958">
        <f>IF(AND(U2958=1,N2958&gt;=H2958*(1-Assumptions!$C$8)),1,0)</f>
        <v/>
      </c>
      <c r="Y2958">
        <f>IF(ISNUMBER(Q2958),1,0)</f>
        <v/>
      </c>
      <c r="Z2958">
        <f>IF(AND(K2958=0,L2958=0,Y2958=0),1,0)</f>
        <v/>
      </c>
      <c r="AA2958">
        <f>IF(AND(Z2958=1,G2958&lt;Assumptions!$C$6),1,0)</f>
        <v/>
      </c>
      <c r="AB2958">
        <f>IF(U2958=0,"",IF(Y2958=1,MAX(0,Q2958-G2958),IF(L2958=1,MAX(0,R2958-G2958),MAX(0,Assumptions!$C$6-G2958))))</f>
        <v/>
      </c>
      <c r="AC2958">
        <f>IF(Y2958=1,Q2958-F2958,"")</f>
        <v/>
      </c>
      <c r="AD2958">
        <f>IF(Y2958=1,AC2958^2,"")</f>
        <v/>
      </c>
      <c r="AE2958" s="19">
        <f>IF(Z2958=1,(H2958-M2958)*I2958,0)</f>
        <v/>
      </c>
      <c r="AF2958">
        <f>IF(G2958&lt;EDATE(Assumptions!$C$6,-12)+1,"prior_12m","last_12m")</f>
        <v/>
      </c>
      <c r="AG2958" s="21">
        <f>DATE(YEAR(G2958),MONTH(G2958),1)</f>
        <v/>
      </c>
    </row>
    <row r="2959">
      <c r="A2959" t="inlineStr">
        <is>
          <t>SPO-01587-2</t>
        </is>
      </c>
      <c r="B2959" t="inlineStr">
        <is>
          <t>SPO-01587</t>
        </is>
      </c>
      <c r="C2959" t="inlineStr">
        <is>
          <t>SUP-08</t>
        </is>
      </c>
      <c r="D2959" t="inlineStr">
        <is>
          <t>PPE</t>
        </is>
      </c>
      <c r="E2959" t="inlineStr">
        <is>
          <t>PPE-02</t>
        </is>
      </c>
      <c r="F2959" s="17" t="n">
        <v>46007</v>
      </c>
      <c r="G2959" s="17" t="n">
        <v>46018</v>
      </c>
      <c r="H2959" s="18" t="n">
        <v>41</v>
      </c>
      <c r="I2959" s="19" t="n">
        <v>12.05</v>
      </c>
      <c r="J2959" s="19" t="n">
        <v>12.5</v>
      </c>
      <c r="K2959" s="20" t="n">
        <v>0</v>
      </c>
      <c r="L2959" s="20" t="n">
        <v>0</v>
      </c>
      <c r="M2959" s="18" t="n">
        <v>41</v>
      </c>
      <c r="N2959" s="18" t="n">
        <v>41</v>
      </c>
      <c r="O2959" s="18" t="n">
        <v>0</v>
      </c>
      <c r="P2959" s="17" t="n">
        <v>46015</v>
      </c>
      <c r="Q2959" s="17" t="n">
        <v>46015</v>
      </c>
      <c r="R2959" s="17" t="n">
        <v>46015</v>
      </c>
      <c r="S2959" s="19">
        <f>H2959*I2959</f>
        <v/>
      </c>
      <c r="T2959" s="19">
        <f>H2959*J2959</f>
        <v/>
      </c>
      <c r="U2959">
        <f>IF(AND(K2959=0,G2959&lt;=Assumptions!$C$6),1,0)</f>
        <v/>
      </c>
      <c r="V2959">
        <f>IF(U2959=1,IF(M2959&gt;0,IF(P2959&lt;=G2959+Assumptions!$C$7,1,0),0),0)</f>
        <v/>
      </c>
      <c r="W2959">
        <f>IF(AND(U2959=1,M2959&gt;=H2959*(1-Assumptions!$C$8)),1,0)</f>
        <v/>
      </c>
      <c r="X2959">
        <f>IF(AND(U2959=1,N2959&gt;=H2959*(1-Assumptions!$C$8)),1,0)</f>
        <v/>
      </c>
      <c r="Y2959">
        <f>IF(ISNUMBER(Q2959),1,0)</f>
        <v/>
      </c>
      <c r="Z2959">
        <f>IF(AND(K2959=0,L2959=0,Y2959=0),1,0)</f>
        <v/>
      </c>
      <c r="AA2959">
        <f>IF(AND(Z2959=1,G2959&lt;Assumptions!$C$6),1,0)</f>
        <v/>
      </c>
      <c r="AB2959">
        <f>IF(U2959=0,"",IF(Y2959=1,MAX(0,Q2959-G2959),IF(L2959=1,MAX(0,R2959-G2959),MAX(0,Assumptions!$C$6-G2959))))</f>
        <v/>
      </c>
      <c r="AC2959">
        <f>IF(Y2959=1,Q2959-F2959,"")</f>
        <v/>
      </c>
      <c r="AD2959">
        <f>IF(Y2959=1,AC2959^2,"")</f>
        <v/>
      </c>
      <c r="AE2959" s="19">
        <f>IF(Z2959=1,(H2959-M2959)*I2959,0)</f>
        <v/>
      </c>
      <c r="AF2959">
        <f>IF(G2959&lt;EDATE(Assumptions!$C$6,-12)+1,"prior_12m","last_12m")</f>
        <v/>
      </c>
      <c r="AG2959" s="21">
        <f>DATE(YEAR(G2959),MONTH(G2959),1)</f>
        <v/>
      </c>
    </row>
    <row r="2960">
      <c r="A2960" t="inlineStr">
        <is>
          <t>SPO-01587-3</t>
        </is>
      </c>
      <c r="B2960" t="inlineStr">
        <is>
          <t>SPO-01587</t>
        </is>
      </c>
      <c r="C2960" t="inlineStr">
        <is>
          <t>SUP-08</t>
        </is>
      </c>
      <c r="D2960" t="inlineStr">
        <is>
          <t>PPE</t>
        </is>
      </c>
      <c r="E2960" t="inlineStr">
        <is>
          <t>PPE-07</t>
        </is>
      </c>
      <c r="F2960" s="17" t="n">
        <v>46007</v>
      </c>
      <c r="G2960" s="17" t="n">
        <v>46018</v>
      </c>
      <c r="H2960" s="18" t="n">
        <v>28</v>
      </c>
      <c r="I2960" s="19" t="n">
        <v>30.66</v>
      </c>
      <c r="J2960" s="19" t="n">
        <v>31</v>
      </c>
      <c r="K2960" s="20" t="n">
        <v>0</v>
      </c>
      <c r="L2960" s="20" t="n">
        <v>0</v>
      </c>
      <c r="M2960" s="18" t="n">
        <v>28</v>
      </c>
      <c r="N2960" s="18" t="n">
        <v>28</v>
      </c>
      <c r="O2960" s="18" t="n">
        <v>0</v>
      </c>
      <c r="P2960" s="17" t="n">
        <v>46018</v>
      </c>
      <c r="Q2960" s="17" t="n">
        <v>46018</v>
      </c>
      <c r="R2960" s="17" t="n">
        <v>46018</v>
      </c>
      <c r="S2960" s="19">
        <f>H2960*I2960</f>
        <v/>
      </c>
      <c r="T2960" s="19">
        <f>H2960*J2960</f>
        <v/>
      </c>
      <c r="U2960">
        <f>IF(AND(K2960=0,G2960&lt;=Assumptions!$C$6),1,0)</f>
        <v/>
      </c>
      <c r="V2960">
        <f>IF(U2960=1,IF(M2960&gt;0,IF(P2960&lt;=G2960+Assumptions!$C$7,1,0),0),0)</f>
        <v/>
      </c>
      <c r="W2960">
        <f>IF(AND(U2960=1,M2960&gt;=H2960*(1-Assumptions!$C$8)),1,0)</f>
        <v/>
      </c>
      <c r="X2960">
        <f>IF(AND(U2960=1,N2960&gt;=H2960*(1-Assumptions!$C$8)),1,0)</f>
        <v/>
      </c>
      <c r="Y2960">
        <f>IF(ISNUMBER(Q2960),1,0)</f>
        <v/>
      </c>
      <c r="Z2960">
        <f>IF(AND(K2960=0,L2960=0,Y2960=0),1,0)</f>
        <v/>
      </c>
      <c r="AA2960">
        <f>IF(AND(Z2960=1,G2960&lt;Assumptions!$C$6),1,0)</f>
        <v/>
      </c>
      <c r="AB2960">
        <f>IF(U2960=0,"",IF(Y2960=1,MAX(0,Q2960-G2960),IF(L2960=1,MAX(0,R2960-G2960),MAX(0,Assumptions!$C$6-G2960))))</f>
        <v/>
      </c>
      <c r="AC2960">
        <f>IF(Y2960=1,Q2960-F2960,"")</f>
        <v/>
      </c>
      <c r="AD2960">
        <f>IF(Y2960=1,AC2960^2,"")</f>
        <v/>
      </c>
      <c r="AE2960" s="19">
        <f>IF(Z2960=1,(H2960-M2960)*I2960,0)</f>
        <v/>
      </c>
      <c r="AF2960">
        <f>IF(G2960&lt;EDATE(Assumptions!$C$6,-12)+1,"prior_12m","last_12m")</f>
        <v/>
      </c>
      <c r="AG2960" s="21">
        <f>DATE(YEAR(G2960),MONTH(G2960),1)</f>
        <v/>
      </c>
    </row>
    <row r="2961">
      <c r="A2961" t="inlineStr">
        <is>
          <t>SPO-01588-1</t>
        </is>
      </c>
      <c r="B2961" t="inlineStr">
        <is>
          <t>SPO-01588</t>
        </is>
      </c>
      <c r="C2961" t="inlineStr">
        <is>
          <t>SUP-04</t>
        </is>
      </c>
      <c r="D2961" t="inlineStr">
        <is>
          <t>FLEET</t>
        </is>
      </c>
      <c r="E2961" t="inlineStr">
        <is>
          <t>FLEET-07</t>
        </is>
      </c>
      <c r="F2961" s="17" t="n">
        <v>46007</v>
      </c>
      <c r="G2961" s="17" t="n">
        <v>46020</v>
      </c>
      <c r="H2961" s="18" t="n">
        <v>18</v>
      </c>
      <c r="I2961" s="19" t="n">
        <v>118.93</v>
      </c>
      <c r="J2961" s="19" t="n">
        <v>118</v>
      </c>
      <c r="K2961" s="20" t="n">
        <v>1</v>
      </c>
      <c r="L2961" s="20" t="n">
        <v>0</v>
      </c>
      <c r="M2961" s="18" t="n">
        <v>0</v>
      </c>
      <c r="N2961" s="18" t="n">
        <v>0</v>
      </c>
      <c r="O2961" s="18" t="n">
        <v>0</v>
      </c>
      <c r="P2961" s="17" t="n"/>
      <c r="Q2961" s="17" t="n"/>
      <c r="R2961" s="17" t="n"/>
      <c r="S2961" s="19">
        <f>H2961*I2961</f>
        <v/>
      </c>
      <c r="T2961" s="19">
        <f>H2961*J2961</f>
        <v/>
      </c>
      <c r="U2961">
        <f>IF(AND(K2961=0,G2961&lt;=Assumptions!$C$6),1,0)</f>
        <v/>
      </c>
      <c r="V2961">
        <f>IF(U2961=1,IF(M2961&gt;0,IF(P2961&lt;=G2961+Assumptions!$C$7,1,0),0),0)</f>
        <v/>
      </c>
      <c r="W2961">
        <f>IF(AND(U2961=1,M2961&gt;=H2961*(1-Assumptions!$C$8)),1,0)</f>
        <v/>
      </c>
      <c r="X2961">
        <f>IF(AND(U2961=1,N2961&gt;=H2961*(1-Assumptions!$C$8)),1,0)</f>
        <v/>
      </c>
      <c r="Y2961">
        <f>IF(ISNUMBER(Q2961),1,0)</f>
        <v/>
      </c>
      <c r="Z2961">
        <f>IF(AND(K2961=0,L2961=0,Y2961=0),1,0)</f>
        <v/>
      </c>
      <c r="AA2961">
        <f>IF(AND(Z2961=1,G2961&lt;Assumptions!$C$6),1,0)</f>
        <v/>
      </c>
      <c r="AB2961">
        <f>IF(U2961=0,"",IF(Y2961=1,MAX(0,Q2961-G2961),IF(L2961=1,MAX(0,R2961-G2961),MAX(0,Assumptions!$C$6-G2961))))</f>
        <v/>
      </c>
      <c r="AC2961">
        <f>IF(Y2961=1,Q2961-F2961,"")</f>
        <v/>
      </c>
      <c r="AD2961">
        <f>IF(Y2961=1,AC2961^2,"")</f>
        <v/>
      </c>
      <c r="AE2961" s="19">
        <f>IF(Z2961=1,(H2961-M2961)*I2961,0)</f>
        <v/>
      </c>
      <c r="AF2961">
        <f>IF(G2961&lt;EDATE(Assumptions!$C$6,-12)+1,"prior_12m","last_12m")</f>
        <v/>
      </c>
      <c r="AG2961" s="21">
        <f>DATE(YEAR(G2961),MONTH(G2961),1)</f>
        <v/>
      </c>
    </row>
    <row r="2962">
      <c r="A2962" t="inlineStr">
        <is>
          <t>SPO-01589-1</t>
        </is>
      </c>
      <c r="B2962" t="inlineStr">
        <is>
          <t>SPO-01589</t>
        </is>
      </c>
      <c r="C2962" t="inlineStr">
        <is>
          <t>SUP-06</t>
        </is>
      </c>
      <c r="D2962" t="inlineStr">
        <is>
          <t>MRO</t>
        </is>
      </c>
      <c r="E2962" t="inlineStr">
        <is>
          <t>MRO-02</t>
        </is>
      </c>
      <c r="F2962" s="17" t="n">
        <v>46008</v>
      </c>
      <c r="G2962" s="17" t="n">
        <v>46016</v>
      </c>
      <c r="H2962" s="18" t="n">
        <v>50</v>
      </c>
      <c r="I2962" s="19" t="n">
        <v>40.21</v>
      </c>
      <c r="J2962" s="19" t="n">
        <v>41</v>
      </c>
      <c r="K2962" s="20" t="n">
        <v>0</v>
      </c>
      <c r="L2962" s="20" t="n">
        <v>0</v>
      </c>
      <c r="M2962" s="18" t="n">
        <v>50</v>
      </c>
      <c r="N2962" s="18" t="n">
        <v>50</v>
      </c>
      <c r="O2962" s="18" t="n">
        <v>0</v>
      </c>
      <c r="P2962" s="17" t="n">
        <v>46013</v>
      </c>
      <c r="Q2962" s="17" t="n">
        <v>46013</v>
      </c>
      <c r="R2962" s="17" t="n">
        <v>46013</v>
      </c>
      <c r="S2962" s="19">
        <f>H2962*I2962</f>
        <v/>
      </c>
      <c r="T2962" s="19">
        <f>H2962*J2962</f>
        <v/>
      </c>
      <c r="U2962">
        <f>IF(AND(K2962=0,G2962&lt;=Assumptions!$C$6),1,0)</f>
        <v/>
      </c>
      <c r="V2962">
        <f>IF(U2962=1,IF(M2962&gt;0,IF(P2962&lt;=G2962+Assumptions!$C$7,1,0),0),0)</f>
        <v/>
      </c>
      <c r="W2962">
        <f>IF(AND(U2962=1,M2962&gt;=H2962*(1-Assumptions!$C$8)),1,0)</f>
        <v/>
      </c>
      <c r="X2962">
        <f>IF(AND(U2962=1,N2962&gt;=H2962*(1-Assumptions!$C$8)),1,0)</f>
        <v/>
      </c>
      <c r="Y2962">
        <f>IF(ISNUMBER(Q2962),1,0)</f>
        <v/>
      </c>
      <c r="Z2962">
        <f>IF(AND(K2962=0,L2962=0,Y2962=0),1,0)</f>
        <v/>
      </c>
      <c r="AA2962">
        <f>IF(AND(Z2962=1,G2962&lt;Assumptions!$C$6),1,0)</f>
        <v/>
      </c>
      <c r="AB2962">
        <f>IF(U2962=0,"",IF(Y2962=1,MAX(0,Q2962-G2962),IF(L2962=1,MAX(0,R2962-G2962),MAX(0,Assumptions!$C$6-G2962))))</f>
        <v/>
      </c>
      <c r="AC2962">
        <f>IF(Y2962=1,Q2962-F2962,"")</f>
        <v/>
      </c>
      <c r="AD2962">
        <f>IF(Y2962=1,AC2962^2,"")</f>
        <v/>
      </c>
      <c r="AE2962" s="19">
        <f>IF(Z2962=1,(H2962-M2962)*I2962,0)</f>
        <v/>
      </c>
      <c r="AF2962">
        <f>IF(G2962&lt;EDATE(Assumptions!$C$6,-12)+1,"prior_12m","last_12m")</f>
        <v/>
      </c>
      <c r="AG2962" s="21">
        <f>DATE(YEAR(G2962),MONTH(G2962),1)</f>
        <v/>
      </c>
    </row>
    <row r="2963">
      <c r="A2963" t="inlineStr">
        <is>
          <t>SPO-01589-2</t>
        </is>
      </c>
      <c r="B2963" t="inlineStr">
        <is>
          <t>SPO-01589</t>
        </is>
      </c>
      <c r="C2963" t="inlineStr">
        <is>
          <t>SUP-06</t>
        </is>
      </c>
      <c r="D2963" t="inlineStr">
        <is>
          <t>MRO</t>
        </is>
      </c>
      <c r="E2963" t="inlineStr">
        <is>
          <t>MRO-04</t>
        </is>
      </c>
      <c r="F2963" s="17" t="n">
        <v>46008</v>
      </c>
      <c r="G2963" s="17" t="n">
        <v>46016</v>
      </c>
      <c r="H2963" s="18" t="n">
        <v>31</v>
      </c>
      <c r="I2963" s="19" t="n">
        <v>55.17</v>
      </c>
      <c r="J2963" s="19" t="n">
        <v>58</v>
      </c>
      <c r="K2963" s="20" t="n">
        <v>0</v>
      </c>
      <c r="L2963" s="20" t="n">
        <v>0</v>
      </c>
      <c r="M2963" s="18" t="n">
        <v>31</v>
      </c>
      <c r="N2963" s="18" t="n">
        <v>31</v>
      </c>
      <c r="O2963" s="18" t="n">
        <v>0</v>
      </c>
      <c r="P2963" s="17" t="n">
        <v>46016</v>
      </c>
      <c r="Q2963" s="17" t="n">
        <v>46016</v>
      </c>
      <c r="R2963" s="17" t="n">
        <v>46016</v>
      </c>
      <c r="S2963" s="19">
        <f>H2963*I2963</f>
        <v/>
      </c>
      <c r="T2963" s="19">
        <f>H2963*J2963</f>
        <v/>
      </c>
      <c r="U2963">
        <f>IF(AND(K2963=0,G2963&lt;=Assumptions!$C$6),1,0)</f>
        <v/>
      </c>
      <c r="V2963">
        <f>IF(U2963=1,IF(M2963&gt;0,IF(P2963&lt;=G2963+Assumptions!$C$7,1,0),0),0)</f>
        <v/>
      </c>
      <c r="W2963">
        <f>IF(AND(U2963=1,M2963&gt;=H2963*(1-Assumptions!$C$8)),1,0)</f>
        <v/>
      </c>
      <c r="X2963">
        <f>IF(AND(U2963=1,N2963&gt;=H2963*(1-Assumptions!$C$8)),1,0)</f>
        <v/>
      </c>
      <c r="Y2963">
        <f>IF(ISNUMBER(Q2963),1,0)</f>
        <v/>
      </c>
      <c r="Z2963">
        <f>IF(AND(K2963=0,L2963=0,Y2963=0),1,0)</f>
        <v/>
      </c>
      <c r="AA2963">
        <f>IF(AND(Z2963=1,G2963&lt;Assumptions!$C$6),1,0)</f>
        <v/>
      </c>
      <c r="AB2963">
        <f>IF(U2963=0,"",IF(Y2963=1,MAX(0,Q2963-G2963),IF(L2963=1,MAX(0,R2963-G2963),MAX(0,Assumptions!$C$6-G2963))))</f>
        <v/>
      </c>
      <c r="AC2963">
        <f>IF(Y2963=1,Q2963-F2963,"")</f>
        <v/>
      </c>
      <c r="AD2963">
        <f>IF(Y2963=1,AC2963^2,"")</f>
        <v/>
      </c>
      <c r="AE2963" s="19">
        <f>IF(Z2963=1,(H2963-M2963)*I2963,0)</f>
        <v/>
      </c>
      <c r="AF2963">
        <f>IF(G2963&lt;EDATE(Assumptions!$C$6,-12)+1,"prior_12m","last_12m")</f>
        <v/>
      </c>
      <c r="AG2963" s="21">
        <f>DATE(YEAR(G2963),MONTH(G2963),1)</f>
        <v/>
      </c>
    </row>
    <row r="2964">
      <c r="A2964" t="inlineStr">
        <is>
          <t>SPO-01589-3</t>
        </is>
      </c>
      <c r="B2964" t="inlineStr">
        <is>
          <t>SPO-01589</t>
        </is>
      </c>
      <c r="C2964" t="inlineStr">
        <is>
          <t>SUP-06</t>
        </is>
      </c>
      <c r="D2964" t="inlineStr">
        <is>
          <t>MRO</t>
        </is>
      </c>
      <c r="E2964" t="inlineStr">
        <is>
          <t>MRO-05</t>
        </is>
      </c>
      <c r="F2964" s="17" t="n">
        <v>46008</v>
      </c>
      <c r="G2964" s="17" t="n">
        <v>46016</v>
      </c>
      <c r="H2964" s="18" t="n">
        <v>32</v>
      </c>
      <c r="I2964" s="19" t="n">
        <v>34.95</v>
      </c>
      <c r="J2964" s="19" t="n">
        <v>36</v>
      </c>
      <c r="K2964" s="20" t="n">
        <v>0</v>
      </c>
      <c r="L2964" s="20" t="n">
        <v>0</v>
      </c>
      <c r="M2964" s="18" t="n">
        <v>32</v>
      </c>
      <c r="N2964" s="18" t="n">
        <v>32</v>
      </c>
      <c r="O2964" s="18" t="n">
        <v>0</v>
      </c>
      <c r="P2964" s="17" t="n">
        <v>46013</v>
      </c>
      <c r="Q2964" s="17" t="n">
        <v>46013</v>
      </c>
      <c r="R2964" s="17" t="n">
        <v>46013</v>
      </c>
      <c r="S2964" s="19">
        <f>H2964*I2964</f>
        <v/>
      </c>
      <c r="T2964" s="19">
        <f>H2964*J2964</f>
        <v/>
      </c>
      <c r="U2964">
        <f>IF(AND(K2964=0,G2964&lt;=Assumptions!$C$6),1,0)</f>
        <v/>
      </c>
      <c r="V2964">
        <f>IF(U2964=1,IF(M2964&gt;0,IF(P2964&lt;=G2964+Assumptions!$C$7,1,0),0),0)</f>
        <v/>
      </c>
      <c r="W2964">
        <f>IF(AND(U2964=1,M2964&gt;=H2964*(1-Assumptions!$C$8)),1,0)</f>
        <v/>
      </c>
      <c r="X2964">
        <f>IF(AND(U2964=1,N2964&gt;=H2964*(1-Assumptions!$C$8)),1,0)</f>
        <v/>
      </c>
      <c r="Y2964">
        <f>IF(ISNUMBER(Q2964),1,0)</f>
        <v/>
      </c>
      <c r="Z2964">
        <f>IF(AND(K2964=0,L2964=0,Y2964=0),1,0)</f>
        <v/>
      </c>
      <c r="AA2964">
        <f>IF(AND(Z2964=1,G2964&lt;Assumptions!$C$6),1,0)</f>
        <v/>
      </c>
      <c r="AB2964">
        <f>IF(U2964=0,"",IF(Y2964=1,MAX(0,Q2964-G2964),IF(L2964=1,MAX(0,R2964-G2964),MAX(0,Assumptions!$C$6-G2964))))</f>
        <v/>
      </c>
      <c r="AC2964">
        <f>IF(Y2964=1,Q2964-F2964,"")</f>
        <v/>
      </c>
      <c r="AD2964">
        <f>IF(Y2964=1,AC2964^2,"")</f>
        <v/>
      </c>
      <c r="AE2964" s="19">
        <f>IF(Z2964=1,(H2964-M2964)*I2964,0)</f>
        <v/>
      </c>
      <c r="AF2964">
        <f>IF(G2964&lt;EDATE(Assumptions!$C$6,-12)+1,"prior_12m","last_12m")</f>
        <v/>
      </c>
      <c r="AG2964" s="21">
        <f>DATE(YEAR(G2964),MONTH(G2964),1)</f>
        <v/>
      </c>
    </row>
    <row r="2965">
      <c r="A2965" t="inlineStr">
        <is>
          <t>SPO-01590-1</t>
        </is>
      </c>
      <c r="B2965" t="inlineStr">
        <is>
          <t>SPO-01590</t>
        </is>
      </c>
      <c r="C2965" t="inlineStr">
        <is>
          <t>SUP-02</t>
        </is>
      </c>
      <c r="D2965" t="inlineStr">
        <is>
          <t>ELEC</t>
        </is>
      </c>
      <c r="E2965" t="inlineStr">
        <is>
          <t>ELEC-01</t>
        </is>
      </c>
      <c r="F2965" s="17" t="n">
        <v>46008</v>
      </c>
      <c r="G2965" s="17" t="n">
        <v>46024</v>
      </c>
      <c r="H2965" s="18" t="n">
        <v>48</v>
      </c>
      <c r="I2965" s="19" t="n">
        <v>37.51</v>
      </c>
      <c r="J2965" s="19" t="n">
        <v>38</v>
      </c>
      <c r="K2965" s="20" t="n">
        <v>0</v>
      </c>
      <c r="L2965" s="20" t="n">
        <v>0</v>
      </c>
      <c r="M2965" s="18" t="n">
        <v>48</v>
      </c>
      <c r="N2965" s="18" t="n">
        <v>48</v>
      </c>
      <c r="O2965" s="18" t="n">
        <v>0</v>
      </c>
      <c r="P2965" s="17" t="n">
        <v>46019</v>
      </c>
      <c r="Q2965" s="17" t="n">
        <v>46019</v>
      </c>
      <c r="R2965" s="17" t="n">
        <v>46019</v>
      </c>
      <c r="S2965" s="19">
        <f>H2965*I2965</f>
        <v/>
      </c>
      <c r="T2965" s="19">
        <f>H2965*J2965</f>
        <v/>
      </c>
      <c r="U2965">
        <f>IF(AND(K2965=0,G2965&lt;=Assumptions!$C$6),1,0)</f>
        <v/>
      </c>
      <c r="V2965">
        <f>IF(U2965=1,IF(M2965&gt;0,IF(P2965&lt;=G2965+Assumptions!$C$7,1,0),0),0)</f>
        <v/>
      </c>
      <c r="W2965">
        <f>IF(AND(U2965=1,M2965&gt;=H2965*(1-Assumptions!$C$8)),1,0)</f>
        <v/>
      </c>
      <c r="X2965">
        <f>IF(AND(U2965=1,N2965&gt;=H2965*(1-Assumptions!$C$8)),1,0)</f>
        <v/>
      </c>
      <c r="Y2965">
        <f>IF(ISNUMBER(Q2965),1,0)</f>
        <v/>
      </c>
      <c r="Z2965">
        <f>IF(AND(K2965=0,L2965=0,Y2965=0),1,0)</f>
        <v/>
      </c>
      <c r="AA2965">
        <f>IF(AND(Z2965=1,G2965&lt;Assumptions!$C$6),1,0)</f>
        <v/>
      </c>
      <c r="AB2965">
        <f>IF(U2965=0,"",IF(Y2965=1,MAX(0,Q2965-G2965),IF(L2965=1,MAX(0,R2965-G2965),MAX(0,Assumptions!$C$6-G2965))))</f>
        <v/>
      </c>
      <c r="AC2965">
        <f>IF(Y2965=1,Q2965-F2965,"")</f>
        <v/>
      </c>
      <c r="AD2965">
        <f>IF(Y2965=1,AC2965^2,"")</f>
        <v/>
      </c>
      <c r="AE2965" s="19">
        <f>IF(Z2965=1,(H2965-M2965)*I2965,0)</f>
        <v/>
      </c>
      <c r="AF2965">
        <f>IF(G2965&lt;EDATE(Assumptions!$C$6,-12)+1,"prior_12m","last_12m")</f>
        <v/>
      </c>
      <c r="AG2965" s="21">
        <f>DATE(YEAR(G2965),MONTH(G2965),1)</f>
        <v/>
      </c>
    </row>
    <row r="2966">
      <c r="A2966" t="inlineStr">
        <is>
          <t>SPO-01590-2</t>
        </is>
      </c>
      <c r="B2966" t="inlineStr">
        <is>
          <t>SPO-01590</t>
        </is>
      </c>
      <c r="C2966" t="inlineStr">
        <is>
          <t>SUP-02</t>
        </is>
      </c>
      <c r="D2966" t="inlineStr">
        <is>
          <t>ELEC</t>
        </is>
      </c>
      <c r="E2966" t="inlineStr">
        <is>
          <t>ELEC-03</t>
        </is>
      </c>
      <c r="F2966" s="17" t="n">
        <v>46008</v>
      </c>
      <c r="G2966" s="17" t="n">
        <v>46024</v>
      </c>
      <c r="H2966" s="18" t="n">
        <v>11</v>
      </c>
      <c r="I2966" s="19" t="n">
        <v>101.73</v>
      </c>
      <c r="J2966" s="19" t="n">
        <v>96</v>
      </c>
      <c r="K2966" s="20" t="n">
        <v>0</v>
      </c>
      <c r="L2966" s="20" t="n">
        <v>0</v>
      </c>
      <c r="M2966" s="18" t="n">
        <v>11</v>
      </c>
      <c r="N2966" s="18" t="n">
        <v>11</v>
      </c>
      <c r="O2966" s="18" t="n">
        <v>0</v>
      </c>
      <c r="P2966" s="17" t="n">
        <v>46020</v>
      </c>
      <c r="Q2966" s="17" t="n">
        <v>46020</v>
      </c>
      <c r="R2966" s="17" t="n">
        <v>46020</v>
      </c>
      <c r="S2966" s="19">
        <f>H2966*I2966</f>
        <v/>
      </c>
      <c r="T2966" s="19">
        <f>H2966*J2966</f>
        <v/>
      </c>
      <c r="U2966">
        <f>IF(AND(K2966=0,G2966&lt;=Assumptions!$C$6),1,0)</f>
        <v/>
      </c>
      <c r="V2966">
        <f>IF(U2966=1,IF(M2966&gt;0,IF(P2966&lt;=G2966+Assumptions!$C$7,1,0),0),0)</f>
        <v/>
      </c>
      <c r="W2966">
        <f>IF(AND(U2966=1,M2966&gt;=H2966*(1-Assumptions!$C$8)),1,0)</f>
        <v/>
      </c>
      <c r="X2966">
        <f>IF(AND(U2966=1,N2966&gt;=H2966*(1-Assumptions!$C$8)),1,0)</f>
        <v/>
      </c>
      <c r="Y2966">
        <f>IF(ISNUMBER(Q2966),1,0)</f>
        <v/>
      </c>
      <c r="Z2966">
        <f>IF(AND(K2966=0,L2966=0,Y2966=0),1,0)</f>
        <v/>
      </c>
      <c r="AA2966">
        <f>IF(AND(Z2966=1,G2966&lt;Assumptions!$C$6),1,0)</f>
        <v/>
      </c>
      <c r="AB2966">
        <f>IF(U2966=0,"",IF(Y2966=1,MAX(0,Q2966-G2966),IF(L2966=1,MAX(0,R2966-G2966),MAX(0,Assumptions!$C$6-G2966))))</f>
        <v/>
      </c>
      <c r="AC2966">
        <f>IF(Y2966=1,Q2966-F2966,"")</f>
        <v/>
      </c>
      <c r="AD2966">
        <f>IF(Y2966=1,AC2966^2,"")</f>
        <v/>
      </c>
      <c r="AE2966" s="19">
        <f>IF(Z2966=1,(H2966-M2966)*I2966,0)</f>
        <v/>
      </c>
      <c r="AF2966">
        <f>IF(G2966&lt;EDATE(Assumptions!$C$6,-12)+1,"prior_12m","last_12m")</f>
        <v/>
      </c>
      <c r="AG2966" s="21">
        <f>DATE(YEAR(G2966),MONTH(G2966),1)</f>
        <v/>
      </c>
    </row>
    <row r="2967">
      <c r="A2967" t="inlineStr">
        <is>
          <t>SPO-01590-3</t>
        </is>
      </c>
      <c r="B2967" t="inlineStr">
        <is>
          <t>SPO-01590</t>
        </is>
      </c>
      <c r="C2967" t="inlineStr">
        <is>
          <t>SUP-02</t>
        </is>
      </c>
      <c r="D2967" t="inlineStr">
        <is>
          <t>ELEC</t>
        </is>
      </c>
      <c r="E2967" t="inlineStr">
        <is>
          <t>ELEC-04</t>
        </is>
      </c>
      <c r="F2967" s="17" t="n">
        <v>46008</v>
      </c>
      <c r="G2967" s="17" t="n">
        <v>46024</v>
      </c>
      <c r="H2967" s="18" t="n">
        <v>17</v>
      </c>
      <c r="I2967" s="19" t="n">
        <v>72.65000000000001</v>
      </c>
      <c r="J2967" s="19" t="n">
        <v>72</v>
      </c>
      <c r="K2967" s="20" t="n">
        <v>0</v>
      </c>
      <c r="L2967" s="20" t="n">
        <v>0</v>
      </c>
      <c r="M2967" s="18" t="n">
        <v>17</v>
      </c>
      <c r="N2967" s="18" t="n">
        <v>17</v>
      </c>
      <c r="O2967" s="18" t="n">
        <v>0</v>
      </c>
      <c r="P2967" s="17" t="n">
        <v>46019</v>
      </c>
      <c r="Q2967" s="17" t="n">
        <v>46019</v>
      </c>
      <c r="R2967" s="17" t="n">
        <v>46019</v>
      </c>
      <c r="S2967" s="19">
        <f>H2967*I2967</f>
        <v/>
      </c>
      <c r="T2967" s="19">
        <f>H2967*J2967</f>
        <v/>
      </c>
      <c r="U2967">
        <f>IF(AND(K2967=0,G2967&lt;=Assumptions!$C$6),1,0)</f>
        <v/>
      </c>
      <c r="V2967">
        <f>IF(U2967=1,IF(M2967&gt;0,IF(P2967&lt;=G2967+Assumptions!$C$7,1,0),0),0)</f>
        <v/>
      </c>
      <c r="W2967">
        <f>IF(AND(U2967=1,M2967&gt;=H2967*(1-Assumptions!$C$8)),1,0)</f>
        <v/>
      </c>
      <c r="X2967">
        <f>IF(AND(U2967=1,N2967&gt;=H2967*(1-Assumptions!$C$8)),1,0)</f>
        <v/>
      </c>
      <c r="Y2967">
        <f>IF(ISNUMBER(Q2967),1,0)</f>
        <v/>
      </c>
      <c r="Z2967">
        <f>IF(AND(K2967=0,L2967=0,Y2967=0),1,0)</f>
        <v/>
      </c>
      <c r="AA2967">
        <f>IF(AND(Z2967=1,G2967&lt;Assumptions!$C$6),1,0)</f>
        <v/>
      </c>
      <c r="AB2967">
        <f>IF(U2967=0,"",IF(Y2967=1,MAX(0,Q2967-G2967),IF(L2967=1,MAX(0,R2967-G2967),MAX(0,Assumptions!$C$6-G2967))))</f>
        <v/>
      </c>
      <c r="AC2967">
        <f>IF(Y2967=1,Q2967-F2967,"")</f>
        <v/>
      </c>
      <c r="AD2967">
        <f>IF(Y2967=1,AC2967^2,"")</f>
        <v/>
      </c>
      <c r="AE2967" s="19">
        <f>IF(Z2967=1,(H2967-M2967)*I2967,0)</f>
        <v/>
      </c>
      <c r="AF2967">
        <f>IF(G2967&lt;EDATE(Assumptions!$C$6,-12)+1,"prior_12m","last_12m")</f>
        <v/>
      </c>
      <c r="AG2967" s="21">
        <f>DATE(YEAR(G2967),MONTH(G2967),1)</f>
        <v/>
      </c>
    </row>
    <row r="2968">
      <c r="A2968" t="inlineStr">
        <is>
          <t>SPO-01590-4</t>
        </is>
      </c>
      <c r="B2968" t="inlineStr">
        <is>
          <t>SPO-01590</t>
        </is>
      </c>
      <c r="C2968" t="inlineStr">
        <is>
          <t>SUP-02</t>
        </is>
      </c>
      <c r="D2968" t="inlineStr">
        <is>
          <t>ELEC</t>
        </is>
      </c>
      <c r="E2968" t="inlineStr">
        <is>
          <t>ELEC-07</t>
        </is>
      </c>
      <c r="F2968" s="17" t="n">
        <v>46008</v>
      </c>
      <c r="G2968" s="17" t="n">
        <v>46024</v>
      </c>
      <c r="H2968" s="18" t="n">
        <v>278</v>
      </c>
      <c r="I2968" s="19" t="n">
        <v>9.640000000000001</v>
      </c>
      <c r="J2968" s="19" t="n">
        <v>9.800000000000001</v>
      </c>
      <c r="K2968" s="20" t="n">
        <v>0</v>
      </c>
      <c r="L2968" s="20" t="n">
        <v>0</v>
      </c>
      <c r="M2968" s="18" t="n">
        <v>278</v>
      </c>
      <c r="N2968" s="18" t="n">
        <v>278</v>
      </c>
      <c r="O2968" s="18" t="n">
        <v>0</v>
      </c>
      <c r="P2968" s="17" t="n">
        <v>46018</v>
      </c>
      <c r="Q2968" s="17" t="n">
        <v>46018</v>
      </c>
      <c r="R2968" s="17" t="n">
        <v>46018</v>
      </c>
      <c r="S2968" s="19">
        <f>H2968*I2968</f>
        <v/>
      </c>
      <c r="T2968" s="19">
        <f>H2968*J2968</f>
        <v/>
      </c>
      <c r="U2968">
        <f>IF(AND(K2968=0,G2968&lt;=Assumptions!$C$6),1,0)</f>
        <v/>
      </c>
      <c r="V2968">
        <f>IF(U2968=1,IF(M2968&gt;0,IF(P2968&lt;=G2968+Assumptions!$C$7,1,0),0),0)</f>
        <v/>
      </c>
      <c r="W2968">
        <f>IF(AND(U2968=1,M2968&gt;=H2968*(1-Assumptions!$C$8)),1,0)</f>
        <v/>
      </c>
      <c r="X2968">
        <f>IF(AND(U2968=1,N2968&gt;=H2968*(1-Assumptions!$C$8)),1,0)</f>
        <v/>
      </c>
      <c r="Y2968">
        <f>IF(ISNUMBER(Q2968),1,0)</f>
        <v/>
      </c>
      <c r="Z2968">
        <f>IF(AND(K2968=0,L2968=0,Y2968=0),1,0)</f>
        <v/>
      </c>
      <c r="AA2968">
        <f>IF(AND(Z2968=1,G2968&lt;Assumptions!$C$6),1,0)</f>
        <v/>
      </c>
      <c r="AB2968">
        <f>IF(U2968=0,"",IF(Y2968=1,MAX(0,Q2968-G2968),IF(L2968=1,MAX(0,R2968-G2968),MAX(0,Assumptions!$C$6-G2968))))</f>
        <v/>
      </c>
      <c r="AC2968">
        <f>IF(Y2968=1,Q2968-F2968,"")</f>
        <v/>
      </c>
      <c r="AD2968">
        <f>IF(Y2968=1,AC2968^2,"")</f>
        <v/>
      </c>
      <c r="AE2968" s="19">
        <f>IF(Z2968=1,(H2968-M2968)*I2968,0)</f>
        <v/>
      </c>
      <c r="AF2968">
        <f>IF(G2968&lt;EDATE(Assumptions!$C$6,-12)+1,"prior_12m","last_12m")</f>
        <v/>
      </c>
      <c r="AG2968" s="21">
        <f>DATE(YEAR(G2968),MONTH(G2968),1)</f>
        <v/>
      </c>
    </row>
    <row r="2969">
      <c r="A2969" t="inlineStr">
        <is>
          <t>SPO-01591-1</t>
        </is>
      </c>
      <c r="B2969" t="inlineStr">
        <is>
          <t>SPO-01591</t>
        </is>
      </c>
      <c r="C2969" t="inlineStr">
        <is>
          <t>SUP-06</t>
        </is>
      </c>
      <c r="D2969" t="inlineStr">
        <is>
          <t>MRO</t>
        </is>
      </c>
      <c r="E2969" t="inlineStr">
        <is>
          <t>MRO-05</t>
        </is>
      </c>
      <c r="F2969" s="17" t="n">
        <v>46008</v>
      </c>
      <c r="G2969" s="17" t="n">
        <v>46016</v>
      </c>
      <c r="H2969" s="18" t="n">
        <v>34</v>
      </c>
      <c r="I2969" s="19" t="n">
        <v>36.51</v>
      </c>
      <c r="J2969" s="19" t="n">
        <v>36</v>
      </c>
      <c r="K2969" s="20" t="n">
        <v>0</v>
      </c>
      <c r="L2969" s="20" t="n">
        <v>0</v>
      </c>
      <c r="M2969" s="18" t="n">
        <v>34</v>
      </c>
      <c r="N2969" s="18" t="n">
        <v>34</v>
      </c>
      <c r="O2969" s="18" t="n">
        <v>0</v>
      </c>
      <c r="P2969" s="17" t="n">
        <v>46013</v>
      </c>
      <c r="Q2969" s="17" t="n">
        <v>46013</v>
      </c>
      <c r="R2969" s="17" t="n">
        <v>46013</v>
      </c>
      <c r="S2969" s="19">
        <f>H2969*I2969</f>
        <v/>
      </c>
      <c r="T2969" s="19">
        <f>H2969*J2969</f>
        <v/>
      </c>
      <c r="U2969">
        <f>IF(AND(K2969=0,G2969&lt;=Assumptions!$C$6),1,0)</f>
        <v/>
      </c>
      <c r="V2969">
        <f>IF(U2969=1,IF(M2969&gt;0,IF(P2969&lt;=G2969+Assumptions!$C$7,1,0),0),0)</f>
        <v/>
      </c>
      <c r="W2969">
        <f>IF(AND(U2969=1,M2969&gt;=H2969*(1-Assumptions!$C$8)),1,0)</f>
        <v/>
      </c>
      <c r="X2969">
        <f>IF(AND(U2969=1,N2969&gt;=H2969*(1-Assumptions!$C$8)),1,0)</f>
        <v/>
      </c>
      <c r="Y2969">
        <f>IF(ISNUMBER(Q2969),1,0)</f>
        <v/>
      </c>
      <c r="Z2969">
        <f>IF(AND(K2969=0,L2969=0,Y2969=0),1,0)</f>
        <v/>
      </c>
      <c r="AA2969">
        <f>IF(AND(Z2969=1,G2969&lt;Assumptions!$C$6),1,0)</f>
        <v/>
      </c>
      <c r="AB2969">
        <f>IF(U2969=0,"",IF(Y2969=1,MAX(0,Q2969-G2969),IF(L2969=1,MAX(0,R2969-G2969),MAX(0,Assumptions!$C$6-G2969))))</f>
        <v/>
      </c>
      <c r="AC2969">
        <f>IF(Y2969=1,Q2969-F2969,"")</f>
        <v/>
      </c>
      <c r="AD2969">
        <f>IF(Y2969=1,AC2969^2,"")</f>
        <v/>
      </c>
      <c r="AE2969" s="19">
        <f>IF(Z2969=1,(H2969-M2969)*I2969,0)</f>
        <v/>
      </c>
      <c r="AF2969">
        <f>IF(G2969&lt;EDATE(Assumptions!$C$6,-12)+1,"prior_12m","last_12m")</f>
        <v/>
      </c>
      <c r="AG2969" s="21">
        <f>DATE(YEAR(G2969),MONTH(G2969),1)</f>
        <v/>
      </c>
    </row>
    <row r="2970">
      <c r="A2970" t="inlineStr">
        <is>
          <t>SPO-01591-2</t>
        </is>
      </c>
      <c r="B2970" t="inlineStr">
        <is>
          <t>SPO-01591</t>
        </is>
      </c>
      <c r="C2970" t="inlineStr">
        <is>
          <t>SUP-06</t>
        </is>
      </c>
      <c r="D2970" t="inlineStr">
        <is>
          <t>MRO</t>
        </is>
      </c>
      <c r="E2970" t="inlineStr">
        <is>
          <t>MRO-04</t>
        </is>
      </c>
      <c r="F2970" s="17" t="n">
        <v>46008</v>
      </c>
      <c r="G2970" s="17" t="n">
        <v>46016</v>
      </c>
      <c r="H2970" s="18" t="n">
        <v>7</v>
      </c>
      <c r="I2970" s="19" t="n">
        <v>55.49</v>
      </c>
      <c r="J2970" s="19" t="n">
        <v>58</v>
      </c>
      <c r="K2970" s="20" t="n">
        <v>0</v>
      </c>
      <c r="L2970" s="20" t="n">
        <v>0</v>
      </c>
      <c r="M2970" s="18" t="n">
        <v>7</v>
      </c>
      <c r="N2970" s="18" t="n">
        <v>7</v>
      </c>
      <c r="O2970" s="18" t="n">
        <v>0</v>
      </c>
      <c r="P2970" s="17" t="n">
        <v>46014</v>
      </c>
      <c r="Q2970" s="17" t="n">
        <v>46014</v>
      </c>
      <c r="R2970" s="17" t="n">
        <v>46014</v>
      </c>
      <c r="S2970" s="19">
        <f>H2970*I2970</f>
        <v/>
      </c>
      <c r="T2970" s="19">
        <f>H2970*J2970</f>
        <v/>
      </c>
      <c r="U2970">
        <f>IF(AND(K2970=0,G2970&lt;=Assumptions!$C$6),1,0)</f>
        <v/>
      </c>
      <c r="V2970">
        <f>IF(U2970=1,IF(M2970&gt;0,IF(P2970&lt;=G2970+Assumptions!$C$7,1,0),0),0)</f>
        <v/>
      </c>
      <c r="W2970">
        <f>IF(AND(U2970=1,M2970&gt;=H2970*(1-Assumptions!$C$8)),1,0)</f>
        <v/>
      </c>
      <c r="X2970">
        <f>IF(AND(U2970=1,N2970&gt;=H2970*(1-Assumptions!$C$8)),1,0)</f>
        <v/>
      </c>
      <c r="Y2970">
        <f>IF(ISNUMBER(Q2970),1,0)</f>
        <v/>
      </c>
      <c r="Z2970">
        <f>IF(AND(K2970=0,L2970=0,Y2970=0),1,0)</f>
        <v/>
      </c>
      <c r="AA2970">
        <f>IF(AND(Z2970=1,G2970&lt;Assumptions!$C$6),1,0)</f>
        <v/>
      </c>
      <c r="AB2970">
        <f>IF(U2970=0,"",IF(Y2970=1,MAX(0,Q2970-G2970),IF(L2970=1,MAX(0,R2970-G2970),MAX(0,Assumptions!$C$6-G2970))))</f>
        <v/>
      </c>
      <c r="AC2970">
        <f>IF(Y2970=1,Q2970-F2970,"")</f>
        <v/>
      </c>
      <c r="AD2970">
        <f>IF(Y2970=1,AC2970^2,"")</f>
        <v/>
      </c>
      <c r="AE2970" s="19">
        <f>IF(Z2970=1,(H2970-M2970)*I2970,0)</f>
        <v/>
      </c>
      <c r="AF2970">
        <f>IF(G2970&lt;EDATE(Assumptions!$C$6,-12)+1,"prior_12m","last_12m")</f>
        <v/>
      </c>
      <c r="AG2970" s="21">
        <f>DATE(YEAR(G2970),MONTH(G2970),1)</f>
        <v/>
      </c>
    </row>
    <row r="2971">
      <c r="A2971" t="inlineStr">
        <is>
          <t>SPO-01592-1</t>
        </is>
      </c>
      <c r="B2971" t="inlineStr">
        <is>
          <t>SPO-01592</t>
        </is>
      </c>
      <c r="C2971" t="inlineStr">
        <is>
          <t>SUP-06</t>
        </is>
      </c>
      <c r="D2971" t="inlineStr">
        <is>
          <t>MRO</t>
        </is>
      </c>
      <c r="E2971" t="inlineStr">
        <is>
          <t>MRO-08</t>
        </is>
      </c>
      <c r="F2971" s="17" t="n">
        <v>46008</v>
      </c>
      <c r="G2971" s="17" t="n">
        <v>46016</v>
      </c>
      <c r="H2971" s="18" t="n">
        <v>167</v>
      </c>
      <c r="I2971" s="19" t="n">
        <v>6.7</v>
      </c>
      <c r="J2971" s="19" t="n">
        <v>7.2</v>
      </c>
      <c r="K2971" s="20" t="n">
        <v>0</v>
      </c>
      <c r="L2971" s="20" t="n">
        <v>0</v>
      </c>
      <c r="M2971" s="18" t="n">
        <v>167</v>
      </c>
      <c r="N2971" s="18" t="n">
        <v>167</v>
      </c>
      <c r="O2971" s="18" t="n">
        <v>0</v>
      </c>
      <c r="P2971" s="17" t="n">
        <v>46013</v>
      </c>
      <c r="Q2971" s="17" t="n">
        <v>46013</v>
      </c>
      <c r="R2971" s="17" t="n">
        <v>46013</v>
      </c>
      <c r="S2971" s="19">
        <f>H2971*I2971</f>
        <v/>
      </c>
      <c r="T2971" s="19">
        <f>H2971*J2971</f>
        <v/>
      </c>
      <c r="U2971">
        <f>IF(AND(K2971=0,G2971&lt;=Assumptions!$C$6),1,0)</f>
        <v/>
      </c>
      <c r="V2971">
        <f>IF(U2971=1,IF(M2971&gt;0,IF(P2971&lt;=G2971+Assumptions!$C$7,1,0),0),0)</f>
        <v/>
      </c>
      <c r="W2971">
        <f>IF(AND(U2971=1,M2971&gt;=H2971*(1-Assumptions!$C$8)),1,0)</f>
        <v/>
      </c>
      <c r="X2971">
        <f>IF(AND(U2971=1,N2971&gt;=H2971*(1-Assumptions!$C$8)),1,0)</f>
        <v/>
      </c>
      <c r="Y2971">
        <f>IF(ISNUMBER(Q2971),1,0)</f>
        <v/>
      </c>
      <c r="Z2971">
        <f>IF(AND(K2971=0,L2971=0,Y2971=0),1,0)</f>
        <v/>
      </c>
      <c r="AA2971">
        <f>IF(AND(Z2971=1,G2971&lt;Assumptions!$C$6),1,0)</f>
        <v/>
      </c>
      <c r="AB2971">
        <f>IF(U2971=0,"",IF(Y2971=1,MAX(0,Q2971-G2971),IF(L2971=1,MAX(0,R2971-G2971),MAX(0,Assumptions!$C$6-G2971))))</f>
        <v/>
      </c>
      <c r="AC2971">
        <f>IF(Y2971=1,Q2971-F2971,"")</f>
        <v/>
      </c>
      <c r="AD2971">
        <f>IF(Y2971=1,AC2971^2,"")</f>
        <v/>
      </c>
      <c r="AE2971" s="19">
        <f>IF(Z2971=1,(H2971-M2971)*I2971,0)</f>
        <v/>
      </c>
      <c r="AF2971">
        <f>IF(G2971&lt;EDATE(Assumptions!$C$6,-12)+1,"prior_12m","last_12m")</f>
        <v/>
      </c>
      <c r="AG2971" s="21">
        <f>DATE(YEAR(G2971),MONTH(G2971),1)</f>
        <v/>
      </c>
    </row>
    <row r="2972">
      <c r="A2972" t="inlineStr">
        <is>
          <t>SPO-01592-2</t>
        </is>
      </c>
      <c r="B2972" t="inlineStr">
        <is>
          <t>SPO-01592</t>
        </is>
      </c>
      <c r="C2972" t="inlineStr">
        <is>
          <t>SUP-06</t>
        </is>
      </c>
      <c r="D2972" t="inlineStr">
        <is>
          <t>MRO</t>
        </is>
      </c>
      <c r="E2972" t="inlineStr">
        <is>
          <t>MRO-04</t>
        </is>
      </c>
      <c r="F2972" s="17" t="n">
        <v>46008</v>
      </c>
      <c r="G2972" s="17" t="n">
        <v>46016</v>
      </c>
      <c r="H2972" s="18" t="n">
        <v>25</v>
      </c>
      <c r="I2972" s="19" t="n">
        <v>60.95</v>
      </c>
      <c r="J2972" s="19" t="n">
        <v>58</v>
      </c>
      <c r="K2972" s="20" t="n">
        <v>0</v>
      </c>
      <c r="L2972" s="20" t="n">
        <v>0</v>
      </c>
      <c r="M2972" s="18" t="n">
        <v>25</v>
      </c>
      <c r="N2972" s="18" t="n">
        <v>25</v>
      </c>
      <c r="O2972" s="18" t="n">
        <v>0</v>
      </c>
      <c r="P2972" s="17" t="n">
        <v>46012</v>
      </c>
      <c r="Q2972" s="17" t="n">
        <v>46012</v>
      </c>
      <c r="R2972" s="17" t="n">
        <v>46012</v>
      </c>
      <c r="S2972" s="19">
        <f>H2972*I2972</f>
        <v/>
      </c>
      <c r="T2972" s="19">
        <f>H2972*J2972</f>
        <v/>
      </c>
      <c r="U2972">
        <f>IF(AND(K2972=0,G2972&lt;=Assumptions!$C$6),1,0)</f>
        <v/>
      </c>
      <c r="V2972">
        <f>IF(U2972=1,IF(M2972&gt;0,IF(P2972&lt;=G2972+Assumptions!$C$7,1,0),0),0)</f>
        <v/>
      </c>
      <c r="W2972">
        <f>IF(AND(U2972=1,M2972&gt;=H2972*(1-Assumptions!$C$8)),1,0)</f>
        <v/>
      </c>
      <c r="X2972">
        <f>IF(AND(U2972=1,N2972&gt;=H2972*(1-Assumptions!$C$8)),1,0)</f>
        <v/>
      </c>
      <c r="Y2972">
        <f>IF(ISNUMBER(Q2972),1,0)</f>
        <v/>
      </c>
      <c r="Z2972">
        <f>IF(AND(K2972=0,L2972=0,Y2972=0),1,0)</f>
        <v/>
      </c>
      <c r="AA2972">
        <f>IF(AND(Z2972=1,G2972&lt;Assumptions!$C$6),1,0)</f>
        <v/>
      </c>
      <c r="AB2972">
        <f>IF(U2972=0,"",IF(Y2972=1,MAX(0,Q2972-G2972),IF(L2972=1,MAX(0,R2972-G2972),MAX(0,Assumptions!$C$6-G2972))))</f>
        <v/>
      </c>
      <c r="AC2972">
        <f>IF(Y2972=1,Q2972-F2972,"")</f>
        <v/>
      </c>
      <c r="AD2972">
        <f>IF(Y2972=1,AC2972^2,"")</f>
        <v/>
      </c>
      <c r="AE2972" s="19">
        <f>IF(Z2972=1,(H2972-M2972)*I2972,0)</f>
        <v/>
      </c>
      <c r="AF2972">
        <f>IF(G2972&lt;EDATE(Assumptions!$C$6,-12)+1,"prior_12m","last_12m")</f>
        <v/>
      </c>
      <c r="AG2972" s="21">
        <f>DATE(YEAR(G2972),MONTH(G2972),1)</f>
        <v/>
      </c>
    </row>
    <row r="2973">
      <c r="A2973" t="inlineStr">
        <is>
          <t>SPO-01593-1</t>
        </is>
      </c>
      <c r="B2973" t="inlineStr">
        <is>
          <t>SPO-01593</t>
        </is>
      </c>
      <c r="C2973" t="inlineStr">
        <is>
          <t>SUP-04</t>
        </is>
      </c>
      <c r="D2973" t="inlineStr">
        <is>
          <t>FLEET</t>
        </is>
      </c>
      <c r="E2973" t="inlineStr">
        <is>
          <t>FLEET-06</t>
        </is>
      </c>
      <c r="F2973" s="17" t="n">
        <v>46008</v>
      </c>
      <c r="G2973" s="17" t="n">
        <v>46021</v>
      </c>
      <c r="H2973" s="18" t="n">
        <v>65</v>
      </c>
      <c r="I2973" s="19" t="n">
        <v>32.47</v>
      </c>
      <c r="J2973" s="19" t="n">
        <v>33</v>
      </c>
      <c r="K2973" s="20" t="n">
        <v>0</v>
      </c>
      <c r="L2973" s="20" t="n">
        <v>0</v>
      </c>
      <c r="M2973" s="18" t="n">
        <v>65</v>
      </c>
      <c r="N2973" s="18" t="n">
        <v>65</v>
      </c>
      <c r="O2973" s="18" t="n">
        <v>0</v>
      </c>
      <c r="P2973" s="17" t="n">
        <v>46012</v>
      </c>
      <c r="Q2973" s="17" t="n">
        <v>46012</v>
      </c>
      <c r="R2973" s="17" t="n">
        <v>46012</v>
      </c>
      <c r="S2973" s="19">
        <f>H2973*I2973</f>
        <v/>
      </c>
      <c r="T2973" s="19">
        <f>H2973*J2973</f>
        <v/>
      </c>
      <c r="U2973">
        <f>IF(AND(K2973=0,G2973&lt;=Assumptions!$C$6),1,0)</f>
        <v/>
      </c>
      <c r="V2973">
        <f>IF(U2973=1,IF(M2973&gt;0,IF(P2973&lt;=G2973+Assumptions!$C$7,1,0),0),0)</f>
        <v/>
      </c>
      <c r="W2973">
        <f>IF(AND(U2973=1,M2973&gt;=H2973*(1-Assumptions!$C$8)),1,0)</f>
        <v/>
      </c>
      <c r="X2973">
        <f>IF(AND(U2973=1,N2973&gt;=H2973*(1-Assumptions!$C$8)),1,0)</f>
        <v/>
      </c>
      <c r="Y2973">
        <f>IF(ISNUMBER(Q2973),1,0)</f>
        <v/>
      </c>
      <c r="Z2973">
        <f>IF(AND(K2973=0,L2973=0,Y2973=0),1,0)</f>
        <v/>
      </c>
      <c r="AA2973">
        <f>IF(AND(Z2973=1,G2973&lt;Assumptions!$C$6),1,0)</f>
        <v/>
      </c>
      <c r="AB2973">
        <f>IF(U2973=0,"",IF(Y2973=1,MAX(0,Q2973-G2973),IF(L2973=1,MAX(0,R2973-G2973),MAX(0,Assumptions!$C$6-G2973))))</f>
        <v/>
      </c>
      <c r="AC2973">
        <f>IF(Y2973=1,Q2973-F2973,"")</f>
        <v/>
      </c>
      <c r="AD2973">
        <f>IF(Y2973=1,AC2973^2,"")</f>
        <v/>
      </c>
      <c r="AE2973" s="19">
        <f>IF(Z2973=1,(H2973-M2973)*I2973,0)</f>
        <v/>
      </c>
      <c r="AF2973">
        <f>IF(G2973&lt;EDATE(Assumptions!$C$6,-12)+1,"prior_12m","last_12m")</f>
        <v/>
      </c>
      <c r="AG2973" s="21">
        <f>DATE(YEAR(G2973),MONTH(G2973),1)</f>
        <v/>
      </c>
    </row>
    <row r="2974">
      <c r="A2974" t="inlineStr">
        <is>
          <t>SPO-01593-2</t>
        </is>
      </c>
      <c r="B2974" t="inlineStr">
        <is>
          <t>SPO-01593</t>
        </is>
      </c>
      <c r="C2974" t="inlineStr">
        <is>
          <t>SUP-04</t>
        </is>
      </c>
      <c r="D2974" t="inlineStr">
        <is>
          <t>FLEET</t>
        </is>
      </c>
      <c r="E2974" t="inlineStr">
        <is>
          <t>FLEET-08</t>
        </is>
      </c>
      <c r="F2974" s="17" t="n">
        <v>46008</v>
      </c>
      <c r="G2974" s="17" t="n">
        <v>46021</v>
      </c>
      <c r="H2974" s="18" t="n">
        <v>203</v>
      </c>
      <c r="I2974" s="19" t="n">
        <v>6.33</v>
      </c>
      <c r="J2974" s="19" t="n">
        <v>6.4</v>
      </c>
      <c r="K2974" s="20" t="n">
        <v>0</v>
      </c>
      <c r="L2974" s="20" t="n">
        <v>0</v>
      </c>
      <c r="M2974" s="18" t="n">
        <v>203</v>
      </c>
      <c r="N2974" s="18" t="n">
        <v>203</v>
      </c>
      <c r="O2974" s="18" t="n">
        <v>0</v>
      </c>
      <c r="P2974" s="17" t="n">
        <v>46011</v>
      </c>
      <c r="Q2974" s="17" t="n">
        <v>46011</v>
      </c>
      <c r="R2974" s="17" t="n">
        <v>46011</v>
      </c>
      <c r="S2974" s="19">
        <f>H2974*I2974</f>
        <v/>
      </c>
      <c r="T2974" s="19">
        <f>H2974*J2974</f>
        <v/>
      </c>
      <c r="U2974">
        <f>IF(AND(K2974=0,G2974&lt;=Assumptions!$C$6),1,0)</f>
        <v/>
      </c>
      <c r="V2974">
        <f>IF(U2974=1,IF(M2974&gt;0,IF(P2974&lt;=G2974+Assumptions!$C$7,1,0),0),0)</f>
        <v/>
      </c>
      <c r="W2974">
        <f>IF(AND(U2974=1,M2974&gt;=H2974*(1-Assumptions!$C$8)),1,0)</f>
        <v/>
      </c>
      <c r="X2974">
        <f>IF(AND(U2974=1,N2974&gt;=H2974*(1-Assumptions!$C$8)),1,0)</f>
        <v/>
      </c>
      <c r="Y2974">
        <f>IF(ISNUMBER(Q2974),1,0)</f>
        <v/>
      </c>
      <c r="Z2974">
        <f>IF(AND(K2974=0,L2974=0,Y2974=0),1,0)</f>
        <v/>
      </c>
      <c r="AA2974">
        <f>IF(AND(Z2974=1,G2974&lt;Assumptions!$C$6),1,0)</f>
        <v/>
      </c>
      <c r="AB2974">
        <f>IF(U2974=0,"",IF(Y2974=1,MAX(0,Q2974-G2974),IF(L2974=1,MAX(0,R2974-G2974),MAX(0,Assumptions!$C$6-G2974))))</f>
        <v/>
      </c>
      <c r="AC2974">
        <f>IF(Y2974=1,Q2974-F2974,"")</f>
        <v/>
      </c>
      <c r="AD2974">
        <f>IF(Y2974=1,AC2974^2,"")</f>
        <v/>
      </c>
      <c r="AE2974" s="19">
        <f>IF(Z2974=1,(H2974-M2974)*I2974,0)</f>
        <v/>
      </c>
      <c r="AF2974">
        <f>IF(G2974&lt;EDATE(Assumptions!$C$6,-12)+1,"prior_12m","last_12m")</f>
        <v/>
      </c>
      <c r="AG2974" s="21">
        <f>DATE(YEAR(G2974),MONTH(G2974),1)</f>
        <v/>
      </c>
    </row>
    <row r="2975">
      <c r="A2975" t="inlineStr">
        <is>
          <t>SPO-01594-1</t>
        </is>
      </c>
      <c r="B2975" t="inlineStr">
        <is>
          <t>SPO-01594</t>
        </is>
      </c>
      <c r="C2975" t="inlineStr">
        <is>
          <t>SUP-09</t>
        </is>
      </c>
      <c r="D2975" t="inlineStr">
        <is>
          <t>CHEM</t>
        </is>
      </c>
      <c r="E2975" t="inlineStr">
        <is>
          <t>CHEM-04</t>
        </is>
      </c>
      <c r="F2975" s="17" t="n">
        <v>46008</v>
      </c>
      <c r="G2975" s="17" t="n">
        <v>46022</v>
      </c>
      <c r="H2975" s="18" t="n">
        <v>1</v>
      </c>
      <c r="I2975" s="19" t="n">
        <v>806.24</v>
      </c>
      <c r="J2975" s="19" t="n">
        <v>820</v>
      </c>
      <c r="K2975" s="20" t="n">
        <v>0</v>
      </c>
      <c r="L2975" s="20" t="n">
        <v>0</v>
      </c>
      <c r="M2975" s="18" t="n">
        <v>1</v>
      </c>
      <c r="N2975" s="18" t="n">
        <v>1</v>
      </c>
      <c r="O2975" s="18" t="n">
        <v>0</v>
      </c>
      <c r="P2975" s="17" t="n">
        <v>46020</v>
      </c>
      <c r="Q2975" s="17" t="n">
        <v>46020</v>
      </c>
      <c r="R2975" s="17" t="n">
        <v>46020</v>
      </c>
      <c r="S2975" s="19">
        <f>H2975*I2975</f>
        <v/>
      </c>
      <c r="T2975" s="19">
        <f>H2975*J2975</f>
        <v/>
      </c>
      <c r="U2975">
        <f>IF(AND(K2975=0,G2975&lt;=Assumptions!$C$6),1,0)</f>
        <v/>
      </c>
      <c r="V2975">
        <f>IF(U2975=1,IF(M2975&gt;0,IF(P2975&lt;=G2975+Assumptions!$C$7,1,0),0),0)</f>
        <v/>
      </c>
      <c r="W2975">
        <f>IF(AND(U2975=1,M2975&gt;=H2975*(1-Assumptions!$C$8)),1,0)</f>
        <v/>
      </c>
      <c r="X2975">
        <f>IF(AND(U2975=1,N2975&gt;=H2975*(1-Assumptions!$C$8)),1,0)</f>
        <v/>
      </c>
      <c r="Y2975">
        <f>IF(ISNUMBER(Q2975),1,0)</f>
        <v/>
      </c>
      <c r="Z2975">
        <f>IF(AND(K2975=0,L2975=0,Y2975=0),1,0)</f>
        <v/>
      </c>
      <c r="AA2975">
        <f>IF(AND(Z2975=1,G2975&lt;Assumptions!$C$6),1,0)</f>
        <v/>
      </c>
      <c r="AB2975">
        <f>IF(U2975=0,"",IF(Y2975=1,MAX(0,Q2975-G2975),IF(L2975=1,MAX(0,R2975-G2975),MAX(0,Assumptions!$C$6-G2975))))</f>
        <v/>
      </c>
      <c r="AC2975">
        <f>IF(Y2975=1,Q2975-F2975,"")</f>
        <v/>
      </c>
      <c r="AD2975">
        <f>IF(Y2975=1,AC2975^2,"")</f>
        <v/>
      </c>
      <c r="AE2975" s="19">
        <f>IF(Z2975=1,(H2975-M2975)*I2975,0)</f>
        <v/>
      </c>
      <c r="AF2975">
        <f>IF(G2975&lt;EDATE(Assumptions!$C$6,-12)+1,"prior_12m","last_12m")</f>
        <v/>
      </c>
      <c r="AG2975" s="21">
        <f>DATE(YEAR(G2975),MONTH(G2975),1)</f>
        <v/>
      </c>
    </row>
    <row r="2976">
      <c r="A2976" t="inlineStr">
        <is>
          <t>SPO-01594-2</t>
        </is>
      </c>
      <c r="B2976" t="inlineStr">
        <is>
          <t>SPO-01594</t>
        </is>
      </c>
      <c r="C2976" t="inlineStr">
        <is>
          <t>SUP-09</t>
        </is>
      </c>
      <c r="D2976" t="inlineStr">
        <is>
          <t>CHEM</t>
        </is>
      </c>
      <c r="E2976" t="inlineStr">
        <is>
          <t>CHEM-06</t>
        </is>
      </c>
      <c r="F2976" s="17" t="n">
        <v>46008</v>
      </c>
      <c r="G2976" s="17" t="n">
        <v>46022</v>
      </c>
      <c r="H2976" s="18" t="n">
        <v>4</v>
      </c>
      <c r="I2976" s="19" t="n">
        <v>399.81</v>
      </c>
      <c r="J2976" s="19" t="n">
        <v>380</v>
      </c>
      <c r="K2976" s="20" t="n">
        <v>1</v>
      </c>
      <c r="L2976" s="20" t="n">
        <v>0</v>
      </c>
      <c r="M2976" s="18" t="n">
        <v>0</v>
      </c>
      <c r="N2976" s="18" t="n">
        <v>0</v>
      </c>
      <c r="O2976" s="18" t="n">
        <v>0</v>
      </c>
      <c r="P2976" s="17" t="n"/>
      <c r="Q2976" s="17" t="n"/>
      <c r="R2976" s="17" t="n"/>
      <c r="S2976" s="19">
        <f>H2976*I2976</f>
        <v/>
      </c>
      <c r="T2976" s="19">
        <f>H2976*J2976</f>
        <v/>
      </c>
      <c r="U2976">
        <f>IF(AND(K2976=0,G2976&lt;=Assumptions!$C$6),1,0)</f>
        <v/>
      </c>
      <c r="V2976">
        <f>IF(U2976=1,IF(M2976&gt;0,IF(P2976&lt;=G2976+Assumptions!$C$7,1,0),0),0)</f>
        <v/>
      </c>
      <c r="W2976">
        <f>IF(AND(U2976=1,M2976&gt;=H2976*(1-Assumptions!$C$8)),1,0)</f>
        <v/>
      </c>
      <c r="X2976">
        <f>IF(AND(U2976=1,N2976&gt;=H2976*(1-Assumptions!$C$8)),1,0)</f>
        <v/>
      </c>
      <c r="Y2976">
        <f>IF(ISNUMBER(Q2976),1,0)</f>
        <v/>
      </c>
      <c r="Z2976">
        <f>IF(AND(K2976=0,L2976=0,Y2976=0),1,0)</f>
        <v/>
      </c>
      <c r="AA2976">
        <f>IF(AND(Z2976=1,G2976&lt;Assumptions!$C$6),1,0)</f>
        <v/>
      </c>
      <c r="AB2976">
        <f>IF(U2976=0,"",IF(Y2976=1,MAX(0,Q2976-G2976),IF(L2976=1,MAX(0,R2976-G2976),MAX(0,Assumptions!$C$6-G2976))))</f>
        <v/>
      </c>
      <c r="AC2976">
        <f>IF(Y2976=1,Q2976-F2976,"")</f>
        <v/>
      </c>
      <c r="AD2976">
        <f>IF(Y2976=1,AC2976^2,"")</f>
        <v/>
      </c>
      <c r="AE2976" s="19">
        <f>IF(Z2976=1,(H2976-M2976)*I2976,0)</f>
        <v/>
      </c>
      <c r="AF2976">
        <f>IF(G2976&lt;EDATE(Assumptions!$C$6,-12)+1,"prior_12m","last_12m")</f>
        <v/>
      </c>
      <c r="AG2976" s="21">
        <f>DATE(YEAR(G2976),MONTH(G2976),1)</f>
        <v/>
      </c>
    </row>
    <row r="2977">
      <c r="A2977" t="inlineStr">
        <is>
          <t>SPO-01594-3</t>
        </is>
      </c>
      <c r="B2977" t="inlineStr">
        <is>
          <t>SPO-01594</t>
        </is>
      </c>
      <c r="C2977" t="inlineStr">
        <is>
          <t>SUP-09</t>
        </is>
      </c>
      <c r="D2977" t="inlineStr">
        <is>
          <t>CHEM</t>
        </is>
      </c>
      <c r="E2977" t="inlineStr">
        <is>
          <t>CHEM-02</t>
        </is>
      </c>
      <c r="F2977" s="17" t="n">
        <v>46008</v>
      </c>
      <c r="G2977" s="17" t="n">
        <v>46022</v>
      </c>
      <c r="H2977" s="18" t="n">
        <v>2</v>
      </c>
      <c r="I2977" s="19" t="n">
        <v>421.87</v>
      </c>
      <c r="J2977" s="19" t="n">
        <v>410</v>
      </c>
      <c r="K2977" s="20" t="n">
        <v>0</v>
      </c>
      <c r="L2977" s="20" t="n">
        <v>0</v>
      </c>
      <c r="M2977" s="18" t="n">
        <v>2</v>
      </c>
      <c r="N2977" s="18" t="n">
        <v>2</v>
      </c>
      <c r="O2977" s="18" t="n">
        <v>0</v>
      </c>
      <c r="P2977" s="17" t="n">
        <v>46016</v>
      </c>
      <c r="Q2977" s="17" t="n">
        <v>46016</v>
      </c>
      <c r="R2977" s="17" t="n">
        <v>46016</v>
      </c>
      <c r="S2977" s="19">
        <f>H2977*I2977</f>
        <v/>
      </c>
      <c r="T2977" s="19">
        <f>H2977*J2977</f>
        <v/>
      </c>
      <c r="U2977">
        <f>IF(AND(K2977=0,G2977&lt;=Assumptions!$C$6),1,0)</f>
        <v/>
      </c>
      <c r="V2977">
        <f>IF(U2977=1,IF(M2977&gt;0,IF(P2977&lt;=G2977+Assumptions!$C$7,1,0),0),0)</f>
        <v/>
      </c>
      <c r="W2977">
        <f>IF(AND(U2977=1,M2977&gt;=H2977*(1-Assumptions!$C$8)),1,0)</f>
        <v/>
      </c>
      <c r="X2977">
        <f>IF(AND(U2977=1,N2977&gt;=H2977*(1-Assumptions!$C$8)),1,0)</f>
        <v/>
      </c>
      <c r="Y2977">
        <f>IF(ISNUMBER(Q2977),1,0)</f>
        <v/>
      </c>
      <c r="Z2977">
        <f>IF(AND(K2977=0,L2977=0,Y2977=0),1,0)</f>
        <v/>
      </c>
      <c r="AA2977">
        <f>IF(AND(Z2977=1,G2977&lt;Assumptions!$C$6),1,0)</f>
        <v/>
      </c>
      <c r="AB2977">
        <f>IF(U2977=0,"",IF(Y2977=1,MAX(0,Q2977-G2977),IF(L2977=1,MAX(0,R2977-G2977),MAX(0,Assumptions!$C$6-G2977))))</f>
        <v/>
      </c>
      <c r="AC2977">
        <f>IF(Y2977=1,Q2977-F2977,"")</f>
        <v/>
      </c>
      <c r="AD2977">
        <f>IF(Y2977=1,AC2977^2,"")</f>
        <v/>
      </c>
      <c r="AE2977" s="19">
        <f>IF(Z2977=1,(H2977-M2977)*I2977,0)</f>
        <v/>
      </c>
      <c r="AF2977">
        <f>IF(G2977&lt;EDATE(Assumptions!$C$6,-12)+1,"prior_12m","last_12m")</f>
        <v/>
      </c>
      <c r="AG2977" s="21">
        <f>DATE(YEAR(G2977),MONTH(G2977),1)</f>
        <v/>
      </c>
    </row>
    <row r="2978">
      <c r="A2978" t="inlineStr">
        <is>
          <t>SPO-01594-4</t>
        </is>
      </c>
      <c r="B2978" t="inlineStr">
        <is>
          <t>SPO-01594</t>
        </is>
      </c>
      <c r="C2978" t="inlineStr">
        <is>
          <t>SUP-09</t>
        </is>
      </c>
      <c r="D2978" t="inlineStr">
        <is>
          <t>CHEM</t>
        </is>
      </c>
      <c r="E2978" t="inlineStr">
        <is>
          <t>CHEM-05</t>
        </is>
      </c>
      <c r="F2978" s="17" t="n">
        <v>46008</v>
      </c>
      <c r="G2978" s="17" t="n">
        <v>46022</v>
      </c>
      <c r="H2978" s="18" t="n">
        <v>1</v>
      </c>
      <c r="I2978" s="19" t="n">
        <v>986.91</v>
      </c>
      <c r="J2978" s="19" t="n">
        <v>930</v>
      </c>
      <c r="K2978" s="20" t="n">
        <v>0</v>
      </c>
      <c r="L2978" s="20" t="n">
        <v>0</v>
      </c>
      <c r="M2978" s="18" t="n">
        <v>1</v>
      </c>
      <c r="N2978" s="18" t="n">
        <v>1</v>
      </c>
      <c r="O2978" s="18" t="n">
        <v>0</v>
      </c>
      <c r="P2978" s="17" t="n">
        <v>46017</v>
      </c>
      <c r="Q2978" s="17" t="n">
        <v>46017</v>
      </c>
      <c r="R2978" s="17" t="n">
        <v>46017</v>
      </c>
      <c r="S2978" s="19">
        <f>H2978*I2978</f>
        <v/>
      </c>
      <c r="T2978" s="19">
        <f>H2978*J2978</f>
        <v/>
      </c>
      <c r="U2978">
        <f>IF(AND(K2978=0,G2978&lt;=Assumptions!$C$6),1,0)</f>
        <v/>
      </c>
      <c r="V2978">
        <f>IF(U2978=1,IF(M2978&gt;0,IF(P2978&lt;=G2978+Assumptions!$C$7,1,0),0),0)</f>
        <v/>
      </c>
      <c r="W2978">
        <f>IF(AND(U2978=1,M2978&gt;=H2978*(1-Assumptions!$C$8)),1,0)</f>
        <v/>
      </c>
      <c r="X2978">
        <f>IF(AND(U2978=1,N2978&gt;=H2978*(1-Assumptions!$C$8)),1,0)</f>
        <v/>
      </c>
      <c r="Y2978">
        <f>IF(ISNUMBER(Q2978),1,0)</f>
        <v/>
      </c>
      <c r="Z2978">
        <f>IF(AND(K2978=0,L2978=0,Y2978=0),1,0)</f>
        <v/>
      </c>
      <c r="AA2978">
        <f>IF(AND(Z2978=1,G2978&lt;Assumptions!$C$6),1,0)</f>
        <v/>
      </c>
      <c r="AB2978">
        <f>IF(U2978=0,"",IF(Y2978=1,MAX(0,Q2978-G2978),IF(L2978=1,MAX(0,R2978-G2978),MAX(0,Assumptions!$C$6-G2978))))</f>
        <v/>
      </c>
      <c r="AC2978">
        <f>IF(Y2978=1,Q2978-F2978,"")</f>
        <v/>
      </c>
      <c r="AD2978">
        <f>IF(Y2978=1,AC2978^2,"")</f>
        <v/>
      </c>
      <c r="AE2978" s="19">
        <f>IF(Z2978=1,(H2978-M2978)*I2978,0)</f>
        <v/>
      </c>
      <c r="AF2978">
        <f>IF(G2978&lt;EDATE(Assumptions!$C$6,-12)+1,"prior_12m","last_12m")</f>
        <v/>
      </c>
      <c r="AG2978" s="21">
        <f>DATE(YEAR(G2978),MONTH(G2978),1)</f>
        <v/>
      </c>
    </row>
    <row r="2979">
      <c r="A2979" t="inlineStr">
        <is>
          <t>SPO-01595-1</t>
        </is>
      </c>
      <c r="B2979" t="inlineStr">
        <is>
          <t>SPO-01595</t>
        </is>
      </c>
      <c r="C2979" t="inlineStr">
        <is>
          <t>SUP-10</t>
        </is>
      </c>
      <c r="D2979" t="inlineStr">
        <is>
          <t>PPE</t>
        </is>
      </c>
      <c r="E2979" t="inlineStr">
        <is>
          <t>PPE-06</t>
        </is>
      </c>
      <c r="F2979" s="17" t="n">
        <v>46009</v>
      </c>
      <c r="G2979" s="17" t="n">
        <v>46022</v>
      </c>
      <c r="H2979" s="18" t="n">
        <v>19</v>
      </c>
      <c r="I2979" s="19" t="n">
        <v>115.79</v>
      </c>
      <c r="J2979" s="19" t="n">
        <v>115</v>
      </c>
      <c r="K2979" s="20" t="n">
        <v>0</v>
      </c>
      <c r="L2979" s="20" t="n">
        <v>0</v>
      </c>
      <c r="M2979" s="18" t="n">
        <v>19</v>
      </c>
      <c r="N2979" s="18" t="n">
        <v>19</v>
      </c>
      <c r="O2979" s="18" t="n">
        <v>0</v>
      </c>
      <c r="P2979" s="17" t="n">
        <v>46017</v>
      </c>
      <c r="Q2979" s="17" t="n">
        <v>46017</v>
      </c>
      <c r="R2979" s="17" t="n">
        <v>46017</v>
      </c>
      <c r="S2979" s="19">
        <f>H2979*I2979</f>
        <v/>
      </c>
      <c r="T2979" s="19">
        <f>H2979*J2979</f>
        <v/>
      </c>
      <c r="U2979">
        <f>IF(AND(K2979=0,G2979&lt;=Assumptions!$C$6),1,0)</f>
        <v/>
      </c>
      <c r="V2979">
        <f>IF(U2979=1,IF(M2979&gt;0,IF(P2979&lt;=G2979+Assumptions!$C$7,1,0),0),0)</f>
        <v/>
      </c>
      <c r="W2979">
        <f>IF(AND(U2979=1,M2979&gt;=H2979*(1-Assumptions!$C$8)),1,0)</f>
        <v/>
      </c>
      <c r="X2979">
        <f>IF(AND(U2979=1,N2979&gt;=H2979*(1-Assumptions!$C$8)),1,0)</f>
        <v/>
      </c>
      <c r="Y2979">
        <f>IF(ISNUMBER(Q2979),1,0)</f>
        <v/>
      </c>
      <c r="Z2979">
        <f>IF(AND(K2979=0,L2979=0,Y2979=0),1,0)</f>
        <v/>
      </c>
      <c r="AA2979">
        <f>IF(AND(Z2979=1,G2979&lt;Assumptions!$C$6),1,0)</f>
        <v/>
      </c>
      <c r="AB2979">
        <f>IF(U2979=0,"",IF(Y2979=1,MAX(0,Q2979-G2979),IF(L2979=1,MAX(0,R2979-G2979),MAX(0,Assumptions!$C$6-G2979))))</f>
        <v/>
      </c>
      <c r="AC2979">
        <f>IF(Y2979=1,Q2979-F2979,"")</f>
        <v/>
      </c>
      <c r="AD2979">
        <f>IF(Y2979=1,AC2979^2,"")</f>
        <v/>
      </c>
      <c r="AE2979" s="19">
        <f>IF(Z2979=1,(H2979-M2979)*I2979,0)</f>
        <v/>
      </c>
      <c r="AF2979">
        <f>IF(G2979&lt;EDATE(Assumptions!$C$6,-12)+1,"prior_12m","last_12m")</f>
        <v/>
      </c>
      <c r="AG2979" s="21">
        <f>DATE(YEAR(G2979),MONTH(G2979),1)</f>
        <v/>
      </c>
    </row>
    <row r="2980">
      <c r="A2980" t="inlineStr">
        <is>
          <t>SPO-01596-1</t>
        </is>
      </c>
      <c r="B2980" t="inlineStr">
        <is>
          <t>SPO-01596</t>
        </is>
      </c>
      <c r="C2980" t="inlineStr">
        <is>
          <t>SUP-09</t>
        </is>
      </c>
      <c r="D2980" t="inlineStr">
        <is>
          <t>CHEM</t>
        </is>
      </c>
      <c r="E2980" t="inlineStr">
        <is>
          <t>CHEM-06</t>
        </is>
      </c>
      <c r="F2980" s="17" t="n">
        <v>46009</v>
      </c>
      <c r="G2980" s="17" t="n">
        <v>46023</v>
      </c>
      <c r="H2980" s="18" t="n">
        <v>2</v>
      </c>
      <c r="I2980" s="19" t="n">
        <v>391.71</v>
      </c>
      <c r="J2980" s="19" t="n">
        <v>380</v>
      </c>
      <c r="K2980" s="20" t="n">
        <v>0</v>
      </c>
      <c r="L2980" s="20" t="n">
        <v>0</v>
      </c>
      <c r="M2980" s="18" t="n">
        <v>2</v>
      </c>
      <c r="N2980" s="18" t="n">
        <v>2</v>
      </c>
      <c r="O2980" s="18" t="n">
        <v>0</v>
      </c>
      <c r="P2980" s="17" t="n">
        <v>46020</v>
      </c>
      <c r="Q2980" s="17" t="n">
        <v>46020</v>
      </c>
      <c r="R2980" s="17" t="n">
        <v>46020</v>
      </c>
      <c r="S2980" s="19">
        <f>H2980*I2980</f>
        <v/>
      </c>
      <c r="T2980" s="19">
        <f>H2980*J2980</f>
        <v/>
      </c>
      <c r="U2980">
        <f>IF(AND(K2980=0,G2980&lt;=Assumptions!$C$6),1,0)</f>
        <v/>
      </c>
      <c r="V2980">
        <f>IF(U2980=1,IF(M2980&gt;0,IF(P2980&lt;=G2980+Assumptions!$C$7,1,0),0),0)</f>
        <v/>
      </c>
      <c r="W2980">
        <f>IF(AND(U2980=1,M2980&gt;=H2980*(1-Assumptions!$C$8)),1,0)</f>
        <v/>
      </c>
      <c r="X2980">
        <f>IF(AND(U2980=1,N2980&gt;=H2980*(1-Assumptions!$C$8)),1,0)</f>
        <v/>
      </c>
      <c r="Y2980">
        <f>IF(ISNUMBER(Q2980),1,0)</f>
        <v/>
      </c>
      <c r="Z2980">
        <f>IF(AND(K2980=0,L2980=0,Y2980=0),1,0)</f>
        <v/>
      </c>
      <c r="AA2980">
        <f>IF(AND(Z2980=1,G2980&lt;Assumptions!$C$6),1,0)</f>
        <v/>
      </c>
      <c r="AB2980">
        <f>IF(U2980=0,"",IF(Y2980=1,MAX(0,Q2980-G2980),IF(L2980=1,MAX(0,R2980-G2980),MAX(0,Assumptions!$C$6-G2980))))</f>
        <v/>
      </c>
      <c r="AC2980">
        <f>IF(Y2980=1,Q2980-F2980,"")</f>
        <v/>
      </c>
      <c r="AD2980">
        <f>IF(Y2980=1,AC2980^2,"")</f>
        <v/>
      </c>
      <c r="AE2980" s="19">
        <f>IF(Z2980=1,(H2980-M2980)*I2980,0)</f>
        <v/>
      </c>
      <c r="AF2980">
        <f>IF(G2980&lt;EDATE(Assumptions!$C$6,-12)+1,"prior_12m","last_12m")</f>
        <v/>
      </c>
      <c r="AG2980" s="21">
        <f>DATE(YEAR(G2980),MONTH(G2980),1)</f>
        <v/>
      </c>
    </row>
    <row r="2981">
      <c r="A2981" t="inlineStr">
        <is>
          <t>SPO-01596-2</t>
        </is>
      </c>
      <c r="B2981" t="inlineStr">
        <is>
          <t>SPO-01596</t>
        </is>
      </c>
      <c r="C2981" t="inlineStr">
        <is>
          <t>SUP-09</t>
        </is>
      </c>
      <c r="D2981" t="inlineStr">
        <is>
          <t>CHEM</t>
        </is>
      </c>
      <c r="E2981" t="inlineStr">
        <is>
          <t>CHEM-02</t>
        </is>
      </c>
      <c r="F2981" s="17" t="n">
        <v>46009</v>
      </c>
      <c r="G2981" s="17" t="n">
        <v>46023</v>
      </c>
      <c r="H2981" s="18" t="n">
        <v>2</v>
      </c>
      <c r="I2981" s="19" t="n">
        <v>400.43</v>
      </c>
      <c r="J2981" s="19" t="n">
        <v>410</v>
      </c>
      <c r="K2981" s="20" t="n">
        <v>0</v>
      </c>
      <c r="L2981" s="20" t="n">
        <v>0</v>
      </c>
      <c r="M2981" s="18" t="n">
        <v>2</v>
      </c>
      <c r="N2981" s="18" t="n">
        <v>2</v>
      </c>
      <c r="O2981" s="18" t="n">
        <v>0</v>
      </c>
      <c r="P2981" s="17" t="n">
        <v>46021</v>
      </c>
      <c r="Q2981" s="17" t="n">
        <v>46021</v>
      </c>
      <c r="R2981" s="17" t="n">
        <v>46021</v>
      </c>
      <c r="S2981" s="19">
        <f>H2981*I2981</f>
        <v/>
      </c>
      <c r="T2981" s="19">
        <f>H2981*J2981</f>
        <v/>
      </c>
      <c r="U2981">
        <f>IF(AND(K2981=0,G2981&lt;=Assumptions!$C$6),1,0)</f>
        <v/>
      </c>
      <c r="V2981">
        <f>IF(U2981=1,IF(M2981&gt;0,IF(P2981&lt;=G2981+Assumptions!$C$7,1,0),0),0)</f>
        <v/>
      </c>
      <c r="W2981">
        <f>IF(AND(U2981=1,M2981&gt;=H2981*(1-Assumptions!$C$8)),1,0)</f>
        <v/>
      </c>
      <c r="X2981">
        <f>IF(AND(U2981=1,N2981&gt;=H2981*(1-Assumptions!$C$8)),1,0)</f>
        <v/>
      </c>
      <c r="Y2981">
        <f>IF(ISNUMBER(Q2981),1,0)</f>
        <v/>
      </c>
      <c r="Z2981">
        <f>IF(AND(K2981=0,L2981=0,Y2981=0),1,0)</f>
        <v/>
      </c>
      <c r="AA2981">
        <f>IF(AND(Z2981=1,G2981&lt;Assumptions!$C$6),1,0)</f>
        <v/>
      </c>
      <c r="AB2981">
        <f>IF(U2981=0,"",IF(Y2981=1,MAX(0,Q2981-G2981),IF(L2981=1,MAX(0,R2981-G2981),MAX(0,Assumptions!$C$6-G2981))))</f>
        <v/>
      </c>
      <c r="AC2981">
        <f>IF(Y2981=1,Q2981-F2981,"")</f>
        <v/>
      </c>
      <c r="AD2981">
        <f>IF(Y2981=1,AC2981^2,"")</f>
        <v/>
      </c>
      <c r="AE2981" s="19">
        <f>IF(Z2981=1,(H2981-M2981)*I2981,0)</f>
        <v/>
      </c>
      <c r="AF2981">
        <f>IF(G2981&lt;EDATE(Assumptions!$C$6,-12)+1,"prior_12m","last_12m")</f>
        <v/>
      </c>
      <c r="AG2981" s="21">
        <f>DATE(YEAR(G2981),MONTH(G2981),1)</f>
        <v/>
      </c>
    </row>
    <row r="2982">
      <c r="A2982" t="inlineStr">
        <is>
          <t>SPO-01596-3</t>
        </is>
      </c>
      <c r="B2982" t="inlineStr">
        <is>
          <t>SPO-01596</t>
        </is>
      </c>
      <c r="C2982" t="inlineStr">
        <is>
          <t>SUP-09</t>
        </is>
      </c>
      <c r="D2982" t="inlineStr">
        <is>
          <t>CHEM</t>
        </is>
      </c>
      <c r="E2982" t="inlineStr">
        <is>
          <t>CHEM-01</t>
        </is>
      </c>
      <c r="F2982" s="17" t="n">
        <v>46009</v>
      </c>
      <c r="G2982" s="17" t="n">
        <v>46023</v>
      </c>
      <c r="H2982" s="18" t="n">
        <v>2</v>
      </c>
      <c r="I2982" s="19" t="n">
        <v>674.12</v>
      </c>
      <c r="J2982" s="19" t="n">
        <v>640</v>
      </c>
      <c r="K2982" s="20" t="n">
        <v>0</v>
      </c>
      <c r="L2982" s="20" t="n">
        <v>0</v>
      </c>
      <c r="M2982" s="18" t="n">
        <v>2</v>
      </c>
      <c r="N2982" s="18" t="n">
        <v>2</v>
      </c>
      <c r="O2982" s="18" t="n">
        <v>0</v>
      </c>
      <c r="P2982" s="17" t="n">
        <v>46020</v>
      </c>
      <c r="Q2982" s="17" t="n">
        <v>46020</v>
      </c>
      <c r="R2982" s="17" t="n">
        <v>46020</v>
      </c>
      <c r="S2982" s="19">
        <f>H2982*I2982</f>
        <v/>
      </c>
      <c r="T2982" s="19">
        <f>H2982*J2982</f>
        <v/>
      </c>
      <c r="U2982">
        <f>IF(AND(K2982=0,G2982&lt;=Assumptions!$C$6),1,0)</f>
        <v/>
      </c>
      <c r="V2982">
        <f>IF(U2982=1,IF(M2982&gt;0,IF(P2982&lt;=G2982+Assumptions!$C$7,1,0),0),0)</f>
        <v/>
      </c>
      <c r="W2982">
        <f>IF(AND(U2982=1,M2982&gt;=H2982*(1-Assumptions!$C$8)),1,0)</f>
        <v/>
      </c>
      <c r="X2982">
        <f>IF(AND(U2982=1,N2982&gt;=H2982*(1-Assumptions!$C$8)),1,0)</f>
        <v/>
      </c>
      <c r="Y2982">
        <f>IF(ISNUMBER(Q2982),1,0)</f>
        <v/>
      </c>
      <c r="Z2982">
        <f>IF(AND(K2982=0,L2982=0,Y2982=0),1,0)</f>
        <v/>
      </c>
      <c r="AA2982">
        <f>IF(AND(Z2982=1,G2982&lt;Assumptions!$C$6),1,0)</f>
        <v/>
      </c>
      <c r="AB2982">
        <f>IF(U2982=0,"",IF(Y2982=1,MAX(0,Q2982-G2982),IF(L2982=1,MAX(0,R2982-G2982),MAX(0,Assumptions!$C$6-G2982))))</f>
        <v/>
      </c>
      <c r="AC2982">
        <f>IF(Y2982=1,Q2982-F2982,"")</f>
        <v/>
      </c>
      <c r="AD2982">
        <f>IF(Y2982=1,AC2982^2,"")</f>
        <v/>
      </c>
      <c r="AE2982" s="19">
        <f>IF(Z2982=1,(H2982-M2982)*I2982,0)</f>
        <v/>
      </c>
      <c r="AF2982">
        <f>IF(G2982&lt;EDATE(Assumptions!$C$6,-12)+1,"prior_12m","last_12m")</f>
        <v/>
      </c>
      <c r="AG2982" s="21">
        <f>DATE(YEAR(G2982),MONTH(G2982),1)</f>
        <v/>
      </c>
    </row>
    <row r="2983">
      <c r="A2983" t="inlineStr">
        <is>
          <t>SPO-01596-4</t>
        </is>
      </c>
      <c r="B2983" t="inlineStr">
        <is>
          <t>SPO-01596</t>
        </is>
      </c>
      <c r="C2983" t="inlineStr">
        <is>
          <t>SUP-09</t>
        </is>
      </c>
      <c r="D2983" t="inlineStr">
        <is>
          <t>CHEM</t>
        </is>
      </c>
      <c r="E2983" t="inlineStr">
        <is>
          <t>CHEM-04</t>
        </is>
      </c>
      <c r="F2983" s="17" t="n">
        <v>46009</v>
      </c>
      <c r="G2983" s="17" t="n">
        <v>46023</v>
      </c>
      <c r="H2983" s="18" t="n">
        <v>4</v>
      </c>
      <c r="I2983" s="19" t="n">
        <v>845.51</v>
      </c>
      <c r="J2983" s="19" t="n">
        <v>820</v>
      </c>
      <c r="K2983" s="20" t="n">
        <v>0</v>
      </c>
      <c r="L2983" s="20" t="n">
        <v>0</v>
      </c>
      <c r="M2983" s="18" t="n">
        <v>4</v>
      </c>
      <c r="N2983" s="18" t="n">
        <v>4</v>
      </c>
      <c r="O2983" s="18" t="n">
        <v>0</v>
      </c>
      <c r="P2983" s="17" t="n">
        <v>46022</v>
      </c>
      <c r="Q2983" s="17" t="n">
        <v>46022</v>
      </c>
      <c r="R2983" s="17" t="n">
        <v>46022</v>
      </c>
      <c r="S2983" s="19">
        <f>H2983*I2983</f>
        <v/>
      </c>
      <c r="T2983" s="19">
        <f>H2983*J2983</f>
        <v/>
      </c>
      <c r="U2983">
        <f>IF(AND(K2983=0,G2983&lt;=Assumptions!$C$6),1,0)</f>
        <v/>
      </c>
      <c r="V2983">
        <f>IF(U2983=1,IF(M2983&gt;0,IF(P2983&lt;=G2983+Assumptions!$C$7,1,0),0),0)</f>
        <v/>
      </c>
      <c r="W2983">
        <f>IF(AND(U2983=1,M2983&gt;=H2983*(1-Assumptions!$C$8)),1,0)</f>
        <v/>
      </c>
      <c r="X2983">
        <f>IF(AND(U2983=1,N2983&gt;=H2983*(1-Assumptions!$C$8)),1,0)</f>
        <v/>
      </c>
      <c r="Y2983">
        <f>IF(ISNUMBER(Q2983),1,0)</f>
        <v/>
      </c>
      <c r="Z2983">
        <f>IF(AND(K2983=0,L2983=0,Y2983=0),1,0)</f>
        <v/>
      </c>
      <c r="AA2983">
        <f>IF(AND(Z2983=1,G2983&lt;Assumptions!$C$6),1,0)</f>
        <v/>
      </c>
      <c r="AB2983">
        <f>IF(U2983=0,"",IF(Y2983=1,MAX(0,Q2983-G2983),IF(L2983=1,MAX(0,R2983-G2983),MAX(0,Assumptions!$C$6-G2983))))</f>
        <v/>
      </c>
      <c r="AC2983">
        <f>IF(Y2983=1,Q2983-F2983,"")</f>
        <v/>
      </c>
      <c r="AD2983">
        <f>IF(Y2983=1,AC2983^2,"")</f>
        <v/>
      </c>
      <c r="AE2983" s="19">
        <f>IF(Z2983=1,(H2983-M2983)*I2983,0)</f>
        <v/>
      </c>
      <c r="AF2983">
        <f>IF(G2983&lt;EDATE(Assumptions!$C$6,-12)+1,"prior_12m","last_12m")</f>
        <v/>
      </c>
      <c r="AG2983" s="21">
        <f>DATE(YEAR(G2983),MONTH(G2983),1)</f>
        <v/>
      </c>
    </row>
    <row r="2984">
      <c r="A2984" t="inlineStr">
        <is>
          <t>SPO-01597-1</t>
        </is>
      </c>
      <c r="B2984" t="inlineStr">
        <is>
          <t>SPO-01597</t>
        </is>
      </c>
      <c r="C2984" t="inlineStr">
        <is>
          <t>SUP-14</t>
        </is>
      </c>
      <c r="D2984" t="inlineStr">
        <is>
          <t>FLEET</t>
        </is>
      </c>
      <c r="E2984" t="inlineStr">
        <is>
          <t>FLEET-05</t>
        </is>
      </c>
      <c r="F2984" s="17" t="n">
        <v>46010</v>
      </c>
      <c r="G2984" s="17" t="n">
        <v>46024</v>
      </c>
      <c r="H2984" s="18" t="n">
        <v>7</v>
      </c>
      <c r="I2984" s="19" t="n">
        <v>160.18</v>
      </c>
      <c r="J2984" s="19" t="n">
        <v>168</v>
      </c>
      <c r="K2984" s="20" t="n">
        <v>0</v>
      </c>
      <c r="L2984" s="20" t="n">
        <v>0</v>
      </c>
      <c r="M2984" s="18" t="n">
        <v>7</v>
      </c>
      <c r="N2984" s="18" t="n">
        <v>7</v>
      </c>
      <c r="O2984" s="18" t="n">
        <v>0</v>
      </c>
      <c r="P2984" s="17" t="n">
        <v>46014</v>
      </c>
      <c r="Q2984" s="17" t="n">
        <v>46014</v>
      </c>
      <c r="R2984" s="17" t="n">
        <v>46014</v>
      </c>
      <c r="S2984" s="19">
        <f>H2984*I2984</f>
        <v/>
      </c>
      <c r="T2984" s="19">
        <f>H2984*J2984</f>
        <v/>
      </c>
      <c r="U2984">
        <f>IF(AND(K2984=0,G2984&lt;=Assumptions!$C$6),1,0)</f>
        <v/>
      </c>
      <c r="V2984">
        <f>IF(U2984=1,IF(M2984&gt;0,IF(P2984&lt;=G2984+Assumptions!$C$7,1,0),0),0)</f>
        <v/>
      </c>
      <c r="W2984">
        <f>IF(AND(U2984=1,M2984&gt;=H2984*(1-Assumptions!$C$8)),1,0)</f>
        <v/>
      </c>
      <c r="X2984">
        <f>IF(AND(U2984=1,N2984&gt;=H2984*(1-Assumptions!$C$8)),1,0)</f>
        <v/>
      </c>
      <c r="Y2984">
        <f>IF(ISNUMBER(Q2984),1,0)</f>
        <v/>
      </c>
      <c r="Z2984">
        <f>IF(AND(K2984=0,L2984=0,Y2984=0),1,0)</f>
        <v/>
      </c>
      <c r="AA2984">
        <f>IF(AND(Z2984=1,G2984&lt;Assumptions!$C$6),1,0)</f>
        <v/>
      </c>
      <c r="AB2984">
        <f>IF(U2984=0,"",IF(Y2984=1,MAX(0,Q2984-G2984),IF(L2984=1,MAX(0,R2984-G2984),MAX(0,Assumptions!$C$6-G2984))))</f>
        <v/>
      </c>
      <c r="AC2984">
        <f>IF(Y2984=1,Q2984-F2984,"")</f>
        <v/>
      </c>
      <c r="AD2984">
        <f>IF(Y2984=1,AC2984^2,"")</f>
        <v/>
      </c>
      <c r="AE2984" s="19">
        <f>IF(Z2984=1,(H2984-M2984)*I2984,0)</f>
        <v/>
      </c>
      <c r="AF2984">
        <f>IF(G2984&lt;EDATE(Assumptions!$C$6,-12)+1,"prior_12m","last_12m")</f>
        <v/>
      </c>
      <c r="AG2984" s="21">
        <f>DATE(YEAR(G2984),MONTH(G2984),1)</f>
        <v/>
      </c>
    </row>
    <row r="2985">
      <c r="A2985" t="inlineStr">
        <is>
          <t>SPO-01597-2</t>
        </is>
      </c>
      <c r="B2985" t="inlineStr">
        <is>
          <t>SPO-01597</t>
        </is>
      </c>
      <c r="C2985" t="inlineStr">
        <is>
          <t>SUP-14</t>
        </is>
      </c>
      <c r="D2985" t="inlineStr">
        <is>
          <t>FLEET</t>
        </is>
      </c>
      <c r="E2985" t="inlineStr">
        <is>
          <t>FLEET-06</t>
        </is>
      </c>
      <c r="F2985" s="17" t="n">
        <v>46010</v>
      </c>
      <c r="G2985" s="17" t="n">
        <v>46024</v>
      </c>
      <c r="H2985" s="18" t="n">
        <v>28</v>
      </c>
      <c r="I2985" s="19" t="n">
        <v>33.78</v>
      </c>
      <c r="J2985" s="19" t="n">
        <v>33</v>
      </c>
      <c r="K2985" s="20" t="n">
        <v>0</v>
      </c>
      <c r="L2985" s="20" t="n">
        <v>0</v>
      </c>
      <c r="M2985" s="18" t="n">
        <v>28</v>
      </c>
      <c r="N2985" s="18" t="n">
        <v>28</v>
      </c>
      <c r="O2985" s="18" t="n">
        <v>0</v>
      </c>
      <c r="P2985" s="17" t="n">
        <v>46016</v>
      </c>
      <c r="Q2985" s="17" t="n">
        <v>46016</v>
      </c>
      <c r="R2985" s="17" t="n">
        <v>46016</v>
      </c>
      <c r="S2985" s="19">
        <f>H2985*I2985</f>
        <v/>
      </c>
      <c r="T2985" s="19">
        <f>H2985*J2985</f>
        <v/>
      </c>
      <c r="U2985">
        <f>IF(AND(K2985=0,G2985&lt;=Assumptions!$C$6),1,0)</f>
        <v/>
      </c>
      <c r="V2985">
        <f>IF(U2985=1,IF(M2985&gt;0,IF(P2985&lt;=G2985+Assumptions!$C$7,1,0),0),0)</f>
        <v/>
      </c>
      <c r="W2985">
        <f>IF(AND(U2985=1,M2985&gt;=H2985*(1-Assumptions!$C$8)),1,0)</f>
        <v/>
      </c>
      <c r="X2985">
        <f>IF(AND(U2985=1,N2985&gt;=H2985*(1-Assumptions!$C$8)),1,0)</f>
        <v/>
      </c>
      <c r="Y2985">
        <f>IF(ISNUMBER(Q2985),1,0)</f>
        <v/>
      </c>
      <c r="Z2985">
        <f>IF(AND(K2985=0,L2985=0,Y2985=0),1,0)</f>
        <v/>
      </c>
      <c r="AA2985">
        <f>IF(AND(Z2985=1,G2985&lt;Assumptions!$C$6),1,0)</f>
        <v/>
      </c>
      <c r="AB2985">
        <f>IF(U2985=0,"",IF(Y2985=1,MAX(0,Q2985-G2985),IF(L2985=1,MAX(0,R2985-G2985),MAX(0,Assumptions!$C$6-G2985))))</f>
        <v/>
      </c>
      <c r="AC2985">
        <f>IF(Y2985=1,Q2985-F2985,"")</f>
        <v/>
      </c>
      <c r="AD2985">
        <f>IF(Y2985=1,AC2985^2,"")</f>
        <v/>
      </c>
      <c r="AE2985" s="19">
        <f>IF(Z2985=1,(H2985-M2985)*I2985,0)</f>
        <v/>
      </c>
      <c r="AF2985">
        <f>IF(G2985&lt;EDATE(Assumptions!$C$6,-12)+1,"prior_12m","last_12m")</f>
        <v/>
      </c>
      <c r="AG2985" s="21">
        <f>DATE(YEAR(G2985),MONTH(G2985),1)</f>
        <v/>
      </c>
    </row>
    <row r="2986">
      <c r="A2986" t="inlineStr">
        <is>
          <t>SPO-01598-1</t>
        </is>
      </c>
      <c r="B2986" t="inlineStr">
        <is>
          <t>SPO-01598</t>
        </is>
      </c>
      <c r="C2986" t="inlineStr">
        <is>
          <t>SUP-02</t>
        </is>
      </c>
      <c r="D2986" t="inlineStr">
        <is>
          <t>ELEC</t>
        </is>
      </c>
      <c r="E2986" t="inlineStr">
        <is>
          <t>ELEC-03</t>
        </is>
      </c>
      <c r="F2986" s="17" t="n">
        <v>46010</v>
      </c>
      <c r="G2986" s="17" t="n">
        <v>46026</v>
      </c>
      <c r="H2986" s="18" t="n">
        <v>7</v>
      </c>
      <c r="I2986" s="19" t="n">
        <v>93.63</v>
      </c>
      <c r="J2986" s="19" t="n">
        <v>96</v>
      </c>
      <c r="K2986" s="20" t="n">
        <v>0</v>
      </c>
      <c r="L2986" s="20" t="n">
        <v>0</v>
      </c>
      <c r="M2986" s="18" t="n">
        <v>7</v>
      </c>
      <c r="N2986" s="18" t="n">
        <v>7</v>
      </c>
      <c r="O2986" s="18" t="n">
        <v>0</v>
      </c>
      <c r="P2986" s="17" t="n">
        <v>46022</v>
      </c>
      <c r="Q2986" s="17" t="n">
        <v>46022</v>
      </c>
      <c r="R2986" s="17" t="n">
        <v>46022</v>
      </c>
      <c r="S2986" s="19">
        <f>H2986*I2986</f>
        <v/>
      </c>
      <c r="T2986" s="19">
        <f>H2986*J2986</f>
        <v/>
      </c>
      <c r="U2986">
        <f>IF(AND(K2986=0,G2986&lt;=Assumptions!$C$6),1,0)</f>
        <v/>
      </c>
      <c r="V2986">
        <f>IF(U2986=1,IF(M2986&gt;0,IF(P2986&lt;=G2986+Assumptions!$C$7,1,0),0),0)</f>
        <v/>
      </c>
      <c r="W2986">
        <f>IF(AND(U2986=1,M2986&gt;=H2986*(1-Assumptions!$C$8)),1,0)</f>
        <v/>
      </c>
      <c r="X2986">
        <f>IF(AND(U2986=1,N2986&gt;=H2986*(1-Assumptions!$C$8)),1,0)</f>
        <v/>
      </c>
      <c r="Y2986">
        <f>IF(ISNUMBER(Q2986),1,0)</f>
        <v/>
      </c>
      <c r="Z2986">
        <f>IF(AND(K2986=0,L2986=0,Y2986=0),1,0)</f>
        <v/>
      </c>
      <c r="AA2986">
        <f>IF(AND(Z2986=1,G2986&lt;Assumptions!$C$6),1,0)</f>
        <v/>
      </c>
      <c r="AB2986">
        <f>IF(U2986=0,"",IF(Y2986=1,MAX(0,Q2986-G2986),IF(L2986=1,MAX(0,R2986-G2986),MAX(0,Assumptions!$C$6-G2986))))</f>
        <v/>
      </c>
      <c r="AC2986">
        <f>IF(Y2986=1,Q2986-F2986,"")</f>
        <v/>
      </c>
      <c r="AD2986">
        <f>IF(Y2986=1,AC2986^2,"")</f>
        <v/>
      </c>
      <c r="AE2986" s="19">
        <f>IF(Z2986=1,(H2986-M2986)*I2986,0)</f>
        <v/>
      </c>
      <c r="AF2986">
        <f>IF(G2986&lt;EDATE(Assumptions!$C$6,-12)+1,"prior_12m","last_12m")</f>
        <v/>
      </c>
      <c r="AG2986" s="21">
        <f>DATE(YEAR(G2986),MONTH(G2986),1)</f>
        <v/>
      </c>
    </row>
    <row r="2987">
      <c r="A2987" t="inlineStr">
        <is>
          <t>SPO-01599-1</t>
        </is>
      </c>
      <c r="B2987" t="inlineStr">
        <is>
          <t>SPO-01599</t>
        </is>
      </c>
      <c r="C2987" t="inlineStr">
        <is>
          <t>SUP-10</t>
        </is>
      </c>
      <c r="D2987" t="inlineStr">
        <is>
          <t>PPE</t>
        </is>
      </c>
      <c r="E2987" t="inlineStr">
        <is>
          <t>PPE-08</t>
        </is>
      </c>
      <c r="F2987" s="17" t="n">
        <v>46010</v>
      </c>
      <c r="G2987" s="17" t="n">
        <v>46023</v>
      </c>
      <c r="H2987" s="18" t="n">
        <v>32</v>
      </c>
      <c r="I2987" s="19" t="n">
        <v>59.96</v>
      </c>
      <c r="J2987" s="19" t="n">
        <v>64</v>
      </c>
      <c r="K2987" s="20" t="n">
        <v>0</v>
      </c>
      <c r="L2987" s="20" t="n">
        <v>0</v>
      </c>
      <c r="M2987" s="18" t="n">
        <v>32</v>
      </c>
      <c r="N2987" s="18" t="n">
        <v>32</v>
      </c>
      <c r="O2987" s="18" t="n">
        <v>2</v>
      </c>
      <c r="P2987" s="17" t="n">
        <v>46023</v>
      </c>
      <c r="Q2987" s="17" t="n">
        <v>46023</v>
      </c>
      <c r="R2987" s="17" t="n">
        <v>46023</v>
      </c>
      <c r="S2987" s="19">
        <f>H2987*I2987</f>
        <v/>
      </c>
      <c r="T2987" s="19">
        <f>H2987*J2987</f>
        <v/>
      </c>
      <c r="U2987">
        <f>IF(AND(K2987=0,G2987&lt;=Assumptions!$C$6),1,0)</f>
        <v/>
      </c>
      <c r="V2987">
        <f>IF(U2987=1,IF(M2987&gt;0,IF(P2987&lt;=G2987+Assumptions!$C$7,1,0),0),0)</f>
        <v/>
      </c>
      <c r="W2987">
        <f>IF(AND(U2987=1,M2987&gt;=H2987*(1-Assumptions!$C$8)),1,0)</f>
        <v/>
      </c>
      <c r="X2987">
        <f>IF(AND(U2987=1,N2987&gt;=H2987*(1-Assumptions!$C$8)),1,0)</f>
        <v/>
      </c>
      <c r="Y2987">
        <f>IF(ISNUMBER(Q2987),1,0)</f>
        <v/>
      </c>
      <c r="Z2987">
        <f>IF(AND(K2987=0,L2987=0,Y2987=0),1,0)</f>
        <v/>
      </c>
      <c r="AA2987">
        <f>IF(AND(Z2987=1,G2987&lt;Assumptions!$C$6),1,0)</f>
        <v/>
      </c>
      <c r="AB2987">
        <f>IF(U2987=0,"",IF(Y2987=1,MAX(0,Q2987-G2987),IF(L2987=1,MAX(0,R2987-G2987),MAX(0,Assumptions!$C$6-G2987))))</f>
        <v/>
      </c>
      <c r="AC2987">
        <f>IF(Y2987=1,Q2987-F2987,"")</f>
        <v/>
      </c>
      <c r="AD2987">
        <f>IF(Y2987=1,AC2987^2,"")</f>
        <v/>
      </c>
      <c r="AE2987" s="19">
        <f>IF(Z2987=1,(H2987-M2987)*I2987,0)</f>
        <v/>
      </c>
      <c r="AF2987">
        <f>IF(G2987&lt;EDATE(Assumptions!$C$6,-12)+1,"prior_12m","last_12m")</f>
        <v/>
      </c>
      <c r="AG2987" s="21">
        <f>DATE(YEAR(G2987),MONTH(G2987),1)</f>
        <v/>
      </c>
    </row>
    <row r="2988">
      <c r="A2988" t="inlineStr">
        <is>
          <t>SPO-01599-2</t>
        </is>
      </c>
      <c r="B2988" t="inlineStr">
        <is>
          <t>SPO-01599</t>
        </is>
      </c>
      <c r="C2988" t="inlineStr">
        <is>
          <t>SUP-10</t>
        </is>
      </c>
      <c r="D2988" t="inlineStr">
        <is>
          <t>PPE</t>
        </is>
      </c>
      <c r="E2988" t="inlineStr">
        <is>
          <t>PPE-07</t>
        </is>
      </c>
      <c r="F2988" s="17" t="n">
        <v>46010</v>
      </c>
      <c r="G2988" s="17" t="n">
        <v>46023</v>
      </c>
      <c r="H2988" s="18" t="n">
        <v>29</v>
      </c>
      <c r="I2988" s="19" t="n">
        <v>28.47</v>
      </c>
      <c r="J2988" s="19" t="n">
        <v>31</v>
      </c>
      <c r="K2988" s="20" t="n">
        <v>0</v>
      </c>
      <c r="L2988" s="20" t="n">
        <v>0</v>
      </c>
      <c r="M2988" s="18" t="n">
        <v>29</v>
      </c>
      <c r="N2988" s="18" t="n">
        <v>29</v>
      </c>
      <c r="O2988" s="18" t="n">
        <v>0</v>
      </c>
      <c r="P2988" s="17" t="n">
        <v>46020</v>
      </c>
      <c r="Q2988" s="17" t="n">
        <v>46020</v>
      </c>
      <c r="R2988" s="17" t="n">
        <v>46020</v>
      </c>
      <c r="S2988" s="19">
        <f>H2988*I2988</f>
        <v/>
      </c>
      <c r="T2988" s="19">
        <f>H2988*J2988</f>
        <v/>
      </c>
      <c r="U2988">
        <f>IF(AND(K2988=0,G2988&lt;=Assumptions!$C$6),1,0)</f>
        <v/>
      </c>
      <c r="V2988">
        <f>IF(U2988=1,IF(M2988&gt;0,IF(P2988&lt;=G2988+Assumptions!$C$7,1,0),0),0)</f>
        <v/>
      </c>
      <c r="W2988">
        <f>IF(AND(U2988=1,M2988&gt;=H2988*(1-Assumptions!$C$8)),1,0)</f>
        <v/>
      </c>
      <c r="X2988">
        <f>IF(AND(U2988=1,N2988&gt;=H2988*(1-Assumptions!$C$8)),1,0)</f>
        <v/>
      </c>
      <c r="Y2988">
        <f>IF(ISNUMBER(Q2988),1,0)</f>
        <v/>
      </c>
      <c r="Z2988">
        <f>IF(AND(K2988=0,L2988=0,Y2988=0),1,0)</f>
        <v/>
      </c>
      <c r="AA2988">
        <f>IF(AND(Z2988=1,G2988&lt;Assumptions!$C$6),1,0)</f>
        <v/>
      </c>
      <c r="AB2988">
        <f>IF(U2988=0,"",IF(Y2988=1,MAX(0,Q2988-G2988),IF(L2988=1,MAX(0,R2988-G2988),MAX(0,Assumptions!$C$6-G2988))))</f>
        <v/>
      </c>
      <c r="AC2988">
        <f>IF(Y2988=1,Q2988-F2988,"")</f>
        <v/>
      </c>
      <c r="AD2988">
        <f>IF(Y2988=1,AC2988^2,"")</f>
        <v/>
      </c>
      <c r="AE2988" s="19">
        <f>IF(Z2988=1,(H2988-M2988)*I2988,0)</f>
        <v/>
      </c>
      <c r="AF2988">
        <f>IF(G2988&lt;EDATE(Assumptions!$C$6,-12)+1,"prior_12m","last_12m")</f>
        <v/>
      </c>
      <c r="AG2988" s="21">
        <f>DATE(YEAR(G2988),MONTH(G2988),1)</f>
        <v/>
      </c>
    </row>
    <row r="2989">
      <c r="A2989" t="inlineStr">
        <is>
          <t>SPO-01600-1</t>
        </is>
      </c>
      <c r="B2989" t="inlineStr">
        <is>
          <t>SPO-01600</t>
        </is>
      </c>
      <c r="C2989" t="inlineStr">
        <is>
          <t>SUP-02</t>
        </is>
      </c>
      <c r="D2989" t="inlineStr">
        <is>
          <t>ELEC</t>
        </is>
      </c>
      <c r="E2989" t="inlineStr">
        <is>
          <t>ELEC-07</t>
        </is>
      </c>
      <c r="F2989" s="17" t="n">
        <v>46011</v>
      </c>
      <c r="G2989" s="17" t="n">
        <v>46027</v>
      </c>
      <c r="H2989" s="18" t="n">
        <v>113</v>
      </c>
      <c r="I2989" s="19" t="n">
        <v>9.48</v>
      </c>
      <c r="J2989" s="19" t="n">
        <v>9.800000000000001</v>
      </c>
      <c r="K2989" s="20" t="n">
        <v>0</v>
      </c>
      <c r="L2989" s="20" t="n">
        <v>0</v>
      </c>
      <c r="M2989" s="18" t="n">
        <v>113</v>
      </c>
      <c r="N2989" s="18" t="n">
        <v>65</v>
      </c>
      <c r="O2989" s="18" t="n">
        <v>0</v>
      </c>
      <c r="P2989" s="17" t="n">
        <v>46023</v>
      </c>
      <c r="Q2989" s="17" t="n">
        <v>46038</v>
      </c>
      <c r="R2989" s="17" t="n">
        <v>46038</v>
      </c>
      <c r="S2989" s="19">
        <f>H2989*I2989</f>
        <v/>
      </c>
      <c r="T2989" s="19">
        <f>H2989*J2989</f>
        <v/>
      </c>
      <c r="U2989">
        <f>IF(AND(K2989=0,G2989&lt;=Assumptions!$C$6),1,0)</f>
        <v/>
      </c>
      <c r="V2989">
        <f>IF(U2989=1,IF(M2989&gt;0,IF(P2989&lt;=G2989+Assumptions!$C$7,1,0),0),0)</f>
        <v/>
      </c>
      <c r="W2989">
        <f>IF(AND(U2989=1,M2989&gt;=H2989*(1-Assumptions!$C$8)),1,0)</f>
        <v/>
      </c>
      <c r="X2989">
        <f>IF(AND(U2989=1,N2989&gt;=H2989*(1-Assumptions!$C$8)),1,0)</f>
        <v/>
      </c>
      <c r="Y2989">
        <f>IF(ISNUMBER(Q2989),1,0)</f>
        <v/>
      </c>
      <c r="Z2989">
        <f>IF(AND(K2989=0,L2989=0,Y2989=0),1,0)</f>
        <v/>
      </c>
      <c r="AA2989">
        <f>IF(AND(Z2989=1,G2989&lt;Assumptions!$C$6),1,0)</f>
        <v/>
      </c>
      <c r="AB2989">
        <f>IF(U2989=0,"",IF(Y2989=1,MAX(0,Q2989-G2989),IF(L2989=1,MAX(0,R2989-G2989),MAX(0,Assumptions!$C$6-G2989))))</f>
        <v/>
      </c>
      <c r="AC2989">
        <f>IF(Y2989=1,Q2989-F2989,"")</f>
        <v/>
      </c>
      <c r="AD2989">
        <f>IF(Y2989=1,AC2989^2,"")</f>
        <v/>
      </c>
      <c r="AE2989" s="19">
        <f>IF(Z2989=1,(H2989-M2989)*I2989,0)</f>
        <v/>
      </c>
      <c r="AF2989">
        <f>IF(G2989&lt;EDATE(Assumptions!$C$6,-12)+1,"prior_12m","last_12m")</f>
        <v/>
      </c>
      <c r="AG2989" s="21">
        <f>DATE(YEAR(G2989),MONTH(G2989),1)</f>
        <v/>
      </c>
    </row>
    <row r="2990">
      <c r="A2990" t="inlineStr">
        <is>
          <t>SPO-01601-1</t>
        </is>
      </c>
      <c r="B2990" t="inlineStr">
        <is>
          <t>SPO-01601</t>
        </is>
      </c>
      <c r="C2990" t="inlineStr">
        <is>
          <t>SUP-11</t>
        </is>
      </c>
      <c r="D2990" t="inlineStr">
        <is>
          <t>PPE</t>
        </is>
      </c>
      <c r="E2990" t="inlineStr">
        <is>
          <t>PPE-01</t>
        </is>
      </c>
      <c r="F2990" s="17" t="n">
        <v>46011</v>
      </c>
      <c r="G2990" s="17" t="n">
        <v>46023</v>
      </c>
      <c r="H2990" s="18" t="n">
        <v>285</v>
      </c>
      <c r="I2990" s="19" t="n">
        <v>4.65</v>
      </c>
      <c r="J2990" s="19" t="n">
        <v>4.8</v>
      </c>
      <c r="K2990" s="20" t="n">
        <v>0</v>
      </c>
      <c r="L2990" s="20" t="n">
        <v>0</v>
      </c>
      <c r="M2990" s="18" t="n">
        <v>285</v>
      </c>
      <c r="N2990" s="18" t="n">
        <v>285</v>
      </c>
      <c r="O2990" s="18" t="n">
        <v>0</v>
      </c>
      <c r="P2990" s="17" t="n">
        <v>46021</v>
      </c>
      <c r="Q2990" s="17" t="n">
        <v>46021</v>
      </c>
      <c r="R2990" s="17" t="n">
        <v>46021</v>
      </c>
      <c r="S2990" s="19">
        <f>H2990*I2990</f>
        <v/>
      </c>
      <c r="T2990" s="19">
        <f>H2990*J2990</f>
        <v/>
      </c>
      <c r="U2990">
        <f>IF(AND(K2990=0,G2990&lt;=Assumptions!$C$6),1,0)</f>
        <v/>
      </c>
      <c r="V2990">
        <f>IF(U2990=1,IF(M2990&gt;0,IF(P2990&lt;=G2990+Assumptions!$C$7,1,0),0),0)</f>
        <v/>
      </c>
      <c r="W2990">
        <f>IF(AND(U2990=1,M2990&gt;=H2990*(1-Assumptions!$C$8)),1,0)</f>
        <v/>
      </c>
      <c r="X2990">
        <f>IF(AND(U2990=1,N2990&gt;=H2990*(1-Assumptions!$C$8)),1,0)</f>
        <v/>
      </c>
      <c r="Y2990">
        <f>IF(ISNUMBER(Q2990),1,0)</f>
        <v/>
      </c>
      <c r="Z2990">
        <f>IF(AND(K2990=0,L2990=0,Y2990=0),1,0)</f>
        <v/>
      </c>
      <c r="AA2990">
        <f>IF(AND(Z2990=1,G2990&lt;Assumptions!$C$6),1,0)</f>
        <v/>
      </c>
      <c r="AB2990">
        <f>IF(U2990=0,"",IF(Y2990=1,MAX(0,Q2990-G2990),IF(L2990=1,MAX(0,R2990-G2990),MAX(0,Assumptions!$C$6-G2990))))</f>
        <v/>
      </c>
      <c r="AC2990">
        <f>IF(Y2990=1,Q2990-F2990,"")</f>
        <v/>
      </c>
      <c r="AD2990">
        <f>IF(Y2990=1,AC2990^2,"")</f>
        <v/>
      </c>
      <c r="AE2990" s="19">
        <f>IF(Z2990=1,(H2990-M2990)*I2990,0)</f>
        <v/>
      </c>
      <c r="AF2990">
        <f>IF(G2990&lt;EDATE(Assumptions!$C$6,-12)+1,"prior_12m","last_12m")</f>
        <v/>
      </c>
      <c r="AG2990" s="21">
        <f>DATE(YEAR(G2990),MONTH(G2990),1)</f>
        <v/>
      </c>
    </row>
    <row r="2991">
      <c r="A2991" t="inlineStr">
        <is>
          <t>SPO-01602-1</t>
        </is>
      </c>
      <c r="B2991" t="inlineStr">
        <is>
          <t>SPO-01602</t>
        </is>
      </c>
      <c r="C2991" t="inlineStr">
        <is>
          <t>SUP-12</t>
        </is>
      </c>
      <c r="D2991" t="inlineStr">
        <is>
          <t>IT</t>
        </is>
      </c>
      <c r="E2991" t="inlineStr">
        <is>
          <t>IT-07</t>
        </is>
      </c>
      <c r="F2991" s="17" t="n">
        <v>46013</v>
      </c>
      <c r="G2991" s="17" t="n">
        <v>46023</v>
      </c>
      <c r="H2991" s="18" t="n">
        <v>11</v>
      </c>
      <c r="I2991" s="19" t="n">
        <v>83</v>
      </c>
      <c r="J2991" s="19" t="n">
        <v>74</v>
      </c>
      <c r="K2991" s="20" t="n">
        <v>0</v>
      </c>
      <c r="L2991" s="20" t="n">
        <v>0</v>
      </c>
      <c r="M2991" s="18" t="n">
        <v>11</v>
      </c>
      <c r="N2991" s="18" t="n">
        <v>11</v>
      </c>
      <c r="O2991" s="18" t="n">
        <v>0</v>
      </c>
      <c r="P2991" s="17" t="n">
        <v>46019</v>
      </c>
      <c r="Q2991" s="17" t="n">
        <v>46019</v>
      </c>
      <c r="R2991" s="17" t="n">
        <v>46019</v>
      </c>
      <c r="S2991" s="19">
        <f>H2991*I2991</f>
        <v/>
      </c>
      <c r="T2991" s="19">
        <f>H2991*J2991</f>
        <v/>
      </c>
      <c r="U2991">
        <f>IF(AND(K2991=0,G2991&lt;=Assumptions!$C$6),1,0)</f>
        <v/>
      </c>
      <c r="V2991">
        <f>IF(U2991=1,IF(M2991&gt;0,IF(P2991&lt;=G2991+Assumptions!$C$7,1,0),0),0)</f>
        <v/>
      </c>
      <c r="W2991">
        <f>IF(AND(U2991=1,M2991&gt;=H2991*(1-Assumptions!$C$8)),1,0)</f>
        <v/>
      </c>
      <c r="X2991">
        <f>IF(AND(U2991=1,N2991&gt;=H2991*(1-Assumptions!$C$8)),1,0)</f>
        <v/>
      </c>
      <c r="Y2991">
        <f>IF(ISNUMBER(Q2991),1,0)</f>
        <v/>
      </c>
      <c r="Z2991">
        <f>IF(AND(K2991=0,L2991=0,Y2991=0),1,0)</f>
        <v/>
      </c>
      <c r="AA2991">
        <f>IF(AND(Z2991=1,G2991&lt;Assumptions!$C$6),1,0)</f>
        <v/>
      </c>
      <c r="AB2991">
        <f>IF(U2991=0,"",IF(Y2991=1,MAX(0,Q2991-G2991),IF(L2991=1,MAX(0,R2991-G2991),MAX(0,Assumptions!$C$6-G2991))))</f>
        <v/>
      </c>
      <c r="AC2991">
        <f>IF(Y2991=1,Q2991-F2991,"")</f>
        <v/>
      </c>
      <c r="AD2991">
        <f>IF(Y2991=1,AC2991^2,"")</f>
        <v/>
      </c>
      <c r="AE2991" s="19">
        <f>IF(Z2991=1,(H2991-M2991)*I2991,0)</f>
        <v/>
      </c>
      <c r="AF2991">
        <f>IF(G2991&lt;EDATE(Assumptions!$C$6,-12)+1,"prior_12m","last_12m")</f>
        <v/>
      </c>
      <c r="AG2991" s="21">
        <f>DATE(YEAR(G2991),MONTH(G2991),1)</f>
        <v/>
      </c>
    </row>
    <row r="2992">
      <c r="A2992" t="inlineStr">
        <is>
          <t>SPO-01603-1</t>
        </is>
      </c>
      <c r="B2992" t="inlineStr">
        <is>
          <t>SPO-01603</t>
        </is>
      </c>
      <c r="C2992" t="inlineStr">
        <is>
          <t>SUP-04</t>
        </is>
      </c>
      <c r="D2992" t="inlineStr">
        <is>
          <t>FLEET</t>
        </is>
      </c>
      <c r="E2992" t="inlineStr">
        <is>
          <t>FLEET-04</t>
        </is>
      </c>
      <c r="F2992" s="17" t="n">
        <v>46013</v>
      </c>
      <c r="G2992" s="17" t="n">
        <v>46026</v>
      </c>
      <c r="H2992" s="18" t="n">
        <v>192</v>
      </c>
      <c r="I2992" s="19" t="n">
        <v>8.32</v>
      </c>
      <c r="J2992" s="19" t="n">
        <v>9</v>
      </c>
      <c r="K2992" s="20" t="n">
        <v>0</v>
      </c>
      <c r="L2992" s="20" t="n">
        <v>0</v>
      </c>
      <c r="M2992" s="18" t="n">
        <v>192</v>
      </c>
      <c r="N2992" s="18" t="n">
        <v>0</v>
      </c>
      <c r="O2992" s="18" t="n">
        <v>0</v>
      </c>
      <c r="P2992" s="17" t="n">
        <v>46028</v>
      </c>
      <c r="Q2992" s="17" t="n">
        <v>46028</v>
      </c>
      <c r="R2992" s="17" t="n">
        <v>46028</v>
      </c>
      <c r="S2992" s="19">
        <f>H2992*I2992</f>
        <v/>
      </c>
      <c r="T2992" s="19">
        <f>H2992*J2992</f>
        <v/>
      </c>
      <c r="U2992">
        <f>IF(AND(K2992=0,G2992&lt;=Assumptions!$C$6),1,0)</f>
        <v/>
      </c>
      <c r="V2992">
        <f>IF(U2992=1,IF(M2992&gt;0,IF(P2992&lt;=G2992+Assumptions!$C$7,1,0),0),0)</f>
        <v/>
      </c>
      <c r="W2992">
        <f>IF(AND(U2992=1,M2992&gt;=H2992*(1-Assumptions!$C$8)),1,0)</f>
        <v/>
      </c>
      <c r="X2992">
        <f>IF(AND(U2992=1,N2992&gt;=H2992*(1-Assumptions!$C$8)),1,0)</f>
        <v/>
      </c>
      <c r="Y2992">
        <f>IF(ISNUMBER(Q2992),1,0)</f>
        <v/>
      </c>
      <c r="Z2992">
        <f>IF(AND(K2992=0,L2992=0,Y2992=0),1,0)</f>
        <v/>
      </c>
      <c r="AA2992">
        <f>IF(AND(Z2992=1,G2992&lt;Assumptions!$C$6),1,0)</f>
        <v/>
      </c>
      <c r="AB2992">
        <f>IF(U2992=0,"",IF(Y2992=1,MAX(0,Q2992-G2992),IF(L2992=1,MAX(0,R2992-G2992),MAX(0,Assumptions!$C$6-G2992))))</f>
        <v/>
      </c>
      <c r="AC2992">
        <f>IF(Y2992=1,Q2992-F2992,"")</f>
        <v/>
      </c>
      <c r="AD2992">
        <f>IF(Y2992=1,AC2992^2,"")</f>
        <v/>
      </c>
      <c r="AE2992" s="19">
        <f>IF(Z2992=1,(H2992-M2992)*I2992,0)</f>
        <v/>
      </c>
      <c r="AF2992">
        <f>IF(G2992&lt;EDATE(Assumptions!$C$6,-12)+1,"prior_12m","last_12m")</f>
        <v/>
      </c>
      <c r="AG2992" s="21">
        <f>DATE(YEAR(G2992),MONTH(G2992),1)</f>
        <v/>
      </c>
    </row>
    <row r="2993">
      <c r="A2993" t="inlineStr">
        <is>
          <t>SPO-01603-2</t>
        </is>
      </c>
      <c r="B2993" t="inlineStr">
        <is>
          <t>SPO-01603</t>
        </is>
      </c>
      <c r="C2993" t="inlineStr">
        <is>
          <t>SUP-04</t>
        </is>
      </c>
      <c r="D2993" t="inlineStr">
        <is>
          <t>FLEET</t>
        </is>
      </c>
      <c r="E2993" t="inlineStr">
        <is>
          <t>FLEET-06</t>
        </is>
      </c>
      <c r="F2993" s="17" t="n">
        <v>46013</v>
      </c>
      <c r="G2993" s="17" t="n">
        <v>46026</v>
      </c>
      <c r="H2993" s="18" t="n">
        <v>51</v>
      </c>
      <c r="I2993" s="19" t="n">
        <v>33.6</v>
      </c>
      <c r="J2993" s="19" t="n">
        <v>33</v>
      </c>
      <c r="K2993" s="20" t="n">
        <v>0</v>
      </c>
      <c r="L2993" s="20" t="n">
        <v>0</v>
      </c>
      <c r="M2993" s="18" t="n">
        <v>51</v>
      </c>
      <c r="N2993" s="18" t="n">
        <v>51</v>
      </c>
      <c r="O2993" s="18" t="n">
        <v>0</v>
      </c>
      <c r="P2993" s="17" t="n">
        <v>46021</v>
      </c>
      <c r="Q2993" s="17" t="n">
        <v>46021</v>
      </c>
      <c r="R2993" s="17" t="n">
        <v>46021</v>
      </c>
      <c r="S2993" s="19">
        <f>H2993*I2993</f>
        <v/>
      </c>
      <c r="T2993" s="19">
        <f>H2993*J2993</f>
        <v/>
      </c>
      <c r="U2993">
        <f>IF(AND(K2993=0,G2993&lt;=Assumptions!$C$6),1,0)</f>
        <v/>
      </c>
      <c r="V2993">
        <f>IF(U2993=1,IF(M2993&gt;0,IF(P2993&lt;=G2993+Assumptions!$C$7,1,0),0),0)</f>
        <v/>
      </c>
      <c r="W2993">
        <f>IF(AND(U2993=1,M2993&gt;=H2993*(1-Assumptions!$C$8)),1,0)</f>
        <v/>
      </c>
      <c r="X2993">
        <f>IF(AND(U2993=1,N2993&gt;=H2993*(1-Assumptions!$C$8)),1,0)</f>
        <v/>
      </c>
      <c r="Y2993">
        <f>IF(ISNUMBER(Q2993),1,0)</f>
        <v/>
      </c>
      <c r="Z2993">
        <f>IF(AND(K2993=0,L2993=0,Y2993=0),1,0)</f>
        <v/>
      </c>
      <c r="AA2993">
        <f>IF(AND(Z2993=1,G2993&lt;Assumptions!$C$6),1,0)</f>
        <v/>
      </c>
      <c r="AB2993">
        <f>IF(U2993=0,"",IF(Y2993=1,MAX(0,Q2993-G2993),IF(L2993=1,MAX(0,R2993-G2993),MAX(0,Assumptions!$C$6-G2993))))</f>
        <v/>
      </c>
      <c r="AC2993">
        <f>IF(Y2993=1,Q2993-F2993,"")</f>
        <v/>
      </c>
      <c r="AD2993">
        <f>IF(Y2993=1,AC2993^2,"")</f>
        <v/>
      </c>
      <c r="AE2993" s="19">
        <f>IF(Z2993=1,(H2993-M2993)*I2993,0)</f>
        <v/>
      </c>
      <c r="AF2993">
        <f>IF(G2993&lt;EDATE(Assumptions!$C$6,-12)+1,"prior_12m","last_12m")</f>
        <v/>
      </c>
      <c r="AG2993" s="21">
        <f>DATE(YEAR(G2993),MONTH(G2993),1)</f>
        <v/>
      </c>
    </row>
    <row r="2994">
      <c r="A2994" t="inlineStr">
        <is>
          <t>SPO-01604-1</t>
        </is>
      </c>
      <c r="B2994" t="inlineStr">
        <is>
          <t>SPO-01604</t>
        </is>
      </c>
      <c r="C2994" t="inlineStr">
        <is>
          <t>SUP-12</t>
        </is>
      </c>
      <c r="D2994" t="inlineStr">
        <is>
          <t>IT</t>
        </is>
      </c>
      <c r="E2994" t="inlineStr">
        <is>
          <t>IT-02</t>
        </is>
      </c>
      <c r="F2994" s="17" t="n">
        <v>46014</v>
      </c>
      <c r="G2994" s="17" t="n">
        <v>46024</v>
      </c>
      <c r="H2994" s="18" t="n">
        <v>7</v>
      </c>
      <c r="I2994" s="19" t="n">
        <v>186.12</v>
      </c>
      <c r="J2994" s="19" t="n">
        <v>162</v>
      </c>
      <c r="K2994" s="20" t="n">
        <v>0</v>
      </c>
      <c r="L2994" s="20" t="n">
        <v>0</v>
      </c>
      <c r="M2994" s="18" t="n">
        <v>7</v>
      </c>
      <c r="N2994" s="18" t="n">
        <v>7</v>
      </c>
      <c r="O2994" s="18" t="n">
        <v>0</v>
      </c>
      <c r="P2994" s="17" t="n">
        <v>46018</v>
      </c>
      <c r="Q2994" s="17" t="n">
        <v>46018</v>
      </c>
      <c r="R2994" s="17" t="n">
        <v>46018</v>
      </c>
      <c r="S2994" s="19">
        <f>H2994*I2994</f>
        <v/>
      </c>
      <c r="T2994" s="19">
        <f>H2994*J2994</f>
        <v/>
      </c>
      <c r="U2994">
        <f>IF(AND(K2994=0,G2994&lt;=Assumptions!$C$6),1,0)</f>
        <v/>
      </c>
      <c r="V2994">
        <f>IF(U2994=1,IF(M2994&gt;0,IF(P2994&lt;=G2994+Assumptions!$C$7,1,0),0),0)</f>
        <v/>
      </c>
      <c r="W2994">
        <f>IF(AND(U2994=1,M2994&gt;=H2994*(1-Assumptions!$C$8)),1,0)</f>
        <v/>
      </c>
      <c r="X2994">
        <f>IF(AND(U2994=1,N2994&gt;=H2994*(1-Assumptions!$C$8)),1,0)</f>
        <v/>
      </c>
      <c r="Y2994">
        <f>IF(ISNUMBER(Q2994),1,0)</f>
        <v/>
      </c>
      <c r="Z2994">
        <f>IF(AND(K2994=0,L2994=0,Y2994=0),1,0)</f>
        <v/>
      </c>
      <c r="AA2994">
        <f>IF(AND(Z2994=1,G2994&lt;Assumptions!$C$6),1,0)</f>
        <v/>
      </c>
      <c r="AB2994">
        <f>IF(U2994=0,"",IF(Y2994=1,MAX(0,Q2994-G2994),IF(L2994=1,MAX(0,R2994-G2994),MAX(0,Assumptions!$C$6-G2994))))</f>
        <v/>
      </c>
      <c r="AC2994">
        <f>IF(Y2994=1,Q2994-F2994,"")</f>
        <v/>
      </c>
      <c r="AD2994">
        <f>IF(Y2994=1,AC2994^2,"")</f>
        <v/>
      </c>
      <c r="AE2994" s="19">
        <f>IF(Z2994=1,(H2994-M2994)*I2994,0)</f>
        <v/>
      </c>
      <c r="AF2994">
        <f>IF(G2994&lt;EDATE(Assumptions!$C$6,-12)+1,"prior_12m","last_12m")</f>
        <v/>
      </c>
      <c r="AG2994" s="21">
        <f>DATE(YEAR(G2994),MONTH(G2994),1)</f>
        <v/>
      </c>
    </row>
    <row r="2995">
      <c r="A2995" t="inlineStr">
        <is>
          <t>SPO-01605-1</t>
        </is>
      </c>
      <c r="B2995" t="inlineStr">
        <is>
          <t>SPO-01605</t>
        </is>
      </c>
      <c r="C2995" t="inlineStr">
        <is>
          <t>SUP-01</t>
        </is>
      </c>
      <c r="D2995" t="inlineStr">
        <is>
          <t>ELEC</t>
        </is>
      </c>
      <c r="E2995" t="inlineStr">
        <is>
          <t>ELEC-07</t>
        </is>
      </c>
      <c r="F2995" s="17" t="n">
        <v>46014</v>
      </c>
      <c r="G2995" s="17" t="n">
        <v>46032</v>
      </c>
      <c r="H2995" s="18" t="n">
        <v>410</v>
      </c>
      <c r="I2995" s="19" t="n">
        <v>9.99</v>
      </c>
      <c r="J2995" s="19" t="n">
        <v>9.800000000000001</v>
      </c>
      <c r="K2995" s="20" t="n">
        <v>0</v>
      </c>
      <c r="L2995" s="20" t="n">
        <v>0</v>
      </c>
      <c r="M2995" s="18" t="n">
        <v>410</v>
      </c>
      <c r="N2995" s="18" t="n">
        <v>0</v>
      </c>
      <c r="O2995" s="18" t="n">
        <v>0</v>
      </c>
      <c r="P2995" s="17" t="n">
        <v>46152</v>
      </c>
      <c r="Q2995" s="17" t="n">
        <v>46152</v>
      </c>
      <c r="R2995" s="17" t="n">
        <v>46152</v>
      </c>
      <c r="S2995" s="19">
        <f>H2995*I2995</f>
        <v/>
      </c>
      <c r="T2995" s="19">
        <f>H2995*J2995</f>
        <v/>
      </c>
      <c r="U2995">
        <f>IF(AND(K2995=0,G2995&lt;=Assumptions!$C$6),1,0)</f>
        <v/>
      </c>
      <c r="V2995">
        <f>IF(U2995=1,IF(M2995&gt;0,IF(P2995&lt;=G2995+Assumptions!$C$7,1,0),0),0)</f>
        <v/>
      </c>
      <c r="W2995">
        <f>IF(AND(U2995=1,M2995&gt;=H2995*(1-Assumptions!$C$8)),1,0)</f>
        <v/>
      </c>
      <c r="X2995">
        <f>IF(AND(U2995=1,N2995&gt;=H2995*(1-Assumptions!$C$8)),1,0)</f>
        <v/>
      </c>
      <c r="Y2995">
        <f>IF(ISNUMBER(Q2995),1,0)</f>
        <v/>
      </c>
      <c r="Z2995">
        <f>IF(AND(K2995=0,L2995=0,Y2995=0),1,0)</f>
        <v/>
      </c>
      <c r="AA2995">
        <f>IF(AND(Z2995=1,G2995&lt;Assumptions!$C$6),1,0)</f>
        <v/>
      </c>
      <c r="AB2995">
        <f>IF(U2995=0,"",IF(Y2995=1,MAX(0,Q2995-G2995),IF(L2995=1,MAX(0,R2995-G2995),MAX(0,Assumptions!$C$6-G2995))))</f>
        <v/>
      </c>
      <c r="AC2995">
        <f>IF(Y2995=1,Q2995-F2995,"")</f>
        <v/>
      </c>
      <c r="AD2995">
        <f>IF(Y2995=1,AC2995^2,"")</f>
        <v/>
      </c>
      <c r="AE2995" s="19">
        <f>IF(Z2995=1,(H2995-M2995)*I2995,0)</f>
        <v/>
      </c>
      <c r="AF2995">
        <f>IF(G2995&lt;EDATE(Assumptions!$C$6,-12)+1,"prior_12m","last_12m")</f>
        <v/>
      </c>
      <c r="AG2995" s="21">
        <f>DATE(YEAR(G2995),MONTH(G2995),1)</f>
        <v/>
      </c>
    </row>
    <row r="2996">
      <c r="A2996" t="inlineStr">
        <is>
          <t>SPO-01605-2</t>
        </is>
      </c>
      <c r="B2996" t="inlineStr">
        <is>
          <t>SPO-01605</t>
        </is>
      </c>
      <c r="C2996" t="inlineStr">
        <is>
          <t>SUP-01</t>
        </is>
      </c>
      <c r="D2996" t="inlineStr">
        <is>
          <t>ELEC</t>
        </is>
      </c>
      <c r="E2996" t="inlineStr">
        <is>
          <t>ELEC-06</t>
        </is>
      </c>
      <c r="F2996" s="17" t="n">
        <v>46014</v>
      </c>
      <c r="G2996" s="17" t="n">
        <v>46032</v>
      </c>
      <c r="H2996" s="18" t="n">
        <v>23</v>
      </c>
      <c r="I2996" s="19" t="n">
        <v>140.15</v>
      </c>
      <c r="J2996" s="19" t="n">
        <v>145</v>
      </c>
      <c r="K2996" s="20" t="n">
        <v>0</v>
      </c>
      <c r="L2996" s="20" t="n">
        <v>0</v>
      </c>
      <c r="M2996" s="18" t="n">
        <v>23</v>
      </c>
      <c r="N2996" s="18" t="n">
        <v>23</v>
      </c>
      <c r="O2996" s="18" t="n">
        <v>0</v>
      </c>
      <c r="P2996" s="17" t="n">
        <v>46025</v>
      </c>
      <c r="Q2996" s="17" t="n">
        <v>46025</v>
      </c>
      <c r="R2996" s="17" t="n">
        <v>46025</v>
      </c>
      <c r="S2996" s="19">
        <f>H2996*I2996</f>
        <v/>
      </c>
      <c r="T2996" s="19">
        <f>H2996*J2996</f>
        <v/>
      </c>
      <c r="U2996">
        <f>IF(AND(K2996=0,G2996&lt;=Assumptions!$C$6),1,0)</f>
        <v/>
      </c>
      <c r="V2996">
        <f>IF(U2996=1,IF(M2996&gt;0,IF(P2996&lt;=G2996+Assumptions!$C$7,1,0),0),0)</f>
        <v/>
      </c>
      <c r="W2996">
        <f>IF(AND(U2996=1,M2996&gt;=H2996*(1-Assumptions!$C$8)),1,0)</f>
        <v/>
      </c>
      <c r="X2996">
        <f>IF(AND(U2996=1,N2996&gt;=H2996*(1-Assumptions!$C$8)),1,0)</f>
        <v/>
      </c>
      <c r="Y2996">
        <f>IF(ISNUMBER(Q2996),1,0)</f>
        <v/>
      </c>
      <c r="Z2996">
        <f>IF(AND(K2996=0,L2996=0,Y2996=0),1,0)</f>
        <v/>
      </c>
      <c r="AA2996">
        <f>IF(AND(Z2996=1,G2996&lt;Assumptions!$C$6),1,0)</f>
        <v/>
      </c>
      <c r="AB2996">
        <f>IF(U2996=0,"",IF(Y2996=1,MAX(0,Q2996-G2996),IF(L2996=1,MAX(0,R2996-G2996),MAX(0,Assumptions!$C$6-G2996))))</f>
        <v/>
      </c>
      <c r="AC2996">
        <f>IF(Y2996=1,Q2996-F2996,"")</f>
        <v/>
      </c>
      <c r="AD2996">
        <f>IF(Y2996=1,AC2996^2,"")</f>
        <v/>
      </c>
      <c r="AE2996" s="19">
        <f>IF(Z2996=1,(H2996-M2996)*I2996,0)</f>
        <v/>
      </c>
      <c r="AF2996">
        <f>IF(G2996&lt;EDATE(Assumptions!$C$6,-12)+1,"prior_12m","last_12m")</f>
        <v/>
      </c>
      <c r="AG2996" s="21">
        <f>DATE(YEAR(G2996),MONTH(G2996),1)</f>
        <v/>
      </c>
    </row>
    <row r="2997">
      <c r="A2997" t="inlineStr">
        <is>
          <t>SPO-01606-1</t>
        </is>
      </c>
      <c r="B2997" t="inlineStr">
        <is>
          <t>SPO-01606</t>
        </is>
      </c>
      <c r="C2997" t="inlineStr">
        <is>
          <t>SUP-09</t>
        </is>
      </c>
      <c r="D2997" t="inlineStr">
        <is>
          <t>CHEM</t>
        </is>
      </c>
      <c r="E2997" t="inlineStr">
        <is>
          <t>CHEM-02</t>
        </is>
      </c>
      <c r="F2997" s="17" t="n">
        <v>46014</v>
      </c>
      <c r="G2997" s="17" t="n">
        <v>46028</v>
      </c>
      <c r="H2997" s="18" t="n">
        <v>4</v>
      </c>
      <c r="I2997" s="19" t="n">
        <v>426.4</v>
      </c>
      <c r="J2997" s="19" t="n">
        <v>410</v>
      </c>
      <c r="K2997" s="20" t="n">
        <v>0</v>
      </c>
      <c r="L2997" s="20" t="n">
        <v>0</v>
      </c>
      <c r="M2997" s="18" t="n">
        <v>4</v>
      </c>
      <c r="N2997" s="18" t="n">
        <v>4</v>
      </c>
      <c r="O2997" s="18" t="n">
        <v>0</v>
      </c>
      <c r="P2997" s="17" t="n">
        <v>46025</v>
      </c>
      <c r="Q2997" s="17" t="n">
        <v>46025</v>
      </c>
      <c r="R2997" s="17" t="n">
        <v>46025</v>
      </c>
      <c r="S2997" s="19">
        <f>H2997*I2997</f>
        <v/>
      </c>
      <c r="T2997" s="19">
        <f>H2997*J2997</f>
        <v/>
      </c>
      <c r="U2997">
        <f>IF(AND(K2997=0,G2997&lt;=Assumptions!$C$6),1,0)</f>
        <v/>
      </c>
      <c r="V2997">
        <f>IF(U2997=1,IF(M2997&gt;0,IF(P2997&lt;=G2997+Assumptions!$C$7,1,0),0),0)</f>
        <v/>
      </c>
      <c r="W2997">
        <f>IF(AND(U2997=1,M2997&gt;=H2997*(1-Assumptions!$C$8)),1,0)</f>
        <v/>
      </c>
      <c r="X2997">
        <f>IF(AND(U2997=1,N2997&gt;=H2997*(1-Assumptions!$C$8)),1,0)</f>
        <v/>
      </c>
      <c r="Y2997">
        <f>IF(ISNUMBER(Q2997),1,0)</f>
        <v/>
      </c>
      <c r="Z2997">
        <f>IF(AND(K2997=0,L2997=0,Y2997=0),1,0)</f>
        <v/>
      </c>
      <c r="AA2997">
        <f>IF(AND(Z2997=1,G2997&lt;Assumptions!$C$6),1,0)</f>
        <v/>
      </c>
      <c r="AB2997">
        <f>IF(U2997=0,"",IF(Y2997=1,MAX(0,Q2997-G2997),IF(L2997=1,MAX(0,R2997-G2997),MAX(0,Assumptions!$C$6-G2997))))</f>
        <v/>
      </c>
      <c r="AC2997">
        <f>IF(Y2997=1,Q2997-F2997,"")</f>
        <v/>
      </c>
      <c r="AD2997">
        <f>IF(Y2997=1,AC2997^2,"")</f>
        <v/>
      </c>
      <c r="AE2997" s="19">
        <f>IF(Z2997=1,(H2997-M2997)*I2997,0)</f>
        <v/>
      </c>
      <c r="AF2997">
        <f>IF(G2997&lt;EDATE(Assumptions!$C$6,-12)+1,"prior_12m","last_12m")</f>
        <v/>
      </c>
      <c r="AG2997" s="21">
        <f>DATE(YEAR(G2997),MONTH(G2997),1)</f>
        <v/>
      </c>
    </row>
    <row r="2998">
      <c r="A2998" t="inlineStr">
        <is>
          <t>SPO-01606-2</t>
        </is>
      </c>
      <c r="B2998" t="inlineStr">
        <is>
          <t>SPO-01606</t>
        </is>
      </c>
      <c r="C2998" t="inlineStr">
        <is>
          <t>SUP-09</t>
        </is>
      </c>
      <c r="D2998" t="inlineStr">
        <is>
          <t>CHEM</t>
        </is>
      </c>
      <c r="E2998" t="inlineStr">
        <is>
          <t>CHEM-01</t>
        </is>
      </c>
      <c r="F2998" s="17" t="n">
        <v>46014</v>
      </c>
      <c r="G2998" s="17" t="n">
        <v>46028</v>
      </c>
      <c r="H2998" s="18" t="n">
        <v>2</v>
      </c>
      <c r="I2998" s="19" t="n">
        <v>645.2</v>
      </c>
      <c r="J2998" s="19" t="n">
        <v>640</v>
      </c>
      <c r="K2998" s="20" t="n">
        <v>0</v>
      </c>
      <c r="L2998" s="20" t="n">
        <v>0</v>
      </c>
      <c r="M2998" s="18" t="n">
        <v>2</v>
      </c>
      <c r="N2998" s="18" t="n">
        <v>2</v>
      </c>
      <c r="O2998" s="18" t="n">
        <v>0</v>
      </c>
      <c r="P2998" s="17" t="n">
        <v>46026</v>
      </c>
      <c r="Q2998" s="17" t="n">
        <v>46026</v>
      </c>
      <c r="R2998" s="17" t="n">
        <v>46026</v>
      </c>
      <c r="S2998" s="19">
        <f>H2998*I2998</f>
        <v/>
      </c>
      <c r="T2998" s="19">
        <f>H2998*J2998</f>
        <v/>
      </c>
      <c r="U2998">
        <f>IF(AND(K2998=0,G2998&lt;=Assumptions!$C$6),1,0)</f>
        <v/>
      </c>
      <c r="V2998">
        <f>IF(U2998=1,IF(M2998&gt;0,IF(P2998&lt;=G2998+Assumptions!$C$7,1,0),0),0)</f>
        <v/>
      </c>
      <c r="W2998">
        <f>IF(AND(U2998=1,M2998&gt;=H2998*(1-Assumptions!$C$8)),1,0)</f>
        <v/>
      </c>
      <c r="X2998">
        <f>IF(AND(U2998=1,N2998&gt;=H2998*(1-Assumptions!$C$8)),1,0)</f>
        <v/>
      </c>
      <c r="Y2998">
        <f>IF(ISNUMBER(Q2998),1,0)</f>
        <v/>
      </c>
      <c r="Z2998">
        <f>IF(AND(K2998=0,L2998=0,Y2998=0),1,0)</f>
        <v/>
      </c>
      <c r="AA2998">
        <f>IF(AND(Z2998=1,G2998&lt;Assumptions!$C$6),1,0)</f>
        <v/>
      </c>
      <c r="AB2998">
        <f>IF(U2998=0,"",IF(Y2998=1,MAX(0,Q2998-G2998),IF(L2998=1,MAX(0,R2998-G2998),MAX(0,Assumptions!$C$6-G2998))))</f>
        <v/>
      </c>
      <c r="AC2998">
        <f>IF(Y2998=1,Q2998-F2998,"")</f>
        <v/>
      </c>
      <c r="AD2998">
        <f>IF(Y2998=1,AC2998^2,"")</f>
        <v/>
      </c>
      <c r="AE2998" s="19">
        <f>IF(Z2998=1,(H2998-M2998)*I2998,0)</f>
        <v/>
      </c>
      <c r="AF2998">
        <f>IF(G2998&lt;EDATE(Assumptions!$C$6,-12)+1,"prior_12m","last_12m")</f>
        <v/>
      </c>
      <c r="AG2998" s="21">
        <f>DATE(YEAR(G2998),MONTH(G2998),1)</f>
        <v/>
      </c>
    </row>
    <row r="2999">
      <c r="A2999" t="inlineStr">
        <is>
          <t>SPO-01607-1</t>
        </is>
      </c>
      <c r="B2999" t="inlineStr">
        <is>
          <t>SPO-01607</t>
        </is>
      </c>
      <c r="C2999" t="inlineStr">
        <is>
          <t>SUP-09</t>
        </is>
      </c>
      <c r="D2999" t="inlineStr">
        <is>
          <t>CHEM</t>
        </is>
      </c>
      <c r="E2999" t="inlineStr">
        <is>
          <t>CHEM-05</t>
        </is>
      </c>
      <c r="F2999" s="17" t="n">
        <v>46014</v>
      </c>
      <c r="G2999" s="17" t="n">
        <v>46028</v>
      </c>
      <c r="H2999" s="18" t="n">
        <v>2</v>
      </c>
      <c r="I2999" s="19" t="n">
        <v>988.14</v>
      </c>
      <c r="J2999" s="19" t="n">
        <v>930</v>
      </c>
      <c r="K2999" s="20" t="n">
        <v>0</v>
      </c>
      <c r="L2999" s="20" t="n">
        <v>0</v>
      </c>
      <c r="M2999" s="18" t="n">
        <v>2</v>
      </c>
      <c r="N2999" s="18" t="n">
        <v>2</v>
      </c>
      <c r="O2999" s="18" t="n">
        <v>0</v>
      </c>
      <c r="P2999" s="17" t="n">
        <v>46024</v>
      </c>
      <c r="Q2999" s="17" t="n">
        <v>46024</v>
      </c>
      <c r="R2999" s="17" t="n">
        <v>46024</v>
      </c>
      <c r="S2999" s="19">
        <f>H2999*I2999</f>
        <v/>
      </c>
      <c r="T2999" s="19">
        <f>H2999*J2999</f>
        <v/>
      </c>
      <c r="U2999">
        <f>IF(AND(K2999=0,G2999&lt;=Assumptions!$C$6),1,0)</f>
        <v/>
      </c>
      <c r="V2999">
        <f>IF(U2999=1,IF(M2999&gt;0,IF(P2999&lt;=G2999+Assumptions!$C$7,1,0),0),0)</f>
        <v/>
      </c>
      <c r="W2999">
        <f>IF(AND(U2999=1,M2999&gt;=H2999*(1-Assumptions!$C$8)),1,0)</f>
        <v/>
      </c>
      <c r="X2999">
        <f>IF(AND(U2999=1,N2999&gt;=H2999*(1-Assumptions!$C$8)),1,0)</f>
        <v/>
      </c>
      <c r="Y2999">
        <f>IF(ISNUMBER(Q2999),1,0)</f>
        <v/>
      </c>
      <c r="Z2999">
        <f>IF(AND(K2999=0,L2999=0,Y2999=0),1,0)</f>
        <v/>
      </c>
      <c r="AA2999">
        <f>IF(AND(Z2999=1,G2999&lt;Assumptions!$C$6),1,0)</f>
        <v/>
      </c>
      <c r="AB2999">
        <f>IF(U2999=0,"",IF(Y2999=1,MAX(0,Q2999-G2999),IF(L2999=1,MAX(0,R2999-G2999),MAX(0,Assumptions!$C$6-G2999))))</f>
        <v/>
      </c>
      <c r="AC2999">
        <f>IF(Y2999=1,Q2999-F2999,"")</f>
        <v/>
      </c>
      <c r="AD2999">
        <f>IF(Y2999=1,AC2999^2,"")</f>
        <v/>
      </c>
      <c r="AE2999" s="19">
        <f>IF(Z2999=1,(H2999-M2999)*I2999,0)</f>
        <v/>
      </c>
      <c r="AF2999">
        <f>IF(G2999&lt;EDATE(Assumptions!$C$6,-12)+1,"prior_12m","last_12m")</f>
        <v/>
      </c>
      <c r="AG2999" s="21">
        <f>DATE(YEAR(G2999),MONTH(G2999),1)</f>
        <v/>
      </c>
    </row>
    <row r="3000">
      <c r="A3000" t="inlineStr">
        <is>
          <t>SPO-01607-2</t>
        </is>
      </c>
      <c r="B3000" t="inlineStr">
        <is>
          <t>SPO-01607</t>
        </is>
      </c>
      <c r="C3000" t="inlineStr">
        <is>
          <t>SUP-09</t>
        </is>
      </c>
      <c r="D3000" t="inlineStr">
        <is>
          <t>CHEM</t>
        </is>
      </c>
      <c r="E3000" t="inlineStr">
        <is>
          <t>CHEM-02</t>
        </is>
      </c>
      <c r="F3000" s="17" t="n">
        <v>46014</v>
      </c>
      <c r="G3000" s="17" t="n">
        <v>46028</v>
      </c>
      <c r="H3000" s="18" t="n">
        <v>3</v>
      </c>
      <c r="I3000" s="19" t="n">
        <v>439.97</v>
      </c>
      <c r="J3000" s="19" t="n">
        <v>410</v>
      </c>
      <c r="K3000" s="20" t="n">
        <v>0</v>
      </c>
      <c r="L3000" s="20" t="n">
        <v>0</v>
      </c>
      <c r="M3000" s="18" t="n">
        <v>3</v>
      </c>
      <c r="N3000" s="18" t="n">
        <v>3</v>
      </c>
      <c r="O3000" s="18" t="n">
        <v>0</v>
      </c>
      <c r="P3000" s="17" t="n">
        <v>46024</v>
      </c>
      <c r="Q3000" s="17" t="n">
        <v>46024</v>
      </c>
      <c r="R3000" s="17" t="n">
        <v>46024</v>
      </c>
      <c r="S3000" s="19">
        <f>H3000*I3000</f>
        <v/>
      </c>
      <c r="T3000" s="19">
        <f>H3000*J3000</f>
        <v/>
      </c>
      <c r="U3000">
        <f>IF(AND(K3000=0,G3000&lt;=Assumptions!$C$6),1,0)</f>
        <v/>
      </c>
      <c r="V3000">
        <f>IF(U3000=1,IF(M3000&gt;0,IF(P3000&lt;=G3000+Assumptions!$C$7,1,0),0),0)</f>
        <v/>
      </c>
      <c r="W3000">
        <f>IF(AND(U3000=1,M3000&gt;=H3000*(1-Assumptions!$C$8)),1,0)</f>
        <v/>
      </c>
      <c r="X3000">
        <f>IF(AND(U3000=1,N3000&gt;=H3000*(1-Assumptions!$C$8)),1,0)</f>
        <v/>
      </c>
      <c r="Y3000">
        <f>IF(ISNUMBER(Q3000),1,0)</f>
        <v/>
      </c>
      <c r="Z3000">
        <f>IF(AND(K3000=0,L3000=0,Y3000=0),1,0)</f>
        <v/>
      </c>
      <c r="AA3000">
        <f>IF(AND(Z3000=1,G3000&lt;Assumptions!$C$6),1,0)</f>
        <v/>
      </c>
      <c r="AB3000">
        <f>IF(U3000=0,"",IF(Y3000=1,MAX(0,Q3000-G3000),IF(L3000=1,MAX(0,R3000-G3000),MAX(0,Assumptions!$C$6-G3000))))</f>
        <v/>
      </c>
      <c r="AC3000">
        <f>IF(Y3000=1,Q3000-F3000,"")</f>
        <v/>
      </c>
      <c r="AD3000">
        <f>IF(Y3000=1,AC3000^2,"")</f>
        <v/>
      </c>
      <c r="AE3000" s="19">
        <f>IF(Z3000=1,(H3000-M3000)*I3000,0)</f>
        <v/>
      </c>
      <c r="AF3000">
        <f>IF(G3000&lt;EDATE(Assumptions!$C$6,-12)+1,"prior_12m","last_12m")</f>
        <v/>
      </c>
      <c r="AG3000" s="21">
        <f>DATE(YEAR(G3000),MONTH(G3000),1)</f>
        <v/>
      </c>
    </row>
    <row r="3001">
      <c r="A3001" t="inlineStr">
        <is>
          <t>SPO-01607-3</t>
        </is>
      </c>
      <c r="B3001" t="inlineStr">
        <is>
          <t>SPO-01607</t>
        </is>
      </c>
      <c r="C3001" t="inlineStr">
        <is>
          <t>SUP-09</t>
        </is>
      </c>
      <c r="D3001" t="inlineStr">
        <is>
          <t>CHEM</t>
        </is>
      </c>
      <c r="E3001" t="inlineStr">
        <is>
          <t>CHEM-03</t>
        </is>
      </c>
      <c r="F3001" s="17" t="n">
        <v>46014</v>
      </c>
      <c r="G3001" s="17" t="n">
        <v>46028</v>
      </c>
      <c r="H3001" s="18" t="n">
        <v>13</v>
      </c>
      <c r="I3001" s="19" t="n">
        <v>277.31</v>
      </c>
      <c r="J3001" s="19" t="n">
        <v>265</v>
      </c>
      <c r="K3001" s="20" t="n">
        <v>0</v>
      </c>
      <c r="L3001" s="20" t="n">
        <v>0</v>
      </c>
      <c r="M3001" s="18" t="n">
        <v>13</v>
      </c>
      <c r="N3001" s="18" t="n">
        <v>13</v>
      </c>
      <c r="O3001" s="18" t="n">
        <v>0</v>
      </c>
      <c r="P3001" s="17" t="n">
        <v>46027</v>
      </c>
      <c r="Q3001" s="17" t="n">
        <v>46027</v>
      </c>
      <c r="R3001" s="17" t="n">
        <v>46027</v>
      </c>
      <c r="S3001" s="19">
        <f>H3001*I3001</f>
        <v/>
      </c>
      <c r="T3001" s="19">
        <f>H3001*J3001</f>
        <v/>
      </c>
      <c r="U3001">
        <f>IF(AND(K3001=0,G3001&lt;=Assumptions!$C$6),1,0)</f>
        <v/>
      </c>
      <c r="V3001">
        <f>IF(U3001=1,IF(M3001&gt;0,IF(P3001&lt;=G3001+Assumptions!$C$7,1,0),0),0)</f>
        <v/>
      </c>
      <c r="W3001">
        <f>IF(AND(U3001=1,M3001&gt;=H3001*(1-Assumptions!$C$8)),1,0)</f>
        <v/>
      </c>
      <c r="X3001">
        <f>IF(AND(U3001=1,N3001&gt;=H3001*(1-Assumptions!$C$8)),1,0)</f>
        <v/>
      </c>
      <c r="Y3001">
        <f>IF(ISNUMBER(Q3001),1,0)</f>
        <v/>
      </c>
      <c r="Z3001">
        <f>IF(AND(K3001=0,L3001=0,Y3001=0),1,0)</f>
        <v/>
      </c>
      <c r="AA3001">
        <f>IF(AND(Z3001=1,G3001&lt;Assumptions!$C$6),1,0)</f>
        <v/>
      </c>
      <c r="AB3001">
        <f>IF(U3001=0,"",IF(Y3001=1,MAX(0,Q3001-G3001),IF(L3001=1,MAX(0,R3001-G3001),MAX(0,Assumptions!$C$6-G3001))))</f>
        <v/>
      </c>
      <c r="AC3001">
        <f>IF(Y3001=1,Q3001-F3001,"")</f>
        <v/>
      </c>
      <c r="AD3001">
        <f>IF(Y3001=1,AC3001^2,"")</f>
        <v/>
      </c>
      <c r="AE3001" s="19">
        <f>IF(Z3001=1,(H3001-M3001)*I3001,0)</f>
        <v/>
      </c>
      <c r="AF3001">
        <f>IF(G3001&lt;EDATE(Assumptions!$C$6,-12)+1,"prior_12m","last_12m")</f>
        <v/>
      </c>
      <c r="AG3001" s="21">
        <f>DATE(YEAR(G3001),MONTH(G3001),1)</f>
        <v/>
      </c>
    </row>
    <row r="3002">
      <c r="A3002" t="inlineStr">
        <is>
          <t>SPO-01608-1</t>
        </is>
      </c>
      <c r="B3002" t="inlineStr">
        <is>
          <t>SPO-01608</t>
        </is>
      </c>
      <c r="C3002" t="inlineStr">
        <is>
          <t>SUP-06</t>
        </is>
      </c>
      <c r="D3002" t="inlineStr">
        <is>
          <t>MRO</t>
        </is>
      </c>
      <c r="E3002" t="inlineStr">
        <is>
          <t>MRO-08</t>
        </is>
      </c>
      <c r="F3002" s="17" t="n">
        <v>46014</v>
      </c>
      <c r="G3002" s="17" t="n">
        <v>46022</v>
      </c>
      <c r="H3002" s="18" t="n">
        <v>156</v>
      </c>
      <c r="I3002" s="19" t="n">
        <v>6.98</v>
      </c>
      <c r="J3002" s="19" t="n">
        <v>7.2</v>
      </c>
      <c r="K3002" s="20" t="n">
        <v>0</v>
      </c>
      <c r="L3002" s="20" t="n">
        <v>0</v>
      </c>
      <c r="M3002" s="18" t="n">
        <v>156</v>
      </c>
      <c r="N3002" s="18" t="n">
        <v>156</v>
      </c>
      <c r="O3002" s="18" t="n">
        <v>0</v>
      </c>
      <c r="P3002" s="17" t="n">
        <v>46020</v>
      </c>
      <c r="Q3002" s="17" t="n">
        <v>46020</v>
      </c>
      <c r="R3002" s="17" t="n">
        <v>46020</v>
      </c>
      <c r="S3002" s="19">
        <f>H3002*I3002</f>
        <v/>
      </c>
      <c r="T3002" s="19">
        <f>H3002*J3002</f>
        <v/>
      </c>
      <c r="U3002">
        <f>IF(AND(K3002=0,G3002&lt;=Assumptions!$C$6),1,0)</f>
        <v/>
      </c>
      <c r="V3002">
        <f>IF(U3002=1,IF(M3002&gt;0,IF(P3002&lt;=G3002+Assumptions!$C$7,1,0),0),0)</f>
        <v/>
      </c>
      <c r="W3002">
        <f>IF(AND(U3002=1,M3002&gt;=H3002*(1-Assumptions!$C$8)),1,0)</f>
        <v/>
      </c>
      <c r="X3002">
        <f>IF(AND(U3002=1,N3002&gt;=H3002*(1-Assumptions!$C$8)),1,0)</f>
        <v/>
      </c>
      <c r="Y3002">
        <f>IF(ISNUMBER(Q3002),1,0)</f>
        <v/>
      </c>
      <c r="Z3002">
        <f>IF(AND(K3002=0,L3002=0,Y3002=0),1,0)</f>
        <v/>
      </c>
      <c r="AA3002">
        <f>IF(AND(Z3002=1,G3002&lt;Assumptions!$C$6),1,0)</f>
        <v/>
      </c>
      <c r="AB3002">
        <f>IF(U3002=0,"",IF(Y3002=1,MAX(0,Q3002-G3002),IF(L3002=1,MAX(0,R3002-G3002),MAX(0,Assumptions!$C$6-G3002))))</f>
        <v/>
      </c>
      <c r="AC3002">
        <f>IF(Y3002=1,Q3002-F3002,"")</f>
        <v/>
      </c>
      <c r="AD3002">
        <f>IF(Y3002=1,AC3002^2,"")</f>
        <v/>
      </c>
      <c r="AE3002" s="19">
        <f>IF(Z3002=1,(H3002-M3002)*I3002,0)</f>
        <v/>
      </c>
      <c r="AF3002">
        <f>IF(G3002&lt;EDATE(Assumptions!$C$6,-12)+1,"prior_12m","last_12m")</f>
        <v/>
      </c>
      <c r="AG3002" s="21">
        <f>DATE(YEAR(G3002),MONTH(G3002),1)</f>
        <v/>
      </c>
    </row>
    <row r="3003">
      <c r="A3003" t="inlineStr">
        <is>
          <t>SPO-01608-2</t>
        </is>
      </c>
      <c r="B3003" t="inlineStr">
        <is>
          <t>SPO-01608</t>
        </is>
      </c>
      <c r="C3003" t="inlineStr">
        <is>
          <t>SUP-06</t>
        </is>
      </c>
      <c r="D3003" t="inlineStr">
        <is>
          <t>MRO</t>
        </is>
      </c>
      <c r="E3003" t="inlineStr">
        <is>
          <t>MRO-06</t>
        </is>
      </c>
      <c r="F3003" s="17" t="n">
        <v>46014</v>
      </c>
      <c r="G3003" s="17" t="n">
        <v>46022</v>
      </c>
      <c r="H3003" s="18" t="n">
        <v>218</v>
      </c>
      <c r="I3003" s="19" t="n">
        <v>6.19</v>
      </c>
      <c r="J3003" s="19" t="n">
        <v>6.1</v>
      </c>
      <c r="K3003" s="20" t="n">
        <v>0</v>
      </c>
      <c r="L3003" s="20" t="n">
        <v>0</v>
      </c>
      <c r="M3003" s="18" t="n">
        <v>218</v>
      </c>
      <c r="N3003" s="18" t="n">
        <v>218</v>
      </c>
      <c r="O3003" s="18" t="n">
        <v>0</v>
      </c>
      <c r="P3003" s="17" t="n">
        <v>46021</v>
      </c>
      <c r="Q3003" s="17" t="n">
        <v>46021</v>
      </c>
      <c r="R3003" s="17" t="n">
        <v>46021</v>
      </c>
      <c r="S3003" s="19">
        <f>H3003*I3003</f>
        <v/>
      </c>
      <c r="T3003" s="19">
        <f>H3003*J3003</f>
        <v/>
      </c>
      <c r="U3003">
        <f>IF(AND(K3003=0,G3003&lt;=Assumptions!$C$6),1,0)</f>
        <v/>
      </c>
      <c r="V3003">
        <f>IF(U3003=1,IF(M3003&gt;0,IF(P3003&lt;=G3003+Assumptions!$C$7,1,0),0),0)</f>
        <v/>
      </c>
      <c r="W3003">
        <f>IF(AND(U3003=1,M3003&gt;=H3003*(1-Assumptions!$C$8)),1,0)</f>
        <v/>
      </c>
      <c r="X3003">
        <f>IF(AND(U3003=1,N3003&gt;=H3003*(1-Assumptions!$C$8)),1,0)</f>
        <v/>
      </c>
      <c r="Y3003">
        <f>IF(ISNUMBER(Q3003),1,0)</f>
        <v/>
      </c>
      <c r="Z3003">
        <f>IF(AND(K3003=0,L3003=0,Y3003=0),1,0)</f>
        <v/>
      </c>
      <c r="AA3003">
        <f>IF(AND(Z3003=1,G3003&lt;Assumptions!$C$6),1,0)</f>
        <v/>
      </c>
      <c r="AB3003">
        <f>IF(U3003=0,"",IF(Y3003=1,MAX(0,Q3003-G3003),IF(L3003=1,MAX(0,R3003-G3003),MAX(0,Assumptions!$C$6-G3003))))</f>
        <v/>
      </c>
      <c r="AC3003">
        <f>IF(Y3003=1,Q3003-F3003,"")</f>
        <v/>
      </c>
      <c r="AD3003">
        <f>IF(Y3003=1,AC3003^2,"")</f>
        <v/>
      </c>
      <c r="AE3003" s="19">
        <f>IF(Z3003=1,(H3003-M3003)*I3003,0)</f>
        <v/>
      </c>
      <c r="AF3003">
        <f>IF(G3003&lt;EDATE(Assumptions!$C$6,-12)+1,"prior_12m","last_12m")</f>
        <v/>
      </c>
      <c r="AG3003" s="21">
        <f>DATE(YEAR(G3003),MONTH(G3003),1)</f>
        <v/>
      </c>
    </row>
    <row r="3004">
      <c r="A3004" t="inlineStr">
        <is>
          <t>SPO-01608-3</t>
        </is>
      </c>
      <c r="B3004" t="inlineStr">
        <is>
          <t>SPO-01608</t>
        </is>
      </c>
      <c r="C3004" t="inlineStr">
        <is>
          <t>SUP-06</t>
        </is>
      </c>
      <c r="D3004" t="inlineStr">
        <is>
          <t>MRO</t>
        </is>
      </c>
      <c r="E3004" t="inlineStr">
        <is>
          <t>MRO-07</t>
        </is>
      </c>
      <c r="F3004" s="17" t="n">
        <v>46014</v>
      </c>
      <c r="G3004" s="17" t="n">
        <v>46022</v>
      </c>
      <c r="H3004" s="18" t="n">
        <v>91</v>
      </c>
      <c r="I3004" s="19" t="n">
        <v>13.57</v>
      </c>
      <c r="J3004" s="19" t="n">
        <v>14</v>
      </c>
      <c r="K3004" s="20" t="n">
        <v>0</v>
      </c>
      <c r="L3004" s="20" t="n">
        <v>0</v>
      </c>
      <c r="M3004" s="18" t="n">
        <v>91</v>
      </c>
      <c r="N3004" s="18" t="n">
        <v>91</v>
      </c>
      <c r="O3004" s="18" t="n">
        <v>0</v>
      </c>
      <c r="P3004" s="17" t="n">
        <v>46020</v>
      </c>
      <c r="Q3004" s="17" t="n">
        <v>46020</v>
      </c>
      <c r="R3004" s="17" t="n">
        <v>46020</v>
      </c>
      <c r="S3004" s="19">
        <f>H3004*I3004</f>
        <v/>
      </c>
      <c r="T3004" s="19">
        <f>H3004*J3004</f>
        <v/>
      </c>
      <c r="U3004">
        <f>IF(AND(K3004=0,G3004&lt;=Assumptions!$C$6),1,0)</f>
        <v/>
      </c>
      <c r="V3004">
        <f>IF(U3004=1,IF(M3004&gt;0,IF(P3004&lt;=G3004+Assumptions!$C$7,1,0),0),0)</f>
        <v/>
      </c>
      <c r="W3004">
        <f>IF(AND(U3004=1,M3004&gt;=H3004*(1-Assumptions!$C$8)),1,0)</f>
        <v/>
      </c>
      <c r="X3004">
        <f>IF(AND(U3004=1,N3004&gt;=H3004*(1-Assumptions!$C$8)),1,0)</f>
        <v/>
      </c>
      <c r="Y3004">
        <f>IF(ISNUMBER(Q3004),1,0)</f>
        <v/>
      </c>
      <c r="Z3004">
        <f>IF(AND(K3004=0,L3004=0,Y3004=0),1,0)</f>
        <v/>
      </c>
      <c r="AA3004">
        <f>IF(AND(Z3004=1,G3004&lt;Assumptions!$C$6),1,0)</f>
        <v/>
      </c>
      <c r="AB3004">
        <f>IF(U3004=0,"",IF(Y3004=1,MAX(0,Q3004-G3004),IF(L3004=1,MAX(0,R3004-G3004),MAX(0,Assumptions!$C$6-G3004))))</f>
        <v/>
      </c>
      <c r="AC3004">
        <f>IF(Y3004=1,Q3004-F3004,"")</f>
        <v/>
      </c>
      <c r="AD3004">
        <f>IF(Y3004=1,AC3004^2,"")</f>
        <v/>
      </c>
      <c r="AE3004" s="19">
        <f>IF(Z3004=1,(H3004-M3004)*I3004,0)</f>
        <v/>
      </c>
      <c r="AF3004">
        <f>IF(G3004&lt;EDATE(Assumptions!$C$6,-12)+1,"prior_12m","last_12m")</f>
        <v/>
      </c>
      <c r="AG3004" s="21">
        <f>DATE(YEAR(G3004),MONTH(G3004),1)</f>
        <v/>
      </c>
    </row>
    <row r="3005">
      <c r="A3005" t="inlineStr">
        <is>
          <t>SPO-01608-4</t>
        </is>
      </c>
      <c r="B3005" t="inlineStr">
        <is>
          <t>SPO-01608</t>
        </is>
      </c>
      <c r="C3005" t="inlineStr">
        <is>
          <t>SUP-06</t>
        </is>
      </c>
      <c r="D3005" t="inlineStr">
        <is>
          <t>MRO</t>
        </is>
      </c>
      <c r="E3005" t="inlineStr">
        <is>
          <t>MRO-05</t>
        </is>
      </c>
      <c r="F3005" s="17" t="n">
        <v>46014</v>
      </c>
      <c r="G3005" s="17" t="n">
        <v>46022</v>
      </c>
      <c r="H3005" s="18" t="n">
        <v>38</v>
      </c>
      <c r="I3005" s="19" t="n">
        <v>35.79</v>
      </c>
      <c r="J3005" s="19" t="n">
        <v>36</v>
      </c>
      <c r="K3005" s="20" t="n">
        <v>0</v>
      </c>
      <c r="L3005" s="20" t="n">
        <v>0</v>
      </c>
      <c r="M3005" s="18" t="n">
        <v>38</v>
      </c>
      <c r="N3005" s="18" t="n">
        <v>38</v>
      </c>
      <c r="O3005" s="18" t="n">
        <v>0</v>
      </c>
      <c r="P3005" s="17" t="n">
        <v>46020</v>
      </c>
      <c r="Q3005" s="17" t="n">
        <v>46020</v>
      </c>
      <c r="R3005" s="17" t="n">
        <v>46020</v>
      </c>
      <c r="S3005" s="19">
        <f>H3005*I3005</f>
        <v/>
      </c>
      <c r="T3005" s="19">
        <f>H3005*J3005</f>
        <v/>
      </c>
      <c r="U3005">
        <f>IF(AND(K3005=0,G3005&lt;=Assumptions!$C$6),1,0)</f>
        <v/>
      </c>
      <c r="V3005">
        <f>IF(U3005=1,IF(M3005&gt;0,IF(P3005&lt;=G3005+Assumptions!$C$7,1,0),0),0)</f>
        <v/>
      </c>
      <c r="W3005">
        <f>IF(AND(U3005=1,M3005&gt;=H3005*(1-Assumptions!$C$8)),1,0)</f>
        <v/>
      </c>
      <c r="X3005">
        <f>IF(AND(U3005=1,N3005&gt;=H3005*(1-Assumptions!$C$8)),1,0)</f>
        <v/>
      </c>
      <c r="Y3005">
        <f>IF(ISNUMBER(Q3005),1,0)</f>
        <v/>
      </c>
      <c r="Z3005">
        <f>IF(AND(K3005=0,L3005=0,Y3005=0),1,0)</f>
        <v/>
      </c>
      <c r="AA3005">
        <f>IF(AND(Z3005=1,G3005&lt;Assumptions!$C$6),1,0)</f>
        <v/>
      </c>
      <c r="AB3005">
        <f>IF(U3005=0,"",IF(Y3005=1,MAX(0,Q3005-G3005),IF(L3005=1,MAX(0,R3005-G3005),MAX(0,Assumptions!$C$6-G3005))))</f>
        <v/>
      </c>
      <c r="AC3005">
        <f>IF(Y3005=1,Q3005-F3005,"")</f>
        <v/>
      </c>
      <c r="AD3005">
        <f>IF(Y3005=1,AC3005^2,"")</f>
        <v/>
      </c>
      <c r="AE3005" s="19">
        <f>IF(Z3005=1,(H3005-M3005)*I3005,0)</f>
        <v/>
      </c>
      <c r="AF3005">
        <f>IF(G3005&lt;EDATE(Assumptions!$C$6,-12)+1,"prior_12m","last_12m")</f>
        <v/>
      </c>
      <c r="AG3005" s="21">
        <f>DATE(YEAR(G3005),MONTH(G3005),1)</f>
        <v/>
      </c>
    </row>
    <row r="3006">
      <c r="A3006" t="inlineStr">
        <is>
          <t>SPO-01609-1</t>
        </is>
      </c>
      <c r="B3006" t="inlineStr">
        <is>
          <t>SPO-01609</t>
        </is>
      </c>
      <c r="C3006" t="inlineStr">
        <is>
          <t>SUP-12</t>
        </is>
      </c>
      <c r="D3006" t="inlineStr">
        <is>
          <t>IT</t>
        </is>
      </c>
      <c r="E3006" t="inlineStr">
        <is>
          <t>IT-02</t>
        </is>
      </c>
      <c r="F3006" s="17" t="n">
        <v>46014</v>
      </c>
      <c r="G3006" s="17" t="n">
        <v>46024</v>
      </c>
      <c r="H3006" s="18" t="n">
        <v>9</v>
      </c>
      <c r="I3006" s="19" t="n">
        <v>182.83</v>
      </c>
      <c r="J3006" s="19" t="n">
        <v>162</v>
      </c>
      <c r="K3006" s="20" t="n">
        <v>0</v>
      </c>
      <c r="L3006" s="20" t="n">
        <v>0</v>
      </c>
      <c r="M3006" s="18" t="n">
        <v>9</v>
      </c>
      <c r="N3006" s="18" t="n">
        <v>9</v>
      </c>
      <c r="O3006" s="18" t="n">
        <v>0</v>
      </c>
      <c r="P3006" s="17" t="n">
        <v>46023</v>
      </c>
      <c r="Q3006" s="17" t="n">
        <v>46023</v>
      </c>
      <c r="R3006" s="17" t="n">
        <v>46023</v>
      </c>
      <c r="S3006" s="19">
        <f>H3006*I3006</f>
        <v/>
      </c>
      <c r="T3006" s="19">
        <f>H3006*J3006</f>
        <v/>
      </c>
      <c r="U3006">
        <f>IF(AND(K3006=0,G3006&lt;=Assumptions!$C$6),1,0)</f>
        <v/>
      </c>
      <c r="V3006">
        <f>IF(U3006=1,IF(M3006&gt;0,IF(P3006&lt;=G3006+Assumptions!$C$7,1,0),0),0)</f>
        <v/>
      </c>
      <c r="W3006">
        <f>IF(AND(U3006=1,M3006&gt;=H3006*(1-Assumptions!$C$8)),1,0)</f>
        <v/>
      </c>
      <c r="X3006">
        <f>IF(AND(U3006=1,N3006&gt;=H3006*(1-Assumptions!$C$8)),1,0)</f>
        <v/>
      </c>
      <c r="Y3006">
        <f>IF(ISNUMBER(Q3006),1,0)</f>
        <v/>
      </c>
      <c r="Z3006">
        <f>IF(AND(K3006=0,L3006=0,Y3006=0),1,0)</f>
        <v/>
      </c>
      <c r="AA3006">
        <f>IF(AND(Z3006=1,G3006&lt;Assumptions!$C$6),1,0)</f>
        <v/>
      </c>
      <c r="AB3006">
        <f>IF(U3006=0,"",IF(Y3006=1,MAX(0,Q3006-G3006),IF(L3006=1,MAX(0,R3006-G3006),MAX(0,Assumptions!$C$6-G3006))))</f>
        <v/>
      </c>
      <c r="AC3006">
        <f>IF(Y3006=1,Q3006-F3006,"")</f>
        <v/>
      </c>
      <c r="AD3006">
        <f>IF(Y3006=1,AC3006^2,"")</f>
        <v/>
      </c>
      <c r="AE3006" s="19">
        <f>IF(Z3006=1,(H3006-M3006)*I3006,0)</f>
        <v/>
      </c>
      <c r="AF3006">
        <f>IF(G3006&lt;EDATE(Assumptions!$C$6,-12)+1,"prior_12m","last_12m")</f>
        <v/>
      </c>
      <c r="AG3006" s="21">
        <f>DATE(YEAR(G3006),MONTH(G3006),1)</f>
        <v/>
      </c>
    </row>
    <row r="3007">
      <c r="A3007" t="inlineStr">
        <is>
          <t>SPO-01609-2</t>
        </is>
      </c>
      <c r="B3007" t="inlineStr">
        <is>
          <t>SPO-01609</t>
        </is>
      </c>
      <c r="C3007" t="inlineStr">
        <is>
          <t>SUP-12</t>
        </is>
      </c>
      <c r="D3007" t="inlineStr">
        <is>
          <t>IT</t>
        </is>
      </c>
      <c r="E3007" t="inlineStr">
        <is>
          <t>IT-01</t>
        </is>
      </c>
      <c r="F3007" s="17" t="n">
        <v>46014</v>
      </c>
      <c r="G3007" s="17" t="n">
        <v>46024</v>
      </c>
      <c r="H3007" s="18" t="n">
        <v>7</v>
      </c>
      <c r="I3007" s="19" t="n">
        <v>220.08</v>
      </c>
      <c r="J3007" s="19" t="n">
        <v>189</v>
      </c>
      <c r="K3007" s="20" t="n">
        <v>0</v>
      </c>
      <c r="L3007" s="20" t="n">
        <v>0</v>
      </c>
      <c r="M3007" s="18" t="n">
        <v>7</v>
      </c>
      <c r="N3007" s="18" t="n">
        <v>7</v>
      </c>
      <c r="O3007" s="18" t="n">
        <v>0</v>
      </c>
      <c r="P3007" s="17" t="n">
        <v>46019</v>
      </c>
      <c r="Q3007" s="17" t="n">
        <v>46019</v>
      </c>
      <c r="R3007" s="17" t="n">
        <v>46019</v>
      </c>
      <c r="S3007" s="19">
        <f>H3007*I3007</f>
        <v/>
      </c>
      <c r="T3007" s="19">
        <f>H3007*J3007</f>
        <v/>
      </c>
      <c r="U3007">
        <f>IF(AND(K3007=0,G3007&lt;=Assumptions!$C$6),1,0)</f>
        <v/>
      </c>
      <c r="V3007">
        <f>IF(U3007=1,IF(M3007&gt;0,IF(P3007&lt;=G3007+Assumptions!$C$7,1,0),0),0)</f>
        <v/>
      </c>
      <c r="W3007">
        <f>IF(AND(U3007=1,M3007&gt;=H3007*(1-Assumptions!$C$8)),1,0)</f>
        <v/>
      </c>
      <c r="X3007">
        <f>IF(AND(U3007=1,N3007&gt;=H3007*(1-Assumptions!$C$8)),1,0)</f>
        <v/>
      </c>
      <c r="Y3007">
        <f>IF(ISNUMBER(Q3007),1,0)</f>
        <v/>
      </c>
      <c r="Z3007">
        <f>IF(AND(K3007=0,L3007=0,Y3007=0),1,0)</f>
        <v/>
      </c>
      <c r="AA3007">
        <f>IF(AND(Z3007=1,G3007&lt;Assumptions!$C$6),1,0)</f>
        <v/>
      </c>
      <c r="AB3007">
        <f>IF(U3007=0,"",IF(Y3007=1,MAX(0,Q3007-G3007),IF(L3007=1,MAX(0,R3007-G3007),MAX(0,Assumptions!$C$6-G3007))))</f>
        <v/>
      </c>
      <c r="AC3007">
        <f>IF(Y3007=1,Q3007-F3007,"")</f>
        <v/>
      </c>
      <c r="AD3007">
        <f>IF(Y3007=1,AC3007^2,"")</f>
        <v/>
      </c>
      <c r="AE3007" s="19">
        <f>IF(Z3007=1,(H3007-M3007)*I3007,0)</f>
        <v/>
      </c>
      <c r="AF3007">
        <f>IF(G3007&lt;EDATE(Assumptions!$C$6,-12)+1,"prior_12m","last_12m")</f>
        <v/>
      </c>
      <c r="AG3007" s="21">
        <f>DATE(YEAR(G3007),MONTH(G3007),1)</f>
        <v/>
      </c>
    </row>
    <row r="3008">
      <c r="A3008" t="inlineStr">
        <is>
          <t>SPO-01609-3</t>
        </is>
      </c>
      <c r="B3008" t="inlineStr">
        <is>
          <t>SPO-01609</t>
        </is>
      </c>
      <c r="C3008" t="inlineStr">
        <is>
          <t>SUP-12</t>
        </is>
      </c>
      <c r="D3008" t="inlineStr">
        <is>
          <t>IT</t>
        </is>
      </c>
      <c r="E3008" t="inlineStr">
        <is>
          <t>IT-07</t>
        </is>
      </c>
      <c r="F3008" s="17" t="n">
        <v>46014</v>
      </c>
      <c r="G3008" s="17" t="n">
        <v>46024</v>
      </c>
      <c r="H3008" s="18" t="n">
        <v>21</v>
      </c>
      <c r="I3008" s="19" t="n">
        <v>86.02</v>
      </c>
      <c r="J3008" s="19" t="n">
        <v>74</v>
      </c>
      <c r="K3008" s="20" t="n">
        <v>0</v>
      </c>
      <c r="L3008" s="20" t="n">
        <v>0</v>
      </c>
      <c r="M3008" s="18" t="n">
        <v>21</v>
      </c>
      <c r="N3008" s="18" t="n">
        <v>0</v>
      </c>
      <c r="O3008" s="18" t="n">
        <v>0</v>
      </c>
      <c r="P3008" s="17" t="n">
        <v>46025</v>
      </c>
      <c r="Q3008" s="17" t="n">
        <v>46025</v>
      </c>
      <c r="R3008" s="17" t="n">
        <v>46025</v>
      </c>
      <c r="S3008" s="19">
        <f>H3008*I3008</f>
        <v/>
      </c>
      <c r="T3008" s="19">
        <f>H3008*J3008</f>
        <v/>
      </c>
      <c r="U3008">
        <f>IF(AND(K3008=0,G3008&lt;=Assumptions!$C$6),1,0)</f>
        <v/>
      </c>
      <c r="V3008">
        <f>IF(U3008=1,IF(M3008&gt;0,IF(P3008&lt;=G3008+Assumptions!$C$7,1,0),0),0)</f>
        <v/>
      </c>
      <c r="W3008">
        <f>IF(AND(U3008=1,M3008&gt;=H3008*(1-Assumptions!$C$8)),1,0)</f>
        <v/>
      </c>
      <c r="X3008">
        <f>IF(AND(U3008=1,N3008&gt;=H3008*(1-Assumptions!$C$8)),1,0)</f>
        <v/>
      </c>
      <c r="Y3008">
        <f>IF(ISNUMBER(Q3008),1,0)</f>
        <v/>
      </c>
      <c r="Z3008">
        <f>IF(AND(K3008=0,L3008=0,Y3008=0),1,0)</f>
        <v/>
      </c>
      <c r="AA3008">
        <f>IF(AND(Z3008=1,G3008&lt;Assumptions!$C$6),1,0)</f>
        <v/>
      </c>
      <c r="AB3008">
        <f>IF(U3008=0,"",IF(Y3008=1,MAX(0,Q3008-G3008),IF(L3008=1,MAX(0,R3008-G3008),MAX(0,Assumptions!$C$6-G3008))))</f>
        <v/>
      </c>
      <c r="AC3008">
        <f>IF(Y3008=1,Q3008-F3008,"")</f>
        <v/>
      </c>
      <c r="AD3008">
        <f>IF(Y3008=1,AC3008^2,"")</f>
        <v/>
      </c>
      <c r="AE3008" s="19">
        <f>IF(Z3008=1,(H3008-M3008)*I3008,0)</f>
        <v/>
      </c>
      <c r="AF3008">
        <f>IF(G3008&lt;EDATE(Assumptions!$C$6,-12)+1,"prior_12m","last_12m")</f>
        <v/>
      </c>
      <c r="AG3008" s="21">
        <f>DATE(YEAR(G3008),MONTH(G3008),1)</f>
        <v/>
      </c>
    </row>
    <row r="3009">
      <c r="A3009" t="inlineStr">
        <is>
          <t>SPO-01609-4</t>
        </is>
      </c>
      <c r="B3009" t="inlineStr">
        <is>
          <t>SPO-01609</t>
        </is>
      </c>
      <c r="C3009" t="inlineStr">
        <is>
          <t>SUP-12</t>
        </is>
      </c>
      <c r="D3009" t="inlineStr">
        <is>
          <t>IT</t>
        </is>
      </c>
      <c r="E3009" t="inlineStr">
        <is>
          <t>IT-04</t>
        </is>
      </c>
      <c r="F3009" s="17" t="n">
        <v>46014</v>
      </c>
      <c r="G3009" s="17" t="n">
        <v>46024</v>
      </c>
      <c r="H3009" s="18" t="n">
        <v>72</v>
      </c>
      <c r="I3009" s="19" t="n">
        <v>13.59</v>
      </c>
      <c r="J3009" s="19" t="n">
        <v>12</v>
      </c>
      <c r="K3009" s="20" t="n">
        <v>0</v>
      </c>
      <c r="L3009" s="20" t="n">
        <v>0</v>
      </c>
      <c r="M3009" s="18" t="n">
        <v>72</v>
      </c>
      <c r="N3009" s="18" t="n">
        <v>57</v>
      </c>
      <c r="O3009" s="18" t="n">
        <v>0</v>
      </c>
      <c r="P3009" s="17" t="n">
        <v>46021</v>
      </c>
      <c r="Q3009" s="17" t="n">
        <v>46027</v>
      </c>
      <c r="R3009" s="17" t="n">
        <v>46027</v>
      </c>
      <c r="S3009" s="19">
        <f>H3009*I3009</f>
        <v/>
      </c>
      <c r="T3009" s="19">
        <f>H3009*J3009</f>
        <v/>
      </c>
      <c r="U3009">
        <f>IF(AND(K3009=0,G3009&lt;=Assumptions!$C$6),1,0)</f>
        <v/>
      </c>
      <c r="V3009">
        <f>IF(U3009=1,IF(M3009&gt;0,IF(P3009&lt;=G3009+Assumptions!$C$7,1,0),0),0)</f>
        <v/>
      </c>
      <c r="W3009">
        <f>IF(AND(U3009=1,M3009&gt;=H3009*(1-Assumptions!$C$8)),1,0)</f>
        <v/>
      </c>
      <c r="X3009">
        <f>IF(AND(U3009=1,N3009&gt;=H3009*(1-Assumptions!$C$8)),1,0)</f>
        <v/>
      </c>
      <c r="Y3009">
        <f>IF(ISNUMBER(Q3009),1,0)</f>
        <v/>
      </c>
      <c r="Z3009">
        <f>IF(AND(K3009=0,L3009=0,Y3009=0),1,0)</f>
        <v/>
      </c>
      <c r="AA3009">
        <f>IF(AND(Z3009=1,G3009&lt;Assumptions!$C$6),1,0)</f>
        <v/>
      </c>
      <c r="AB3009">
        <f>IF(U3009=0,"",IF(Y3009=1,MAX(0,Q3009-G3009),IF(L3009=1,MAX(0,R3009-G3009),MAX(0,Assumptions!$C$6-G3009))))</f>
        <v/>
      </c>
      <c r="AC3009">
        <f>IF(Y3009=1,Q3009-F3009,"")</f>
        <v/>
      </c>
      <c r="AD3009">
        <f>IF(Y3009=1,AC3009^2,"")</f>
        <v/>
      </c>
      <c r="AE3009" s="19">
        <f>IF(Z3009=1,(H3009-M3009)*I3009,0)</f>
        <v/>
      </c>
      <c r="AF3009">
        <f>IF(G3009&lt;EDATE(Assumptions!$C$6,-12)+1,"prior_12m","last_12m")</f>
        <v/>
      </c>
      <c r="AG3009" s="21">
        <f>DATE(YEAR(G3009),MONTH(G3009),1)</f>
        <v/>
      </c>
    </row>
    <row r="3010">
      <c r="A3010" t="inlineStr">
        <is>
          <t>SPO-01610-1</t>
        </is>
      </c>
      <c r="B3010" t="inlineStr">
        <is>
          <t>SPO-01610</t>
        </is>
      </c>
      <c r="C3010" t="inlineStr">
        <is>
          <t>SUP-04</t>
        </is>
      </c>
      <c r="D3010" t="inlineStr">
        <is>
          <t>FLEET</t>
        </is>
      </c>
      <c r="E3010" t="inlineStr">
        <is>
          <t>FLEET-06</t>
        </is>
      </c>
      <c r="F3010" s="17" t="n">
        <v>46015</v>
      </c>
      <c r="G3010" s="17" t="n">
        <v>46028</v>
      </c>
      <c r="H3010" s="18" t="n">
        <v>55</v>
      </c>
      <c r="I3010" s="19" t="n">
        <v>32.29</v>
      </c>
      <c r="J3010" s="19" t="n">
        <v>33</v>
      </c>
      <c r="K3010" s="20" t="n">
        <v>0</v>
      </c>
      <c r="L3010" s="20" t="n">
        <v>0</v>
      </c>
      <c r="M3010" s="18" t="n">
        <v>55</v>
      </c>
      <c r="N3010" s="18" t="n">
        <v>0</v>
      </c>
      <c r="O3010" s="18" t="n">
        <v>0</v>
      </c>
      <c r="P3010" s="17" t="n">
        <v>46031</v>
      </c>
      <c r="Q3010" s="17" t="n">
        <v>46031</v>
      </c>
      <c r="R3010" s="17" t="n">
        <v>46031</v>
      </c>
      <c r="S3010" s="19">
        <f>H3010*I3010</f>
        <v/>
      </c>
      <c r="T3010" s="19">
        <f>H3010*J3010</f>
        <v/>
      </c>
      <c r="U3010">
        <f>IF(AND(K3010=0,G3010&lt;=Assumptions!$C$6),1,0)</f>
        <v/>
      </c>
      <c r="V3010">
        <f>IF(U3010=1,IF(M3010&gt;0,IF(P3010&lt;=G3010+Assumptions!$C$7,1,0),0),0)</f>
        <v/>
      </c>
      <c r="W3010">
        <f>IF(AND(U3010=1,M3010&gt;=H3010*(1-Assumptions!$C$8)),1,0)</f>
        <v/>
      </c>
      <c r="X3010">
        <f>IF(AND(U3010=1,N3010&gt;=H3010*(1-Assumptions!$C$8)),1,0)</f>
        <v/>
      </c>
      <c r="Y3010">
        <f>IF(ISNUMBER(Q3010),1,0)</f>
        <v/>
      </c>
      <c r="Z3010">
        <f>IF(AND(K3010=0,L3010=0,Y3010=0),1,0)</f>
        <v/>
      </c>
      <c r="AA3010">
        <f>IF(AND(Z3010=1,G3010&lt;Assumptions!$C$6),1,0)</f>
        <v/>
      </c>
      <c r="AB3010">
        <f>IF(U3010=0,"",IF(Y3010=1,MAX(0,Q3010-G3010),IF(L3010=1,MAX(0,R3010-G3010),MAX(0,Assumptions!$C$6-G3010))))</f>
        <v/>
      </c>
      <c r="AC3010">
        <f>IF(Y3010=1,Q3010-F3010,"")</f>
        <v/>
      </c>
      <c r="AD3010">
        <f>IF(Y3010=1,AC3010^2,"")</f>
        <v/>
      </c>
      <c r="AE3010" s="19">
        <f>IF(Z3010=1,(H3010-M3010)*I3010,0)</f>
        <v/>
      </c>
      <c r="AF3010">
        <f>IF(G3010&lt;EDATE(Assumptions!$C$6,-12)+1,"prior_12m","last_12m")</f>
        <v/>
      </c>
      <c r="AG3010" s="21">
        <f>DATE(YEAR(G3010),MONTH(G3010),1)</f>
        <v/>
      </c>
    </row>
    <row r="3011">
      <c r="A3011" t="inlineStr">
        <is>
          <t>SPO-01611-1</t>
        </is>
      </c>
      <c r="B3011" t="inlineStr">
        <is>
          <t>SPO-01611</t>
        </is>
      </c>
      <c r="C3011" t="inlineStr">
        <is>
          <t>SUP-05</t>
        </is>
      </c>
      <c r="D3011" t="inlineStr">
        <is>
          <t>FLEET</t>
        </is>
      </c>
      <c r="E3011" t="inlineStr">
        <is>
          <t>FLEET-08</t>
        </is>
      </c>
      <c r="F3011" s="17" t="n">
        <v>46015</v>
      </c>
      <c r="G3011" s="17" t="n">
        <v>46029</v>
      </c>
      <c r="H3011" s="18" t="n">
        <v>121</v>
      </c>
      <c r="I3011" s="19" t="n">
        <v>6.5</v>
      </c>
      <c r="J3011" s="19" t="n">
        <v>6.4</v>
      </c>
      <c r="K3011" s="20" t="n">
        <v>0</v>
      </c>
      <c r="L3011" s="20" t="n">
        <v>0</v>
      </c>
      <c r="M3011" s="18" t="n">
        <v>121</v>
      </c>
      <c r="N3011" s="18" t="n">
        <v>121</v>
      </c>
      <c r="O3011" s="18" t="n">
        <v>0</v>
      </c>
      <c r="P3011" s="17" t="n">
        <v>46025</v>
      </c>
      <c r="Q3011" s="17" t="n">
        <v>46025</v>
      </c>
      <c r="R3011" s="17" t="n">
        <v>46025</v>
      </c>
      <c r="S3011" s="19">
        <f>H3011*I3011</f>
        <v/>
      </c>
      <c r="T3011" s="19">
        <f>H3011*J3011</f>
        <v/>
      </c>
      <c r="U3011">
        <f>IF(AND(K3011=0,G3011&lt;=Assumptions!$C$6),1,0)</f>
        <v/>
      </c>
      <c r="V3011">
        <f>IF(U3011=1,IF(M3011&gt;0,IF(P3011&lt;=G3011+Assumptions!$C$7,1,0),0),0)</f>
        <v/>
      </c>
      <c r="W3011">
        <f>IF(AND(U3011=1,M3011&gt;=H3011*(1-Assumptions!$C$8)),1,0)</f>
        <v/>
      </c>
      <c r="X3011">
        <f>IF(AND(U3011=1,N3011&gt;=H3011*(1-Assumptions!$C$8)),1,0)</f>
        <v/>
      </c>
      <c r="Y3011">
        <f>IF(ISNUMBER(Q3011),1,0)</f>
        <v/>
      </c>
      <c r="Z3011">
        <f>IF(AND(K3011=0,L3011=0,Y3011=0),1,0)</f>
        <v/>
      </c>
      <c r="AA3011">
        <f>IF(AND(Z3011=1,G3011&lt;Assumptions!$C$6),1,0)</f>
        <v/>
      </c>
      <c r="AB3011">
        <f>IF(U3011=0,"",IF(Y3011=1,MAX(0,Q3011-G3011),IF(L3011=1,MAX(0,R3011-G3011),MAX(0,Assumptions!$C$6-G3011))))</f>
        <v/>
      </c>
      <c r="AC3011">
        <f>IF(Y3011=1,Q3011-F3011,"")</f>
        <v/>
      </c>
      <c r="AD3011">
        <f>IF(Y3011=1,AC3011^2,"")</f>
        <v/>
      </c>
      <c r="AE3011" s="19">
        <f>IF(Z3011=1,(H3011-M3011)*I3011,0)</f>
        <v/>
      </c>
      <c r="AF3011">
        <f>IF(G3011&lt;EDATE(Assumptions!$C$6,-12)+1,"prior_12m","last_12m")</f>
        <v/>
      </c>
      <c r="AG3011" s="21">
        <f>DATE(YEAR(G3011),MONTH(G3011),1)</f>
        <v/>
      </c>
    </row>
    <row r="3012">
      <c r="A3012" t="inlineStr">
        <is>
          <t>SPO-01612-1</t>
        </is>
      </c>
      <c r="B3012" t="inlineStr">
        <is>
          <t>SPO-01612</t>
        </is>
      </c>
      <c r="C3012" t="inlineStr">
        <is>
          <t>SUP-09</t>
        </is>
      </c>
      <c r="D3012" t="inlineStr">
        <is>
          <t>CHEM</t>
        </is>
      </c>
      <c r="E3012" t="inlineStr">
        <is>
          <t>CHEM-03</t>
        </is>
      </c>
      <c r="F3012" s="17" t="n">
        <v>46015</v>
      </c>
      <c r="G3012" s="17" t="n">
        <v>46029</v>
      </c>
      <c r="H3012" s="18" t="n">
        <v>6</v>
      </c>
      <c r="I3012" s="19" t="n">
        <v>264.05</v>
      </c>
      <c r="J3012" s="19" t="n">
        <v>265</v>
      </c>
      <c r="K3012" s="20" t="n">
        <v>0</v>
      </c>
      <c r="L3012" s="20" t="n">
        <v>0</v>
      </c>
      <c r="M3012" s="18" t="n">
        <v>6</v>
      </c>
      <c r="N3012" s="18" t="n">
        <v>6</v>
      </c>
      <c r="O3012" s="18" t="n">
        <v>0</v>
      </c>
      <c r="P3012" s="17" t="n">
        <v>46028</v>
      </c>
      <c r="Q3012" s="17" t="n">
        <v>46028</v>
      </c>
      <c r="R3012" s="17" t="n">
        <v>46028</v>
      </c>
      <c r="S3012" s="19">
        <f>H3012*I3012</f>
        <v/>
      </c>
      <c r="T3012" s="19">
        <f>H3012*J3012</f>
        <v/>
      </c>
      <c r="U3012">
        <f>IF(AND(K3012=0,G3012&lt;=Assumptions!$C$6),1,0)</f>
        <v/>
      </c>
      <c r="V3012">
        <f>IF(U3012=1,IF(M3012&gt;0,IF(P3012&lt;=G3012+Assumptions!$C$7,1,0),0),0)</f>
        <v/>
      </c>
      <c r="W3012">
        <f>IF(AND(U3012=1,M3012&gt;=H3012*(1-Assumptions!$C$8)),1,0)</f>
        <v/>
      </c>
      <c r="X3012">
        <f>IF(AND(U3012=1,N3012&gt;=H3012*(1-Assumptions!$C$8)),1,0)</f>
        <v/>
      </c>
      <c r="Y3012">
        <f>IF(ISNUMBER(Q3012),1,0)</f>
        <v/>
      </c>
      <c r="Z3012">
        <f>IF(AND(K3012=0,L3012=0,Y3012=0),1,0)</f>
        <v/>
      </c>
      <c r="AA3012">
        <f>IF(AND(Z3012=1,G3012&lt;Assumptions!$C$6),1,0)</f>
        <v/>
      </c>
      <c r="AB3012">
        <f>IF(U3012=0,"",IF(Y3012=1,MAX(0,Q3012-G3012),IF(L3012=1,MAX(0,R3012-G3012),MAX(0,Assumptions!$C$6-G3012))))</f>
        <v/>
      </c>
      <c r="AC3012">
        <f>IF(Y3012=1,Q3012-F3012,"")</f>
        <v/>
      </c>
      <c r="AD3012">
        <f>IF(Y3012=1,AC3012^2,"")</f>
        <v/>
      </c>
      <c r="AE3012" s="19">
        <f>IF(Z3012=1,(H3012-M3012)*I3012,0)</f>
        <v/>
      </c>
      <c r="AF3012">
        <f>IF(G3012&lt;EDATE(Assumptions!$C$6,-12)+1,"prior_12m","last_12m")</f>
        <v/>
      </c>
      <c r="AG3012" s="21">
        <f>DATE(YEAR(G3012),MONTH(G3012),1)</f>
        <v/>
      </c>
    </row>
    <row r="3013">
      <c r="A3013" t="inlineStr">
        <is>
          <t>SPO-01613-1</t>
        </is>
      </c>
      <c r="B3013" t="inlineStr">
        <is>
          <t>SPO-01613</t>
        </is>
      </c>
      <c r="C3013" t="inlineStr">
        <is>
          <t>SUP-09</t>
        </is>
      </c>
      <c r="D3013" t="inlineStr">
        <is>
          <t>CHEM</t>
        </is>
      </c>
      <c r="E3013" t="inlineStr">
        <is>
          <t>CHEM-05</t>
        </is>
      </c>
      <c r="F3013" s="17" t="n">
        <v>46016</v>
      </c>
      <c r="G3013" s="17" t="n">
        <v>46030</v>
      </c>
      <c r="H3013" s="18" t="n">
        <v>1</v>
      </c>
      <c r="I3013" s="19" t="n">
        <v>977.39</v>
      </c>
      <c r="J3013" s="19" t="n">
        <v>930</v>
      </c>
      <c r="K3013" s="20" t="n">
        <v>0</v>
      </c>
      <c r="L3013" s="20" t="n">
        <v>0</v>
      </c>
      <c r="M3013" s="18" t="n">
        <v>1</v>
      </c>
      <c r="N3013" s="18" t="n">
        <v>1</v>
      </c>
      <c r="O3013" s="18" t="n">
        <v>0</v>
      </c>
      <c r="P3013" s="17" t="n">
        <v>46025</v>
      </c>
      <c r="Q3013" s="17" t="n">
        <v>46025</v>
      </c>
      <c r="R3013" s="17" t="n">
        <v>46025</v>
      </c>
      <c r="S3013" s="19">
        <f>H3013*I3013</f>
        <v/>
      </c>
      <c r="T3013" s="19">
        <f>H3013*J3013</f>
        <v/>
      </c>
      <c r="U3013">
        <f>IF(AND(K3013=0,G3013&lt;=Assumptions!$C$6),1,0)</f>
        <v/>
      </c>
      <c r="V3013">
        <f>IF(U3013=1,IF(M3013&gt;0,IF(P3013&lt;=G3013+Assumptions!$C$7,1,0),0),0)</f>
        <v/>
      </c>
      <c r="W3013">
        <f>IF(AND(U3013=1,M3013&gt;=H3013*(1-Assumptions!$C$8)),1,0)</f>
        <v/>
      </c>
      <c r="X3013">
        <f>IF(AND(U3013=1,N3013&gt;=H3013*(1-Assumptions!$C$8)),1,0)</f>
        <v/>
      </c>
      <c r="Y3013">
        <f>IF(ISNUMBER(Q3013),1,0)</f>
        <v/>
      </c>
      <c r="Z3013">
        <f>IF(AND(K3013=0,L3013=0,Y3013=0),1,0)</f>
        <v/>
      </c>
      <c r="AA3013">
        <f>IF(AND(Z3013=1,G3013&lt;Assumptions!$C$6),1,0)</f>
        <v/>
      </c>
      <c r="AB3013">
        <f>IF(U3013=0,"",IF(Y3013=1,MAX(0,Q3013-G3013),IF(L3013=1,MAX(0,R3013-G3013),MAX(0,Assumptions!$C$6-G3013))))</f>
        <v/>
      </c>
      <c r="AC3013">
        <f>IF(Y3013=1,Q3013-F3013,"")</f>
        <v/>
      </c>
      <c r="AD3013">
        <f>IF(Y3013=1,AC3013^2,"")</f>
        <v/>
      </c>
      <c r="AE3013" s="19">
        <f>IF(Z3013=1,(H3013-M3013)*I3013,0)</f>
        <v/>
      </c>
      <c r="AF3013">
        <f>IF(G3013&lt;EDATE(Assumptions!$C$6,-12)+1,"prior_12m","last_12m")</f>
        <v/>
      </c>
      <c r="AG3013" s="21">
        <f>DATE(YEAR(G3013),MONTH(G3013),1)</f>
        <v/>
      </c>
    </row>
    <row r="3014">
      <c r="A3014" t="inlineStr">
        <is>
          <t>SPO-01614-1</t>
        </is>
      </c>
      <c r="B3014" t="inlineStr">
        <is>
          <t>SPO-01614</t>
        </is>
      </c>
      <c r="C3014" t="inlineStr">
        <is>
          <t>SUP-01</t>
        </is>
      </c>
      <c r="D3014" t="inlineStr">
        <is>
          <t>ELEC</t>
        </is>
      </c>
      <c r="E3014" t="inlineStr">
        <is>
          <t>ELEC-06</t>
        </is>
      </c>
      <c r="F3014" s="17" t="n">
        <v>46016</v>
      </c>
      <c r="G3014" s="17" t="n">
        <v>46034</v>
      </c>
      <c r="H3014" s="18" t="n">
        <v>30</v>
      </c>
      <c r="I3014" s="19" t="n">
        <v>144.15</v>
      </c>
      <c r="J3014" s="19" t="n">
        <v>145</v>
      </c>
      <c r="K3014" s="20" t="n">
        <v>0</v>
      </c>
      <c r="L3014" s="20" t="n">
        <v>0</v>
      </c>
      <c r="M3014" s="18" t="n">
        <v>30</v>
      </c>
      <c r="N3014" s="18" t="n">
        <v>0</v>
      </c>
      <c r="O3014" s="18" t="n">
        <v>0</v>
      </c>
      <c r="P3014" s="17" t="n">
        <v>46037</v>
      </c>
      <c r="Q3014" s="17" t="n">
        <v>46037</v>
      </c>
      <c r="R3014" s="17" t="n">
        <v>46037</v>
      </c>
      <c r="S3014" s="19">
        <f>H3014*I3014</f>
        <v/>
      </c>
      <c r="T3014" s="19">
        <f>H3014*J3014</f>
        <v/>
      </c>
      <c r="U3014">
        <f>IF(AND(K3014=0,G3014&lt;=Assumptions!$C$6),1,0)</f>
        <v/>
      </c>
      <c r="V3014">
        <f>IF(U3014=1,IF(M3014&gt;0,IF(P3014&lt;=G3014+Assumptions!$C$7,1,0),0),0)</f>
        <v/>
      </c>
      <c r="W3014">
        <f>IF(AND(U3014=1,M3014&gt;=H3014*(1-Assumptions!$C$8)),1,0)</f>
        <v/>
      </c>
      <c r="X3014">
        <f>IF(AND(U3014=1,N3014&gt;=H3014*(1-Assumptions!$C$8)),1,0)</f>
        <v/>
      </c>
      <c r="Y3014">
        <f>IF(ISNUMBER(Q3014),1,0)</f>
        <v/>
      </c>
      <c r="Z3014">
        <f>IF(AND(K3014=0,L3014=0,Y3014=0),1,0)</f>
        <v/>
      </c>
      <c r="AA3014">
        <f>IF(AND(Z3014=1,G3014&lt;Assumptions!$C$6),1,0)</f>
        <v/>
      </c>
      <c r="AB3014">
        <f>IF(U3014=0,"",IF(Y3014=1,MAX(0,Q3014-G3014),IF(L3014=1,MAX(0,R3014-G3014),MAX(0,Assumptions!$C$6-G3014))))</f>
        <v/>
      </c>
      <c r="AC3014">
        <f>IF(Y3014=1,Q3014-F3014,"")</f>
        <v/>
      </c>
      <c r="AD3014">
        <f>IF(Y3014=1,AC3014^2,"")</f>
        <v/>
      </c>
      <c r="AE3014" s="19">
        <f>IF(Z3014=1,(H3014-M3014)*I3014,0)</f>
        <v/>
      </c>
      <c r="AF3014">
        <f>IF(G3014&lt;EDATE(Assumptions!$C$6,-12)+1,"prior_12m","last_12m")</f>
        <v/>
      </c>
      <c r="AG3014" s="21">
        <f>DATE(YEAR(G3014),MONTH(G3014),1)</f>
        <v/>
      </c>
    </row>
    <row r="3015">
      <c r="A3015" t="inlineStr">
        <is>
          <t>SPO-01614-2</t>
        </is>
      </c>
      <c r="B3015" t="inlineStr">
        <is>
          <t>SPO-01614</t>
        </is>
      </c>
      <c r="C3015" t="inlineStr">
        <is>
          <t>SUP-01</t>
        </is>
      </c>
      <c r="D3015" t="inlineStr">
        <is>
          <t>ELEC</t>
        </is>
      </c>
      <c r="E3015" t="inlineStr">
        <is>
          <t>ELEC-08</t>
        </is>
      </c>
      <c r="F3015" s="17" t="n">
        <v>46016</v>
      </c>
      <c r="G3015" s="17" t="n">
        <v>46034</v>
      </c>
      <c r="H3015" s="18" t="n">
        <v>64</v>
      </c>
      <c r="I3015" s="19" t="n">
        <v>18.88</v>
      </c>
      <c r="J3015" s="19" t="n">
        <v>18</v>
      </c>
      <c r="K3015" s="20" t="n">
        <v>1</v>
      </c>
      <c r="L3015" s="20" t="n">
        <v>0</v>
      </c>
      <c r="M3015" s="18" t="n">
        <v>0</v>
      </c>
      <c r="N3015" s="18" t="n">
        <v>0</v>
      </c>
      <c r="O3015" s="18" t="n">
        <v>0</v>
      </c>
      <c r="P3015" s="17" t="n"/>
      <c r="Q3015" s="17" t="n"/>
      <c r="R3015" s="17" t="n"/>
      <c r="S3015" s="19">
        <f>H3015*I3015</f>
        <v/>
      </c>
      <c r="T3015" s="19">
        <f>H3015*J3015</f>
        <v/>
      </c>
      <c r="U3015">
        <f>IF(AND(K3015=0,G3015&lt;=Assumptions!$C$6),1,0)</f>
        <v/>
      </c>
      <c r="V3015">
        <f>IF(U3015=1,IF(M3015&gt;0,IF(P3015&lt;=G3015+Assumptions!$C$7,1,0),0),0)</f>
        <v/>
      </c>
      <c r="W3015">
        <f>IF(AND(U3015=1,M3015&gt;=H3015*(1-Assumptions!$C$8)),1,0)</f>
        <v/>
      </c>
      <c r="X3015">
        <f>IF(AND(U3015=1,N3015&gt;=H3015*(1-Assumptions!$C$8)),1,0)</f>
        <v/>
      </c>
      <c r="Y3015">
        <f>IF(ISNUMBER(Q3015),1,0)</f>
        <v/>
      </c>
      <c r="Z3015">
        <f>IF(AND(K3015=0,L3015=0,Y3015=0),1,0)</f>
        <v/>
      </c>
      <c r="AA3015">
        <f>IF(AND(Z3015=1,G3015&lt;Assumptions!$C$6),1,0)</f>
        <v/>
      </c>
      <c r="AB3015">
        <f>IF(U3015=0,"",IF(Y3015=1,MAX(0,Q3015-G3015),IF(L3015=1,MAX(0,R3015-G3015),MAX(0,Assumptions!$C$6-G3015))))</f>
        <v/>
      </c>
      <c r="AC3015">
        <f>IF(Y3015=1,Q3015-F3015,"")</f>
        <v/>
      </c>
      <c r="AD3015">
        <f>IF(Y3015=1,AC3015^2,"")</f>
        <v/>
      </c>
      <c r="AE3015" s="19">
        <f>IF(Z3015=1,(H3015-M3015)*I3015,0)</f>
        <v/>
      </c>
      <c r="AF3015">
        <f>IF(G3015&lt;EDATE(Assumptions!$C$6,-12)+1,"prior_12m","last_12m")</f>
        <v/>
      </c>
      <c r="AG3015" s="21">
        <f>DATE(YEAR(G3015),MONTH(G3015),1)</f>
        <v/>
      </c>
    </row>
    <row r="3016">
      <c r="A3016" t="inlineStr">
        <is>
          <t>SPO-01615-1</t>
        </is>
      </c>
      <c r="B3016" t="inlineStr">
        <is>
          <t>SPO-01615</t>
        </is>
      </c>
      <c r="C3016" t="inlineStr">
        <is>
          <t>SUP-05</t>
        </is>
      </c>
      <c r="D3016" t="inlineStr">
        <is>
          <t>FLEET</t>
        </is>
      </c>
      <c r="E3016" t="inlineStr">
        <is>
          <t>FLEET-07</t>
        </is>
      </c>
      <c r="F3016" s="17" t="n">
        <v>46016</v>
      </c>
      <c r="G3016" s="17" t="n">
        <v>46030</v>
      </c>
      <c r="H3016" s="18" t="n">
        <v>12</v>
      </c>
      <c r="I3016" s="19" t="n">
        <v>121.59</v>
      </c>
      <c r="J3016" s="19" t="n">
        <v>118</v>
      </c>
      <c r="K3016" s="20" t="n">
        <v>0</v>
      </c>
      <c r="L3016" s="20" t="n">
        <v>0</v>
      </c>
      <c r="M3016" s="18" t="n">
        <v>12</v>
      </c>
      <c r="N3016" s="18" t="n">
        <v>12</v>
      </c>
      <c r="O3016" s="18" t="n">
        <v>0</v>
      </c>
      <c r="P3016" s="17" t="n">
        <v>46024</v>
      </c>
      <c r="Q3016" s="17" t="n">
        <v>46024</v>
      </c>
      <c r="R3016" s="17" t="n">
        <v>46024</v>
      </c>
      <c r="S3016" s="19">
        <f>H3016*I3016</f>
        <v/>
      </c>
      <c r="T3016" s="19">
        <f>H3016*J3016</f>
        <v/>
      </c>
      <c r="U3016">
        <f>IF(AND(K3016=0,G3016&lt;=Assumptions!$C$6),1,0)</f>
        <v/>
      </c>
      <c r="V3016">
        <f>IF(U3016=1,IF(M3016&gt;0,IF(P3016&lt;=G3016+Assumptions!$C$7,1,0),0),0)</f>
        <v/>
      </c>
      <c r="W3016">
        <f>IF(AND(U3016=1,M3016&gt;=H3016*(1-Assumptions!$C$8)),1,0)</f>
        <v/>
      </c>
      <c r="X3016">
        <f>IF(AND(U3016=1,N3016&gt;=H3016*(1-Assumptions!$C$8)),1,0)</f>
        <v/>
      </c>
      <c r="Y3016">
        <f>IF(ISNUMBER(Q3016),1,0)</f>
        <v/>
      </c>
      <c r="Z3016">
        <f>IF(AND(K3016=0,L3016=0,Y3016=0),1,0)</f>
        <v/>
      </c>
      <c r="AA3016">
        <f>IF(AND(Z3016=1,G3016&lt;Assumptions!$C$6),1,0)</f>
        <v/>
      </c>
      <c r="AB3016">
        <f>IF(U3016=0,"",IF(Y3016=1,MAX(0,Q3016-G3016),IF(L3016=1,MAX(0,R3016-G3016),MAX(0,Assumptions!$C$6-G3016))))</f>
        <v/>
      </c>
      <c r="AC3016">
        <f>IF(Y3016=1,Q3016-F3016,"")</f>
        <v/>
      </c>
      <c r="AD3016">
        <f>IF(Y3016=1,AC3016^2,"")</f>
        <v/>
      </c>
      <c r="AE3016" s="19">
        <f>IF(Z3016=1,(H3016-M3016)*I3016,0)</f>
        <v/>
      </c>
      <c r="AF3016">
        <f>IF(G3016&lt;EDATE(Assumptions!$C$6,-12)+1,"prior_12m","last_12m")</f>
        <v/>
      </c>
      <c r="AG3016" s="21">
        <f>DATE(YEAR(G3016),MONTH(G3016),1)</f>
        <v/>
      </c>
    </row>
    <row r="3017">
      <c r="A3017" t="inlineStr">
        <is>
          <t>SPO-01615-2</t>
        </is>
      </c>
      <c r="B3017" t="inlineStr">
        <is>
          <t>SPO-01615</t>
        </is>
      </c>
      <c r="C3017" t="inlineStr">
        <is>
          <t>SUP-05</t>
        </is>
      </c>
      <c r="D3017" t="inlineStr">
        <is>
          <t>FLEET</t>
        </is>
      </c>
      <c r="E3017" t="inlineStr">
        <is>
          <t>FLEET-01</t>
        </is>
      </c>
      <c r="F3017" s="17" t="n">
        <v>46016</v>
      </c>
      <c r="G3017" s="17" t="n">
        <v>46030</v>
      </c>
      <c r="H3017" s="18" t="n">
        <v>17</v>
      </c>
      <c r="I3017" s="19" t="n">
        <v>66.36</v>
      </c>
      <c r="J3017" s="19" t="n">
        <v>64</v>
      </c>
      <c r="K3017" s="20" t="n">
        <v>0</v>
      </c>
      <c r="L3017" s="20" t="n">
        <v>0</v>
      </c>
      <c r="M3017" s="18" t="n">
        <v>17</v>
      </c>
      <c r="N3017" s="18" t="n">
        <v>17</v>
      </c>
      <c r="O3017" s="18" t="n">
        <v>0</v>
      </c>
      <c r="P3017" s="17" t="n">
        <v>46030</v>
      </c>
      <c r="Q3017" s="17" t="n">
        <v>46030</v>
      </c>
      <c r="R3017" s="17" t="n">
        <v>46030</v>
      </c>
      <c r="S3017" s="19">
        <f>H3017*I3017</f>
        <v/>
      </c>
      <c r="T3017" s="19">
        <f>H3017*J3017</f>
        <v/>
      </c>
      <c r="U3017">
        <f>IF(AND(K3017=0,G3017&lt;=Assumptions!$C$6),1,0)</f>
        <v/>
      </c>
      <c r="V3017">
        <f>IF(U3017=1,IF(M3017&gt;0,IF(P3017&lt;=G3017+Assumptions!$C$7,1,0),0),0)</f>
        <v/>
      </c>
      <c r="W3017">
        <f>IF(AND(U3017=1,M3017&gt;=H3017*(1-Assumptions!$C$8)),1,0)</f>
        <v/>
      </c>
      <c r="X3017">
        <f>IF(AND(U3017=1,N3017&gt;=H3017*(1-Assumptions!$C$8)),1,0)</f>
        <v/>
      </c>
      <c r="Y3017">
        <f>IF(ISNUMBER(Q3017),1,0)</f>
        <v/>
      </c>
      <c r="Z3017">
        <f>IF(AND(K3017=0,L3017=0,Y3017=0),1,0)</f>
        <v/>
      </c>
      <c r="AA3017">
        <f>IF(AND(Z3017=1,G3017&lt;Assumptions!$C$6),1,0)</f>
        <v/>
      </c>
      <c r="AB3017">
        <f>IF(U3017=0,"",IF(Y3017=1,MAX(0,Q3017-G3017),IF(L3017=1,MAX(0,R3017-G3017),MAX(0,Assumptions!$C$6-G3017))))</f>
        <v/>
      </c>
      <c r="AC3017">
        <f>IF(Y3017=1,Q3017-F3017,"")</f>
        <v/>
      </c>
      <c r="AD3017">
        <f>IF(Y3017=1,AC3017^2,"")</f>
        <v/>
      </c>
      <c r="AE3017" s="19">
        <f>IF(Z3017=1,(H3017-M3017)*I3017,0)</f>
        <v/>
      </c>
      <c r="AF3017">
        <f>IF(G3017&lt;EDATE(Assumptions!$C$6,-12)+1,"prior_12m","last_12m")</f>
        <v/>
      </c>
      <c r="AG3017" s="21">
        <f>DATE(YEAR(G3017),MONTH(G3017),1)</f>
        <v/>
      </c>
    </row>
    <row r="3018">
      <c r="A3018" t="inlineStr">
        <is>
          <t>SPO-01616-1</t>
        </is>
      </c>
      <c r="B3018" t="inlineStr">
        <is>
          <t>SPO-01616</t>
        </is>
      </c>
      <c r="C3018" t="inlineStr">
        <is>
          <t>SUP-05</t>
        </is>
      </c>
      <c r="D3018" t="inlineStr">
        <is>
          <t>FLEET</t>
        </is>
      </c>
      <c r="E3018" t="inlineStr">
        <is>
          <t>FLEET-05</t>
        </is>
      </c>
      <c r="F3018" s="17" t="n">
        <v>46016</v>
      </c>
      <c r="G3018" s="17" t="n">
        <v>46030</v>
      </c>
      <c r="H3018" s="18" t="n">
        <v>6</v>
      </c>
      <c r="I3018" s="19" t="n">
        <v>164.23</v>
      </c>
      <c r="J3018" s="19" t="n">
        <v>168</v>
      </c>
      <c r="K3018" s="20" t="n">
        <v>0</v>
      </c>
      <c r="L3018" s="20" t="n">
        <v>0</v>
      </c>
      <c r="M3018" s="18" t="n">
        <v>6</v>
      </c>
      <c r="N3018" s="18" t="n">
        <v>6</v>
      </c>
      <c r="O3018" s="18" t="n">
        <v>0</v>
      </c>
      <c r="P3018" s="17" t="n">
        <v>46027</v>
      </c>
      <c r="Q3018" s="17" t="n">
        <v>46027</v>
      </c>
      <c r="R3018" s="17" t="n">
        <v>46027</v>
      </c>
      <c r="S3018" s="19">
        <f>H3018*I3018</f>
        <v/>
      </c>
      <c r="T3018" s="19">
        <f>H3018*J3018</f>
        <v/>
      </c>
      <c r="U3018">
        <f>IF(AND(K3018=0,G3018&lt;=Assumptions!$C$6),1,0)</f>
        <v/>
      </c>
      <c r="V3018">
        <f>IF(U3018=1,IF(M3018&gt;0,IF(P3018&lt;=G3018+Assumptions!$C$7,1,0),0),0)</f>
        <v/>
      </c>
      <c r="W3018">
        <f>IF(AND(U3018=1,M3018&gt;=H3018*(1-Assumptions!$C$8)),1,0)</f>
        <v/>
      </c>
      <c r="X3018">
        <f>IF(AND(U3018=1,N3018&gt;=H3018*(1-Assumptions!$C$8)),1,0)</f>
        <v/>
      </c>
      <c r="Y3018">
        <f>IF(ISNUMBER(Q3018),1,0)</f>
        <v/>
      </c>
      <c r="Z3018">
        <f>IF(AND(K3018=0,L3018=0,Y3018=0),1,0)</f>
        <v/>
      </c>
      <c r="AA3018">
        <f>IF(AND(Z3018=1,G3018&lt;Assumptions!$C$6),1,0)</f>
        <v/>
      </c>
      <c r="AB3018">
        <f>IF(U3018=0,"",IF(Y3018=1,MAX(0,Q3018-G3018),IF(L3018=1,MAX(0,R3018-G3018),MAX(0,Assumptions!$C$6-G3018))))</f>
        <v/>
      </c>
      <c r="AC3018">
        <f>IF(Y3018=1,Q3018-F3018,"")</f>
        <v/>
      </c>
      <c r="AD3018">
        <f>IF(Y3018=1,AC3018^2,"")</f>
        <v/>
      </c>
      <c r="AE3018" s="19">
        <f>IF(Z3018=1,(H3018-M3018)*I3018,0)</f>
        <v/>
      </c>
      <c r="AF3018">
        <f>IF(G3018&lt;EDATE(Assumptions!$C$6,-12)+1,"prior_12m","last_12m")</f>
        <v/>
      </c>
      <c r="AG3018" s="21">
        <f>DATE(YEAR(G3018),MONTH(G3018),1)</f>
        <v/>
      </c>
    </row>
    <row r="3019">
      <c r="A3019" t="inlineStr">
        <is>
          <t>SPO-01617-1</t>
        </is>
      </c>
      <c r="B3019" t="inlineStr">
        <is>
          <t>SPO-01617</t>
        </is>
      </c>
      <c r="C3019" t="inlineStr">
        <is>
          <t>SUP-12</t>
        </is>
      </c>
      <c r="D3019" t="inlineStr">
        <is>
          <t>IT</t>
        </is>
      </c>
      <c r="E3019" t="inlineStr">
        <is>
          <t>IT-04</t>
        </is>
      </c>
      <c r="F3019" s="17" t="n">
        <v>46016</v>
      </c>
      <c r="G3019" s="17" t="n">
        <v>46026</v>
      </c>
      <c r="H3019" s="18" t="n">
        <v>190</v>
      </c>
      <c r="I3019" s="19" t="n">
        <v>12.94</v>
      </c>
      <c r="J3019" s="19" t="n">
        <v>12</v>
      </c>
      <c r="K3019" s="20" t="n">
        <v>0</v>
      </c>
      <c r="L3019" s="20" t="n">
        <v>0</v>
      </c>
      <c r="M3019" s="18" t="n">
        <v>190</v>
      </c>
      <c r="N3019" s="18" t="n">
        <v>190</v>
      </c>
      <c r="O3019" s="18" t="n">
        <v>0</v>
      </c>
      <c r="P3019" s="17" t="n">
        <v>46026</v>
      </c>
      <c r="Q3019" s="17" t="n">
        <v>46026</v>
      </c>
      <c r="R3019" s="17" t="n">
        <v>46026</v>
      </c>
      <c r="S3019" s="19">
        <f>H3019*I3019</f>
        <v/>
      </c>
      <c r="T3019" s="19">
        <f>H3019*J3019</f>
        <v/>
      </c>
      <c r="U3019">
        <f>IF(AND(K3019=0,G3019&lt;=Assumptions!$C$6),1,0)</f>
        <v/>
      </c>
      <c r="V3019">
        <f>IF(U3019=1,IF(M3019&gt;0,IF(P3019&lt;=G3019+Assumptions!$C$7,1,0),0),0)</f>
        <v/>
      </c>
      <c r="W3019">
        <f>IF(AND(U3019=1,M3019&gt;=H3019*(1-Assumptions!$C$8)),1,0)</f>
        <v/>
      </c>
      <c r="X3019">
        <f>IF(AND(U3019=1,N3019&gt;=H3019*(1-Assumptions!$C$8)),1,0)</f>
        <v/>
      </c>
      <c r="Y3019">
        <f>IF(ISNUMBER(Q3019),1,0)</f>
        <v/>
      </c>
      <c r="Z3019">
        <f>IF(AND(K3019=0,L3019=0,Y3019=0),1,0)</f>
        <v/>
      </c>
      <c r="AA3019">
        <f>IF(AND(Z3019=1,G3019&lt;Assumptions!$C$6),1,0)</f>
        <v/>
      </c>
      <c r="AB3019">
        <f>IF(U3019=0,"",IF(Y3019=1,MAX(0,Q3019-G3019),IF(L3019=1,MAX(0,R3019-G3019),MAX(0,Assumptions!$C$6-G3019))))</f>
        <v/>
      </c>
      <c r="AC3019">
        <f>IF(Y3019=1,Q3019-F3019,"")</f>
        <v/>
      </c>
      <c r="AD3019">
        <f>IF(Y3019=1,AC3019^2,"")</f>
        <v/>
      </c>
      <c r="AE3019" s="19">
        <f>IF(Z3019=1,(H3019-M3019)*I3019,0)</f>
        <v/>
      </c>
      <c r="AF3019">
        <f>IF(G3019&lt;EDATE(Assumptions!$C$6,-12)+1,"prior_12m","last_12m")</f>
        <v/>
      </c>
      <c r="AG3019" s="21">
        <f>DATE(YEAR(G3019),MONTH(G3019),1)</f>
        <v/>
      </c>
    </row>
    <row r="3020">
      <c r="A3020" t="inlineStr">
        <is>
          <t>SPO-01618-1</t>
        </is>
      </c>
      <c r="B3020" t="inlineStr">
        <is>
          <t>SPO-01618</t>
        </is>
      </c>
      <c r="C3020" t="inlineStr">
        <is>
          <t>SUP-12</t>
        </is>
      </c>
      <c r="D3020" t="inlineStr">
        <is>
          <t>IT</t>
        </is>
      </c>
      <c r="E3020" t="inlineStr">
        <is>
          <t>IT-03</t>
        </is>
      </c>
      <c r="F3020" s="17" t="n">
        <v>46016</v>
      </c>
      <c r="G3020" s="17" t="n">
        <v>46026</v>
      </c>
      <c r="H3020" s="18" t="n">
        <v>52</v>
      </c>
      <c r="I3020" s="19" t="n">
        <v>42.68</v>
      </c>
      <c r="J3020" s="19" t="n">
        <v>38</v>
      </c>
      <c r="K3020" s="20" t="n">
        <v>0</v>
      </c>
      <c r="L3020" s="20" t="n">
        <v>0</v>
      </c>
      <c r="M3020" s="18" t="n">
        <v>52</v>
      </c>
      <c r="N3020" s="18" t="n">
        <v>52</v>
      </c>
      <c r="O3020" s="18" t="n">
        <v>0</v>
      </c>
      <c r="P3020" s="17" t="n">
        <v>46021</v>
      </c>
      <c r="Q3020" s="17" t="n">
        <v>46021</v>
      </c>
      <c r="R3020" s="17" t="n">
        <v>46021</v>
      </c>
      <c r="S3020" s="19">
        <f>H3020*I3020</f>
        <v/>
      </c>
      <c r="T3020" s="19">
        <f>H3020*J3020</f>
        <v/>
      </c>
      <c r="U3020">
        <f>IF(AND(K3020=0,G3020&lt;=Assumptions!$C$6),1,0)</f>
        <v/>
      </c>
      <c r="V3020">
        <f>IF(U3020=1,IF(M3020&gt;0,IF(P3020&lt;=G3020+Assumptions!$C$7,1,0),0),0)</f>
        <v/>
      </c>
      <c r="W3020">
        <f>IF(AND(U3020=1,M3020&gt;=H3020*(1-Assumptions!$C$8)),1,0)</f>
        <v/>
      </c>
      <c r="X3020">
        <f>IF(AND(U3020=1,N3020&gt;=H3020*(1-Assumptions!$C$8)),1,0)</f>
        <v/>
      </c>
      <c r="Y3020">
        <f>IF(ISNUMBER(Q3020),1,0)</f>
        <v/>
      </c>
      <c r="Z3020">
        <f>IF(AND(K3020=0,L3020=0,Y3020=0),1,0)</f>
        <v/>
      </c>
      <c r="AA3020">
        <f>IF(AND(Z3020=1,G3020&lt;Assumptions!$C$6),1,0)</f>
        <v/>
      </c>
      <c r="AB3020">
        <f>IF(U3020=0,"",IF(Y3020=1,MAX(0,Q3020-G3020),IF(L3020=1,MAX(0,R3020-G3020),MAX(0,Assumptions!$C$6-G3020))))</f>
        <v/>
      </c>
      <c r="AC3020">
        <f>IF(Y3020=1,Q3020-F3020,"")</f>
        <v/>
      </c>
      <c r="AD3020">
        <f>IF(Y3020=1,AC3020^2,"")</f>
        <v/>
      </c>
      <c r="AE3020" s="19">
        <f>IF(Z3020=1,(H3020-M3020)*I3020,0)</f>
        <v/>
      </c>
      <c r="AF3020">
        <f>IF(G3020&lt;EDATE(Assumptions!$C$6,-12)+1,"prior_12m","last_12m")</f>
        <v/>
      </c>
      <c r="AG3020" s="21">
        <f>DATE(YEAR(G3020),MONTH(G3020),1)</f>
        <v/>
      </c>
    </row>
    <row r="3021">
      <c r="A3021" t="inlineStr">
        <is>
          <t>SPO-01618-2</t>
        </is>
      </c>
      <c r="B3021" t="inlineStr">
        <is>
          <t>SPO-01618</t>
        </is>
      </c>
      <c r="C3021" t="inlineStr">
        <is>
          <t>SUP-12</t>
        </is>
      </c>
      <c r="D3021" t="inlineStr">
        <is>
          <t>IT</t>
        </is>
      </c>
      <c r="E3021" t="inlineStr">
        <is>
          <t>IT-08</t>
        </is>
      </c>
      <c r="F3021" s="17" t="n">
        <v>46016</v>
      </c>
      <c r="G3021" s="17" t="n">
        <v>46026</v>
      </c>
      <c r="H3021" s="18" t="n">
        <v>5</v>
      </c>
      <c r="I3021" s="19" t="n">
        <v>270.1</v>
      </c>
      <c r="J3021" s="19" t="n">
        <v>245</v>
      </c>
      <c r="K3021" s="20" t="n">
        <v>0</v>
      </c>
      <c r="L3021" s="20" t="n">
        <v>0</v>
      </c>
      <c r="M3021" s="18" t="n">
        <v>5</v>
      </c>
      <c r="N3021" s="18" t="n">
        <v>0</v>
      </c>
      <c r="O3021" s="18" t="n">
        <v>0</v>
      </c>
      <c r="P3021" s="17" t="n">
        <v>46027</v>
      </c>
      <c r="Q3021" s="17" t="n">
        <v>46027</v>
      </c>
      <c r="R3021" s="17" t="n">
        <v>46027</v>
      </c>
      <c r="S3021" s="19">
        <f>H3021*I3021</f>
        <v/>
      </c>
      <c r="T3021" s="19">
        <f>H3021*J3021</f>
        <v/>
      </c>
      <c r="U3021">
        <f>IF(AND(K3021=0,G3021&lt;=Assumptions!$C$6),1,0)</f>
        <v/>
      </c>
      <c r="V3021">
        <f>IF(U3021=1,IF(M3021&gt;0,IF(P3021&lt;=G3021+Assumptions!$C$7,1,0),0),0)</f>
        <v/>
      </c>
      <c r="W3021">
        <f>IF(AND(U3021=1,M3021&gt;=H3021*(1-Assumptions!$C$8)),1,0)</f>
        <v/>
      </c>
      <c r="X3021">
        <f>IF(AND(U3021=1,N3021&gt;=H3021*(1-Assumptions!$C$8)),1,0)</f>
        <v/>
      </c>
      <c r="Y3021">
        <f>IF(ISNUMBER(Q3021),1,0)</f>
        <v/>
      </c>
      <c r="Z3021">
        <f>IF(AND(K3021=0,L3021=0,Y3021=0),1,0)</f>
        <v/>
      </c>
      <c r="AA3021">
        <f>IF(AND(Z3021=1,G3021&lt;Assumptions!$C$6),1,0)</f>
        <v/>
      </c>
      <c r="AB3021">
        <f>IF(U3021=0,"",IF(Y3021=1,MAX(0,Q3021-G3021),IF(L3021=1,MAX(0,R3021-G3021),MAX(0,Assumptions!$C$6-G3021))))</f>
        <v/>
      </c>
      <c r="AC3021">
        <f>IF(Y3021=1,Q3021-F3021,"")</f>
        <v/>
      </c>
      <c r="AD3021">
        <f>IF(Y3021=1,AC3021^2,"")</f>
        <v/>
      </c>
      <c r="AE3021" s="19">
        <f>IF(Z3021=1,(H3021-M3021)*I3021,0)</f>
        <v/>
      </c>
      <c r="AF3021">
        <f>IF(G3021&lt;EDATE(Assumptions!$C$6,-12)+1,"prior_12m","last_12m")</f>
        <v/>
      </c>
      <c r="AG3021" s="21">
        <f>DATE(YEAR(G3021),MONTH(G3021),1)</f>
        <v/>
      </c>
    </row>
    <row r="3022">
      <c r="A3022" t="inlineStr">
        <is>
          <t>SPO-01618-3</t>
        </is>
      </c>
      <c r="B3022" t="inlineStr">
        <is>
          <t>SPO-01618</t>
        </is>
      </c>
      <c r="C3022" t="inlineStr">
        <is>
          <t>SUP-12</t>
        </is>
      </c>
      <c r="D3022" t="inlineStr">
        <is>
          <t>IT</t>
        </is>
      </c>
      <c r="E3022" t="inlineStr">
        <is>
          <t>IT-07</t>
        </is>
      </c>
      <c r="F3022" s="17" t="n">
        <v>46016</v>
      </c>
      <c r="G3022" s="17" t="n">
        <v>46026</v>
      </c>
      <c r="H3022" s="18" t="n">
        <v>11</v>
      </c>
      <c r="I3022" s="19" t="n">
        <v>82.40000000000001</v>
      </c>
      <c r="J3022" s="19" t="n">
        <v>74</v>
      </c>
      <c r="K3022" s="20" t="n">
        <v>0</v>
      </c>
      <c r="L3022" s="20" t="n">
        <v>0</v>
      </c>
      <c r="M3022" s="18" t="n">
        <v>11</v>
      </c>
      <c r="N3022" s="18" t="n">
        <v>11</v>
      </c>
      <c r="O3022" s="18" t="n">
        <v>0</v>
      </c>
      <c r="P3022" s="17" t="n">
        <v>46023</v>
      </c>
      <c r="Q3022" s="17" t="n">
        <v>46023</v>
      </c>
      <c r="R3022" s="17" t="n">
        <v>46023</v>
      </c>
      <c r="S3022" s="19">
        <f>H3022*I3022</f>
        <v/>
      </c>
      <c r="T3022" s="19">
        <f>H3022*J3022</f>
        <v/>
      </c>
      <c r="U3022">
        <f>IF(AND(K3022=0,G3022&lt;=Assumptions!$C$6),1,0)</f>
        <v/>
      </c>
      <c r="V3022">
        <f>IF(U3022=1,IF(M3022&gt;0,IF(P3022&lt;=G3022+Assumptions!$C$7,1,0),0),0)</f>
        <v/>
      </c>
      <c r="W3022">
        <f>IF(AND(U3022=1,M3022&gt;=H3022*(1-Assumptions!$C$8)),1,0)</f>
        <v/>
      </c>
      <c r="X3022">
        <f>IF(AND(U3022=1,N3022&gt;=H3022*(1-Assumptions!$C$8)),1,0)</f>
        <v/>
      </c>
      <c r="Y3022">
        <f>IF(ISNUMBER(Q3022),1,0)</f>
        <v/>
      </c>
      <c r="Z3022">
        <f>IF(AND(K3022=0,L3022=0,Y3022=0),1,0)</f>
        <v/>
      </c>
      <c r="AA3022">
        <f>IF(AND(Z3022=1,G3022&lt;Assumptions!$C$6),1,0)</f>
        <v/>
      </c>
      <c r="AB3022">
        <f>IF(U3022=0,"",IF(Y3022=1,MAX(0,Q3022-G3022),IF(L3022=1,MAX(0,R3022-G3022),MAX(0,Assumptions!$C$6-G3022))))</f>
        <v/>
      </c>
      <c r="AC3022">
        <f>IF(Y3022=1,Q3022-F3022,"")</f>
        <v/>
      </c>
      <c r="AD3022">
        <f>IF(Y3022=1,AC3022^2,"")</f>
        <v/>
      </c>
      <c r="AE3022" s="19">
        <f>IF(Z3022=1,(H3022-M3022)*I3022,0)</f>
        <v/>
      </c>
      <c r="AF3022">
        <f>IF(G3022&lt;EDATE(Assumptions!$C$6,-12)+1,"prior_12m","last_12m")</f>
        <v/>
      </c>
      <c r="AG3022" s="21">
        <f>DATE(YEAR(G3022),MONTH(G3022),1)</f>
        <v/>
      </c>
    </row>
    <row r="3023">
      <c r="A3023" t="inlineStr">
        <is>
          <t>SPO-01619-1</t>
        </is>
      </c>
      <c r="B3023" t="inlineStr">
        <is>
          <t>SPO-01619</t>
        </is>
      </c>
      <c r="C3023" t="inlineStr">
        <is>
          <t>SUP-06</t>
        </is>
      </c>
      <c r="D3023" t="inlineStr">
        <is>
          <t>MRO</t>
        </is>
      </c>
      <c r="E3023" t="inlineStr">
        <is>
          <t>MRO-03</t>
        </is>
      </c>
      <c r="F3023" s="17" t="n">
        <v>46017</v>
      </c>
      <c r="G3023" s="17" t="n">
        <v>46025</v>
      </c>
      <c r="H3023" s="18" t="n">
        <v>103</v>
      </c>
      <c r="I3023" s="19" t="n">
        <v>8.699999999999999</v>
      </c>
      <c r="J3023" s="19" t="n">
        <v>8.9</v>
      </c>
      <c r="K3023" s="20" t="n">
        <v>0</v>
      </c>
      <c r="L3023" s="20" t="n">
        <v>0</v>
      </c>
      <c r="M3023" s="18" t="n">
        <v>103</v>
      </c>
      <c r="N3023" s="18" t="n">
        <v>103</v>
      </c>
      <c r="O3023" s="18" t="n">
        <v>0</v>
      </c>
      <c r="P3023" s="17" t="n">
        <v>46022</v>
      </c>
      <c r="Q3023" s="17" t="n">
        <v>46022</v>
      </c>
      <c r="R3023" s="17" t="n">
        <v>46022</v>
      </c>
      <c r="S3023" s="19">
        <f>H3023*I3023</f>
        <v/>
      </c>
      <c r="T3023" s="19">
        <f>H3023*J3023</f>
        <v/>
      </c>
      <c r="U3023">
        <f>IF(AND(K3023=0,G3023&lt;=Assumptions!$C$6),1,0)</f>
        <v/>
      </c>
      <c r="V3023">
        <f>IF(U3023=1,IF(M3023&gt;0,IF(P3023&lt;=G3023+Assumptions!$C$7,1,0),0),0)</f>
        <v/>
      </c>
      <c r="W3023">
        <f>IF(AND(U3023=1,M3023&gt;=H3023*(1-Assumptions!$C$8)),1,0)</f>
        <v/>
      </c>
      <c r="X3023">
        <f>IF(AND(U3023=1,N3023&gt;=H3023*(1-Assumptions!$C$8)),1,0)</f>
        <v/>
      </c>
      <c r="Y3023">
        <f>IF(ISNUMBER(Q3023),1,0)</f>
        <v/>
      </c>
      <c r="Z3023">
        <f>IF(AND(K3023=0,L3023=0,Y3023=0),1,0)</f>
        <v/>
      </c>
      <c r="AA3023">
        <f>IF(AND(Z3023=1,G3023&lt;Assumptions!$C$6),1,0)</f>
        <v/>
      </c>
      <c r="AB3023">
        <f>IF(U3023=0,"",IF(Y3023=1,MAX(0,Q3023-G3023),IF(L3023=1,MAX(0,R3023-G3023),MAX(0,Assumptions!$C$6-G3023))))</f>
        <v/>
      </c>
      <c r="AC3023">
        <f>IF(Y3023=1,Q3023-F3023,"")</f>
        <v/>
      </c>
      <c r="AD3023">
        <f>IF(Y3023=1,AC3023^2,"")</f>
        <v/>
      </c>
      <c r="AE3023" s="19">
        <f>IF(Z3023=1,(H3023-M3023)*I3023,0)</f>
        <v/>
      </c>
      <c r="AF3023">
        <f>IF(G3023&lt;EDATE(Assumptions!$C$6,-12)+1,"prior_12m","last_12m")</f>
        <v/>
      </c>
      <c r="AG3023" s="21">
        <f>DATE(YEAR(G3023),MONTH(G3023),1)</f>
        <v/>
      </c>
    </row>
    <row r="3024">
      <c r="A3024" t="inlineStr">
        <is>
          <t>SPO-01619-2</t>
        </is>
      </c>
      <c r="B3024" t="inlineStr">
        <is>
          <t>SPO-01619</t>
        </is>
      </c>
      <c r="C3024" t="inlineStr">
        <is>
          <t>SUP-06</t>
        </is>
      </c>
      <c r="D3024" t="inlineStr">
        <is>
          <t>MRO</t>
        </is>
      </c>
      <c r="E3024" t="inlineStr">
        <is>
          <t>MRO-08</t>
        </is>
      </c>
      <c r="F3024" s="17" t="n">
        <v>46017</v>
      </c>
      <c r="G3024" s="17" t="n">
        <v>46025</v>
      </c>
      <c r="H3024" s="18" t="n">
        <v>105</v>
      </c>
      <c r="I3024" s="19" t="n">
        <v>7.26</v>
      </c>
      <c r="J3024" s="19" t="n">
        <v>7.2</v>
      </c>
      <c r="K3024" s="20" t="n">
        <v>0</v>
      </c>
      <c r="L3024" s="20" t="n">
        <v>0</v>
      </c>
      <c r="M3024" s="18" t="n">
        <v>105</v>
      </c>
      <c r="N3024" s="18" t="n">
        <v>60</v>
      </c>
      <c r="O3024" s="18" t="n">
        <v>0</v>
      </c>
      <c r="P3024" s="17" t="n">
        <v>46023</v>
      </c>
      <c r="Q3024" s="17" t="n">
        <v>46033</v>
      </c>
      <c r="R3024" s="17" t="n">
        <v>46033</v>
      </c>
      <c r="S3024" s="19">
        <f>H3024*I3024</f>
        <v/>
      </c>
      <c r="T3024" s="19">
        <f>H3024*J3024</f>
        <v/>
      </c>
      <c r="U3024">
        <f>IF(AND(K3024=0,G3024&lt;=Assumptions!$C$6),1,0)</f>
        <v/>
      </c>
      <c r="V3024">
        <f>IF(U3024=1,IF(M3024&gt;0,IF(P3024&lt;=G3024+Assumptions!$C$7,1,0),0),0)</f>
        <v/>
      </c>
      <c r="W3024">
        <f>IF(AND(U3024=1,M3024&gt;=H3024*(1-Assumptions!$C$8)),1,0)</f>
        <v/>
      </c>
      <c r="X3024">
        <f>IF(AND(U3024=1,N3024&gt;=H3024*(1-Assumptions!$C$8)),1,0)</f>
        <v/>
      </c>
      <c r="Y3024">
        <f>IF(ISNUMBER(Q3024),1,0)</f>
        <v/>
      </c>
      <c r="Z3024">
        <f>IF(AND(K3024=0,L3024=0,Y3024=0),1,0)</f>
        <v/>
      </c>
      <c r="AA3024">
        <f>IF(AND(Z3024=1,G3024&lt;Assumptions!$C$6),1,0)</f>
        <v/>
      </c>
      <c r="AB3024">
        <f>IF(U3024=0,"",IF(Y3024=1,MAX(0,Q3024-G3024),IF(L3024=1,MAX(0,R3024-G3024),MAX(0,Assumptions!$C$6-G3024))))</f>
        <v/>
      </c>
      <c r="AC3024">
        <f>IF(Y3024=1,Q3024-F3024,"")</f>
        <v/>
      </c>
      <c r="AD3024">
        <f>IF(Y3024=1,AC3024^2,"")</f>
        <v/>
      </c>
      <c r="AE3024" s="19">
        <f>IF(Z3024=1,(H3024-M3024)*I3024,0)</f>
        <v/>
      </c>
      <c r="AF3024">
        <f>IF(G3024&lt;EDATE(Assumptions!$C$6,-12)+1,"prior_12m","last_12m")</f>
        <v/>
      </c>
      <c r="AG3024" s="21">
        <f>DATE(YEAR(G3024),MONTH(G3024),1)</f>
        <v/>
      </c>
    </row>
    <row r="3025">
      <c r="A3025" t="inlineStr">
        <is>
          <t>SPO-01620-1</t>
        </is>
      </c>
      <c r="B3025" t="inlineStr">
        <is>
          <t>SPO-01620</t>
        </is>
      </c>
      <c r="C3025" t="inlineStr">
        <is>
          <t>SUP-12</t>
        </is>
      </c>
      <c r="D3025" t="inlineStr">
        <is>
          <t>IT</t>
        </is>
      </c>
      <c r="E3025" t="inlineStr">
        <is>
          <t>IT-08</t>
        </is>
      </c>
      <c r="F3025" s="17" t="n">
        <v>46017</v>
      </c>
      <c r="G3025" s="17" t="n">
        <v>46027</v>
      </c>
      <c r="H3025" s="18" t="n">
        <v>1</v>
      </c>
      <c r="I3025" s="19" t="n">
        <v>276.67</v>
      </c>
      <c r="J3025" s="19" t="n">
        <v>245</v>
      </c>
      <c r="K3025" s="20" t="n">
        <v>0</v>
      </c>
      <c r="L3025" s="20" t="n">
        <v>0</v>
      </c>
      <c r="M3025" s="18" t="n">
        <v>1</v>
      </c>
      <c r="N3025" s="18" t="n">
        <v>1</v>
      </c>
      <c r="O3025" s="18" t="n">
        <v>0</v>
      </c>
      <c r="P3025" s="17" t="n">
        <v>46023</v>
      </c>
      <c r="Q3025" s="17" t="n">
        <v>46023</v>
      </c>
      <c r="R3025" s="17" t="n">
        <v>46023</v>
      </c>
      <c r="S3025" s="19">
        <f>H3025*I3025</f>
        <v/>
      </c>
      <c r="T3025" s="19">
        <f>H3025*J3025</f>
        <v/>
      </c>
      <c r="U3025">
        <f>IF(AND(K3025=0,G3025&lt;=Assumptions!$C$6),1,0)</f>
        <v/>
      </c>
      <c r="V3025">
        <f>IF(U3025=1,IF(M3025&gt;0,IF(P3025&lt;=G3025+Assumptions!$C$7,1,0),0),0)</f>
        <v/>
      </c>
      <c r="W3025">
        <f>IF(AND(U3025=1,M3025&gt;=H3025*(1-Assumptions!$C$8)),1,0)</f>
        <v/>
      </c>
      <c r="X3025">
        <f>IF(AND(U3025=1,N3025&gt;=H3025*(1-Assumptions!$C$8)),1,0)</f>
        <v/>
      </c>
      <c r="Y3025">
        <f>IF(ISNUMBER(Q3025),1,0)</f>
        <v/>
      </c>
      <c r="Z3025">
        <f>IF(AND(K3025=0,L3025=0,Y3025=0),1,0)</f>
        <v/>
      </c>
      <c r="AA3025">
        <f>IF(AND(Z3025=1,G3025&lt;Assumptions!$C$6),1,0)</f>
        <v/>
      </c>
      <c r="AB3025">
        <f>IF(U3025=0,"",IF(Y3025=1,MAX(0,Q3025-G3025),IF(L3025=1,MAX(0,R3025-G3025),MAX(0,Assumptions!$C$6-G3025))))</f>
        <v/>
      </c>
      <c r="AC3025">
        <f>IF(Y3025=1,Q3025-F3025,"")</f>
        <v/>
      </c>
      <c r="AD3025">
        <f>IF(Y3025=1,AC3025^2,"")</f>
        <v/>
      </c>
      <c r="AE3025" s="19">
        <f>IF(Z3025=1,(H3025-M3025)*I3025,0)</f>
        <v/>
      </c>
      <c r="AF3025">
        <f>IF(G3025&lt;EDATE(Assumptions!$C$6,-12)+1,"prior_12m","last_12m")</f>
        <v/>
      </c>
      <c r="AG3025" s="21">
        <f>DATE(YEAR(G3025),MONTH(G3025),1)</f>
        <v/>
      </c>
    </row>
    <row r="3026">
      <c r="A3026" t="inlineStr">
        <is>
          <t>SPO-01620-2</t>
        </is>
      </c>
      <c r="B3026" t="inlineStr">
        <is>
          <t>SPO-01620</t>
        </is>
      </c>
      <c r="C3026" t="inlineStr">
        <is>
          <t>SUP-12</t>
        </is>
      </c>
      <c r="D3026" t="inlineStr">
        <is>
          <t>IT</t>
        </is>
      </c>
      <c r="E3026" t="inlineStr">
        <is>
          <t>IT-05</t>
        </is>
      </c>
      <c r="F3026" s="17" t="n">
        <v>46017</v>
      </c>
      <c r="G3026" s="17" t="n">
        <v>46027</v>
      </c>
      <c r="H3026" s="18" t="n">
        <v>1</v>
      </c>
      <c r="I3026" s="19" t="n">
        <v>732.9299999999999</v>
      </c>
      <c r="J3026" s="19" t="n">
        <v>640</v>
      </c>
      <c r="K3026" s="20" t="n">
        <v>0</v>
      </c>
      <c r="L3026" s="20" t="n">
        <v>0</v>
      </c>
      <c r="M3026" s="18" t="n">
        <v>1</v>
      </c>
      <c r="N3026" s="18" t="n">
        <v>1</v>
      </c>
      <c r="O3026" s="18" t="n">
        <v>0</v>
      </c>
      <c r="P3026" s="17" t="n">
        <v>46026</v>
      </c>
      <c r="Q3026" s="17" t="n">
        <v>46026</v>
      </c>
      <c r="R3026" s="17" t="n">
        <v>46026</v>
      </c>
      <c r="S3026" s="19">
        <f>H3026*I3026</f>
        <v/>
      </c>
      <c r="T3026" s="19">
        <f>H3026*J3026</f>
        <v/>
      </c>
      <c r="U3026">
        <f>IF(AND(K3026=0,G3026&lt;=Assumptions!$C$6),1,0)</f>
        <v/>
      </c>
      <c r="V3026">
        <f>IF(U3026=1,IF(M3026&gt;0,IF(P3026&lt;=G3026+Assumptions!$C$7,1,0),0),0)</f>
        <v/>
      </c>
      <c r="W3026">
        <f>IF(AND(U3026=1,M3026&gt;=H3026*(1-Assumptions!$C$8)),1,0)</f>
        <v/>
      </c>
      <c r="X3026">
        <f>IF(AND(U3026=1,N3026&gt;=H3026*(1-Assumptions!$C$8)),1,0)</f>
        <v/>
      </c>
      <c r="Y3026">
        <f>IF(ISNUMBER(Q3026),1,0)</f>
        <v/>
      </c>
      <c r="Z3026">
        <f>IF(AND(K3026=0,L3026=0,Y3026=0),1,0)</f>
        <v/>
      </c>
      <c r="AA3026">
        <f>IF(AND(Z3026=1,G3026&lt;Assumptions!$C$6),1,0)</f>
        <v/>
      </c>
      <c r="AB3026">
        <f>IF(U3026=0,"",IF(Y3026=1,MAX(0,Q3026-G3026),IF(L3026=1,MAX(0,R3026-G3026),MAX(0,Assumptions!$C$6-G3026))))</f>
        <v/>
      </c>
      <c r="AC3026">
        <f>IF(Y3026=1,Q3026-F3026,"")</f>
        <v/>
      </c>
      <c r="AD3026">
        <f>IF(Y3026=1,AC3026^2,"")</f>
        <v/>
      </c>
      <c r="AE3026" s="19">
        <f>IF(Z3026=1,(H3026-M3026)*I3026,0)</f>
        <v/>
      </c>
      <c r="AF3026">
        <f>IF(G3026&lt;EDATE(Assumptions!$C$6,-12)+1,"prior_12m","last_12m")</f>
        <v/>
      </c>
      <c r="AG3026" s="21">
        <f>DATE(YEAR(G3026),MONTH(G3026),1)</f>
        <v/>
      </c>
    </row>
    <row r="3027">
      <c r="A3027" t="inlineStr">
        <is>
          <t>SPO-01621-1</t>
        </is>
      </c>
      <c r="B3027" t="inlineStr">
        <is>
          <t>SPO-01621</t>
        </is>
      </c>
      <c r="C3027" t="inlineStr">
        <is>
          <t>SUP-02</t>
        </is>
      </c>
      <c r="D3027" t="inlineStr">
        <is>
          <t>ELEC</t>
        </is>
      </c>
      <c r="E3027" t="inlineStr">
        <is>
          <t>ELEC-08</t>
        </is>
      </c>
      <c r="F3027" s="17" t="n">
        <v>46018</v>
      </c>
      <c r="G3027" s="17" t="n">
        <v>46034</v>
      </c>
      <c r="H3027" s="18" t="n">
        <v>76</v>
      </c>
      <c r="I3027" s="19" t="n">
        <v>17.78</v>
      </c>
      <c r="J3027" s="19" t="n">
        <v>18</v>
      </c>
      <c r="K3027" s="20" t="n">
        <v>0</v>
      </c>
      <c r="L3027" s="20" t="n">
        <v>0</v>
      </c>
      <c r="M3027" s="18" t="n">
        <v>76</v>
      </c>
      <c r="N3027" s="18" t="n">
        <v>76</v>
      </c>
      <c r="O3027" s="18" t="n">
        <v>0</v>
      </c>
      <c r="P3027" s="17" t="n">
        <v>46028</v>
      </c>
      <c r="Q3027" s="17" t="n">
        <v>46028</v>
      </c>
      <c r="R3027" s="17" t="n">
        <v>46028</v>
      </c>
      <c r="S3027" s="19">
        <f>H3027*I3027</f>
        <v/>
      </c>
      <c r="T3027" s="19">
        <f>H3027*J3027</f>
        <v/>
      </c>
      <c r="U3027">
        <f>IF(AND(K3027=0,G3027&lt;=Assumptions!$C$6),1,0)</f>
        <v/>
      </c>
      <c r="V3027">
        <f>IF(U3027=1,IF(M3027&gt;0,IF(P3027&lt;=G3027+Assumptions!$C$7,1,0),0),0)</f>
        <v/>
      </c>
      <c r="W3027">
        <f>IF(AND(U3027=1,M3027&gt;=H3027*(1-Assumptions!$C$8)),1,0)</f>
        <v/>
      </c>
      <c r="X3027">
        <f>IF(AND(U3027=1,N3027&gt;=H3027*(1-Assumptions!$C$8)),1,0)</f>
        <v/>
      </c>
      <c r="Y3027">
        <f>IF(ISNUMBER(Q3027),1,0)</f>
        <v/>
      </c>
      <c r="Z3027">
        <f>IF(AND(K3027=0,L3027=0,Y3027=0),1,0)</f>
        <v/>
      </c>
      <c r="AA3027">
        <f>IF(AND(Z3027=1,G3027&lt;Assumptions!$C$6),1,0)</f>
        <v/>
      </c>
      <c r="AB3027">
        <f>IF(U3027=0,"",IF(Y3027=1,MAX(0,Q3027-G3027),IF(L3027=1,MAX(0,R3027-G3027),MAX(0,Assumptions!$C$6-G3027))))</f>
        <v/>
      </c>
      <c r="AC3027">
        <f>IF(Y3027=1,Q3027-F3027,"")</f>
        <v/>
      </c>
      <c r="AD3027">
        <f>IF(Y3027=1,AC3027^2,"")</f>
        <v/>
      </c>
      <c r="AE3027" s="19">
        <f>IF(Z3027=1,(H3027-M3027)*I3027,0)</f>
        <v/>
      </c>
      <c r="AF3027">
        <f>IF(G3027&lt;EDATE(Assumptions!$C$6,-12)+1,"prior_12m","last_12m")</f>
        <v/>
      </c>
      <c r="AG3027" s="21">
        <f>DATE(YEAR(G3027),MONTH(G3027),1)</f>
        <v/>
      </c>
    </row>
    <row r="3028">
      <c r="A3028" t="inlineStr">
        <is>
          <t>SPO-01622-1</t>
        </is>
      </c>
      <c r="B3028" t="inlineStr">
        <is>
          <t>SPO-01622</t>
        </is>
      </c>
      <c r="C3028" t="inlineStr">
        <is>
          <t>SUP-06</t>
        </is>
      </c>
      <c r="D3028" t="inlineStr">
        <is>
          <t>MRO</t>
        </is>
      </c>
      <c r="E3028" t="inlineStr">
        <is>
          <t>MRO-08</t>
        </is>
      </c>
      <c r="F3028" s="17" t="n">
        <v>46018</v>
      </c>
      <c r="G3028" s="17" t="n">
        <v>46026</v>
      </c>
      <c r="H3028" s="18" t="n">
        <v>267</v>
      </c>
      <c r="I3028" s="19" t="n">
        <v>7.31</v>
      </c>
      <c r="J3028" s="19" t="n">
        <v>7.2</v>
      </c>
      <c r="K3028" s="20" t="n">
        <v>0</v>
      </c>
      <c r="L3028" s="20" t="n">
        <v>0</v>
      </c>
      <c r="M3028" s="18" t="n">
        <v>267</v>
      </c>
      <c r="N3028" s="18" t="n">
        <v>267</v>
      </c>
      <c r="O3028" s="18" t="n">
        <v>0</v>
      </c>
      <c r="P3028" s="17" t="n">
        <v>46023</v>
      </c>
      <c r="Q3028" s="17" t="n">
        <v>46023</v>
      </c>
      <c r="R3028" s="17" t="n">
        <v>46023</v>
      </c>
      <c r="S3028" s="19">
        <f>H3028*I3028</f>
        <v/>
      </c>
      <c r="T3028" s="19">
        <f>H3028*J3028</f>
        <v/>
      </c>
      <c r="U3028">
        <f>IF(AND(K3028=0,G3028&lt;=Assumptions!$C$6),1,0)</f>
        <v/>
      </c>
      <c r="V3028">
        <f>IF(U3028=1,IF(M3028&gt;0,IF(P3028&lt;=G3028+Assumptions!$C$7,1,0),0),0)</f>
        <v/>
      </c>
      <c r="W3028">
        <f>IF(AND(U3028=1,M3028&gt;=H3028*(1-Assumptions!$C$8)),1,0)</f>
        <v/>
      </c>
      <c r="X3028">
        <f>IF(AND(U3028=1,N3028&gt;=H3028*(1-Assumptions!$C$8)),1,0)</f>
        <v/>
      </c>
      <c r="Y3028">
        <f>IF(ISNUMBER(Q3028),1,0)</f>
        <v/>
      </c>
      <c r="Z3028">
        <f>IF(AND(K3028=0,L3028=0,Y3028=0),1,0)</f>
        <v/>
      </c>
      <c r="AA3028">
        <f>IF(AND(Z3028=1,G3028&lt;Assumptions!$C$6),1,0)</f>
        <v/>
      </c>
      <c r="AB3028">
        <f>IF(U3028=0,"",IF(Y3028=1,MAX(0,Q3028-G3028),IF(L3028=1,MAX(0,R3028-G3028),MAX(0,Assumptions!$C$6-G3028))))</f>
        <v/>
      </c>
      <c r="AC3028">
        <f>IF(Y3028=1,Q3028-F3028,"")</f>
        <v/>
      </c>
      <c r="AD3028">
        <f>IF(Y3028=1,AC3028^2,"")</f>
        <v/>
      </c>
      <c r="AE3028" s="19">
        <f>IF(Z3028=1,(H3028-M3028)*I3028,0)</f>
        <v/>
      </c>
      <c r="AF3028">
        <f>IF(G3028&lt;EDATE(Assumptions!$C$6,-12)+1,"prior_12m","last_12m")</f>
        <v/>
      </c>
      <c r="AG3028" s="21">
        <f>DATE(YEAR(G3028),MONTH(G3028),1)</f>
        <v/>
      </c>
    </row>
    <row r="3029">
      <c r="A3029" t="inlineStr">
        <is>
          <t>SPO-01623-1</t>
        </is>
      </c>
      <c r="B3029" t="inlineStr">
        <is>
          <t>SPO-01623</t>
        </is>
      </c>
      <c r="C3029" t="inlineStr">
        <is>
          <t>SUP-06</t>
        </is>
      </c>
      <c r="D3029" t="inlineStr">
        <is>
          <t>MRO</t>
        </is>
      </c>
      <c r="E3029" t="inlineStr">
        <is>
          <t>MRO-06</t>
        </is>
      </c>
      <c r="F3029" s="17" t="n">
        <v>46018</v>
      </c>
      <c r="G3029" s="17" t="n">
        <v>46026</v>
      </c>
      <c r="H3029" s="18" t="n">
        <v>354</v>
      </c>
      <c r="I3029" s="19" t="n">
        <v>6.07</v>
      </c>
      <c r="J3029" s="19" t="n">
        <v>6.1</v>
      </c>
      <c r="K3029" s="20" t="n">
        <v>1</v>
      </c>
      <c r="L3029" s="20" t="n">
        <v>0</v>
      </c>
      <c r="M3029" s="18" t="n">
        <v>0</v>
      </c>
      <c r="N3029" s="18" t="n">
        <v>0</v>
      </c>
      <c r="O3029" s="18" t="n">
        <v>0</v>
      </c>
      <c r="P3029" s="17" t="n"/>
      <c r="Q3029" s="17" t="n"/>
      <c r="R3029" s="17" t="n"/>
      <c r="S3029" s="19">
        <f>H3029*I3029</f>
        <v/>
      </c>
      <c r="T3029" s="19">
        <f>H3029*J3029</f>
        <v/>
      </c>
      <c r="U3029">
        <f>IF(AND(K3029=0,G3029&lt;=Assumptions!$C$6),1,0)</f>
        <v/>
      </c>
      <c r="V3029">
        <f>IF(U3029=1,IF(M3029&gt;0,IF(P3029&lt;=G3029+Assumptions!$C$7,1,0),0),0)</f>
        <v/>
      </c>
      <c r="W3029">
        <f>IF(AND(U3029=1,M3029&gt;=H3029*(1-Assumptions!$C$8)),1,0)</f>
        <v/>
      </c>
      <c r="X3029">
        <f>IF(AND(U3029=1,N3029&gt;=H3029*(1-Assumptions!$C$8)),1,0)</f>
        <v/>
      </c>
      <c r="Y3029">
        <f>IF(ISNUMBER(Q3029),1,0)</f>
        <v/>
      </c>
      <c r="Z3029">
        <f>IF(AND(K3029=0,L3029=0,Y3029=0),1,0)</f>
        <v/>
      </c>
      <c r="AA3029">
        <f>IF(AND(Z3029=1,G3029&lt;Assumptions!$C$6),1,0)</f>
        <v/>
      </c>
      <c r="AB3029">
        <f>IF(U3029=0,"",IF(Y3029=1,MAX(0,Q3029-G3029),IF(L3029=1,MAX(0,R3029-G3029),MAX(0,Assumptions!$C$6-G3029))))</f>
        <v/>
      </c>
      <c r="AC3029">
        <f>IF(Y3029=1,Q3029-F3029,"")</f>
        <v/>
      </c>
      <c r="AD3029">
        <f>IF(Y3029=1,AC3029^2,"")</f>
        <v/>
      </c>
      <c r="AE3029" s="19">
        <f>IF(Z3029=1,(H3029-M3029)*I3029,0)</f>
        <v/>
      </c>
      <c r="AF3029">
        <f>IF(G3029&lt;EDATE(Assumptions!$C$6,-12)+1,"prior_12m","last_12m")</f>
        <v/>
      </c>
      <c r="AG3029" s="21">
        <f>DATE(YEAR(G3029),MONTH(G3029),1)</f>
        <v/>
      </c>
    </row>
    <row r="3030">
      <c r="A3030" t="inlineStr">
        <is>
          <t>SPO-01623-2</t>
        </is>
      </c>
      <c r="B3030" t="inlineStr">
        <is>
          <t>SPO-01623</t>
        </is>
      </c>
      <c r="C3030" t="inlineStr">
        <is>
          <t>SUP-06</t>
        </is>
      </c>
      <c r="D3030" t="inlineStr">
        <is>
          <t>MRO</t>
        </is>
      </c>
      <c r="E3030" t="inlineStr">
        <is>
          <t>MRO-01</t>
        </is>
      </c>
      <c r="F3030" s="17" t="n">
        <v>46018</v>
      </c>
      <c r="G3030" s="17" t="n">
        <v>46026</v>
      </c>
      <c r="H3030" s="18" t="n">
        <v>9</v>
      </c>
      <c r="I3030" s="19" t="n">
        <v>50.78</v>
      </c>
      <c r="J3030" s="19" t="n">
        <v>52</v>
      </c>
      <c r="K3030" s="20" t="n">
        <v>0</v>
      </c>
      <c r="L3030" s="20" t="n">
        <v>0</v>
      </c>
      <c r="M3030" s="18" t="n">
        <v>9</v>
      </c>
      <c r="N3030" s="18" t="n">
        <v>9</v>
      </c>
      <c r="O3030" s="18" t="n">
        <v>0</v>
      </c>
      <c r="P3030" s="17" t="n">
        <v>46025</v>
      </c>
      <c r="Q3030" s="17" t="n">
        <v>46025</v>
      </c>
      <c r="R3030" s="17" t="n">
        <v>46025</v>
      </c>
      <c r="S3030" s="19">
        <f>H3030*I3030</f>
        <v/>
      </c>
      <c r="T3030" s="19">
        <f>H3030*J3030</f>
        <v/>
      </c>
      <c r="U3030">
        <f>IF(AND(K3030=0,G3030&lt;=Assumptions!$C$6),1,0)</f>
        <v/>
      </c>
      <c r="V3030">
        <f>IF(U3030=1,IF(M3030&gt;0,IF(P3030&lt;=G3030+Assumptions!$C$7,1,0),0),0)</f>
        <v/>
      </c>
      <c r="W3030">
        <f>IF(AND(U3030=1,M3030&gt;=H3030*(1-Assumptions!$C$8)),1,0)</f>
        <v/>
      </c>
      <c r="X3030">
        <f>IF(AND(U3030=1,N3030&gt;=H3030*(1-Assumptions!$C$8)),1,0)</f>
        <v/>
      </c>
      <c r="Y3030">
        <f>IF(ISNUMBER(Q3030),1,0)</f>
        <v/>
      </c>
      <c r="Z3030">
        <f>IF(AND(K3030=0,L3030=0,Y3030=0),1,0)</f>
        <v/>
      </c>
      <c r="AA3030">
        <f>IF(AND(Z3030=1,G3030&lt;Assumptions!$C$6),1,0)</f>
        <v/>
      </c>
      <c r="AB3030">
        <f>IF(U3030=0,"",IF(Y3030=1,MAX(0,Q3030-G3030),IF(L3030=1,MAX(0,R3030-G3030),MAX(0,Assumptions!$C$6-G3030))))</f>
        <v/>
      </c>
      <c r="AC3030">
        <f>IF(Y3030=1,Q3030-F3030,"")</f>
        <v/>
      </c>
      <c r="AD3030">
        <f>IF(Y3030=1,AC3030^2,"")</f>
        <v/>
      </c>
      <c r="AE3030" s="19">
        <f>IF(Z3030=1,(H3030-M3030)*I3030,0)</f>
        <v/>
      </c>
      <c r="AF3030">
        <f>IF(G3030&lt;EDATE(Assumptions!$C$6,-12)+1,"prior_12m","last_12m")</f>
        <v/>
      </c>
      <c r="AG3030" s="21">
        <f>DATE(YEAR(G3030),MONTH(G3030),1)</f>
        <v/>
      </c>
    </row>
    <row r="3031">
      <c r="A3031" t="inlineStr">
        <is>
          <t>SPO-01624-1</t>
        </is>
      </c>
      <c r="B3031" t="inlineStr">
        <is>
          <t>SPO-01624</t>
        </is>
      </c>
      <c r="C3031" t="inlineStr">
        <is>
          <t>SUP-06</t>
        </is>
      </c>
      <c r="D3031" t="inlineStr">
        <is>
          <t>MRO</t>
        </is>
      </c>
      <c r="E3031" t="inlineStr">
        <is>
          <t>MRO-04</t>
        </is>
      </c>
      <c r="F3031" s="17" t="n">
        <v>46018</v>
      </c>
      <c r="G3031" s="17" t="n">
        <v>46026</v>
      </c>
      <c r="H3031" s="18" t="n">
        <v>15</v>
      </c>
      <c r="I3031" s="19" t="n">
        <v>56.27</v>
      </c>
      <c r="J3031" s="19" t="n">
        <v>58</v>
      </c>
      <c r="K3031" s="20" t="n">
        <v>0</v>
      </c>
      <c r="L3031" s="20" t="n">
        <v>0</v>
      </c>
      <c r="M3031" s="18" t="n">
        <v>15</v>
      </c>
      <c r="N3031" s="18" t="n">
        <v>15</v>
      </c>
      <c r="O3031" s="18" t="n">
        <v>0</v>
      </c>
      <c r="P3031" s="17" t="n">
        <v>46022</v>
      </c>
      <c r="Q3031" s="17" t="n">
        <v>46022</v>
      </c>
      <c r="R3031" s="17" t="n">
        <v>46022</v>
      </c>
      <c r="S3031" s="19">
        <f>H3031*I3031</f>
        <v/>
      </c>
      <c r="T3031" s="19">
        <f>H3031*J3031</f>
        <v/>
      </c>
      <c r="U3031">
        <f>IF(AND(K3031=0,G3031&lt;=Assumptions!$C$6),1,0)</f>
        <v/>
      </c>
      <c r="V3031">
        <f>IF(U3031=1,IF(M3031&gt;0,IF(P3031&lt;=G3031+Assumptions!$C$7,1,0),0),0)</f>
        <v/>
      </c>
      <c r="W3031">
        <f>IF(AND(U3031=1,M3031&gt;=H3031*(1-Assumptions!$C$8)),1,0)</f>
        <v/>
      </c>
      <c r="X3031">
        <f>IF(AND(U3031=1,N3031&gt;=H3031*(1-Assumptions!$C$8)),1,0)</f>
        <v/>
      </c>
      <c r="Y3031">
        <f>IF(ISNUMBER(Q3031),1,0)</f>
        <v/>
      </c>
      <c r="Z3031">
        <f>IF(AND(K3031=0,L3031=0,Y3031=0),1,0)</f>
        <v/>
      </c>
      <c r="AA3031">
        <f>IF(AND(Z3031=1,G3031&lt;Assumptions!$C$6),1,0)</f>
        <v/>
      </c>
      <c r="AB3031">
        <f>IF(U3031=0,"",IF(Y3031=1,MAX(0,Q3031-G3031),IF(L3031=1,MAX(0,R3031-G3031),MAX(0,Assumptions!$C$6-G3031))))</f>
        <v/>
      </c>
      <c r="AC3031">
        <f>IF(Y3031=1,Q3031-F3031,"")</f>
        <v/>
      </c>
      <c r="AD3031">
        <f>IF(Y3031=1,AC3031^2,"")</f>
        <v/>
      </c>
      <c r="AE3031" s="19">
        <f>IF(Z3031=1,(H3031-M3031)*I3031,0)</f>
        <v/>
      </c>
      <c r="AF3031">
        <f>IF(G3031&lt;EDATE(Assumptions!$C$6,-12)+1,"prior_12m","last_12m")</f>
        <v/>
      </c>
      <c r="AG3031" s="21">
        <f>DATE(YEAR(G3031),MONTH(G3031),1)</f>
        <v/>
      </c>
    </row>
    <row r="3032">
      <c r="A3032" t="inlineStr">
        <is>
          <t>SPO-01625-1</t>
        </is>
      </c>
      <c r="B3032" t="inlineStr">
        <is>
          <t>SPO-01625</t>
        </is>
      </c>
      <c r="C3032" t="inlineStr">
        <is>
          <t>SUP-02</t>
        </is>
      </c>
      <c r="D3032" t="inlineStr">
        <is>
          <t>ELEC</t>
        </is>
      </c>
      <c r="E3032" t="inlineStr">
        <is>
          <t>ELEC-05</t>
        </is>
      </c>
      <c r="F3032" s="17" t="n">
        <v>46019</v>
      </c>
      <c r="G3032" s="17" t="n">
        <v>46035</v>
      </c>
      <c r="H3032" s="18" t="n">
        <v>131</v>
      </c>
      <c r="I3032" s="19" t="n">
        <v>11.68</v>
      </c>
      <c r="J3032" s="19" t="n">
        <v>11.5</v>
      </c>
      <c r="K3032" s="20" t="n">
        <v>0</v>
      </c>
      <c r="L3032" s="20" t="n">
        <v>0</v>
      </c>
      <c r="M3032" s="18" t="n">
        <v>131</v>
      </c>
      <c r="N3032" s="18" t="n">
        <v>131</v>
      </c>
      <c r="O3032" s="18" t="n">
        <v>0</v>
      </c>
      <c r="P3032" s="17" t="n">
        <v>46031</v>
      </c>
      <c r="Q3032" s="17" t="n">
        <v>46031</v>
      </c>
      <c r="R3032" s="17" t="n">
        <v>46031</v>
      </c>
      <c r="S3032" s="19">
        <f>H3032*I3032</f>
        <v/>
      </c>
      <c r="T3032" s="19">
        <f>H3032*J3032</f>
        <v/>
      </c>
      <c r="U3032">
        <f>IF(AND(K3032=0,G3032&lt;=Assumptions!$C$6),1,0)</f>
        <v/>
      </c>
      <c r="V3032">
        <f>IF(U3032=1,IF(M3032&gt;0,IF(P3032&lt;=G3032+Assumptions!$C$7,1,0),0),0)</f>
        <v/>
      </c>
      <c r="W3032">
        <f>IF(AND(U3032=1,M3032&gt;=H3032*(1-Assumptions!$C$8)),1,0)</f>
        <v/>
      </c>
      <c r="X3032">
        <f>IF(AND(U3032=1,N3032&gt;=H3032*(1-Assumptions!$C$8)),1,0)</f>
        <v/>
      </c>
      <c r="Y3032">
        <f>IF(ISNUMBER(Q3032),1,0)</f>
        <v/>
      </c>
      <c r="Z3032">
        <f>IF(AND(K3032=0,L3032=0,Y3032=0),1,0)</f>
        <v/>
      </c>
      <c r="AA3032">
        <f>IF(AND(Z3032=1,G3032&lt;Assumptions!$C$6),1,0)</f>
        <v/>
      </c>
      <c r="AB3032">
        <f>IF(U3032=0,"",IF(Y3032=1,MAX(0,Q3032-G3032),IF(L3032=1,MAX(0,R3032-G3032),MAX(0,Assumptions!$C$6-G3032))))</f>
        <v/>
      </c>
      <c r="AC3032">
        <f>IF(Y3032=1,Q3032-F3032,"")</f>
        <v/>
      </c>
      <c r="AD3032">
        <f>IF(Y3032=1,AC3032^2,"")</f>
        <v/>
      </c>
      <c r="AE3032" s="19">
        <f>IF(Z3032=1,(H3032-M3032)*I3032,0)</f>
        <v/>
      </c>
      <c r="AF3032">
        <f>IF(G3032&lt;EDATE(Assumptions!$C$6,-12)+1,"prior_12m","last_12m")</f>
        <v/>
      </c>
      <c r="AG3032" s="21">
        <f>DATE(YEAR(G3032),MONTH(G3032),1)</f>
        <v/>
      </c>
    </row>
    <row r="3033">
      <c r="A3033" t="inlineStr">
        <is>
          <t>SPO-01625-2</t>
        </is>
      </c>
      <c r="B3033" t="inlineStr">
        <is>
          <t>SPO-01625</t>
        </is>
      </c>
      <c r="C3033" t="inlineStr">
        <is>
          <t>SUP-02</t>
        </is>
      </c>
      <c r="D3033" t="inlineStr">
        <is>
          <t>ELEC</t>
        </is>
      </c>
      <c r="E3033" t="inlineStr">
        <is>
          <t>ELEC-08</t>
        </is>
      </c>
      <c r="F3033" s="17" t="n">
        <v>46019</v>
      </c>
      <c r="G3033" s="17" t="n">
        <v>46035</v>
      </c>
      <c r="H3033" s="18" t="n">
        <v>121</v>
      </c>
      <c r="I3033" s="19" t="n">
        <v>18.28</v>
      </c>
      <c r="J3033" s="19" t="n">
        <v>18</v>
      </c>
      <c r="K3033" s="20" t="n">
        <v>0</v>
      </c>
      <c r="L3033" s="20" t="n">
        <v>0</v>
      </c>
      <c r="M3033" s="18" t="n">
        <v>121</v>
      </c>
      <c r="N3033" s="18" t="n">
        <v>121</v>
      </c>
      <c r="O3033" s="18" t="n">
        <v>0</v>
      </c>
      <c r="P3033" s="17" t="n">
        <v>46031</v>
      </c>
      <c r="Q3033" s="17" t="n">
        <v>46031</v>
      </c>
      <c r="R3033" s="17" t="n">
        <v>46031</v>
      </c>
      <c r="S3033" s="19">
        <f>H3033*I3033</f>
        <v/>
      </c>
      <c r="T3033" s="19">
        <f>H3033*J3033</f>
        <v/>
      </c>
      <c r="U3033">
        <f>IF(AND(K3033=0,G3033&lt;=Assumptions!$C$6),1,0)</f>
        <v/>
      </c>
      <c r="V3033">
        <f>IF(U3033=1,IF(M3033&gt;0,IF(P3033&lt;=G3033+Assumptions!$C$7,1,0),0),0)</f>
        <v/>
      </c>
      <c r="W3033">
        <f>IF(AND(U3033=1,M3033&gt;=H3033*(1-Assumptions!$C$8)),1,0)</f>
        <v/>
      </c>
      <c r="X3033">
        <f>IF(AND(U3033=1,N3033&gt;=H3033*(1-Assumptions!$C$8)),1,0)</f>
        <v/>
      </c>
      <c r="Y3033">
        <f>IF(ISNUMBER(Q3033),1,0)</f>
        <v/>
      </c>
      <c r="Z3033">
        <f>IF(AND(K3033=0,L3033=0,Y3033=0),1,0)</f>
        <v/>
      </c>
      <c r="AA3033">
        <f>IF(AND(Z3033=1,G3033&lt;Assumptions!$C$6),1,0)</f>
        <v/>
      </c>
      <c r="AB3033">
        <f>IF(U3033=0,"",IF(Y3033=1,MAX(0,Q3033-G3033),IF(L3033=1,MAX(0,R3033-G3033),MAX(0,Assumptions!$C$6-G3033))))</f>
        <v/>
      </c>
      <c r="AC3033">
        <f>IF(Y3033=1,Q3033-F3033,"")</f>
        <v/>
      </c>
      <c r="AD3033">
        <f>IF(Y3033=1,AC3033^2,"")</f>
        <v/>
      </c>
      <c r="AE3033" s="19">
        <f>IF(Z3033=1,(H3033-M3033)*I3033,0)</f>
        <v/>
      </c>
      <c r="AF3033">
        <f>IF(G3033&lt;EDATE(Assumptions!$C$6,-12)+1,"prior_12m","last_12m")</f>
        <v/>
      </c>
      <c r="AG3033" s="21">
        <f>DATE(YEAR(G3033),MONTH(G3033),1)</f>
        <v/>
      </c>
    </row>
    <row r="3034">
      <c r="A3034" t="inlineStr">
        <is>
          <t>SPO-01625-3</t>
        </is>
      </c>
      <c r="B3034" t="inlineStr">
        <is>
          <t>SPO-01625</t>
        </is>
      </c>
      <c r="C3034" t="inlineStr">
        <is>
          <t>SUP-02</t>
        </is>
      </c>
      <c r="D3034" t="inlineStr">
        <is>
          <t>ELEC</t>
        </is>
      </c>
      <c r="E3034" t="inlineStr">
        <is>
          <t>ELEC-01</t>
        </is>
      </c>
      <c r="F3034" s="17" t="n">
        <v>46019</v>
      </c>
      <c r="G3034" s="17" t="n">
        <v>46035</v>
      </c>
      <c r="H3034" s="18" t="n">
        <v>37</v>
      </c>
      <c r="I3034" s="19" t="n">
        <v>39.33</v>
      </c>
      <c r="J3034" s="19" t="n">
        <v>38</v>
      </c>
      <c r="K3034" s="20" t="n">
        <v>0</v>
      </c>
      <c r="L3034" s="20" t="n">
        <v>0</v>
      </c>
      <c r="M3034" s="18" t="n">
        <v>37</v>
      </c>
      <c r="N3034" s="18" t="n">
        <v>37</v>
      </c>
      <c r="O3034" s="18" t="n">
        <v>0</v>
      </c>
      <c r="P3034" s="17" t="n">
        <v>46032</v>
      </c>
      <c r="Q3034" s="17" t="n">
        <v>46032</v>
      </c>
      <c r="R3034" s="17" t="n">
        <v>46032</v>
      </c>
      <c r="S3034" s="19">
        <f>H3034*I3034</f>
        <v/>
      </c>
      <c r="T3034" s="19">
        <f>H3034*J3034</f>
        <v/>
      </c>
      <c r="U3034">
        <f>IF(AND(K3034=0,G3034&lt;=Assumptions!$C$6),1,0)</f>
        <v/>
      </c>
      <c r="V3034">
        <f>IF(U3034=1,IF(M3034&gt;0,IF(P3034&lt;=G3034+Assumptions!$C$7,1,0),0),0)</f>
        <v/>
      </c>
      <c r="W3034">
        <f>IF(AND(U3034=1,M3034&gt;=H3034*(1-Assumptions!$C$8)),1,0)</f>
        <v/>
      </c>
      <c r="X3034">
        <f>IF(AND(U3034=1,N3034&gt;=H3034*(1-Assumptions!$C$8)),1,0)</f>
        <v/>
      </c>
      <c r="Y3034">
        <f>IF(ISNUMBER(Q3034),1,0)</f>
        <v/>
      </c>
      <c r="Z3034">
        <f>IF(AND(K3034=0,L3034=0,Y3034=0),1,0)</f>
        <v/>
      </c>
      <c r="AA3034">
        <f>IF(AND(Z3034=1,G3034&lt;Assumptions!$C$6),1,0)</f>
        <v/>
      </c>
      <c r="AB3034">
        <f>IF(U3034=0,"",IF(Y3034=1,MAX(0,Q3034-G3034),IF(L3034=1,MAX(0,R3034-G3034),MAX(0,Assumptions!$C$6-G3034))))</f>
        <v/>
      </c>
      <c r="AC3034">
        <f>IF(Y3034=1,Q3034-F3034,"")</f>
        <v/>
      </c>
      <c r="AD3034">
        <f>IF(Y3034=1,AC3034^2,"")</f>
        <v/>
      </c>
      <c r="AE3034" s="19">
        <f>IF(Z3034=1,(H3034-M3034)*I3034,0)</f>
        <v/>
      </c>
      <c r="AF3034">
        <f>IF(G3034&lt;EDATE(Assumptions!$C$6,-12)+1,"prior_12m","last_12m")</f>
        <v/>
      </c>
      <c r="AG3034" s="21">
        <f>DATE(YEAR(G3034),MONTH(G3034),1)</f>
        <v/>
      </c>
    </row>
    <row r="3035">
      <c r="A3035" t="inlineStr">
        <is>
          <t>SPO-01626-1</t>
        </is>
      </c>
      <c r="B3035" t="inlineStr">
        <is>
          <t>SPO-01626</t>
        </is>
      </c>
      <c r="C3035" t="inlineStr">
        <is>
          <t>SUP-04</t>
        </is>
      </c>
      <c r="D3035" t="inlineStr">
        <is>
          <t>FLEET</t>
        </is>
      </c>
      <c r="E3035" t="inlineStr">
        <is>
          <t>FLEET-08</t>
        </is>
      </c>
      <c r="F3035" s="17" t="n">
        <v>46019</v>
      </c>
      <c r="G3035" s="17" t="n">
        <v>46032</v>
      </c>
      <c r="H3035" s="18" t="n">
        <v>190</v>
      </c>
      <c r="I3035" s="19" t="n">
        <v>6.33</v>
      </c>
      <c r="J3035" s="19" t="n">
        <v>6.4</v>
      </c>
      <c r="K3035" s="20" t="n">
        <v>0</v>
      </c>
      <c r="L3035" s="20" t="n">
        <v>0</v>
      </c>
      <c r="M3035" s="18" t="n">
        <v>190</v>
      </c>
      <c r="N3035" s="18" t="n">
        <v>0</v>
      </c>
      <c r="O3035" s="18" t="n">
        <v>0</v>
      </c>
      <c r="P3035" s="17" t="n">
        <v>46033</v>
      </c>
      <c r="Q3035" s="17" t="n">
        <v>46033</v>
      </c>
      <c r="R3035" s="17" t="n">
        <v>46033</v>
      </c>
      <c r="S3035" s="19">
        <f>H3035*I3035</f>
        <v/>
      </c>
      <c r="T3035" s="19">
        <f>H3035*J3035</f>
        <v/>
      </c>
      <c r="U3035">
        <f>IF(AND(K3035=0,G3035&lt;=Assumptions!$C$6),1,0)</f>
        <v/>
      </c>
      <c r="V3035">
        <f>IF(U3035=1,IF(M3035&gt;0,IF(P3035&lt;=G3035+Assumptions!$C$7,1,0),0),0)</f>
        <v/>
      </c>
      <c r="W3035">
        <f>IF(AND(U3035=1,M3035&gt;=H3035*(1-Assumptions!$C$8)),1,0)</f>
        <v/>
      </c>
      <c r="X3035">
        <f>IF(AND(U3035=1,N3035&gt;=H3035*(1-Assumptions!$C$8)),1,0)</f>
        <v/>
      </c>
      <c r="Y3035">
        <f>IF(ISNUMBER(Q3035),1,0)</f>
        <v/>
      </c>
      <c r="Z3035">
        <f>IF(AND(K3035=0,L3035=0,Y3035=0),1,0)</f>
        <v/>
      </c>
      <c r="AA3035">
        <f>IF(AND(Z3035=1,G3035&lt;Assumptions!$C$6),1,0)</f>
        <v/>
      </c>
      <c r="AB3035">
        <f>IF(U3035=0,"",IF(Y3035=1,MAX(0,Q3035-G3035),IF(L3035=1,MAX(0,R3035-G3035),MAX(0,Assumptions!$C$6-G3035))))</f>
        <v/>
      </c>
      <c r="AC3035">
        <f>IF(Y3035=1,Q3035-F3035,"")</f>
        <v/>
      </c>
      <c r="AD3035">
        <f>IF(Y3035=1,AC3035^2,"")</f>
        <v/>
      </c>
      <c r="AE3035" s="19">
        <f>IF(Z3035=1,(H3035-M3035)*I3035,0)</f>
        <v/>
      </c>
      <c r="AF3035">
        <f>IF(G3035&lt;EDATE(Assumptions!$C$6,-12)+1,"prior_12m","last_12m")</f>
        <v/>
      </c>
      <c r="AG3035" s="21">
        <f>DATE(YEAR(G3035),MONTH(G3035),1)</f>
        <v/>
      </c>
    </row>
    <row r="3036">
      <c r="A3036" t="inlineStr">
        <is>
          <t>SPO-01626-2</t>
        </is>
      </c>
      <c r="B3036" t="inlineStr">
        <is>
          <t>SPO-01626</t>
        </is>
      </c>
      <c r="C3036" t="inlineStr">
        <is>
          <t>SUP-04</t>
        </is>
      </c>
      <c r="D3036" t="inlineStr">
        <is>
          <t>FLEET</t>
        </is>
      </c>
      <c r="E3036" t="inlineStr">
        <is>
          <t>FLEET-05</t>
        </is>
      </c>
      <c r="F3036" s="17" t="n">
        <v>46019</v>
      </c>
      <c r="G3036" s="17" t="n">
        <v>46032</v>
      </c>
      <c r="H3036" s="18" t="n">
        <v>12</v>
      </c>
      <c r="I3036" s="19" t="n">
        <v>164.59</v>
      </c>
      <c r="J3036" s="19" t="n">
        <v>168</v>
      </c>
      <c r="K3036" s="20" t="n">
        <v>0</v>
      </c>
      <c r="L3036" s="20" t="n">
        <v>0</v>
      </c>
      <c r="M3036" s="18" t="n">
        <v>12</v>
      </c>
      <c r="N3036" s="18" t="n">
        <v>0</v>
      </c>
      <c r="O3036" s="18" t="n">
        <v>0</v>
      </c>
      <c r="P3036" s="17" t="n">
        <v>46042</v>
      </c>
      <c r="Q3036" s="17" t="n">
        <v>46042</v>
      </c>
      <c r="R3036" s="17" t="n">
        <v>46042</v>
      </c>
      <c r="S3036" s="19">
        <f>H3036*I3036</f>
        <v/>
      </c>
      <c r="T3036" s="19">
        <f>H3036*J3036</f>
        <v/>
      </c>
      <c r="U3036">
        <f>IF(AND(K3036=0,G3036&lt;=Assumptions!$C$6),1,0)</f>
        <v/>
      </c>
      <c r="V3036">
        <f>IF(U3036=1,IF(M3036&gt;0,IF(P3036&lt;=G3036+Assumptions!$C$7,1,0),0),0)</f>
        <v/>
      </c>
      <c r="W3036">
        <f>IF(AND(U3036=1,M3036&gt;=H3036*(1-Assumptions!$C$8)),1,0)</f>
        <v/>
      </c>
      <c r="X3036">
        <f>IF(AND(U3036=1,N3036&gt;=H3036*(1-Assumptions!$C$8)),1,0)</f>
        <v/>
      </c>
      <c r="Y3036">
        <f>IF(ISNUMBER(Q3036),1,0)</f>
        <v/>
      </c>
      <c r="Z3036">
        <f>IF(AND(K3036=0,L3036=0,Y3036=0),1,0)</f>
        <v/>
      </c>
      <c r="AA3036">
        <f>IF(AND(Z3036=1,G3036&lt;Assumptions!$C$6),1,0)</f>
        <v/>
      </c>
      <c r="AB3036">
        <f>IF(U3036=0,"",IF(Y3036=1,MAX(0,Q3036-G3036),IF(L3036=1,MAX(0,R3036-G3036),MAX(0,Assumptions!$C$6-G3036))))</f>
        <v/>
      </c>
      <c r="AC3036">
        <f>IF(Y3036=1,Q3036-F3036,"")</f>
        <v/>
      </c>
      <c r="AD3036">
        <f>IF(Y3036=1,AC3036^2,"")</f>
        <v/>
      </c>
      <c r="AE3036" s="19">
        <f>IF(Z3036=1,(H3036-M3036)*I3036,0)</f>
        <v/>
      </c>
      <c r="AF3036">
        <f>IF(G3036&lt;EDATE(Assumptions!$C$6,-12)+1,"prior_12m","last_12m")</f>
        <v/>
      </c>
      <c r="AG3036" s="21">
        <f>DATE(YEAR(G3036),MONTH(G3036),1)</f>
        <v/>
      </c>
    </row>
    <row r="3037">
      <c r="A3037" t="inlineStr">
        <is>
          <t>SPO-01626-3</t>
        </is>
      </c>
      <c r="B3037" t="inlineStr">
        <is>
          <t>SPO-01626</t>
        </is>
      </c>
      <c r="C3037" t="inlineStr">
        <is>
          <t>SUP-04</t>
        </is>
      </c>
      <c r="D3037" t="inlineStr">
        <is>
          <t>FLEET</t>
        </is>
      </c>
      <c r="E3037" t="inlineStr">
        <is>
          <t>FLEET-04</t>
        </is>
      </c>
      <c r="F3037" s="17" t="n">
        <v>46019</v>
      </c>
      <c r="G3037" s="17" t="n">
        <v>46032</v>
      </c>
      <c r="H3037" s="18" t="n">
        <v>109</v>
      </c>
      <c r="I3037" s="19" t="n">
        <v>9.17</v>
      </c>
      <c r="J3037" s="19" t="n">
        <v>9</v>
      </c>
      <c r="K3037" s="20" t="n">
        <v>0</v>
      </c>
      <c r="L3037" s="20" t="n">
        <v>0</v>
      </c>
      <c r="M3037" s="18" t="n">
        <v>109</v>
      </c>
      <c r="N3037" s="18" t="n">
        <v>109</v>
      </c>
      <c r="O3037" s="18" t="n">
        <v>0</v>
      </c>
      <c r="P3037" s="17" t="n">
        <v>46029</v>
      </c>
      <c r="Q3037" s="17" t="n">
        <v>46029</v>
      </c>
      <c r="R3037" s="17" t="n">
        <v>46029</v>
      </c>
      <c r="S3037" s="19">
        <f>H3037*I3037</f>
        <v/>
      </c>
      <c r="T3037" s="19">
        <f>H3037*J3037</f>
        <v/>
      </c>
      <c r="U3037">
        <f>IF(AND(K3037=0,G3037&lt;=Assumptions!$C$6),1,0)</f>
        <v/>
      </c>
      <c r="V3037">
        <f>IF(U3037=1,IF(M3037&gt;0,IF(P3037&lt;=G3037+Assumptions!$C$7,1,0),0),0)</f>
        <v/>
      </c>
      <c r="W3037">
        <f>IF(AND(U3037=1,M3037&gt;=H3037*(1-Assumptions!$C$8)),1,0)</f>
        <v/>
      </c>
      <c r="X3037">
        <f>IF(AND(U3037=1,N3037&gt;=H3037*(1-Assumptions!$C$8)),1,0)</f>
        <v/>
      </c>
      <c r="Y3037">
        <f>IF(ISNUMBER(Q3037),1,0)</f>
        <v/>
      </c>
      <c r="Z3037">
        <f>IF(AND(K3037=0,L3037=0,Y3037=0),1,0)</f>
        <v/>
      </c>
      <c r="AA3037">
        <f>IF(AND(Z3037=1,G3037&lt;Assumptions!$C$6),1,0)</f>
        <v/>
      </c>
      <c r="AB3037">
        <f>IF(U3037=0,"",IF(Y3037=1,MAX(0,Q3037-G3037),IF(L3037=1,MAX(0,R3037-G3037),MAX(0,Assumptions!$C$6-G3037))))</f>
        <v/>
      </c>
      <c r="AC3037">
        <f>IF(Y3037=1,Q3037-F3037,"")</f>
        <v/>
      </c>
      <c r="AD3037">
        <f>IF(Y3037=1,AC3037^2,"")</f>
        <v/>
      </c>
      <c r="AE3037" s="19">
        <f>IF(Z3037=1,(H3037-M3037)*I3037,0)</f>
        <v/>
      </c>
      <c r="AF3037">
        <f>IF(G3037&lt;EDATE(Assumptions!$C$6,-12)+1,"prior_12m","last_12m")</f>
        <v/>
      </c>
      <c r="AG3037" s="21">
        <f>DATE(YEAR(G3037),MONTH(G3037),1)</f>
        <v/>
      </c>
    </row>
    <row r="3038">
      <c r="A3038" t="inlineStr">
        <is>
          <t>SPO-01627-1</t>
        </is>
      </c>
      <c r="B3038" t="inlineStr">
        <is>
          <t>SPO-01627</t>
        </is>
      </c>
      <c r="C3038" t="inlineStr">
        <is>
          <t>SUP-06</t>
        </is>
      </c>
      <c r="D3038" t="inlineStr">
        <is>
          <t>MRO</t>
        </is>
      </c>
      <c r="E3038" t="inlineStr">
        <is>
          <t>MRO-05</t>
        </is>
      </c>
      <c r="F3038" s="17" t="n">
        <v>46019</v>
      </c>
      <c r="G3038" s="17" t="n">
        <v>46027</v>
      </c>
      <c r="H3038" s="18" t="n">
        <v>259</v>
      </c>
      <c r="I3038" s="19" t="n">
        <v>35.2</v>
      </c>
      <c r="J3038" s="19" t="n">
        <v>36</v>
      </c>
      <c r="K3038" s="20" t="n">
        <v>0</v>
      </c>
      <c r="L3038" s="20" t="n">
        <v>0</v>
      </c>
      <c r="M3038" s="18" t="n">
        <v>259</v>
      </c>
      <c r="N3038" s="18" t="n">
        <v>259</v>
      </c>
      <c r="O3038" s="18" t="n">
        <v>0</v>
      </c>
      <c r="P3038" s="17" t="n">
        <v>46026</v>
      </c>
      <c r="Q3038" s="17" t="n">
        <v>46026</v>
      </c>
      <c r="R3038" s="17" t="n">
        <v>46026</v>
      </c>
      <c r="S3038" s="19">
        <f>H3038*I3038</f>
        <v/>
      </c>
      <c r="T3038" s="19">
        <f>H3038*J3038</f>
        <v/>
      </c>
      <c r="U3038">
        <f>IF(AND(K3038=0,G3038&lt;=Assumptions!$C$6),1,0)</f>
        <v/>
      </c>
      <c r="V3038">
        <f>IF(U3038=1,IF(M3038&gt;0,IF(P3038&lt;=G3038+Assumptions!$C$7,1,0),0),0)</f>
        <v/>
      </c>
      <c r="W3038">
        <f>IF(AND(U3038=1,M3038&gt;=H3038*(1-Assumptions!$C$8)),1,0)</f>
        <v/>
      </c>
      <c r="X3038">
        <f>IF(AND(U3038=1,N3038&gt;=H3038*(1-Assumptions!$C$8)),1,0)</f>
        <v/>
      </c>
      <c r="Y3038">
        <f>IF(ISNUMBER(Q3038),1,0)</f>
        <v/>
      </c>
      <c r="Z3038">
        <f>IF(AND(K3038=0,L3038=0,Y3038=0),1,0)</f>
        <v/>
      </c>
      <c r="AA3038">
        <f>IF(AND(Z3038=1,G3038&lt;Assumptions!$C$6),1,0)</f>
        <v/>
      </c>
      <c r="AB3038">
        <f>IF(U3038=0,"",IF(Y3038=1,MAX(0,Q3038-G3038),IF(L3038=1,MAX(0,R3038-G3038),MAX(0,Assumptions!$C$6-G3038))))</f>
        <v/>
      </c>
      <c r="AC3038">
        <f>IF(Y3038=1,Q3038-F3038,"")</f>
        <v/>
      </c>
      <c r="AD3038">
        <f>IF(Y3038=1,AC3038^2,"")</f>
        <v/>
      </c>
      <c r="AE3038" s="19">
        <f>IF(Z3038=1,(H3038-M3038)*I3038,0)</f>
        <v/>
      </c>
      <c r="AF3038">
        <f>IF(G3038&lt;EDATE(Assumptions!$C$6,-12)+1,"prior_12m","last_12m")</f>
        <v/>
      </c>
      <c r="AG3038" s="21">
        <f>DATE(YEAR(G3038),MONTH(G3038),1)</f>
        <v/>
      </c>
    </row>
    <row r="3039">
      <c r="A3039" t="inlineStr">
        <is>
          <t>SPO-01627-2</t>
        </is>
      </c>
      <c r="B3039" t="inlineStr">
        <is>
          <t>SPO-01627</t>
        </is>
      </c>
      <c r="C3039" t="inlineStr">
        <is>
          <t>SUP-06</t>
        </is>
      </c>
      <c r="D3039" t="inlineStr">
        <is>
          <t>MRO</t>
        </is>
      </c>
      <c r="E3039" t="inlineStr">
        <is>
          <t>MRO-02</t>
        </is>
      </c>
      <c r="F3039" s="17" t="n">
        <v>46019</v>
      </c>
      <c r="G3039" s="17" t="n">
        <v>46027</v>
      </c>
      <c r="H3039" s="18" t="n">
        <v>17</v>
      </c>
      <c r="I3039" s="19" t="n">
        <v>41.41</v>
      </c>
      <c r="J3039" s="19" t="n">
        <v>41</v>
      </c>
      <c r="K3039" s="20" t="n">
        <v>0</v>
      </c>
      <c r="L3039" s="20" t="n">
        <v>0</v>
      </c>
      <c r="M3039" s="18" t="n">
        <v>17</v>
      </c>
      <c r="N3039" s="18" t="n">
        <v>17</v>
      </c>
      <c r="O3039" s="18" t="n">
        <v>0</v>
      </c>
      <c r="P3039" s="17" t="n">
        <v>46026</v>
      </c>
      <c r="Q3039" s="17" t="n">
        <v>46026</v>
      </c>
      <c r="R3039" s="17" t="n">
        <v>46026</v>
      </c>
      <c r="S3039" s="19">
        <f>H3039*I3039</f>
        <v/>
      </c>
      <c r="T3039" s="19">
        <f>H3039*J3039</f>
        <v/>
      </c>
      <c r="U3039">
        <f>IF(AND(K3039=0,G3039&lt;=Assumptions!$C$6),1,0)</f>
        <v/>
      </c>
      <c r="V3039">
        <f>IF(U3039=1,IF(M3039&gt;0,IF(P3039&lt;=G3039+Assumptions!$C$7,1,0),0),0)</f>
        <v/>
      </c>
      <c r="W3039">
        <f>IF(AND(U3039=1,M3039&gt;=H3039*(1-Assumptions!$C$8)),1,0)</f>
        <v/>
      </c>
      <c r="X3039">
        <f>IF(AND(U3039=1,N3039&gt;=H3039*(1-Assumptions!$C$8)),1,0)</f>
        <v/>
      </c>
      <c r="Y3039">
        <f>IF(ISNUMBER(Q3039),1,0)</f>
        <v/>
      </c>
      <c r="Z3039">
        <f>IF(AND(K3039=0,L3039=0,Y3039=0),1,0)</f>
        <v/>
      </c>
      <c r="AA3039">
        <f>IF(AND(Z3039=1,G3039&lt;Assumptions!$C$6),1,0)</f>
        <v/>
      </c>
      <c r="AB3039">
        <f>IF(U3039=0,"",IF(Y3039=1,MAX(0,Q3039-G3039),IF(L3039=1,MAX(0,R3039-G3039),MAX(0,Assumptions!$C$6-G3039))))</f>
        <v/>
      </c>
      <c r="AC3039">
        <f>IF(Y3039=1,Q3039-F3039,"")</f>
        <v/>
      </c>
      <c r="AD3039">
        <f>IF(Y3039=1,AC3039^2,"")</f>
        <v/>
      </c>
      <c r="AE3039" s="19">
        <f>IF(Z3039=1,(H3039-M3039)*I3039,0)</f>
        <v/>
      </c>
      <c r="AF3039">
        <f>IF(G3039&lt;EDATE(Assumptions!$C$6,-12)+1,"prior_12m","last_12m")</f>
        <v/>
      </c>
      <c r="AG3039" s="21">
        <f>DATE(YEAR(G3039),MONTH(G3039),1)</f>
        <v/>
      </c>
    </row>
    <row r="3040">
      <c r="A3040" t="inlineStr">
        <is>
          <t>SPO-01627-3</t>
        </is>
      </c>
      <c r="B3040" t="inlineStr">
        <is>
          <t>SPO-01627</t>
        </is>
      </c>
      <c r="C3040" t="inlineStr">
        <is>
          <t>SUP-06</t>
        </is>
      </c>
      <c r="D3040" t="inlineStr">
        <is>
          <t>MRO</t>
        </is>
      </c>
      <c r="E3040" t="inlineStr">
        <is>
          <t>MRO-01</t>
        </is>
      </c>
      <c r="F3040" s="17" t="n">
        <v>46019</v>
      </c>
      <c r="G3040" s="17" t="n">
        <v>46027</v>
      </c>
      <c r="H3040" s="18" t="n">
        <v>25</v>
      </c>
      <c r="I3040" s="19" t="n">
        <v>55.03</v>
      </c>
      <c r="J3040" s="19" t="n">
        <v>52</v>
      </c>
      <c r="K3040" s="20" t="n">
        <v>0</v>
      </c>
      <c r="L3040" s="20" t="n">
        <v>0</v>
      </c>
      <c r="M3040" s="18" t="n">
        <v>25</v>
      </c>
      <c r="N3040" s="18" t="n">
        <v>25</v>
      </c>
      <c r="O3040" s="18" t="n">
        <v>3</v>
      </c>
      <c r="P3040" s="17" t="n">
        <v>46026</v>
      </c>
      <c r="Q3040" s="17" t="n">
        <v>46026</v>
      </c>
      <c r="R3040" s="17" t="n">
        <v>46026</v>
      </c>
      <c r="S3040" s="19">
        <f>H3040*I3040</f>
        <v/>
      </c>
      <c r="T3040" s="19">
        <f>H3040*J3040</f>
        <v/>
      </c>
      <c r="U3040">
        <f>IF(AND(K3040=0,G3040&lt;=Assumptions!$C$6),1,0)</f>
        <v/>
      </c>
      <c r="V3040">
        <f>IF(U3040=1,IF(M3040&gt;0,IF(P3040&lt;=G3040+Assumptions!$C$7,1,0),0),0)</f>
        <v/>
      </c>
      <c r="W3040">
        <f>IF(AND(U3040=1,M3040&gt;=H3040*(1-Assumptions!$C$8)),1,0)</f>
        <v/>
      </c>
      <c r="X3040">
        <f>IF(AND(U3040=1,N3040&gt;=H3040*(1-Assumptions!$C$8)),1,0)</f>
        <v/>
      </c>
      <c r="Y3040">
        <f>IF(ISNUMBER(Q3040),1,0)</f>
        <v/>
      </c>
      <c r="Z3040">
        <f>IF(AND(K3040=0,L3040=0,Y3040=0),1,0)</f>
        <v/>
      </c>
      <c r="AA3040">
        <f>IF(AND(Z3040=1,G3040&lt;Assumptions!$C$6),1,0)</f>
        <v/>
      </c>
      <c r="AB3040">
        <f>IF(U3040=0,"",IF(Y3040=1,MAX(0,Q3040-G3040),IF(L3040=1,MAX(0,R3040-G3040),MAX(0,Assumptions!$C$6-G3040))))</f>
        <v/>
      </c>
      <c r="AC3040">
        <f>IF(Y3040=1,Q3040-F3040,"")</f>
        <v/>
      </c>
      <c r="AD3040">
        <f>IF(Y3040=1,AC3040^2,"")</f>
        <v/>
      </c>
      <c r="AE3040" s="19">
        <f>IF(Z3040=1,(H3040-M3040)*I3040,0)</f>
        <v/>
      </c>
      <c r="AF3040">
        <f>IF(G3040&lt;EDATE(Assumptions!$C$6,-12)+1,"prior_12m","last_12m")</f>
        <v/>
      </c>
      <c r="AG3040" s="21">
        <f>DATE(YEAR(G3040),MONTH(G3040),1)</f>
        <v/>
      </c>
    </row>
    <row r="3041">
      <c r="A3041" t="inlineStr">
        <is>
          <t>SPO-01628-1</t>
        </is>
      </c>
      <c r="B3041" t="inlineStr">
        <is>
          <t>SPO-01628</t>
        </is>
      </c>
      <c r="C3041" t="inlineStr">
        <is>
          <t>SUP-10</t>
        </is>
      </c>
      <c r="D3041" t="inlineStr">
        <is>
          <t>PPE</t>
        </is>
      </c>
      <c r="E3041" t="inlineStr">
        <is>
          <t>PPE-04</t>
        </is>
      </c>
      <c r="F3041" s="17" t="n">
        <v>46019</v>
      </c>
      <c r="G3041" s="17" t="n">
        <v>46032</v>
      </c>
      <c r="H3041" s="18" t="n">
        <v>67</v>
      </c>
      <c r="I3041" s="19" t="n">
        <v>25.98</v>
      </c>
      <c r="J3041" s="19" t="n">
        <v>26</v>
      </c>
      <c r="K3041" s="20" t="n">
        <v>0</v>
      </c>
      <c r="L3041" s="20" t="n">
        <v>0</v>
      </c>
      <c r="M3041" s="18" t="n">
        <v>67</v>
      </c>
      <c r="N3041" s="18" t="n">
        <v>0</v>
      </c>
      <c r="O3041" s="18" t="n">
        <v>0</v>
      </c>
      <c r="P3041" s="17" t="n">
        <v>46035</v>
      </c>
      <c r="Q3041" s="17" t="n">
        <v>46035</v>
      </c>
      <c r="R3041" s="17" t="n">
        <v>46035</v>
      </c>
      <c r="S3041" s="19">
        <f>H3041*I3041</f>
        <v/>
      </c>
      <c r="T3041" s="19">
        <f>H3041*J3041</f>
        <v/>
      </c>
      <c r="U3041">
        <f>IF(AND(K3041=0,G3041&lt;=Assumptions!$C$6),1,0)</f>
        <v/>
      </c>
      <c r="V3041">
        <f>IF(U3041=1,IF(M3041&gt;0,IF(P3041&lt;=G3041+Assumptions!$C$7,1,0),0),0)</f>
        <v/>
      </c>
      <c r="W3041">
        <f>IF(AND(U3041=1,M3041&gt;=H3041*(1-Assumptions!$C$8)),1,0)</f>
        <v/>
      </c>
      <c r="X3041">
        <f>IF(AND(U3041=1,N3041&gt;=H3041*(1-Assumptions!$C$8)),1,0)</f>
        <v/>
      </c>
      <c r="Y3041">
        <f>IF(ISNUMBER(Q3041),1,0)</f>
        <v/>
      </c>
      <c r="Z3041">
        <f>IF(AND(K3041=0,L3041=0,Y3041=0),1,0)</f>
        <v/>
      </c>
      <c r="AA3041">
        <f>IF(AND(Z3041=1,G3041&lt;Assumptions!$C$6),1,0)</f>
        <v/>
      </c>
      <c r="AB3041">
        <f>IF(U3041=0,"",IF(Y3041=1,MAX(0,Q3041-G3041),IF(L3041=1,MAX(0,R3041-G3041),MAX(0,Assumptions!$C$6-G3041))))</f>
        <v/>
      </c>
      <c r="AC3041">
        <f>IF(Y3041=1,Q3041-F3041,"")</f>
        <v/>
      </c>
      <c r="AD3041">
        <f>IF(Y3041=1,AC3041^2,"")</f>
        <v/>
      </c>
      <c r="AE3041" s="19">
        <f>IF(Z3041=1,(H3041-M3041)*I3041,0)</f>
        <v/>
      </c>
      <c r="AF3041">
        <f>IF(G3041&lt;EDATE(Assumptions!$C$6,-12)+1,"prior_12m","last_12m")</f>
        <v/>
      </c>
      <c r="AG3041" s="21">
        <f>DATE(YEAR(G3041),MONTH(G3041),1)</f>
        <v/>
      </c>
    </row>
    <row r="3042">
      <c r="A3042" t="inlineStr">
        <is>
          <t>SPO-01628-2</t>
        </is>
      </c>
      <c r="B3042" t="inlineStr">
        <is>
          <t>SPO-01628</t>
        </is>
      </c>
      <c r="C3042" t="inlineStr">
        <is>
          <t>SUP-10</t>
        </is>
      </c>
      <c r="D3042" t="inlineStr">
        <is>
          <t>PPE</t>
        </is>
      </c>
      <c r="E3042" t="inlineStr">
        <is>
          <t>PPE-07</t>
        </is>
      </c>
      <c r="F3042" s="17" t="n">
        <v>46019</v>
      </c>
      <c r="G3042" s="17" t="n">
        <v>46032</v>
      </c>
      <c r="H3042" s="18" t="n">
        <v>109</v>
      </c>
      <c r="I3042" s="19" t="n">
        <v>30.28</v>
      </c>
      <c r="J3042" s="19" t="n">
        <v>31</v>
      </c>
      <c r="K3042" s="20" t="n">
        <v>0</v>
      </c>
      <c r="L3042" s="20" t="n">
        <v>0</v>
      </c>
      <c r="M3042" s="18" t="n">
        <v>109</v>
      </c>
      <c r="N3042" s="18" t="n">
        <v>109</v>
      </c>
      <c r="O3042" s="18" t="n">
        <v>0</v>
      </c>
      <c r="P3042" s="17" t="n">
        <v>46031</v>
      </c>
      <c r="Q3042" s="17" t="n">
        <v>46031</v>
      </c>
      <c r="R3042" s="17" t="n">
        <v>46031</v>
      </c>
      <c r="S3042" s="19">
        <f>H3042*I3042</f>
        <v/>
      </c>
      <c r="T3042" s="19">
        <f>H3042*J3042</f>
        <v/>
      </c>
      <c r="U3042">
        <f>IF(AND(K3042=0,G3042&lt;=Assumptions!$C$6),1,0)</f>
        <v/>
      </c>
      <c r="V3042">
        <f>IF(U3042=1,IF(M3042&gt;0,IF(P3042&lt;=G3042+Assumptions!$C$7,1,0),0),0)</f>
        <v/>
      </c>
      <c r="W3042">
        <f>IF(AND(U3042=1,M3042&gt;=H3042*(1-Assumptions!$C$8)),1,0)</f>
        <v/>
      </c>
      <c r="X3042">
        <f>IF(AND(U3042=1,N3042&gt;=H3042*(1-Assumptions!$C$8)),1,0)</f>
        <v/>
      </c>
      <c r="Y3042">
        <f>IF(ISNUMBER(Q3042),1,0)</f>
        <v/>
      </c>
      <c r="Z3042">
        <f>IF(AND(K3042=0,L3042=0,Y3042=0),1,0)</f>
        <v/>
      </c>
      <c r="AA3042">
        <f>IF(AND(Z3042=1,G3042&lt;Assumptions!$C$6),1,0)</f>
        <v/>
      </c>
      <c r="AB3042">
        <f>IF(U3042=0,"",IF(Y3042=1,MAX(0,Q3042-G3042),IF(L3042=1,MAX(0,R3042-G3042),MAX(0,Assumptions!$C$6-G3042))))</f>
        <v/>
      </c>
      <c r="AC3042">
        <f>IF(Y3042=1,Q3042-F3042,"")</f>
        <v/>
      </c>
      <c r="AD3042">
        <f>IF(Y3042=1,AC3042^2,"")</f>
        <v/>
      </c>
      <c r="AE3042" s="19">
        <f>IF(Z3042=1,(H3042-M3042)*I3042,0)</f>
        <v/>
      </c>
      <c r="AF3042">
        <f>IF(G3042&lt;EDATE(Assumptions!$C$6,-12)+1,"prior_12m","last_12m")</f>
        <v/>
      </c>
      <c r="AG3042" s="21">
        <f>DATE(YEAR(G3042),MONTH(G3042),1)</f>
        <v/>
      </c>
    </row>
    <row r="3043">
      <c r="A3043" t="inlineStr">
        <is>
          <t>SPO-01629-1</t>
        </is>
      </c>
      <c r="B3043" t="inlineStr">
        <is>
          <t>SPO-01629</t>
        </is>
      </c>
      <c r="C3043" t="inlineStr">
        <is>
          <t>SUP-04</t>
        </is>
      </c>
      <c r="D3043" t="inlineStr">
        <is>
          <t>FLEET</t>
        </is>
      </c>
      <c r="E3043" t="inlineStr">
        <is>
          <t>FLEET-07</t>
        </is>
      </c>
      <c r="F3043" s="17" t="n">
        <v>46020</v>
      </c>
      <c r="G3043" s="17" t="n">
        <v>46033</v>
      </c>
      <c r="H3043" s="18" t="n">
        <v>15</v>
      </c>
      <c r="I3043" s="19" t="n">
        <v>115</v>
      </c>
      <c r="J3043" s="19" t="n">
        <v>118</v>
      </c>
      <c r="K3043" s="20" t="n">
        <v>0</v>
      </c>
      <c r="L3043" s="20" t="n">
        <v>0</v>
      </c>
      <c r="M3043" s="18" t="n">
        <v>15</v>
      </c>
      <c r="N3043" s="18" t="n">
        <v>15</v>
      </c>
      <c r="O3043" s="18" t="n">
        <v>0</v>
      </c>
      <c r="P3043" s="17" t="n">
        <v>46021</v>
      </c>
      <c r="Q3043" s="17" t="n">
        <v>46021</v>
      </c>
      <c r="R3043" s="17" t="n">
        <v>46021</v>
      </c>
      <c r="S3043" s="19">
        <f>H3043*I3043</f>
        <v/>
      </c>
      <c r="T3043" s="19">
        <f>H3043*J3043</f>
        <v/>
      </c>
      <c r="U3043">
        <f>IF(AND(K3043=0,G3043&lt;=Assumptions!$C$6),1,0)</f>
        <v/>
      </c>
      <c r="V3043">
        <f>IF(U3043=1,IF(M3043&gt;0,IF(P3043&lt;=G3043+Assumptions!$C$7,1,0),0),0)</f>
        <v/>
      </c>
      <c r="W3043">
        <f>IF(AND(U3043=1,M3043&gt;=H3043*(1-Assumptions!$C$8)),1,0)</f>
        <v/>
      </c>
      <c r="X3043">
        <f>IF(AND(U3043=1,N3043&gt;=H3043*(1-Assumptions!$C$8)),1,0)</f>
        <v/>
      </c>
      <c r="Y3043">
        <f>IF(ISNUMBER(Q3043),1,0)</f>
        <v/>
      </c>
      <c r="Z3043">
        <f>IF(AND(K3043=0,L3043=0,Y3043=0),1,0)</f>
        <v/>
      </c>
      <c r="AA3043">
        <f>IF(AND(Z3043=1,G3043&lt;Assumptions!$C$6),1,0)</f>
        <v/>
      </c>
      <c r="AB3043">
        <f>IF(U3043=0,"",IF(Y3043=1,MAX(0,Q3043-G3043),IF(L3043=1,MAX(0,R3043-G3043),MAX(0,Assumptions!$C$6-G3043))))</f>
        <v/>
      </c>
      <c r="AC3043">
        <f>IF(Y3043=1,Q3043-F3043,"")</f>
        <v/>
      </c>
      <c r="AD3043">
        <f>IF(Y3043=1,AC3043^2,"")</f>
        <v/>
      </c>
      <c r="AE3043" s="19">
        <f>IF(Z3043=1,(H3043-M3043)*I3043,0)</f>
        <v/>
      </c>
      <c r="AF3043">
        <f>IF(G3043&lt;EDATE(Assumptions!$C$6,-12)+1,"prior_12m","last_12m")</f>
        <v/>
      </c>
      <c r="AG3043" s="21">
        <f>DATE(YEAR(G3043),MONTH(G3043),1)</f>
        <v/>
      </c>
    </row>
    <row r="3044">
      <c r="A3044" t="inlineStr">
        <is>
          <t>SPO-01629-2</t>
        </is>
      </c>
      <c r="B3044" t="inlineStr">
        <is>
          <t>SPO-01629</t>
        </is>
      </c>
      <c r="C3044" t="inlineStr">
        <is>
          <t>SUP-04</t>
        </is>
      </c>
      <c r="D3044" t="inlineStr">
        <is>
          <t>FLEET</t>
        </is>
      </c>
      <c r="E3044" t="inlineStr">
        <is>
          <t>FLEET-05</t>
        </is>
      </c>
      <c r="F3044" s="17" t="n">
        <v>46020</v>
      </c>
      <c r="G3044" s="17" t="n">
        <v>46033</v>
      </c>
      <c r="H3044" s="18" t="n">
        <v>6</v>
      </c>
      <c r="I3044" s="19" t="n">
        <v>160.35</v>
      </c>
      <c r="J3044" s="19" t="n">
        <v>168</v>
      </c>
      <c r="K3044" s="20" t="n">
        <v>0</v>
      </c>
      <c r="L3044" s="20" t="n">
        <v>0</v>
      </c>
      <c r="M3044" s="18" t="n">
        <v>6</v>
      </c>
      <c r="N3044" s="18" t="n">
        <v>0</v>
      </c>
      <c r="O3044" s="18" t="n">
        <v>0</v>
      </c>
      <c r="P3044" s="17" t="n">
        <v>46036</v>
      </c>
      <c r="Q3044" s="17" t="n">
        <v>46036</v>
      </c>
      <c r="R3044" s="17" t="n">
        <v>46036</v>
      </c>
      <c r="S3044" s="19">
        <f>H3044*I3044</f>
        <v/>
      </c>
      <c r="T3044" s="19">
        <f>H3044*J3044</f>
        <v/>
      </c>
      <c r="U3044">
        <f>IF(AND(K3044=0,G3044&lt;=Assumptions!$C$6),1,0)</f>
        <v/>
      </c>
      <c r="V3044">
        <f>IF(U3044=1,IF(M3044&gt;0,IF(P3044&lt;=G3044+Assumptions!$C$7,1,0),0),0)</f>
        <v/>
      </c>
      <c r="W3044">
        <f>IF(AND(U3044=1,M3044&gt;=H3044*(1-Assumptions!$C$8)),1,0)</f>
        <v/>
      </c>
      <c r="X3044">
        <f>IF(AND(U3044=1,N3044&gt;=H3044*(1-Assumptions!$C$8)),1,0)</f>
        <v/>
      </c>
      <c r="Y3044">
        <f>IF(ISNUMBER(Q3044),1,0)</f>
        <v/>
      </c>
      <c r="Z3044">
        <f>IF(AND(K3044=0,L3044=0,Y3044=0),1,0)</f>
        <v/>
      </c>
      <c r="AA3044">
        <f>IF(AND(Z3044=1,G3044&lt;Assumptions!$C$6),1,0)</f>
        <v/>
      </c>
      <c r="AB3044">
        <f>IF(U3044=0,"",IF(Y3044=1,MAX(0,Q3044-G3044),IF(L3044=1,MAX(0,R3044-G3044),MAX(0,Assumptions!$C$6-G3044))))</f>
        <v/>
      </c>
      <c r="AC3044">
        <f>IF(Y3044=1,Q3044-F3044,"")</f>
        <v/>
      </c>
      <c r="AD3044">
        <f>IF(Y3044=1,AC3044^2,"")</f>
        <v/>
      </c>
      <c r="AE3044" s="19">
        <f>IF(Z3044=1,(H3044-M3044)*I3044,0)</f>
        <v/>
      </c>
      <c r="AF3044">
        <f>IF(G3044&lt;EDATE(Assumptions!$C$6,-12)+1,"prior_12m","last_12m")</f>
        <v/>
      </c>
      <c r="AG3044" s="21">
        <f>DATE(YEAR(G3044),MONTH(G3044),1)</f>
        <v/>
      </c>
    </row>
    <row r="3045">
      <c r="A3045" t="inlineStr">
        <is>
          <t>SPO-01629-3</t>
        </is>
      </c>
      <c r="B3045" t="inlineStr">
        <is>
          <t>SPO-01629</t>
        </is>
      </c>
      <c r="C3045" t="inlineStr">
        <is>
          <t>SUP-04</t>
        </is>
      </c>
      <c r="D3045" t="inlineStr">
        <is>
          <t>FLEET</t>
        </is>
      </c>
      <c r="E3045" t="inlineStr">
        <is>
          <t>FLEET-08</t>
        </is>
      </c>
      <c r="F3045" s="17" t="n">
        <v>46020</v>
      </c>
      <c r="G3045" s="17" t="n">
        <v>46033</v>
      </c>
      <c r="H3045" s="18" t="n">
        <v>281</v>
      </c>
      <c r="I3045" s="19" t="n">
        <v>6.37</v>
      </c>
      <c r="J3045" s="19" t="n">
        <v>6.4</v>
      </c>
      <c r="K3045" s="20" t="n">
        <v>0</v>
      </c>
      <c r="L3045" s="20" t="n">
        <v>0</v>
      </c>
      <c r="M3045" s="18" t="n">
        <v>281</v>
      </c>
      <c r="N3045" s="18" t="n">
        <v>281</v>
      </c>
      <c r="O3045" s="18" t="n">
        <v>0</v>
      </c>
      <c r="P3045" s="17" t="n">
        <v>46028</v>
      </c>
      <c r="Q3045" s="17" t="n">
        <v>46028</v>
      </c>
      <c r="R3045" s="17" t="n">
        <v>46028</v>
      </c>
      <c r="S3045" s="19">
        <f>H3045*I3045</f>
        <v/>
      </c>
      <c r="T3045" s="19">
        <f>H3045*J3045</f>
        <v/>
      </c>
      <c r="U3045">
        <f>IF(AND(K3045=0,G3045&lt;=Assumptions!$C$6),1,0)</f>
        <v/>
      </c>
      <c r="V3045">
        <f>IF(U3045=1,IF(M3045&gt;0,IF(P3045&lt;=G3045+Assumptions!$C$7,1,0),0),0)</f>
        <v/>
      </c>
      <c r="W3045">
        <f>IF(AND(U3045=1,M3045&gt;=H3045*(1-Assumptions!$C$8)),1,0)</f>
        <v/>
      </c>
      <c r="X3045">
        <f>IF(AND(U3045=1,N3045&gt;=H3045*(1-Assumptions!$C$8)),1,0)</f>
        <v/>
      </c>
      <c r="Y3045">
        <f>IF(ISNUMBER(Q3045),1,0)</f>
        <v/>
      </c>
      <c r="Z3045">
        <f>IF(AND(K3045=0,L3045=0,Y3045=0),1,0)</f>
        <v/>
      </c>
      <c r="AA3045">
        <f>IF(AND(Z3045=1,G3045&lt;Assumptions!$C$6),1,0)</f>
        <v/>
      </c>
      <c r="AB3045">
        <f>IF(U3045=0,"",IF(Y3045=1,MAX(0,Q3045-G3045),IF(L3045=1,MAX(0,R3045-G3045),MAX(0,Assumptions!$C$6-G3045))))</f>
        <v/>
      </c>
      <c r="AC3045">
        <f>IF(Y3045=1,Q3045-F3045,"")</f>
        <v/>
      </c>
      <c r="AD3045">
        <f>IF(Y3045=1,AC3045^2,"")</f>
        <v/>
      </c>
      <c r="AE3045" s="19">
        <f>IF(Z3045=1,(H3045-M3045)*I3045,0)</f>
        <v/>
      </c>
      <c r="AF3045">
        <f>IF(G3045&lt;EDATE(Assumptions!$C$6,-12)+1,"prior_12m","last_12m")</f>
        <v/>
      </c>
      <c r="AG3045" s="21">
        <f>DATE(YEAR(G3045),MONTH(G3045),1)</f>
        <v/>
      </c>
    </row>
    <row r="3046">
      <c r="A3046" t="inlineStr">
        <is>
          <t>SPO-01630-1</t>
        </is>
      </c>
      <c r="B3046" t="inlineStr">
        <is>
          <t>SPO-01630</t>
        </is>
      </c>
      <c r="C3046" t="inlineStr">
        <is>
          <t>SUP-01</t>
        </is>
      </c>
      <c r="D3046" t="inlineStr">
        <is>
          <t>ELEC</t>
        </is>
      </c>
      <c r="E3046" t="inlineStr">
        <is>
          <t>ELEC-03</t>
        </is>
      </c>
      <c r="F3046" s="17" t="n">
        <v>46020</v>
      </c>
      <c r="G3046" s="17" t="n">
        <v>46038</v>
      </c>
      <c r="H3046" s="18" t="n">
        <v>43</v>
      </c>
      <c r="I3046" s="19" t="n">
        <v>101.95</v>
      </c>
      <c r="J3046" s="19" t="n">
        <v>96</v>
      </c>
      <c r="K3046" s="20" t="n">
        <v>0</v>
      </c>
      <c r="L3046" s="20" t="n">
        <v>0</v>
      </c>
      <c r="M3046" s="18" t="n">
        <v>43</v>
      </c>
      <c r="N3046" s="18" t="n">
        <v>0</v>
      </c>
      <c r="O3046" s="18" t="n">
        <v>0</v>
      </c>
      <c r="P3046" s="17" t="n">
        <v>46043</v>
      </c>
      <c r="Q3046" s="17" t="n">
        <v>46043</v>
      </c>
      <c r="R3046" s="17" t="n">
        <v>46043</v>
      </c>
      <c r="S3046" s="19">
        <f>H3046*I3046</f>
        <v/>
      </c>
      <c r="T3046" s="19">
        <f>H3046*J3046</f>
        <v/>
      </c>
      <c r="U3046">
        <f>IF(AND(K3046=0,G3046&lt;=Assumptions!$C$6),1,0)</f>
        <v/>
      </c>
      <c r="V3046">
        <f>IF(U3046=1,IF(M3046&gt;0,IF(P3046&lt;=G3046+Assumptions!$C$7,1,0),0),0)</f>
        <v/>
      </c>
      <c r="W3046">
        <f>IF(AND(U3046=1,M3046&gt;=H3046*(1-Assumptions!$C$8)),1,0)</f>
        <v/>
      </c>
      <c r="X3046">
        <f>IF(AND(U3046=1,N3046&gt;=H3046*(1-Assumptions!$C$8)),1,0)</f>
        <v/>
      </c>
      <c r="Y3046">
        <f>IF(ISNUMBER(Q3046),1,0)</f>
        <v/>
      </c>
      <c r="Z3046">
        <f>IF(AND(K3046=0,L3046=0,Y3046=0),1,0)</f>
        <v/>
      </c>
      <c r="AA3046">
        <f>IF(AND(Z3046=1,G3046&lt;Assumptions!$C$6),1,0)</f>
        <v/>
      </c>
      <c r="AB3046">
        <f>IF(U3046=0,"",IF(Y3046=1,MAX(0,Q3046-G3046),IF(L3046=1,MAX(0,R3046-G3046),MAX(0,Assumptions!$C$6-G3046))))</f>
        <v/>
      </c>
      <c r="AC3046">
        <f>IF(Y3046=1,Q3046-F3046,"")</f>
        <v/>
      </c>
      <c r="AD3046">
        <f>IF(Y3046=1,AC3046^2,"")</f>
        <v/>
      </c>
      <c r="AE3046" s="19">
        <f>IF(Z3046=1,(H3046-M3046)*I3046,0)</f>
        <v/>
      </c>
      <c r="AF3046">
        <f>IF(G3046&lt;EDATE(Assumptions!$C$6,-12)+1,"prior_12m","last_12m")</f>
        <v/>
      </c>
      <c r="AG3046" s="21">
        <f>DATE(YEAR(G3046),MONTH(G3046),1)</f>
        <v/>
      </c>
    </row>
    <row r="3047">
      <c r="A3047" t="inlineStr">
        <is>
          <t>SPO-01630-2</t>
        </is>
      </c>
      <c r="B3047" t="inlineStr">
        <is>
          <t>SPO-01630</t>
        </is>
      </c>
      <c r="C3047" t="inlineStr">
        <is>
          <t>SUP-01</t>
        </is>
      </c>
      <c r="D3047" t="inlineStr">
        <is>
          <t>ELEC</t>
        </is>
      </c>
      <c r="E3047" t="inlineStr">
        <is>
          <t>ELEC-02</t>
        </is>
      </c>
      <c r="F3047" s="17" t="n">
        <v>46020</v>
      </c>
      <c r="G3047" s="17" t="n">
        <v>46038</v>
      </c>
      <c r="H3047" s="18" t="n">
        <v>614</v>
      </c>
      <c r="I3047" s="19" t="n">
        <v>4</v>
      </c>
      <c r="J3047" s="19" t="n">
        <v>4.2</v>
      </c>
      <c r="K3047" s="20" t="n">
        <v>0</v>
      </c>
      <c r="L3047" s="20" t="n">
        <v>0</v>
      </c>
      <c r="M3047" s="18" t="n">
        <v>614</v>
      </c>
      <c r="N3047" s="18" t="n">
        <v>614</v>
      </c>
      <c r="O3047" s="18" t="n">
        <v>0</v>
      </c>
      <c r="P3047" s="17" t="n">
        <v>46036</v>
      </c>
      <c r="Q3047" s="17" t="n">
        <v>46036</v>
      </c>
      <c r="R3047" s="17" t="n">
        <v>46036</v>
      </c>
      <c r="S3047" s="19">
        <f>H3047*I3047</f>
        <v/>
      </c>
      <c r="T3047" s="19">
        <f>H3047*J3047</f>
        <v/>
      </c>
      <c r="U3047">
        <f>IF(AND(K3047=0,G3047&lt;=Assumptions!$C$6),1,0)</f>
        <v/>
      </c>
      <c r="V3047">
        <f>IF(U3047=1,IF(M3047&gt;0,IF(P3047&lt;=G3047+Assumptions!$C$7,1,0),0),0)</f>
        <v/>
      </c>
      <c r="W3047">
        <f>IF(AND(U3047=1,M3047&gt;=H3047*(1-Assumptions!$C$8)),1,0)</f>
        <v/>
      </c>
      <c r="X3047">
        <f>IF(AND(U3047=1,N3047&gt;=H3047*(1-Assumptions!$C$8)),1,0)</f>
        <v/>
      </c>
      <c r="Y3047">
        <f>IF(ISNUMBER(Q3047),1,0)</f>
        <v/>
      </c>
      <c r="Z3047">
        <f>IF(AND(K3047=0,L3047=0,Y3047=0),1,0)</f>
        <v/>
      </c>
      <c r="AA3047">
        <f>IF(AND(Z3047=1,G3047&lt;Assumptions!$C$6),1,0)</f>
        <v/>
      </c>
      <c r="AB3047">
        <f>IF(U3047=0,"",IF(Y3047=1,MAX(0,Q3047-G3047),IF(L3047=1,MAX(0,R3047-G3047),MAX(0,Assumptions!$C$6-G3047))))</f>
        <v/>
      </c>
      <c r="AC3047">
        <f>IF(Y3047=1,Q3047-F3047,"")</f>
        <v/>
      </c>
      <c r="AD3047">
        <f>IF(Y3047=1,AC3047^2,"")</f>
        <v/>
      </c>
      <c r="AE3047" s="19">
        <f>IF(Z3047=1,(H3047-M3047)*I3047,0)</f>
        <v/>
      </c>
      <c r="AF3047">
        <f>IF(G3047&lt;EDATE(Assumptions!$C$6,-12)+1,"prior_12m","last_12m")</f>
        <v/>
      </c>
      <c r="AG3047" s="21">
        <f>DATE(YEAR(G3047),MONTH(G3047),1)</f>
        <v/>
      </c>
    </row>
    <row r="3048">
      <c r="A3048" t="inlineStr">
        <is>
          <t>SPO-01631-1</t>
        </is>
      </c>
      <c r="B3048" t="inlineStr">
        <is>
          <t>SPO-01631</t>
        </is>
      </c>
      <c r="C3048" t="inlineStr">
        <is>
          <t>SUP-12</t>
        </is>
      </c>
      <c r="D3048" t="inlineStr">
        <is>
          <t>IT</t>
        </is>
      </c>
      <c r="E3048" t="inlineStr">
        <is>
          <t>IT-07</t>
        </is>
      </c>
      <c r="F3048" s="17" t="n">
        <v>46022</v>
      </c>
      <c r="G3048" s="17" t="n">
        <v>46032</v>
      </c>
      <c r="H3048" s="18" t="n">
        <v>43</v>
      </c>
      <c r="I3048" s="19" t="n">
        <v>86.92</v>
      </c>
      <c r="J3048" s="19" t="n">
        <v>74</v>
      </c>
      <c r="K3048" s="20" t="n">
        <v>0</v>
      </c>
      <c r="L3048" s="20" t="n">
        <v>0</v>
      </c>
      <c r="M3048" s="18" t="n">
        <v>43</v>
      </c>
      <c r="N3048" s="18" t="n">
        <v>43</v>
      </c>
      <c r="O3048" s="18" t="n">
        <v>0</v>
      </c>
      <c r="P3048" s="17" t="n">
        <v>46029</v>
      </c>
      <c r="Q3048" s="17" t="n">
        <v>46029</v>
      </c>
      <c r="R3048" s="17" t="n">
        <v>46029</v>
      </c>
      <c r="S3048" s="19">
        <f>H3048*I3048</f>
        <v/>
      </c>
      <c r="T3048" s="19">
        <f>H3048*J3048</f>
        <v/>
      </c>
      <c r="U3048">
        <f>IF(AND(K3048=0,G3048&lt;=Assumptions!$C$6),1,0)</f>
        <v/>
      </c>
      <c r="V3048">
        <f>IF(U3048=1,IF(M3048&gt;0,IF(P3048&lt;=G3048+Assumptions!$C$7,1,0),0),0)</f>
        <v/>
      </c>
      <c r="W3048">
        <f>IF(AND(U3048=1,M3048&gt;=H3048*(1-Assumptions!$C$8)),1,0)</f>
        <v/>
      </c>
      <c r="X3048">
        <f>IF(AND(U3048=1,N3048&gt;=H3048*(1-Assumptions!$C$8)),1,0)</f>
        <v/>
      </c>
      <c r="Y3048">
        <f>IF(ISNUMBER(Q3048),1,0)</f>
        <v/>
      </c>
      <c r="Z3048">
        <f>IF(AND(K3048=0,L3048=0,Y3048=0),1,0)</f>
        <v/>
      </c>
      <c r="AA3048">
        <f>IF(AND(Z3048=1,G3048&lt;Assumptions!$C$6),1,0)</f>
        <v/>
      </c>
      <c r="AB3048">
        <f>IF(U3048=0,"",IF(Y3048=1,MAX(0,Q3048-G3048),IF(L3048=1,MAX(0,R3048-G3048),MAX(0,Assumptions!$C$6-G3048))))</f>
        <v/>
      </c>
      <c r="AC3048">
        <f>IF(Y3048=1,Q3048-F3048,"")</f>
        <v/>
      </c>
      <c r="AD3048">
        <f>IF(Y3048=1,AC3048^2,"")</f>
        <v/>
      </c>
      <c r="AE3048" s="19">
        <f>IF(Z3048=1,(H3048-M3048)*I3048,0)</f>
        <v/>
      </c>
      <c r="AF3048">
        <f>IF(G3048&lt;EDATE(Assumptions!$C$6,-12)+1,"prior_12m","last_12m")</f>
        <v/>
      </c>
      <c r="AG3048" s="21">
        <f>DATE(YEAR(G3048),MONTH(G3048),1)</f>
        <v/>
      </c>
    </row>
    <row r="3049">
      <c r="A3049" t="inlineStr">
        <is>
          <t>SPO-01631-2</t>
        </is>
      </c>
      <c r="B3049" t="inlineStr">
        <is>
          <t>SPO-01631</t>
        </is>
      </c>
      <c r="C3049" t="inlineStr">
        <is>
          <t>SUP-12</t>
        </is>
      </c>
      <c r="D3049" t="inlineStr">
        <is>
          <t>IT</t>
        </is>
      </c>
      <c r="E3049" t="inlineStr">
        <is>
          <t>IT-08</t>
        </is>
      </c>
      <c r="F3049" s="17" t="n">
        <v>46022</v>
      </c>
      <c r="G3049" s="17" t="n">
        <v>46032</v>
      </c>
      <c r="H3049" s="18" t="n">
        <v>3</v>
      </c>
      <c r="I3049" s="19" t="n">
        <v>273.79</v>
      </c>
      <c r="J3049" s="19" t="n">
        <v>245</v>
      </c>
      <c r="K3049" s="20" t="n">
        <v>0</v>
      </c>
      <c r="L3049" s="20" t="n">
        <v>0</v>
      </c>
      <c r="M3049" s="18" t="n">
        <v>3</v>
      </c>
      <c r="N3049" s="18" t="n">
        <v>3</v>
      </c>
      <c r="O3049" s="18" t="n">
        <v>0</v>
      </c>
      <c r="P3049" s="17" t="n">
        <v>46030</v>
      </c>
      <c r="Q3049" s="17" t="n">
        <v>46030</v>
      </c>
      <c r="R3049" s="17" t="n">
        <v>46030</v>
      </c>
      <c r="S3049" s="19">
        <f>H3049*I3049</f>
        <v/>
      </c>
      <c r="T3049" s="19">
        <f>H3049*J3049</f>
        <v/>
      </c>
      <c r="U3049">
        <f>IF(AND(K3049=0,G3049&lt;=Assumptions!$C$6),1,0)</f>
        <v/>
      </c>
      <c r="V3049">
        <f>IF(U3049=1,IF(M3049&gt;0,IF(P3049&lt;=G3049+Assumptions!$C$7,1,0),0),0)</f>
        <v/>
      </c>
      <c r="W3049">
        <f>IF(AND(U3049=1,M3049&gt;=H3049*(1-Assumptions!$C$8)),1,0)</f>
        <v/>
      </c>
      <c r="X3049">
        <f>IF(AND(U3049=1,N3049&gt;=H3049*(1-Assumptions!$C$8)),1,0)</f>
        <v/>
      </c>
      <c r="Y3049">
        <f>IF(ISNUMBER(Q3049),1,0)</f>
        <v/>
      </c>
      <c r="Z3049">
        <f>IF(AND(K3049=0,L3049=0,Y3049=0),1,0)</f>
        <v/>
      </c>
      <c r="AA3049">
        <f>IF(AND(Z3049=1,G3049&lt;Assumptions!$C$6),1,0)</f>
        <v/>
      </c>
      <c r="AB3049">
        <f>IF(U3049=0,"",IF(Y3049=1,MAX(0,Q3049-G3049),IF(L3049=1,MAX(0,R3049-G3049),MAX(0,Assumptions!$C$6-G3049))))</f>
        <v/>
      </c>
      <c r="AC3049">
        <f>IF(Y3049=1,Q3049-F3049,"")</f>
        <v/>
      </c>
      <c r="AD3049">
        <f>IF(Y3049=1,AC3049^2,"")</f>
        <v/>
      </c>
      <c r="AE3049" s="19">
        <f>IF(Z3049=1,(H3049-M3049)*I3049,0)</f>
        <v/>
      </c>
      <c r="AF3049">
        <f>IF(G3049&lt;EDATE(Assumptions!$C$6,-12)+1,"prior_12m","last_12m")</f>
        <v/>
      </c>
      <c r="AG3049" s="21">
        <f>DATE(YEAR(G3049),MONTH(G3049),1)</f>
        <v/>
      </c>
    </row>
    <row r="3050">
      <c r="A3050" t="inlineStr">
        <is>
          <t>SPO-01631-3</t>
        </is>
      </c>
      <c r="B3050" t="inlineStr">
        <is>
          <t>SPO-01631</t>
        </is>
      </c>
      <c r="C3050" t="inlineStr">
        <is>
          <t>SUP-12</t>
        </is>
      </c>
      <c r="D3050" t="inlineStr">
        <is>
          <t>IT</t>
        </is>
      </c>
      <c r="E3050" t="inlineStr">
        <is>
          <t>IT-03</t>
        </is>
      </c>
      <c r="F3050" s="17" t="n">
        <v>46022</v>
      </c>
      <c r="G3050" s="17" t="n">
        <v>46032</v>
      </c>
      <c r="H3050" s="18" t="n">
        <v>63</v>
      </c>
      <c r="I3050" s="19" t="n">
        <v>43.17</v>
      </c>
      <c r="J3050" s="19" t="n">
        <v>38</v>
      </c>
      <c r="K3050" s="20" t="n">
        <v>0</v>
      </c>
      <c r="L3050" s="20" t="n">
        <v>0</v>
      </c>
      <c r="M3050" s="18" t="n">
        <v>63</v>
      </c>
      <c r="N3050" s="18" t="n">
        <v>0</v>
      </c>
      <c r="O3050" s="18" t="n">
        <v>0</v>
      </c>
      <c r="P3050" s="17" t="n">
        <v>46034</v>
      </c>
      <c r="Q3050" s="17" t="n">
        <v>46034</v>
      </c>
      <c r="R3050" s="17" t="n">
        <v>46034</v>
      </c>
      <c r="S3050" s="19">
        <f>H3050*I3050</f>
        <v/>
      </c>
      <c r="T3050" s="19">
        <f>H3050*J3050</f>
        <v/>
      </c>
      <c r="U3050">
        <f>IF(AND(K3050=0,G3050&lt;=Assumptions!$C$6),1,0)</f>
        <v/>
      </c>
      <c r="V3050">
        <f>IF(U3050=1,IF(M3050&gt;0,IF(P3050&lt;=G3050+Assumptions!$C$7,1,0),0),0)</f>
        <v/>
      </c>
      <c r="W3050">
        <f>IF(AND(U3050=1,M3050&gt;=H3050*(1-Assumptions!$C$8)),1,0)</f>
        <v/>
      </c>
      <c r="X3050">
        <f>IF(AND(U3050=1,N3050&gt;=H3050*(1-Assumptions!$C$8)),1,0)</f>
        <v/>
      </c>
      <c r="Y3050">
        <f>IF(ISNUMBER(Q3050),1,0)</f>
        <v/>
      </c>
      <c r="Z3050">
        <f>IF(AND(K3050=0,L3050=0,Y3050=0),1,0)</f>
        <v/>
      </c>
      <c r="AA3050">
        <f>IF(AND(Z3050=1,G3050&lt;Assumptions!$C$6),1,0)</f>
        <v/>
      </c>
      <c r="AB3050">
        <f>IF(U3050=0,"",IF(Y3050=1,MAX(0,Q3050-G3050),IF(L3050=1,MAX(0,R3050-G3050),MAX(0,Assumptions!$C$6-G3050))))</f>
        <v/>
      </c>
      <c r="AC3050">
        <f>IF(Y3050=1,Q3050-F3050,"")</f>
        <v/>
      </c>
      <c r="AD3050">
        <f>IF(Y3050=1,AC3050^2,"")</f>
        <v/>
      </c>
      <c r="AE3050" s="19">
        <f>IF(Z3050=1,(H3050-M3050)*I3050,0)</f>
        <v/>
      </c>
      <c r="AF3050">
        <f>IF(G3050&lt;EDATE(Assumptions!$C$6,-12)+1,"prior_12m","last_12m")</f>
        <v/>
      </c>
      <c r="AG3050" s="21">
        <f>DATE(YEAR(G3050),MONTH(G3050),1)</f>
        <v/>
      </c>
    </row>
    <row r="3051">
      <c r="A3051" t="inlineStr">
        <is>
          <t>SPO-01632-1</t>
        </is>
      </c>
      <c r="B3051" t="inlineStr">
        <is>
          <t>SPO-01632</t>
        </is>
      </c>
      <c r="C3051" t="inlineStr">
        <is>
          <t>SUP-08</t>
        </is>
      </c>
      <c r="D3051" t="inlineStr">
        <is>
          <t>PPE</t>
        </is>
      </c>
      <c r="E3051" t="inlineStr">
        <is>
          <t>PPE-04</t>
        </is>
      </c>
      <c r="F3051" s="17" t="n">
        <v>46022</v>
      </c>
      <c r="G3051" s="17" t="n">
        <v>46033</v>
      </c>
      <c r="H3051" s="18" t="n">
        <v>89</v>
      </c>
      <c r="I3051" s="19" t="n">
        <v>27.84</v>
      </c>
      <c r="J3051" s="19" t="n">
        <v>26</v>
      </c>
      <c r="K3051" s="20" t="n">
        <v>0</v>
      </c>
      <c r="L3051" s="20" t="n">
        <v>0</v>
      </c>
      <c r="M3051" s="18" t="n">
        <v>89</v>
      </c>
      <c r="N3051" s="18" t="n">
        <v>89</v>
      </c>
      <c r="O3051" s="18" t="n">
        <v>0</v>
      </c>
      <c r="P3051" s="17" t="n">
        <v>46031</v>
      </c>
      <c r="Q3051" s="17" t="n">
        <v>46031</v>
      </c>
      <c r="R3051" s="17" t="n">
        <v>46031</v>
      </c>
      <c r="S3051" s="19">
        <f>H3051*I3051</f>
        <v/>
      </c>
      <c r="T3051" s="19">
        <f>H3051*J3051</f>
        <v/>
      </c>
      <c r="U3051">
        <f>IF(AND(K3051=0,G3051&lt;=Assumptions!$C$6),1,0)</f>
        <v/>
      </c>
      <c r="V3051">
        <f>IF(U3051=1,IF(M3051&gt;0,IF(P3051&lt;=G3051+Assumptions!$C$7,1,0),0),0)</f>
        <v/>
      </c>
      <c r="W3051">
        <f>IF(AND(U3051=1,M3051&gt;=H3051*(1-Assumptions!$C$8)),1,0)</f>
        <v/>
      </c>
      <c r="X3051">
        <f>IF(AND(U3051=1,N3051&gt;=H3051*(1-Assumptions!$C$8)),1,0)</f>
        <v/>
      </c>
      <c r="Y3051">
        <f>IF(ISNUMBER(Q3051),1,0)</f>
        <v/>
      </c>
      <c r="Z3051">
        <f>IF(AND(K3051=0,L3051=0,Y3051=0),1,0)</f>
        <v/>
      </c>
      <c r="AA3051">
        <f>IF(AND(Z3051=1,G3051&lt;Assumptions!$C$6),1,0)</f>
        <v/>
      </c>
      <c r="AB3051">
        <f>IF(U3051=0,"",IF(Y3051=1,MAX(0,Q3051-G3051),IF(L3051=1,MAX(0,R3051-G3051),MAX(0,Assumptions!$C$6-G3051))))</f>
        <v/>
      </c>
      <c r="AC3051">
        <f>IF(Y3051=1,Q3051-F3051,"")</f>
        <v/>
      </c>
      <c r="AD3051">
        <f>IF(Y3051=1,AC3051^2,"")</f>
        <v/>
      </c>
      <c r="AE3051" s="19">
        <f>IF(Z3051=1,(H3051-M3051)*I3051,0)</f>
        <v/>
      </c>
      <c r="AF3051">
        <f>IF(G3051&lt;EDATE(Assumptions!$C$6,-12)+1,"prior_12m","last_12m")</f>
        <v/>
      </c>
      <c r="AG3051" s="21">
        <f>DATE(YEAR(G3051),MONTH(G3051),1)</f>
        <v/>
      </c>
    </row>
    <row r="3052">
      <c r="A3052" t="inlineStr">
        <is>
          <t>SPO-01632-2</t>
        </is>
      </c>
      <c r="B3052" t="inlineStr">
        <is>
          <t>SPO-01632</t>
        </is>
      </c>
      <c r="C3052" t="inlineStr">
        <is>
          <t>SUP-08</t>
        </is>
      </c>
      <c r="D3052" t="inlineStr">
        <is>
          <t>PPE</t>
        </is>
      </c>
      <c r="E3052" t="inlineStr">
        <is>
          <t>PPE-07</t>
        </is>
      </c>
      <c r="F3052" s="17" t="n">
        <v>46022</v>
      </c>
      <c r="G3052" s="17" t="n">
        <v>46033</v>
      </c>
      <c r="H3052" s="18" t="n">
        <v>21</v>
      </c>
      <c r="I3052" s="19" t="n">
        <v>29.29</v>
      </c>
      <c r="J3052" s="19" t="n">
        <v>31</v>
      </c>
      <c r="K3052" s="20" t="n">
        <v>0</v>
      </c>
      <c r="L3052" s="20" t="n">
        <v>0</v>
      </c>
      <c r="M3052" s="18" t="n">
        <v>21</v>
      </c>
      <c r="N3052" s="18" t="n">
        <v>21</v>
      </c>
      <c r="O3052" s="18" t="n">
        <v>0</v>
      </c>
      <c r="P3052" s="17" t="n">
        <v>46030</v>
      </c>
      <c r="Q3052" s="17" t="n">
        <v>46030</v>
      </c>
      <c r="R3052" s="17" t="n">
        <v>46030</v>
      </c>
      <c r="S3052" s="19">
        <f>H3052*I3052</f>
        <v/>
      </c>
      <c r="T3052" s="19">
        <f>H3052*J3052</f>
        <v/>
      </c>
      <c r="U3052">
        <f>IF(AND(K3052=0,G3052&lt;=Assumptions!$C$6),1,0)</f>
        <v/>
      </c>
      <c r="V3052">
        <f>IF(U3052=1,IF(M3052&gt;0,IF(P3052&lt;=G3052+Assumptions!$C$7,1,0),0),0)</f>
        <v/>
      </c>
      <c r="W3052">
        <f>IF(AND(U3052=1,M3052&gt;=H3052*(1-Assumptions!$C$8)),1,0)</f>
        <v/>
      </c>
      <c r="X3052">
        <f>IF(AND(U3052=1,N3052&gt;=H3052*(1-Assumptions!$C$8)),1,0)</f>
        <v/>
      </c>
      <c r="Y3052">
        <f>IF(ISNUMBER(Q3052),1,0)</f>
        <v/>
      </c>
      <c r="Z3052">
        <f>IF(AND(K3052=0,L3052=0,Y3052=0),1,0)</f>
        <v/>
      </c>
      <c r="AA3052">
        <f>IF(AND(Z3052=1,G3052&lt;Assumptions!$C$6),1,0)</f>
        <v/>
      </c>
      <c r="AB3052">
        <f>IF(U3052=0,"",IF(Y3052=1,MAX(0,Q3052-G3052),IF(L3052=1,MAX(0,R3052-G3052),MAX(0,Assumptions!$C$6-G3052))))</f>
        <v/>
      </c>
      <c r="AC3052">
        <f>IF(Y3052=1,Q3052-F3052,"")</f>
        <v/>
      </c>
      <c r="AD3052">
        <f>IF(Y3052=1,AC3052^2,"")</f>
        <v/>
      </c>
      <c r="AE3052" s="19">
        <f>IF(Z3052=1,(H3052-M3052)*I3052,0)</f>
        <v/>
      </c>
      <c r="AF3052">
        <f>IF(G3052&lt;EDATE(Assumptions!$C$6,-12)+1,"prior_12m","last_12m")</f>
        <v/>
      </c>
      <c r="AG3052" s="21">
        <f>DATE(YEAR(G3052),MONTH(G3052),1)</f>
        <v/>
      </c>
    </row>
    <row r="3053">
      <c r="A3053" t="inlineStr">
        <is>
          <t>SPO-01633-1</t>
        </is>
      </c>
      <c r="B3053" t="inlineStr">
        <is>
          <t>SPO-01633</t>
        </is>
      </c>
      <c r="C3053" t="inlineStr">
        <is>
          <t>SUP-05</t>
        </is>
      </c>
      <c r="D3053" t="inlineStr">
        <is>
          <t>FLEET</t>
        </is>
      </c>
      <c r="E3053" t="inlineStr">
        <is>
          <t>FLEET-04</t>
        </is>
      </c>
      <c r="F3053" s="17" t="n">
        <v>46022</v>
      </c>
      <c r="G3053" s="17" t="n">
        <v>46036</v>
      </c>
      <c r="H3053" s="18" t="n">
        <v>152</v>
      </c>
      <c r="I3053" s="19" t="n">
        <v>8.970000000000001</v>
      </c>
      <c r="J3053" s="19" t="n">
        <v>9</v>
      </c>
      <c r="K3053" s="20" t="n">
        <v>0</v>
      </c>
      <c r="L3053" s="20" t="n">
        <v>0</v>
      </c>
      <c r="M3053" s="18" t="n">
        <v>152</v>
      </c>
      <c r="N3053" s="18" t="n">
        <v>152</v>
      </c>
      <c r="O3053" s="18" t="n">
        <v>0</v>
      </c>
      <c r="P3053" s="17" t="n">
        <v>46035</v>
      </c>
      <c r="Q3053" s="17" t="n">
        <v>46035</v>
      </c>
      <c r="R3053" s="17" t="n">
        <v>46035</v>
      </c>
      <c r="S3053" s="19">
        <f>H3053*I3053</f>
        <v/>
      </c>
      <c r="T3053" s="19">
        <f>H3053*J3053</f>
        <v/>
      </c>
      <c r="U3053">
        <f>IF(AND(K3053=0,G3053&lt;=Assumptions!$C$6),1,0)</f>
        <v/>
      </c>
      <c r="V3053">
        <f>IF(U3053=1,IF(M3053&gt;0,IF(P3053&lt;=G3053+Assumptions!$C$7,1,0),0),0)</f>
        <v/>
      </c>
      <c r="W3053">
        <f>IF(AND(U3053=1,M3053&gt;=H3053*(1-Assumptions!$C$8)),1,0)</f>
        <v/>
      </c>
      <c r="X3053">
        <f>IF(AND(U3053=1,N3053&gt;=H3053*(1-Assumptions!$C$8)),1,0)</f>
        <v/>
      </c>
      <c r="Y3053">
        <f>IF(ISNUMBER(Q3053),1,0)</f>
        <v/>
      </c>
      <c r="Z3053">
        <f>IF(AND(K3053=0,L3053=0,Y3053=0),1,0)</f>
        <v/>
      </c>
      <c r="AA3053">
        <f>IF(AND(Z3053=1,G3053&lt;Assumptions!$C$6),1,0)</f>
        <v/>
      </c>
      <c r="AB3053">
        <f>IF(U3053=0,"",IF(Y3053=1,MAX(0,Q3053-G3053),IF(L3053=1,MAX(0,R3053-G3053),MAX(0,Assumptions!$C$6-G3053))))</f>
        <v/>
      </c>
      <c r="AC3053">
        <f>IF(Y3053=1,Q3053-F3053,"")</f>
        <v/>
      </c>
      <c r="AD3053">
        <f>IF(Y3053=1,AC3053^2,"")</f>
        <v/>
      </c>
      <c r="AE3053" s="19">
        <f>IF(Z3053=1,(H3053-M3053)*I3053,0)</f>
        <v/>
      </c>
      <c r="AF3053">
        <f>IF(G3053&lt;EDATE(Assumptions!$C$6,-12)+1,"prior_12m","last_12m")</f>
        <v/>
      </c>
      <c r="AG3053" s="21">
        <f>DATE(YEAR(G3053),MONTH(G3053),1)</f>
        <v/>
      </c>
    </row>
    <row r="3054">
      <c r="A3054" t="inlineStr">
        <is>
          <t>SPO-01634-1</t>
        </is>
      </c>
      <c r="B3054" t="inlineStr">
        <is>
          <t>SPO-01634</t>
        </is>
      </c>
      <c r="C3054" t="inlineStr">
        <is>
          <t>SUP-02</t>
        </is>
      </c>
      <c r="D3054" t="inlineStr">
        <is>
          <t>ELEC</t>
        </is>
      </c>
      <c r="E3054" t="inlineStr">
        <is>
          <t>ELEC-04</t>
        </is>
      </c>
      <c r="F3054" s="17" t="n">
        <v>46022</v>
      </c>
      <c r="G3054" s="17" t="n">
        <v>46038</v>
      </c>
      <c r="H3054" s="18" t="n">
        <v>14</v>
      </c>
      <c r="I3054" s="19" t="n">
        <v>73.17</v>
      </c>
      <c r="J3054" s="19" t="n">
        <v>72</v>
      </c>
      <c r="K3054" s="20" t="n">
        <v>0</v>
      </c>
      <c r="L3054" s="20" t="n">
        <v>0</v>
      </c>
      <c r="M3054" s="18" t="n">
        <v>14</v>
      </c>
      <c r="N3054" s="18" t="n">
        <v>14</v>
      </c>
      <c r="O3054" s="18" t="n">
        <v>0</v>
      </c>
      <c r="P3054" s="17" t="n">
        <v>46030</v>
      </c>
      <c r="Q3054" s="17" t="n">
        <v>46030</v>
      </c>
      <c r="R3054" s="17" t="n">
        <v>46030</v>
      </c>
      <c r="S3054" s="19">
        <f>H3054*I3054</f>
        <v/>
      </c>
      <c r="T3054" s="19">
        <f>H3054*J3054</f>
        <v/>
      </c>
      <c r="U3054">
        <f>IF(AND(K3054=0,G3054&lt;=Assumptions!$C$6),1,0)</f>
        <v/>
      </c>
      <c r="V3054">
        <f>IF(U3054=1,IF(M3054&gt;0,IF(P3054&lt;=G3054+Assumptions!$C$7,1,0),0),0)</f>
        <v/>
      </c>
      <c r="W3054">
        <f>IF(AND(U3054=1,M3054&gt;=H3054*(1-Assumptions!$C$8)),1,0)</f>
        <v/>
      </c>
      <c r="X3054">
        <f>IF(AND(U3054=1,N3054&gt;=H3054*(1-Assumptions!$C$8)),1,0)</f>
        <v/>
      </c>
      <c r="Y3054">
        <f>IF(ISNUMBER(Q3054),1,0)</f>
        <v/>
      </c>
      <c r="Z3054">
        <f>IF(AND(K3054=0,L3054=0,Y3054=0),1,0)</f>
        <v/>
      </c>
      <c r="AA3054">
        <f>IF(AND(Z3054=1,G3054&lt;Assumptions!$C$6),1,0)</f>
        <v/>
      </c>
      <c r="AB3054">
        <f>IF(U3054=0,"",IF(Y3054=1,MAX(0,Q3054-G3054),IF(L3054=1,MAX(0,R3054-G3054),MAX(0,Assumptions!$C$6-G3054))))</f>
        <v/>
      </c>
      <c r="AC3054">
        <f>IF(Y3054=1,Q3054-F3054,"")</f>
        <v/>
      </c>
      <c r="AD3054">
        <f>IF(Y3054=1,AC3054^2,"")</f>
        <v/>
      </c>
      <c r="AE3054" s="19">
        <f>IF(Z3054=1,(H3054-M3054)*I3054,0)</f>
        <v/>
      </c>
      <c r="AF3054">
        <f>IF(G3054&lt;EDATE(Assumptions!$C$6,-12)+1,"prior_12m","last_12m")</f>
        <v/>
      </c>
      <c r="AG3054" s="21">
        <f>DATE(YEAR(G3054),MONTH(G3054),1)</f>
        <v/>
      </c>
    </row>
    <row r="3055">
      <c r="A3055" t="inlineStr">
        <is>
          <t>SPO-01635-1</t>
        </is>
      </c>
      <c r="B3055" t="inlineStr">
        <is>
          <t>SPO-01635</t>
        </is>
      </c>
      <c r="C3055" t="inlineStr">
        <is>
          <t>SUP-05</t>
        </is>
      </c>
      <c r="D3055" t="inlineStr">
        <is>
          <t>FLEET</t>
        </is>
      </c>
      <c r="E3055" t="inlineStr">
        <is>
          <t>FLEET-08</t>
        </is>
      </c>
      <c r="F3055" s="17" t="n">
        <v>46022</v>
      </c>
      <c r="G3055" s="17" t="n">
        <v>46036</v>
      </c>
      <c r="H3055" s="18" t="n">
        <v>177</v>
      </c>
      <c r="I3055" s="19" t="n">
        <v>6.19</v>
      </c>
      <c r="J3055" s="19" t="n">
        <v>6.4</v>
      </c>
      <c r="K3055" s="20" t="n">
        <v>0</v>
      </c>
      <c r="L3055" s="20" t="n">
        <v>0</v>
      </c>
      <c r="M3055" s="18" t="n">
        <v>177</v>
      </c>
      <c r="N3055" s="18" t="n">
        <v>177</v>
      </c>
      <c r="O3055" s="18" t="n">
        <v>0</v>
      </c>
      <c r="P3055" s="17" t="n">
        <v>46032</v>
      </c>
      <c r="Q3055" s="17" t="n">
        <v>46032</v>
      </c>
      <c r="R3055" s="17" t="n">
        <v>46032</v>
      </c>
      <c r="S3055" s="19">
        <f>H3055*I3055</f>
        <v/>
      </c>
      <c r="T3055" s="19">
        <f>H3055*J3055</f>
        <v/>
      </c>
      <c r="U3055">
        <f>IF(AND(K3055=0,G3055&lt;=Assumptions!$C$6),1,0)</f>
        <v/>
      </c>
      <c r="V3055">
        <f>IF(U3055=1,IF(M3055&gt;0,IF(P3055&lt;=G3055+Assumptions!$C$7,1,0),0),0)</f>
        <v/>
      </c>
      <c r="W3055">
        <f>IF(AND(U3055=1,M3055&gt;=H3055*(1-Assumptions!$C$8)),1,0)</f>
        <v/>
      </c>
      <c r="X3055">
        <f>IF(AND(U3055=1,N3055&gt;=H3055*(1-Assumptions!$C$8)),1,0)</f>
        <v/>
      </c>
      <c r="Y3055">
        <f>IF(ISNUMBER(Q3055),1,0)</f>
        <v/>
      </c>
      <c r="Z3055">
        <f>IF(AND(K3055=0,L3055=0,Y3055=0),1,0)</f>
        <v/>
      </c>
      <c r="AA3055">
        <f>IF(AND(Z3055=1,G3055&lt;Assumptions!$C$6),1,0)</f>
        <v/>
      </c>
      <c r="AB3055">
        <f>IF(U3055=0,"",IF(Y3055=1,MAX(0,Q3055-G3055),IF(L3055=1,MAX(0,R3055-G3055),MAX(0,Assumptions!$C$6-G3055))))</f>
        <v/>
      </c>
      <c r="AC3055">
        <f>IF(Y3055=1,Q3055-F3055,"")</f>
        <v/>
      </c>
      <c r="AD3055">
        <f>IF(Y3055=1,AC3055^2,"")</f>
        <v/>
      </c>
      <c r="AE3055" s="19">
        <f>IF(Z3055=1,(H3055-M3055)*I3055,0)</f>
        <v/>
      </c>
      <c r="AF3055">
        <f>IF(G3055&lt;EDATE(Assumptions!$C$6,-12)+1,"prior_12m","last_12m")</f>
        <v/>
      </c>
      <c r="AG3055" s="21">
        <f>DATE(YEAR(G3055),MONTH(G3055),1)</f>
        <v/>
      </c>
    </row>
    <row r="3056">
      <c r="A3056" t="inlineStr">
        <is>
          <t>SPO-01636-1</t>
        </is>
      </c>
      <c r="B3056" t="inlineStr">
        <is>
          <t>SPO-01636</t>
        </is>
      </c>
      <c r="C3056" t="inlineStr">
        <is>
          <t>SUP-05</t>
        </is>
      </c>
      <c r="D3056" t="inlineStr">
        <is>
          <t>FLEET</t>
        </is>
      </c>
      <c r="E3056" t="inlineStr">
        <is>
          <t>FLEET-03</t>
        </is>
      </c>
      <c r="F3056" s="17" t="n">
        <v>46023</v>
      </c>
      <c r="G3056" s="17" t="n">
        <v>46037</v>
      </c>
      <c r="H3056" s="18" t="n">
        <v>94</v>
      </c>
      <c r="I3056" s="19" t="n">
        <v>22.04</v>
      </c>
      <c r="J3056" s="19" t="n">
        <v>21</v>
      </c>
      <c r="K3056" s="20" t="n">
        <v>0</v>
      </c>
      <c r="L3056" s="20" t="n">
        <v>0</v>
      </c>
      <c r="M3056" s="18" t="n">
        <v>94</v>
      </c>
      <c r="N3056" s="18" t="n">
        <v>94</v>
      </c>
      <c r="O3056" s="18" t="n">
        <v>0</v>
      </c>
      <c r="P3056" s="17" t="n">
        <v>46030</v>
      </c>
      <c r="Q3056" s="17" t="n">
        <v>46030</v>
      </c>
      <c r="R3056" s="17" t="n">
        <v>46030</v>
      </c>
      <c r="S3056" s="19">
        <f>H3056*I3056</f>
        <v/>
      </c>
      <c r="T3056" s="19">
        <f>H3056*J3056</f>
        <v/>
      </c>
      <c r="U3056">
        <f>IF(AND(K3056=0,G3056&lt;=Assumptions!$C$6),1,0)</f>
        <v/>
      </c>
      <c r="V3056">
        <f>IF(U3056=1,IF(M3056&gt;0,IF(P3056&lt;=G3056+Assumptions!$C$7,1,0),0),0)</f>
        <v/>
      </c>
      <c r="W3056">
        <f>IF(AND(U3056=1,M3056&gt;=H3056*(1-Assumptions!$C$8)),1,0)</f>
        <v/>
      </c>
      <c r="X3056">
        <f>IF(AND(U3056=1,N3056&gt;=H3056*(1-Assumptions!$C$8)),1,0)</f>
        <v/>
      </c>
      <c r="Y3056">
        <f>IF(ISNUMBER(Q3056),1,0)</f>
        <v/>
      </c>
      <c r="Z3056">
        <f>IF(AND(K3056=0,L3056=0,Y3056=0),1,0)</f>
        <v/>
      </c>
      <c r="AA3056">
        <f>IF(AND(Z3056=1,G3056&lt;Assumptions!$C$6),1,0)</f>
        <v/>
      </c>
      <c r="AB3056">
        <f>IF(U3056=0,"",IF(Y3056=1,MAX(0,Q3056-G3056),IF(L3056=1,MAX(0,R3056-G3056),MAX(0,Assumptions!$C$6-G3056))))</f>
        <v/>
      </c>
      <c r="AC3056">
        <f>IF(Y3056=1,Q3056-F3056,"")</f>
        <v/>
      </c>
      <c r="AD3056">
        <f>IF(Y3056=1,AC3056^2,"")</f>
        <v/>
      </c>
      <c r="AE3056" s="19">
        <f>IF(Z3056=1,(H3056-M3056)*I3056,0)</f>
        <v/>
      </c>
      <c r="AF3056">
        <f>IF(G3056&lt;EDATE(Assumptions!$C$6,-12)+1,"prior_12m","last_12m")</f>
        <v/>
      </c>
      <c r="AG3056" s="21">
        <f>DATE(YEAR(G3056),MONTH(G3056),1)</f>
        <v/>
      </c>
    </row>
    <row r="3057">
      <c r="A3057" t="inlineStr">
        <is>
          <t>SPO-01637-1</t>
        </is>
      </c>
      <c r="B3057" t="inlineStr">
        <is>
          <t>SPO-01637</t>
        </is>
      </c>
      <c r="C3057" t="inlineStr">
        <is>
          <t>SUP-01</t>
        </is>
      </c>
      <c r="D3057" t="inlineStr">
        <is>
          <t>ELEC</t>
        </is>
      </c>
      <c r="E3057" t="inlineStr">
        <is>
          <t>ELEC-06</t>
        </is>
      </c>
      <c r="F3057" s="17" t="n">
        <v>46023</v>
      </c>
      <c r="G3057" s="17" t="n">
        <v>46041</v>
      </c>
      <c r="H3057" s="18" t="n">
        <v>11</v>
      </c>
      <c r="I3057" s="19" t="n">
        <v>151.24</v>
      </c>
      <c r="J3057" s="19" t="n">
        <v>145</v>
      </c>
      <c r="K3057" s="20" t="n">
        <v>0</v>
      </c>
      <c r="L3057" s="20" t="n">
        <v>0</v>
      </c>
      <c r="M3057" s="18" t="n">
        <v>11</v>
      </c>
      <c r="N3057" s="18" t="n">
        <v>5</v>
      </c>
      <c r="O3057" s="18" t="n">
        <v>0</v>
      </c>
      <c r="P3057" s="17" t="n">
        <v>46038</v>
      </c>
      <c r="Q3057" s="17" t="n">
        <v>46050</v>
      </c>
      <c r="R3057" s="17" t="n">
        <v>46050</v>
      </c>
      <c r="S3057" s="19">
        <f>H3057*I3057</f>
        <v/>
      </c>
      <c r="T3057" s="19">
        <f>H3057*J3057</f>
        <v/>
      </c>
      <c r="U3057">
        <f>IF(AND(K3057=0,G3057&lt;=Assumptions!$C$6),1,0)</f>
        <v/>
      </c>
      <c r="V3057">
        <f>IF(U3057=1,IF(M3057&gt;0,IF(P3057&lt;=G3057+Assumptions!$C$7,1,0),0),0)</f>
        <v/>
      </c>
      <c r="W3057">
        <f>IF(AND(U3057=1,M3057&gt;=H3057*(1-Assumptions!$C$8)),1,0)</f>
        <v/>
      </c>
      <c r="X3057">
        <f>IF(AND(U3057=1,N3057&gt;=H3057*(1-Assumptions!$C$8)),1,0)</f>
        <v/>
      </c>
      <c r="Y3057">
        <f>IF(ISNUMBER(Q3057),1,0)</f>
        <v/>
      </c>
      <c r="Z3057">
        <f>IF(AND(K3057=0,L3057=0,Y3057=0),1,0)</f>
        <v/>
      </c>
      <c r="AA3057">
        <f>IF(AND(Z3057=1,G3057&lt;Assumptions!$C$6),1,0)</f>
        <v/>
      </c>
      <c r="AB3057">
        <f>IF(U3057=0,"",IF(Y3057=1,MAX(0,Q3057-G3057),IF(L3057=1,MAX(0,R3057-G3057),MAX(0,Assumptions!$C$6-G3057))))</f>
        <v/>
      </c>
      <c r="AC3057">
        <f>IF(Y3057=1,Q3057-F3057,"")</f>
        <v/>
      </c>
      <c r="AD3057">
        <f>IF(Y3057=1,AC3057^2,"")</f>
        <v/>
      </c>
      <c r="AE3057" s="19">
        <f>IF(Z3057=1,(H3057-M3057)*I3057,0)</f>
        <v/>
      </c>
      <c r="AF3057">
        <f>IF(G3057&lt;EDATE(Assumptions!$C$6,-12)+1,"prior_12m","last_12m")</f>
        <v/>
      </c>
      <c r="AG3057" s="21">
        <f>DATE(YEAR(G3057),MONTH(G3057),1)</f>
        <v/>
      </c>
    </row>
    <row r="3058">
      <c r="A3058" t="inlineStr">
        <is>
          <t>SPO-01637-2</t>
        </is>
      </c>
      <c r="B3058" t="inlineStr">
        <is>
          <t>SPO-01637</t>
        </is>
      </c>
      <c r="C3058" t="inlineStr">
        <is>
          <t>SUP-01</t>
        </is>
      </c>
      <c r="D3058" t="inlineStr">
        <is>
          <t>ELEC</t>
        </is>
      </c>
      <c r="E3058" t="inlineStr">
        <is>
          <t>ELEC-02</t>
        </is>
      </c>
      <c r="F3058" s="17" t="n">
        <v>46023</v>
      </c>
      <c r="G3058" s="17" t="n">
        <v>46041</v>
      </c>
      <c r="H3058" s="18" t="n">
        <v>484</v>
      </c>
      <c r="I3058" s="19" t="n">
        <v>4.39</v>
      </c>
      <c r="J3058" s="19" t="n">
        <v>4.2</v>
      </c>
      <c r="K3058" s="20" t="n">
        <v>0</v>
      </c>
      <c r="L3058" s="20" t="n">
        <v>0</v>
      </c>
      <c r="M3058" s="18" t="n">
        <v>484</v>
      </c>
      <c r="N3058" s="18" t="n">
        <v>484</v>
      </c>
      <c r="O3058" s="18" t="n">
        <v>0</v>
      </c>
      <c r="P3058" s="17" t="n">
        <v>46037</v>
      </c>
      <c r="Q3058" s="17" t="n">
        <v>46037</v>
      </c>
      <c r="R3058" s="17" t="n">
        <v>46037</v>
      </c>
      <c r="S3058" s="19">
        <f>H3058*I3058</f>
        <v/>
      </c>
      <c r="T3058" s="19">
        <f>H3058*J3058</f>
        <v/>
      </c>
      <c r="U3058">
        <f>IF(AND(K3058=0,G3058&lt;=Assumptions!$C$6),1,0)</f>
        <v/>
      </c>
      <c r="V3058">
        <f>IF(U3058=1,IF(M3058&gt;0,IF(P3058&lt;=G3058+Assumptions!$C$7,1,0),0),0)</f>
        <v/>
      </c>
      <c r="W3058">
        <f>IF(AND(U3058=1,M3058&gt;=H3058*(1-Assumptions!$C$8)),1,0)</f>
        <v/>
      </c>
      <c r="X3058">
        <f>IF(AND(U3058=1,N3058&gt;=H3058*(1-Assumptions!$C$8)),1,0)</f>
        <v/>
      </c>
      <c r="Y3058">
        <f>IF(ISNUMBER(Q3058),1,0)</f>
        <v/>
      </c>
      <c r="Z3058">
        <f>IF(AND(K3058=0,L3058=0,Y3058=0),1,0)</f>
        <v/>
      </c>
      <c r="AA3058">
        <f>IF(AND(Z3058=1,G3058&lt;Assumptions!$C$6),1,0)</f>
        <v/>
      </c>
      <c r="AB3058">
        <f>IF(U3058=0,"",IF(Y3058=1,MAX(0,Q3058-G3058),IF(L3058=1,MAX(0,R3058-G3058),MAX(0,Assumptions!$C$6-G3058))))</f>
        <v/>
      </c>
      <c r="AC3058">
        <f>IF(Y3058=1,Q3058-F3058,"")</f>
        <v/>
      </c>
      <c r="AD3058">
        <f>IF(Y3058=1,AC3058^2,"")</f>
        <v/>
      </c>
      <c r="AE3058" s="19">
        <f>IF(Z3058=1,(H3058-M3058)*I3058,0)</f>
        <v/>
      </c>
      <c r="AF3058">
        <f>IF(G3058&lt;EDATE(Assumptions!$C$6,-12)+1,"prior_12m","last_12m")</f>
        <v/>
      </c>
      <c r="AG3058" s="21">
        <f>DATE(YEAR(G3058),MONTH(G3058),1)</f>
        <v/>
      </c>
    </row>
    <row r="3059">
      <c r="A3059" t="inlineStr">
        <is>
          <t>SPO-01637-3</t>
        </is>
      </c>
      <c r="B3059" t="inlineStr">
        <is>
          <t>SPO-01637</t>
        </is>
      </c>
      <c r="C3059" t="inlineStr">
        <is>
          <t>SUP-01</t>
        </is>
      </c>
      <c r="D3059" t="inlineStr">
        <is>
          <t>ELEC</t>
        </is>
      </c>
      <c r="E3059" t="inlineStr">
        <is>
          <t>ELEC-01</t>
        </is>
      </c>
      <c r="F3059" s="17" t="n">
        <v>46023</v>
      </c>
      <c r="G3059" s="17" t="n">
        <v>46041</v>
      </c>
      <c r="H3059" s="18" t="n">
        <v>48</v>
      </c>
      <c r="I3059" s="19" t="n">
        <v>37.88</v>
      </c>
      <c r="J3059" s="19" t="n">
        <v>38</v>
      </c>
      <c r="K3059" s="20" t="n">
        <v>0</v>
      </c>
      <c r="L3059" s="20" t="n">
        <v>0</v>
      </c>
      <c r="M3059" s="18" t="n">
        <v>48</v>
      </c>
      <c r="N3059" s="18" t="n">
        <v>48</v>
      </c>
      <c r="O3059" s="18" t="n">
        <v>0</v>
      </c>
      <c r="P3059" s="17" t="n">
        <v>46036</v>
      </c>
      <c r="Q3059" s="17" t="n">
        <v>46036</v>
      </c>
      <c r="R3059" s="17" t="n">
        <v>46036</v>
      </c>
      <c r="S3059" s="19">
        <f>H3059*I3059</f>
        <v/>
      </c>
      <c r="T3059" s="19">
        <f>H3059*J3059</f>
        <v/>
      </c>
      <c r="U3059">
        <f>IF(AND(K3059=0,G3059&lt;=Assumptions!$C$6),1,0)</f>
        <v/>
      </c>
      <c r="V3059">
        <f>IF(U3059=1,IF(M3059&gt;0,IF(P3059&lt;=G3059+Assumptions!$C$7,1,0),0),0)</f>
        <v/>
      </c>
      <c r="W3059">
        <f>IF(AND(U3059=1,M3059&gt;=H3059*(1-Assumptions!$C$8)),1,0)</f>
        <v/>
      </c>
      <c r="X3059">
        <f>IF(AND(U3059=1,N3059&gt;=H3059*(1-Assumptions!$C$8)),1,0)</f>
        <v/>
      </c>
      <c r="Y3059">
        <f>IF(ISNUMBER(Q3059),1,0)</f>
        <v/>
      </c>
      <c r="Z3059">
        <f>IF(AND(K3059=0,L3059=0,Y3059=0),1,0)</f>
        <v/>
      </c>
      <c r="AA3059">
        <f>IF(AND(Z3059=1,G3059&lt;Assumptions!$C$6),1,0)</f>
        <v/>
      </c>
      <c r="AB3059">
        <f>IF(U3059=0,"",IF(Y3059=1,MAX(0,Q3059-G3059),IF(L3059=1,MAX(0,R3059-G3059),MAX(0,Assumptions!$C$6-G3059))))</f>
        <v/>
      </c>
      <c r="AC3059">
        <f>IF(Y3059=1,Q3059-F3059,"")</f>
        <v/>
      </c>
      <c r="AD3059">
        <f>IF(Y3059=1,AC3059^2,"")</f>
        <v/>
      </c>
      <c r="AE3059" s="19">
        <f>IF(Z3059=1,(H3059-M3059)*I3059,0)</f>
        <v/>
      </c>
      <c r="AF3059">
        <f>IF(G3059&lt;EDATE(Assumptions!$C$6,-12)+1,"prior_12m","last_12m")</f>
        <v/>
      </c>
      <c r="AG3059" s="21">
        <f>DATE(YEAR(G3059),MONTH(G3059),1)</f>
        <v/>
      </c>
    </row>
    <row r="3060">
      <c r="A3060" t="inlineStr">
        <is>
          <t>SPO-01638-1</t>
        </is>
      </c>
      <c r="B3060" t="inlineStr">
        <is>
          <t>SPO-01638</t>
        </is>
      </c>
      <c r="C3060" t="inlineStr">
        <is>
          <t>SUP-06</t>
        </is>
      </c>
      <c r="D3060" t="inlineStr">
        <is>
          <t>MRO</t>
        </is>
      </c>
      <c r="E3060" t="inlineStr">
        <is>
          <t>MRO-03</t>
        </is>
      </c>
      <c r="F3060" s="17" t="n">
        <v>46024</v>
      </c>
      <c r="G3060" s="17" t="n">
        <v>46032</v>
      </c>
      <c r="H3060" s="18" t="n">
        <v>68</v>
      </c>
      <c r="I3060" s="19" t="n">
        <v>8.84</v>
      </c>
      <c r="J3060" s="19" t="n">
        <v>8.9</v>
      </c>
      <c r="K3060" s="20" t="n">
        <v>0</v>
      </c>
      <c r="L3060" s="20" t="n">
        <v>0</v>
      </c>
      <c r="M3060" s="18" t="n">
        <v>68</v>
      </c>
      <c r="N3060" s="18" t="n">
        <v>68</v>
      </c>
      <c r="O3060" s="18" t="n">
        <v>0</v>
      </c>
      <c r="P3060" s="17" t="n">
        <v>46030</v>
      </c>
      <c r="Q3060" s="17" t="n">
        <v>46030</v>
      </c>
      <c r="R3060" s="17" t="n">
        <v>46030</v>
      </c>
      <c r="S3060" s="19">
        <f>H3060*I3060</f>
        <v/>
      </c>
      <c r="T3060" s="19">
        <f>H3060*J3060</f>
        <v/>
      </c>
      <c r="U3060">
        <f>IF(AND(K3060=0,G3060&lt;=Assumptions!$C$6),1,0)</f>
        <v/>
      </c>
      <c r="V3060">
        <f>IF(U3060=1,IF(M3060&gt;0,IF(P3060&lt;=G3060+Assumptions!$C$7,1,0),0),0)</f>
        <v/>
      </c>
      <c r="W3060">
        <f>IF(AND(U3060=1,M3060&gt;=H3060*(1-Assumptions!$C$8)),1,0)</f>
        <v/>
      </c>
      <c r="X3060">
        <f>IF(AND(U3060=1,N3060&gt;=H3060*(1-Assumptions!$C$8)),1,0)</f>
        <v/>
      </c>
      <c r="Y3060">
        <f>IF(ISNUMBER(Q3060),1,0)</f>
        <v/>
      </c>
      <c r="Z3060">
        <f>IF(AND(K3060=0,L3060=0,Y3060=0),1,0)</f>
        <v/>
      </c>
      <c r="AA3060">
        <f>IF(AND(Z3060=1,G3060&lt;Assumptions!$C$6),1,0)</f>
        <v/>
      </c>
      <c r="AB3060">
        <f>IF(U3060=0,"",IF(Y3060=1,MAX(0,Q3060-G3060),IF(L3060=1,MAX(0,R3060-G3060),MAX(0,Assumptions!$C$6-G3060))))</f>
        <v/>
      </c>
      <c r="AC3060">
        <f>IF(Y3060=1,Q3060-F3060,"")</f>
        <v/>
      </c>
      <c r="AD3060">
        <f>IF(Y3060=1,AC3060^2,"")</f>
        <v/>
      </c>
      <c r="AE3060" s="19">
        <f>IF(Z3060=1,(H3060-M3060)*I3060,0)</f>
        <v/>
      </c>
      <c r="AF3060">
        <f>IF(G3060&lt;EDATE(Assumptions!$C$6,-12)+1,"prior_12m","last_12m")</f>
        <v/>
      </c>
      <c r="AG3060" s="21">
        <f>DATE(YEAR(G3060),MONTH(G3060),1)</f>
        <v/>
      </c>
    </row>
    <row r="3061">
      <c r="A3061" t="inlineStr">
        <is>
          <t>SPO-01639-1</t>
        </is>
      </c>
      <c r="B3061" t="inlineStr">
        <is>
          <t>SPO-01639</t>
        </is>
      </c>
      <c r="C3061" t="inlineStr">
        <is>
          <t>SUP-12</t>
        </is>
      </c>
      <c r="D3061" t="inlineStr">
        <is>
          <t>IT</t>
        </is>
      </c>
      <c r="E3061" t="inlineStr">
        <is>
          <t>IT-04</t>
        </is>
      </c>
      <c r="F3061" s="17" t="n">
        <v>46024</v>
      </c>
      <c r="G3061" s="17" t="n">
        <v>46034</v>
      </c>
      <c r="H3061" s="18" t="n">
        <v>110</v>
      </c>
      <c r="I3061" s="19" t="n">
        <v>13.25</v>
      </c>
      <c r="J3061" s="19" t="n">
        <v>12</v>
      </c>
      <c r="K3061" s="20" t="n">
        <v>0</v>
      </c>
      <c r="L3061" s="20" t="n">
        <v>0</v>
      </c>
      <c r="M3061" s="18" t="n">
        <v>110</v>
      </c>
      <c r="N3061" s="18" t="n">
        <v>110</v>
      </c>
      <c r="O3061" s="18" t="n">
        <v>0</v>
      </c>
      <c r="P3061" s="17" t="n">
        <v>46030</v>
      </c>
      <c r="Q3061" s="17" t="n">
        <v>46030</v>
      </c>
      <c r="R3061" s="17" t="n">
        <v>46030</v>
      </c>
      <c r="S3061" s="19">
        <f>H3061*I3061</f>
        <v/>
      </c>
      <c r="T3061" s="19">
        <f>H3061*J3061</f>
        <v/>
      </c>
      <c r="U3061">
        <f>IF(AND(K3061=0,G3061&lt;=Assumptions!$C$6),1,0)</f>
        <v/>
      </c>
      <c r="V3061">
        <f>IF(U3061=1,IF(M3061&gt;0,IF(P3061&lt;=G3061+Assumptions!$C$7,1,0),0),0)</f>
        <v/>
      </c>
      <c r="W3061">
        <f>IF(AND(U3061=1,M3061&gt;=H3061*(1-Assumptions!$C$8)),1,0)</f>
        <v/>
      </c>
      <c r="X3061">
        <f>IF(AND(U3061=1,N3061&gt;=H3061*(1-Assumptions!$C$8)),1,0)</f>
        <v/>
      </c>
      <c r="Y3061">
        <f>IF(ISNUMBER(Q3061),1,0)</f>
        <v/>
      </c>
      <c r="Z3061">
        <f>IF(AND(K3061=0,L3061=0,Y3061=0),1,0)</f>
        <v/>
      </c>
      <c r="AA3061">
        <f>IF(AND(Z3061=1,G3061&lt;Assumptions!$C$6),1,0)</f>
        <v/>
      </c>
      <c r="AB3061">
        <f>IF(U3061=0,"",IF(Y3061=1,MAX(0,Q3061-G3061),IF(L3061=1,MAX(0,R3061-G3061),MAX(0,Assumptions!$C$6-G3061))))</f>
        <v/>
      </c>
      <c r="AC3061">
        <f>IF(Y3061=1,Q3061-F3061,"")</f>
        <v/>
      </c>
      <c r="AD3061">
        <f>IF(Y3061=1,AC3061^2,"")</f>
        <v/>
      </c>
      <c r="AE3061" s="19">
        <f>IF(Z3061=1,(H3061-M3061)*I3061,0)</f>
        <v/>
      </c>
      <c r="AF3061">
        <f>IF(G3061&lt;EDATE(Assumptions!$C$6,-12)+1,"prior_12m","last_12m")</f>
        <v/>
      </c>
      <c r="AG3061" s="21">
        <f>DATE(YEAR(G3061),MONTH(G3061),1)</f>
        <v/>
      </c>
    </row>
    <row r="3062">
      <c r="A3062" t="inlineStr">
        <is>
          <t>SPO-01640-1</t>
        </is>
      </c>
      <c r="B3062" t="inlineStr">
        <is>
          <t>SPO-01640</t>
        </is>
      </c>
      <c r="C3062" t="inlineStr">
        <is>
          <t>SUP-11</t>
        </is>
      </c>
      <c r="D3062" t="inlineStr">
        <is>
          <t>PPE</t>
        </is>
      </c>
      <c r="E3062" t="inlineStr">
        <is>
          <t>PPE-08</t>
        </is>
      </c>
      <c r="F3062" s="17" t="n">
        <v>46024</v>
      </c>
      <c r="G3062" s="17" t="n">
        <v>46036</v>
      </c>
      <c r="H3062" s="18" t="n">
        <v>21</v>
      </c>
      <c r="I3062" s="19" t="n">
        <v>62.84</v>
      </c>
      <c r="J3062" s="19" t="n">
        <v>64</v>
      </c>
      <c r="K3062" s="20" t="n">
        <v>0</v>
      </c>
      <c r="L3062" s="20" t="n">
        <v>0</v>
      </c>
      <c r="M3062" s="18" t="n">
        <v>21</v>
      </c>
      <c r="N3062" s="18" t="n">
        <v>21</v>
      </c>
      <c r="O3062" s="18" t="n">
        <v>0</v>
      </c>
      <c r="P3062" s="17" t="n">
        <v>46032</v>
      </c>
      <c r="Q3062" s="17" t="n">
        <v>46032</v>
      </c>
      <c r="R3062" s="17" t="n">
        <v>46032</v>
      </c>
      <c r="S3062" s="19">
        <f>H3062*I3062</f>
        <v/>
      </c>
      <c r="T3062" s="19">
        <f>H3062*J3062</f>
        <v/>
      </c>
      <c r="U3062">
        <f>IF(AND(K3062=0,G3062&lt;=Assumptions!$C$6),1,0)</f>
        <v/>
      </c>
      <c r="V3062">
        <f>IF(U3062=1,IF(M3062&gt;0,IF(P3062&lt;=G3062+Assumptions!$C$7,1,0),0),0)</f>
        <v/>
      </c>
      <c r="W3062">
        <f>IF(AND(U3062=1,M3062&gt;=H3062*(1-Assumptions!$C$8)),1,0)</f>
        <v/>
      </c>
      <c r="X3062">
        <f>IF(AND(U3062=1,N3062&gt;=H3062*(1-Assumptions!$C$8)),1,0)</f>
        <v/>
      </c>
      <c r="Y3062">
        <f>IF(ISNUMBER(Q3062),1,0)</f>
        <v/>
      </c>
      <c r="Z3062">
        <f>IF(AND(K3062=0,L3062=0,Y3062=0),1,0)</f>
        <v/>
      </c>
      <c r="AA3062">
        <f>IF(AND(Z3062=1,G3062&lt;Assumptions!$C$6),1,0)</f>
        <v/>
      </c>
      <c r="AB3062">
        <f>IF(U3062=0,"",IF(Y3062=1,MAX(0,Q3062-G3062),IF(L3062=1,MAX(0,R3062-G3062),MAX(0,Assumptions!$C$6-G3062))))</f>
        <v/>
      </c>
      <c r="AC3062">
        <f>IF(Y3062=1,Q3062-F3062,"")</f>
        <v/>
      </c>
      <c r="AD3062">
        <f>IF(Y3062=1,AC3062^2,"")</f>
        <v/>
      </c>
      <c r="AE3062" s="19">
        <f>IF(Z3062=1,(H3062-M3062)*I3062,0)</f>
        <v/>
      </c>
      <c r="AF3062">
        <f>IF(G3062&lt;EDATE(Assumptions!$C$6,-12)+1,"prior_12m","last_12m")</f>
        <v/>
      </c>
      <c r="AG3062" s="21">
        <f>DATE(YEAR(G3062),MONTH(G3062),1)</f>
        <v/>
      </c>
    </row>
    <row r="3063">
      <c r="A3063" t="inlineStr">
        <is>
          <t>SPO-01640-2</t>
        </is>
      </c>
      <c r="B3063" t="inlineStr">
        <is>
          <t>SPO-01640</t>
        </is>
      </c>
      <c r="C3063" t="inlineStr">
        <is>
          <t>SUP-11</t>
        </is>
      </c>
      <c r="D3063" t="inlineStr">
        <is>
          <t>PPE</t>
        </is>
      </c>
      <c r="E3063" t="inlineStr">
        <is>
          <t>PPE-04</t>
        </is>
      </c>
      <c r="F3063" s="17" t="n">
        <v>46024</v>
      </c>
      <c r="G3063" s="17" t="n">
        <v>46036</v>
      </c>
      <c r="H3063" s="18" t="n">
        <v>57</v>
      </c>
      <c r="I3063" s="19" t="n">
        <v>26.01</v>
      </c>
      <c r="J3063" s="19" t="n">
        <v>26</v>
      </c>
      <c r="K3063" s="20" t="n">
        <v>0</v>
      </c>
      <c r="L3063" s="20" t="n">
        <v>0</v>
      </c>
      <c r="M3063" s="18" t="n">
        <v>57</v>
      </c>
      <c r="N3063" s="18" t="n">
        <v>27</v>
      </c>
      <c r="O3063" s="18" t="n">
        <v>0</v>
      </c>
      <c r="P3063" s="17" t="n">
        <v>46034</v>
      </c>
      <c r="Q3063" s="17" t="n">
        <v>46048</v>
      </c>
      <c r="R3063" s="17" t="n">
        <v>46048</v>
      </c>
      <c r="S3063" s="19">
        <f>H3063*I3063</f>
        <v/>
      </c>
      <c r="T3063" s="19">
        <f>H3063*J3063</f>
        <v/>
      </c>
      <c r="U3063">
        <f>IF(AND(K3063=0,G3063&lt;=Assumptions!$C$6),1,0)</f>
        <v/>
      </c>
      <c r="V3063">
        <f>IF(U3063=1,IF(M3063&gt;0,IF(P3063&lt;=G3063+Assumptions!$C$7,1,0),0),0)</f>
        <v/>
      </c>
      <c r="W3063">
        <f>IF(AND(U3063=1,M3063&gt;=H3063*(1-Assumptions!$C$8)),1,0)</f>
        <v/>
      </c>
      <c r="X3063">
        <f>IF(AND(U3063=1,N3063&gt;=H3063*(1-Assumptions!$C$8)),1,0)</f>
        <v/>
      </c>
      <c r="Y3063">
        <f>IF(ISNUMBER(Q3063),1,0)</f>
        <v/>
      </c>
      <c r="Z3063">
        <f>IF(AND(K3063=0,L3063=0,Y3063=0),1,0)</f>
        <v/>
      </c>
      <c r="AA3063">
        <f>IF(AND(Z3063=1,G3063&lt;Assumptions!$C$6),1,0)</f>
        <v/>
      </c>
      <c r="AB3063">
        <f>IF(U3063=0,"",IF(Y3063=1,MAX(0,Q3063-G3063),IF(L3063=1,MAX(0,R3063-G3063),MAX(0,Assumptions!$C$6-G3063))))</f>
        <v/>
      </c>
      <c r="AC3063">
        <f>IF(Y3063=1,Q3063-F3063,"")</f>
        <v/>
      </c>
      <c r="AD3063">
        <f>IF(Y3063=1,AC3063^2,"")</f>
        <v/>
      </c>
      <c r="AE3063" s="19">
        <f>IF(Z3063=1,(H3063-M3063)*I3063,0)</f>
        <v/>
      </c>
      <c r="AF3063">
        <f>IF(G3063&lt;EDATE(Assumptions!$C$6,-12)+1,"prior_12m","last_12m")</f>
        <v/>
      </c>
      <c r="AG3063" s="21">
        <f>DATE(YEAR(G3063),MONTH(G3063),1)</f>
        <v/>
      </c>
    </row>
    <row r="3064">
      <c r="A3064" t="inlineStr">
        <is>
          <t>SPO-01640-3</t>
        </is>
      </c>
      <c r="B3064" t="inlineStr">
        <is>
          <t>SPO-01640</t>
        </is>
      </c>
      <c r="C3064" t="inlineStr">
        <is>
          <t>SUP-11</t>
        </is>
      </c>
      <c r="D3064" t="inlineStr">
        <is>
          <t>PPE</t>
        </is>
      </c>
      <c r="E3064" t="inlineStr">
        <is>
          <t>PPE-07</t>
        </is>
      </c>
      <c r="F3064" s="17" t="n">
        <v>46024</v>
      </c>
      <c r="G3064" s="17" t="n">
        <v>46036</v>
      </c>
      <c r="H3064" s="18" t="n">
        <v>39</v>
      </c>
      <c r="I3064" s="19" t="n">
        <v>30.1</v>
      </c>
      <c r="J3064" s="19" t="n">
        <v>31</v>
      </c>
      <c r="K3064" s="20" t="n">
        <v>0</v>
      </c>
      <c r="L3064" s="20" t="n">
        <v>0</v>
      </c>
      <c r="M3064" s="18" t="n">
        <v>39</v>
      </c>
      <c r="N3064" s="18" t="n">
        <v>39</v>
      </c>
      <c r="O3064" s="18" t="n">
        <v>0</v>
      </c>
      <c r="P3064" s="17" t="n">
        <v>46035</v>
      </c>
      <c r="Q3064" s="17" t="n">
        <v>46035</v>
      </c>
      <c r="R3064" s="17" t="n">
        <v>46035</v>
      </c>
      <c r="S3064" s="19">
        <f>H3064*I3064</f>
        <v/>
      </c>
      <c r="T3064" s="19">
        <f>H3064*J3064</f>
        <v/>
      </c>
      <c r="U3064">
        <f>IF(AND(K3064=0,G3064&lt;=Assumptions!$C$6),1,0)</f>
        <v/>
      </c>
      <c r="V3064">
        <f>IF(U3064=1,IF(M3064&gt;0,IF(P3064&lt;=G3064+Assumptions!$C$7,1,0),0),0)</f>
        <v/>
      </c>
      <c r="W3064">
        <f>IF(AND(U3064=1,M3064&gt;=H3064*(1-Assumptions!$C$8)),1,0)</f>
        <v/>
      </c>
      <c r="X3064">
        <f>IF(AND(U3064=1,N3064&gt;=H3064*(1-Assumptions!$C$8)),1,0)</f>
        <v/>
      </c>
      <c r="Y3064">
        <f>IF(ISNUMBER(Q3064),1,0)</f>
        <v/>
      </c>
      <c r="Z3064">
        <f>IF(AND(K3064=0,L3064=0,Y3064=0),1,0)</f>
        <v/>
      </c>
      <c r="AA3064">
        <f>IF(AND(Z3064=1,G3064&lt;Assumptions!$C$6),1,0)</f>
        <v/>
      </c>
      <c r="AB3064">
        <f>IF(U3064=0,"",IF(Y3064=1,MAX(0,Q3064-G3064),IF(L3064=1,MAX(0,R3064-G3064),MAX(0,Assumptions!$C$6-G3064))))</f>
        <v/>
      </c>
      <c r="AC3064">
        <f>IF(Y3064=1,Q3064-F3064,"")</f>
        <v/>
      </c>
      <c r="AD3064">
        <f>IF(Y3064=1,AC3064^2,"")</f>
        <v/>
      </c>
      <c r="AE3064" s="19">
        <f>IF(Z3064=1,(H3064-M3064)*I3064,0)</f>
        <v/>
      </c>
      <c r="AF3064">
        <f>IF(G3064&lt;EDATE(Assumptions!$C$6,-12)+1,"prior_12m","last_12m")</f>
        <v/>
      </c>
      <c r="AG3064" s="21">
        <f>DATE(YEAR(G3064),MONTH(G3064),1)</f>
        <v/>
      </c>
    </row>
    <row r="3065">
      <c r="A3065" t="inlineStr">
        <is>
          <t>SPO-01640-4</t>
        </is>
      </c>
      <c r="B3065" t="inlineStr">
        <is>
          <t>SPO-01640</t>
        </is>
      </c>
      <c r="C3065" t="inlineStr">
        <is>
          <t>SUP-11</t>
        </is>
      </c>
      <c r="D3065" t="inlineStr">
        <is>
          <t>PPE</t>
        </is>
      </c>
      <c r="E3065" t="inlineStr">
        <is>
          <t>PPE-06</t>
        </is>
      </c>
      <c r="F3065" s="17" t="n">
        <v>46024</v>
      </c>
      <c r="G3065" s="17" t="n">
        <v>46036</v>
      </c>
      <c r="H3065" s="18" t="n">
        <v>14</v>
      </c>
      <c r="I3065" s="19" t="n">
        <v>116.68</v>
      </c>
      <c r="J3065" s="19" t="n">
        <v>115</v>
      </c>
      <c r="K3065" s="20" t="n">
        <v>0</v>
      </c>
      <c r="L3065" s="20" t="n">
        <v>0</v>
      </c>
      <c r="M3065" s="18" t="n">
        <v>14</v>
      </c>
      <c r="N3065" s="18" t="n">
        <v>14</v>
      </c>
      <c r="O3065" s="18" t="n">
        <v>0</v>
      </c>
      <c r="P3065" s="17" t="n">
        <v>46033</v>
      </c>
      <c r="Q3065" s="17" t="n">
        <v>46033</v>
      </c>
      <c r="R3065" s="17" t="n">
        <v>46033</v>
      </c>
      <c r="S3065" s="19">
        <f>H3065*I3065</f>
        <v/>
      </c>
      <c r="T3065" s="19">
        <f>H3065*J3065</f>
        <v/>
      </c>
      <c r="U3065">
        <f>IF(AND(K3065=0,G3065&lt;=Assumptions!$C$6),1,0)</f>
        <v/>
      </c>
      <c r="V3065">
        <f>IF(U3065=1,IF(M3065&gt;0,IF(P3065&lt;=G3065+Assumptions!$C$7,1,0),0),0)</f>
        <v/>
      </c>
      <c r="W3065">
        <f>IF(AND(U3065=1,M3065&gt;=H3065*(1-Assumptions!$C$8)),1,0)</f>
        <v/>
      </c>
      <c r="X3065">
        <f>IF(AND(U3065=1,N3065&gt;=H3065*(1-Assumptions!$C$8)),1,0)</f>
        <v/>
      </c>
      <c r="Y3065">
        <f>IF(ISNUMBER(Q3065),1,0)</f>
        <v/>
      </c>
      <c r="Z3065">
        <f>IF(AND(K3065=0,L3065=0,Y3065=0),1,0)</f>
        <v/>
      </c>
      <c r="AA3065">
        <f>IF(AND(Z3065=1,G3065&lt;Assumptions!$C$6),1,0)</f>
        <v/>
      </c>
      <c r="AB3065">
        <f>IF(U3065=0,"",IF(Y3065=1,MAX(0,Q3065-G3065),IF(L3065=1,MAX(0,R3065-G3065),MAX(0,Assumptions!$C$6-G3065))))</f>
        <v/>
      </c>
      <c r="AC3065">
        <f>IF(Y3065=1,Q3065-F3065,"")</f>
        <v/>
      </c>
      <c r="AD3065">
        <f>IF(Y3065=1,AC3065^2,"")</f>
        <v/>
      </c>
      <c r="AE3065" s="19">
        <f>IF(Z3065=1,(H3065-M3065)*I3065,0)</f>
        <v/>
      </c>
      <c r="AF3065">
        <f>IF(G3065&lt;EDATE(Assumptions!$C$6,-12)+1,"prior_12m","last_12m")</f>
        <v/>
      </c>
      <c r="AG3065" s="21">
        <f>DATE(YEAR(G3065),MONTH(G3065),1)</f>
        <v/>
      </c>
    </row>
    <row r="3066">
      <c r="A3066" t="inlineStr">
        <is>
          <t>SPO-01641-1</t>
        </is>
      </c>
      <c r="B3066" t="inlineStr">
        <is>
          <t>SPO-01641</t>
        </is>
      </c>
      <c r="C3066" t="inlineStr">
        <is>
          <t>SUP-06</t>
        </is>
      </c>
      <c r="D3066" t="inlineStr">
        <is>
          <t>MRO</t>
        </is>
      </c>
      <c r="E3066" t="inlineStr">
        <is>
          <t>MRO-06</t>
        </is>
      </c>
      <c r="F3066" s="17" t="n">
        <v>46024</v>
      </c>
      <c r="G3066" s="17" t="n">
        <v>46032</v>
      </c>
      <c r="H3066" s="18" t="n">
        <v>106</v>
      </c>
      <c r="I3066" s="19" t="n">
        <v>5.68</v>
      </c>
      <c r="J3066" s="19" t="n">
        <v>6.1</v>
      </c>
      <c r="K3066" s="20" t="n">
        <v>0</v>
      </c>
      <c r="L3066" s="20" t="n">
        <v>0</v>
      </c>
      <c r="M3066" s="18" t="n">
        <v>106</v>
      </c>
      <c r="N3066" s="18" t="n">
        <v>106</v>
      </c>
      <c r="O3066" s="18" t="n">
        <v>0</v>
      </c>
      <c r="P3066" s="17" t="n">
        <v>46032</v>
      </c>
      <c r="Q3066" s="17" t="n">
        <v>46032</v>
      </c>
      <c r="R3066" s="17" t="n">
        <v>46032</v>
      </c>
      <c r="S3066" s="19">
        <f>H3066*I3066</f>
        <v/>
      </c>
      <c r="T3066" s="19">
        <f>H3066*J3066</f>
        <v/>
      </c>
      <c r="U3066">
        <f>IF(AND(K3066=0,G3066&lt;=Assumptions!$C$6),1,0)</f>
        <v/>
      </c>
      <c r="V3066">
        <f>IF(U3066=1,IF(M3066&gt;0,IF(P3066&lt;=G3066+Assumptions!$C$7,1,0),0),0)</f>
        <v/>
      </c>
      <c r="W3066">
        <f>IF(AND(U3066=1,M3066&gt;=H3066*(1-Assumptions!$C$8)),1,0)</f>
        <v/>
      </c>
      <c r="X3066">
        <f>IF(AND(U3066=1,N3066&gt;=H3066*(1-Assumptions!$C$8)),1,0)</f>
        <v/>
      </c>
      <c r="Y3066">
        <f>IF(ISNUMBER(Q3066),1,0)</f>
        <v/>
      </c>
      <c r="Z3066">
        <f>IF(AND(K3066=0,L3066=0,Y3066=0),1,0)</f>
        <v/>
      </c>
      <c r="AA3066">
        <f>IF(AND(Z3066=1,G3066&lt;Assumptions!$C$6),1,0)</f>
        <v/>
      </c>
      <c r="AB3066">
        <f>IF(U3066=0,"",IF(Y3066=1,MAX(0,Q3066-G3066),IF(L3066=1,MAX(0,R3066-G3066),MAX(0,Assumptions!$C$6-G3066))))</f>
        <v/>
      </c>
      <c r="AC3066">
        <f>IF(Y3066=1,Q3066-F3066,"")</f>
        <v/>
      </c>
      <c r="AD3066">
        <f>IF(Y3066=1,AC3066^2,"")</f>
        <v/>
      </c>
      <c r="AE3066" s="19">
        <f>IF(Z3066=1,(H3066-M3066)*I3066,0)</f>
        <v/>
      </c>
      <c r="AF3066">
        <f>IF(G3066&lt;EDATE(Assumptions!$C$6,-12)+1,"prior_12m","last_12m")</f>
        <v/>
      </c>
      <c r="AG3066" s="21">
        <f>DATE(YEAR(G3066),MONTH(G3066),1)</f>
        <v/>
      </c>
    </row>
    <row r="3067">
      <c r="A3067" t="inlineStr">
        <is>
          <t>SPO-01642-1</t>
        </is>
      </c>
      <c r="B3067" t="inlineStr">
        <is>
          <t>SPO-01642</t>
        </is>
      </c>
      <c r="C3067" t="inlineStr">
        <is>
          <t>SUP-12</t>
        </is>
      </c>
      <c r="D3067" t="inlineStr">
        <is>
          <t>IT</t>
        </is>
      </c>
      <c r="E3067" t="inlineStr">
        <is>
          <t>IT-03</t>
        </is>
      </c>
      <c r="F3067" s="17" t="n">
        <v>46024</v>
      </c>
      <c r="G3067" s="17" t="n">
        <v>46034</v>
      </c>
      <c r="H3067" s="18" t="n">
        <v>39</v>
      </c>
      <c r="I3067" s="19" t="n">
        <v>44.66</v>
      </c>
      <c r="J3067" s="19" t="n">
        <v>38</v>
      </c>
      <c r="K3067" s="20" t="n">
        <v>0</v>
      </c>
      <c r="L3067" s="20" t="n">
        <v>0</v>
      </c>
      <c r="M3067" s="18" t="n">
        <v>39</v>
      </c>
      <c r="N3067" s="18" t="n">
        <v>39</v>
      </c>
      <c r="O3067" s="18" t="n">
        <v>0</v>
      </c>
      <c r="P3067" s="17" t="n">
        <v>46030</v>
      </c>
      <c r="Q3067" s="17" t="n">
        <v>46030</v>
      </c>
      <c r="R3067" s="17" t="n">
        <v>46030</v>
      </c>
      <c r="S3067" s="19">
        <f>H3067*I3067</f>
        <v/>
      </c>
      <c r="T3067" s="19">
        <f>H3067*J3067</f>
        <v/>
      </c>
      <c r="U3067">
        <f>IF(AND(K3067=0,G3067&lt;=Assumptions!$C$6),1,0)</f>
        <v/>
      </c>
      <c r="V3067">
        <f>IF(U3067=1,IF(M3067&gt;0,IF(P3067&lt;=G3067+Assumptions!$C$7,1,0),0),0)</f>
        <v/>
      </c>
      <c r="W3067">
        <f>IF(AND(U3067=1,M3067&gt;=H3067*(1-Assumptions!$C$8)),1,0)</f>
        <v/>
      </c>
      <c r="X3067">
        <f>IF(AND(U3067=1,N3067&gt;=H3067*(1-Assumptions!$C$8)),1,0)</f>
        <v/>
      </c>
      <c r="Y3067">
        <f>IF(ISNUMBER(Q3067),1,0)</f>
        <v/>
      </c>
      <c r="Z3067">
        <f>IF(AND(K3067=0,L3067=0,Y3067=0),1,0)</f>
        <v/>
      </c>
      <c r="AA3067">
        <f>IF(AND(Z3067=1,G3067&lt;Assumptions!$C$6),1,0)</f>
        <v/>
      </c>
      <c r="AB3067">
        <f>IF(U3067=0,"",IF(Y3067=1,MAX(0,Q3067-G3067),IF(L3067=1,MAX(0,R3067-G3067),MAX(0,Assumptions!$C$6-G3067))))</f>
        <v/>
      </c>
      <c r="AC3067">
        <f>IF(Y3067=1,Q3067-F3067,"")</f>
        <v/>
      </c>
      <c r="AD3067">
        <f>IF(Y3067=1,AC3067^2,"")</f>
        <v/>
      </c>
      <c r="AE3067" s="19">
        <f>IF(Z3067=1,(H3067-M3067)*I3067,0)</f>
        <v/>
      </c>
      <c r="AF3067">
        <f>IF(G3067&lt;EDATE(Assumptions!$C$6,-12)+1,"prior_12m","last_12m")</f>
        <v/>
      </c>
      <c r="AG3067" s="21">
        <f>DATE(YEAR(G3067),MONTH(G3067),1)</f>
        <v/>
      </c>
    </row>
    <row r="3068">
      <c r="A3068" t="inlineStr">
        <is>
          <t>SPO-01643-1</t>
        </is>
      </c>
      <c r="B3068" t="inlineStr">
        <is>
          <t>SPO-01643</t>
        </is>
      </c>
      <c r="C3068" t="inlineStr">
        <is>
          <t>SUP-14</t>
        </is>
      </c>
      <c r="D3068" t="inlineStr">
        <is>
          <t>FLEET</t>
        </is>
      </c>
      <c r="E3068" t="inlineStr">
        <is>
          <t>FLEET-05</t>
        </is>
      </c>
      <c r="F3068" s="17" t="n">
        <v>46025</v>
      </c>
      <c r="G3068" s="17" t="n">
        <v>46039</v>
      </c>
      <c r="H3068" s="18" t="n">
        <v>18</v>
      </c>
      <c r="I3068" s="19" t="n">
        <v>174.94</v>
      </c>
      <c r="J3068" s="19" t="n">
        <v>168</v>
      </c>
      <c r="K3068" s="20" t="n">
        <v>0</v>
      </c>
      <c r="L3068" s="20" t="n">
        <v>0</v>
      </c>
      <c r="M3068" s="18" t="n">
        <v>18</v>
      </c>
      <c r="N3068" s="18" t="n">
        <v>14</v>
      </c>
      <c r="O3068" s="18" t="n">
        <v>0</v>
      </c>
      <c r="P3068" s="17" t="n">
        <v>46036</v>
      </c>
      <c r="Q3068" s="17" t="n">
        <v>46056</v>
      </c>
      <c r="R3068" s="17" t="n">
        <v>46056</v>
      </c>
      <c r="S3068" s="19">
        <f>H3068*I3068</f>
        <v/>
      </c>
      <c r="T3068" s="19">
        <f>H3068*J3068</f>
        <v/>
      </c>
      <c r="U3068">
        <f>IF(AND(K3068=0,G3068&lt;=Assumptions!$C$6),1,0)</f>
        <v/>
      </c>
      <c r="V3068">
        <f>IF(U3068=1,IF(M3068&gt;0,IF(P3068&lt;=G3068+Assumptions!$C$7,1,0),0),0)</f>
        <v/>
      </c>
      <c r="W3068">
        <f>IF(AND(U3068=1,M3068&gt;=H3068*(1-Assumptions!$C$8)),1,0)</f>
        <v/>
      </c>
      <c r="X3068">
        <f>IF(AND(U3068=1,N3068&gt;=H3068*(1-Assumptions!$C$8)),1,0)</f>
        <v/>
      </c>
      <c r="Y3068">
        <f>IF(ISNUMBER(Q3068),1,0)</f>
        <v/>
      </c>
      <c r="Z3068">
        <f>IF(AND(K3068=0,L3068=0,Y3068=0),1,0)</f>
        <v/>
      </c>
      <c r="AA3068">
        <f>IF(AND(Z3068=1,G3068&lt;Assumptions!$C$6),1,0)</f>
        <v/>
      </c>
      <c r="AB3068">
        <f>IF(U3068=0,"",IF(Y3068=1,MAX(0,Q3068-G3068),IF(L3068=1,MAX(0,R3068-G3068),MAX(0,Assumptions!$C$6-G3068))))</f>
        <v/>
      </c>
      <c r="AC3068">
        <f>IF(Y3068=1,Q3068-F3068,"")</f>
        <v/>
      </c>
      <c r="AD3068">
        <f>IF(Y3068=1,AC3068^2,"")</f>
        <v/>
      </c>
      <c r="AE3068" s="19">
        <f>IF(Z3068=1,(H3068-M3068)*I3068,0)</f>
        <v/>
      </c>
      <c r="AF3068">
        <f>IF(G3068&lt;EDATE(Assumptions!$C$6,-12)+1,"prior_12m","last_12m")</f>
        <v/>
      </c>
      <c r="AG3068" s="21">
        <f>DATE(YEAR(G3068),MONTH(G3068),1)</f>
        <v/>
      </c>
    </row>
    <row r="3069">
      <c r="A3069" t="inlineStr">
        <is>
          <t>SPO-01643-2</t>
        </is>
      </c>
      <c r="B3069" t="inlineStr">
        <is>
          <t>SPO-01643</t>
        </is>
      </c>
      <c r="C3069" t="inlineStr">
        <is>
          <t>SUP-14</t>
        </is>
      </c>
      <c r="D3069" t="inlineStr">
        <is>
          <t>FLEET</t>
        </is>
      </c>
      <c r="E3069" t="inlineStr">
        <is>
          <t>FLEET-07</t>
        </is>
      </c>
      <c r="F3069" s="17" t="n">
        <v>46025</v>
      </c>
      <c r="G3069" s="17" t="n">
        <v>46039</v>
      </c>
      <c r="H3069" s="18" t="n">
        <v>13</v>
      </c>
      <c r="I3069" s="19" t="n">
        <v>119.92</v>
      </c>
      <c r="J3069" s="19" t="n">
        <v>118</v>
      </c>
      <c r="K3069" s="20" t="n">
        <v>0</v>
      </c>
      <c r="L3069" s="20" t="n">
        <v>0</v>
      </c>
      <c r="M3069" s="18" t="n">
        <v>13</v>
      </c>
      <c r="N3069" s="18" t="n">
        <v>13</v>
      </c>
      <c r="O3069" s="18" t="n">
        <v>0</v>
      </c>
      <c r="P3069" s="17" t="n">
        <v>46034</v>
      </c>
      <c r="Q3069" s="17" t="n">
        <v>46034</v>
      </c>
      <c r="R3069" s="17" t="n">
        <v>46034</v>
      </c>
      <c r="S3069" s="19">
        <f>H3069*I3069</f>
        <v/>
      </c>
      <c r="T3069" s="19">
        <f>H3069*J3069</f>
        <v/>
      </c>
      <c r="U3069">
        <f>IF(AND(K3069=0,G3069&lt;=Assumptions!$C$6),1,0)</f>
        <v/>
      </c>
      <c r="V3069">
        <f>IF(U3069=1,IF(M3069&gt;0,IF(P3069&lt;=G3069+Assumptions!$C$7,1,0),0),0)</f>
        <v/>
      </c>
      <c r="W3069">
        <f>IF(AND(U3069=1,M3069&gt;=H3069*(1-Assumptions!$C$8)),1,0)</f>
        <v/>
      </c>
      <c r="X3069">
        <f>IF(AND(U3069=1,N3069&gt;=H3069*(1-Assumptions!$C$8)),1,0)</f>
        <v/>
      </c>
      <c r="Y3069">
        <f>IF(ISNUMBER(Q3069),1,0)</f>
        <v/>
      </c>
      <c r="Z3069">
        <f>IF(AND(K3069=0,L3069=0,Y3069=0),1,0)</f>
        <v/>
      </c>
      <c r="AA3069">
        <f>IF(AND(Z3069=1,G3069&lt;Assumptions!$C$6),1,0)</f>
        <v/>
      </c>
      <c r="AB3069">
        <f>IF(U3069=0,"",IF(Y3069=1,MAX(0,Q3069-G3069),IF(L3069=1,MAX(0,R3069-G3069),MAX(0,Assumptions!$C$6-G3069))))</f>
        <v/>
      </c>
      <c r="AC3069">
        <f>IF(Y3069=1,Q3069-F3069,"")</f>
        <v/>
      </c>
      <c r="AD3069">
        <f>IF(Y3069=1,AC3069^2,"")</f>
        <v/>
      </c>
      <c r="AE3069" s="19">
        <f>IF(Z3069=1,(H3069-M3069)*I3069,0)</f>
        <v/>
      </c>
      <c r="AF3069">
        <f>IF(G3069&lt;EDATE(Assumptions!$C$6,-12)+1,"prior_12m","last_12m")</f>
        <v/>
      </c>
      <c r="AG3069" s="21">
        <f>DATE(YEAR(G3069),MONTH(G3069),1)</f>
        <v/>
      </c>
    </row>
    <row r="3070">
      <c r="A3070" t="inlineStr">
        <is>
          <t>SPO-01644-1</t>
        </is>
      </c>
      <c r="B3070" t="inlineStr">
        <is>
          <t>SPO-01644</t>
        </is>
      </c>
      <c r="C3070" t="inlineStr">
        <is>
          <t>SUP-08</t>
        </is>
      </c>
      <c r="D3070" t="inlineStr">
        <is>
          <t>PPE</t>
        </is>
      </c>
      <c r="E3070" t="inlineStr">
        <is>
          <t>PPE-02</t>
        </is>
      </c>
      <c r="F3070" s="17" t="n">
        <v>46025</v>
      </c>
      <c r="G3070" s="17" t="n">
        <v>46036</v>
      </c>
      <c r="H3070" s="18" t="n">
        <v>194</v>
      </c>
      <c r="I3070" s="19" t="n">
        <v>12.34</v>
      </c>
      <c r="J3070" s="19" t="n">
        <v>12.5</v>
      </c>
      <c r="K3070" s="20" t="n">
        <v>0</v>
      </c>
      <c r="L3070" s="20" t="n">
        <v>0</v>
      </c>
      <c r="M3070" s="18" t="n">
        <v>194</v>
      </c>
      <c r="N3070" s="18" t="n">
        <v>194</v>
      </c>
      <c r="O3070" s="18" t="n">
        <v>0</v>
      </c>
      <c r="P3070" s="17" t="n">
        <v>46034</v>
      </c>
      <c r="Q3070" s="17" t="n">
        <v>46034</v>
      </c>
      <c r="R3070" s="17" t="n">
        <v>46034</v>
      </c>
      <c r="S3070" s="19">
        <f>H3070*I3070</f>
        <v/>
      </c>
      <c r="T3070" s="19">
        <f>H3070*J3070</f>
        <v/>
      </c>
      <c r="U3070">
        <f>IF(AND(K3070=0,G3070&lt;=Assumptions!$C$6),1,0)</f>
        <v/>
      </c>
      <c r="V3070">
        <f>IF(U3070=1,IF(M3070&gt;0,IF(P3070&lt;=G3070+Assumptions!$C$7,1,0),0),0)</f>
        <v/>
      </c>
      <c r="W3070">
        <f>IF(AND(U3070=1,M3070&gt;=H3070*(1-Assumptions!$C$8)),1,0)</f>
        <v/>
      </c>
      <c r="X3070">
        <f>IF(AND(U3070=1,N3070&gt;=H3070*(1-Assumptions!$C$8)),1,0)</f>
        <v/>
      </c>
      <c r="Y3070">
        <f>IF(ISNUMBER(Q3070),1,0)</f>
        <v/>
      </c>
      <c r="Z3070">
        <f>IF(AND(K3070=0,L3070=0,Y3070=0),1,0)</f>
        <v/>
      </c>
      <c r="AA3070">
        <f>IF(AND(Z3070=1,G3070&lt;Assumptions!$C$6),1,0)</f>
        <v/>
      </c>
      <c r="AB3070">
        <f>IF(U3070=0,"",IF(Y3070=1,MAX(0,Q3070-G3070),IF(L3070=1,MAX(0,R3070-G3070),MAX(0,Assumptions!$C$6-G3070))))</f>
        <v/>
      </c>
      <c r="AC3070">
        <f>IF(Y3070=1,Q3070-F3070,"")</f>
        <v/>
      </c>
      <c r="AD3070">
        <f>IF(Y3070=1,AC3070^2,"")</f>
        <v/>
      </c>
      <c r="AE3070" s="19">
        <f>IF(Z3070=1,(H3070-M3070)*I3070,0)</f>
        <v/>
      </c>
      <c r="AF3070">
        <f>IF(G3070&lt;EDATE(Assumptions!$C$6,-12)+1,"prior_12m","last_12m")</f>
        <v/>
      </c>
      <c r="AG3070" s="21">
        <f>DATE(YEAR(G3070),MONTH(G3070),1)</f>
        <v/>
      </c>
    </row>
    <row r="3071">
      <c r="A3071" t="inlineStr">
        <is>
          <t>SPO-01645-1</t>
        </is>
      </c>
      <c r="B3071" t="inlineStr">
        <is>
          <t>SPO-01645</t>
        </is>
      </c>
      <c r="C3071" t="inlineStr">
        <is>
          <t>SUP-05</t>
        </is>
      </c>
      <c r="D3071" t="inlineStr">
        <is>
          <t>FLEET</t>
        </is>
      </c>
      <c r="E3071" t="inlineStr">
        <is>
          <t>FLEET-07</t>
        </is>
      </c>
      <c r="F3071" s="17" t="n">
        <v>46025</v>
      </c>
      <c r="G3071" s="17" t="n">
        <v>46039</v>
      </c>
      <c r="H3071" s="18" t="n">
        <v>23</v>
      </c>
      <c r="I3071" s="19" t="n">
        <v>118.37</v>
      </c>
      <c r="J3071" s="19" t="n">
        <v>118</v>
      </c>
      <c r="K3071" s="20" t="n">
        <v>0</v>
      </c>
      <c r="L3071" s="20" t="n">
        <v>0</v>
      </c>
      <c r="M3071" s="18" t="n">
        <v>23</v>
      </c>
      <c r="N3071" s="18" t="n">
        <v>23</v>
      </c>
      <c r="O3071" s="18" t="n">
        <v>0</v>
      </c>
      <c r="P3071" s="17" t="n">
        <v>46036</v>
      </c>
      <c r="Q3071" s="17" t="n">
        <v>46036</v>
      </c>
      <c r="R3071" s="17" t="n">
        <v>46036</v>
      </c>
      <c r="S3071" s="19">
        <f>H3071*I3071</f>
        <v/>
      </c>
      <c r="T3071" s="19">
        <f>H3071*J3071</f>
        <v/>
      </c>
      <c r="U3071">
        <f>IF(AND(K3071=0,G3071&lt;=Assumptions!$C$6),1,0)</f>
        <v/>
      </c>
      <c r="V3071">
        <f>IF(U3071=1,IF(M3071&gt;0,IF(P3071&lt;=G3071+Assumptions!$C$7,1,0),0),0)</f>
        <v/>
      </c>
      <c r="W3071">
        <f>IF(AND(U3071=1,M3071&gt;=H3071*(1-Assumptions!$C$8)),1,0)</f>
        <v/>
      </c>
      <c r="X3071">
        <f>IF(AND(U3071=1,N3071&gt;=H3071*(1-Assumptions!$C$8)),1,0)</f>
        <v/>
      </c>
      <c r="Y3071">
        <f>IF(ISNUMBER(Q3071),1,0)</f>
        <v/>
      </c>
      <c r="Z3071">
        <f>IF(AND(K3071=0,L3071=0,Y3071=0),1,0)</f>
        <v/>
      </c>
      <c r="AA3071">
        <f>IF(AND(Z3071=1,G3071&lt;Assumptions!$C$6),1,0)</f>
        <v/>
      </c>
      <c r="AB3071">
        <f>IF(U3071=0,"",IF(Y3071=1,MAX(0,Q3071-G3071),IF(L3071=1,MAX(0,R3071-G3071),MAX(0,Assumptions!$C$6-G3071))))</f>
        <v/>
      </c>
      <c r="AC3071">
        <f>IF(Y3071=1,Q3071-F3071,"")</f>
        <v/>
      </c>
      <c r="AD3071">
        <f>IF(Y3071=1,AC3071^2,"")</f>
        <v/>
      </c>
      <c r="AE3071" s="19">
        <f>IF(Z3071=1,(H3071-M3071)*I3071,0)</f>
        <v/>
      </c>
      <c r="AF3071">
        <f>IF(G3071&lt;EDATE(Assumptions!$C$6,-12)+1,"prior_12m","last_12m")</f>
        <v/>
      </c>
      <c r="AG3071" s="21">
        <f>DATE(YEAR(G3071),MONTH(G3071),1)</f>
        <v/>
      </c>
    </row>
    <row r="3072">
      <c r="A3072" t="inlineStr">
        <is>
          <t>SPO-01645-2</t>
        </is>
      </c>
      <c r="B3072" t="inlineStr">
        <is>
          <t>SPO-01645</t>
        </is>
      </c>
      <c r="C3072" t="inlineStr">
        <is>
          <t>SUP-05</t>
        </is>
      </c>
      <c r="D3072" t="inlineStr">
        <is>
          <t>FLEET</t>
        </is>
      </c>
      <c r="E3072" t="inlineStr">
        <is>
          <t>FLEET-04</t>
        </is>
      </c>
      <c r="F3072" s="17" t="n">
        <v>46025</v>
      </c>
      <c r="G3072" s="17" t="n">
        <v>46039</v>
      </c>
      <c r="H3072" s="18" t="n">
        <v>130</v>
      </c>
      <c r="I3072" s="19" t="n">
        <v>9.17</v>
      </c>
      <c r="J3072" s="19" t="n">
        <v>9</v>
      </c>
      <c r="K3072" s="20" t="n">
        <v>0</v>
      </c>
      <c r="L3072" s="20" t="n">
        <v>0</v>
      </c>
      <c r="M3072" s="18" t="n">
        <v>130</v>
      </c>
      <c r="N3072" s="18" t="n">
        <v>130</v>
      </c>
      <c r="O3072" s="18" t="n">
        <v>0</v>
      </c>
      <c r="P3072" s="17" t="n">
        <v>46031</v>
      </c>
      <c r="Q3072" s="17" t="n">
        <v>46031</v>
      </c>
      <c r="R3072" s="17" t="n">
        <v>46031</v>
      </c>
      <c r="S3072" s="19">
        <f>H3072*I3072</f>
        <v/>
      </c>
      <c r="T3072" s="19">
        <f>H3072*J3072</f>
        <v/>
      </c>
      <c r="U3072">
        <f>IF(AND(K3072=0,G3072&lt;=Assumptions!$C$6),1,0)</f>
        <v/>
      </c>
      <c r="V3072">
        <f>IF(U3072=1,IF(M3072&gt;0,IF(P3072&lt;=G3072+Assumptions!$C$7,1,0),0),0)</f>
        <v/>
      </c>
      <c r="W3072">
        <f>IF(AND(U3072=1,M3072&gt;=H3072*(1-Assumptions!$C$8)),1,0)</f>
        <v/>
      </c>
      <c r="X3072">
        <f>IF(AND(U3072=1,N3072&gt;=H3072*(1-Assumptions!$C$8)),1,0)</f>
        <v/>
      </c>
      <c r="Y3072">
        <f>IF(ISNUMBER(Q3072),1,0)</f>
        <v/>
      </c>
      <c r="Z3072">
        <f>IF(AND(K3072=0,L3072=0,Y3072=0),1,0)</f>
        <v/>
      </c>
      <c r="AA3072">
        <f>IF(AND(Z3072=1,G3072&lt;Assumptions!$C$6),1,0)</f>
        <v/>
      </c>
      <c r="AB3072">
        <f>IF(U3072=0,"",IF(Y3072=1,MAX(0,Q3072-G3072),IF(L3072=1,MAX(0,R3072-G3072),MAX(0,Assumptions!$C$6-G3072))))</f>
        <v/>
      </c>
      <c r="AC3072">
        <f>IF(Y3072=1,Q3072-F3072,"")</f>
        <v/>
      </c>
      <c r="AD3072">
        <f>IF(Y3072=1,AC3072^2,"")</f>
        <v/>
      </c>
      <c r="AE3072" s="19">
        <f>IF(Z3072=1,(H3072-M3072)*I3072,0)</f>
        <v/>
      </c>
      <c r="AF3072">
        <f>IF(G3072&lt;EDATE(Assumptions!$C$6,-12)+1,"prior_12m","last_12m")</f>
        <v/>
      </c>
      <c r="AG3072" s="21">
        <f>DATE(YEAR(G3072),MONTH(G3072),1)</f>
        <v/>
      </c>
    </row>
    <row r="3073">
      <c r="A3073" t="inlineStr">
        <is>
          <t>SPO-01645-3</t>
        </is>
      </c>
      <c r="B3073" t="inlineStr">
        <is>
          <t>SPO-01645</t>
        </is>
      </c>
      <c r="C3073" t="inlineStr">
        <is>
          <t>SUP-05</t>
        </is>
      </c>
      <c r="D3073" t="inlineStr">
        <is>
          <t>FLEET</t>
        </is>
      </c>
      <c r="E3073" t="inlineStr">
        <is>
          <t>FLEET-06</t>
        </is>
      </c>
      <c r="F3073" s="17" t="n">
        <v>46025</v>
      </c>
      <c r="G3073" s="17" t="n">
        <v>46039</v>
      </c>
      <c r="H3073" s="18" t="n">
        <v>30</v>
      </c>
      <c r="I3073" s="19" t="n">
        <v>34.76</v>
      </c>
      <c r="J3073" s="19" t="n">
        <v>33</v>
      </c>
      <c r="K3073" s="20" t="n">
        <v>0</v>
      </c>
      <c r="L3073" s="20" t="n">
        <v>0</v>
      </c>
      <c r="M3073" s="18" t="n">
        <v>30</v>
      </c>
      <c r="N3073" s="18" t="n">
        <v>30</v>
      </c>
      <c r="O3073" s="18" t="n">
        <v>0</v>
      </c>
      <c r="P3073" s="17" t="n">
        <v>46038</v>
      </c>
      <c r="Q3073" s="17" t="n">
        <v>46038</v>
      </c>
      <c r="R3073" s="17" t="n">
        <v>46038</v>
      </c>
      <c r="S3073" s="19">
        <f>H3073*I3073</f>
        <v/>
      </c>
      <c r="T3073" s="19">
        <f>H3073*J3073</f>
        <v/>
      </c>
      <c r="U3073">
        <f>IF(AND(K3073=0,G3073&lt;=Assumptions!$C$6),1,0)</f>
        <v/>
      </c>
      <c r="V3073">
        <f>IF(U3073=1,IF(M3073&gt;0,IF(P3073&lt;=G3073+Assumptions!$C$7,1,0),0),0)</f>
        <v/>
      </c>
      <c r="W3073">
        <f>IF(AND(U3073=1,M3073&gt;=H3073*(1-Assumptions!$C$8)),1,0)</f>
        <v/>
      </c>
      <c r="X3073">
        <f>IF(AND(U3073=1,N3073&gt;=H3073*(1-Assumptions!$C$8)),1,0)</f>
        <v/>
      </c>
      <c r="Y3073">
        <f>IF(ISNUMBER(Q3073),1,0)</f>
        <v/>
      </c>
      <c r="Z3073">
        <f>IF(AND(K3073=0,L3073=0,Y3073=0),1,0)</f>
        <v/>
      </c>
      <c r="AA3073">
        <f>IF(AND(Z3073=1,G3073&lt;Assumptions!$C$6),1,0)</f>
        <v/>
      </c>
      <c r="AB3073">
        <f>IF(U3073=0,"",IF(Y3073=1,MAX(0,Q3073-G3073),IF(L3073=1,MAX(0,R3073-G3073),MAX(0,Assumptions!$C$6-G3073))))</f>
        <v/>
      </c>
      <c r="AC3073">
        <f>IF(Y3073=1,Q3073-F3073,"")</f>
        <v/>
      </c>
      <c r="AD3073">
        <f>IF(Y3073=1,AC3073^2,"")</f>
        <v/>
      </c>
      <c r="AE3073" s="19">
        <f>IF(Z3073=1,(H3073-M3073)*I3073,0)</f>
        <v/>
      </c>
      <c r="AF3073">
        <f>IF(G3073&lt;EDATE(Assumptions!$C$6,-12)+1,"prior_12m","last_12m")</f>
        <v/>
      </c>
      <c r="AG3073" s="21">
        <f>DATE(YEAR(G3073),MONTH(G3073),1)</f>
        <v/>
      </c>
    </row>
    <row r="3074">
      <c r="A3074" t="inlineStr">
        <is>
          <t>SPO-01646-1</t>
        </is>
      </c>
      <c r="B3074" t="inlineStr">
        <is>
          <t>SPO-01646</t>
        </is>
      </c>
      <c r="C3074" t="inlineStr">
        <is>
          <t>SUP-14</t>
        </is>
      </c>
      <c r="D3074" t="inlineStr">
        <is>
          <t>FLEET</t>
        </is>
      </c>
      <c r="E3074" t="inlineStr">
        <is>
          <t>FLEET-03</t>
        </is>
      </c>
      <c r="F3074" s="17" t="n">
        <v>46026</v>
      </c>
      <c r="G3074" s="17" t="n">
        <v>46040</v>
      </c>
      <c r="H3074" s="18" t="n">
        <v>53</v>
      </c>
      <c r="I3074" s="19" t="n">
        <v>20.28</v>
      </c>
      <c r="J3074" s="19" t="n">
        <v>21</v>
      </c>
      <c r="K3074" s="20" t="n">
        <v>0</v>
      </c>
      <c r="L3074" s="20" t="n">
        <v>0</v>
      </c>
      <c r="M3074" s="18" t="n">
        <v>53</v>
      </c>
      <c r="N3074" s="18" t="n">
        <v>0</v>
      </c>
      <c r="O3074" s="18" t="n">
        <v>0</v>
      </c>
      <c r="P3074" s="17" t="n">
        <v>46043</v>
      </c>
      <c r="Q3074" s="17" t="n">
        <v>46043</v>
      </c>
      <c r="R3074" s="17" t="n">
        <v>46043</v>
      </c>
      <c r="S3074" s="19">
        <f>H3074*I3074</f>
        <v/>
      </c>
      <c r="T3074" s="19">
        <f>H3074*J3074</f>
        <v/>
      </c>
      <c r="U3074">
        <f>IF(AND(K3074=0,G3074&lt;=Assumptions!$C$6),1,0)</f>
        <v/>
      </c>
      <c r="V3074">
        <f>IF(U3074=1,IF(M3074&gt;0,IF(P3074&lt;=G3074+Assumptions!$C$7,1,0),0),0)</f>
        <v/>
      </c>
      <c r="W3074">
        <f>IF(AND(U3074=1,M3074&gt;=H3074*(1-Assumptions!$C$8)),1,0)</f>
        <v/>
      </c>
      <c r="X3074">
        <f>IF(AND(U3074=1,N3074&gt;=H3074*(1-Assumptions!$C$8)),1,0)</f>
        <v/>
      </c>
      <c r="Y3074">
        <f>IF(ISNUMBER(Q3074),1,0)</f>
        <v/>
      </c>
      <c r="Z3074">
        <f>IF(AND(K3074=0,L3074=0,Y3074=0),1,0)</f>
        <v/>
      </c>
      <c r="AA3074">
        <f>IF(AND(Z3074=1,G3074&lt;Assumptions!$C$6),1,0)</f>
        <v/>
      </c>
      <c r="AB3074">
        <f>IF(U3074=0,"",IF(Y3074=1,MAX(0,Q3074-G3074),IF(L3074=1,MAX(0,R3074-G3074),MAX(0,Assumptions!$C$6-G3074))))</f>
        <v/>
      </c>
      <c r="AC3074">
        <f>IF(Y3074=1,Q3074-F3074,"")</f>
        <v/>
      </c>
      <c r="AD3074">
        <f>IF(Y3074=1,AC3074^2,"")</f>
        <v/>
      </c>
      <c r="AE3074" s="19">
        <f>IF(Z3074=1,(H3074-M3074)*I3074,0)</f>
        <v/>
      </c>
      <c r="AF3074">
        <f>IF(G3074&lt;EDATE(Assumptions!$C$6,-12)+1,"prior_12m","last_12m")</f>
        <v/>
      </c>
      <c r="AG3074" s="21">
        <f>DATE(YEAR(G3074),MONTH(G3074),1)</f>
        <v/>
      </c>
    </row>
    <row r="3075">
      <c r="A3075" t="inlineStr">
        <is>
          <t>SPO-01646-2</t>
        </is>
      </c>
      <c r="B3075" t="inlineStr">
        <is>
          <t>SPO-01646</t>
        </is>
      </c>
      <c r="C3075" t="inlineStr">
        <is>
          <t>SUP-14</t>
        </is>
      </c>
      <c r="D3075" t="inlineStr">
        <is>
          <t>FLEET</t>
        </is>
      </c>
      <c r="E3075" t="inlineStr">
        <is>
          <t>FLEET-06</t>
        </is>
      </c>
      <c r="F3075" s="17" t="n">
        <v>46026</v>
      </c>
      <c r="G3075" s="17" t="n">
        <v>46040</v>
      </c>
      <c r="H3075" s="18" t="n">
        <v>95</v>
      </c>
      <c r="I3075" s="19" t="n">
        <v>31.36</v>
      </c>
      <c r="J3075" s="19" t="n">
        <v>33</v>
      </c>
      <c r="K3075" s="20" t="n">
        <v>0</v>
      </c>
      <c r="L3075" s="20" t="n">
        <v>0</v>
      </c>
      <c r="M3075" s="18" t="n">
        <v>95</v>
      </c>
      <c r="N3075" s="18" t="n">
        <v>95</v>
      </c>
      <c r="O3075" s="18" t="n">
        <v>0</v>
      </c>
      <c r="P3075" s="17" t="n">
        <v>46034</v>
      </c>
      <c r="Q3075" s="17" t="n">
        <v>46034</v>
      </c>
      <c r="R3075" s="17" t="n">
        <v>46034</v>
      </c>
      <c r="S3075" s="19">
        <f>H3075*I3075</f>
        <v/>
      </c>
      <c r="T3075" s="19">
        <f>H3075*J3075</f>
        <v/>
      </c>
      <c r="U3075">
        <f>IF(AND(K3075=0,G3075&lt;=Assumptions!$C$6),1,0)</f>
        <v/>
      </c>
      <c r="V3075">
        <f>IF(U3075=1,IF(M3075&gt;0,IF(P3075&lt;=G3075+Assumptions!$C$7,1,0),0),0)</f>
        <v/>
      </c>
      <c r="W3075">
        <f>IF(AND(U3075=1,M3075&gt;=H3075*(1-Assumptions!$C$8)),1,0)</f>
        <v/>
      </c>
      <c r="X3075">
        <f>IF(AND(U3075=1,N3075&gt;=H3075*(1-Assumptions!$C$8)),1,0)</f>
        <v/>
      </c>
      <c r="Y3075">
        <f>IF(ISNUMBER(Q3075),1,0)</f>
        <v/>
      </c>
      <c r="Z3075">
        <f>IF(AND(K3075=0,L3075=0,Y3075=0),1,0)</f>
        <v/>
      </c>
      <c r="AA3075">
        <f>IF(AND(Z3075=1,G3075&lt;Assumptions!$C$6),1,0)</f>
        <v/>
      </c>
      <c r="AB3075">
        <f>IF(U3075=0,"",IF(Y3075=1,MAX(0,Q3075-G3075),IF(L3075=1,MAX(0,R3075-G3075),MAX(0,Assumptions!$C$6-G3075))))</f>
        <v/>
      </c>
      <c r="AC3075">
        <f>IF(Y3075=1,Q3075-F3075,"")</f>
        <v/>
      </c>
      <c r="AD3075">
        <f>IF(Y3075=1,AC3075^2,"")</f>
        <v/>
      </c>
      <c r="AE3075" s="19">
        <f>IF(Z3075=1,(H3075-M3075)*I3075,0)</f>
        <v/>
      </c>
      <c r="AF3075">
        <f>IF(G3075&lt;EDATE(Assumptions!$C$6,-12)+1,"prior_12m","last_12m")</f>
        <v/>
      </c>
      <c r="AG3075" s="21">
        <f>DATE(YEAR(G3075),MONTH(G3075),1)</f>
        <v/>
      </c>
    </row>
    <row r="3076">
      <c r="A3076" t="inlineStr">
        <is>
          <t>SPO-01647-1</t>
        </is>
      </c>
      <c r="B3076" t="inlineStr">
        <is>
          <t>SPO-01647</t>
        </is>
      </c>
      <c r="C3076" t="inlineStr">
        <is>
          <t>SUP-05</t>
        </is>
      </c>
      <c r="D3076" t="inlineStr">
        <is>
          <t>FLEET</t>
        </is>
      </c>
      <c r="E3076" t="inlineStr">
        <is>
          <t>FLEET-08</t>
        </is>
      </c>
      <c r="F3076" s="17" t="n">
        <v>46026</v>
      </c>
      <c r="G3076" s="17" t="n">
        <v>46040</v>
      </c>
      <c r="H3076" s="18" t="n">
        <v>114</v>
      </c>
      <c r="I3076" s="19" t="n">
        <v>6.97</v>
      </c>
      <c r="J3076" s="19" t="n">
        <v>6.4</v>
      </c>
      <c r="K3076" s="20" t="n">
        <v>0</v>
      </c>
      <c r="L3076" s="20" t="n">
        <v>0</v>
      </c>
      <c r="M3076" s="18" t="n">
        <v>114</v>
      </c>
      <c r="N3076" s="18" t="n">
        <v>114</v>
      </c>
      <c r="O3076" s="18" t="n">
        <v>0</v>
      </c>
      <c r="P3076" s="17" t="n">
        <v>46035</v>
      </c>
      <c r="Q3076" s="17" t="n">
        <v>46035</v>
      </c>
      <c r="R3076" s="17" t="n">
        <v>46035</v>
      </c>
      <c r="S3076" s="19">
        <f>H3076*I3076</f>
        <v/>
      </c>
      <c r="T3076" s="19">
        <f>H3076*J3076</f>
        <v/>
      </c>
      <c r="U3076">
        <f>IF(AND(K3076=0,G3076&lt;=Assumptions!$C$6),1,0)</f>
        <v/>
      </c>
      <c r="V3076">
        <f>IF(U3076=1,IF(M3076&gt;0,IF(P3076&lt;=G3076+Assumptions!$C$7,1,0),0),0)</f>
        <v/>
      </c>
      <c r="W3076">
        <f>IF(AND(U3076=1,M3076&gt;=H3076*(1-Assumptions!$C$8)),1,0)</f>
        <v/>
      </c>
      <c r="X3076">
        <f>IF(AND(U3076=1,N3076&gt;=H3076*(1-Assumptions!$C$8)),1,0)</f>
        <v/>
      </c>
      <c r="Y3076">
        <f>IF(ISNUMBER(Q3076),1,0)</f>
        <v/>
      </c>
      <c r="Z3076">
        <f>IF(AND(K3076=0,L3076=0,Y3076=0),1,0)</f>
        <v/>
      </c>
      <c r="AA3076">
        <f>IF(AND(Z3076=1,G3076&lt;Assumptions!$C$6),1,0)</f>
        <v/>
      </c>
      <c r="AB3076">
        <f>IF(U3076=0,"",IF(Y3076=1,MAX(0,Q3076-G3076),IF(L3076=1,MAX(0,R3076-G3076),MAX(0,Assumptions!$C$6-G3076))))</f>
        <v/>
      </c>
      <c r="AC3076">
        <f>IF(Y3076=1,Q3076-F3076,"")</f>
        <v/>
      </c>
      <c r="AD3076">
        <f>IF(Y3076=1,AC3076^2,"")</f>
        <v/>
      </c>
      <c r="AE3076" s="19">
        <f>IF(Z3076=1,(H3076-M3076)*I3076,0)</f>
        <v/>
      </c>
      <c r="AF3076">
        <f>IF(G3076&lt;EDATE(Assumptions!$C$6,-12)+1,"prior_12m","last_12m")</f>
        <v/>
      </c>
      <c r="AG3076" s="21">
        <f>DATE(YEAR(G3076),MONTH(G3076),1)</f>
        <v/>
      </c>
    </row>
    <row r="3077">
      <c r="A3077" t="inlineStr">
        <is>
          <t>SPO-01647-2</t>
        </is>
      </c>
      <c r="B3077" t="inlineStr">
        <is>
          <t>SPO-01647</t>
        </is>
      </c>
      <c r="C3077" t="inlineStr">
        <is>
          <t>SUP-05</t>
        </is>
      </c>
      <c r="D3077" t="inlineStr">
        <is>
          <t>FLEET</t>
        </is>
      </c>
      <c r="E3077" t="inlineStr">
        <is>
          <t>FLEET-04</t>
        </is>
      </c>
      <c r="F3077" s="17" t="n">
        <v>46026</v>
      </c>
      <c r="G3077" s="17" t="n">
        <v>46040</v>
      </c>
      <c r="H3077" s="18" t="n">
        <v>104</v>
      </c>
      <c r="I3077" s="19" t="n">
        <v>9.279999999999999</v>
      </c>
      <c r="J3077" s="19" t="n">
        <v>9</v>
      </c>
      <c r="K3077" s="20" t="n">
        <v>0</v>
      </c>
      <c r="L3077" s="20" t="n">
        <v>0</v>
      </c>
      <c r="M3077" s="18" t="n">
        <v>104</v>
      </c>
      <c r="N3077" s="18" t="n">
        <v>104</v>
      </c>
      <c r="O3077" s="18" t="n">
        <v>0</v>
      </c>
      <c r="P3077" s="17" t="n">
        <v>46035</v>
      </c>
      <c r="Q3077" s="17" t="n">
        <v>46035</v>
      </c>
      <c r="R3077" s="17" t="n">
        <v>46035</v>
      </c>
      <c r="S3077" s="19">
        <f>H3077*I3077</f>
        <v/>
      </c>
      <c r="T3077" s="19">
        <f>H3077*J3077</f>
        <v/>
      </c>
      <c r="U3077">
        <f>IF(AND(K3077=0,G3077&lt;=Assumptions!$C$6),1,0)</f>
        <v/>
      </c>
      <c r="V3077">
        <f>IF(U3077=1,IF(M3077&gt;0,IF(P3077&lt;=G3077+Assumptions!$C$7,1,0),0),0)</f>
        <v/>
      </c>
      <c r="W3077">
        <f>IF(AND(U3077=1,M3077&gt;=H3077*(1-Assumptions!$C$8)),1,0)</f>
        <v/>
      </c>
      <c r="X3077">
        <f>IF(AND(U3077=1,N3077&gt;=H3077*(1-Assumptions!$C$8)),1,0)</f>
        <v/>
      </c>
      <c r="Y3077">
        <f>IF(ISNUMBER(Q3077),1,0)</f>
        <v/>
      </c>
      <c r="Z3077">
        <f>IF(AND(K3077=0,L3077=0,Y3077=0),1,0)</f>
        <v/>
      </c>
      <c r="AA3077">
        <f>IF(AND(Z3077=1,G3077&lt;Assumptions!$C$6),1,0)</f>
        <v/>
      </c>
      <c r="AB3077">
        <f>IF(U3077=0,"",IF(Y3077=1,MAX(0,Q3077-G3077),IF(L3077=1,MAX(0,R3077-G3077),MAX(0,Assumptions!$C$6-G3077))))</f>
        <v/>
      </c>
      <c r="AC3077">
        <f>IF(Y3077=1,Q3077-F3077,"")</f>
        <v/>
      </c>
      <c r="AD3077">
        <f>IF(Y3077=1,AC3077^2,"")</f>
        <v/>
      </c>
      <c r="AE3077" s="19">
        <f>IF(Z3077=1,(H3077-M3077)*I3077,0)</f>
        <v/>
      </c>
      <c r="AF3077">
        <f>IF(G3077&lt;EDATE(Assumptions!$C$6,-12)+1,"prior_12m","last_12m")</f>
        <v/>
      </c>
      <c r="AG3077" s="21">
        <f>DATE(YEAR(G3077),MONTH(G3077),1)</f>
        <v/>
      </c>
    </row>
    <row r="3078">
      <c r="A3078" t="inlineStr">
        <is>
          <t>SPO-01648-1</t>
        </is>
      </c>
      <c r="B3078" t="inlineStr">
        <is>
          <t>SPO-01648</t>
        </is>
      </c>
      <c r="C3078" t="inlineStr">
        <is>
          <t>SUP-01</t>
        </is>
      </c>
      <c r="D3078" t="inlineStr">
        <is>
          <t>ELEC</t>
        </is>
      </c>
      <c r="E3078" t="inlineStr">
        <is>
          <t>ELEC-07</t>
        </is>
      </c>
      <c r="F3078" s="17" t="n">
        <v>46026</v>
      </c>
      <c r="G3078" s="17" t="n">
        <v>46044</v>
      </c>
      <c r="H3078" s="18" t="n">
        <v>465</v>
      </c>
      <c r="I3078" s="19" t="n">
        <v>9.32</v>
      </c>
      <c r="J3078" s="19" t="n">
        <v>9.800000000000001</v>
      </c>
      <c r="K3078" s="20" t="n">
        <v>0</v>
      </c>
      <c r="L3078" s="20" t="n">
        <v>0</v>
      </c>
      <c r="M3078" s="18" t="n">
        <v>465</v>
      </c>
      <c r="N3078" s="18" t="n">
        <v>465</v>
      </c>
      <c r="O3078" s="18" t="n">
        <v>0</v>
      </c>
      <c r="P3078" s="17" t="n">
        <v>46041</v>
      </c>
      <c r="Q3078" s="17" t="n">
        <v>46041</v>
      </c>
      <c r="R3078" s="17" t="n">
        <v>46041</v>
      </c>
      <c r="S3078" s="19">
        <f>H3078*I3078</f>
        <v/>
      </c>
      <c r="T3078" s="19">
        <f>H3078*J3078</f>
        <v/>
      </c>
      <c r="U3078">
        <f>IF(AND(K3078=0,G3078&lt;=Assumptions!$C$6),1,0)</f>
        <v/>
      </c>
      <c r="V3078">
        <f>IF(U3078=1,IF(M3078&gt;0,IF(P3078&lt;=G3078+Assumptions!$C$7,1,0),0),0)</f>
        <v/>
      </c>
      <c r="W3078">
        <f>IF(AND(U3078=1,M3078&gt;=H3078*(1-Assumptions!$C$8)),1,0)</f>
        <v/>
      </c>
      <c r="X3078">
        <f>IF(AND(U3078=1,N3078&gt;=H3078*(1-Assumptions!$C$8)),1,0)</f>
        <v/>
      </c>
      <c r="Y3078">
        <f>IF(ISNUMBER(Q3078),1,0)</f>
        <v/>
      </c>
      <c r="Z3078">
        <f>IF(AND(K3078=0,L3078=0,Y3078=0),1,0)</f>
        <v/>
      </c>
      <c r="AA3078">
        <f>IF(AND(Z3078=1,G3078&lt;Assumptions!$C$6),1,0)</f>
        <v/>
      </c>
      <c r="AB3078">
        <f>IF(U3078=0,"",IF(Y3078=1,MAX(0,Q3078-G3078),IF(L3078=1,MAX(0,R3078-G3078),MAX(0,Assumptions!$C$6-G3078))))</f>
        <v/>
      </c>
      <c r="AC3078">
        <f>IF(Y3078=1,Q3078-F3078,"")</f>
        <v/>
      </c>
      <c r="AD3078">
        <f>IF(Y3078=1,AC3078^2,"")</f>
        <v/>
      </c>
      <c r="AE3078" s="19">
        <f>IF(Z3078=1,(H3078-M3078)*I3078,0)</f>
        <v/>
      </c>
      <c r="AF3078">
        <f>IF(G3078&lt;EDATE(Assumptions!$C$6,-12)+1,"prior_12m","last_12m")</f>
        <v/>
      </c>
      <c r="AG3078" s="21">
        <f>DATE(YEAR(G3078),MONTH(G3078),1)</f>
        <v/>
      </c>
    </row>
    <row r="3079">
      <c r="A3079" t="inlineStr">
        <is>
          <t>SPO-01648-2</t>
        </is>
      </c>
      <c r="B3079" t="inlineStr">
        <is>
          <t>SPO-01648</t>
        </is>
      </c>
      <c r="C3079" t="inlineStr">
        <is>
          <t>SUP-01</t>
        </is>
      </c>
      <c r="D3079" t="inlineStr">
        <is>
          <t>ELEC</t>
        </is>
      </c>
      <c r="E3079" t="inlineStr">
        <is>
          <t>ELEC-04</t>
        </is>
      </c>
      <c r="F3079" s="17" t="n">
        <v>46026</v>
      </c>
      <c r="G3079" s="17" t="n">
        <v>46044</v>
      </c>
      <c r="H3079" s="18" t="n">
        <v>25</v>
      </c>
      <c r="I3079" s="19" t="n">
        <v>72.97</v>
      </c>
      <c r="J3079" s="19" t="n">
        <v>72</v>
      </c>
      <c r="K3079" s="20" t="n">
        <v>0</v>
      </c>
      <c r="L3079" s="20" t="n">
        <v>0</v>
      </c>
      <c r="M3079" s="18" t="n">
        <v>25</v>
      </c>
      <c r="N3079" s="18" t="n">
        <v>25</v>
      </c>
      <c r="O3079" s="18" t="n">
        <v>0</v>
      </c>
      <c r="P3079" s="17" t="n">
        <v>46039</v>
      </c>
      <c r="Q3079" s="17" t="n">
        <v>46039</v>
      </c>
      <c r="R3079" s="17" t="n">
        <v>46039</v>
      </c>
      <c r="S3079" s="19">
        <f>H3079*I3079</f>
        <v/>
      </c>
      <c r="T3079" s="19">
        <f>H3079*J3079</f>
        <v/>
      </c>
      <c r="U3079">
        <f>IF(AND(K3079=0,G3079&lt;=Assumptions!$C$6),1,0)</f>
        <v/>
      </c>
      <c r="V3079">
        <f>IF(U3079=1,IF(M3079&gt;0,IF(P3079&lt;=G3079+Assumptions!$C$7,1,0),0),0)</f>
        <v/>
      </c>
      <c r="W3079">
        <f>IF(AND(U3079=1,M3079&gt;=H3079*(1-Assumptions!$C$8)),1,0)</f>
        <v/>
      </c>
      <c r="X3079">
        <f>IF(AND(U3079=1,N3079&gt;=H3079*(1-Assumptions!$C$8)),1,0)</f>
        <v/>
      </c>
      <c r="Y3079">
        <f>IF(ISNUMBER(Q3079),1,0)</f>
        <v/>
      </c>
      <c r="Z3079">
        <f>IF(AND(K3079=0,L3079=0,Y3079=0),1,0)</f>
        <v/>
      </c>
      <c r="AA3079">
        <f>IF(AND(Z3079=1,G3079&lt;Assumptions!$C$6),1,0)</f>
        <v/>
      </c>
      <c r="AB3079">
        <f>IF(U3079=0,"",IF(Y3079=1,MAX(0,Q3079-G3079),IF(L3079=1,MAX(0,R3079-G3079),MAX(0,Assumptions!$C$6-G3079))))</f>
        <v/>
      </c>
      <c r="AC3079">
        <f>IF(Y3079=1,Q3079-F3079,"")</f>
        <v/>
      </c>
      <c r="AD3079">
        <f>IF(Y3079=1,AC3079^2,"")</f>
        <v/>
      </c>
      <c r="AE3079" s="19">
        <f>IF(Z3079=1,(H3079-M3079)*I3079,0)</f>
        <v/>
      </c>
      <c r="AF3079">
        <f>IF(G3079&lt;EDATE(Assumptions!$C$6,-12)+1,"prior_12m","last_12m")</f>
        <v/>
      </c>
      <c r="AG3079" s="21">
        <f>DATE(YEAR(G3079),MONTH(G3079),1)</f>
        <v/>
      </c>
    </row>
    <row r="3080">
      <c r="A3080" t="inlineStr">
        <is>
          <t>SPO-01649-1</t>
        </is>
      </c>
      <c r="B3080" t="inlineStr">
        <is>
          <t>SPO-01649</t>
        </is>
      </c>
      <c r="C3080" t="inlineStr">
        <is>
          <t>SUP-12</t>
        </is>
      </c>
      <c r="D3080" t="inlineStr">
        <is>
          <t>IT</t>
        </is>
      </c>
      <c r="E3080" t="inlineStr">
        <is>
          <t>IT-01</t>
        </is>
      </c>
      <c r="F3080" s="17" t="n">
        <v>46026</v>
      </c>
      <c r="G3080" s="17" t="n">
        <v>46036</v>
      </c>
      <c r="H3080" s="18" t="n">
        <v>11</v>
      </c>
      <c r="I3080" s="19" t="n">
        <v>215.8</v>
      </c>
      <c r="J3080" s="19" t="n">
        <v>189</v>
      </c>
      <c r="K3080" s="20" t="n">
        <v>0</v>
      </c>
      <c r="L3080" s="20" t="n">
        <v>0</v>
      </c>
      <c r="M3080" s="18" t="n">
        <v>11</v>
      </c>
      <c r="N3080" s="18" t="n">
        <v>11</v>
      </c>
      <c r="O3080" s="18" t="n">
        <v>0</v>
      </c>
      <c r="P3080" s="17" t="n">
        <v>46036</v>
      </c>
      <c r="Q3080" s="17" t="n">
        <v>46036</v>
      </c>
      <c r="R3080" s="17" t="n">
        <v>46036</v>
      </c>
      <c r="S3080" s="19">
        <f>H3080*I3080</f>
        <v/>
      </c>
      <c r="T3080" s="19">
        <f>H3080*J3080</f>
        <v/>
      </c>
      <c r="U3080">
        <f>IF(AND(K3080=0,G3080&lt;=Assumptions!$C$6),1,0)</f>
        <v/>
      </c>
      <c r="V3080">
        <f>IF(U3080=1,IF(M3080&gt;0,IF(P3080&lt;=G3080+Assumptions!$C$7,1,0),0),0)</f>
        <v/>
      </c>
      <c r="W3080">
        <f>IF(AND(U3080=1,M3080&gt;=H3080*(1-Assumptions!$C$8)),1,0)</f>
        <v/>
      </c>
      <c r="X3080">
        <f>IF(AND(U3080=1,N3080&gt;=H3080*(1-Assumptions!$C$8)),1,0)</f>
        <v/>
      </c>
      <c r="Y3080">
        <f>IF(ISNUMBER(Q3080),1,0)</f>
        <v/>
      </c>
      <c r="Z3080">
        <f>IF(AND(K3080=0,L3080=0,Y3080=0),1,0)</f>
        <v/>
      </c>
      <c r="AA3080">
        <f>IF(AND(Z3080=1,G3080&lt;Assumptions!$C$6),1,0)</f>
        <v/>
      </c>
      <c r="AB3080">
        <f>IF(U3080=0,"",IF(Y3080=1,MAX(0,Q3080-G3080),IF(L3080=1,MAX(0,R3080-G3080),MAX(0,Assumptions!$C$6-G3080))))</f>
        <v/>
      </c>
      <c r="AC3080">
        <f>IF(Y3080=1,Q3080-F3080,"")</f>
        <v/>
      </c>
      <c r="AD3080">
        <f>IF(Y3080=1,AC3080^2,"")</f>
        <v/>
      </c>
      <c r="AE3080" s="19">
        <f>IF(Z3080=1,(H3080-M3080)*I3080,0)</f>
        <v/>
      </c>
      <c r="AF3080">
        <f>IF(G3080&lt;EDATE(Assumptions!$C$6,-12)+1,"prior_12m","last_12m")</f>
        <v/>
      </c>
      <c r="AG3080" s="21">
        <f>DATE(YEAR(G3080),MONTH(G3080),1)</f>
        <v/>
      </c>
    </row>
    <row r="3081">
      <c r="A3081" t="inlineStr">
        <is>
          <t>SPO-01649-2</t>
        </is>
      </c>
      <c r="B3081" t="inlineStr">
        <is>
          <t>SPO-01649</t>
        </is>
      </c>
      <c r="C3081" t="inlineStr">
        <is>
          <t>SUP-12</t>
        </is>
      </c>
      <c r="D3081" t="inlineStr">
        <is>
          <t>IT</t>
        </is>
      </c>
      <c r="E3081" t="inlineStr">
        <is>
          <t>IT-06</t>
        </is>
      </c>
      <c r="F3081" s="17" t="n">
        <v>46026</v>
      </c>
      <c r="G3081" s="17" t="n">
        <v>46036</v>
      </c>
      <c r="H3081" s="18" t="n">
        <v>9</v>
      </c>
      <c r="I3081" s="19" t="n">
        <v>98.78</v>
      </c>
      <c r="J3081" s="19" t="n">
        <v>89</v>
      </c>
      <c r="K3081" s="20" t="n">
        <v>0</v>
      </c>
      <c r="L3081" s="20" t="n">
        <v>0</v>
      </c>
      <c r="M3081" s="18" t="n">
        <v>9</v>
      </c>
      <c r="N3081" s="18" t="n">
        <v>6</v>
      </c>
      <c r="O3081" s="18" t="n">
        <v>0</v>
      </c>
      <c r="P3081" s="17" t="n">
        <v>46034</v>
      </c>
      <c r="Q3081" s="17" t="n">
        <v>46039</v>
      </c>
      <c r="R3081" s="17" t="n">
        <v>46039</v>
      </c>
      <c r="S3081" s="19">
        <f>H3081*I3081</f>
        <v/>
      </c>
      <c r="T3081" s="19">
        <f>H3081*J3081</f>
        <v/>
      </c>
      <c r="U3081">
        <f>IF(AND(K3081=0,G3081&lt;=Assumptions!$C$6),1,0)</f>
        <v/>
      </c>
      <c r="V3081">
        <f>IF(U3081=1,IF(M3081&gt;0,IF(P3081&lt;=G3081+Assumptions!$C$7,1,0),0),0)</f>
        <v/>
      </c>
      <c r="W3081">
        <f>IF(AND(U3081=1,M3081&gt;=H3081*(1-Assumptions!$C$8)),1,0)</f>
        <v/>
      </c>
      <c r="X3081">
        <f>IF(AND(U3081=1,N3081&gt;=H3081*(1-Assumptions!$C$8)),1,0)</f>
        <v/>
      </c>
      <c r="Y3081">
        <f>IF(ISNUMBER(Q3081),1,0)</f>
        <v/>
      </c>
      <c r="Z3081">
        <f>IF(AND(K3081=0,L3081=0,Y3081=0),1,0)</f>
        <v/>
      </c>
      <c r="AA3081">
        <f>IF(AND(Z3081=1,G3081&lt;Assumptions!$C$6),1,0)</f>
        <v/>
      </c>
      <c r="AB3081">
        <f>IF(U3081=0,"",IF(Y3081=1,MAX(0,Q3081-G3081),IF(L3081=1,MAX(0,R3081-G3081),MAX(0,Assumptions!$C$6-G3081))))</f>
        <v/>
      </c>
      <c r="AC3081">
        <f>IF(Y3081=1,Q3081-F3081,"")</f>
        <v/>
      </c>
      <c r="AD3081">
        <f>IF(Y3081=1,AC3081^2,"")</f>
        <v/>
      </c>
      <c r="AE3081" s="19">
        <f>IF(Z3081=1,(H3081-M3081)*I3081,0)</f>
        <v/>
      </c>
      <c r="AF3081">
        <f>IF(G3081&lt;EDATE(Assumptions!$C$6,-12)+1,"prior_12m","last_12m")</f>
        <v/>
      </c>
      <c r="AG3081" s="21">
        <f>DATE(YEAR(G3081),MONTH(G3081),1)</f>
        <v/>
      </c>
    </row>
    <row r="3082">
      <c r="A3082" t="inlineStr">
        <is>
          <t>SPO-01649-3</t>
        </is>
      </c>
      <c r="B3082" t="inlineStr">
        <is>
          <t>SPO-01649</t>
        </is>
      </c>
      <c r="C3082" t="inlineStr">
        <is>
          <t>SUP-12</t>
        </is>
      </c>
      <c r="D3082" t="inlineStr">
        <is>
          <t>IT</t>
        </is>
      </c>
      <c r="E3082" t="inlineStr">
        <is>
          <t>IT-02</t>
        </is>
      </c>
      <c r="F3082" s="17" t="n">
        <v>46026</v>
      </c>
      <c r="G3082" s="17" t="n">
        <v>46036</v>
      </c>
      <c r="H3082" s="18" t="n">
        <v>7</v>
      </c>
      <c r="I3082" s="19" t="n">
        <v>173.72</v>
      </c>
      <c r="J3082" s="19" t="n">
        <v>162</v>
      </c>
      <c r="K3082" s="20" t="n">
        <v>0</v>
      </c>
      <c r="L3082" s="20" t="n">
        <v>0</v>
      </c>
      <c r="M3082" s="18" t="n">
        <v>7</v>
      </c>
      <c r="N3082" s="18" t="n">
        <v>4</v>
      </c>
      <c r="O3082" s="18" t="n">
        <v>0</v>
      </c>
      <c r="P3082" s="17" t="n">
        <v>46036</v>
      </c>
      <c r="Q3082" s="17" t="n">
        <v>46050</v>
      </c>
      <c r="R3082" s="17" t="n">
        <v>46050</v>
      </c>
      <c r="S3082" s="19">
        <f>H3082*I3082</f>
        <v/>
      </c>
      <c r="T3082" s="19">
        <f>H3082*J3082</f>
        <v/>
      </c>
      <c r="U3082">
        <f>IF(AND(K3082=0,G3082&lt;=Assumptions!$C$6),1,0)</f>
        <v/>
      </c>
      <c r="V3082">
        <f>IF(U3082=1,IF(M3082&gt;0,IF(P3082&lt;=G3082+Assumptions!$C$7,1,0),0),0)</f>
        <v/>
      </c>
      <c r="W3082">
        <f>IF(AND(U3082=1,M3082&gt;=H3082*(1-Assumptions!$C$8)),1,0)</f>
        <v/>
      </c>
      <c r="X3082">
        <f>IF(AND(U3082=1,N3082&gt;=H3082*(1-Assumptions!$C$8)),1,0)</f>
        <v/>
      </c>
      <c r="Y3082">
        <f>IF(ISNUMBER(Q3082),1,0)</f>
        <v/>
      </c>
      <c r="Z3082">
        <f>IF(AND(K3082=0,L3082=0,Y3082=0),1,0)</f>
        <v/>
      </c>
      <c r="AA3082">
        <f>IF(AND(Z3082=1,G3082&lt;Assumptions!$C$6),1,0)</f>
        <v/>
      </c>
      <c r="AB3082">
        <f>IF(U3082=0,"",IF(Y3082=1,MAX(0,Q3082-G3082),IF(L3082=1,MAX(0,R3082-G3082),MAX(0,Assumptions!$C$6-G3082))))</f>
        <v/>
      </c>
      <c r="AC3082">
        <f>IF(Y3082=1,Q3082-F3082,"")</f>
        <v/>
      </c>
      <c r="AD3082">
        <f>IF(Y3082=1,AC3082^2,"")</f>
        <v/>
      </c>
      <c r="AE3082" s="19">
        <f>IF(Z3082=1,(H3082-M3082)*I3082,0)</f>
        <v/>
      </c>
      <c r="AF3082">
        <f>IF(G3082&lt;EDATE(Assumptions!$C$6,-12)+1,"prior_12m","last_12m")</f>
        <v/>
      </c>
      <c r="AG3082" s="21">
        <f>DATE(YEAR(G3082),MONTH(G3082),1)</f>
        <v/>
      </c>
    </row>
    <row r="3083">
      <c r="A3083" t="inlineStr">
        <is>
          <t>SPO-01650-1</t>
        </is>
      </c>
      <c r="B3083" t="inlineStr">
        <is>
          <t>SPO-01650</t>
        </is>
      </c>
      <c r="C3083" t="inlineStr">
        <is>
          <t>SUP-01</t>
        </is>
      </c>
      <c r="D3083" t="inlineStr">
        <is>
          <t>ELEC</t>
        </is>
      </c>
      <c r="E3083" t="inlineStr">
        <is>
          <t>ELEC-06</t>
        </is>
      </c>
      <c r="F3083" s="17" t="n">
        <v>46026</v>
      </c>
      <c r="G3083" s="17" t="n">
        <v>46044</v>
      </c>
      <c r="H3083" s="18" t="n">
        <v>11</v>
      </c>
      <c r="I3083" s="19" t="n">
        <v>148.11</v>
      </c>
      <c r="J3083" s="19" t="n">
        <v>145</v>
      </c>
      <c r="K3083" s="20" t="n">
        <v>0</v>
      </c>
      <c r="L3083" s="20" t="n">
        <v>0</v>
      </c>
      <c r="M3083" s="18" t="n">
        <v>11</v>
      </c>
      <c r="N3083" s="18" t="n">
        <v>11</v>
      </c>
      <c r="O3083" s="18" t="n">
        <v>0</v>
      </c>
      <c r="P3083" s="17" t="n">
        <v>46038</v>
      </c>
      <c r="Q3083" s="17" t="n">
        <v>46038</v>
      </c>
      <c r="R3083" s="17" t="n">
        <v>46038</v>
      </c>
      <c r="S3083" s="19">
        <f>H3083*I3083</f>
        <v/>
      </c>
      <c r="T3083" s="19">
        <f>H3083*J3083</f>
        <v/>
      </c>
      <c r="U3083">
        <f>IF(AND(K3083=0,G3083&lt;=Assumptions!$C$6),1,0)</f>
        <v/>
      </c>
      <c r="V3083">
        <f>IF(U3083=1,IF(M3083&gt;0,IF(P3083&lt;=G3083+Assumptions!$C$7,1,0),0),0)</f>
        <v/>
      </c>
      <c r="W3083">
        <f>IF(AND(U3083=1,M3083&gt;=H3083*(1-Assumptions!$C$8)),1,0)</f>
        <v/>
      </c>
      <c r="X3083">
        <f>IF(AND(U3083=1,N3083&gt;=H3083*(1-Assumptions!$C$8)),1,0)</f>
        <v/>
      </c>
      <c r="Y3083">
        <f>IF(ISNUMBER(Q3083),1,0)</f>
        <v/>
      </c>
      <c r="Z3083">
        <f>IF(AND(K3083=0,L3083=0,Y3083=0),1,0)</f>
        <v/>
      </c>
      <c r="AA3083">
        <f>IF(AND(Z3083=1,G3083&lt;Assumptions!$C$6),1,0)</f>
        <v/>
      </c>
      <c r="AB3083">
        <f>IF(U3083=0,"",IF(Y3083=1,MAX(0,Q3083-G3083),IF(L3083=1,MAX(0,R3083-G3083),MAX(0,Assumptions!$C$6-G3083))))</f>
        <v/>
      </c>
      <c r="AC3083">
        <f>IF(Y3083=1,Q3083-F3083,"")</f>
        <v/>
      </c>
      <c r="AD3083">
        <f>IF(Y3083=1,AC3083^2,"")</f>
        <v/>
      </c>
      <c r="AE3083" s="19">
        <f>IF(Z3083=1,(H3083-M3083)*I3083,0)</f>
        <v/>
      </c>
      <c r="AF3083">
        <f>IF(G3083&lt;EDATE(Assumptions!$C$6,-12)+1,"prior_12m","last_12m")</f>
        <v/>
      </c>
      <c r="AG3083" s="21">
        <f>DATE(YEAR(G3083),MONTH(G3083),1)</f>
        <v/>
      </c>
    </row>
    <row r="3084">
      <c r="A3084" t="inlineStr">
        <is>
          <t>SPO-01650-2</t>
        </is>
      </c>
      <c r="B3084" t="inlineStr">
        <is>
          <t>SPO-01650</t>
        </is>
      </c>
      <c r="C3084" t="inlineStr">
        <is>
          <t>SUP-01</t>
        </is>
      </c>
      <c r="D3084" t="inlineStr">
        <is>
          <t>ELEC</t>
        </is>
      </c>
      <c r="E3084" t="inlineStr">
        <is>
          <t>ELEC-03</t>
        </is>
      </c>
      <c r="F3084" s="17" t="n">
        <v>46026</v>
      </c>
      <c r="G3084" s="17" t="n">
        <v>46044</v>
      </c>
      <c r="H3084" s="18" t="n">
        <v>39</v>
      </c>
      <c r="I3084" s="19" t="n">
        <v>94.83</v>
      </c>
      <c r="J3084" s="19" t="n">
        <v>96</v>
      </c>
      <c r="K3084" s="20" t="n">
        <v>0</v>
      </c>
      <c r="L3084" s="20" t="n">
        <v>0</v>
      </c>
      <c r="M3084" s="18" t="n">
        <v>39</v>
      </c>
      <c r="N3084" s="18" t="n">
        <v>0</v>
      </c>
      <c r="O3084" s="18" t="n">
        <v>0</v>
      </c>
      <c r="P3084" s="17" t="n">
        <v>46046</v>
      </c>
      <c r="Q3084" s="17" t="n">
        <v>46046</v>
      </c>
      <c r="R3084" s="17" t="n">
        <v>46046</v>
      </c>
      <c r="S3084" s="19">
        <f>H3084*I3084</f>
        <v/>
      </c>
      <c r="T3084" s="19">
        <f>H3084*J3084</f>
        <v/>
      </c>
      <c r="U3084">
        <f>IF(AND(K3084=0,G3084&lt;=Assumptions!$C$6),1,0)</f>
        <v/>
      </c>
      <c r="V3084">
        <f>IF(U3084=1,IF(M3084&gt;0,IF(P3084&lt;=G3084+Assumptions!$C$7,1,0),0),0)</f>
        <v/>
      </c>
      <c r="W3084">
        <f>IF(AND(U3084=1,M3084&gt;=H3084*(1-Assumptions!$C$8)),1,0)</f>
        <v/>
      </c>
      <c r="X3084">
        <f>IF(AND(U3084=1,N3084&gt;=H3084*(1-Assumptions!$C$8)),1,0)</f>
        <v/>
      </c>
      <c r="Y3084">
        <f>IF(ISNUMBER(Q3084),1,0)</f>
        <v/>
      </c>
      <c r="Z3084">
        <f>IF(AND(K3084=0,L3084=0,Y3084=0),1,0)</f>
        <v/>
      </c>
      <c r="AA3084">
        <f>IF(AND(Z3084=1,G3084&lt;Assumptions!$C$6),1,0)</f>
        <v/>
      </c>
      <c r="AB3084">
        <f>IF(U3084=0,"",IF(Y3084=1,MAX(0,Q3084-G3084),IF(L3084=1,MAX(0,R3084-G3084),MAX(0,Assumptions!$C$6-G3084))))</f>
        <v/>
      </c>
      <c r="AC3084">
        <f>IF(Y3084=1,Q3084-F3084,"")</f>
        <v/>
      </c>
      <c r="AD3084">
        <f>IF(Y3084=1,AC3084^2,"")</f>
        <v/>
      </c>
      <c r="AE3084" s="19">
        <f>IF(Z3084=1,(H3084-M3084)*I3084,0)</f>
        <v/>
      </c>
      <c r="AF3084">
        <f>IF(G3084&lt;EDATE(Assumptions!$C$6,-12)+1,"prior_12m","last_12m")</f>
        <v/>
      </c>
      <c r="AG3084" s="21">
        <f>DATE(YEAR(G3084),MONTH(G3084),1)</f>
        <v/>
      </c>
    </row>
    <row r="3085">
      <c r="A3085" t="inlineStr">
        <is>
          <t>SPO-01651-1</t>
        </is>
      </c>
      <c r="B3085" t="inlineStr">
        <is>
          <t>SPO-01651</t>
        </is>
      </c>
      <c r="C3085" t="inlineStr">
        <is>
          <t>SUP-09</t>
        </is>
      </c>
      <c r="D3085" t="inlineStr">
        <is>
          <t>CHEM</t>
        </is>
      </c>
      <c r="E3085" t="inlineStr">
        <is>
          <t>CHEM-01</t>
        </is>
      </c>
      <c r="F3085" s="17" t="n">
        <v>46027</v>
      </c>
      <c r="G3085" s="17" t="n">
        <v>46041</v>
      </c>
      <c r="H3085" s="18" t="n">
        <v>1</v>
      </c>
      <c r="I3085" s="19" t="n">
        <v>634.27</v>
      </c>
      <c r="J3085" s="19" t="n">
        <v>640</v>
      </c>
      <c r="K3085" s="20" t="n">
        <v>0</v>
      </c>
      <c r="L3085" s="20" t="n">
        <v>0</v>
      </c>
      <c r="M3085" s="18" t="n">
        <v>1</v>
      </c>
      <c r="N3085" s="18" t="n">
        <v>1</v>
      </c>
      <c r="O3085" s="18" t="n">
        <v>0</v>
      </c>
      <c r="P3085" s="17" t="n">
        <v>46039</v>
      </c>
      <c r="Q3085" s="17" t="n">
        <v>46039</v>
      </c>
      <c r="R3085" s="17" t="n">
        <v>46039</v>
      </c>
      <c r="S3085" s="19">
        <f>H3085*I3085</f>
        <v/>
      </c>
      <c r="T3085" s="19">
        <f>H3085*J3085</f>
        <v/>
      </c>
      <c r="U3085">
        <f>IF(AND(K3085=0,G3085&lt;=Assumptions!$C$6),1,0)</f>
        <v/>
      </c>
      <c r="V3085">
        <f>IF(U3085=1,IF(M3085&gt;0,IF(P3085&lt;=G3085+Assumptions!$C$7,1,0),0),0)</f>
        <v/>
      </c>
      <c r="W3085">
        <f>IF(AND(U3085=1,M3085&gt;=H3085*(1-Assumptions!$C$8)),1,0)</f>
        <v/>
      </c>
      <c r="X3085">
        <f>IF(AND(U3085=1,N3085&gt;=H3085*(1-Assumptions!$C$8)),1,0)</f>
        <v/>
      </c>
      <c r="Y3085">
        <f>IF(ISNUMBER(Q3085),1,0)</f>
        <v/>
      </c>
      <c r="Z3085">
        <f>IF(AND(K3085=0,L3085=0,Y3085=0),1,0)</f>
        <v/>
      </c>
      <c r="AA3085">
        <f>IF(AND(Z3085=1,G3085&lt;Assumptions!$C$6),1,0)</f>
        <v/>
      </c>
      <c r="AB3085">
        <f>IF(U3085=0,"",IF(Y3085=1,MAX(0,Q3085-G3085),IF(L3085=1,MAX(0,R3085-G3085),MAX(0,Assumptions!$C$6-G3085))))</f>
        <v/>
      </c>
      <c r="AC3085">
        <f>IF(Y3085=1,Q3085-F3085,"")</f>
        <v/>
      </c>
      <c r="AD3085">
        <f>IF(Y3085=1,AC3085^2,"")</f>
        <v/>
      </c>
      <c r="AE3085" s="19">
        <f>IF(Z3085=1,(H3085-M3085)*I3085,0)</f>
        <v/>
      </c>
      <c r="AF3085">
        <f>IF(G3085&lt;EDATE(Assumptions!$C$6,-12)+1,"prior_12m","last_12m")</f>
        <v/>
      </c>
      <c r="AG3085" s="21">
        <f>DATE(YEAR(G3085),MONTH(G3085),1)</f>
        <v/>
      </c>
    </row>
    <row r="3086">
      <c r="A3086" t="inlineStr">
        <is>
          <t>SPO-01652-1</t>
        </is>
      </c>
      <c r="B3086" t="inlineStr">
        <is>
          <t>SPO-01652</t>
        </is>
      </c>
      <c r="C3086" t="inlineStr">
        <is>
          <t>SUP-01</t>
        </is>
      </c>
      <c r="D3086" t="inlineStr">
        <is>
          <t>ELEC</t>
        </is>
      </c>
      <c r="E3086" t="inlineStr">
        <is>
          <t>ELEC-04</t>
        </is>
      </c>
      <c r="F3086" s="17" t="n">
        <v>46027</v>
      </c>
      <c r="G3086" s="17" t="n">
        <v>46045</v>
      </c>
      <c r="H3086" s="18" t="n">
        <v>23</v>
      </c>
      <c r="I3086" s="19" t="n">
        <v>71.79000000000001</v>
      </c>
      <c r="J3086" s="19" t="n">
        <v>72</v>
      </c>
      <c r="K3086" s="20" t="n">
        <v>0</v>
      </c>
      <c r="L3086" s="20" t="n">
        <v>0</v>
      </c>
      <c r="M3086" s="18" t="n">
        <v>23</v>
      </c>
      <c r="N3086" s="18" t="n">
        <v>23</v>
      </c>
      <c r="O3086" s="18" t="n">
        <v>0</v>
      </c>
      <c r="P3086" s="17" t="n">
        <v>46039</v>
      </c>
      <c r="Q3086" s="17" t="n">
        <v>46039</v>
      </c>
      <c r="R3086" s="17" t="n">
        <v>46039</v>
      </c>
      <c r="S3086" s="19">
        <f>H3086*I3086</f>
        <v/>
      </c>
      <c r="T3086" s="19">
        <f>H3086*J3086</f>
        <v/>
      </c>
      <c r="U3086">
        <f>IF(AND(K3086=0,G3086&lt;=Assumptions!$C$6),1,0)</f>
        <v/>
      </c>
      <c r="V3086">
        <f>IF(U3086=1,IF(M3086&gt;0,IF(P3086&lt;=G3086+Assumptions!$C$7,1,0),0),0)</f>
        <v/>
      </c>
      <c r="W3086">
        <f>IF(AND(U3086=1,M3086&gt;=H3086*(1-Assumptions!$C$8)),1,0)</f>
        <v/>
      </c>
      <c r="X3086">
        <f>IF(AND(U3086=1,N3086&gt;=H3086*(1-Assumptions!$C$8)),1,0)</f>
        <v/>
      </c>
      <c r="Y3086">
        <f>IF(ISNUMBER(Q3086),1,0)</f>
        <v/>
      </c>
      <c r="Z3086">
        <f>IF(AND(K3086=0,L3086=0,Y3086=0),1,0)</f>
        <v/>
      </c>
      <c r="AA3086">
        <f>IF(AND(Z3086=1,G3086&lt;Assumptions!$C$6),1,0)</f>
        <v/>
      </c>
      <c r="AB3086">
        <f>IF(U3086=0,"",IF(Y3086=1,MAX(0,Q3086-G3086),IF(L3086=1,MAX(0,R3086-G3086),MAX(0,Assumptions!$C$6-G3086))))</f>
        <v/>
      </c>
      <c r="AC3086">
        <f>IF(Y3086=1,Q3086-F3086,"")</f>
        <v/>
      </c>
      <c r="AD3086">
        <f>IF(Y3086=1,AC3086^2,"")</f>
        <v/>
      </c>
      <c r="AE3086" s="19">
        <f>IF(Z3086=1,(H3086-M3086)*I3086,0)</f>
        <v/>
      </c>
      <c r="AF3086">
        <f>IF(G3086&lt;EDATE(Assumptions!$C$6,-12)+1,"prior_12m","last_12m")</f>
        <v/>
      </c>
      <c r="AG3086" s="21">
        <f>DATE(YEAR(G3086),MONTH(G3086),1)</f>
        <v/>
      </c>
    </row>
    <row r="3087">
      <c r="A3087" t="inlineStr">
        <is>
          <t>SPO-01653-1</t>
        </is>
      </c>
      <c r="B3087" t="inlineStr">
        <is>
          <t>SPO-01653</t>
        </is>
      </c>
      <c r="C3087" t="inlineStr">
        <is>
          <t>SUP-04</t>
        </is>
      </c>
      <c r="D3087" t="inlineStr">
        <is>
          <t>FLEET</t>
        </is>
      </c>
      <c r="E3087" t="inlineStr">
        <is>
          <t>FLEET-08</t>
        </is>
      </c>
      <c r="F3087" s="17" t="n">
        <v>46029</v>
      </c>
      <c r="G3087" s="17" t="n">
        <v>46042</v>
      </c>
      <c r="H3087" s="18" t="n">
        <v>218</v>
      </c>
      <c r="I3087" s="19" t="n">
        <v>6.5</v>
      </c>
      <c r="J3087" s="19" t="n">
        <v>6.4</v>
      </c>
      <c r="K3087" s="20" t="n">
        <v>0</v>
      </c>
      <c r="L3087" s="20" t="n">
        <v>0</v>
      </c>
      <c r="M3087" s="18" t="n">
        <v>218</v>
      </c>
      <c r="N3087" s="18" t="n">
        <v>218</v>
      </c>
      <c r="O3087" s="18" t="n">
        <v>0</v>
      </c>
      <c r="P3087" s="17" t="n">
        <v>46030</v>
      </c>
      <c r="Q3087" s="17" t="n">
        <v>46030</v>
      </c>
      <c r="R3087" s="17" t="n">
        <v>46030</v>
      </c>
      <c r="S3087" s="19">
        <f>H3087*I3087</f>
        <v/>
      </c>
      <c r="T3087" s="19">
        <f>H3087*J3087</f>
        <v/>
      </c>
      <c r="U3087">
        <f>IF(AND(K3087=0,G3087&lt;=Assumptions!$C$6),1,0)</f>
        <v/>
      </c>
      <c r="V3087">
        <f>IF(U3087=1,IF(M3087&gt;0,IF(P3087&lt;=G3087+Assumptions!$C$7,1,0),0),0)</f>
        <v/>
      </c>
      <c r="W3087">
        <f>IF(AND(U3087=1,M3087&gt;=H3087*(1-Assumptions!$C$8)),1,0)</f>
        <v/>
      </c>
      <c r="X3087">
        <f>IF(AND(U3087=1,N3087&gt;=H3087*(1-Assumptions!$C$8)),1,0)</f>
        <v/>
      </c>
      <c r="Y3087">
        <f>IF(ISNUMBER(Q3087),1,0)</f>
        <v/>
      </c>
      <c r="Z3087">
        <f>IF(AND(K3087=0,L3087=0,Y3087=0),1,0)</f>
        <v/>
      </c>
      <c r="AA3087">
        <f>IF(AND(Z3087=1,G3087&lt;Assumptions!$C$6),1,0)</f>
        <v/>
      </c>
      <c r="AB3087">
        <f>IF(U3087=0,"",IF(Y3087=1,MAX(0,Q3087-G3087),IF(L3087=1,MAX(0,R3087-G3087),MAX(0,Assumptions!$C$6-G3087))))</f>
        <v/>
      </c>
      <c r="AC3087">
        <f>IF(Y3087=1,Q3087-F3087,"")</f>
        <v/>
      </c>
      <c r="AD3087">
        <f>IF(Y3087=1,AC3087^2,"")</f>
        <v/>
      </c>
      <c r="AE3087" s="19">
        <f>IF(Z3087=1,(H3087-M3087)*I3087,0)</f>
        <v/>
      </c>
      <c r="AF3087">
        <f>IF(G3087&lt;EDATE(Assumptions!$C$6,-12)+1,"prior_12m","last_12m")</f>
        <v/>
      </c>
      <c r="AG3087" s="21">
        <f>DATE(YEAR(G3087),MONTH(G3087),1)</f>
        <v/>
      </c>
    </row>
    <row r="3088">
      <c r="A3088" t="inlineStr">
        <is>
          <t>SPO-01654-1</t>
        </is>
      </c>
      <c r="B3088" t="inlineStr">
        <is>
          <t>SPO-01654</t>
        </is>
      </c>
      <c r="C3088" t="inlineStr">
        <is>
          <t>SUP-12</t>
        </is>
      </c>
      <c r="D3088" t="inlineStr">
        <is>
          <t>IT</t>
        </is>
      </c>
      <c r="E3088" t="inlineStr">
        <is>
          <t>IT-03</t>
        </is>
      </c>
      <c r="F3088" s="17" t="n">
        <v>46029</v>
      </c>
      <c r="G3088" s="17" t="n">
        <v>46039</v>
      </c>
      <c r="H3088" s="18" t="n">
        <v>43</v>
      </c>
      <c r="I3088" s="19" t="n">
        <v>41.71</v>
      </c>
      <c r="J3088" s="19" t="n">
        <v>38</v>
      </c>
      <c r="K3088" s="20" t="n">
        <v>0</v>
      </c>
      <c r="L3088" s="20" t="n">
        <v>0</v>
      </c>
      <c r="M3088" s="18" t="n">
        <v>43</v>
      </c>
      <c r="N3088" s="18" t="n">
        <v>43</v>
      </c>
      <c r="O3088" s="18" t="n">
        <v>0</v>
      </c>
      <c r="P3088" s="17" t="n">
        <v>46037</v>
      </c>
      <c r="Q3088" s="17" t="n">
        <v>46037</v>
      </c>
      <c r="R3088" s="17" t="n">
        <v>46037</v>
      </c>
      <c r="S3088" s="19">
        <f>H3088*I3088</f>
        <v/>
      </c>
      <c r="T3088" s="19">
        <f>H3088*J3088</f>
        <v/>
      </c>
      <c r="U3088">
        <f>IF(AND(K3088=0,G3088&lt;=Assumptions!$C$6),1,0)</f>
        <v/>
      </c>
      <c r="V3088">
        <f>IF(U3088=1,IF(M3088&gt;0,IF(P3088&lt;=G3088+Assumptions!$C$7,1,0),0),0)</f>
        <v/>
      </c>
      <c r="W3088">
        <f>IF(AND(U3088=1,M3088&gt;=H3088*(1-Assumptions!$C$8)),1,0)</f>
        <v/>
      </c>
      <c r="X3088">
        <f>IF(AND(U3088=1,N3088&gt;=H3088*(1-Assumptions!$C$8)),1,0)</f>
        <v/>
      </c>
      <c r="Y3088">
        <f>IF(ISNUMBER(Q3088),1,0)</f>
        <v/>
      </c>
      <c r="Z3088">
        <f>IF(AND(K3088=0,L3088=0,Y3088=0),1,0)</f>
        <v/>
      </c>
      <c r="AA3088">
        <f>IF(AND(Z3088=1,G3088&lt;Assumptions!$C$6),1,0)</f>
        <v/>
      </c>
      <c r="AB3088">
        <f>IF(U3088=0,"",IF(Y3088=1,MAX(0,Q3088-G3088),IF(L3088=1,MAX(0,R3088-G3088),MAX(0,Assumptions!$C$6-G3088))))</f>
        <v/>
      </c>
      <c r="AC3088">
        <f>IF(Y3088=1,Q3088-F3088,"")</f>
        <v/>
      </c>
      <c r="AD3088">
        <f>IF(Y3088=1,AC3088^2,"")</f>
        <v/>
      </c>
      <c r="AE3088" s="19">
        <f>IF(Z3088=1,(H3088-M3088)*I3088,0)</f>
        <v/>
      </c>
      <c r="AF3088">
        <f>IF(G3088&lt;EDATE(Assumptions!$C$6,-12)+1,"prior_12m","last_12m")</f>
        <v/>
      </c>
      <c r="AG3088" s="21">
        <f>DATE(YEAR(G3088),MONTH(G3088),1)</f>
        <v/>
      </c>
    </row>
    <row r="3089">
      <c r="A3089" t="inlineStr">
        <is>
          <t>SPO-01655-1</t>
        </is>
      </c>
      <c r="B3089" t="inlineStr">
        <is>
          <t>SPO-01655</t>
        </is>
      </c>
      <c r="C3089" t="inlineStr">
        <is>
          <t>SUP-11</t>
        </is>
      </c>
      <c r="D3089" t="inlineStr">
        <is>
          <t>PPE</t>
        </is>
      </c>
      <c r="E3089" t="inlineStr">
        <is>
          <t>PPE-04</t>
        </is>
      </c>
      <c r="F3089" s="17" t="n">
        <v>46029</v>
      </c>
      <c r="G3089" s="17" t="n">
        <v>46041</v>
      </c>
      <c r="H3089" s="18" t="n">
        <v>172</v>
      </c>
      <c r="I3089" s="19" t="n">
        <v>26.01</v>
      </c>
      <c r="J3089" s="19" t="n">
        <v>26</v>
      </c>
      <c r="K3089" s="20" t="n">
        <v>0</v>
      </c>
      <c r="L3089" s="20" t="n">
        <v>0</v>
      </c>
      <c r="M3089" s="18" t="n">
        <v>172</v>
      </c>
      <c r="N3089" s="18" t="n">
        <v>172</v>
      </c>
      <c r="O3089" s="18" t="n">
        <v>0</v>
      </c>
      <c r="P3089" s="17" t="n">
        <v>46038</v>
      </c>
      <c r="Q3089" s="17" t="n">
        <v>46038</v>
      </c>
      <c r="R3089" s="17" t="n">
        <v>46038</v>
      </c>
      <c r="S3089" s="19">
        <f>H3089*I3089</f>
        <v/>
      </c>
      <c r="T3089" s="19">
        <f>H3089*J3089</f>
        <v/>
      </c>
      <c r="U3089">
        <f>IF(AND(K3089=0,G3089&lt;=Assumptions!$C$6),1,0)</f>
        <v/>
      </c>
      <c r="V3089">
        <f>IF(U3089=1,IF(M3089&gt;0,IF(P3089&lt;=G3089+Assumptions!$C$7,1,0),0),0)</f>
        <v/>
      </c>
      <c r="W3089">
        <f>IF(AND(U3089=1,M3089&gt;=H3089*(1-Assumptions!$C$8)),1,0)</f>
        <v/>
      </c>
      <c r="X3089">
        <f>IF(AND(U3089=1,N3089&gt;=H3089*(1-Assumptions!$C$8)),1,0)</f>
        <v/>
      </c>
      <c r="Y3089">
        <f>IF(ISNUMBER(Q3089),1,0)</f>
        <v/>
      </c>
      <c r="Z3089">
        <f>IF(AND(K3089=0,L3089=0,Y3089=0),1,0)</f>
        <v/>
      </c>
      <c r="AA3089">
        <f>IF(AND(Z3089=1,G3089&lt;Assumptions!$C$6),1,0)</f>
        <v/>
      </c>
      <c r="AB3089">
        <f>IF(U3089=0,"",IF(Y3089=1,MAX(0,Q3089-G3089),IF(L3089=1,MAX(0,R3089-G3089),MAX(0,Assumptions!$C$6-G3089))))</f>
        <v/>
      </c>
      <c r="AC3089">
        <f>IF(Y3089=1,Q3089-F3089,"")</f>
        <v/>
      </c>
      <c r="AD3089">
        <f>IF(Y3089=1,AC3089^2,"")</f>
        <v/>
      </c>
      <c r="AE3089" s="19">
        <f>IF(Z3089=1,(H3089-M3089)*I3089,0)</f>
        <v/>
      </c>
      <c r="AF3089">
        <f>IF(G3089&lt;EDATE(Assumptions!$C$6,-12)+1,"prior_12m","last_12m")</f>
        <v/>
      </c>
      <c r="AG3089" s="21">
        <f>DATE(YEAR(G3089),MONTH(G3089),1)</f>
        <v/>
      </c>
    </row>
    <row r="3090">
      <c r="A3090" t="inlineStr">
        <is>
          <t>SPO-01656-1</t>
        </is>
      </c>
      <c r="B3090" t="inlineStr">
        <is>
          <t>SPO-01656</t>
        </is>
      </c>
      <c r="C3090" t="inlineStr">
        <is>
          <t>SUP-10</t>
        </is>
      </c>
      <c r="D3090" t="inlineStr">
        <is>
          <t>PPE</t>
        </is>
      </c>
      <c r="E3090" t="inlineStr">
        <is>
          <t>PPE-04</t>
        </is>
      </c>
      <c r="F3090" s="17" t="n">
        <v>46029</v>
      </c>
      <c r="G3090" s="17" t="n">
        <v>46042</v>
      </c>
      <c r="H3090" s="18" t="n">
        <v>75</v>
      </c>
      <c r="I3090" s="19" t="n">
        <v>25.74</v>
      </c>
      <c r="J3090" s="19" t="n">
        <v>26</v>
      </c>
      <c r="K3090" s="20" t="n">
        <v>0</v>
      </c>
      <c r="L3090" s="20" t="n">
        <v>0</v>
      </c>
      <c r="M3090" s="18" t="n">
        <v>75</v>
      </c>
      <c r="N3090" s="18" t="n">
        <v>75</v>
      </c>
      <c r="O3090" s="18" t="n">
        <v>16</v>
      </c>
      <c r="P3090" s="17" t="n">
        <v>46042</v>
      </c>
      <c r="Q3090" s="17" t="n">
        <v>46042</v>
      </c>
      <c r="R3090" s="17" t="n">
        <v>46042</v>
      </c>
      <c r="S3090" s="19">
        <f>H3090*I3090</f>
        <v/>
      </c>
      <c r="T3090" s="19">
        <f>H3090*J3090</f>
        <v/>
      </c>
      <c r="U3090">
        <f>IF(AND(K3090=0,G3090&lt;=Assumptions!$C$6),1,0)</f>
        <v/>
      </c>
      <c r="V3090">
        <f>IF(U3090=1,IF(M3090&gt;0,IF(P3090&lt;=G3090+Assumptions!$C$7,1,0),0),0)</f>
        <v/>
      </c>
      <c r="W3090">
        <f>IF(AND(U3090=1,M3090&gt;=H3090*(1-Assumptions!$C$8)),1,0)</f>
        <v/>
      </c>
      <c r="X3090">
        <f>IF(AND(U3090=1,N3090&gt;=H3090*(1-Assumptions!$C$8)),1,0)</f>
        <v/>
      </c>
      <c r="Y3090">
        <f>IF(ISNUMBER(Q3090),1,0)</f>
        <v/>
      </c>
      <c r="Z3090">
        <f>IF(AND(K3090=0,L3090=0,Y3090=0),1,0)</f>
        <v/>
      </c>
      <c r="AA3090">
        <f>IF(AND(Z3090=1,G3090&lt;Assumptions!$C$6),1,0)</f>
        <v/>
      </c>
      <c r="AB3090">
        <f>IF(U3090=0,"",IF(Y3090=1,MAX(0,Q3090-G3090),IF(L3090=1,MAX(0,R3090-G3090),MAX(0,Assumptions!$C$6-G3090))))</f>
        <v/>
      </c>
      <c r="AC3090">
        <f>IF(Y3090=1,Q3090-F3090,"")</f>
        <v/>
      </c>
      <c r="AD3090">
        <f>IF(Y3090=1,AC3090^2,"")</f>
        <v/>
      </c>
      <c r="AE3090" s="19">
        <f>IF(Z3090=1,(H3090-M3090)*I3090,0)</f>
        <v/>
      </c>
      <c r="AF3090">
        <f>IF(G3090&lt;EDATE(Assumptions!$C$6,-12)+1,"prior_12m","last_12m")</f>
        <v/>
      </c>
      <c r="AG3090" s="21">
        <f>DATE(YEAR(G3090),MONTH(G3090),1)</f>
        <v/>
      </c>
    </row>
    <row r="3091">
      <c r="A3091" t="inlineStr">
        <is>
          <t>SPO-01656-2</t>
        </is>
      </c>
      <c r="B3091" t="inlineStr">
        <is>
          <t>SPO-01656</t>
        </is>
      </c>
      <c r="C3091" t="inlineStr">
        <is>
          <t>SUP-10</t>
        </is>
      </c>
      <c r="D3091" t="inlineStr">
        <is>
          <t>PPE</t>
        </is>
      </c>
      <c r="E3091" t="inlineStr">
        <is>
          <t>PPE-06</t>
        </is>
      </c>
      <c r="F3091" s="17" t="n">
        <v>46029</v>
      </c>
      <c r="G3091" s="17" t="n">
        <v>46042</v>
      </c>
      <c r="H3091" s="18" t="n">
        <v>10</v>
      </c>
      <c r="I3091" s="19" t="n">
        <v>111.58</v>
      </c>
      <c r="J3091" s="19" t="n">
        <v>115</v>
      </c>
      <c r="K3091" s="20" t="n">
        <v>0</v>
      </c>
      <c r="L3091" s="20" t="n">
        <v>0</v>
      </c>
      <c r="M3091" s="18" t="n">
        <v>10</v>
      </c>
      <c r="N3091" s="18" t="n">
        <v>0</v>
      </c>
      <c r="O3091" s="18" t="n">
        <v>0</v>
      </c>
      <c r="P3091" s="17" t="n">
        <v>46043</v>
      </c>
      <c r="Q3091" s="17" t="n">
        <v>46043</v>
      </c>
      <c r="R3091" s="17" t="n">
        <v>46043</v>
      </c>
      <c r="S3091" s="19">
        <f>H3091*I3091</f>
        <v/>
      </c>
      <c r="T3091" s="19">
        <f>H3091*J3091</f>
        <v/>
      </c>
      <c r="U3091">
        <f>IF(AND(K3091=0,G3091&lt;=Assumptions!$C$6),1,0)</f>
        <v/>
      </c>
      <c r="V3091">
        <f>IF(U3091=1,IF(M3091&gt;0,IF(P3091&lt;=G3091+Assumptions!$C$7,1,0),0),0)</f>
        <v/>
      </c>
      <c r="W3091">
        <f>IF(AND(U3091=1,M3091&gt;=H3091*(1-Assumptions!$C$8)),1,0)</f>
        <v/>
      </c>
      <c r="X3091">
        <f>IF(AND(U3091=1,N3091&gt;=H3091*(1-Assumptions!$C$8)),1,0)</f>
        <v/>
      </c>
      <c r="Y3091">
        <f>IF(ISNUMBER(Q3091),1,0)</f>
        <v/>
      </c>
      <c r="Z3091">
        <f>IF(AND(K3091=0,L3091=0,Y3091=0),1,0)</f>
        <v/>
      </c>
      <c r="AA3091">
        <f>IF(AND(Z3091=1,G3091&lt;Assumptions!$C$6),1,0)</f>
        <v/>
      </c>
      <c r="AB3091">
        <f>IF(U3091=0,"",IF(Y3091=1,MAX(0,Q3091-G3091),IF(L3091=1,MAX(0,R3091-G3091),MAX(0,Assumptions!$C$6-G3091))))</f>
        <v/>
      </c>
      <c r="AC3091">
        <f>IF(Y3091=1,Q3091-F3091,"")</f>
        <v/>
      </c>
      <c r="AD3091">
        <f>IF(Y3091=1,AC3091^2,"")</f>
        <v/>
      </c>
      <c r="AE3091" s="19">
        <f>IF(Z3091=1,(H3091-M3091)*I3091,0)</f>
        <v/>
      </c>
      <c r="AF3091">
        <f>IF(G3091&lt;EDATE(Assumptions!$C$6,-12)+1,"prior_12m","last_12m")</f>
        <v/>
      </c>
      <c r="AG3091" s="21">
        <f>DATE(YEAR(G3091),MONTH(G3091),1)</f>
        <v/>
      </c>
    </row>
    <row r="3092">
      <c r="A3092" t="inlineStr">
        <is>
          <t>SPO-01657-1</t>
        </is>
      </c>
      <c r="B3092" t="inlineStr">
        <is>
          <t>SPO-01657</t>
        </is>
      </c>
      <c r="C3092" t="inlineStr">
        <is>
          <t>SUP-04</t>
        </is>
      </c>
      <c r="D3092" t="inlineStr">
        <is>
          <t>FLEET</t>
        </is>
      </c>
      <c r="E3092" t="inlineStr">
        <is>
          <t>FLEET-04</t>
        </is>
      </c>
      <c r="F3092" s="17" t="n">
        <v>46029</v>
      </c>
      <c r="G3092" s="17" t="n">
        <v>46042</v>
      </c>
      <c r="H3092" s="18" t="n">
        <v>201</v>
      </c>
      <c r="I3092" s="19" t="n">
        <v>8.869999999999999</v>
      </c>
      <c r="J3092" s="19" t="n">
        <v>9</v>
      </c>
      <c r="K3092" s="20" t="n">
        <v>0</v>
      </c>
      <c r="L3092" s="20" t="n">
        <v>0</v>
      </c>
      <c r="M3092" s="18" t="n">
        <v>201</v>
      </c>
      <c r="N3092" s="18" t="n">
        <v>201</v>
      </c>
      <c r="O3092" s="18" t="n">
        <v>0</v>
      </c>
      <c r="P3092" s="17" t="n">
        <v>46033</v>
      </c>
      <c r="Q3092" s="17" t="n">
        <v>46040</v>
      </c>
      <c r="R3092" s="17" t="n">
        <v>46040</v>
      </c>
      <c r="S3092" s="19">
        <f>H3092*I3092</f>
        <v/>
      </c>
      <c r="T3092" s="19">
        <f>H3092*J3092</f>
        <v/>
      </c>
      <c r="U3092">
        <f>IF(AND(K3092=0,G3092&lt;=Assumptions!$C$6),1,0)</f>
        <v/>
      </c>
      <c r="V3092">
        <f>IF(U3092=1,IF(M3092&gt;0,IF(P3092&lt;=G3092+Assumptions!$C$7,1,0),0),0)</f>
        <v/>
      </c>
      <c r="W3092">
        <f>IF(AND(U3092=1,M3092&gt;=H3092*(1-Assumptions!$C$8)),1,0)</f>
        <v/>
      </c>
      <c r="X3092">
        <f>IF(AND(U3092=1,N3092&gt;=H3092*(1-Assumptions!$C$8)),1,0)</f>
        <v/>
      </c>
      <c r="Y3092">
        <f>IF(ISNUMBER(Q3092),1,0)</f>
        <v/>
      </c>
      <c r="Z3092">
        <f>IF(AND(K3092=0,L3092=0,Y3092=0),1,0)</f>
        <v/>
      </c>
      <c r="AA3092">
        <f>IF(AND(Z3092=1,G3092&lt;Assumptions!$C$6),1,0)</f>
        <v/>
      </c>
      <c r="AB3092">
        <f>IF(U3092=0,"",IF(Y3092=1,MAX(0,Q3092-G3092),IF(L3092=1,MAX(0,R3092-G3092),MAX(0,Assumptions!$C$6-G3092))))</f>
        <v/>
      </c>
      <c r="AC3092">
        <f>IF(Y3092=1,Q3092-F3092,"")</f>
        <v/>
      </c>
      <c r="AD3092">
        <f>IF(Y3092=1,AC3092^2,"")</f>
        <v/>
      </c>
      <c r="AE3092" s="19">
        <f>IF(Z3092=1,(H3092-M3092)*I3092,0)</f>
        <v/>
      </c>
      <c r="AF3092">
        <f>IF(G3092&lt;EDATE(Assumptions!$C$6,-12)+1,"prior_12m","last_12m")</f>
        <v/>
      </c>
      <c r="AG3092" s="21">
        <f>DATE(YEAR(G3092),MONTH(G3092),1)</f>
        <v/>
      </c>
    </row>
    <row r="3093">
      <c r="A3093" t="inlineStr">
        <is>
          <t>SPO-01657-2</t>
        </is>
      </c>
      <c r="B3093" t="inlineStr">
        <is>
          <t>SPO-01657</t>
        </is>
      </c>
      <c r="C3093" t="inlineStr">
        <is>
          <t>SUP-04</t>
        </is>
      </c>
      <c r="D3093" t="inlineStr">
        <is>
          <t>FLEET</t>
        </is>
      </c>
      <c r="E3093" t="inlineStr">
        <is>
          <t>FLEET-03</t>
        </is>
      </c>
      <c r="F3093" s="17" t="n">
        <v>46029</v>
      </c>
      <c r="G3093" s="17" t="n">
        <v>46042</v>
      </c>
      <c r="H3093" s="18" t="n">
        <v>57</v>
      </c>
      <c r="I3093" s="19" t="n">
        <v>20.89</v>
      </c>
      <c r="J3093" s="19" t="n">
        <v>21</v>
      </c>
      <c r="K3093" s="20" t="n">
        <v>0</v>
      </c>
      <c r="L3093" s="20" t="n">
        <v>0</v>
      </c>
      <c r="M3093" s="18" t="n">
        <v>57</v>
      </c>
      <c r="N3093" s="18" t="n">
        <v>57</v>
      </c>
      <c r="O3093" s="18" t="n">
        <v>0</v>
      </c>
      <c r="P3093" s="17" t="n">
        <v>46034</v>
      </c>
      <c r="Q3093" s="17" t="n">
        <v>46034</v>
      </c>
      <c r="R3093" s="17" t="n">
        <v>46034</v>
      </c>
      <c r="S3093" s="19">
        <f>H3093*I3093</f>
        <v/>
      </c>
      <c r="T3093" s="19">
        <f>H3093*J3093</f>
        <v/>
      </c>
      <c r="U3093">
        <f>IF(AND(K3093=0,G3093&lt;=Assumptions!$C$6),1,0)</f>
        <v/>
      </c>
      <c r="V3093">
        <f>IF(U3093=1,IF(M3093&gt;0,IF(P3093&lt;=G3093+Assumptions!$C$7,1,0),0),0)</f>
        <v/>
      </c>
      <c r="W3093">
        <f>IF(AND(U3093=1,M3093&gt;=H3093*(1-Assumptions!$C$8)),1,0)</f>
        <v/>
      </c>
      <c r="X3093">
        <f>IF(AND(U3093=1,N3093&gt;=H3093*(1-Assumptions!$C$8)),1,0)</f>
        <v/>
      </c>
      <c r="Y3093">
        <f>IF(ISNUMBER(Q3093),1,0)</f>
        <v/>
      </c>
      <c r="Z3093">
        <f>IF(AND(K3093=0,L3093=0,Y3093=0),1,0)</f>
        <v/>
      </c>
      <c r="AA3093">
        <f>IF(AND(Z3093=1,G3093&lt;Assumptions!$C$6),1,0)</f>
        <v/>
      </c>
      <c r="AB3093">
        <f>IF(U3093=0,"",IF(Y3093=1,MAX(0,Q3093-G3093),IF(L3093=1,MAX(0,R3093-G3093),MAX(0,Assumptions!$C$6-G3093))))</f>
        <v/>
      </c>
      <c r="AC3093">
        <f>IF(Y3093=1,Q3093-F3093,"")</f>
        <v/>
      </c>
      <c r="AD3093">
        <f>IF(Y3093=1,AC3093^2,"")</f>
        <v/>
      </c>
      <c r="AE3093" s="19">
        <f>IF(Z3093=1,(H3093-M3093)*I3093,0)</f>
        <v/>
      </c>
      <c r="AF3093">
        <f>IF(G3093&lt;EDATE(Assumptions!$C$6,-12)+1,"prior_12m","last_12m")</f>
        <v/>
      </c>
      <c r="AG3093" s="21">
        <f>DATE(YEAR(G3093),MONTH(G3093),1)</f>
        <v/>
      </c>
    </row>
    <row r="3094">
      <c r="A3094" t="inlineStr">
        <is>
          <t>SPO-01658-1</t>
        </is>
      </c>
      <c r="B3094" t="inlineStr">
        <is>
          <t>SPO-01658</t>
        </is>
      </c>
      <c r="C3094" t="inlineStr">
        <is>
          <t>SUP-05</t>
        </is>
      </c>
      <c r="D3094" t="inlineStr">
        <is>
          <t>FLEET</t>
        </is>
      </c>
      <c r="E3094" t="inlineStr">
        <is>
          <t>FLEET-07</t>
        </is>
      </c>
      <c r="F3094" s="17" t="n">
        <v>46029</v>
      </c>
      <c r="G3094" s="17" t="n">
        <v>46043</v>
      </c>
      <c r="H3094" s="18" t="n">
        <v>15</v>
      </c>
      <c r="I3094" s="19" t="n">
        <v>120.96</v>
      </c>
      <c r="J3094" s="19" t="n">
        <v>118</v>
      </c>
      <c r="K3094" s="20" t="n">
        <v>0</v>
      </c>
      <c r="L3094" s="20" t="n">
        <v>0</v>
      </c>
      <c r="M3094" s="18" t="n">
        <v>15</v>
      </c>
      <c r="N3094" s="18" t="n">
        <v>15</v>
      </c>
      <c r="O3094" s="18" t="n">
        <v>0</v>
      </c>
      <c r="P3094" s="17" t="n">
        <v>46037</v>
      </c>
      <c r="Q3094" s="17" t="n">
        <v>46037</v>
      </c>
      <c r="R3094" s="17" t="n">
        <v>46037</v>
      </c>
      <c r="S3094" s="19">
        <f>H3094*I3094</f>
        <v/>
      </c>
      <c r="T3094" s="19">
        <f>H3094*J3094</f>
        <v/>
      </c>
      <c r="U3094">
        <f>IF(AND(K3094=0,G3094&lt;=Assumptions!$C$6),1,0)</f>
        <v/>
      </c>
      <c r="V3094">
        <f>IF(U3094=1,IF(M3094&gt;0,IF(P3094&lt;=G3094+Assumptions!$C$7,1,0),0),0)</f>
        <v/>
      </c>
      <c r="W3094">
        <f>IF(AND(U3094=1,M3094&gt;=H3094*(1-Assumptions!$C$8)),1,0)</f>
        <v/>
      </c>
      <c r="X3094">
        <f>IF(AND(U3094=1,N3094&gt;=H3094*(1-Assumptions!$C$8)),1,0)</f>
        <v/>
      </c>
      <c r="Y3094">
        <f>IF(ISNUMBER(Q3094),1,0)</f>
        <v/>
      </c>
      <c r="Z3094">
        <f>IF(AND(K3094=0,L3094=0,Y3094=0),1,0)</f>
        <v/>
      </c>
      <c r="AA3094">
        <f>IF(AND(Z3094=1,G3094&lt;Assumptions!$C$6),1,0)</f>
        <v/>
      </c>
      <c r="AB3094">
        <f>IF(U3094=0,"",IF(Y3094=1,MAX(0,Q3094-G3094),IF(L3094=1,MAX(0,R3094-G3094),MAX(0,Assumptions!$C$6-G3094))))</f>
        <v/>
      </c>
      <c r="AC3094">
        <f>IF(Y3094=1,Q3094-F3094,"")</f>
        <v/>
      </c>
      <c r="AD3094">
        <f>IF(Y3094=1,AC3094^2,"")</f>
        <v/>
      </c>
      <c r="AE3094" s="19">
        <f>IF(Z3094=1,(H3094-M3094)*I3094,0)</f>
        <v/>
      </c>
      <c r="AF3094">
        <f>IF(G3094&lt;EDATE(Assumptions!$C$6,-12)+1,"prior_12m","last_12m")</f>
        <v/>
      </c>
      <c r="AG3094" s="21">
        <f>DATE(YEAR(G3094),MONTH(G3094),1)</f>
        <v/>
      </c>
    </row>
    <row r="3095">
      <c r="A3095" t="inlineStr">
        <is>
          <t>SPO-01659-1</t>
        </is>
      </c>
      <c r="B3095" t="inlineStr">
        <is>
          <t>SPO-01659</t>
        </is>
      </c>
      <c r="C3095" t="inlineStr">
        <is>
          <t>SUP-12</t>
        </is>
      </c>
      <c r="D3095" t="inlineStr">
        <is>
          <t>IT</t>
        </is>
      </c>
      <c r="E3095" t="inlineStr">
        <is>
          <t>IT-04</t>
        </is>
      </c>
      <c r="F3095" s="17" t="n">
        <v>46029</v>
      </c>
      <c r="G3095" s="17" t="n">
        <v>46039</v>
      </c>
      <c r="H3095" s="18" t="n">
        <v>142</v>
      </c>
      <c r="I3095" s="19" t="n">
        <v>14.23</v>
      </c>
      <c r="J3095" s="19" t="n">
        <v>12</v>
      </c>
      <c r="K3095" s="20" t="n">
        <v>0</v>
      </c>
      <c r="L3095" s="20" t="n">
        <v>0</v>
      </c>
      <c r="M3095" s="18" t="n">
        <v>142</v>
      </c>
      <c r="N3095" s="18" t="n">
        <v>83</v>
      </c>
      <c r="O3095" s="18" t="n">
        <v>0</v>
      </c>
      <c r="P3095" s="17" t="n">
        <v>46035</v>
      </c>
      <c r="Q3095" s="17" t="n">
        <v>46043</v>
      </c>
      <c r="R3095" s="17" t="n">
        <v>46043</v>
      </c>
      <c r="S3095" s="19">
        <f>H3095*I3095</f>
        <v/>
      </c>
      <c r="T3095" s="19">
        <f>H3095*J3095</f>
        <v/>
      </c>
      <c r="U3095">
        <f>IF(AND(K3095=0,G3095&lt;=Assumptions!$C$6),1,0)</f>
        <v/>
      </c>
      <c r="V3095">
        <f>IF(U3095=1,IF(M3095&gt;0,IF(P3095&lt;=G3095+Assumptions!$C$7,1,0),0),0)</f>
        <v/>
      </c>
      <c r="W3095">
        <f>IF(AND(U3095=1,M3095&gt;=H3095*(1-Assumptions!$C$8)),1,0)</f>
        <v/>
      </c>
      <c r="X3095">
        <f>IF(AND(U3095=1,N3095&gt;=H3095*(1-Assumptions!$C$8)),1,0)</f>
        <v/>
      </c>
      <c r="Y3095">
        <f>IF(ISNUMBER(Q3095),1,0)</f>
        <v/>
      </c>
      <c r="Z3095">
        <f>IF(AND(K3095=0,L3095=0,Y3095=0),1,0)</f>
        <v/>
      </c>
      <c r="AA3095">
        <f>IF(AND(Z3095=1,G3095&lt;Assumptions!$C$6),1,0)</f>
        <v/>
      </c>
      <c r="AB3095">
        <f>IF(U3095=0,"",IF(Y3095=1,MAX(0,Q3095-G3095),IF(L3095=1,MAX(0,R3095-G3095),MAX(0,Assumptions!$C$6-G3095))))</f>
        <v/>
      </c>
      <c r="AC3095">
        <f>IF(Y3095=1,Q3095-F3095,"")</f>
        <v/>
      </c>
      <c r="AD3095">
        <f>IF(Y3095=1,AC3095^2,"")</f>
        <v/>
      </c>
      <c r="AE3095" s="19">
        <f>IF(Z3095=1,(H3095-M3095)*I3095,0)</f>
        <v/>
      </c>
      <c r="AF3095">
        <f>IF(G3095&lt;EDATE(Assumptions!$C$6,-12)+1,"prior_12m","last_12m")</f>
        <v/>
      </c>
      <c r="AG3095" s="21">
        <f>DATE(YEAR(G3095),MONTH(G3095),1)</f>
        <v/>
      </c>
    </row>
    <row r="3096">
      <c r="A3096" t="inlineStr">
        <is>
          <t>SPO-01659-2</t>
        </is>
      </c>
      <c r="B3096" t="inlineStr">
        <is>
          <t>SPO-01659</t>
        </is>
      </c>
      <c r="C3096" t="inlineStr">
        <is>
          <t>SUP-12</t>
        </is>
      </c>
      <c r="D3096" t="inlineStr">
        <is>
          <t>IT</t>
        </is>
      </c>
      <c r="E3096" t="inlineStr">
        <is>
          <t>IT-02</t>
        </is>
      </c>
      <c r="F3096" s="17" t="n">
        <v>46029</v>
      </c>
      <c r="G3096" s="17" t="n">
        <v>46039</v>
      </c>
      <c r="H3096" s="18" t="n">
        <v>3</v>
      </c>
      <c r="I3096" s="19" t="n">
        <v>185.47</v>
      </c>
      <c r="J3096" s="19" t="n">
        <v>162</v>
      </c>
      <c r="K3096" s="20" t="n">
        <v>0</v>
      </c>
      <c r="L3096" s="20" t="n">
        <v>0</v>
      </c>
      <c r="M3096" s="18" t="n">
        <v>3</v>
      </c>
      <c r="N3096" s="18" t="n">
        <v>3</v>
      </c>
      <c r="O3096" s="18" t="n">
        <v>0</v>
      </c>
      <c r="P3096" s="17" t="n">
        <v>46037</v>
      </c>
      <c r="Q3096" s="17" t="n">
        <v>46037</v>
      </c>
      <c r="R3096" s="17" t="n">
        <v>46037</v>
      </c>
      <c r="S3096" s="19">
        <f>H3096*I3096</f>
        <v/>
      </c>
      <c r="T3096" s="19">
        <f>H3096*J3096</f>
        <v/>
      </c>
      <c r="U3096">
        <f>IF(AND(K3096=0,G3096&lt;=Assumptions!$C$6),1,0)</f>
        <v/>
      </c>
      <c r="V3096">
        <f>IF(U3096=1,IF(M3096&gt;0,IF(P3096&lt;=G3096+Assumptions!$C$7,1,0),0),0)</f>
        <v/>
      </c>
      <c r="W3096">
        <f>IF(AND(U3096=1,M3096&gt;=H3096*(1-Assumptions!$C$8)),1,0)</f>
        <v/>
      </c>
      <c r="X3096">
        <f>IF(AND(U3096=1,N3096&gt;=H3096*(1-Assumptions!$C$8)),1,0)</f>
        <v/>
      </c>
      <c r="Y3096">
        <f>IF(ISNUMBER(Q3096),1,0)</f>
        <v/>
      </c>
      <c r="Z3096">
        <f>IF(AND(K3096=0,L3096=0,Y3096=0),1,0)</f>
        <v/>
      </c>
      <c r="AA3096">
        <f>IF(AND(Z3096=1,G3096&lt;Assumptions!$C$6),1,0)</f>
        <v/>
      </c>
      <c r="AB3096">
        <f>IF(U3096=0,"",IF(Y3096=1,MAX(0,Q3096-G3096),IF(L3096=1,MAX(0,R3096-G3096),MAX(0,Assumptions!$C$6-G3096))))</f>
        <v/>
      </c>
      <c r="AC3096">
        <f>IF(Y3096=1,Q3096-F3096,"")</f>
        <v/>
      </c>
      <c r="AD3096">
        <f>IF(Y3096=1,AC3096^2,"")</f>
        <v/>
      </c>
      <c r="AE3096" s="19">
        <f>IF(Z3096=1,(H3096-M3096)*I3096,0)</f>
        <v/>
      </c>
      <c r="AF3096">
        <f>IF(G3096&lt;EDATE(Assumptions!$C$6,-12)+1,"prior_12m","last_12m")</f>
        <v/>
      </c>
      <c r="AG3096" s="21">
        <f>DATE(YEAR(G3096),MONTH(G3096),1)</f>
        <v/>
      </c>
    </row>
    <row r="3097">
      <c r="A3097" t="inlineStr">
        <is>
          <t>SPO-01659-3</t>
        </is>
      </c>
      <c r="B3097" t="inlineStr">
        <is>
          <t>SPO-01659</t>
        </is>
      </c>
      <c r="C3097" t="inlineStr">
        <is>
          <t>SUP-12</t>
        </is>
      </c>
      <c r="D3097" t="inlineStr">
        <is>
          <t>IT</t>
        </is>
      </c>
      <c r="E3097" t="inlineStr">
        <is>
          <t>IT-05</t>
        </is>
      </c>
      <c r="F3097" s="17" t="n">
        <v>46029</v>
      </c>
      <c r="G3097" s="17" t="n">
        <v>46039</v>
      </c>
      <c r="H3097" s="18" t="n">
        <v>2</v>
      </c>
      <c r="I3097" s="19" t="n">
        <v>762.5</v>
      </c>
      <c r="J3097" s="19" t="n">
        <v>640</v>
      </c>
      <c r="K3097" s="20" t="n">
        <v>0</v>
      </c>
      <c r="L3097" s="20" t="n">
        <v>0</v>
      </c>
      <c r="M3097" s="18" t="n">
        <v>2</v>
      </c>
      <c r="N3097" s="18" t="n">
        <v>2</v>
      </c>
      <c r="O3097" s="18" t="n">
        <v>0</v>
      </c>
      <c r="P3097" s="17" t="n">
        <v>46036</v>
      </c>
      <c r="Q3097" s="17" t="n">
        <v>46036</v>
      </c>
      <c r="R3097" s="17" t="n">
        <v>46036</v>
      </c>
      <c r="S3097" s="19">
        <f>H3097*I3097</f>
        <v/>
      </c>
      <c r="T3097" s="19">
        <f>H3097*J3097</f>
        <v/>
      </c>
      <c r="U3097">
        <f>IF(AND(K3097=0,G3097&lt;=Assumptions!$C$6),1,0)</f>
        <v/>
      </c>
      <c r="V3097">
        <f>IF(U3097=1,IF(M3097&gt;0,IF(P3097&lt;=G3097+Assumptions!$C$7,1,0),0),0)</f>
        <v/>
      </c>
      <c r="W3097">
        <f>IF(AND(U3097=1,M3097&gt;=H3097*(1-Assumptions!$C$8)),1,0)</f>
        <v/>
      </c>
      <c r="X3097">
        <f>IF(AND(U3097=1,N3097&gt;=H3097*(1-Assumptions!$C$8)),1,0)</f>
        <v/>
      </c>
      <c r="Y3097">
        <f>IF(ISNUMBER(Q3097),1,0)</f>
        <v/>
      </c>
      <c r="Z3097">
        <f>IF(AND(K3097=0,L3097=0,Y3097=0),1,0)</f>
        <v/>
      </c>
      <c r="AA3097">
        <f>IF(AND(Z3097=1,G3097&lt;Assumptions!$C$6),1,0)</f>
        <v/>
      </c>
      <c r="AB3097">
        <f>IF(U3097=0,"",IF(Y3097=1,MAX(0,Q3097-G3097),IF(L3097=1,MAX(0,R3097-G3097),MAX(0,Assumptions!$C$6-G3097))))</f>
        <v/>
      </c>
      <c r="AC3097">
        <f>IF(Y3097=1,Q3097-F3097,"")</f>
        <v/>
      </c>
      <c r="AD3097">
        <f>IF(Y3097=1,AC3097^2,"")</f>
        <v/>
      </c>
      <c r="AE3097" s="19">
        <f>IF(Z3097=1,(H3097-M3097)*I3097,0)</f>
        <v/>
      </c>
      <c r="AF3097">
        <f>IF(G3097&lt;EDATE(Assumptions!$C$6,-12)+1,"prior_12m","last_12m")</f>
        <v/>
      </c>
      <c r="AG3097" s="21">
        <f>DATE(YEAR(G3097),MONTH(G3097),1)</f>
        <v/>
      </c>
    </row>
    <row r="3098">
      <c r="A3098" t="inlineStr">
        <is>
          <t>SPO-01660-1</t>
        </is>
      </c>
      <c r="B3098" t="inlineStr">
        <is>
          <t>SPO-01660</t>
        </is>
      </c>
      <c r="C3098" t="inlineStr">
        <is>
          <t>SUP-01</t>
        </is>
      </c>
      <c r="D3098" t="inlineStr">
        <is>
          <t>ELEC</t>
        </is>
      </c>
      <c r="E3098" t="inlineStr">
        <is>
          <t>ELEC-06</t>
        </is>
      </c>
      <c r="F3098" s="17" t="n">
        <v>46030</v>
      </c>
      <c r="G3098" s="17" t="n">
        <v>46048</v>
      </c>
      <c r="H3098" s="18" t="n">
        <v>12</v>
      </c>
      <c r="I3098" s="19" t="n">
        <v>142.63</v>
      </c>
      <c r="J3098" s="19" t="n">
        <v>145</v>
      </c>
      <c r="K3098" s="20" t="n">
        <v>0</v>
      </c>
      <c r="L3098" s="20" t="n">
        <v>0</v>
      </c>
      <c r="M3098" s="18" t="n">
        <v>12</v>
      </c>
      <c r="N3098" s="18" t="n">
        <v>12</v>
      </c>
      <c r="O3098" s="18" t="n">
        <v>0</v>
      </c>
      <c r="P3098" s="17" t="n">
        <v>46045</v>
      </c>
      <c r="Q3098" s="17" t="n">
        <v>46045</v>
      </c>
      <c r="R3098" s="17" t="n">
        <v>46045</v>
      </c>
      <c r="S3098" s="19">
        <f>H3098*I3098</f>
        <v/>
      </c>
      <c r="T3098" s="19">
        <f>H3098*J3098</f>
        <v/>
      </c>
      <c r="U3098">
        <f>IF(AND(K3098=0,G3098&lt;=Assumptions!$C$6),1,0)</f>
        <v/>
      </c>
      <c r="V3098">
        <f>IF(U3098=1,IF(M3098&gt;0,IF(P3098&lt;=G3098+Assumptions!$C$7,1,0),0),0)</f>
        <v/>
      </c>
      <c r="W3098">
        <f>IF(AND(U3098=1,M3098&gt;=H3098*(1-Assumptions!$C$8)),1,0)</f>
        <v/>
      </c>
      <c r="X3098">
        <f>IF(AND(U3098=1,N3098&gt;=H3098*(1-Assumptions!$C$8)),1,0)</f>
        <v/>
      </c>
      <c r="Y3098">
        <f>IF(ISNUMBER(Q3098),1,0)</f>
        <v/>
      </c>
      <c r="Z3098">
        <f>IF(AND(K3098=0,L3098=0,Y3098=0),1,0)</f>
        <v/>
      </c>
      <c r="AA3098">
        <f>IF(AND(Z3098=1,G3098&lt;Assumptions!$C$6),1,0)</f>
        <v/>
      </c>
      <c r="AB3098">
        <f>IF(U3098=0,"",IF(Y3098=1,MAX(0,Q3098-G3098),IF(L3098=1,MAX(0,R3098-G3098),MAX(0,Assumptions!$C$6-G3098))))</f>
        <v/>
      </c>
      <c r="AC3098">
        <f>IF(Y3098=1,Q3098-F3098,"")</f>
        <v/>
      </c>
      <c r="AD3098">
        <f>IF(Y3098=1,AC3098^2,"")</f>
        <v/>
      </c>
      <c r="AE3098" s="19">
        <f>IF(Z3098=1,(H3098-M3098)*I3098,0)</f>
        <v/>
      </c>
      <c r="AF3098">
        <f>IF(G3098&lt;EDATE(Assumptions!$C$6,-12)+1,"prior_12m","last_12m")</f>
        <v/>
      </c>
      <c r="AG3098" s="21">
        <f>DATE(YEAR(G3098),MONTH(G3098),1)</f>
        <v/>
      </c>
    </row>
    <row r="3099">
      <c r="A3099" t="inlineStr">
        <is>
          <t>SPO-01661-1</t>
        </is>
      </c>
      <c r="B3099" t="inlineStr">
        <is>
          <t>SPO-01661</t>
        </is>
      </c>
      <c r="C3099" t="inlineStr">
        <is>
          <t>SUP-12</t>
        </is>
      </c>
      <c r="D3099" t="inlineStr">
        <is>
          <t>IT</t>
        </is>
      </c>
      <c r="E3099" t="inlineStr">
        <is>
          <t>IT-03</t>
        </is>
      </c>
      <c r="F3099" s="17" t="n">
        <v>46030</v>
      </c>
      <c r="G3099" s="17" t="n">
        <v>46040</v>
      </c>
      <c r="H3099" s="18" t="n">
        <v>59</v>
      </c>
      <c r="I3099" s="19" t="n">
        <v>41.92</v>
      </c>
      <c r="J3099" s="19" t="n">
        <v>38</v>
      </c>
      <c r="K3099" s="20" t="n">
        <v>0</v>
      </c>
      <c r="L3099" s="20" t="n">
        <v>0</v>
      </c>
      <c r="M3099" s="18" t="n">
        <v>59</v>
      </c>
      <c r="N3099" s="18" t="n">
        <v>59</v>
      </c>
      <c r="O3099" s="18" t="n">
        <v>0</v>
      </c>
      <c r="P3099" s="17" t="n">
        <v>46033</v>
      </c>
      <c r="Q3099" s="17" t="n">
        <v>46033</v>
      </c>
      <c r="R3099" s="17" t="n">
        <v>46033</v>
      </c>
      <c r="S3099" s="19">
        <f>H3099*I3099</f>
        <v/>
      </c>
      <c r="T3099" s="19">
        <f>H3099*J3099</f>
        <v/>
      </c>
      <c r="U3099">
        <f>IF(AND(K3099=0,G3099&lt;=Assumptions!$C$6),1,0)</f>
        <v/>
      </c>
      <c r="V3099">
        <f>IF(U3099=1,IF(M3099&gt;0,IF(P3099&lt;=G3099+Assumptions!$C$7,1,0),0),0)</f>
        <v/>
      </c>
      <c r="W3099">
        <f>IF(AND(U3099=1,M3099&gt;=H3099*(1-Assumptions!$C$8)),1,0)</f>
        <v/>
      </c>
      <c r="X3099">
        <f>IF(AND(U3099=1,N3099&gt;=H3099*(1-Assumptions!$C$8)),1,0)</f>
        <v/>
      </c>
      <c r="Y3099">
        <f>IF(ISNUMBER(Q3099),1,0)</f>
        <v/>
      </c>
      <c r="Z3099">
        <f>IF(AND(K3099=0,L3099=0,Y3099=0),1,0)</f>
        <v/>
      </c>
      <c r="AA3099">
        <f>IF(AND(Z3099=1,G3099&lt;Assumptions!$C$6),1,0)</f>
        <v/>
      </c>
      <c r="AB3099">
        <f>IF(U3099=0,"",IF(Y3099=1,MAX(0,Q3099-G3099),IF(L3099=1,MAX(0,R3099-G3099),MAX(0,Assumptions!$C$6-G3099))))</f>
        <v/>
      </c>
      <c r="AC3099">
        <f>IF(Y3099=1,Q3099-F3099,"")</f>
        <v/>
      </c>
      <c r="AD3099">
        <f>IF(Y3099=1,AC3099^2,"")</f>
        <v/>
      </c>
      <c r="AE3099" s="19">
        <f>IF(Z3099=1,(H3099-M3099)*I3099,0)</f>
        <v/>
      </c>
      <c r="AF3099">
        <f>IF(G3099&lt;EDATE(Assumptions!$C$6,-12)+1,"prior_12m","last_12m")</f>
        <v/>
      </c>
      <c r="AG3099" s="21">
        <f>DATE(YEAR(G3099),MONTH(G3099),1)</f>
        <v/>
      </c>
    </row>
    <row r="3100">
      <c r="A3100" t="inlineStr">
        <is>
          <t>SPO-01662-1</t>
        </is>
      </c>
      <c r="B3100" t="inlineStr">
        <is>
          <t>SPO-01662</t>
        </is>
      </c>
      <c r="C3100" t="inlineStr">
        <is>
          <t>SUP-14</t>
        </is>
      </c>
      <c r="D3100" t="inlineStr">
        <is>
          <t>FLEET</t>
        </is>
      </c>
      <c r="E3100" t="inlineStr">
        <is>
          <t>FLEET-07</t>
        </is>
      </c>
      <c r="F3100" s="17" t="n">
        <v>46030</v>
      </c>
      <c r="G3100" s="17" t="n">
        <v>46044</v>
      </c>
      <c r="H3100" s="18" t="n">
        <v>9</v>
      </c>
      <c r="I3100" s="19" t="n">
        <v>114.8</v>
      </c>
      <c r="J3100" s="19" t="n">
        <v>118</v>
      </c>
      <c r="K3100" s="20" t="n">
        <v>0</v>
      </c>
      <c r="L3100" s="20" t="n">
        <v>0</v>
      </c>
      <c r="M3100" s="18" t="n">
        <v>9</v>
      </c>
      <c r="N3100" s="18" t="n">
        <v>9</v>
      </c>
      <c r="O3100" s="18" t="n">
        <v>0</v>
      </c>
      <c r="P3100" s="17" t="n">
        <v>46031</v>
      </c>
      <c r="Q3100" s="17" t="n">
        <v>46031</v>
      </c>
      <c r="R3100" s="17" t="n">
        <v>46031</v>
      </c>
      <c r="S3100" s="19">
        <f>H3100*I3100</f>
        <v/>
      </c>
      <c r="T3100" s="19">
        <f>H3100*J3100</f>
        <v/>
      </c>
      <c r="U3100">
        <f>IF(AND(K3100=0,G3100&lt;=Assumptions!$C$6),1,0)</f>
        <v/>
      </c>
      <c r="V3100">
        <f>IF(U3100=1,IF(M3100&gt;0,IF(P3100&lt;=G3100+Assumptions!$C$7,1,0),0),0)</f>
        <v/>
      </c>
      <c r="W3100">
        <f>IF(AND(U3100=1,M3100&gt;=H3100*(1-Assumptions!$C$8)),1,0)</f>
        <v/>
      </c>
      <c r="X3100">
        <f>IF(AND(U3100=1,N3100&gt;=H3100*(1-Assumptions!$C$8)),1,0)</f>
        <v/>
      </c>
      <c r="Y3100">
        <f>IF(ISNUMBER(Q3100),1,0)</f>
        <v/>
      </c>
      <c r="Z3100">
        <f>IF(AND(K3100=0,L3100=0,Y3100=0),1,0)</f>
        <v/>
      </c>
      <c r="AA3100">
        <f>IF(AND(Z3100=1,G3100&lt;Assumptions!$C$6),1,0)</f>
        <v/>
      </c>
      <c r="AB3100">
        <f>IF(U3100=0,"",IF(Y3100=1,MAX(0,Q3100-G3100),IF(L3100=1,MAX(0,R3100-G3100),MAX(0,Assumptions!$C$6-G3100))))</f>
        <v/>
      </c>
      <c r="AC3100">
        <f>IF(Y3100=1,Q3100-F3100,"")</f>
        <v/>
      </c>
      <c r="AD3100">
        <f>IF(Y3100=1,AC3100^2,"")</f>
        <v/>
      </c>
      <c r="AE3100" s="19">
        <f>IF(Z3100=1,(H3100-M3100)*I3100,0)</f>
        <v/>
      </c>
      <c r="AF3100">
        <f>IF(G3100&lt;EDATE(Assumptions!$C$6,-12)+1,"prior_12m","last_12m")</f>
        <v/>
      </c>
      <c r="AG3100" s="21">
        <f>DATE(YEAR(G3100),MONTH(G3100),1)</f>
        <v/>
      </c>
    </row>
    <row r="3101">
      <c r="A3101" t="inlineStr">
        <is>
          <t>SPO-01663-1</t>
        </is>
      </c>
      <c r="B3101" t="inlineStr">
        <is>
          <t>SPO-01663</t>
        </is>
      </c>
      <c r="C3101" t="inlineStr">
        <is>
          <t>SUP-04</t>
        </is>
      </c>
      <c r="D3101" t="inlineStr">
        <is>
          <t>FLEET</t>
        </is>
      </c>
      <c r="E3101" t="inlineStr">
        <is>
          <t>FLEET-03</t>
        </is>
      </c>
      <c r="F3101" s="17" t="n">
        <v>46030</v>
      </c>
      <c r="G3101" s="17" t="n">
        <v>46043</v>
      </c>
      <c r="H3101" s="18" t="n">
        <v>112</v>
      </c>
      <c r="I3101" s="19" t="n">
        <v>21.37</v>
      </c>
      <c r="J3101" s="19" t="n">
        <v>21</v>
      </c>
      <c r="K3101" s="20" t="n">
        <v>0</v>
      </c>
      <c r="L3101" s="20" t="n">
        <v>0</v>
      </c>
      <c r="M3101" s="18" t="n">
        <v>112</v>
      </c>
      <c r="N3101" s="18" t="n">
        <v>112</v>
      </c>
      <c r="O3101" s="18" t="n">
        <v>0</v>
      </c>
      <c r="P3101" s="17" t="n">
        <v>46035</v>
      </c>
      <c r="Q3101" s="17" t="n">
        <v>46035</v>
      </c>
      <c r="R3101" s="17" t="n">
        <v>46035</v>
      </c>
      <c r="S3101" s="19">
        <f>H3101*I3101</f>
        <v/>
      </c>
      <c r="T3101" s="19">
        <f>H3101*J3101</f>
        <v/>
      </c>
      <c r="U3101">
        <f>IF(AND(K3101=0,G3101&lt;=Assumptions!$C$6),1,0)</f>
        <v/>
      </c>
      <c r="V3101">
        <f>IF(U3101=1,IF(M3101&gt;0,IF(P3101&lt;=G3101+Assumptions!$C$7,1,0),0),0)</f>
        <v/>
      </c>
      <c r="W3101">
        <f>IF(AND(U3101=1,M3101&gt;=H3101*(1-Assumptions!$C$8)),1,0)</f>
        <v/>
      </c>
      <c r="X3101">
        <f>IF(AND(U3101=1,N3101&gt;=H3101*(1-Assumptions!$C$8)),1,0)</f>
        <v/>
      </c>
      <c r="Y3101">
        <f>IF(ISNUMBER(Q3101),1,0)</f>
        <v/>
      </c>
      <c r="Z3101">
        <f>IF(AND(K3101=0,L3101=0,Y3101=0),1,0)</f>
        <v/>
      </c>
      <c r="AA3101">
        <f>IF(AND(Z3101=1,G3101&lt;Assumptions!$C$6),1,0)</f>
        <v/>
      </c>
      <c r="AB3101">
        <f>IF(U3101=0,"",IF(Y3101=1,MAX(0,Q3101-G3101),IF(L3101=1,MAX(0,R3101-G3101),MAX(0,Assumptions!$C$6-G3101))))</f>
        <v/>
      </c>
      <c r="AC3101">
        <f>IF(Y3101=1,Q3101-F3101,"")</f>
        <v/>
      </c>
      <c r="AD3101">
        <f>IF(Y3101=1,AC3101^2,"")</f>
        <v/>
      </c>
      <c r="AE3101" s="19">
        <f>IF(Z3101=1,(H3101-M3101)*I3101,0)</f>
        <v/>
      </c>
      <c r="AF3101">
        <f>IF(G3101&lt;EDATE(Assumptions!$C$6,-12)+1,"prior_12m","last_12m")</f>
        <v/>
      </c>
      <c r="AG3101" s="21">
        <f>DATE(YEAR(G3101),MONTH(G3101),1)</f>
        <v/>
      </c>
    </row>
    <row r="3102">
      <c r="A3102" t="inlineStr">
        <is>
          <t>SPO-01663-2</t>
        </is>
      </c>
      <c r="B3102" t="inlineStr">
        <is>
          <t>SPO-01663</t>
        </is>
      </c>
      <c r="C3102" t="inlineStr">
        <is>
          <t>SUP-04</t>
        </is>
      </c>
      <c r="D3102" t="inlineStr">
        <is>
          <t>FLEET</t>
        </is>
      </c>
      <c r="E3102" t="inlineStr">
        <is>
          <t>FLEET-04</t>
        </is>
      </c>
      <c r="F3102" s="17" t="n">
        <v>46030</v>
      </c>
      <c r="G3102" s="17" t="n">
        <v>46043</v>
      </c>
      <c r="H3102" s="18" t="n">
        <v>179</v>
      </c>
      <c r="I3102" s="19" t="n">
        <v>8.140000000000001</v>
      </c>
      <c r="J3102" s="19" t="n">
        <v>9</v>
      </c>
      <c r="K3102" s="20" t="n">
        <v>0</v>
      </c>
      <c r="L3102" s="20" t="n">
        <v>0</v>
      </c>
      <c r="M3102" s="18" t="n">
        <v>179</v>
      </c>
      <c r="N3102" s="18" t="n">
        <v>0</v>
      </c>
      <c r="O3102" s="18" t="n">
        <v>42</v>
      </c>
      <c r="P3102" s="17" t="n">
        <v>46044</v>
      </c>
      <c r="Q3102" s="17" t="n">
        <v>46044</v>
      </c>
      <c r="R3102" s="17" t="n">
        <v>46044</v>
      </c>
      <c r="S3102" s="19">
        <f>H3102*I3102</f>
        <v/>
      </c>
      <c r="T3102" s="19">
        <f>H3102*J3102</f>
        <v/>
      </c>
      <c r="U3102">
        <f>IF(AND(K3102=0,G3102&lt;=Assumptions!$C$6),1,0)</f>
        <v/>
      </c>
      <c r="V3102">
        <f>IF(U3102=1,IF(M3102&gt;0,IF(P3102&lt;=G3102+Assumptions!$C$7,1,0),0),0)</f>
        <v/>
      </c>
      <c r="W3102">
        <f>IF(AND(U3102=1,M3102&gt;=H3102*(1-Assumptions!$C$8)),1,0)</f>
        <v/>
      </c>
      <c r="X3102">
        <f>IF(AND(U3102=1,N3102&gt;=H3102*(1-Assumptions!$C$8)),1,0)</f>
        <v/>
      </c>
      <c r="Y3102">
        <f>IF(ISNUMBER(Q3102),1,0)</f>
        <v/>
      </c>
      <c r="Z3102">
        <f>IF(AND(K3102=0,L3102=0,Y3102=0),1,0)</f>
        <v/>
      </c>
      <c r="AA3102">
        <f>IF(AND(Z3102=1,G3102&lt;Assumptions!$C$6),1,0)</f>
        <v/>
      </c>
      <c r="AB3102">
        <f>IF(U3102=0,"",IF(Y3102=1,MAX(0,Q3102-G3102),IF(L3102=1,MAX(0,R3102-G3102),MAX(0,Assumptions!$C$6-G3102))))</f>
        <v/>
      </c>
      <c r="AC3102">
        <f>IF(Y3102=1,Q3102-F3102,"")</f>
        <v/>
      </c>
      <c r="AD3102">
        <f>IF(Y3102=1,AC3102^2,"")</f>
        <v/>
      </c>
      <c r="AE3102" s="19">
        <f>IF(Z3102=1,(H3102-M3102)*I3102,0)</f>
        <v/>
      </c>
      <c r="AF3102">
        <f>IF(G3102&lt;EDATE(Assumptions!$C$6,-12)+1,"prior_12m","last_12m")</f>
        <v/>
      </c>
      <c r="AG3102" s="21">
        <f>DATE(YEAR(G3102),MONTH(G3102),1)</f>
        <v/>
      </c>
    </row>
    <row r="3103">
      <c r="A3103" t="inlineStr">
        <is>
          <t>SPO-01663-3</t>
        </is>
      </c>
      <c r="B3103" t="inlineStr">
        <is>
          <t>SPO-01663</t>
        </is>
      </c>
      <c r="C3103" t="inlineStr">
        <is>
          <t>SUP-04</t>
        </is>
      </c>
      <c r="D3103" t="inlineStr">
        <is>
          <t>FLEET</t>
        </is>
      </c>
      <c r="E3103" t="inlineStr">
        <is>
          <t>FLEET-06</t>
        </is>
      </c>
      <c r="F3103" s="17" t="n">
        <v>46030</v>
      </c>
      <c r="G3103" s="17" t="n">
        <v>46043</v>
      </c>
      <c r="H3103" s="18" t="n">
        <v>140</v>
      </c>
      <c r="I3103" s="19" t="n">
        <v>32.67</v>
      </c>
      <c r="J3103" s="19" t="n">
        <v>33</v>
      </c>
      <c r="K3103" s="20" t="n">
        <v>1</v>
      </c>
      <c r="L3103" s="20" t="n">
        <v>0</v>
      </c>
      <c r="M3103" s="18" t="n">
        <v>0</v>
      </c>
      <c r="N3103" s="18" t="n">
        <v>0</v>
      </c>
      <c r="O3103" s="18" t="n">
        <v>0</v>
      </c>
      <c r="P3103" s="17" t="n"/>
      <c r="Q3103" s="17" t="n"/>
      <c r="R3103" s="17" t="n"/>
      <c r="S3103" s="19">
        <f>H3103*I3103</f>
        <v/>
      </c>
      <c r="T3103" s="19">
        <f>H3103*J3103</f>
        <v/>
      </c>
      <c r="U3103">
        <f>IF(AND(K3103=0,G3103&lt;=Assumptions!$C$6),1,0)</f>
        <v/>
      </c>
      <c r="V3103">
        <f>IF(U3103=1,IF(M3103&gt;0,IF(P3103&lt;=G3103+Assumptions!$C$7,1,0),0),0)</f>
        <v/>
      </c>
      <c r="W3103">
        <f>IF(AND(U3103=1,M3103&gt;=H3103*(1-Assumptions!$C$8)),1,0)</f>
        <v/>
      </c>
      <c r="X3103">
        <f>IF(AND(U3103=1,N3103&gt;=H3103*(1-Assumptions!$C$8)),1,0)</f>
        <v/>
      </c>
      <c r="Y3103">
        <f>IF(ISNUMBER(Q3103),1,0)</f>
        <v/>
      </c>
      <c r="Z3103">
        <f>IF(AND(K3103=0,L3103=0,Y3103=0),1,0)</f>
        <v/>
      </c>
      <c r="AA3103">
        <f>IF(AND(Z3103=1,G3103&lt;Assumptions!$C$6),1,0)</f>
        <v/>
      </c>
      <c r="AB3103">
        <f>IF(U3103=0,"",IF(Y3103=1,MAX(0,Q3103-G3103),IF(L3103=1,MAX(0,R3103-G3103),MAX(0,Assumptions!$C$6-G3103))))</f>
        <v/>
      </c>
      <c r="AC3103">
        <f>IF(Y3103=1,Q3103-F3103,"")</f>
        <v/>
      </c>
      <c r="AD3103">
        <f>IF(Y3103=1,AC3103^2,"")</f>
        <v/>
      </c>
      <c r="AE3103" s="19">
        <f>IF(Z3103=1,(H3103-M3103)*I3103,0)</f>
        <v/>
      </c>
      <c r="AF3103">
        <f>IF(G3103&lt;EDATE(Assumptions!$C$6,-12)+1,"prior_12m","last_12m")</f>
        <v/>
      </c>
      <c r="AG3103" s="21">
        <f>DATE(YEAR(G3103),MONTH(G3103),1)</f>
        <v/>
      </c>
    </row>
    <row r="3104">
      <c r="A3104" t="inlineStr">
        <is>
          <t>SPO-01664-1</t>
        </is>
      </c>
      <c r="B3104" t="inlineStr">
        <is>
          <t>SPO-01664</t>
        </is>
      </c>
      <c r="C3104" t="inlineStr">
        <is>
          <t>SUP-12</t>
        </is>
      </c>
      <c r="D3104" t="inlineStr">
        <is>
          <t>IT</t>
        </is>
      </c>
      <c r="E3104" t="inlineStr">
        <is>
          <t>IT-03</t>
        </is>
      </c>
      <c r="F3104" s="17" t="n">
        <v>46030</v>
      </c>
      <c r="G3104" s="17" t="n">
        <v>46040</v>
      </c>
      <c r="H3104" s="18" t="n">
        <v>67</v>
      </c>
      <c r="I3104" s="19" t="n">
        <v>41.78</v>
      </c>
      <c r="J3104" s="19" t="n">
        <v>38</v>
      </c>
      <c r="K3104" s="20" t="n">
        <v>0</v>
      </c>
      <c r="L3104" s="20" t="n">
        <v>0</v>
      </c>
      <c r="M3104" s="18" t="n">
        <v>67</v>
      </c>
      <c r="N3104" s="18" t="n">
        <v>0</v>
      </c>
      <c r="O3104" s="18" t="n">
        <v>0</v>
      </c>
      <c r="P3104" s="17" t="n">
        <v>46043</v>
      </c>
      <c r="Q3104" s="17" t="n">
        <v>46043</v>
      </c>
      <c r="R3104" s="17" t="n">
        <v>46043</v>
      </c>
      <c r="S3104" s="19">
        <f>H3104*I3104</f>
        <v/>
      </c>
      <c r="T3104" s="19">
        <f>H3104*J3104</f>
        <v/>
      </c>
      <c r="U3104">
        <f>IF(AND(K3104=0,G3104&lt;=Assumptions!$C$6),1,0)</f>
        <v/>
      </c>
      <c r="V3104">
        <f>IF(U3104=1,IF(M3104&gt;0,IF(P3104&lt;=G3104+Assumptions!$C$7,1,0),0),0)</f>
        <v/>
      </c>
      <c r="W3104">
        <f>IF(AND(U3104=1,M3104&gt;=H3104*(1-Assumptions!$C$8)),1,0)</f>
        <v/>
      </c>
      <c r="X3104">
        <f>IF(AND(U3104=1,N3104&gt;=H3104*(1-Assumptions!$C$8)),1,0)</f>
        <v/>
      </c>
      <c r="Y3104">
        <f>IF(ISNUMBER(Q3104),1,0)</f>
        <v/>
      </c>
      <c r="Z3104">
        <f>IF(AND(K3104=0,L3104=0,Y3104=0),1,0)</f>
        <v/>
      </c>
      <c r="AA3104">
        <f>IF(AND(Z3104=1,G3104&lt;Assumptions!$C$6),1,0)</f>
        <v/>
      </c>
      <c r="AB3104">
        <f>IF(U3104=0,"",IF(Y3104=1,MAX(0,Q3104-G3104),IF(L3104=1,MAX(0,R3104-G3104),MAX(0,Assumptions!$C$6-G3104))))</f>
        <v/>
      </c>
      <c r="AC3104">
        <f>IF(Y3104=1,Q3104-F3104,"")</f>
        <v/>
      </c>
      <c r="AD3104">
        <f>IF(Y3104=1,AC3104^2,"")</f>
        <v/>
      </c>
      <c r="AE3104" s="19">
        <f>IF(Z3104=1,(H3104-M3104)*I3104,0)</f>
        <v/>
      </c>
      <c r="AF3104">
        <f>IF(G3104&lt;EDATE(Assumptions!$C$6,-12)+1,"prior_12m","last_12m")</f>
        <v/>
      </c>
      <c r="AG3104" s="21">
        <f>DATE(YEAR(G3104),MONTH(G3104),1)</f>
        <v/>
      </c>
    </row>
    <row r="3105">
      <c r="A3105" t="inlineStr">
        <is>
          <t>SPO-01665-1</t>
        </is>
      </c>
      <c r="B3105" t="inlineStr">
        <is>
          <t>SPO-01665</t>
        </is>
      </c>
      <c r="C3105" t="inlineStr">
        <is>
          <t>SUP-01</t>
        </is>
      </c>
      <c r="D3105" t="inlineStr">
        <is>
          <t>ELEC</t>
        </is>
      </c>
      <c r="E3105" t="inlineStr">
        <is>
          <t>ELEC-03</t>
        </is>
      </c>
      <c r="F3105" s="17" t="n">
        <v>46030</v>
      </c>
      <c r="G3105" s="17" t="n">
        <v>46048</v>
      </c>
      <c r="H3105" s="18" t="n">
        <v>24</v>
      </c>
      <c r="I3105" s="19" t="n">
        <v>99.13</v>
      </c>
      <c r="J3105" s="19" t="n">
        <v>96</v>
      </c>
      <c r="K3105" s="20" t="n">
        <v>0</v>
      </c>
      <c r="L3105" s="20" t="n">
        <v>0</v>
      </c>
      <c r="M3105" s="18" t="n">
        <v>24</v>
      </c>
      <c r="N3105" s="18" t="n">
        <v>24</v>
      </c>
      <c r="O3105" s="18" t="n">
        <v>0</v>
      </c>
      <c r="P3105" s="17" t="n">
        <v>46047</v>
      </c>
      <c r="Q3105" s="17" t="n">
        <v>46047</v>
      </c>
      <c r="R3105" s="17" t="n">
        <v>46047</v>
      </c>
      <c r="S3105" s="19">
        <f>H3105*I3105</f>
        <v/>
      </c>
      <c r="T3105" s="19">
        <f>H3105*J3105</f>
        <v/>
      </c>
      <c r="U3105">
        <f>IF(AND(K3105=0,G3105&lt;=Assumptions!$C$6),1,0)</f>
        <v/>
      </c>
      <c r="V3105">
        <f>IF(U3105=1,IF(M3105&gt;0,IF(P3105&lt;=G3105+Assumptions!$C$7,1,0),0),0)</f>
        <v/>
      </c>
      <c r="W3105">
        <f>IF(AND(U3105=1,M3105&gt;=H3105*(1-Assumptions!$C$8)),1,0)</f>
        <v/>
      </c>
      <c r="X3105">
        <f>IF(AND(U3105=1,N3105&gt;=H3105*(1-Assumptions!$C$8)),1,0)</f>
        <v/>
      </c>
      <c r="Y3105">
        <f>IF(ISNUMBER(Q3105),1,0)</f>
        <v/>
      </c>
      <c r="Z3105">
        <f>IF(AND(K3105=0,L3105=0,Y3105=0),1,0)</f>
        <v/>
      </c>
      <c r="AA3105">
        <f>IF(AND(Z3105=1,G3105&lt;Assumptions!$C$6),1,0)</f>
        <v/>
      </c>
      <c r="AB3105">
        <f>IF(U3105=0,"",IF(Y3105=1,MAX(0,Q3105-G3105),IF(L3105=1,MAX(0,R3105-G3105),MAX(0,Assumptions!$C$6-G3105))))</f>
        <v/>
      </c>
      <c r="AC3105">
        <f>IF(Y3105=1,Q3105-F3105,"")</f>
        <v/>
      </c>
      <c r="AD3105">
        <f>IF(Y3105=1,AC3105^2,"")</f>
        <v/>
      </c>
      <c r="AE3105" s="19">
        <f>IF(Z3105=1,(H3105-M3105)*I3105,0)</f>
        <v/>
      </c>
      <c r="AF3105">
        <f>IF(G3105&lt;EDATE(Assumptions!$C$6,-12)+1,"prior_12m","last_12m")</f>
        <v/>
      </c>
      <c r="AG3105" s="21">
        <f>DATE(YEAR(G3105),MONTH(G3105),1)</f>
        <v/>
      </c>
    </row>
    <row r="3106">
      <c r="A3106" t="inlineStr">
        <is>
          <t>SPO-01666-1</t>
        </is>
      </c>
      <c r="B3106" t="inlineStr">
        <is>
          <t>SPO-01666</t>
        </is>
      </c>
      <c r="C3106" t="inlineStr">
        <is>
          <t>SUP-12</t>
        </is>
      </c>
      <c r="D3106" t="inlineStr">
        <is>
          <t>IT</t>
        </is>
      </c>
      <c r="E3106" t="inlineStr">
        <is>
          <t>IT-07</t>
        </is>
      </c>
      <c r="F3106" s="17" t="n">
        <v>46031</v>
      </c>
      <c r="G3106" s="17" t="n">
        <v>46041</v>
      </c>
      <c r="H3106" s="18" t="n">
        <v>15</v>
      </c>
      <c r="I3106" s="19" t="n">
        <v>78.94</v>
      </c>
      <c r="J3106" s="19" t="n">
        <v>74</v>
      </c>
      <c r="K3106" s="20" t="n">
        <v>0</v>
      </c>
      <c r="L3106" s="20" t="n">
        <v>0</v>
      </c>
      <c r="M3106" s="18" t="n">
        <v>15</v>
      </c>
      <c r="N3106" s="18" t="n">
        <v>15</v>
      </c>
      <c r="O3106" s="18" t="n">
        <v>0</v>
      </c>
      <c r="P3106" s="17" t="n">
        <v>46040</v>
      </c>
      <c r="Q3106" s="17" t="n">
        <v>46040</v>
      </c>
      <c r="R3106" s="17" t="n">
        <v>46040</v>
      </c>
      <c r="S3106" s="19">
        <f>H3106*I3106</f>
        <v/>
      </c>
      <c r="T3106" s="19">
        <f>H3106*J3106</f>
        <v/>
      </c>
      <c r="U3106">
        <f>IF(AND(K3106=0,G3106&lt;=Assumptions!$C$6),1,0)</f>
        <v/>
      </c>
      <c r="V3106">
        <f>IF(U3106=1,IF(M3106&gt;0,IF(P3106&lt;=G3106+Assumptions!$C$7,1,0),0),0)</f>
        <v/>
      </c>
      <c r="W3106">
        <f>IF(AND(U3106=1,M3106&gt;=H3106*(1-Assumptions!$C$8)),1,0)</f>
        <v/>
      </c>
      <c r="X3106">
        <f>IF(AND(U3106=1,N3106&gt;=H3106*(1-Assumptions!$C$8)),1,0)</f>
        <v/>
      </c>
      <c r="Y3106">
        <f>IF(ISNUMBER(Q3106),1,0)</f>
        <v/>
      </c>
      <c r="Z3106">
        <f>IF(AND(K3106=0,L3106=0,Y3106=0),1,0)</f>
        <v/>
      </c>
      <c r="AA3106">
        <f>IF(AND(Z3106=1,G3106&lt;Assumptions!$C$6),1,0)</f>
        <v/>
      </c>
      <c r="AB3106">
        <f>IF(U3106=0,"",IF(Y3106=1,MAX(0,Q3106-G3106),IF(L3106=1,MAX(0,R3106-G3106),MAX(0,Assumptions!$C$6-G3106))))</f>
        <v/>
      </c>
      <c r="AC3106">
        <f>IF(Y3106=1,Q3106-F3106,"")</f>
        <v/>
      </c>
      <c r="AD3106">
        <f>IF(Y3106=1,AC3106^2,"")</f>
        <v/>
      </c>
      <c r="AE3106" s="19">
        <f>IF(Z3106=1,(H3106-M3106)*I3106,0)</f>
        <v/>
      </c>
      <c r="AF3106">
        <f>IF(G3106&lt;EDATE(Assumptions!$C$6,-12)+1,"prior_12m","last_12m")</f>
        <v/>
      </c>
      <c r="AG3106" s="21">
        <f>DATE(YEAR(G3106),MONTH(G3106),1)</f>
        <v/>
      </c>
    </row>
    <row r="3107">
      <c r="A3107" t="inlineStr">
        <is>
          <t>SPO-01667-1</t>
        </is>
      </c>
      <c r="B3107" t="inlineStr">
        <is>
          <t>SPO-01667</t>
        </is>
      </c>
      <c r="C3107" t="inlineStr">
        <is>
          <t>SUP-08</t>
        </is>
      </c>
      <c r="D3107" t="inlineStr">
        <is>
          <t>PPE</t>
        </is>
      </c>
      <c r="E3107" t="inlineStr">
        <is>
          <t>PPE-01</t>
        </is>
      </c>
      <c r="F3107" s="17" t="n">
        <v>46031</v>
      </c>
      <c r="G3107" s="17" t="n">
        <v>46042</v>
      </c>
      <c r="H3107" s="18" t="n">
        <v>145</v>
      </c>
      <c r="I3107" s="19" t="n">
        <v>4.78</v>
      </c>
      <c r="J3107" s="19" t="n">
        <v>4.8</v>
      </c>
      <c r="K3107" s="20" t="n">
        <v>0</v>
      </c>
      <c r="L3107" s="20" t="n">
        <v>0</v>
      </c>
      <c r="M3107" s="18" t="n">
        <v>145</v>
      </c>
      <c r="N3107" s="18" t="n">
        <v>145</v>
      </c>
      <c r="O3107" s="18" t="n">
        <v>0</v>
      </c>
      <c r="P3107" s="17" t="n">
        <v>46039</v>
      </c>
      <c r="Q3107" s="17" t="n">
        <v>46039</v>
      </c>
      <c r="R3107" s="17" t="n">
        <v>46039</v>
      </c>
      <c r="S3107" s="19">
        <f>H3107*I3107</f>
        <v/>
      </c>
      <c r="T3107" s="19">
        <f>H3107*J3107</f>
        <v/>
      </c>
      <c r="U3107">
        <f>IF(AND(K3107=0,G3107&lt;=Assumptions!$C$6),1,0)</f>
        <v/>
      </c>
      <c r="V3107">
        <f>IF(U3107=1,IF(M3107&gt;0,IF(P3107&lt;=G3107+Assumptions!$C$7,1,0),0),0)</f>
        <v/>
      </c>
      <c r="W3107">
        <f>IF(AND(U3107=1,M3107&gt;=H3107*(1-Assumptions!$C$8)),1,0)</f>
        <v/>
      </c>
      <c r="X3107">
        <f>IF(AND(U3107=1,N3107&gt;=H3107*(1-Assumptions!$C$8)),1,0)</f>
        <v/>
      </c>
      <c r="Y3107">
        <f>IF(ISNUMBER(Q3107),1,0)</f>
        <v/>
      </c>
      <c r="Z3107">
        <f>IF(AND(K3107=0,L3107=0,Y3107=0),1,0)</f>
        <v/>
      </c>
      <c r="AA3107">
        <f>IF(AND(Z3107=1,G3107&lt;Assumptions!$C$6),1,0)</f>
        <v/>
      </c>
      <c r="AB3107">
        <f>IF(U3107=0,"",IF(Y3107=1,MAX(0,Q3107-G3107),IF(L3107=1,MAX(0,R3107-G3107),MAX(0,Assumptions!$C$6-G3107))))</f>
        <v/>
      </c>
      <c r="AC3107">
        <f>IF(Y3107=1,Q3107-F3107,"")</f>
        <v/>
      </c>
      <c r="AD3107">
        <f>IF(Y3107=1,AC3107^2,"")</f>
        <v/>
      </c>
      <c r="AE3107" s="19">
        <f>IF(Z3107=1,(H3107-M3107)*I3107,0)</f>
        <v/>
      </c>
      <c r="AF3107">
        <f>IF(G3107&lt;EDATE(Assumptions!$C$6,-12)+1,"prior_12m","last_12m")</f>
        <v/>
      </c>
      <c r="AG3107" s="21">
        <f>DATE(YEAR(G3107),MONTH(G3107),1)</f>
        <v/>
      </c>
    </row>
    <row r="3108">
      <c r="A3108" t="inlineStr">
        <is>
          <t>SPO-01668-1</t>
        </is>
      </c>
      <c r="B3108" t="inlineStr">
        <is>
          <t>SPO-01668</t>
        </is>
      </c>
      <c r="C3108" t="inlineStr">
        <is>
          <t>SUP-08</t>
        </is>
      </c>
      <c r="D3108" t="inlineStr">
        <is>
          <t>PPE</t>
        </is>
      </c>
      <c r="E3108" t="inlineStr">
        <is>
          <t>PPE-08</t>
        </is>
      </c>
      <c r="F3108" s="17" t="n">
        <v>46031</v>
      </c>
      <c r="G3108" s="17" t="n">
        <v>46042</v>
      </c>
      <c r="H3108" s="18" t="n">
        <v>39</v>
      </c>
      <c r="I3108" s="19" t="n">
        <v>63.35</v>
      </c>
      <c r="J3108" s="19" t="n">
        <v>64</v>
      </c>
      <c r="K3108" s="20" t="n">
        <v>0</v>
      </c>
      <c r="L3108" s="20" t="n">
        <v>0</v>
      </c>
      <c r="M3108" s="18" t="n">
        <v>39</v>
      </c>
      <c r="N3108" s="18" t="n">
        <v>39</v>
      </c>
      <c r="O3108" s="18" t="n">
        <v>0</v>
      </c>
      <c r="P3108" s="17" t="n">
        <v>46041</v>
      </c>
      <c r="Q3108" s="17" t="n">
        <v>46041</v>
      </c>
      <c r="R3108" s="17" t="n">
        <v>46041</v>
      </c>
      <c r="S3108" s="19">
        <f>H3108*I3108</f>
        <v/>
      </c>
      <c r="T3108" s="19">
        <f>H3108*J3108</f>
        <v/>
      </c>
      <c r="U3108">
        <f>IF(AND(K3108=0,G3108&lt;=Assumptions!$C$6),1,0)</f>
        <v/>
      </c>
      <c r="V3108">
        <f>IF(U3108=1,IF(M3108&gt;0,IF(P3108&lt;=G3108+Assumptions!$C$7,1,0),0),0)</f>
        <v/>
      </c>
      <c r="W3108">
        <f>IF(AND(U3108=1,M3108&gt;=H3108*(1-Assumptions!$C$8)),1,0)</f>
        <v/>
      </c>
      <c r="X3108">
        <f>IF(AND(U3108=1,N3108&gt;=H3108*(1-Assumptions!$C$8)),1,0)</f>
        <v/>
      </c>
      <c r="Y3108">
        <f>IF(ISNUMBER(Q3108),1,0)</f>
        <v/>
      </c>
      <c r="Z3108">
        <f>IF(AND(K3108=0,L3108=0,Y3108=0),1,0)</f>
        <v/>
      </c>
      <c r="AA3108">
        <f>IF(AND(Z3108=1,G3108&lt;Assumptions!$C$6),1,0)</f>
        <v/>
      </c>
      <c r="AB3108">
        <f>IF(U3108=0,"",IF(Y3108=1,MAX(0,Q3108-G3108),IF(L3108=1,MAX(0,R3108-G3108),MAX(0,Assumptions!$C$6-G3108))))</f>
        <v/>
      </c>
      <c r="AC3108">
        <f>IF(Y3108=1,Q3108-F3108,"")</f>
        <v/>
      </c>
      <c r="AD3108">
        <f>IF(Y3108=1,AC3108^2,"")</f>
        <v/>
      </c>
      <c r="AE3108" s="19">
        <f>IF(Z3108=1,(H3108-M3108)*I3108,0)</f>
        <v/>
      </c>
      <c r="AF3108">
        <f>IF(G3108&lt;EDATE(Assumptions!$C$6,-12)+1,"prior_12m","last_12m")</f>
        <v/>
      </c>
      <c r="AG3108" s="21">
        <f>DATE(YEAR(G3108),MONTH(G3108),1)</f>
        <v/>
      </c>
    </row>
    <row r="3109">
      <c r="A3109" t="inlineStr">
        <is>
          <t>SPO-01669-1</t>
        </is>
      </c>
      <c r="B3109" t="inlineStr">
        <is>
          <t>SPO-01669</t>
        </is>
      </c>
      <c r="C3109" t="inlineStr">
        <is>
          <t>SUP-09</t>
        </is>
      </c>
      <c r="D3109" t="inlineStr">
        <is>
          <t>CHEM</t>
        </is>
      </c>
      <c r="E3109" t="inlineStr">
        <is>
          <t>CHEM-01</t>
        </is>
      </c>
      <c r="F3109" s="17" t="n">
        <v>46031</v>
      </c>
      <c r="G3109" s="17" t="n">
        <v>46045</v>
      </c>
      <c r="H3109" s="18" t="n">
        <v>2</v>
      </c>
      <c r="I3109" s="19" t="n">
        <v>694.8200000000001</v>
      </c>
      <c r="J3109" s="19" t="n">
        <v>640</v>
      </c>
      <c r="K3109" s="20" t="n">
        <v>0</v>
      </c>
      <c r="L3109" s="20" t="n">
        <v>0</v>
      </c>
      <c r="M3109" s="18" t="n">
        <v>2</v>
      </c>
      <c r="N3109" s="18" t="n">
        <v>2</v>
      </c>
      <c r="O3109" s="18" t="n">
        <v>0</v>
      </c>
      <c r="P3109" s="17" t="n">
        <v>46042</v>
      </c>
      <c r="Q3109" s="17" t="n">
        <v>46042</v>
      </c>
      <c r="R3109" s="17" t="n">
        <v>46042</v>
      </c>
      <c r="S3109" s="19">
        <f>H3109*I3109</f>
        <v/>
      </c>
      <c r="T3109" s="19">
        <f>H3109*J3109</f>
        <v/>
      </c>
      <c r="U3109">
        <f>IF(AND(K3109=0,G3109&lt;=Assumptions!$C$6),1,0)</f>
        <v/>
      </c>
      <c r="V3109">
        <f>IF(U3109=1,IF(M3109&gt;0,IF(P3109&lt;=G3109+Assumptions!$C$7,1,0),0),0)</f>
        <v/>
      </c>
      <c r="W3109">
        <f>IF(AND(U3109=1,M3109&gt;=H3109*(1-Assumptions!$C$8)),1,0)</f>
        <v/>
      </c>
      <c r="X3109">
        <f>IF(AND(U3109=1,N3109&gt;=H3109*(1-Assumptions!$C$8)),1,0)</f>
        <v/>
      </c>
      <c r="Y3109">
        <f>IF(ISNUMBER(Q3109),1,0)</f>
        <v/>
      </c>
      <c r="Z3109">
        <f>IF(AND(K3109=0,L3109=0,Y3109=0),1,0)</f>
        <v/>
      </c>
      <c r="AA3109">
        <f>IF(AND(Z3109=1,G3109&lt;Assumptions!$C$6),1,0)</f>
        <v/>
      </c>
      <c r="AB3109">
        <f>IF(U3109=0,"",IF(Y3109=1,MAX(0,Q3109-G3109),IF(L3109=1,MAX(0,R3109-G3109),MAX(0,Assumptions!$C$6-G3109))))</f>
        <v/>
      </c>
      <c r="AC3109">
        <f>IF(Y3109=1,Q3109-F3109,"")</f>
        <v/>
      </c>
      <c r="AD3109">
        <f>IF(Y3109=1,AC3109^2,"")</f>
        <v/>
      </c>
      <c r="AE3109" s="19">
        <f>IF(Z3109=1,(H3109-M3109)*I3109,0)</f>
        <v/>
      </c>
      <c r="AF3109">
        <f>IF(G3109&lt;EDATE(Assumptions!$C$6,-12)+1,"prior_12m","last_12m")</f>
        <v/>
      </c>
      <c r="AG3109" s="21">
        <f>DATE(YEAR(G3109),MONTH(G3109),1)</f>
        <v/>
      </c>
    </row>
    <row r="3110">
      <c r="A3110" t="inlineStr">
        <is>
          <t>SPO-01669-2</t>
        </is>
      </c>
      <c r="B3110" t="inlineStr">
        <is>
          <t>SPO-01669</t>
        </is>
      </c>
      <c r="C3110" t="inlineStr">
        <is>
          <t>SUP-09</t>
        </is>
      </c>
      <c r="D3110" t="inlineStr">
        <is>
          <t>CHEM</t>
        </is>
      </c>
      <c r="E3110" t="inlineStr">
        <is>
          <t>CHEM-02</t>
        </is>
      </c>
      <c r="F3110" s="17" t="n">
        <v>46031</v>
      </c>
      <c r="G3110" s="17" t="n">
        <v>46045</v>
      </c>
      <c r="H3110" s="18" t="n">
        <v>4</v>
      </c>
      <c r="I3110" s="19" t="n">
        <v>450.68</v>
      </c>
      <c r="J3110" s="19" t="n">
        <v>410</v>
      </c>
      <c r="K3110" s="20" t="n">
        <v>0</v>
      </c>
      <c r="L3110" s="20" t="n">
        <v>0</v>
      </c>
      <c r="M3110" s="18" t="n">
        <v>4</v>
      </c>
      <c r="N3110" s="18" t="n">
        <v>4</v>
      </c>
      <c r="O3110" s="18" t="n">
        <v>0</v>
      </c>
      <c r="P3110" s="17" t="n">
        <v>46041</v>
      </c>
      <c r="Q3110" s="17" t="n">
        <v>46041</v>
      </c>
      <c r="R3110" s="17" t="n">
        <v>46041</v>
      </c>
      <c r="S3110" s="19">
        <f>H3110*I3110</f>
        <v/>
      </c>
      <c r="T3110" s="19">
        <f>H3110*J3110</f>
        <v/>
      </c>
      <c r="U3110">
        <f>IF(AND(K3110=0,G3110&lt;=Assumptions!$C$6),1,0)</f>
        <v/>
      </c>
      <c r="V3110">
        <f>IF(U3110=1,IF(M3110&gt;0,IF(P3110&lt;=G3110+Assumptions!$C$7,1,0),0),0)</f>
        <v/>
      </c>
      <c r="W3110">
        <f>IF(AND(U3110=1,M3110&gt;=H3110*(1-Assumptions!$C$8)),1,0)</f>
        <v/>
      </c>
      <c r="X3110">
        <f>IF(AND(U3110=1,N3110&gt;=H3110*(1-Assumptions!$C$8)),1,0)</f>
        <v/>
      </c>
      <c r="Y3110">
        <f>IF(ISNUMBER(Q3110),1,0)</f>
        <v/>
      </c>
      <c r="Z3110">
        <f>IF(AND(K3110=0,L3110=0,Y3110=0),1,0)</f>
        <v/>
      </c>
      <c r="AA3110">
        <f>IF(AND(Z3110=1,G3110&lt;Assumptions!$C$6),1,0)</f>
        <v/>
      </c>
      <c r="AB3110">
        <f>IF(U3110=0,"",IF(Y3110=1,MAX(0,Q3110-G3110),IF(L3110=1,MAX(0,R3110-G3110),MAX(0,Assumptions!$C$6-G3110))))</f>
        <v/>
      </c>
      <c r="AC3110">
        <f>IF(Y3110=1,Q3110-F3110,"")</f>
        <v/>
      </c>
      <c r="AD3110">
        <f>IF(Y3110=1,AC3110^2,"")</f>
        <v/>
      </c>
      <c r="AE3110" s="19">
        <f>IF(Z3110=1,(H3110-M3110)*I3110,0)</f>
        <v/>
      </c>
      <c r="AF3110">
        <f>IF(G3110&lt;EDATE(Assumptions!$C$6,-12)+1,"prior_12m","last_12m")</f>
        <v/>
      </c>
      <c r="AG3110" s="21">
        <f>DATE(YEAR(G3110),MONTH(G3110),1)</f>
        <v/>
      </c>
    </row>
    <row r="3111">
      <c r="A3111" t="inlineStr">
        <is>
          <t>SPO-01670-1</t>
        </is>
      </c>
      <c r="B3111" t="inlineStr">
        <is>
          <t>SPO-01670</t>
        </is>
      </c>
      <c r="C3111" t="inlineStr">
        <is>
          <t>SUP-01</t>
        </is>
      </c>
      <c r="D3111" t="inlineStr">
        <is>
          <t>ELEC</t>
        </is>
      </c>
      <c r="E3111" t="inlineStr">
        <is>
          <t>ELEC-05</t>
        </is>
      </c>
      <c r="F3111" s="17" t="n">
        <v>46032</v>
      </c>
      <c r="G3111" s="17" t="n">
        <v>46050</v>
      </c>
      <c r="H3111" s="18" t="n">
        <v>213</v>
      </c>
      <c r="I3111" s="19" t="n">
        <v>11.23</v>
      </c>
      <c r="J3111" s="19" t="n">
        <v>11.5</v>
      </c>
      <c r="K3111" s="20" t="n">
        <v>0</v>
      </c>
      <c r="L3111" s="20" t="n">
        <v>0</v>
      </c>
      <c r="M3111" s="18" t="n">
        <v>213</v>
      </c>
      <c r="N3111" s="18" t="n">
        <v>0</v>
      </c>
      <c r="O3111" s="18" t="n">
        <v>0</v>
      </c>
      <c r="P3111" s="17" t="n">
        <v>46051</v>
      </c>
      <c r="Q3111" s="17" t="n">
        <v>46051</v>
      </c>
      <c r="R3111" s="17" t="n">
        <v>46051</v>
      </c>
      <c r="S3111" s="19">
        <f>H3111*I3111</f>
        <v/>
      </c>
      <c r="T3111" s="19">
        <f>H3111*J3111</f>
        <v/>
      </c>
      <c r="U3111">
        <f>IF(AND(K3111=0,G3111&lt;=Assumptions!$C$6),1,0)</f>
        <v/>
      </c>
      <c r="V3111">
        <f>IF(U3111=1,IF(M3111&gt;0,IF(P3111&lt;=G3111+Assumptions!$C$7,1,0),0),0)</f>
        <v/>
      </c>
      <c r="W3111">
        <f>IF(AND(U3111=1,M3111&gt;=H3111*(1-Assumptions!$C$8)),1,0)</f>
        <v/>
      </c>
      <c r="X3111">
        <f>IF(AND(U3111=1,N3111&gt;=H3111*(1-Assumptions!$C$8)),1,0)</f>
        <v/>
      </c>
      <c r="Y3111">
        <f>IF(ISNUMBER(Q3111),1,0)</f>
        <v/>
      </c>
      <c r="Z3111">
        <f>IF(AND(K3111=0,L3111=0,Y3111=0),1,0)</f>
        <v/>
      </c>
      <c r="AA3111">
        <f>IF(AND(Z3111=1,G3111&lt;Assumptions!$C$6),1,0)</f>
        <v/>
      </c>
      <c r="AB3111">
        <f>IF(U3111=0,"",IF(Y3111=1,MAX(0,Q3111-G3111),IF(L3111=1,MAX(0,R3111-G3111),MAX(0,Assumptions!$C$6-G3111))))</f>
        <v/>
      </c>
      <c r="AC3111">
        <f>IF(Y3111=1,Q3111-F3111,"")</f>
        <v/>
      </c>
      <c r="AD3111">
        <f>IF(Y3111=1,AC3111^2,"")</f>
        <v/>
      </c>
      <c r="AE3111" s="19">
        <f>IF(Z3111=1,(H3111-M3111)*I3111,0)</f>
        <v/>
      </c>
      <c r="AF3111">
        <f>IF(G3111&lt;EDATE(Assumptions!$C$6,-12)+1,"prior_12m","last_12m")</f>
        <v/>
      </c>
      <c r="AG3111" s="21">
        <f>DATE(YEAR(G3111),MONTH(G3111),1)</f>
        <v/>
      </c>
    </row>
    <row r="3112">
      <c r="A3112" t="inlineStr">
        <is>
          <t>SPO-01670-2</t>
        </is>
      </c>
      <c r="B3112" t="inlineStr">
        <is>
          <t>SPO-01670</t>
        </is>
      </c>
      <c r="C3112" t="inlineStr">
        <is>
          <t>SUP-01</t>
        </is>
      </c>
      <c r="D3112" t="inlineStr">
        <is>
          <t>ELEC</t>
        </is>
      </c>
      <c r="E3112" t="inlineStr">
        <is>
          <t>ELEC-04</t>
        </is>
      </c>
      <c r="F3112" s="17" t="n">
        <v>46032</v>
      </c>
      <c r="G3112" s="17" t="n">
        <v>46050</v>
      </c>
      <c r="H3112" s="18" t="n">
        <v>12</v>
      </c>
      <c r="I3112" s="19" t="n">
        <v>74.37</v>
      </c>
      <c r="J3112" s="19" t="n">
        <v>72</v>
      </c>
      <c r="K3112" s="20" t="n">
        <v>0</v>
      </c>
      <c r="L3112" s="20" t="n">
        <v>0</v>
      </c>
      <c r="M3112" s="18" t="n">
        <v>12</v>
      </c>
      <c r="N3112" s="18" t="n">
        <v>12</v>
      </c>
      <c r="O3112" s="18" t="n">
        <v>0</v>
      </c>
      <c r="P3112" s="17" t="n">
        <v>46044</v>
      </c>
      <c r="Q3112" s="17" t="n">
        <v>46044</v>
      </c>
      <c r="R3112" s="17" t="n">
        <v>46044</v>
      </c>
      <c r="S3112" s="19">
        <f>H3112*I3112</f>
        <v/>
      </c>
      <c r="T3112" s="19">
        <f>H3112*J3112</f>
        <v/>
      </c>
      <c r="U3112">
        <f>IF(AND(K3112=0,G3112&lt;=Assumptions!$C$6),1,0)</f>
        <v/>
      </c>
      <c r="V3112">
        <f>IF(U3112=1,IF(M3112&gt;0,IF(P3112&lt;=G3112+Assumptions!$C$7,1,0),0),0)</f>
        <v/>
      </c>
      <c r="W3112">
        <f>IF(AND(U3112=1,M3112&gt;=H3112*(1-Assumptions!$C$8)),1,0)</f>
        <v/>
      </c>
      <c r="X3112">
        <f>IF(AND(U3112=1,N3112&gt;=H3112*(1-Assumptions!$C$8)),1,0)</f>
        <v/>
      </c>
      <c r="Y3112">
        <f>IF(ISNUMBER(Q3112),1,0)</f>
        <v/>
      </c>
      <c r="Z3112">
        <f>IF(AND(K3112=0,L3112=0,Y3112=0),1,0)</f>
        <v/>
      </c>
      <c r="AA3112">
        <f>IF(AND(Z3112=1,G3112&lt;Assumptions!$C$6),1,0)</f>
        <v/>
      </c>
      <c r="AB3112">
        <f>IF(U3112=0,"",IF(Y3112=1,MAX(0,Q3112-G3112),IF(L3112=1,MAX(0,R3112-G3112),MAX(0,Assumptions!$C$6-G3112))))</f>
        <v/>
      </c>
      <c r="AC3112">
        <f>IF(Y3112=1,Q3112-F3112,"")</f>
        <v/>
      </c>
      <c r="AD3112">
        <f>IF(Y3112=1,AC3112^2,"")</f>
        <v/>
      </c>
      <c r="AE3112" s="19">
        <f>IF(Z3112=1,(H3112-M3112)*I3112,0)</f>
        <v/>
      </c>
      <c r="AF3112">
        <f>IF(G3112&lt;EDATE(Assumptions!$C$6,-12)+1,"prior_12m","last_12m")</f>
        <v/>
      </c>
      <c r="AG3112" s="21">
        <f>DATE(YEAR(G3112),MONTH(G3112),1)</f>
        <v/>
      </c>
    </row>
    <row r="3113">
      <c r="A3113" t="inlineStr">
        <is>
          <t>SPO-01670-3</t>
        </is>
      </c>
      <c r="B3113" t="inlineStr">
        <is>
          <t>SPO-01670</t>
        </is>
      </c>
      <c r="C3113" t="inlineStr">
        <is>
          <t>SUP-01</t>
        </is>
      </c>
      <c r="D3113" t="inlineStr">
        <is>
          <t>ELEC</t>
        </is>
      </c>
      <c r="E3113" t="inlineStr">
        <is>
          <t>ELEC-07</t>
        </is>
      </c>
      <c r="F3113" s="17" t="n">
        <v>46032</v>
      </c>
      <c r="G3113" s="17" t="n">
        <v>46050</v>
      </c>
      <c r="H3113" s="18" t="n">
        <v>155</v>
      </c>
      <c r="I3113" s="19" t="n">
        <v>9.789999999999999</v>
      </c>
      <c r="J3113" s="19" t="n">
        <v>9.800000000000001</v>
      </c>
      <c r="K3113" s="20" t="n">
        <v>0</v>
      </c>
      <c r="L3113" s="20" t="n">
        <v>0</v>
      </c>
      <c r="M3113" s="18" t="n">
        <v>155</v>
      </c>
      <c r="N3113" s="18" t="n">
        <v>0</v>
      </c>
      <c r="O3113" s="18" t="n">
        <v>0</v>
      </c>
      <c r="P3113" s="17" t="n">
        <v>46052</v>
      </c>
      <c r="Q3113" s="17" t="n">
        <v>46052</v>
      </c>
      <c r="R3113" s="17" t="n">
        <v>46052</v>
      </c>
      <c r="S3113" s="19">
        <f>H3113*I3113</f>
        <v/>
      </c>
      <c r="T3113" s="19">
        <f>H3113*J3113</f>
        <v/>
      </c>
      <c r="U3113">
        <f>IF(AND(K3113=0,G3113&lt;=Assumptions!$C$6),1,0)</f>
        <v/>
      </c>
      <c r="V3113">
        <f>IF(U3113=1,IF(M3113&gt;0,IF(P3113&lt;=G3113+Assumptions!$C$7,1,0),0),0)</f>
        <v/>
      </c>
      <c r="W3113">
        <f>IF(AND(U3113=1,M3113&gt;=H3113*(1-Assumptions!$C$8)),1,0)</f>
        <v/>
      </c>
      <c r="X3113">
        <f>IF(AND(U3113=1,N3113&gt;=H3113*(1-Assumptions!$C$8)),1,0)</f>
        <v/>
      </c>
      <c r="Y3113">
        <f>IF(ISNUMBER(Q3113),1,0)</f>
        <v/>
      </c>
      <c r="Z3113">
        <f>IF(AND(K3113=0,L3113=0,Y3113=0),1,0)</f>
        <v/>
      </c>
      <c r="AA3113">
        <f>IF(AND(Z3113=1,G3113&lt;Assumptions!$C$6),1,0)</f>
        <v/>
      </c>
      <c r="AB3113">
        <f>IF(U3113=0,"",IF(Y3113=1,MAX(0,Q3113-G3113),IF(L3113=1,MAX(0,R3113-G3113),MAX(0,Assumptions!$C$6-G3113))))</f>
        <v/>
      </c>
      <c r="AC3113">
        <f>IF(Y3113=1,Q3113-F3113,"")</f>
        <v/>
      </c>
      <c r="AD3113">
        <f>IF(Y3113=1,AC3113^2,"")</f>
        <v/>
      </c>
      <c r="AE3113" s="19">
        <f>IF(Z3113=1,(H3113-M3113)*I3113,0)</f>
        <v/>
      </c>
      <c r="AF3113">
        <f>IF(G3113&lt;EDATE(Assumptions!$C$6,-12)+1,"prior_12m","last_12m")</f>
        <v/>
      </c>
      <c r="AG3113" s="21">
        <f>DATE(YEAR(G3113),MONTH(G3113),1)</f>
        <v/>
      </c>
    </row>
    <row r="3114">
      <c r="A3114" t="inlineStr">
        <is>
          <t>SPO-01670-4</t>
        </is>
      </c>
      <c r="B3114" t="inlineStr">
        <is>
          <t>SPO-01670</t>
        </is>
      </c>
      <c r="C3114" t="inlineStr">
        <is>
          <t>SUP-01</t>
        </is>
      </c>
      <c r="D3114" t="inlineStr">
        <is>
          <t>ELEC</t>
        </is>
      </c>
      <c r="E3114" t="inlineStr">
        <is>
          <t>ELEC-02</t>
        </is>
      </c>
      <c r="F3114" s="17" t="n">
        <v>46032</v>
      </c>
      <c r="G3114" s="17" t="n">
        <v>46050</v>
      </c>
      <c r="H3114" s="18" t="n">
        <v>707</v>
      </c>
      <c r="I3114" s="19" t="n">
        <v>3.95</v>
      </c>
      <c r="J3114" s="19" t="n">
        <v>4.2</v>
      </c>
      <c r="K3114" s="20" t="n">
        <v>0</v>
      </c>
      <c r="L3114" s="20" t="n">
        <v>0</v>
      </c>
      <c r="M3114" s="18" t="n">
        <v>707</v>
      </c>
      <c r="N3114" s="18" t="n">
        <v>707</v>
      </c>
      <c r="O3114" s="18" t="n">
        <v>0</v>
      </c>
      <c r="P3114" s="17" t="n">
        <v>46049</v>
      </c>
      <c r="Q3114" s="17" t="n">
        <v>46049</v>
      </c>
      <c r="R3114" s="17" t="n">
        <v>46049</v>
      </c>
      <c r="S3114" s="19">
        <f>H3114*I3114</f>
        <v/>
      </c>
      <c r="T3114" s="19">
        <f>H3114*J3114</f>
        <v/>
      </c>
      <c r="U3114">
        <f>IF(AND(K3114=0,G3114&lt;=Assumptions!$C$6),1,0)</f>
        <v/>
      </c>
      <c r="V3114">
        <f>IF(U3114=1,IF(M3114&gt;0,IF(P3114&lt;=G3114+Assumptions!$C$7,1,0),0),0)</f>
        <v/>
      </c>
      <c r="W3114">
        <f>IF(AND(U3114=1,M3114&gt;=H3114*(1-Assumptions!$C$8)),1,0)</f>
        <v/>
      </c>
      <c r="X3114">
        <f>IF(AND(U3114=1,N3114&gt;=H3114*(1-Assumptions!$C$8)),1,0)</f>
        <v/>
      </c>
      <c r="Y3114">
        <f>IF(ISNUMBER(Q3114),1,0)</f>
        <v/>
      </c>
      <c r="Z3114">
        <f>IF(AND(K3114=0,L3114=0,Y3114=0),1,0)</f>
        <v/>
      </c>
      <c r="AA3114">
        <f>IF(AND(Z3114=1,G3114&lt;Assumptions!$C$6),1,0)</f>
        <v/>
      </c>
      <c r="AB3114">
        <f>IF(U3114=0,"",IF(Y3114=1,MAX(0,Q3114-G3114),IF(L3114=1,MAX(0,R3114-G3114),MAX(0,Assumptions!$C$6-G3114))))</f>
        <v/>
      </c>
      <c r="AC3114">
        <f>IF(Y3114=1,Q3114-F3114,"")</f>
        <v/>
      </c>
      <c r="AD3114">
        <f>IF(Y3114=1,AC3114^2,"")</f>
        <v/>
      </c>
      <c r="AE3114" s="19">
        <f>IF(Z3114=1,(H3114-M3114)*I3114,0)</f>
        <v/>
      </c>
      <c r="AF3114">
        <f>IF(G3114&lt;EDATE(Assumptions!$C$6,-12)+1,"prior_12m","last_12m")</f>
        <v/>
      </c>
      <c r="AG3114" s="21">
        <f>DATE(YEAR(G3114),MONTH(G3114),1)</f>
        <v/>
      </c>
    </row>
    <row r="3115">
      <c r="A3115" t="inlineStr">
        <is>
          <t>SPO-01671-1</t>
        </is>
      </c>
      <c r="B3115" t="inlineStr">
        <is>
          <t>SPO-01671</t>
        </is>
      </c>
      <c r="C3115" t="inlineStr">
        <is>
          <t>SUP-06</t>
        </is>
      </c>
      <c r="D3115" t="inlineStr">
        <is>
          <t>MRO</t>
        </is>
      </c>
      <c r="E3115" t="inlineStr">
        <is>
          <t>MRO-04</t>
        </is>
      </c>
      <c r="F3115" s="17" t="n">
        <v>46032</v>
      </c>
      <c r="G3115" s="17" t="n">
        <v>46040</v>
      </c>
      <c r="H3115" s="18" t="n">
        <v>31</v>
      </c>
      <c r="I3115" s="19" t="n">
        <v>57.8</v>
      </c>
      <c r="J3115" s="19" t="n">
        <v>58</v>
      </c>
      <c r="K3115" s="20" t="n">
        <v>0</v>
      </c>
      <c r="L3115" s="20" t="n">
        <v>0</v>
      </c>
      <c r="M3115" s="18" t="n">
        <v>31</v>
      </c>
      <c r="N3115" s="18" t="n">
        <v>31</v>
      </c>
      <c r="O3115" s="18" t="n">
        <v>0</v>
      </c>
      <c r="P3115" s="17" t="n">
        <v>46039</v>
      </c>
      <c r="Q3115" s="17" t="n">
        <v>46039</v>
      </c>
      <c r="R3115" s="17" t="n">
        <v>46039</v>
      </c>
      <c r="S3115" s="19">
        <f>H3115*I3115</f>
        <v/>
      </c>
      <c r="T3115" s="19">
        <f>H3115*J3115</f>
        <v/>
      </c>
      <c r="U3115">
        <f>IF(AND(K3115=0,G3115&lt;=Assumptions!$C$6),1,0)</f>
        <v/>
      </c>
      <c r="V3115">
        <f>IF(U3115=1,IF(M3115&gt;0,IF(P3115&lt;=G3115+Assumptions!$C$7,1,0),0),0)</f>
        <v/>
      </c>
      <c r="W3115">
        <f>IF(AND(U3115=1,M3115&gt;=H3115*(1-Assumptions!$C$8)),1,0)</f>
        <v/>
      </c>
      <c r="X3115">
        <f>IF(AND(U3115=1,N3115&gt;=H3115*(1-Assumptions!$C$8)),1,0)</f>
        <v/>
      </c>
      <c r="Y3115">
        <f>IF(ISNUMBER(Q3115),1,0)</f>
        <v/>
      </c>
      <c r="Z3115">
        <f>IF(AND(K3115=0,L3115=0,Y3115=0),1,0)</f>
        <v/>
      </c>
      <c r="AA3115">
        <f>IF(AND(Z3115=1,G3115&lt;Assumptions!$C$6),1,0)</f>
        <v/>
      </c>
      <c r="AB3115">
        <f>IF(U3115=0,"",IF(Y3115=1,MAX(0,Q3115-G3115),IF(L3115=1,MAX(0,R3115-G3115),MAX(0,Assumptions!$C$6-G3115))))</f>
        <v/>
      </c>
      <c r="AC3115">
        <f>IF(Y3115=1,Q3115-F3115,"")</f>
        <v/>
      </c>
      <c r="AD3115">
        <f>IF(Y3115=1,AC3115^2,"")</f>
        <v/>
      </c>
      <c r="AE3115" s="19">
        <f>IF(Z3115=1,(H3115-M3115)*I3115,0)</f>
        <v/>
      </c>
      <c r="AF3115">
        <f>IF(G3115&lt;EDATE(Assumptions!$C$6,-12)+1,"prior_12m","last_12m")</f>
        <v/>
      </c>
      <c r="AG3115" s="21">
        <f>DATE(YEAR(G3115),MONTH(G3115),1)</f>
        <v/>
      </c>
    </row>
    <row r="3116">
      <c r="A3116" t="inlineStr">
        <is>
          <t>SPO-01671-2</t>
        </is>
      </c>
      <c r="B3116" t="inlineStr">
        <is>
          <t>SPO-01671</t>
        </is>
      </c>
      <c r="C3116" t="inlineStr">
        <is>
          <t>SUP-06</t>
        </is>
      </c>
      <c r="D3116" t="inlineStr">
        <is>
          <t>MRO</t>
        </is>
      </c>
      <c r="E3116" t="inlineStr">
        <is>
          <t>MRO-08</t>
        </is>
      </c>
      <c r="F3116" s="17" t="n">
        <v>46032</v>
      </c>
      <c r="G3116" s="17" t="n">
        <v>46040</v>
      </c>
      <c r="H3116" s="18" t="n">
        <v>38</v>
      </c>
      <c r="I3116" s="19" t="n">
        <v>7.26</v>
      </c>
      <c r="J3116" s="19" t="n">
        <v>7.2</v>
      </c>
      <c r="K3116" s="20" t="n">
        <v>0</v>
      </c>
      <c r="L3116" s="20" t="n">
        <v>0</v>
      </c>
      <c r="M3116" s="18" t="n">
        <v>38</v>
      </c>
      <c r="N3116" s="18" t="n">
        <v>38</v>
      </c>
      <c r="O3116" s="18" t="n">
        <v>0</v>
      </c>
      <c r="P3116" s="17" t="n">
        <v>46039</v>
      </c>
      <c r="Q3116" s="17" t="n">
        <v>46039</v>
      </c>
      <c r="R3116" s="17" t="n">
        <v>46039</v>
      </c>
      <c r="S3116" s="19">
        <f>H3116*I3116</f>
        <v/>
      </c>
      <c r="T3116" s="19">
        <f>H3116*J3116</f>
        <v/>
      </c>
      <c r="U3116">
        <f>IF(AND(K3116=0,G3116&lt;=Assumptions!$C$6),1,0)</f>
        <v/>
      </c>
      <c r="V3116">
        <f>IF(U3116=1,IF(M3116&gt;0,IF(P3116&lt;=G3116+Assumptions!$C$7,1,0),0),0)</f>
        <v/>
      </c>
      <c r="W3116">
        <f>IF(AND(U3116=1,M3116&gt;=H3116*(1-Assumptions!$C$8)),1,0)</f>
        <v/>
      </c>
      <c r="X3116">
        <f>IF(AND(U3116=1,N3116&gt;=H3116*(1-Assumptions!$C$8)),1,0)</f>
        <v/>
      </c>
      <c r="Y3116">
        <f>IF(ISNUMBER(Q3116),1,0)</f>
        <v/>
      </c>
      <c r="Z3116">
        <f>IF(AND(K3116=0,L3116=0,Y3116=0),1,0)</f>
        <v/>
      </c>
      <c r="AA3116">
        <f>IF(AND(Z3116=1,G3116&lt;Assumptions!$C$6),1,0)</f>
        <v/>
      </c>
      <c r="AB3116">
        <f>IF(U3116=0,"",IF(Y3116=1,MAX(0,Q3116-G3116),IF(L3116=1,MAX(0,R3116-G3116),MAX(0,Assumptions!$C$6-G3116))))</f>
        <v/>
      </c>
      <c r="AC3116">
        <f>IF(Y3116=1,Q3116-F3116,"")</f>
        <v/>
      </c>
      <c r="AD3116">
        <f>IF(Y3116=1,AC3116^2,"")</f>
        <v/>
      </c>
      <c r="AE3116" s="19">
        <f>IF(Z3116=1,(H3116-M3116)*I3116,0)</f>
        <v/>
      </c>
      <c r="AF3116">
        <f>IF(G3116&lt;EDATE(Assumptions!$C$6,-12)+1,"prior_12m","last_12m")</f>
        <v/>
      </c>
      <c r="AG3116" s="21">
        <f>DATE(YEAR(G3116),MONTH(G3116),1)</f>
        <v/>
      </c>
    </row>
    <row r="3117">
      <c r="A3117" t="inlineStr">
        <is>
          <t>SPO-01672-1</t>
        </is>
      </c>
      <c r="B3117" t="inlineStr">
        <is>
          <t>SPO-01672</t>
        </is>
      </c>
      <c r="C3117" t="inlineStr">
        <is>
          <t>SUP-12</t>
        </is>
      </c>
      <c r="D3117" t="inlineStr">
        <is>
          <t>IT</t>
        </is>
      </c>
      <c r="E3117" t="inlineStr">
        <is>
          <t>IT-01</t>
        </is>
      </c>
      <c r="F3117" s="17" t="n">
        <v>46032</v>
      </c>
      <c r="G3117" s="17" t="n">
        <v>46042</v>
      </c>
      <c r="H3117" s="18" t="n">
        <v>10</v>
      </c>
      <c r="I3117" s="19" t="n">
        <v>219.55</v>
      </c>
      <c r="J3117" s="19" t="n">
        <v>189</v>
      </c>
      <c r="K3117" s="20" t="n">
        <v>0</v>
      </c>
      <c r="L3117" s="20" t="n">
        <v>0</v>
      </c>
      <c r="M3117" s="18" t="n">
        <v>10</v>
      </c>
      <c r="N3117" s="18" t="n">
        <v>10</v>
      </c>
      <c r="O3117" s="18" t="n">
        <v>0</v>
      </c>
      <c r="P3117" s="17" t="n">
        <v>46034</v>
      </c>
      <c r="Q3117" s="17" t="n">
        <v>46034</v>
      </c>
      <c r="R3117" s="17" t="n">
        <v>46034</v>
      </c>
      <c r="S3117" s="19">
        <f>H3117*I3117</f>
        <v/>
      </c>
      <c r="T3117" s="19">
        <f>H3117*J3117</f>
        <v/>
      </c>
      <c r="U3117">
        <f>IF(AND(K3117=0,G3117&lt;=Assumptions!$C$6),1,0)</f>
        <v/>
      </c>
      <c r="V3117">
        <f>IF(U3117=1,IF(M3117&gt;0,IF(P3117&lt;=G3117+Assumptions!$C$7,1,0),0),0)</f>
        <v/>
      </c>
      <c r="W3117">
        <f>IF(AND(U3117=1,M3117&gt;=H3117*(1-Assumptions!$C$8)),1,0)</f>
        <v/>
      </c>
      <c r="X3117">
        <f>IF(AND(U3117=1,N3117&gt;=H3117*(1-Assumptions!$C$8)),1,0)</f>
        <v/>
      </c>
      <c r="Y3117">
        <f>IF(ISNUMBER(Q3117),1,0)</f>
        <v/>
      </c>
      <c r="Z3117">
        <f>IF(AND(K3117=0,L3117=0,Y3117=0),1,0)</f>
        <v/>
      </c>
      <c r="AA3117">
        <f>IF(AND(Z3117=1,G3117&lt;Assumptions!$C$6),1,0)</f>
        <v/>
      </c>
      <c r="AB3117">
        <f>IF(U3117=0,"",IF(Y3117=1,MAX(0,Q3117-G3117),IF(L3117=1,MAX(0,R3117-G3117),MAX(0,Assumptions!$C$6-G3117))))</f>
        <v/>
      </c>
      <c r="AC3117">
        <f>IF(Y3117=1,Q3117-F3117,"")</f>
        <v/>
      </c>
      <c r="AD3117">
        <f>IF(Y3117=1,AC3117^2,"")</f>
        <v/>
      </c>
      <c r="AE3117" s="19">
        <f>IF(Z3117=1,(H3117-M3117)*I3117,0)</f>
        <v/>
      </c>
      <c r="AF3117">
        <f>IF(G3117&lt;EDATE(Assumptions!$C$6,-12)+1,"prior_12m","last_12m")</f>
        <v/>
      </c>
      <c r="AG3117" s="21">
        <f>DATE(YEAR(G3117),MONTH(G3117),1)</f>
        <v/>
      </c>
    </row>
    <row r="3118">
      <c r="A3118" t="inlineStr">
        <is>
          <t>SPO-01672-2</t>
        </is>
      </c>
      <c r="B3118" t="inlineStr">
        <is>
          <t>SPO-01672</t>
        </is>
      </c>
      <c r="C3118" t="inlineStr">
        <is>
          <t>SUP-12</t>
        </is>
      </c>
      <c r="D3118" t="inlineStr">
        <is>
          <t>IT</t>
        </is>
      </c>
      <c r="E3118" t="inlineStr">
        <is>
          <t>IT-02</t>
        </is>
      </c>
      <c r="F3118" s="17" t="n">
        <v>46032</v>
      </c>
      <c r="G3118" s="17" t="n">
        <v>46042</v>
      </c>
      <c r="H3118" s="18" t="n">
        <v>24</v>
      </c>
      <c r="I3118" s="19" t="n">
        <v>182.21</v>
      </c>
      <c r="J3118" s="19" t="n">
        <v>162</v>
      </c>
      <c r="K3118" s="20" t="n">
        <v>0</v>
      </c>
      <c r="L3118" s="20" t="n">
        <v>0</v>
      </c>
      <c r="M3118" s="18" t="n">
        <v>24</v>
      </c>
      <c r="N3118" s="18" t="n">
        <v>0</v>
      </c>
      <c r="O3118" s="18" t="n">
        <v>0</v>
      </c>
      <c r="P3118" s="17" t="n">
        <v>46044</v>
      </c>
      <c r="Q3118" s="17" t="n">
        <v>46044</v>
      </c>
      <c r="R3118" s="17" t="n">
        <v>46044</v>
      </c>
      <c r="S3118" s="19">
        <f>H3118*I3118</f>
        <v/>
      </c>
      <c r="T3118" s="19">
        <f>H3118*J3118</f>
        <v/>
      </c>
      <c r="U3118">
        <f>IF(AND(K3118=0,G3118&lt;=Assumptions!$C$6),1,0)</f>
        <v/>
      </c>
      <c r="V3118">
        <f>IF(U3118=1,IF(M3118&gt;0,IF(P3118&lt;=G3118+Assumptions!$C$7,1,0),0),0)</f>
        <v/>
      </c>
      <c r="W3118">
        <f>IF(AND(U3118=1,M3118&gt;=H3118*(1-Assumptions!$C$8)),1,0)</f>
        <v/>
      </c>
      <c r="X3118">
        <f>IF(AND(U3118=1,N3118&gt;=H3118*(1-Assumptions!$C$8)),1,0)</f>
        <v/>
      </c>
      <c r="Y3118">
        <f>IF(ISNUMBER(Q3118),1,0)</f>
        <v/>
      </c>
      <c r="Z3118">
        <f>IF(AND(K3118=0,L3118=0,Y3118=0),1,0)</f>
        <v/>
      </c>
      <c r="AA3118">
        <f>IF(AND(Z3118=1,G3118&lt;Assumptions!$C$6),1,0)</f>
        <v/>
      </c>
      <c r="AB3118">
        <f>IF(U3118=0,"",IF(Y3118=1,MAX(0,Q3118-G3118),IF(L3118=1,MAX(0,R3118-G3118),MAX(0,Assumptions!$C$6-G3118))))</f>
        <v/>
      </c>
      <c r="AC3118">
        <f>IF(Y3118=1,Q3118-F3118,"")</f>
        <v/>
      </c>
      <c r="AD3118">
        <f>IF(Y3118=1,AC3118^2,"")</f>
        <v/>
      </c>
      <c r="AE3118" s="19">
        <f>IF(Z3118=1,(H3118-M3118)*I3118,0)</f>
        <v/>
      </c>
      <c r="AF3118">
        <f>IF(G3118&lt;EDATE(Assumptions!$C$6,-12)+1,"prior_12m","last_12m")</f>
        <v/>
      </c>
      <c r="AG3118" s="21">
        <f>DATE(YEAR(G3118),MONTH(G3118),1)</f>
        <v/>
      </c>
    </row>
    <row r="3119">
      <c r="A3119" t="inlineStr">
        <is>
          <t>SPO-01672-3</t>
        </is>
      </c>
      <c r="B3119" t="inlineStr">
        <is>
          <t>SPO-01672</t>
        </is>
      </c>
      <c r="C3119" t="inlineStr">
        <is>
          <t>SUP-12</t>
        </is>
      </c>
      <c r="D3119" t="inlineStr">
        <is>
          <t>IT</t>
        </is>
      </c>
      <c r="E3119" t="inlineStr">
        <is>
          <t>IT-06</t>
        </is>
      </c>
      <c r="F3119" s="17" t="n">
        <v>46032</v>
      </c>
      <c r="G3119" s="17" t="n">
        <v>46042</v>
      </c>
      <c r="H3119" s="18" t="n">
        <v>14</v>
      </c>
      <c r="I3119" s="19" t="n">
        <v>97</v>
      </c>
      <c r="J3119" s="19" t="n">
        <v>89</v>
      </c>
      <c r="K3119" s="20" t="n">
        <v>0</v>
      </c>
      <c r="L3119" s="20" t="n">
        <v>0</v>
      </c>
      <c r="M3119" s="18" t="n">
        <v>14</v>
      </c>
      <c r="N3119" s="18" t="n">
        <v>14</v>
      </c>
      <c r="O3119" s="18" t="n">
        <v>0</v>
      </c>
      <c r="P3119" s="17" t="n">
        <v>46037</v>
      </c>
      <c r="Q3119" s="17" t="n">
        <v>46037</v>
      </c>
      <c r="R3119" s="17" t="n">
        <v>46037</v>
      </c>
      <c r="S3119" s="19">
        <f>H3119*I3119</f>
        <v/>
      </c>
      <c r="T3119" s="19">
        <f>H3119*J3119</f>
        <v/>
      </c>
      <c r="U3119">
        <f>IF(AND(K3119=0,G3119&lt;=Assumptions!$C$6),1,0)</f>
        <v/>
      </c>
      <c r="V3119">
        <f>IF(U3119=1,IF(M3119&gt;0,IF(P3119&lt;=G3119+Assumptions!$C$7,1,0),0),0)</f>
        <v/>
      </c>
      <c r="W3119">
        <f>IF(AND(U3119=1,M3119&gt;=H3119*(1-Assumptions!$C$8)),1,0)</f>
        <v/>
      </c>
      <c r="X3119">
        <f>IF(AND(U3119=1,N3119&gt;=H3119*(1-Assumptions!$C$8)),1,0)</f>
        <v/>
      </c>
      <c r="Y3119">
        <f>IF(ISNUMBER(Q3119),1,0)</f>
        <v/>
      </c>
      <c r="Z3119">
        <f>IF(AND(K3119=0,L3119=0,Y3119=0),1,0)</f>
        <v/>
      </c>
      <c r="AA3119">
        <f>IF(AND(Z3119=1,G3119&lt;Assumptions!$C$6),1,0)</f>
        <v/>
      </c>
      <c r="AB3119">
        <f>IF(U3119=0,"",IF(Y3119=1,MAX(0,Q3119-G3119),IF(L3119=1,MAX(0,R3119-G3119),MAX(0,Assumptions!$C$6-G3119))))</f>
        <v/>
      </c>
      <c r="AC3119">
        <f>IF(Y3119=1,Q3119-F3119,"")</f>
        <v/>
      </c>
      <c r="AD3119">
        <f>IF(Y3119=1,AC3119^2,"")</f>
        <v/>
      </c>
      <c r="AE3119" s="19">
        <f>IF(Z3119=1,(H3119-M3119)*I3119,0)</f>
        <v/>
      </c>
      <c r="AF3119">
        <f>IF(G3119&lt;EDATE(Assumptions!$C$6,-12)+1,"prior_12m","last_12m")</f>
        <v/>
      </c>
      <c r="AG3119" s="21">
        <f>DATE(YEAR(G3119),MONTH(G3119),1)</f>
        <v/>
      </c>
    </row>
    <row r="3120">
      <c r="A3120" t="inlineStr">
        <is>
          <t>SPO-01673-1</t>
        </is>
      </c>
      <c r="B3120" t="inlineStr">
        <is>
          <t>SPO-01673</t>
        </is>
      </c>
      <c r="C3120" t="inlineStr">
        <is>
          <t>SUP-12</t>
        </is>
      </c>
      <c r="D3120" t="inlineStr">
        <is>
          <t>IT</t>
        </is>
      </c>
      <c r="E3120" t="inlineStr">
        <is>
          <t>IT-08</t>
        </is>
      </c>
      <c r="F3120" s="17" t="n">
        <v>46032</v>
      </c>
      <c r="G3120" s="17" t="n">
        <v>46042</v>
      </c>
      <c r="H3120" s="18" t="n">
        <v>8</v>
      </c>
      <c r="I3120" s="19" t="n">
        <v>278.95</v>
      </c>
      <c r="J3120" s="19" t="n">
        <v>245</v>
      </c>
      <c r="K3120" s="20" t="n">
        <v>0</v>
      </c>
      <c r="L3120" s="20" t="n">
        <v>0</v>
      </c>
      <c r="M3120" s="18" t="n">
        <v>8</v>
      </c>
      <c r="N3120" s="18" t="n">
        <v>8</v>
      </c>
      <c r="O3120" s="18" t="n">
        <v>0</v>
      </c>
      <c r="P3120" s="17" t="n">
        <v>46042</v>
      </c>
      <c r="Q3120" s="17" t="n">
        <v>46042</v>
      </c>
      <c r="R3120" s="17" t="n">
        <v>46042</v>
      </c>
      <c r="S3120" s="19">
        <f>H3120*I3120</f>
        <v/>
      </c>
      <c r="T3120" s="19">
        <f>H3120*J3120</f>
        <v/>
      </c>
      <c r="U3120">
        <f>IF(AND(K3120=0,G3120&lt;=Assumptions!$C$6),1,0)</f>
        <v/>
      </c>
      <c r="V3120">
        <f>IF(U3120=1,IF(M3120&gt;0,IF(P3120&lt;=G3120+Assumptions!$C$7,1,0),0),0)</f>
        <v/>
      </c>
      <c r="W3120">
        <f>IF(AND(U3120=1,M3120&gt;=H3120*(1-Assumptions!$C$8)),1,0)</f>
        <v/>
      </c>
      <c r="X3120">
        <f>IF(AND(U3120=1,N3120&gt;=H3120*(1-Assumptions!$C$8)),1,0)</f>
        <v/>
      </c>
      <c r="Y3120">
        <f>IF(ISNUMBER(Q3120),1,0)</f>
        <v/>
      </c>
      <c r="Z3120">
        <f>IF(AND(K3120=0,L3120=0,Y3120=0),1,0)</f>
        <v/>
      </c>
      <c r="AA3120">
        <f>IF(AND(Z3120=1,G3120&lt;Assumptions!$C$6),1,0)</f>
        <v/>
      </c>
      <c r="AB3120">
        <f>IF(U3120=0,"",IF(Y3120=1,MAX(0,Q3120-G3120),IF(L3120=1,MAX(0,R3120-G3120),MAX(0,Assumptions!$C$6-G3120))))</f>
        <v/>
      </c>
      <c r="AC3120">
        <f>IF(Y3120=1,Q3120-F3120,"")</f>
        <v/>
      </c>
      <c r="AD3120">
        <f>IF(Y3120=1,AC3120^2,"")</f>
        <v/>
      </c>
      <c r="AE3120" s="19">
        <f>IF(Z3120=1,(H3120-M3120)*I3120,0)</f>
        <v/>
      </c>
      <c r="AF3120">
        <f>IF(G3120&lt;EDATE(Assumptions!$C$6,-12)+1,"prior_12m","last_12m")</f>
        <v/>
      </c>
      <c r="AG3120" s="21">
        <f>DATE(YEAR(G3120),MONTH(G3120),1)</f>
        <v/>
      </c>
    </row>
    <row r="3121">
      <c r="A3121" t="inlineStr">
        <is>
          <t>SPO-01673-2</t>
        </is>
      </c>
      <c r="B3121" t="inlineStr">
        <is>
          <t>SPO-01673</t>
        </is>
      </c>
      <c r="C3121" t="inlineStr">
        <is>
          <t>SUP-12</t>
        </is>
      </c>
      <c r="D3121" t="inlineStr">
        <is>
          <t>IT</t>
        </is>
      </c>
      <c r="E3121" t="inlineStr">
        <is>
          <t>IT-02</t>
        </is>
      </c>
      <c r="F3121" s="17" t="n">
        <v>46032</v>
      </c>
      <c r="G3121" s="17" t="n">
        <v>46042</v>
      </c>
      <c r="H3121" s="18" t="n">
        <v>10</v>
      </c>
      <c r="I3121" s="19" t="n">
        <v>182.03</v>
      </c>
      <c r="J3121" s="19" t="n">
        <v>162</v>
      </c>
      <c r="K3121" s="20" t="n">
        <v>0</v>
      </c>
      <c r="L3121" s="20" t="n">
        <v>0</v>
      </c>
      <c r="M3121" s="18" t="n">
        <v>10</v>
      </c>
      <c r="N3121" s="18" t="n">
        <v>10</v>
      </c>
      <c r="O3121" s="18" t="n">
        <v>0</v>
      </c>
      <c r="P3121" s="17" t="n">
        <v>46041</v>
      </c>
      <c r="Q3121" s="17" t="n">
        <v>46041</v>
      </c>
      <c r="R3121" s="17" t="n">
        <v>46041</v>
      </c>
      <c r="S3121" s="19">
        <f>H3121*I3121</f>
        <v/>
      </c>
      <c r="T3121" s="19">
        <f>H3121*J3121</f>
        <v/>
      </c>
      <c r="U3121">
        <f>IF(AND(K3121=0,G3121&lt;=Assumptions!$C$6),1,0)</f>
        <v/>
      </c>
      <c r="V3121">
        <f>IF(U3121=1,IF(M3121&gt;0,IF(P3121&lt;=G3121+Assumptions!$C$7,1,0),0),0)</f>
        <v/>
      </c>
      <c r="W3121">
        <f>IF(AND(U3121=1,M3121&gt;=H3121*(1-Assumptions!$C$8)),1,0)</f>
        <v/>
      </c>
      <c r="X3121">
        <f>IF(AND(U3121=1,N3121&gt;=H3121*(1-Assumptions!$C$8)),1,0)</f>
        <v/>
      </c>
      <c r="Y3121">
        <f>IF(ISNUMBER(Q3121),1,0)</f>
        <v/>
      </c>
      <c r="Z3121">
        <f>IF(AND(K3121=0,L3121=0,Y3121=0),1,0)</f>
        <v/>
      </c>
      <c r="AA3121">
        <f>IF(AND(Z3121=1,G3121&lt;Assumptions!$C$6),1,0)</f>
        <v/>
      </c>
      <c r="AB3121">
        <f>IF(U3121=0,"",IF(Y3121=1,MAX(0,Q3121-G3121),IF(L3121=1,MAX(0,R3121-G3121),MAX(0,Assumptions!$C$6-G3121))))</f>
        <v/>
      </c>
      <c r="AC3121">
        <f>IF(Y3121=1,Q3121-F3121,"")</f>
        <v/>
      </c>
      <c r="AD3121">
        <f>IF(Y3121=1,AC3121^2,"")</f>
        <v/>
      </c>
      <c r="AE3121" s="19">
        <f>IF(Z3121=1,(H3121-M3121)*I3121,0)</f>
        <v/>
      </c>
      <c r="AF3121">
        <f>IF(G3121&lt;EDATE(Assumptions!$C$6,-12)+1,"prior_12m","last_12m")</f>
        <v/>
      </c>
      <c r="AG3121" s="21">
        <f>DATE(YEAR(G3121),MONTH(G3121),1)</f>
        <v/>
      </c>
    </row>
    <row r="3122">
      <c r="A3122" t="inlineStr">
        <is>
          <t>SPO-01674-1</t>
        </is>
      </c>
      <c r="B3122" t="inlineStr">
        <is>
          <t>SPO-01674</t>
        </is>
      </c>
      <c r="C3122" t="inlineStr">
        <is>
          <t>SUP-12</t>
        </is>
      </c>
      <c r="D3122" t="inlineStr">
        <is>
          <t>IT</t>
        </is>
      </c>
      <c r="E3122" t="inlineStr">
        <is>
          <t>IT-01</t>
        </is>
      </c>
      <c r="F3122" s="17" t="n">
        <v>46033</v>
      </c>
      <c r="G3122" s="17" t="n">
        <v>46043</v>
      </c>
      <c r="H3122" s="18" t="n">
        <v>13</v>
      </c>
      <c r="I3122" s="19" t="n">
        <v>221.82</v>
      </c>
      <c r="J3122" s="19" t="n">
        <v>189</v>
      </c>
      <c r="K3122" s="20" t="n">
        <v>0</v>
      </c>
      <c r="L3122" s="20" t="n">
        <v>0</v>
      </c>
      <c r="M3122" s="18" t="n">
        <v>13</v>
      </c>
      <c r="N3122" s="18" t="n">
        <v>13</v>
      </c>
      <c r="O3122" s="18" t="n">
        <v>0</v>
      </c>
      <c r="P3122" s="17" t="n">
        <v>46043</v>
      </c>
      <c r="Q3122" s="17" t="n">
        <v>46043</v>
      </c>
      <c r="R3122" s="17" t="n">
        <v>46043</v>
      </c>
      <c r="S3122" s="19">
        <f>H3122*I3122</f>
        <v/>
      </c>
      <c r="T3122" s="19">
        <f>H3122*J3122</f>
        <v/>
      </c>
      <c r="U3122">
        <f>IF(AND(K3122=0,G3122&lt;=Assumptions!$C$6),1,0)</f>
        <v/>
      </c>
      <c r="V3122">
        <f>IF(U3122=1,IF(M3122&gt;0,IF(P3122&lt;=G3122+Assumptions!$C$7,1,0),0),0)</f>
        <v/>
      </c>
      <c r="W3122">
        <f>IF(AND(U3122=1,M3122&gt;=H3122*(1-Assumptions!$C$8)),1,0)</f>
        <v/>
      </c>
      <c r="X3122">
        <f>IF(AND(U3122=1,N3122&gt;=H3122*(1-Assumptions!$C$8)),1,0)</f>
        <v/>
      </c>
      <c r="Y3122">
        <f>IF(ISNUMBER(Q3122),1,0)</f>
        <v/>
      </c>
      <c r="Z3122">
        <f>IF(AND(K3122=0,L3122=0,Y3122=0),1,0)</f>
        <v/>
      </c>
      <c r="AA3122">
        <f>IF(AND(Z3122=1,G3122&lt;Assumptions!$C$6),1,0)</f>
        <v/>
      </c>
      <c r="AB3122">
        <f>IF(U3122=0,"",IF(Y3122=1,MAX(0,Q3122-G3122),IF(L3122=1,MAX(0,R3122-G3122),MAX(0,Assumptions!$C$6-G3122))))</f>
        <v/>
      </c>
      <c r="AC3122">
        <f>IF(Y3122=1,Q3122-F3122,"")</f>
        <v/>
      </c>
      <c r="AD3122">
        <f>IF(Y3122=1,AC3122^2,"")</f>
        <v/>
      </c>
      <c r="AE3122" s="19">
        <f>IF(Z3122=1,(H3122-M3122)*I3122,0)</f>
        <v/>
      </c>
      <c r="AF3122">
        <f>IF(G3122&lt;EDATE(Assumptions!$C$6,-12)+1,"prior_12m","last_12m")</f>
        <v/>
      </c>
      <c r="AG3122" s="21">
        <f>DATE(YEAR(G3122),MONTH(G3122),1)</f>
        <v/>
      </c>
    </row>
    <row r="3123">
      <c r="A3123" t="inlineStr">
        <is>
          <t>SPO-01674-2</t>
        </is>
      </c>
      <c r="B3123" t="inlineStr">
        <is>
          <t>SPO-01674</t>
        </is>
      </c>
      <c r="C3123" t="inlineStr">
        <is>
          <t>SUP-12</t>
        </is>
      </c>
      <c r="D3123" t="inlineStr">
        <is>
          <t>IT</t>
        </is>
      </c>
      <c r="E3123" t="inlineStr">
        <is>
          <t>IT-05</t>
        </is>
      </c>
      <c r="F3123" s="17" t="n">
        <v>46033</v>
      </c>
      <c r="G3123" s="17" t="n">
        <v>46043</v>
      </c>
      <c r="H3123" s="18" t="n">
        <v>4</v>
      </c>
      <c r="I3123" s="19" t="n">
        <v>745.28</v>
      </c>
      <c r="J3123" s="19" t="n">
        <v>640</v>
      </c>
      <c r="K3123" s="20" t="n">
        <v>0</v>
      </c>
      <c r="L3123" s="20" t="n">
        <v>0</v>
      </c>
      <c r="M3123" s="18" t="n">
        <v>4</v>
      </c>
      <c r="N3123" s="18" t="n">
        <v>4</v>
      </c>
      <c r="O3123" s="18" t="n">
        <v>0</v>
      </c>
      <c r="P3123" s="17" t="n">
        <v>46040</v>
      </c>
      <c r="Q3123" s="17" t="n">
        <v>46040</v>
      </c>
      <c r="R3123" s="17" t="n">
        <v>46040</v>
      </c>
      <c r="S3123" s="19">
        <f>H3123*I3123</f>
        <v/>
      </c>
      <c r="T3123" s="19">
        <f>H3123*J3123</f>
        <v/>
      </c>
      <c r="U3123">
        <f>IF(AND(K3123=0,G3123&lt;=Assumptions!$C$6),1,0)</f>
        <v/>
      </c>
      <c r="V3123">
        <f>IF(U3123=1,IF(M3123&gt;0,IF(P3123&lt;=G3123+Assumptions!$C$7,1,0),0),0)</f>
        <v/>
      </c>
      <c r="W3123">
        <f>IF(AND(U3123=1,M3123&gt;=H3123*(1-Assumptions!$C$8)),1,0)</f>
        <v/>
      </c>
      <c r="X3123">
        <f>IF(AND(U3123=1,N3123&gt;=H3123*(1-Assumptions!$C$8)),1,0)</f>
        <v/>
      </c>
      <c r="Y3123">
        <f>IF(ISNUMBER(Q3123),1,0)</f>
        <v/>
      </c>
      <c r="Z3123">
        <f>IF(AND(K3123=0,L3123=0,Y3123=0),1,0)</f>
        <v/>
      </c>
      <c r="AA3123">
        <f>IF(AND(Z3123=1,G3123&lt;Assumptions!$C$6),1,0)</f>
        <v/>
      </c>
      <c r="AB3123">
        <f>IF(U3123=0,"",IF(Y3123=1,MAX(0,Q3123-G3123),IF(L3123=1,MAX(0,R3123-G3123),MAX(0,Assumptions!$C$6-G3123))))</f>
        <v/>
      </c>
      <c r="AC3123">
        <f>IF(Y3123=1,Q3123-F3123,"")</f>
        <v/>
      </c>
      <c r="AD3123">
        <f>IF(Y3123=1,AC3123^2,"")</f>
        <v/>
      </c>
      <c r="AE3123" s="19">
        <f>IF(Z3123=1,(H3123-M3123)*I3123,0)</f>
        <v/>
      </c>
      <c r="AF3123">
        <f>IF(G3123&lt;EDATE(Assumptions!$C$6,-12)+1,"prior_12m","last_12m")</f>
        <v/>
      </c>
      <c r="AG3123" s="21">
        <f>DATE(YEAR(G3123),MONTH(G3123),1)</f>
        <v/>
      </c>
    </row>
    <row r="3124">
      <c r="A3124" t="inlineStr">
        <is>
          <t>SPO-01674-3</t>
        </is>
      </c>
      <c r="B3124" t="inlineStr">
        <is>
          <t>SPO-01674</t>
        </is>
      </c>
      <c r="C3124" t="inlineStr">
        <is>
          <t>SUP-12</t>
        </is>
      </c>
      <c r="D3124" t="inlineStr">
        <is>
          <t>IT</t>
        </is>
      </c>
      <c r="E3124" t="inlineStr">
        <is>
          <t>IT-02</t>
        </is>
      </c>
      <c r="F3124" s="17" t="n">
        <v>46033</v>
      </c>
      <c r="G3124" s="17" t="n">
        <v>46043</v>
      </c>
      <c r="H3124" s="18" t="n">
        <v>8</v>
      </c>
      <c r="I3124" s="19" t="n">
        <v>179.14</v>
      </c>
      <c r="J3124" s="19" t="n">
        <v>162</v>
      </c>
      <c r="K3124" s="20" t="n">
        <v>0</v>
      </c>
      <c r="L3124" s="20" t="n">
        <v>0</v>
      </c>
      <c r="M3124" s="18" t="n">
        <v>8</v>
      </c>
      <c r="N3124" s="18" t="n">
        <v>8</v>
      </c>
      <c r="O3124" s="18" t="n">
        <v>0</v>
      </c>
      <c r="P3124" s="17" t="n">
        <v>46035</v>
      </c>
      <c r="Q3124" s="17" t="n">
        <v>46035</v>
      </c>
      <c r="R3124" s="17" t="n">
        <v>46035</v>
      </c>
      <c r="S3124" s="19">
        <f>H3124*I3124</f>
        <v/>
      </c>
      <c r="T3124" s="19">
        <f>H3124*J3124</f>
        <v/>
      </c>
      <c r="U3124">
        <f>IF(AND(K3124=0,G3124&lt;=Assumptions!$C$6),1,0)</f>
        <v/>
      </c>
      <c r="V3124">
        <f>IF(U3124=1,IF(M3124&gt;0,IF(P3124&lt;=G3124+Assumptions!$C$7,1,0),0),0)</f>
        <v/>
      </c>
      <c r="W3124">
        <f>IF(AND(U3124=1,M3124&gt;=H3124*(1-Assumptions!$C$8)),1,0)</f>
        <v/>
      </c>
      <c r="X3124">
        <f>IF(AND(U3124=1,N3124&gt;=H3124*(1-Assumptions!$C$8)),1,0)</f>
        <v/>
      </c>
      <c r="Y3124">
        <f>IF(ISNUMBER(Q3124),1,0)</f>
        <v/>
      </c>
      <c r="Z3124">
        <f>IF(AND(K3124=0,L3124=0,Y3124=0),1,0)</f>
        <v/>
      </c>
      <c r="AA3124">
        <f>IF(AND(Z3124=1,G3124&lt;Assumptions!$C$6),1,0)</f>
        <v/>
      </c>
      <c r="AB3124">
        <f>IF(U3124=0,"",IF(Y3124=1,MAX(0,Q3124-G3124),IF(L3124=1,MAX(0,R3124-G3124),MAX(0,Assumptions!$C$6-G3124))))</f>
        <v/>
      </c>
      <c r="AC3124">
        <f>IF(Y3124=1,Q3124-F3124,"")</f>
        <v/>
      </c>
      <c r="AD3124">
        <f>IF(Y3124=1,AC3124^2,"")</f>
        <v/>
      </c>
      <c r="AE3124" s="19">
        <f>IF(Z3124=1,(H3124-M3124)*I3124,0)</f>
        <v/>
      </c>
      <c r="AF3124">
        <f>IF(G3124&lt;EDATE(Assumptions!$C$6,-12)+1,"prior_12m","last_12m")</f>
        <v/>
      </c>
      <c r="AG3124" s="21">
        <f>DATE(YEAR(G3124),MONTH(G3124),1)</f>
        <v/>
      </c>
    </row>
    <row r="3125">
      <c r="A3125" t="inlineStr">
        <is>
          <t>SPO-01675-1</t>
        </is>
      </c>
      <c r="B3125" t="inlineStr">
        <is>
          <t>SPO-01675</t>
        </is>
      </c>
      <c r="C3125" t="inlineStr">
        <is>
          <t>SUP-05</t>
        </is>
      </c>
      <c r="D3125" t="inlineStr">
        <is>
          <t>FLEET</t>
        </is>
      </c>
      <c r="E3125" t="inlineStr">
        <is>
          <t>FLEET-08</t>
        </is>
      </c>
      <c r="F3125" s="17" t="n">
        <v>46033</v>
      </c>
      <c r="G3125" s="17" t="n">
        <v>46047</v>
      </c>
      <c r="H3125" s="18" t="n">
        <v>115</v>
      </c>
      <c r="I3125" s="19" t="n">
        <v>6.48</v>
      </c>
      <c r="J3125" s="19" t="n">
        <v>6.4</v>
      </c>
      <c r="K3125" s="20" t="n">
        <v>0</v>
      </c>
      <c r="L3125" s="20" t="n">
        <v>0</v>
      </c>
      <c r="M3125" s="18" t="n">
        <v>115</v>
      </c>
      <c r="N3125" s="18" t="n">
        <v>0</v>
      </c>
      <c r="O3125" s="18" t="n">
        <v>0</v>
      </c>
      <c r="P3125" s="17" t="n">
        <v>46048</v>
      </c>
      <c r="Q3125" s="17" t="n">
        <v>46048</v>
      </c>
      <c r="R3125" s="17" t="n">
        <v>46048</v>
      </c>
      <c r="S3125" s="19">
        <f>H3125*I3125</f>
        <v/>
      </c>
      <c r="T3125" s="19">
        <f>H3125*J3125</f>
        <v/>
      </c>
      <c r="U3125">
        <f>IF(AND(K3125=0,G3125&lt;=Assumptions!$C$6),1,0)</f>
        <v/>
      </c>
      <c r="V3125">
        <f>IF(U3125=1,IF(M3125&gt;0,IF(P3125&lt;=G3125+Assumptions!$C$7,1,0),0),0)</f>
        <v/>
      </c>
      <c r="W3125">
        <f>IF(AND(U3125=1,M3125&gt;=H3125*(1-Assumptions!$C$8)),1,0)</f>
        <v/>
      </c>
      <c r="X3125">
        <f>IF(AND(U3125=1,N3125&gt;=H3125*(1-Assumptions!$C$8)),1,0)</f>
        <v/>
      </c>
      <c r="Y3125">
        <f>IF(ISNUMBER(Q3125),1,0)</f>
        <v/>
      </c>
      <c r="Z3125">
        <f>IF(AND(K3125=0,L3125=0,Y3125=0),1,0)</f>
        <v/>
      </c>
      <c r="AA3125">
        <f>IF(AND(Z3125=1,G3125&lt;Assumptions!$C$6),1,0)</f>
        <v/>
      </c>
      <c r="AB3125">
        <f>IF(U3125=0,"",IF(Y3125=1,MAX(0,Q3125-G3125),IF(L3125=1,MAX(0,R3125-G3125),MAX(0,Assumptions!$C$6-G3125))))</f>
        <v/>
      </c>
      <c r="AC3125">
        <f>IF(Y3125=1,Q3125-F3125,"")</f>
        <v/>
      </c>
      <c r="AD3125">
        <f>IF(Y3125=1,AC3125^2,"")</f>
        <v/>
      </c>
      <c r="AE3125" s="19">
        <f>IF(Z3125=1,(H3125-M3125)*I3125,0)</f>
        <v/>
      </c>
      <c r="AF3125">
        <f>IF(G3125&lt;EDATE(Assumptions!$C$6,-12)+1,"prior_12m","last_12m")</f>
        <v/>
      </c>
      <c r="AG3125" s="21">
        <f>DATE(YEAR(G3125),MONTH(G3125),1)</f>
        <v/>
      </c>
    </row>
    <row r="3126">
      <c r="A3126" t="inlineStr">
        <is>
          <t>SPO-01676-1</t>
        </is>
      </c>
      <c r="B3126" t="inlineStr">
        <is>
          <t>SPO-01676</t>
        </is>
      </c>
      <c r="C3126" t="inlineStr">
        <is>
          <t>SUP-01</t>
        </is>
      </c>
      <c r="D3126" t="inlineStr">
        <is>
          <t>ELEC</t>
        </is>
      </c>
      <c r="E3126" t="inlineStr">
        <is>
          <t>ELEC-03</t>
        </is>
      </c>
      <c r="F3126" s="17" t="n">
        <v>46033</v>
      </c>
      <c r="G3126" s="17" t="n">
        <v>46051</v>
      </c>
      <c r="H3126" s="18" t="n">
        <v>49</v>
      </c>
      <c r="I3126" s="19" t="n">
        <v>99.25</v>
      </c>
      <c r="J3126" s="19" t="n">
        <v>96</v>
      </c>
      <c r="K3126" s="20" t="n">
        <v>0</v>
      </c>
      <c r="L3126" s="20" t="n">
        <v>0</v>
      </c>
      <c r="M3126" s="18" t="n">
        <v>49</v>
      </c>
      <c r="N3126" s="18" t="n">
        <v>0</v>
      </c>
      <c r="O3126" s="18" t="n">
        <v>0</v>
      </c>
      <c r="P3126" s="17" t="n">
        <v>46107</v>
      </c>
      <c r="Q3126" s="17" t="n">
        <v>46107</v>
      </c>
      <c r="R3126" s="17" t="n">
        <v>46107</v>
      </c>
      <c r="S3126" s="19">
        <f>H3126*I3126</f>
        <v/>
      </c>
      <c r="T3126" s="19">
        <f>H3126*J3126</f>
        <v/>
      </c>
      <c r="U3126">
        <f>IF(AND(K3126=0,G3126&lt;=Assumptions!$C$6),1,0)</f>
        <v/>
      </c>
      <c r="V3126">
        <f>IF(U3126=1,IF(M3126&gt;0,IF(P3126&lt;=G3126+Assumptions!$C$7,1,0),0),0)</f>
        <v/>
      </c>
      <c r="W3126">
        <f>IF(AND(U3126=1,M3126&gt;=H3126*(1-Assumptions!$C$8)),1,0)</f>
        <v/>
      </c>
      <c r="X3126">
        <f>IF(AND(U3126=1,N3126&gt;=H3126*(1-Assumptions!$C$8)),1,0)</f>
        <v/>
      </c>
      <c r="Y3126">
        <f>IF(ISNUMBER(Q3126),1,0)</f>
        <v/>
      </c>
      <c r="Z3126">
        <f>IF(AND(K3126=0,L3126=0,Y3126=0),1,0)</f>
        <v/>
      </c>
      <c r="AA3126">
        <f>IF(AND(Z3126=1,G3126&lt;Assumptions!$C$6),1,0)</f>
        <v/>
      </c>
      <c r="AB3126">
        <f>IF(U3126=0,"",IF(Y3126=1,MAX(0,Q3126-G3126),IF(L3126=1,MAX(0,R3126-G3126),MAX(0,Assumptions!$C$6-G3126))))</f>
        <v/>
      </c>
      <c r="AC3126">
        <f>IF(Y3126=1,Q3126-F3126,"")</f>
        <v/>
      </c>
      <c r="AD3126">
        <f>IF(Y3126=1,AC3126^2,"")</f>
        <v/>
      </c>
      <c r="AE3126" s="19">
        <f>IF(Z3126=1,(H3126-M3126)*I3126,0)</f>
        <v/>
      </c>
      <c r="AF3126">
        <f>IF(G3126&lt;EDATE(Assumptions!$C$6,-12)+1,"prior_12m","last_12m")</f>
        <v/>
      </c>
      <c r="AG3126" s="21">
        <f>DATE(YEAR(G3126),MONTH(G3126),1)</f>
        <v/>
      </c>
    </row>
    <row r="3127">
      <c r="A3127" t="inlineStr">
        <is>
          <t>SPO-01677-1</t>
        </is>
      </c>
      <c r="B3127" t="inlineStr">
        <is>
          <t>SPO-01677</t>
        </is>
      </c>
      <c r="C3127" t="inlineStr">
        <is>
          <t>SUP-12</t>
        </is>
      </c>
      <c r="D3127" t="inlineStr">
        <is>
          <t>IT</t>
        </is>
      </c>
      <c r="E3127" t="inlineStr">
        <is>
          <t>IT-03</t>
        </is>
      </c>
      <c r="F3127" s="17" t="n">
        <v>46034</v>
      </c>
      <c r="G3127" s="17" t="n">
        <v>46044</v>
      </c>
      <c r="H3127" s="18" t="n">
        <v>39</v>
      </c>
      <c r="I3127" s="19" t="n">
        <v>42.76</v>
      </c>
      <c r="J3127" s="19" t="n">
        <v>38</v>
      </c>
      <c r="K3127" s="20" t="n">
        <v>1</v>
      </c>
      <c r="L3127" s="20" t="n">
        <v>0</v>
      </c>
      <c r="M3127" s="18" t="n">
        <v>0</v>
      </c>
      <c r="N3127" s="18" t="n">
        <v>0</v>
      </c>
      <c r="O3127" s="18" t="n">
        <v>0</v>
      </c>
      <c r="P3127" s="17" t="n"/>
      <c r="Q3127" s="17" t="n"/>
      <c r="R3127" s="17" t="n"/>
      <c r="S3127" s="19">
        <f>H3127*I3127</f>
        <v/>
      </c>
      <c r="T3127" s="19">
        <f>H3127*J3127</f>
        <v/>
      </c>
      <c r="U3127">
        <f>IF(AND(K3127=0,G3127&lt;=Assumptions!$C$6),1,0)</f>
        <v/>
      </c>
      <c r="V3127">
        <f>IF(U3127=1,IF(M3127&gt;0,IF(P3127&lt;=G3127+Assumptions!$C$7,1,0),0),0)</f>
        <v/>
      </c>
      <c r="W3127">
        <f>IF(AND(U3127=1,M3127&gt;=H3127*(1-Assumptions!$C$8)),1,0)</f>
        <v/>
      </c>
      <c r="X3127">
        <f>IF(AND(U3127=1,N3127&gt;=H3127*(1-Assumptions!$C$8)),1,0)</f>
        <v/>
      </c>
      <c r="Y3127">
        <f>IF(ISNUMBER(Q3127),1,0)</f>
        <v/>
      </c>
      <c r="Z3127">
        <f>IF(AND(K3127=0,L3127=0,Y3127=0),1,0)</f>
        <v/>
      </c>
      <c r="AA3127">
        <f>IF(AND(Z3127=1,G3127&lt;Assumptions!$C$6),1,0)</f>
        <v/>
      </c>
      <c r="AB3127">
        <f>IF(U3127=0,"",IF(Y3127=1,MAX(0,Q3127-G3127),IF(L3127=1,MAX(0,R3127-G3127),MAX(0,Assumptions!$C$6-G3127))))</f>
        <v/>
      </c>
      <c r="AC3127">
        <f>IF(Y3127=1,Q3127-F3127,"")</f>
        <v/>
      </c>
      <c r="AD3127">
        <f>IF(Y3127=1,AC3127^2,"")</f>
        <v/>
      </c>
      <c r="AE3127" s="19">
        <f>IF(Z3127=1,(H3127-M3127)*I3127,0)</f>
        <v/>
      </c>
      <c r="AF3127">
        <f>IF(G3127&lt;EDATE(Assumptions!$C$6,-12)+1,"prior_12m","last_12m")</f>
        <v/>
      </c>
      <c r="AG3127" s="21">
        <f>DATE(YEAR(G3127),MONTH(G3127),1)</f>
        <v/>
      </c>
    </row>
    <row r="3128">
      <c r="A3128" t="inlineStr">
        <is>
          <t>SPO-01677-2</t>
        </is>
      </c>
      <c r="B3128" t="inlineStr">
        <is>
          <t>SPO-01677</t>
        </is>
      </c>
      <c r="C3128" t="inlineStr">
        <is>
          <t>SUP-12</t>
        </is>
      </c>
      <c r="D3128" t="inlineStr">
        <is>
          <t>IT</t>
        </is>
      </c>
      <c r="E3128" t="inlineStr">
        <is>
          <t>IT-06</t>
        </is>
      </c>
      <c r="F3128" s="17" t="n">
        <v>46034</v>
      </c>
      <c r="G3128" s="17" t="n">
        <v>46044</v>
      </c>
      <c r="H3128" s="18" t="n">
        <v>14</v>
      </c>
      <c r="I3128" s="19" t="n">
        <v>103.54</v>
      </c>
      <c r="J3128" s="19" t="n">
        <v>89</v>
      </c>
      <c r="K3128" s="20" t="n">
        <v>0</v>
      </c>
      <c r="L3128" s="20" t="n">
        <v>0</v>
      </c>
      <c r="M3128" s="18" t="n">
        <v>14</v>
      </c>
      <c r="N3128" s="18" t="n">
        <v>14</v>
      </c>
      <c r="O3128" s="18" t="n">
        <v>0</v>
      </c>
      <c r="P3128" s="17" t="n">
        <v>46040</v>
      </c>
      <c r="Q3128" s="17" t="n">
        <v>46040</v>
      </c>
      <c r="R3128" s="17" t="n">
        <v>46040</v>
      </c>
      <c r="S3128" s="19">
        <f>H3128*I3128</f>
        <v/>
      </c>
      <c r="T3128" s="19">
        <f>H3128*J3128</f>
        <v/>
      </c>
      <c r="U3128">
        <f>IF(AND(K3128=0,G3128&lt;=Assumptions!$C$6),1,0)</f>
        <v/>
      </c>
      <c r="V3128">
        <f>IF(U3128=1,IF(M3128&gt;0,IF(P3128&lt;=G3128+Assumptions!$C$7,1,0),0),0)</f>
        <v/>
      </c>
      <c r="W3128">
        <f>IF(AND(U3128=1,M3128&gt;=H3128*(1-Assumptions!$C$8)),1,0)</f>
        <v/>
      </c>
      <c r="X3128">
        <f>IF(AND(U3128=1,N3128&gt;=H3128*(1-Assumptions!$C$8)),1,0)</f>
        <v/>
      </c>
      <c r="Y3128">
        <f>IF(ISNUMBER(Q3128),1,0)</f>
        <v/>
      </c>
      <c r="Z3128">
        <f>IF(AND(K3128=0,L3128=0,Y3128=0),1,0)</f>
        <v/>
      </c>
      <c r="AA3128">
        <f>IF(AND(Z3128=1,G3128&lt;Assumptions!$C$6),1,0)</f>
        <v/>
      </c>
      <c r="AB3128">
        <f>IF(U3128=0,"",IF(Y3128=1,MAX(0,Q3128-G3128),IF(L3128=1,MAX(0,R3128-G3128),MAX(0,Assumptions!$C$6-G3128))))</f>
        <v/>
      </c>
      <c r="AC3128">
        <f>IF(Y3128=1,Q3128-F3128,"")</f>
        <v/>
      </c>
      <c r="AD3128">
        <f>IF(Y3128=1,AC3128^2,"")</f>
        <v/>
      </c>
      <c r="AE3128" s="19">
        <f>IF(Z3128=1,(H3128-M3128)*I3128,0)</f>
        <v/>
      </c>
      <c r="AF3128">
        <f>IF(G3128&lt;EDATE(Assumptions!$C$6,-12)+1,"prior_12m","last_12m")</f>
        <v/>
      </c>
      <c r="AG3128" s="21">
        <f>DATE(YEAR(G3128),MONTH(G3128),1)</f>
        <v/>
      </c>
    </row>
    <row r="3129">
      <c r="A3129" t="inlineStr">
        <is>
          <t>SPO-01677-3</t>
        </is>
      </c>
      <c r="B3129" t="inlineStr">
        <is>
          <t>SPO-01677</t>
        </is>
      </c>
      <c r="C3129" t="inlineStr">
        <is>
          <t>SUP-12</t>
        </is>
      </c>
      <c r="D3129" t="inlineStr">
        <is>
          <t>IT</t>
        </is>
      </c>
      <c r="E3129" t="inlineStr">
        <is>
          <t>IT-08</t>
        </is>
      </c>
      <c r="F3129" s="17" t="n">
        <v>46034</v>
      </c>
      <c r="G3129" s="17" t="n">
        <v>46044</v>
      </c>
      <c r="H3129" s="18" t="n">
        <v>3</v>
      </c>
      <c r="I3129" s="19" t="n">
        <v>265.17</v>
      </c>
      <c r="J3129" s="19" t="n">
        <v>245</v>
      </c>
      <c r="K3129" s="20" t="n">
        <v>0</v>
      </c>
      <c r="L3129" s="20" t="n">
        <v>0</v>
      </c>
      <c r="M3129" s="18" t="n">
        <v>3</v>
      </c>
      <c r="N3129" s="18" t="n">
        <v>0</v>
      </c>
      <c r="O3129" s="18" t="n">
        <v>0</v>
      </c>
      <c r="P3129" s="17" t="n">
        <v>46048</v>
      </c>
      <c r="Q3129" s="17" t="n">
        <v>46048</v>
      </c>
      <c r="R3129" s="17" t="n">
        <v>46048</v>
      </c>
      <c r="S3129" s="19">
        <f>H3129*I3129</f>
        <v/>
      </c>
      <c r="T3129" s="19">
        <f>H3129*J3129</f>
        <v/>
      </c>
      <c r="U3129">
        <f>IF(AND(K3129=0,G3129&lt;=Assumptions!$C$6),1,0)</f>
        <v/>
      </c>
      <c r="V3129">
        <f>IF(U3129=1,IF(M3129&gt;0,IF(P3129&lt;=G3129+Assumptions!$C$7,1,0),0),0)</f>
        <v/>
      </c>
      <c r="W3129">
        <f>IF(AND(U3129=1,M3129&gt;=H3129*(1-Assumptions!$C$8)),1,0)</f>
        <v/>
      </c>
      <c r="X3129">
        <f>IF(AND(U3129=1,N3129&gt;=H3129*(1-Assumptions!$C$8)),1,0)</f>
        <v/>
      </c>
      <c r="Y3129">
        <f>IF(ISNUMBER(Q3129),1,0)</f>
        <v/>
      </c>
      <c r="Z3129">
        <f>IF(AND(K3129=0,L3129=0,Y3129=0),1,0)</f>
        <v/>
      </c>
      <c r="AA3129">
        <f>IF(AND(Z3129=1,G3129&lt;Assumptions!$C$6),1,0)</f>
        <v/>
      </c>
      <c r="AB3129">
        <f>IF(U3129=0,"",IF(Y3129=1,MAX(0,Q3129-G3129),IF(L3129=1,MAX(0,R3129-G3129),MAX(0,Assumptions!$C$6-G3129))))</f>
        <v/>
      </c>
      <c r="AC3129">
        <f>IF(Y3129=1,Q3129-F3129,"")</f>
        <v/>
      </c>
      <c r="AD3129">
        <f>IF(Y3129=1,AC3129^2,"")</f>
        <v/>
      </c>
      <c r="AE3129" s="19">
        <f>IF(Z3129=1,(H3129-M3129)*I3129,0)</f>
        <v/>
      </c>
      <c r="AF3129">
        <f>IF(G3129&lt;EDATE(Assumptions!$C$6,-12)+1,"prior_12m","last_12m")</f>
        <v/>
      </c>
      <c r="AG3129" s="21">
        <f>DATE(YEAR(G3129),MONTH(G3129),1)</f>
        <v/>
      </c>
    </row>
    <row r="3130">
      <c r="A3130" t="inlineStr">
        <is>
          <t>SPO-01678-1</t>
        </is>
      </c>
      <c r="B3130" t="inlineStr">
        <is>
          <t>SPO-01678</t>
        </is>
      </c>
      <c r="C3130" t="inlineStr">
        <is>
          <t>SUP-08</t>
        </is>
      </c>
      <c r="D3130" t="inlineStr">
        <is>
          <t>PPE</t>
        </is>
      </c>
      <c r="E3130" t="inlineStr">
        <is>
          <t>PPE-08</t>
        </is>
      </c>
      <c r="F3130" s="17" t="n">
        <v>46035</v>
      </c>
      <c r="G3130" s="17" t="n">
        <v>46046</v>
      </c>
      <c r="H3130" s="18" t="n">
        <v>27</v>
      </c>
      <c r="I3130" s="19" t="n">
        <v>62.64</v>
      </c>
      <c r="J3130" s="19" t="n">
        <v>64</v>
      </c>
      <c r="K3130" s="20" t="n">
        <v>1</v>
      </c>
      <c r="L3130" s="20" t="n">
        <v>0</v>
      </c>
      <c r="M3130" s="18" t="n">
        <v>0</v>
      </c>
      <c r="N3130" s="18" t="n">
        <v>0</v>
      </c>
      <c r="O3130" s="18" t="n">
        <v>0</v>
      </c>
      <c r="P3130" s="17" t="n"/>
      <c r="Q3130" s="17" t="n"/>
      <c r="R3130" s="17" t="n"/>
      <c r="S3130" s="19">
        <f>H3130*I3130</f>
        <v/>
      </c>
      <c r="T3130" s="19">
        <f>H3130*J3130</f>
        <v/>
      </c>
      <c r="U3130">
        <f>IF(AND(K3130=0,G3130&lt;=Assumptions!$C$6),1,0)</f>
        <v/>
      </c>
      <c r="V3130">
        <f>IF(U3130=1,IF(M3130&gt;0,IF(P3130&lt;=G3130+Assumptions!$C$7,1,0),0),0)</f>
        <v/>
      </c>
      <c r="W3130">
        <f>IF(AND(U3130=1,M3130&gt;=H3130*(1-Assumptions!$C$8)),1,0)</f>
        <v/>
      </c>
      <c r="X3130">
        <f>IF(AND(U3130=1,N3130&gt;=H3130*(1-Assumptions!$C$8)),1,0)</f>
        <v/>
      </c>
      <c r="Y3130">
        <f>IF(ISNUMBER(Q3130),1,0)</f>
        <v/>
      </c>
      <c r="Z3130">
        <f>IF(AND(K3130=0,L3130=0,Y3130=0),1,0)</f>
        <v/>
      </c>
      <c r="AA3130">
        <f>IF(AND(Z3130=1,G3130&lt;Assumptions!$C$6),1,0)</f>
        <v/>
      </c>
      <c r="AB3130">
        <f>IF(U3130=0,"",IF(Y3130=1,MAX(0,Q3130-G3130),IF(L3130=1,MAX(0,R3130-G3130),MAX(0,Assumptions!$C$6-G3130))))</f>
        <v/>
      </c>
      <c r="AC3130">
        <f>IF(Y3130=1,Q3130-F3130,"")</f>
        <v/>
      </c>
      <c r="AD3130">
        <f>IF(Y3130=1,AC3130^2,"")</f>
        <v/>
      </c>
      <c r="AE3130" s="19">
        <f>IF(Z3130=1,(H3130-M3130)*I3130,0)</f>
        <v/>
      </c>
      <c r="AF3130">
        <f>IF(G3130&lt;EDATE(Assumptions!$C$6,-12)+1,"prior_12m","last_12m")</f>
        <v/>
      </c>
      <c r="AG3130" s="21">
        <f>DATE(YEAR(G3130),MONTH(G3130),1)</f>
        <v/>
      </c>
    </row>
    <row r="3131">
      <c r="A3131" t="inlineStr">
        <is>
          <t>SPO-01679-1</t>
        </is>
      </c>
      <c r="B3131" t="inlineStr">
        <is>
          <t>SPO-01679</t>
        </is>
      </c>
      <c r="C3131" t="inlineStr">
        <is>
          <t>SUP-08</t>
        </is>
      </c>
      <c r="D3131" t="inlineStr">
        <is>
          <t>MRO</t>
        </is>
      </c>
      <c r="E3131" t="inlineStr">
        <is>
          <t>MRO-05</t>
        </is>
      </c>
      <c r="F3131" s="17" t="n">
        <v>46035</v>
      </c>
      <c r="G3131" s="17" t="n">
        <v>46046</v>
      </c>
      <c r="H3131" s="18" t="n">
        <v>88</v>
      </c>
      <c r="I3131" s="19" t="n">
        <v>35.76</v>
      </c>
      <c r="J3131" s="19" t="n">
        <v>36</v>
      </c>
      <c r="K3131" s="20" t="n">
        <v>0</v>
      </c>
      <c r="L3131" s="20" t="n">
        <v>0</v>
      </c>
      <c r="M3131" s="18" t="n">
        <v>88</v>
      </c>
      <c r="N3131" s="18" t="n">
        <v>88</v>
      </c>
      <c r="O3131" s="18" t="n">
        <v>0</v>
      </c>
      <c r="P3131" s="17" t="n">
        <v>46041</v>
      </c>
      <c r="Q3131" s="17" t="n">
        <v>46041</v>
      </c>
      <c r="R3131" s="17" t="n">
        <v>46041</v>
      </c>
      <c r="S3131" s="19">
        <f>H3131*I3131</f>
        <v/>
      </c>
      <c r="T3131" s="19">
        <f>H3131*J3131</f>
        <v/>
      </c>
      <c r="U3131">
        <f>IF(AND(K3131=0,G3131&lt;=Assumptions!$C$6),1,0)</f>
        <v/>
      </c>
      <c r="V3131">
        <f>IF(U3131=1,IF(M3131&gt;0,IF(P3131&lt;=G3131+Assumptions!$C$7,1,0),0),0)</f>
        <v/>
      </c>
      <c r="W3131">
        <f>IF(AND(U3131=1,M3131&gt;=H3131*(1-Assumptions!$C$8)),1,0)</f>
        <v/>
      </c>
      <c r="X3131">
        <f>IF(AND(U3131=1,N3131&gt;=H3131*(1-Assumptions!$C$8)),1,0)</f>
        <v/>
      </c>
      <c r="Y3131">
        <f>IF(ISNUMBER(Q3131),1,0)</f>
        <v/>
      </c>
      <c r="Z3131">
        <f>IF(AND(K3131=0,L3131=0,Y3131=0),1,0)</f>
        <v/>
      </c>
      <c r="AA3131">
        <f>IF(AND(Z3131=1,G3131&lt;Assumptions!$C$6),1,0)</f>
        <v/>
      </c>
      <c r="AB3131">
        <f>IF(U3131=0,"",IF(Y3131=1,MAX(0,Q3131-G3131),IF(L3131=1,MAX(0,R3131-G3131),MAX(0,Assumptions!$C$6-G3131))))</f>
        <v/>
      </c>
      <c r="AC3131">
        <f>IF(Y3131=1,Q3131-F3131,"")</f>
        <v/>
      </c>
      <c r="AD3131">
        <f>IF(Y3131=1,AC3131^2,"")</f>
        <v/>
      </c>
      <c r="AE3131" s="19">
        <f>IF(Z3131=1,(H3131-M3131)*I3131,0)</f>
        <v/>
      </c>
      <c r="AF3131">
        <f>IF(G3131&lt;EDATE(Assumptions!$C$6,-12)+1,"prior_12m","last_12m")</f>
        <v/>
      </c>
      <c r="AG3131" s="21">
        <f>DATE(YEAR(G3131),MONTH(G3131),1)</f>
        <v/>
      </c>
    </row>
    <row r="3132">
      <c r="A3132" t="inlineStr">
        <is>
          <t>SPO-01680-1</t>
        </is>
      </c>
      <c r="B3132" t="inlineStr">
        <is>
          <t>SPO-01680</t>
        </is>
      </c>
      <c r="C3132" t="inlineStr">
        <is>
          <t>SUP-07</t>
        </is>
      </c>
      <c r="D3132" t="inlineStr">
        <is>
          <t>MRO</t>
        </is>
      </c>
      <c r="E3132" t="inlineStr">
        <is>
          <t>MRO-08</t>
        </is>
      </c>
      <c r="F3132" s="17" t="n">
        <v>46035</v>
      </c>
      <c r="G3132" s="17" t="n">
        <v>46045</v>
      </c>
      <c r="H3132" s="18" t="n">
        <v>200</v>
      </c>
      <c r="I3132" s="19" t="n">
        <v>6.84</v>
      </c>
      <c r="J3132" s="19" t="n">
        <v>7.2</v>
      </c>
      <c r="K3132" s="20" t="n">
        <v>0</v>
      </c>
      <c r="L3132" s="20" t="n">
        <v>0</v>
      </c>
      <c r="M3132" s="18" t="n">
        <v>200</v>
      </c>
      <c r="N3132" s="18" t="n">
        <v>124</v>
      </c>
      <c r="O3132" s="18" t="n">
        <v>0</v>
      </c>
      <c r="P3132" s="17" t="n">
        <v>46040</v>
      </c>
      <c r="Q3132" s="17" t="n">
        <v>46057</v>
      </c>
      <c r="R3132" s="17" t="n">
        <v>46057</v>
      </c>
      <c r="S3132" s="19">
        <f>H3132*I3132</f>
        <v/>
      </c>
      <c r="T3132" s="19">
        <f>H3132*J3132</f>
        <v/>
      </c>
      <c r="U3132">
        <f>IF(AND(K3132=0,G3132&lt;=Assumptions!$C$6),1,0)</f>
        <v/>
      </c>
      <c r="V3132">
        <f>IF(U3132=1,IF(M3132&gt;0,IF(P3132&lt;=G3132+Assumptions!$C$7,1,0),0),0)</f>
        <v/>
      </c>
      <c r="W3132">
        <f>IF(AND(U3132=1,M3132&gt;=H3132*(1-Assumptions!$C$8)),1,0)</f>
        <v/>
      </c>
      <c r="X3132">
        <f>IF(AND(U3132=1,N3132&gt;=H3132*(1-Assumptions!$C$8)),1,0)</f>
        <v/>
      </c>
      <c r="Y3132">
        <f>IF(ISNUMBER(Q3132),1,0)</f>
        <v/>
      </c>
      <c r="Z3132">
        <f>IF(AND(K3132=0,L3132=0,Y3132=0),1,0)</f>
        <v/>
      </c>
      <c r="AA3132">
        <f>IF(AND(Z3132=1,G3132&lt;Assumptions!$C$6),1,0)</f>
        <v/>
      </c>
      <c r="AB3132">
        <f>IF(U3132=0,"",IF(Y3132=1,MAX(0,Q3132-G3132),IF(L3132=1,MAX(0,R3132-G3132),MAX(0,Assumptions!$C$6-G3132))))</f>
        <v/>
      </c>
      <c r="AC3132">
        <f>IF(Y3132=1,Q3132-F3132,"")</f>
        <v/>
      </c>
      <c r="AD3132">
        <f>IF(Y3132=1,AC3132^2,"")</f>
        <v/>
      </c>
      <c r="AE3132" s="19">
        <f>IF(Z3132=1,(H3132-M3132)*I3132,0)</f>
        <v/>
      </c>
      <c r="AF3132">
        <f>IF(G3132&lt;EDATE(Assumptions!$C$6,-12)+1,"prior_12m","last_12m")</f>
        <v/>
      </c>
      <c r="AG3132" s="21">
        <f>DATE(YEAR(G3132),MONTH(G3132),1)</f>
        <v/>
      </c>
    </row>
    <row r="3133">
      <c r="A3133" t="inlineStr">
        <is>
          <t>SPO-01680-2</t>
        </is>
      </c>
      <c r="B3133" t="inlineStr">
        <is>
          <t>SPO-01680</t>
        </is>
      </c>
      <c r="C3133" t="inlineStr">
        <is>
          <t>SUP-07</t>
        </is>
      </c>
      <c r="D3133" t="inlineStr">
        <is>
          <t>MRO</t>
        </is>
      </c>
      <c r="E3133" t="inlineStr">
        <is>
          <t>MRO-01</t>
        </is>
      </c>
      <c r="F3133" s="17" t="n">
        <v>46035</v>
      </c>
      <c r="G3133" s="17" t="n">
        <v>46045</v>
      </c>
      <c r="H3133" s="18" t="n">
        <v>33</v>
      </c>
      <c r="I3133" s="19" t="n">
        <v>49.1</v>
      </c>
      <c r="J3133" s="19" t="n">
        <v>52</v>
      </c>
      <c r="K3133" s="20" t="n">
        <v>0</v>
      </c>
      <c r="L3133" s="20" t="n">
        <v>0</v>
      </c>
      <c r="M3133" s="18" t="n">
        <v>33</v>
      </c>
      <c r="N3133" s="18" t="n">
        <v>33</v>
      </c>
      <c r="O3133" s="18" t="n">
        <v>0</v>
      </c>
      <c r="P3133" s="17" t="n">
        <v>46042</v>
      </c>
      <c r="Q3133" s="17" t="n">
        <v>46042</v>
      </c>
      <c r="R3133" s="17" t="n">
        <v>46042</v>
      </c>
      <c r="S3133" s="19">
        <f>H3133*I3133</f>
        <v/>
      </c>
      <c r="T3133" s="19">
        <f>H3133*J3133</f>
        <v/>
      </c>
      <c r="U3133">
        <f>IF(AND(K3133=0,G3133&lt;=Assumptions!$C$6),1,0)</f>
        <v/>
      </c>
      <c r="V3133">
        <f>IF(U3133=1,IF(M3133&gt;0,IF(P3133&lt;=G3133+Assumptions!$C$7,1,0),0),0)</f>
        <v/>
      </c>
      <c r="W3133">
        <f>IF(AND(U3133=1,M3133&gt;=H3133*(1-Assumptions!$C$8)),1,0)</f>
        <v/>
      </c>
      <c r="X3133">
        <f>IF(AND(U3133=1,N3133&gt;=H3133*(1-Assumptions!$C$8)),1,0)</f>
        <v/>
      </c>
      <c r="Y3133">
        <f>IF(ISNUMBER(Q3133),1,0)</f>
        <v/>
      </c>
      <c r="Z3133">
        <f>IF(AND(K3133=0,L3133=0,Y3133=0),1,0)</f>
        <v/>
      </c>
      <c r="AA3133">
        <f>IF(AND(Z3133=1,G3133&lt;Assumptions!$C$6),1,0)</f>
        <v/>
      </c>
      <c r="AB3133">
        <f>IF(U3133=0,"",IF(Y3133=1,MAX(0,Q3133-G3133),IF(L3133=1,MAX(0,R3133-G3133),MAX(0,Assumptions!$C$6-G3133))))</f>
        <v/>
      </c>
      <c r="AC3133">
        <f>IF(Y3133=1,Q3133-F3133,"")</f>
        <v/>
      </c>
      <c r="AD3133">
        <f>IF(Y3133=1,AC3133^2,"")</f>
        <v/>
      </c>
      <c r="AE3133" s="19">
        <f>IF(Z3133=1,(H3133-M3133)*I3133,0)</f>
        <v/>
      </c>
      <c r="AF3133">
        <f>IF(G3133&lt;EDATE(Assumptions!$C$6,-12)+1,"prior_12m","last_12m")</f>
        <v/>
      </c>
      <c r="AG3133" s="21">
        <f>DATE(YEAR(G3133),MONTH(G3133),1)</f>
        <v/>
      </c>
    </row>
    <row r="3134">
      <c r="A3134" t="inlineStr">
        <is>
          <t>SPO-01680-3</t>
        </is>
      </c>
      <c r="B3134" t="inlineStr">
        <is>
          <t>SPO-01680</t>
        </is>
      </c>
      <c r="C3134" t="inlineStr">
        <is>
          <t>SUP-07</t>
        </is>
      </c>
      <c r="D3134" t="inlineStr">
        <is>
          <t>MRO</t>
        </is>
      </c>
      <c r="E3134" t="inlineStr">
        <is>
          <t>MRO-06</t>
        </is>
      </c>
      <c r="F3134" s="17" t="n">
        <v>46035</v>
      </c>
      <c r="G3134" s="17" t="n">
        <v>46045</v>
      </c>
      <c r="H3134" s="18" t="n">
        <v>235</v>
      </c>
      <c r="I3134" s="19" t="n">
        <v>5.82</v>
      </c>
      <c r="J3134" s="19" t="n">
        <v>6.1</v>
      </c>
      <c r="K3134" s="20" t="n">
        <v>0</v>
      </c>
      <c r="L3134" s="20" t="n">
        <v>1</v>
      </c>
      <c r="M3134" s="18" t="n">
        <v>154</v>
      </c>
      <c r="N3134" s="18" t="n">
        <v>154</v>
      </c>
      <c r="O3134" s="18" t="n">
        <v>0</v>
      </c>
      <c r="P3134" s="17" t="n">
        <v>46042</v>
      </c>
      <c r="Q3134" s="17" t="n"/>
      <c r="R3134" s="17" t="n">
        <v>46042</v>
      </c>
      <c r="S3134" s="19">
        <f>H3134*I3134</f>
        <v/>
      </c>
      <c r="T3134" s="19">
        <f>H3134*J3134</f>
        <v/>
      </c>
      <c r="U3134">
        <f>IF(AND(K3134=0,G3134&lt;=Assumptions!$C$6),1,0)</f>
        <v/>
      </c>
      <c r="V3134">
        <f>IF(U3134=1,IF(M3134&gt;0,IF(P3134&lt;=G3134+Assumptions!$C$7,1,0),0),0)</f>
        <v/>
      </c>
      <c r="W3134">
        <f>IF(AND(U3134=1,M3134&gt;=H3134*(1-Assumptions!$C$8)),1,0)</f>
        <v/>
      </c>
      <c r="X3134">
        <f>IF(AND(U3134=1,N3134&gt;=H3134*(1-Assumptions!$C$8)),1,0)</f>
        <v/>
      </c>
      <c r="Y3134">
        <f>IF(ISNUMBER(Q3134),1,0)</f>
        <v/>
      </c>
      <c r="Z3134">
        <f>IF(AND(K3134=0,L3134=0,Y3134=0),1,0)</f>
        <v/>
      </c>
      <c r="AA3134">
        <f>IF(AND(Z3134=1,G3134&lt;Assumptions!$C$6),1,0)</f>
        <v/>
      </c>
      <c r="AB3134">
        <f>IF(U3134=0,"",IF(Y3134=1,MAX(0,Q3134-G3134),IF(L3134=1,MAX(0,R3134-G3134),MAX(0,Assumptions!$C$6-G3134))))</f>
        <v/>
      </c>
      <c r="AC3134">
        <f>IF(Y3134=1,Q3134-F3134,"")</f>
        <v/>
      </c>
      <c r="AD3134">
        <f>IF(Y3134=1,AC3134^2,"")</f>
        <v/>
      </c>
      <c r="AE3134" s="19">
        <f>IF(Z3134=1,(H3134-M3134)*I3134,0)</f>
        <v/>
      </c>
      <c r="AF3134">
        <f>IF(G3134&lt;EDATE(Assumptions!$C$6,-12)+1,"prior_12m","last_12m")</f>
        <v/>
      </c>
      <c r="AG3134" s="21">
        <f>DATE(YEAR(G3134),MONTH(G3134),1)</f>
        <v/>
      </c>
    </row>
    <row r="3135">
      <c r="A3135" t="inlineStr">
        <is>
          <t>SPO-01680-4</t>
        </is>
      </c>
      <c r="B3135" t="inlineStr">
        <is>
          <t>SPO-01680</t>
        </is>
      </c>
      <c r="C3135" t="inlineStr">
        <is>
          <t>SUP-07</t>
        </is>
      </c>
      <c r="D3135" t="inlineStr">
        <is>
          <t>MRO</t>
        </is>
      </c>
      <c r="E3135" t="inlineStr">
        <is>
          <t>MRO-03</t>
        </is>
      </c>
      <c r="F3135" s="17" t="n">
        <v>46035</v>
      </c>
      <c r="G3135" s="17" t="n">
        <v>46045</v>
      </c>
      <c r="H3135" s="18" t="n">
        <v>129</v>
      </c>
      <c r="I3135" s="19" t="n">
        <v>8.630000000000001</v>
      </c>
      <c r="J3135" s="19" t="n">
        <v>8.9</v>
      </c>
      <c r="K3135" s="20" t="n">
        <v>0</v>
      </c>
      <c r="L3135" s="20" t="n">
        <v>0</v>
      </c>
      <c r="M3135" s="18" t="n">
        <v>129</v>
      </c>
      <c r="N3135" s="18" t="n">
        <v>129</v>
      </c>
      <c r="O3135" s="18" t="n">
        <v>0</v>
      </c>
      <c r="P3135" s="17" t="n">
        <v>46042</v>
      </c>
      <c r="Q3135" s="17" t="n">
        <v>46042</v>
      </c>
      <c r="R3135" s="17" t="n">
        <v>46042</v>
      </c>
      <c r="S3135" s="19">
        <f>H3135*I3135</f>
        <v/>
      </c>
      <c r="T3135" s="19">
        <f>H3135*J3135</f>
        <v/>
      </c>
      <c r="U3135">
        <f>IF(AND(K3135=0,G3135&lt;=Assumptions!$C$6),1,0)</f>
        <v/>
      </c>
      <c r="V3135">
        <f>IF(U3135=1,IF(M3135&gt;0,IF(P3135&lt;=G3135+Assumptions!$C$7,1,0),0),0)</f>
        <v/>
      </c>
      <c r="W3135">
        <f>IF(AND(U3135=1,M3135&gt;=H3135*(1-Assumptions!$C$8)),1,0)</f>
        <v/>
      </c>
      <c r="X3135">
        <f>IF(AND(U3135=1,N3135&gt;=H3135*(1-Assumptions!$C$8)),1,0)</f>
        <v/>
      </c>
      <c r="Y3135">
        <f>IF(ISNUMBER(Q3135),1,0)</f>
        <v/>
      </c>
      <c r="Z3135">
        <f>IF(AND(K3135=0,L3135=0,Y3135=0),1,0)</f>
        <v/>
      </c>
      <c r="AA3135">
        <f>IF(AND(Z3135=1,G3135&lt;Assumptions!$C$6),1,0)</f>
        <v/>
      </c>
      <c r="AB3135">
        <f>IF(U3135=0,"",IF(Y3135=1,MAX(0,Q3135-G3135),IF(L3135=1,MAX(0,R3135-G3135),MAX(0,Assumptions!$C$6-G3135))))</f>
        <v/>
      </c>
      <c r="AC3135">
        <f>IF(Y3135=1,Q3135-F3135,"")</f>
        <v/>
      </c>
      <c r="AD3135">
        <f>IF(Y3135=1,AC3135^2,"")</f>
        <v/>
      </c>
      <c r="AE3135" s="19">
        <f>IF(Z3135=1,(H3135-M3135)*I3135,0)</f>
        <v/>
      </c>
      <c r="AF3135">
        <f>IF(G3135&lt;EDATE(Assumptions!$C$6,-12)+1,"prior_12m","last_12m")</f>
        <v/>
      </c>
      <c r="AG3135" s="21">
        <f>DATE(YEAR(G3135),MONTH(G3135),1)</f>
        <v/>
      </c>
    </row>
    <row r="3136">
      <c r="A3136" t="inlineStr">
        <is>
          <t>SPO-01681-1</t>
        </is>
      </c>
      <c r="B3136" t="inlineStr">
        <is>
          <t>SPO-01681</t>
        </is>
      </c>
      <c r="C3136" t="inlineStr">
        <is>
          <t>SUP-08</t>
        </is>
      </c>
      <c r="D3136" t="inlineStr">
        <is>
          <t>MRO</t>
        </is>
      </c>
      <c r="E3136" t="inlineStr">
        <is>
          <t>MRO-04</t>
        </is>
      </c>
      <c r="F3136" s="17" t="n">
        <v>46036</v>
      </c>
      <c r="G3136" s="17" t="n">
        <v>46047</v>
      </c>
      <c r="H3136" s="18" t="n">
        <v>20</v>
      </c>
      <c r="I3136" s="19" t="n">
        <v>59.31</v>
      </c>
      <c r="J3136" s="19" t="n">
        <v>58</v>
      </c>
      <c r="K3136" s="20" t="n">
        <v>0</v>
      </c>
      <c r="L3136" s="20" t="n">
        <v>0</v>
      </c>
      <c r="M3136" s="18" t="n">
        <v>20</v>
      </c>
      <c r="N3136" s="18" t="n">
        <v>20</v>
      </c>
      <c r="O3136" s="18" t="n">
        <v>0</v>
      </c>
      <c r="P3136" s="17" t="n">
        <v>46040</v>
      </c>
      <c r="Q3136" s="17" t="n">
        <v>46040</v>
      </c>
      <c r="R3136" s="17" t="n">
        <v>46040</v>
      </c>
      <c r="S3136" s="19">
        <f>H3136*I3136</f>
        <v/>
      </c>
      <c r="T3136" s="19">
        <f>H3136*J3136</f>
        <v/>
      </c>
      <c r="U3136">
        <f>IF(AND(K3136=0,G3136&lt;=Assumptions!$C$6),1,0)</f>
        <v/>
      </c>
      <c r="V3136">
        <f>IF(U3136=1,IF(M3136&gt;0,IF(P3136&lt;=G3136+Assumptions!$C$7,1,0),0),0)</f>
        <v/>
      </c>
      <c r="W3136">
        <f>IF(AND(U3136=1,M3136&gt;=H3136*(1-Assumptions!$C$8)),1,0)</f>
        <v/>
      </c>
      <c r="X3136">
        <f>IF(AND(U3136=1,N3136&gt;=H3136*(1-Assumptions!$C$8)),1,0)</f>
        <v/>
      </c>
      <c r="Y3136">
        <f>IF(ISNUMBER(Q3136),1,0)</f>
        <v/>
      </c>
      <c r="Z3136">
        <f>IF(AND(K3136=0,L3136=0,Y3136=0),1,0)</f>
        <v/>
      </c>
      <c r="AA3136">
        <f>IF(AND(Z3136=1,G3136&lt;Assumptions!$C$6),1,0)</f>
        <v/>
      </c>
      <c r="AB3136">
        <f>IF(U3136=0,"",IF(Y3136=1,MAX(0,Q3136-G3136),IF(L3136=1,MAX(0,R3136-G3136),MAX(0,Assumptions!$C$6-G3136))))</f>
        <v/>
      </c>
      <c r="AC3136">
        <f>IF(Y3136=1,Q3136-F3136,"")</f>
        <v/>
      </c>
      <c r="AD3136">
        <f>IF(Y3136=1,AC3136^2,"")</f>
        <v/>
      </c>
      <c r="AE3136" s="19">
        <f>IF(Z3136=1,(H3136-M3136)*I3136,0)</f>
        <v/>
      </c>
      <c r="AF3136">
        <f>IF(G3136&lt;EDATE(Assumptions!$C$6,-12)+1,"prior_12m","last_12m")</f>
        <v/>
      </c>
      <c r="AG3136" s="21">
        <f>DATE(YEAR(G3136),MONTH(G3136),1)</f>
        <v/>
      </c>
    </row>
    <row r="3137">
      <c r="A3137" t="inlineStr">
        <is>
          <t>SPO-01681-2</t>
        </is>
      </c>
      <c r="B3137" t="inlineStr">
        <is>
          <t>SPO-01681</t>
        </is>
      </c>
      <c r="C3137" t="inlineStr">
        <is>
          <t>SUP-08</t>
        </is>
      </c>
      <c r="D3137" t="inlineStr">
        <is>
          <t>MRO</t>
        </is>
      </c>
      <c r="E3137" t="inlineStr">
        <is>
          <t>MRO-03</t>
        </is>
      </c>
      <c r="F3137" s="17" t="n">
        <v>46036</v>
      </c>
      <c r="G3137" s="17" t="n">
        <v>46047</v>
      </c>
      <c r="H3137" s="18" t="n">
        <v>202</v>
      </c>
      <c r="I3137" s="19" t="n">
        <v>9.33</v>
      </c>
      <c r="J3137" s="19" t="n">
        <v>8.9</v>
      </c>
      <c r="K3137" s="20" t="n">
        <v>0</v>
      </c>
      <c r="L3137" s="20" t="n">
        <v>0</v>
      </c>
      <c r="M3137" s="18" t="n">
        <v>202</v>
      </c>
      <c r="N3137" s="18" t="n">
        <v>202</v>
      </c>
      <c r="O3137" s="18" t="n">
        <v>0</v>
      </c>
      <c r="P3137" s="17" t="n">
        <v>46045</v>
      </c>
      <c r="Q3137" s="17" t="n">
        <v>46045</v>
      </c>
      <c r="R3137" s="17" t="n">
        <v>46045</v>
      </c>
      <c r="S3137" s="19">
        <f>H3137*I3137</f>
        <v/>
      </c>
      <c r="T3137" s="19">
        <f>H3137*J3137</f>
        <v/>
      </c>
      <c r="U3137">
        <f>IF(AND(K3137=0,G3137&lt;=Assumptions!$C$6),1,0)</f>
        <v/>
      </c>
      <c r="V3137">
        <f>IF(U3137=1,IF(M3137&gt;0,IF(P3137&lt;=G3137+Assumptions!$C$7,1,0),0),0)</f>
        <v/>
      </c>
      <c r="W3137">
        <f>IF(AND(U3137=1,M3137&gt;=H3137*(1-Assumptions!$C$8)),1,0)</f>
        <v/>
      </c>
      <c r="X3137">
        <f>IF(AND(U3137=1,N3137&gt;=H3137*(1-Assumptions!$C$8)),1,0)</f>
        <v/>
      </c>
      <c r="Y3137">
        <f>IF(ISNUMBER(Q3137),1,0)</f>
        <v/>
      </c>
      <c r="Z3137">
        <f>IF(AND(K3137=0,L3137=0,Y3137=0),1,0)</f>
        <v/>
      </c>
      <c r="AA3137">
        <f>IF(AND(Z3137=1,G3137&lt;Assumptions!$C$6),1,0)</f>
        <v/>
      </c>
      <c r="AB3137">
        <f>IF(U3137=0,"",IF(Y3137=1,MAX(0,Q3137-G3137),IF(L3137=1,MAX(0,R3137-G3137),MAX(0,Assumptions!$C$6-G3137))))</f>
        <v/>
      </c>
      <c r="AC3137">
        <f>IF(Y3137=1,Q3137-F3137,"")</f>
        <v/>
      </c>
      <c r="AD3137">
        <f>IF(Y3137=1,AC3137^2,"")</f>
        <v/>
      </c>
      <c r="AE3137" s="19">
        <f>IF(Z3137=1,(H3137-M3137)*I3137,0)</f>
        <v/>
      </c>
      <c r="AF3137">
        <f>IF(G3137&lt;EDATE(Assumptions!$C$6,-12)+1,"prior_12m","last_12m")</f>
        <v/>
      </c>
      <c r="AG3137" s="21">
        <f>DATE(YEAR(G3137),MONTH(G3137),1)</f>
        <v/>
      </c>
    </row>
    <row r="3138">
      <c r="A3138" t="inlineStr">
        <is>
          <t>SPO-01681-3</t>
        </is>
      </c>
      <c r="B3138" t="inlineStr">
        <is>
          <t>SPO-01681</t>
        </is>
      </c>
      <c r="C3138" t="inlineStr">
        <is>
          <t>SUP-08</t>
        </is>
      </c>
      <c r="D3138" t="inlineStr">
        <is>
          <t>MRO</t>
        </is>
      </c>
      <c r="E3138" t="inlineStr">
        <is>
          <t>MRO-01</t>
        </is>
      </c>
      <c r="F3138" s="17" t="n">
        <v>46036</v>
      </c>
      <c r="G3138" s="17" t="n">
        <v>46047</v>
      </c>
      <c r="H3138" s="18" t="n">
        <v>83</v>
      </c>
      <c r="I3138" s="19" t="n">
        <v>51.78</v>
      </c>
      <c r="J3138" s="19" t="n">
        <v>52</v>
      </c>
      <c r="K3138" s="20" t="n">
        <v>0</v>
      </c>
      <c r="L3138" s="20" t="n">
        <v>0</v>
      </c>
      <c r="M3138" s="18" t="n">
        <v>83</v>
      </c>
      <c r="N3138" s="18" t="n">
        <v>83</v>
      </c>
      <c r="O3138" s="18" t="n">
        <v>0</v>
      </c>
      <c r="P3138" s="17" t="n">
        <v>46046</v>
      </c>
      <c r="Q3138" s="17" t="n">
        <v>46046</v>
      </c>
      <c r="R3138" s="17" t="n">
        <v>46046</v>
      </c>
      <c r="S3138" s="19">
        <f>H3138*I3138</f>
        <v/>
      </c>
      <c r="T3138" s="19">
        <f>H3138*J3138</f>
        <v/>
      </c>
      <c r="U3138">
        <f>IF(AND(K3138=0,G3138&lt;=Assumptions!$C$6),1,0)</f>
        <v/>
      </c>
      <c r="V3138">
        <f>IF(U3138=1,IF(M3138&gt;0,IF(P3138&lt;=G3138+Assumptions!$C$7,1,0),0),0)</f>
        <v/>
      </c>
      <c r="W3138">
        <f>IF(AND(U3138=1,M3138&gt;=H3138*(1-Assumptions!$C$8)),1,0)</f>
        <v/>
      </c>
      <c r="X3138">
        <f>IF(AND(U3138=1,N3138&gt;=H3138*(1-Assumptions!$C$8)),1,0)</f>
        <v/>
      </c>
      <c r="Y3138">
        <f>IF(ISNUMBER(Q3138),1,0)</f>
        <v/>
      </c>
      <c r="Z3138">
        <f>IF(AND(K3138=0,L3138=0,Y3138=0),1,0)</f>
        <v/>
      </c>
      <c r="AA3138">
        <f>IF(AND(Z3138=1,G3138&lt;Assumptions!$C$6),1,0)</f>
        <v/>
      </c>
      <c r="AB3138">
        <f>IF(U3138=0,"",IF(Y3138=1,MAX(0,Q3138-G3138),IF(L3138=1,MAX(0,R3138-G3138),MAX(0,Assumptions!$C$6-G3138))))</f>
        <v/>
      </c>
      <c r="AC3138">
        <f>IF(Y3138=1,Q3138-F3138,"")</f>
        <v/>
      </c>
      <c r="AD3138">
        <f>IF(Y3138=1,AC3138^2,"")</f>
        <v/>
      </c>
      <c r="AE3138" s="19">
        <f>IF(Z3138=1,(H3138-M3138)*I3138,0)</f>
        <v/>
      </c>
      <c r="AF3138">
        <f>IF(G3138&lt;EDATE(Assumptions!$C$6,-12)+1,"prior_12m","last_12m")</f>
        <v/>
      </c>
      <c r="AG3138" s="21">
        <f>DATE(YEAR(G3138),MONTH(G3138),1)</f>
        <v/>
      </c>
    </row>
    <row r="3139">
      <c r="A3139" t="inlineStr">
        <is>
          <t>SPO-01681-4</t>
        </is>
      </c>
      <c r="B3139" t="inlineStr">
        <is>
          <t>SPO-01681</t>
        </is>
      </c>
      <c r="C3139" t="inlineStr">
        <is>
          <t>SUP-08</t>
        </is>
      </c>
      <c r="D3139" t="inlineStr">
        <is>
          <t>MRO</t>
        </is>
      </c>
      <c r="E3139" t="inlineStr">
        <is>
          <t>MRO-05</t>
        </is>
      </c>
      <c r="F3139" s="17" t="n">
        <v>46036</v>
      </c>
      <c r="G3139" s="17" t="n">
        <v>46047</v>
      </c>
      <c r="H3139" s="18" t="n">
        <v>36</v>
      </c>
      <c r="I3139" s="19" t="n">
        <v>35.04</v>
      </c>
      <c r="J3139" s="19" t="n">
        <v>36</v>
      </c>
      <c r="K3139" s="20" t="n">
        <v>0</v>
      </c>
      <c r="L3139" s="20" t="n">
        <v>0</v>
      </c>
      <c r="M3139" s="18" t="n">
        <v>36</v>
      </c>
      <c r="N3139" s="18" t="n">
        <v>36</v>
      </c>
      <c r="O3139" s="18" t="n">
        <v>0</v>
      </c>
      <c r="P3139" s="17" t="n">
        <v>46042</v>
      </c>
      <c r="Q3139" s="17" t="n">
        <v>46042</v>
      </c>
      <c r="R3139" s="17" t="n">
        <v>46042</v>
      </c>
      <c r="S3139" s="19">
        <f>H3139*I3139</f>
        <v/>
      </c>
      <c r="T3139" s="19">
        <f>H3139*J3139</f>
        <v/>
      </c>
      <c r="U3139">
        <f>IF(AND(K3139=0,G3139&lt;=Assumptions!$C$6),1,0)</f>
        <v/>
      </c>
      <c r="V3139">
        <f>IF(U3139=1,IF(M3139&gt;0,IF(P3139&lt;=G3139+Assumptions!$C$7,1,0),0),0)</f>
        <v/>
      </c>
      <c r="W3139">
        <f>IF(AND(U3139=1,M3139&gt;=H3139*(1-Assumptions!$C$8)),1,0)</f>
        <v/>
      </c>
      <c r="X3139">
        <f>IF(AND(U3139=1,N3139&gt;=H3139*(1-Assumptions!$C$8)),1,0)</f>
        <v/>
      </c>
      <c r="Y3139">
        <f>IF(ISNUMBER(Q3139),1,0)</f>
        <v/>
      </c>
      <c r="Z3139">
        <f>IF(AND(K3139=0,L3139=0,Y3139=0),1,0)</f>
        <v/>
      </c>
      <c r="AA3139">
        <f>IF(AND(Z3139=1,G3139&lt;Assumptions!$C$6),1,0)</f>
        <v/>
      </c>
      <c r="AB3139">
        <f>IF(U3139=0,"",IF(Y3139=1,MAX(0,Q3139-G3139),IF(L3139=1,MAX(0,R3139-G3139),MAX(0,Assumptions!$C$6-G3139))))</f>
        <v/>
      </c>
      <c r="AC3139">
        <f>IF(Y3139=1,Q3139-F3139,"")</f>
        <v/>
      </c>
      <c r="AD3139">
        <f>IF(Y3139=1,AC3139^2,"")</f>
        <v/>
      </c>
      <c r="AE3139" s="19">
        <f>IF(Z3139=1,(H3139-M3139)*I3139,0)</f>
        <v/>
      </c>
      <c r="AF3139">
        <f>IF(G3139&lt;EDATE(Assumptions!$C$6,-12)+1,"prior_12m","last_12m")</f>
        <v/>
      </c>
      <c r="AG3139" s="21">
        <f>DATE(YEAR(G3139),MONTH(G3139),1)</f>
        <v/>
      </c>
    </row>
    <row r="3140">
      <c r="A3140" t="inlineStr">
        <is>
          <t>SPO-01682-1</t>
        </is>
      </c>
      <c r="B3140" t="inlineStr">
        <is>
          <t>SPO-01682</t>
        </is>
      </c>
      <c r="C3140" t="inlineStr">
        <is>
          <t>SUP-06</t>
        </is>
      </c>
      <c r="D3140" t="inlineStr">
        <is>
          <t>MRO</t>
        </is>
      </c>
      <c r="E3140" t="inlineStr">
        <is>
          <t>MRO-01</t>
        </is>
      </c>
      <c r="F3140" s="17" t="n">
        <v>46036</v>
      </c>
      <c r="G3140" s="17" t="n">
        <v>46044</v>
      </c>
      <c r="H3140" s="18" t="n">
        <v>14</v>
      </c>
      <c r="I3140" s="19" t="n">
        <v>53.68</v>
      </c>
      <c r="J3140" s="19" t="n">
        <v>52</v>
      </c>
      <c r="K3140" s="20" t="n">
        <v>0</v>
      </c>
      <c r="L3140" s="20" t="n">
        <v>0</v>
      </c>
      <c r="M3140" s="18" t="n">
        <v>14</v>
      </c>
      <c r="N3140" s="18" t="n">
        <v>14</v>
      </c>
      <c r="O3140" s="18" t="n">
        <v>0</v>
      </c>
      <c r="P3140" s="17" t="n">
        <v>46043</v>
      </c>
      <c r="Q3140" s="17" t="n">
        <v>46043</v>
      </c>
      <c r="R3140" s="17" t="n">
        <v>46043</v>
      </c>
      <c r="S3140" s="19">
        <f>H3140*I3140</f>
        <v/>
      </c>
      <c r="T3140" s="19">
        <f>H3140*J3140</f>
        <v/>
      </c>
      <c r="U3140">
        <f>IF(AND(K3140=0,G3140&lt;=Assumptions!$C$6),1,0)</f>
        <v/>
      </c>
      <c r="V3140">
        <f>IF(U3140=1,IF(M3140&gt;0,IF(P3140&lt;=G3140+Assumptions!$C$7,1,0),0),0)</f>
        <v/>
      </c>
      <c r="W3140">
        <f>IF(AND(U3140=1,M3140&gt;=H3140*(1-Assumptions!$C$8)),1,0)</f>
        <v/>
      </c>
      <c r="X3140">
        <f>IF(AND(U3140=1,N3140&gt;=H3140*(1-Assumptions!$C$8)),1,0)</f>
        <v/>
      </c>
      <c r="Y3140">
        <f>IF(ISNUMBER(Q3140),1,0)</f>
        <v/>
      </c>
      <c r="Z3140">
        <f>IF(AND(K3140=0,L3140=0,Y3140=0),1,0)</f>
        <v/>
      </c>
      <c r="AA3140">
        <f>IF(AND(Z3140=1,G3140&lt;Assumptions!$C$6),1,0)</f>
        <v/>
      </c>
      <c r="AB3140">
        <f>IF(U3140=0,"",IF(Y3140=1,MAX(0,Q3140-G3140),IF(L3140=1,MAX(0,R3140-G3140),MAX(0,Assumptions!$C$6-G3140))))</f>
        <v/>
      </c>
      <c r="AC3140">
        <f>IF(Y3140=1,Q3140-F3140,"")</f>
        <v/>
      </c>
      <c r="AD3140">
        <f>IF(Y3140=1,AC3140^2,"")</f>
        <v/>
      </c>
      <c r="AE3140" s="19">
        <f>IF(Z3140=1,(H3140-M3140)*I3140,0)</f>
        <v/>
      </c>
      <c r="AF3140">
        <f>IF(G3140&lt;EDATE(Assumptions!$C$6,-12)+1,"prior_12m","last_12m")</f>
        <v/>
      </c>
      <c r="AG3140" s="21">
        <f>DATE(YEAR(G3140),MONTH(G3140),1)</f>
        <v/>
      </c>
    </row>
    <row r="3141">
      <c r="A3141" t="inlineStr">
        <is>
          <t>SPO-01682-2</t>
        </is>
      </c>
      <c r="B3141" t="inlineStr">
        <is>
          <t>SPO-01682</t>
        </is>
      </c>
      <c r="C3141" t="inlineStr">
        <is>
          <t>SUP-06</t>
        </is>
      </c>
      <c r="D3141" t="inlineStr">
        <is>
          <t>MRO</t>
        </is>
      </c>
      <c r="E3141" t="inlineStr">
        <is>
          <t>MRO-02</t>
        </is>
      </c>
      <c r="F3141" s="17" t="n">
        <v>46036</v>
      </c>
      <c r="G3141" s="17" t="n">
        <v>46044</v>
      </c>
      <c r="H3141" s="18" t="n">
        <v>26</v>
      </c>
      <c r="I3141" s="19" t="n">
        <v>41.48</v>
      </c>
      <c r="J3141" s="19" t="n">
        <v>41</v>
      </c>
      <c r="K3141" s="20" t="n">
        <v>0</v>
      </c>
      <c r="L3141" s="20" t="n">
        <v>0</v>
      </c>
      <c r="M3141" s="18" t="n">
        <v>26</v>
      </c>
      <c r="N3141" s="18" t="n">
        <v>26</v>
      </c>
      <c r="O3141" s="18" t="n">
        <v>0</v>
      </c>
      <c r="P3141" s="17" t="n">
        <v>46043</v>
      </c>
      <c r="Q3141" s="17" t="n">
        <v>46043</v>
      </c>
      <c r="R3141" s="17" t="n">
        <v>46043</v>
      </c>
      <c r="S3141" s="19">
        <f>H3141*I3141</f>
        <v/>
      </c>
      <c r="T3141" s="19">
        <f>H3141*J3141</f>
        <v/>
      </c>
      <c r="U3141">
        <f>IF(AND(K3141=0,G3141&lt;=Assumptions!$C$6),1,0)</f>
        <v/>
      </c>
      <c r="V3141">
        <f>IF(U3141=1,IF(M3141&gt;0,IF(P3141&lt;=G3141+Assumptions!$C$7,1,0),0),0)</f>
        <v/>
      </c>
      <c r="W3141">
        <f>IF(AND(U3141=1,M3141&gt;=H3141*(1-Assumptions!$C$8)),1,0)</f>
        <v/>
      </c>
      <c r="X3141">
        <f>IF(AND(U3141=1,N3141&gt;=H3141*(1-Assumptions!$C$8)),1,0)</f>
        <v/>
      </c>
      <c r="Y3141">
        <f>IF(ISNUMBER(Q3141),1,0)</f>
        <v/>
      </c>
      <c r="Z3141">
        <f>IF(AND(K3141=0,L3141=0,Y3141=0),1,0)</f>
        <v/>
      </c>
      <c r="AA3141">
        <f>IF(AND(Z3141=1,G3141&lt;Assumptions!$C$6),1,0)</f>
        <v/>
      </c>
      <c r="AB3141">
        <f>IF(U3141=0,"",IF(Y3141=1,MAX(0,Q3141-G3141),IF(L3141=1,MAX(0,R3141-G3141),MAX(0,Assumptions!$C$6-G3141))))</f>
        <v/>
      </c>
      <c r="AC3141">
        <f>IF(Y3141=1,Q3141-F3141,"")</f>
        <v/>
      </c>
      <c r="AD3141">
        <f>IF(Y3141=1,AC3141^2,"")</f>
        <v/>
      </c>
      <c r="AE3141" s="19">
        <f>IF(Z3141=1,(H3141-M3141)*I3141,0)</f>
        <v/>
      </c>
      <c r="AF3141">
        <f>IF(G3141&lt;EDATE(Assumptions!$C$6,-12)+1,"prior_12m","last_12m")</f>
        <v/>
      </c>
      <c r="AG3141" s="21">
        <f>DATE(YEAR(G3141),MONTH(G3141),1)</f>
        <v/>
      </c>
    </row>
    <row r="3142">
      <c r="A3142" t="inlineStr">
        <is>
          <t>SPO-01683-1</t>
        </is>
      </c>
      <c r="B3142" t="inlineStr">
        <is>
          <t>SPO-01683</t>
        </is>
      </c>
      <c r="C3142" t="inlineStr">
        <is>
          <t>SUP-09</t>
        </is>
      </c>
      <c r="D3142" t="inlineStr">
        <is>
          <t>CHEM</t>
        </is>
      </c>
      <c r="E3142" t="inlineStr">
        <is>
          <t>CHEM-04</t>
        </is>
      </c>
      <c r="F3142" s="17" t="n">
        <v>46037</v>
      </c>
      <c r="G3142" s="17" t="n">
        <v>46051</v>
      </c>
      <c r="H3142" s="18" t="n">
        <v>2</v>
      </c>
      <c r="I3142" s="19" t="n">
        <v>845.55</v>
      </c>
      <c r="J3142" s="19" t="n">
        <v>820</v>
      </c>
      <c r="K3142" s="20" t="n">
        <v>0</v>
      </c>
      <c r="L3142" s="20" t="n">
        <v>0</v>
      </c>
      <c r="M3142" s="18" t="n">
        <v>2</v>
      </c>
      <c r="N3142" s="18" t="n">
        <v>2</v>
      </c>
      <c r="O3142" s="18" t="n">
        <v>0</v>
      </c>
      <c r="P3142" s="17" t="n">
        <v>46051</v>
      </c>
      <c r="Q3142" s="17" t="n">
        <v>46051</v>
      </c>
      <c r="R3142" s="17" t="n">
        <v>46051</v>
      </c>
      <c r="S3142" s="19">
        <f>H3142*I3142</f>
        <v/>
      </c>
      <c r="T3142" s="19">
        <f>H3142*J3142</f>
        <v/>
      </c>
      <c r="U3142">
        <f>IF(AND(K3142=0,G3142&lt;=Assumptions!$C$6),1,0)</f>
        <v/>
      </c>
      <c r="V3142">
        <f>IF(U3142=1,IF(M3142&gt;0,IF(P3142&lt;=G3142+Assumptions!$C$7,1,0),0),0)</f>
        <v/>
      </c>
      <c r="W3142">
        <f>IF(AND(U3142=1,M3142&gt;=H3142*(1-Assumptions!$C$8)),1,0)</f>
        <v/>
      </c>
      <c r="X3142">
        <f>IF(AND(U3142=1,N3142&gt;=H3142*(1-Assumptions!$C$8)),1,0)</f>
        <v/>
      </c>
      <c r="Y3142">
        <f>IF(ISNUMBER(Q3142),1,0)</f>
        <v/>
      </c>
      <c r="Z3142">
        <f>IF(AND(K3142=0,L3142=0,Y3142=0),1,0)</f>
        <v/>
      </c>
      <c r="AA3142">
        <f>IF(AND(Z3142=1,G3142&lt;Assumptions!$C$6),1,0)</f>
        <v/>
      </c>
      <c r="AB3142">
        <f>IF(U3142=0,"",IF(Y3142=1,MAX(0,Q3142-G3142),IF(L3142=1,MAX(0,R3142-G3142),MAX(0,Assumptions!$C$6-G3142))))</f>
        <v/>
      </c>
      <c r="AC3142">
        <f>IF(Y3142=1,Q3142-F3142,"")</f>
        <v/>
      </c>
      <c r="AD3142">
        <f>IF(Y3142=1,AC3142^2,"")</f>
        <v/>
      </c>
      <c r="AE3142" s="19">
        <f>IF(Z3142=1,(H3142-M3142)*I3142,0)</f>
        <v/>
      </c>
      <c r="AF3142">
        <f>IF(G3142&lt;EDATE(Assumptions!$C$6,-12)+1,"prior_12m","last_12m")</f>
        <v/>
      </c>
      <c r="AG3142" s="21">
        <f>DATE(YEAR(G3142),MONTH(G3142),1)</f>
        <v/>
      </c>
    </row>
    <row r="3143">
      <c r="A3143" t="inlineStr">
        <is>
          <t>SPO-01684-1</t>
        </is>
      </c>
      <c r="B3143" t="inlineStr">
        <is>
          <t>SPO-01684</t>
        </is>
      </c>
      <c r="C3143" t="inlineStr">
        <is>
          <t>SUP-11</t>
        </is>
      </c>
      <c r="D3143" t="inlineStr">
        <is>
          <t>PPE</t>
        </is>
      </c>
      <c r="E3143" t="inlineStr">
        <is>
          <t>PPE-08</t>
        </is>
      </c>
      <c r="F3143" s="17" t="n">
        <v>46037</v>
      </c>
      <c r="G3143" s="17" t="n">
        <v>46049</v>
      </c>
      <c r="H3143" s="18" t="n">
        <v>33</v>
      </c>
      <c r="I3143" s="19" t="n">
        <v>63.13</v>
      </c>
      <c r="J3143" s="19" t="n">
        <v>64</v>
      </c>
      <c r="K3143" s="20" t="n">
        <v>0</v>
      </c>
      <c r="L3143" s="20" t="n">
        <v>0</v>
      </c>
      <c r="M3143" s="18" t="n">
        <v>33</v>
      </c>
      <c r="N3143" s="18" t="n">
        <v>33</v>
      </c>
      <c r="O3143" s="18" t="n">
        <v>0</v>
      </c>
      <c r="P3143" s="17" t="n">
        <v>46048</v>
      </c>
      <c r="Q3143" s="17" t="n">
        <v>46048</v>
      </c>
      <c r="R3143" s="17" t="n">
        <v>46048</v>
      </c>
      <c r="S3143" s="19">
        <f>H3143*I3143</f>
        <v/>
      </c>
      <c r="T3143" s="19">
        <f>H3143*J3143</f>
        <v/>
      </c>
      <c r="U3143">
        <f>IF(AND(K3143=0,G3143&lt;=Assumptions!$C$6),1,0)</f>
        <v/>
      </c>
      <c r="V3143">
        <f>IF(U3143=1,IF(M3143&gt;0,IF(P3143&lt;=G3143+Assumptions!$C$7,1,0),0),0)</f>
        <v/>
      </c>
      <c r="W3143">
        <f>IF(AND(U3143=1,M3143&gt;=H3143*(1-Assumptions!$C$8)),1,0)</f>
        <v/>
      </c>
      <c r="X3143">
        <f>IF(AND(U3143=1,N3143&gt;=H3143*(1-Assumptions!$C$8)),1,0)</f>
        <v/>
      </c>
      <c r="Y3143">
        <f>IF(ISNUMBER(Q3143),1,0)</f>
        <v/>
      </c>
      <c r="Z3143">
        <f>IF(AND(K3143=0,L3143=0,Y3143=0),1,0)</f>
        <v/>
      </c>
      <c r="AA3143">
        <f>IF(AND(Z3143=1,G3143&lt;Assumptions!$C$6),1,0)</f>
        <v/>
      </c>
      <c r="AB3143">
        <f>IF(U3143=0,"",IF(Y3143=1,MAX(0,Q3143-G3143),IF(L3143=1,MAX(0,R3143-G3143),MAX(0,Assumptions!$C$6-G3143))))</f>
        <v/>
      </c>
      <c r="AC3143">
        <f>IF(Y3143=1,Q3143-F3143,"")</f>
        <v/>
      </c>
      <c r="AD3143">
        <f>IF(Y3143=1,AC3143^2,"")</f>
        <v/>
      </c>
      <c r="AE3143" s="19">
        <f>IF(Z3143=1,(H3143-M3143)*I3143,0)</f>
        <v/>
      </c>
      <c r="AF3143">
        <f>IF(G3143&lt;EDATE(Assumptions!$C$6,-12)+1,"prior_12m","last_12m")</f>
        <v/>
      </c>
      <c r="AG3143" s="21">
        <f>DATE(YEAR(G3143),MONTH(G3143),1)</f>
        <v/>
      </c>
    </row>
    <row r="3144">
      <c r="A3144" t="inlineStr">
        <is>
          <t>SPO-01685-1</t>
        </is>
      </c>
      <c r="B3144" t="inlineStr">
        <is>
          <t>SPO-01685</t>
        </is>
      </c>
      <c r="C3144" t="inlineStr">
        <is>
          <t>SUP-07</t>
        </is>
      </c>
      <c r="D3144" t="inlineStr">
        <is>
          <t>MRO</t>
        </is>
      </c>
      <c r="E3144" t="inlineStr">
        <is>
          <t>MRO-04</t>
        </is>
      </c>
      <c r="F3144" s="17" t="n">
        <v>46037</v>
      </c>
      <c r="G3144" s="17" t="n">
        <v>46047</v>
      </c>
      <c r="H3144" s="18" t="n">
        <v>57</v>
      </c>
      <c r="I3144" s="19" t="n">
        <v>58.4</v>
      </c>
      <c r="J3144" s="19" t="n">
        <v>58</v>
      </c>
      <c r="K3144" s="20" t="n">
        <v>0</v>
      </c>
      <c r="L3144" s="20" t="n">
        <v>0</v>
      </c>
      <c r="M3144" s="18" t="n">
        <v>57</v>
      </c>
      <c r="N3144" s="18" t="n">
        <v>0</v>
      </c>
      <c r="O3144" s="18" t="n">
        <v>0</v>
      </c>
      <c r="P3144" s="17" t="n">
        <v>46048</v>
      </c>
      <c r="Q3144" s="17" t="n">
        <v>46048</v>
      </c>
      <c r="R3144" s="17" t="n">
        <v>46048</v>
      </c>
      <c r="S3144" s="19">
        <f>H3144*I3144</f>
        <v/>
      </c>
      <c r="T3144" s="19">
        <f>H3144*J3144</f>
        <v/>
      </c>
      <c r="U3144">
        <f>IF(AND(K3144=0,G3144&lt;=Assumptions!$C$6),1,0)</f>
        <v/>
      </c>
      <c r="V3144">
        <f>IF(U3144=1,IF(M3144&gt;0,IF(P3144&lt;=G3144+Assumptions!$C$7,1,0),0),0)</f>
        <v/>
      </c>
      <c r="W3144">
        <f>IF(AND(U3144=1,M3144&gt;=H3144*(1-Assumptions!$C$8)),1,0)</f>
        <v/>
      </c>
      <c r="X3144">
        <f>IF(AND(U3144=1,N3144&gt;=H3144*(1-Assumptions!$C$8)),1,0)</f>
        <v/>
      </c>
      <c r="Y3144">
        <f>IF(ISNUMBER(Q3144),1,0)</f>
        <v/>
      </c>
      <c r="Z3144">
        <f>IF(AND(K3144=0,L3144=0,Y3144=0),1,0)</f>
        <v/>
      </c>
      <c r="AA3144">
        <f>IF(AND(Z3144=1,G3144&lt;Assumptions!$C$6),1,0)</f>
        <v/>
      </c>
      <c r="AB3144">
        <f>IF(U3144=0,"",IF(Y3144=1,MAX(0,Q3144-G3144),IF(L3144=1,MAX(0,R3144-G3144),MAX(0,Assumptions!$C$6-G3144))))</f>
        <v/>
      </c>
      <c r="AC3144">
        <f>IF(Y3144=1,Q3144-F3144,"")</f>
        <v/>
      </c>
      <c r="AD3144">
        <f>IF(Y3144=1,AC3144^2,"")</f>
        <v/>
      </c>
      <c r="AE3144" s="19">
        <f>IF(Z3144=1,(H3144-M3144)*I3144,0)</f>
        <v/>
      </c>
      <c r="AF3144">
        <f>IF(G3144&lt;EDATE(Assumptions!$C$6,-12)+1,"prior_12m","last_12m")</f>
        <v/>
      </c>
      <c r="AG3144" s="21">
        <f>DATE(YEAR(G3144),MONTH(G3144),1)</f>
        <v/>
      </c>
    </row>
    <row r="3145">
      <c r="A3145" t="inlineStr">
        <is>
          <t>SPO-01685-2</t>
        </is>
      </c>
      <c r="B3145" t="inlineStr">
        <is>
          <t>SPO-01685</t>
        </is>
      </c>
      <c r="C3145" t="inlineStr">
        <is>
          <t>SUP-07</t>
        </is>
      </c>
      <c r="D3145" t="inlineStr">
        <is>
          <t>MRO</t>
        </is>
      </c>
      <c r="E3145" t="inlineStr">
        <is>
          <t>MRO-01</t>
        </is>
      </c>
      <c r="F3145" s="17" t="n">
        <v>46037</v>
      </c>
      <c r="G3145" s="17" t="n">
        <v>46047</v>
      </c>
      <c r="H3145" s="18" t="n">
        <v>12</v>
      </c>
      <c r="I3145" s="19" t="n">
        <v>51.02</v>
      </c>
      <c r="J3145" s="19" t="n">
        <v>52</v>
      </c>
      <c r="K3145" s="20" t="n">
        <v>0</v>
      </c>
      <c r="L3145" s="20" t="n">
        <v>0</v>
      </c>
      <c r="M3145" s="18" t="n">
        <v>12</v>
      </c>
      <c r="N3145" s="18" t="n">
        <v>12</v>
      </c>
      <c r="O3145" s="18" t="n">
        <v>0</v>
      </c>
      <c r="P3145" s="17" t="n">
        <v>46044</v>
      </c>
      <c r="Q3145" s="17" t="n">
        <v>46044</v>
      </c>
      <c r="R3145" s="17" t="n">
        <v>46044</v>
      </c>
      <c r="S3145" s="19">
        <f>H3145*I3145</f>
        <v/>
      </c>
      <c r="T3145" s="19">
        <f>H3145*J3145</f>
        <v/>
      </c>
      <c r="U3145">
        <f>IF(AND(K3145=0,G3145&lt;=Assumptions!$C$6),1,0)</f>
        <v/>
      </c>
      <c r="V3145">
        <f>IF(U3145=1,IF(M3145&gt;0,IF(P3145&lt;=G3145+Assumptions!$C$7,1,0),0),0)</f>
        <v/>
      </c>
      <c r="W3145">
        <f>IF(AND(U3145=1,M3145&gt;=H3145*(1-Assumptions!$C$8)),1,0)</f>
        <v/>
      </c>
      <c r="X3145">
        <f>IF(AND(U3145=1,N3145&gt;=H3145*(1-Assumptions!$C$8)),1,0)</f>
        <v/>
      </c>
      <c r="Y3145">
        <f>IF(ISNUMBER(Q3145),1,0)</f>
        <v/>
      </c>
      <c r="Z3145">
        <f>IF(AND(K3145=0,L3145=0,Y3145=0),1,0)</f>
        <v/>
      </c>
      <c r="AA3145">
        <f>IF(AND(Z3145=1,G3145&lt;Assumptions!$C$6),1,0)</f>
        <v/>
      </c>
      <c r="AB3145">
        <f>IF(U3145=0,"",IF(Y3145=1,MAX(0,Q3145-G3145),IF(L3145=1,MAX(0,R3145-G3145),MAX(0,Assumptions!$C$6-G3145))))</f>
        <v/>
      </c>
      <c r="AC3145">
        <f>IF(Y3145=1,Q3145-F3145,"")</f>
        <v/>
      </c>
      <c r="AD3145">
        <f>IF(Y3145=1,AC3145^2,"")</f>
        <v/>
      </c>
      <c r="AE3145" s="19">
        <f>IF(Z3145=1,(H3145-M3145)*I3145,0)</f>
        <v/>
      </c>
      <c r="AF3145">
        <f>IF(G3145&lt;EDATE(Assumptions!$C$6,-12)+1,"prior_12m","last_12m")</f>
        <v/>
      </c>
      <c r="AG3145" s="21">
        <f>DATE(YEAR(G3145),MONTH(G3145),1)</f>
        <v/>
      </c>
    </row>
    <row r="3146">
      <c r="A3146" t="inlineStr">
        <is>
          <t>SPO-01685-3</t>
        </is>
      </c>
      <c r="B3146" t="inlineStr">
        <is>
          <t>SPO-01685</t>
        </is>
      </c>
      <c r="C3146" t="inlineStr">
        <is>
          <t>SUP-07</t>
        </is>
      </c>
      <c r="D3146" t="inlineStr">
        <is>
          <t>MRO</t>
        </is>
      </c>
      <c r="E3146" t="inlineStr">
        <is>
          <t>MRO-02</t>
        </is>
      </c>
      <c r="F3146" s="17" t="n">
        <v>46037</v>
      </c>
      <c r="G3146" s="17" t="n">
        <v>46047</v>
      </c>
      <c r="H3146" s="18" t="n">
        <v>20</v>
      </c>
      <c r="I3146" s="19" t="n">
        <v>40.76</v>
      </c>
      <c r="J3146" s="19" t="n">
        <v>41</v>
      </c>
      <c r="K3146" s="20" t="n">
        <v>0</v>
      </c>
      <c r="L3146" s="20" t="n">
        <v>0</v>
      </c>
      <c r="M3146" s="18" t="n">
        <v>20</v>
      </c>
      <c r="N3146" s="18" t="n">
        <v>20</v>
      </c>
      <c r="O3146" s="18" t="n">
        <v>0</v>
      </c>
      <c r="P3146" s="17" t="n">
        <v>46047</v>
      </c>
      <c r="Q3146" s="17" t="n">
        <v>46047</v>
      </c>
      <c r="R3146" s="17" t="n">
        <v>46047</v>
      </c>
      <c r="S3146" s="19">
        <f>H3146*I3146</f>
        <v/>
      </c>
      <c r="T3146" s="19">
        <f>H3146*J3146</f>
        <v/>
      </c>
      <c r="U3146">
        <f>IF(AND(K3146=0,G3146&lt;=Assumptions!$C$6),1,0)</f>
        <v/>
      </c>
      <c r="V3146">
        <f>IF(U3146=1,IF(M3146&gt;0,IF(P3146&lt;=G3146+Assumptions!$C$7,1,0),0),0)</f>
        <v/>
      </c>
      <c r="W3146">
        <f>IF(AND(U3146=1,M3146&gt;=H3146*(1-Assumptions!$C$8)),1,0)</f>
        <v/>
      </c>
      <c r="X3146">
        <f>IF(AND(U3146=1,N3146&gt;=H3146*(1-Assumptions!$C$8)),1,0)</f>
        <v/>
      </c>
      <c r="Y3146">
        <f>IF(ISNUMBER(Q3146),1,0)</f>
        <v/>
      </c>
      <c r="Z3146">
        <f>IF(AND(K3146=0,L3146=0,Y3146=0),1,0)</f>
        <v/>
      </c>
      <c r="AA3146">
        <f>IF(AND(Z3146=1,G3146&lt;Assumptions!$C$6),1,0)</f>
        <v/>
      </c>
      <c r="AB3146">
        <f>IF(U3146=0,"",IF(Y3146=1,MAX(0,Q3146-G3146),IF(L3146=1,MAX(0,R3146-G3146),MAX(0,Assumptions!$C$6-G3146))))</f>
        <v/>
      </c>
      <c r="AC3146">
        <f>IF(Y3146=1,Q3146-F3146,"")</f>
        <v/>
      </c>
      <c r="AD3146">
        <f>IF(Y3146=1,AC3146^2,"")</f>
        <v/>
      </c>
      <c r="AE3146" s="19">
        <f>IF(Z3146=1,(H3146-M3146)*I3146,0)</f>
        <v/>
      </c>
      <c r="AF3146">
        <f>IF(G3146&lt;EDATE(Assumptions!$C$6,-12)+1,"prior_12m","last_12m")</f>
        <v/>
      </c>
      <c r="AG3146" s="21">
        <f>DATE(YEAR(G3146),MONTH(G3146),1)</f>
        <v/>
      </c>
    </row>
    <row r="3147">
      <c r="A3147" t="inlineStr">
        <is>
          <t>SPO-01686-1</t>
        </is>
      </c>
      <c r="B3147" t="inlineStr">
        <is>
          <t>SPO-01686</t>
        </is>
      </c>
      <c r="C3147" t="inlineStr">
        <is>
          <t>SUP-07</t>
        </is>
      </c>
      <c r="D3147" t="inlineStr">
        <is>
          <t>MRO</t>
        </is>
      </c>
      <c r="E3147" t="inlineStr">
        <is>
          <t>MRO-06</t>
        </is>
      </c>
      <c r="F3147" s="17" t="n">
        <v>46038</v>
      </c>
      <c r="G3147" s="17" t="n">
        <v>46048</v>
      </c>
      <c r="H3147" s="18" t="n">
        <v>165</v>
      </c>
      <c r="I3147" s="19" t="n">
        <v>6.1</v>
      </c>
      <c r="J3147" s="19" t="n">
        <v>6.1</v>
      </c>
      <c r="K3147" s="20" t="n">
        <v>0</v>
      </c>
      <c r="L3147" s="20" t="n">
        <v>0</v>
      </c>
      <c r="M3147" s="18" t="n">
        <v>165</v>
      </c>
      <c r="N3147" s="18" t="n">
        <v>76</v>
      </c>
      <c r="O3147" s="18" t="n">
        <v>0</v>
      </c>
      <c r="P3147" s="17" t="n">
        <v>46047</v>
      </c>
      <c r="Q3147" s="17" t="n">
        <v>46054</v>
      </c>
      <c r="R3147" s="17" t="n">
        <v>46054</v>
      </c>
      <c r="S3147" s="19">
        <f>H3147*I3147</f>
        <v/>
      </c>
      <c r="T3147" s="19">
        <f>H3147*J3147</f>
        <v/>
      </c>
      <c r="U3147">
        <f>IF(AND(K3147=0,G3147&lt;=Assumptions!$C$6),1,0)</f>
        <v/>
      </c>
      <c r="V3147">
        <f>IF(U3147=1,IF(M3147&gt;0,IF(P3147&lt;=G3147+Assumptions!$C$7,1,0),0),0)</f>
        <v/>
      </c>
      <c r="W3147">
        <f>IF(AND(U3147=1,M3147&gt;=H3147*(1-Assumptions!$C$8)),1,0)</f>
        <v/>
      </c>
      <c r="X3147">
        <f>IF(AND(U3147=1,N3147&gt;=H3147*(1-Assumptions!$C$8)),1,0)</f>
        <v/>
      </c>
      <c r="Y3147">
        <f>IF(ISNUMBER(Q3147),1,0)</f>
        <v/>
      </c>
      <c r="Z3147">
        <f>IF(AND(K3147=0,L3147=0,Y3147=0),1,0)</f>
        <v/>
      </c>
      <c r="AA3147">
        <f>IF(AND(Z3147=1,G3147&lt;Assumptions!$C$6),1,0)</f>
        <v/>
      </c>
      <c r="AB3147">
        <f>IF(U3147=0,"",IF(Y3147=1,MAX(0,Q3147-G3147),IF(L3147=1,MAX(0,R3147-G3147),MAX(0,Assumptions!$C$6-G3147))))</f>
        <v/>
      </c>
      <c r="AC3147">
        <f>IF(Y3147=1,Q3147-F3147,"")</f>
        <v/>
      </c>
      <c r="AD3147">
        <f>IF(Y3147=1,AC3147^2,"")</f>
        <v/>
      </c>
      <c r="AE3147" s="19">
        <f>IF(Z3147=1,(H3147-M3147)*I3147,0)</f>
        <v/>
      </c>
      <c r="AF3147">
        <f>IF(G3147&lt;EDATE(Assumptions!$C$6,-12)+1,"prior_12m","last_12m")</f>
        <v/>
      </c>
      <c r="AG3147" s="21">
        <f>DATE(YEAR(G3147),MONTH(G3147),1)</f>
        <v/>
      </c>
    </row>
    <row r="3148">
      <c r="A3148" t="inlineStr">
        <is>
          <t>SPO-01686-2</t>
        </is>
      </c>
      <c r="B3148" t="inlineStr">
        <is>
          <t>SPO-01686</t>
        </is>
      </c>
      <c r="C3148" t="inlineStr">
        <is>
          <t>SUP-07</t>
        </is>
      </c>
      <c r="D3148" t="inlineStr">
        <is>
          <t>MRO</t>
        </is>
      </c>
      <c r="E3148" t="inlineStr">
        <is>
          <t>MRO-01</t>
        </is>
      </c>
      <c r="F3148" s="17" t="n">
        <v>46038</v>
      </c>
      <c r="G3148" s="17" t="n">
        <v>46048</v>
      </c>
      <c r="H3148" s="18" t="n">
        <v>38</v>
      </c>
      <c r="I3148" s="19" t="n">
        <v>52.9</v>
      </c>
      <c r="J3148" s="19" t="n">
        <v>52</v>
      </c>
      <c r="K3148" s="20" t="n">
        <v>0</v>
      </c>
      <c r="L3148" s="20" t="n">
        <v>0</v>
      </c>
      <c r="M3148" s="18" t="n">
        <v>38</v>
      </c>
      <c r="N3148" s="18" t="n">
        <v>38</v>
      </c>
      <c r="O3148" s="18" t="n">
        <v>0</v>
      </c>
      <c r="P3148" s="17" t="n">
        <v>46045</v>
      </c>
      <c r="Q3148" s="17" t="n">
        <v>46045</v>
      </c>
      <c r="R3148" s="17" t="n">
        <v>46045</v>
      </c>
      <c r="S3148" s="19">
        <f>H3148*I3148</f>
        <v/>
      </c>
      <c r="T3148" s="19">
        <f>H3148*J3148</f>
        <v/>
      </c>
      <c r="U3148">
        <f>IF(AND(K3148=0,G3148&lt;=Assumptions!$C$6),1,0)</f>
        <v/>
      </c>
      <c r="V3148">
        <f>IF(U3148=1,IF(M3148&gt;0,IF(P3148&lt;=G3148+Assumptions!$C$7,1,0),0),0)</f>
        <v/>
      </c>
      <c r="W3148">
        <f>IF(AND(U3148=1,M3148&gt;=H3148*(1-Assumptions!$C$8)),1,0)</f>
        <v/>
      </c>
      <c r="X3148">
        <f>IF(AND(U3148=1,N3148&gt;=H3148*(1-Assumptions!$C$8)),1,0)</f>
        <v/>
      </c>
      <c r="Y3148">
        <f>IF(ISNUMBER(Q3148),1,0)</f>
        <v/>
      </c>
      <c r="Z3148">
        <f>IF(AND(K3148=0,L3148=0,Y3148=0),1,0)</f>
        <v/>
      </c>
      <c r="AA3148">
        <f>IF(AND(Z3148=1,G3148&lt;Assumptions!$C$6),1,0)</f>
        <v/>
      </c>
      <c r="AB3148">
        <f>IF(U3148=0,"",IF(Y3148=1,MAX(0,Q3148-G3148),IF(L3148=1,MAX(0,R3148-G3148),MAX(0,Assumptions!$C$6-G3148))))</f>
        <v/>
      </c>
      <c r="AC3148">
        <f>IF(Y3148=1,Q3148-F3148,"")</f>
        <v/>
      </c>
      <c r="AD3148">
        <f>IF(Y3148=1,AC3148^2,"")</f>
        <v/>
      </c>
      <c r="AE3148" s="19">
        <f>IF(Z3148=1,(H3148-M3148)*I3148,0)</f>
        <v/>
      </c>
      <c r="AF3148">
        <f>IF(G3148&lt;EDATE(Assumptions!$C$6,-12)+1,"prior_12m","last_12m")</f>
        <v/>
      </c>
      <c r="AG3148" s="21">
        <f>DATE(YEAR(G3148),MONTH(G3148),1)</f>
        <v/>
      </c>
    </row>
    <row r="3149">
      <c r="A3149" t="inlineStr">
        <is>
          <t>SPO-01686-3</t>
        </is>
      </c>
      <c r="B3149" t="inlineStr">
        <is>
          <t>SPO-01686</t>
        </is>
      </c>
      <c r="C3149" t="inlineStr">
        <is>
          <t>SUP-07</t>
        </is>
      </c>
      <c r="D3149" t="inlineStr">
        <is>
          <t>MRO</t>
        </is>
      </c>
      <c r="E3149" t="inlineStr">
        <is>
          <t>MRO-03</t>
        </is>
      </c>
      <c r="F3149" s="17" t="n">
        <v>46038</v>
      </c>
      <c r="G3149" s="17" t="n">
        <v>46048</v>
      </c>
      <c r="H3149" s="18" t="n">
        <v>206</v>
      </c>
      <c r="I3149" s="19" t="n">
        <v>8.66</v>
      </c>
      <c r="J3149" s="19" t="n">
        <v>8.9</v>
      </c>
      <c r="K3149" s="20" t="n">
        <v>0</v>
      </c>
      <c r="L3149" s="20" t="n">
        <v>0</v>
      </c>
      <c r="M3149" s="18" t="n">
        <v>206</v>
      </c>
      <c r="N3149" s="18" t="n">
        <v>206</v>
      </c>
      <c r="O3149" s="18" t="n">
        <v>0</v>
      </c>
      <c r="P3149" s="17" t="n">
        <v>46046</v>
      </c>
      <c r="Q3149" s="17" t="n">
        <v>46046</v>
      </c>
      <c r="R3149" s="17" t="n">
        <v>46046</v>
      </c>
      <c r="S3149" s="19">
        <f>H3149*I3149</f>
        <v/>
      </c>
      <c r="T3149" s="19">
        <f>H3149*J3149</f>
        <v/>
      </c>
      <c r="U3149">
        <f>IF(AND(K3149=0,G3149&lt;=Assumptions!$C$6),1,0)</f>
        <v/>
      </c>
      <c r="V3149">
        <f>IF(U3149=1,IF(M3149&gt;0,IF(P3149&lt;=G3149+Assumptions!$C$7,1,0),0),0)</f>
        <v/>
      </c>
      <c r="W3149">
        <f>IF(AND(U3149=1,M3149&gt;=H3149*(1-Assumptions!$C$8)),1,0)</f>
        <v/>
      </c>
      <c r="X3149">
        <f>IF(AND(U3149=1,N3149&gt;=H3149*(1-Assumptions!$C$8)),1,0)</f>
        <v/>
      </c>
      <c r="Y3149">
        <f>IF(ISNUMBER(Q3149),1,0)</f>
        <v/>
      </c>
      <c r="Z3149">
        <f>IF(AND(K3149=0,L3149=0,Y3149=0),1,0)</f>
        <v/>
      </c>
      <c r="AA3149">
        <f>IF(AND(Z3149=1,G3149&lt;Assumptions!$C$6),1,0)</f>
        <v/>
      </c>
      <c r="AB3149">
        <f>IF(U3149=0,"",IF(Y3149=1,MAX(0,Q3149-G3149),IF(L3149=1,MAX(0,R3149-G3149),MAX(0,Assumptions!$C$6-G3149))))</f>
        <v/>
      </c>
      <c r="AC3149">
        <f>IF(Y3149=1,Q3149-F3149,"")</f>
        <v/>
      </c>
      <c r="AD3149">
        <f>IF(Y3149=1,AC3149^2,"")</f>
        <v/>
      </c>
      <c r="AE3149" s="19">
        <f>IF(Z3149=1,(H3149-M3149)*I3149,0)</f>
        <v/>
      </c>
      <c r="AF3149">
        <f>IF(G3149&lt;EDATE(Assumptions!$C$6,-12)+1,"prior_12m","last_12m")</f>
        <v/>
      </c>
      <c r="AG3149" s="21">
        <f>DATE(YEAR(G3149),MONTH(G3149),1)</f>
        <v/>
      </c>
    </row>
    <row r="3150">
      <c r="A3150" t="inlineStr">
        <is>
          <t>SPO-01687-1</t>
        </is>
      </c>
      <c r="B3150" t="inlineStr">
        <is>
          <t>SPO-01687</t>
        </is>
      </c>
      <c r="C3150" t="inlineStr">
        <is>
          <t>SUP-08</t>
        </is>
      </c>
      <c r="D3150" t="inlineStr">
        <is>
          <t>MRO</t>
        </is>
      </c>
      <c r="E3150" t="inlineStr">
        <is>
          <t>MRO-01</t>
        </is>
      </c>
      <c r="F3150" s="17" t="n">
        <v>46038</v>
      </c>
      <c r="G3150" s="17" t="n">
        <v>46049</v>
      </c>
      <c r="H3150" s="18" t="n">
        <v>26</v>
      </c>
      <c r="I3150" s="19" t="n">
        <v>49.18</v>
      </c>
      <c r="J3150" s="19" t="n">
        <v>52</v>
      </c>
      <c r="K3150" s="20" t="n">
        <v>0</v>
      </c>
      <c r="L3150" s="20" t="n">
        <v>0</v>
      </c>
      <c r="M3150" s="18" t="n">
        <v>26</v>
      </c>
      <c r="N3150" s="18" t="n">
        <v>26</v>
      </c>
      <c r="O3150" s="18" t="n">
        <v>0</v>
      </c>
      <c r="P3150" s="17" t="n">
        <v>46047</v>
      </c>
      <c r="Q3150" s="17" t="n">
        <v>46047</v>
      </c>
      <c r="R3150" s="17" t="n">
        <v>46047</v>
      </c>
      <c r="S3150" s="19">
        <f>H3150*I3150</f>
        <v/>
      </c>
      <c r="T3150" s="19">
        <f>H3150*J3150</f>
        <v/>
      </c>
      <c r="U3150">
        <f>IF(AND(K3150=0,G3150&lt;=Assumptions!$C$6),1,0)</f>
        <v/>
      </c>
      <c r="V3150">
        <f>IF(U3150=1,IF(M3150&gt;0,IF(P3150&lt;=G3150+Assumptions!$C$7,1,0),0),0)</f>
        <v/>
      </c>
      <c r="W3150">
        <f>IF(AND(U3150=1,M3150&gt;=H3150*(1-Assumptions!$C$8)),1,0)</f>
        <v/>
      </c>
      <c r="X3150">
        <f>IF(AND(U3150=1,N3150&gt;=H3150*(1-Assumptions!$C$8)),1,0)</f>
        <v/>
      </c>
      <c r="Y3150">
        <f>IF(ISNUMBER(Q3150),1,0)</f>
        <v/>
      </c>
      <c r="Z3150">
        <f>IF(AND(K3150=0,L3150=0,Y3150=0),1,0)</f>
        <v/>
      </c>
      <c r="AA3150">
        <f>IF(AND(Z3150=1,G3150&lt;Assumptions!$C$6),1,0)</f>
        <v/>
      </c>
      <c r="AB3150">
        <f>IF(U3150=0,"",IF(Y3150=1,MAX(0,Q3150-G3150),IF(L3150=1,MAX(0,R3150-G3150),MAX(0,Assumptions!$C$6-G3150))))</f>
        <v/>
      </c>
      <c r="AC3150">
        <f>IF(Y3150=1,Q3150-F3150,"")</f>
        <v/>
      </c>
      <c r="AD3150">
        <f>IF(Y3150=1,AC3150^2,"")</f>
        <v/>
      </c>
      <c r="AE3150" s="19">
        <f>IF(Z3150=1,(H3150-M3150)*I3150,0)</f>
        <v/>
      </c>
      <c r="AF3150">
        <f>IF(G3150&lt;EDATE(Assumptions!$C$6,-12)+1,"prior_12m","last_12m")</f>
        <v/>
      </c>
      <c r="AG3150" s="21">
        <f>DATE(YEAR(G3150),MONTH(G3150),1)</f>
        <v/>
      </c>
    </row>
    <row r="3151">
      <c r="A3151" t="inlineStr">
        <is>
          <t>SPO-01688-1</t>
        </is>
      </c>
      <c r="B3151" t="inlineStr">
        <is>
          <t>SPO-01688</t>
        </is>
      </c>
      <c r="C3151" t="inlineStr">
        <is>
          <t>SUP-04</t>
        </is>
      </c>
      <c r="D3151" t="inlineStr">
        <is>
          <t>FLEET</t>
        </is>
      </c>
      <c r="E3151" t="inlineStr">
        <is>
          <t>FLEET-07</t>
        </is>
      </c>
      <c r="F3151" s="17" t="n">
        <v>46038</v>
      </c>
      <c r="G3151" s="17" t="n">
        <v>46051</v>
      </c>
      <c r="H3151" s="18" t="n">
        <v>7</v>
      </c>
      <c r="I3151" s="19" t="n">
        <v>114.42</v>
      </c>
      <c r="J3151" s="19" t="n">
        <v>118</v>
      </c>
      <c r="K3151" s="20" t="n">
        <v>0</v>
      </c>
      <c r="L3151" s="20" t="n">
        <v>0</v>
      </c>
      <c r="M3151" s="18" t="n">
        <v>7</v>
      </c>
      <c r="N3151" s="18" t="n">
        <v>0</v>
      </c>
      <c r="O3151" s="18" t="n">
        <v>0</v>
      </c>
      <c r="P3151" s="17" t="n">
        <v>46056</v>
      </c>
      <c r="Q3151" s="17" t="n">
        <v>46056</v>
      </c>
      <c r="R3151" s="17" t="n">
        <v>46056</v>
      </c>
      <c r="S3151" s="19">
        <f>H3151*I3151</f>
        <v/>
      </c>
      <c r="T3151" s="19">
        <f>H3151*J3151</f>
        <v/>
      </c>
      <c r="U3151">
        <f>IF(AND(K3151=0,G3151&lt;=Assumptions!$C$6),1,0)</f>
        <v/>
      </c>
      <c r="V3151">
        <f>IF(U3151=1,IF(M3151&gt;0,IF(P3151&lt;=G3151+Assumptions!$C$7,1,0),0),0)</f>
        <v/>
      </c>
      <c r="W3151">
        <f>IF(AND(U3151=1,M3151&gt;=H3151*(1-Assumptions!$C$8)),1,0)</f>
        <v/>
      </c>
      <c r="X3151">
        <f>IF(AND(U3151=1,N3151&gt;=H3151*(1-Assumptions!$C$8)),1,0)</f>
        <v/>
      </c>
      <c r="Y3151">
        <f>IF(ISNUMBER(Q3151),1,0)</f>
        <v/>
      </c>
      <c r="Z3151">
        <f>IF(AND(K3151=0,L3151=0,Y3151=0),1,0)</f>
        <v/>
      </c>
      <c r="AA3151">
        <f>IF(AND(Z3151=1,G3151&lt;Assumptions!$C$6),1,0)</f>
        <v/>
      </c>
      <c r="AB3151">
        <f>IF(U3151=0,"",IF(Y3151=1,MAX(0,Q3151-G3151),IF(L3151=1,MAX(0,R3151-G3151),MAX(0,Assumptions!$C$6-G3151))))</f>
        <v/>
      </c>
      <c r="AC3151">
        <f>IF(Y3151=1,Q3151-F3151,"")</f>
        <v/>
      </c>
      <c r="AD3151">
        <f>IF(Y3151=1,AC3151^2,"")</f>
        <v/>
      </c>
      <c r="AE3151" s="19">
        <f>IF(Z3151=1,(H3151-M3151)*I3151,0)</f>
        <v/>
      </c>
      <c r="AF3151">
        <f>IF(G3151&lt;EDATE(Assumptions!$C$6,-12)+1,"prior_12m","last_12m")</f>
        <v/>
      </c>
      <c r="AG3151" s="21">
        <f>DATE(YEAR(G3151),MONTH(G3151),1)</f>
        <v/>
      </c>
    </row>
    <row r="3152">
      <c r="A3152" t="inlineStr">
        <is>
          <t>SPO-01689-1</t>
        </is>
      </c>
      <c r="B3152" t="inlineStr">
        <is>
          <t>SPO-01689</t>
        </is>
      </c>
      <c r="C3152" t="inlineStr">
        <is>
          <t>SUP-12</t>
        </is>
      </c>
      <c r="D3152" t="inlineStr">
        <is>
          <t>IT</t>
        </is>
      </c>
      <c r="E3152" t="inlineStr">
        <is>
          <t>IT-07</t>
        </is>
      </c>
      <c r="F3152" s="17" t="n">
        <v>46039</v>
      </c>
      <c r="G3152" s="17" t="n">
        <v>46049</v>
      </c>
      <c r="H3152" s="18" t="n">
        <v>32</v>
      </c>
      <c r="I3152" s="19" t="n">
        <v>82.94</v>
      </c>
      <c r="J3152" s="19" t="n">
        <v>74</v>
      </c>
      <c r="K3152" s="20" t="n">
        <v>0</v>
      </c>
      <c r="L3152" s="20" t="n">
        <v>0</v>
      </c>
      <c r="M3152" s="18" t="n">
        <v>32</v>
      </c>
      <c r="N3152" s="18" t="n">
        <v>32</v>
      </c>
      <c r="O3152" s="18" t="n">
        <v>0</v>
      </c>
      <c r="P3152" s="17" t="n">
        <v>46042</v>
      </c>
      <c r="Q3152" s="17" t="n">
        <v>46042</v>
      </c>
      <c r="R3152" s="17" t="n">
        <v>46042</v>
      </c>
      <c r="S3152" s="19">
        <f>H3152*I3152</f>
        <v/>
      </c>
      <c r="T3152" s="19">
        <f>H3152*J3152</f>
        <v/>
      </c>
      <c r="U3152">
        <f>IF(AND(K3152=0,G3152&lt;=Assumptions!$C$6),1,0)</f>
        <v/>
      </c>
      <c r="V3152">
        <f>IF(U3152=1,IF(M3152&gt;0,IF(P3152&lt;=G3152+Assumptions!$C$7,1,0),0),0)</f>
        <v/>
      </c>
      <c r="W3152">
        <f>IF(AND(U3152=1,M3152&gt;=H3152*(1-Assumptions!$C$8)),1,0)</f>
        <v/>
      </c>
      <c r="X3152">
        <f>IF(AND(U3152=1,N3152&gt;=H3152*(1-Assumptions!$C$8)),1,0)</f>
        <v/>
      </c>
      <c r="Y3152">
        <f>IF(ISNUMBER(Q3152),1,0)</f>
        <v/>
      </c>
      <c r="Z3152">
        <f>IF(AND(K3152=0,L3152=0,Y3152=0),1,0)</f>
        <v/>
      </c>
      <c r="AA3152">
        <f>IF(AND(Z3152=1,G3152&lt;Assumptions!$C$6),1,0)</f>
        <v/>
      </c>
      <c r="AB3152">
        <f>IF(U3152=0,"",IF(Y3152=1,MAX(0,Q3152-G3152),IF(L3152=1,MAX(0,R3152-G3152),MAX(0,Assumptions!$C$6-G3152))))</f>
        <v/>
      </c>
      <c r="AC3152">
        <f>IF(Y3152=1,Q3152-F3152,"")</f>
        <v/>
      </c>
      <c r="AD3152">
        <f>IF(Y3152=1,AC3152^2,"")</f>
        <v/>
      </c>
      <c r="AE3152" s="19">
        <f>IF(Z3152=1,(H3152-M3152)*I3152,0)</f>
        <v/>
      </c>
      <c r="AF3152">
        <f>IF(G3152&lt;EDATE(Assumptions!$C$6,-12)+1,"prior_12m","last_12m")</f>
        <v/>
      </c>
      <c r="AG3152" s="21">
        <f>DATE(YEAR(G3152),MONTH(G3152),1)</f>
        <v/>
      </c>
    </row>
    <row r="3153">
      <c r="A3153" t="inlineStr">
        <is>
          <t>SPO-01689-2</t>
        </is>
      </c>
      <c r="B3153" t="inlineStr">
        <is>
          <t>SPO-01689</t>
        </is>
      </c>
      <c r="C3153" t="inlineStr">
        <is>
          <t>SUP-12</t>
        </is>
      </c>
      <c r="D3153" t="inlineStr">
        <is>
          <t>IT</t>
        </is>
      </c>
      <c r="E3153" t="inlineStr">
        <is>
          <t>IT-03</t>
        </is>
      </c>
      <c r="F3153" s="17" t="n">
        <v>46039</v>
      </c>
      <c r="G3153" s="17" t="n">
        <v>46049</v>
      </c>
      <c r="H3153" s="18" t="n">
        <v>75</v>
      </c>
      <c r="I3153" s="19" t="n">
        <v>43.3</v>
      </c>
      <c r="J3153" s="19" t="n">
        <v>38</v>
      </c>
      <c r="K3153" s="20" t="n">
        <v>0</v>
      </c>
      <c r="L3153" s="20" t="n">
        <v>0</v>
      </c>
      <c r="M3153" s="18" t="n">
        <v>75</v>
      </c>
      <c r="N3153" s="18" t="n">
        <v>40</v>
      </c>
      <c r="O3153" s="18" t="n">
        <v>0</v>
      </c>
      <c r="P3153" s="17" t="n">
        <v>46043</v>
      </c>
      <c r="Q3153" s="17" t="n">
        <v>46053</v>
      </c>
      <c r="R3153" s="17" t="n">
        <v>46053</v>
      </c>
      <c r="S3153" s="19">
        <f>H3153*I3153</f>
        <v/>
      </c>
      <c r="T3153" s="19">
        <f>H3153*J3153</f>
        <v/>
      </c>
      <c r="U3153">
        <f>IF(AND(K3153=0,G3153&lt;=Assumptions!$C$6),1,0)</f>
        <v/>
      </c>
      <c r="V3153">
        <f>IF(U3153=1,IF(M3153&gt;0,IF(P3153&lt;=G3153+Assumptions!$C$7,1,0),0),0)</f>
        <v/>
      </c>
      <c r="W3153">
        <f>IF(AND(U3153=1,M3153&gt;=H3153*(1-Assumptions!$C$8)),1,0)</f>
        <v/>
      </c>
      <c r="X3153">
        <f>IF(AND(U3153=1,N3153&gt;=H3153*(1-Assumptions!$C$8)),1,0)</f>
        <v/>
      </c>
      <c r="Y3153">
        <f>IF(ISNUMBER(Q3153),1,0)</f>
        <v/>
      </c>
      <c r="Z3153">
        <f>IF(AND(K3153=0,L3153=0,Y3153=0),1,0)</f>
        <v/>
      </c>
      <c r="AA3153">
        <f>IF(AND(Z3153=1,G3153&lt;Assumptions!$C$6),1,0)</f>
        <v/>
      </c>
      <c r="AB3153">
        <f>IF(U3153=0,"",IF(Y3153=1,MAX(0,Q3153-G3153),IF(L3153=1,MAX(0,R3153-G3153),MAX(0,Assumptions!$C$6-G3153))))</f>
        <v/>
      </c>
      <c r="AC3153">
        <f>IF(Y3153=1,Q3153-F3153,"")</f>
        <v/>
      </c>
      <c r="AD3153">
        <f>IF(Y3153=1,AC3153^2,"")</f>
        <v/>
      </c>
      <c r="AE3153" s="19">
        <f>IF(Z3153=1,(H3153-M3153)*I3153,0)</f>
        <v/>
      </c>
      <c r="AF3153">
        <f>IF(G3153&lt;EDATE(Assumptions!$C$6,-12)+1,"prior_12m","last_12m")</f>
        <v/>
      </c>
      <c r="AG3153" s="21">
        <f>DATE(YEAR(G3153),MONTH(G3153),1)</f>
        <v/>
      </c>
    </row>
    <row r="3154">
      <c r="A3154" t="inlineStr">
        <is>
          <t>SPO-01689-3</t>
        </is>
      </c>
      <c r="B3154" t="inlineStr">
        <is>
          <t>SPO-01689</t>
        </is>
      </c>
      <c r="C3154" t="inlineStr">
        <is>
          <t>SUP-12</t>
        </is>
      </c>
      <c r="D3154" t="inlineStr">
        <is>
          <t>IT</t>
        </is>
      </c>
      <c r="E3154" t="inlineStr">
        <is>
          <t>IT-05</t>
        </is>
      </c>
      <c r="F3154" s="17" t="n">
        <v>46039</v>
      </c>
      <c r="G3154" s="17" t="n">
        <v>46049</v>
      </c>
      <c r="H3154" s="18" t="n">
        <v>4</v>
      </c>
      <c r="I3154" s="19" t="n">
        <v>714.5700000000001</v>
      </c>
      <c r="J3154" s="19" t="n">
        <v>640</v>
      </c>
      <c r="K3154" s="20" t="n">
        <v>0</v>
      </c>
      <c r="L3154" s="20" t="n">
        <v>0</v>
      </c>
      <c r="M3154" s="18" t="n">
        <v>4</v>
      </c>
      <c r="N3154" s="18" t="n">
        <v>4</v>
      </c>
      <c r="O3154" s="18" t="n">
        <v>0</v>
      </c>
      <c r="P3154" s="17" t="n">
        <v>46046</v>
      </c>
      <c r="Q3154" s="17" t="n">
        <v>46046</v>
      </c>
      <c r="R3154" s="17" t="n">
        <v>46046</v>
      </c>
      <c r="S3154" s="19">
        <f>H3154*I3154</f>
        <v/>
      </c>
      <c r="T3154" s="19">
        <f>H3154*J3154</f>
        <v/>
      </c>
      <c r="U3154">
        <f>IF(AND(K3154=0,G3154&lt;=Assumptions!$C$6),1,0)</f>
        <v/>
      </c>
      <c r="V3154">
        <f>IF(U3154=1,IF(M3154&gt;0,IF(P3154&lt;=G3154+Assumptions!$C$7,1,0),0),0)</f>
        <v/>
      </c>
      <c r="W3154">
        <f>IF(AND(U3154=1,M3154&gt;=H3154*(1-Assumptions!$C$8)),1,0)</f>
        <v/>
      </c>
      <c r="X3154">
        <f>IF(AND(U3154=1,N3154&gt;=H3154*(1-Assumptions!$C$8)),1,0)</f>
        <v/>
      </c>
      <c r="Y3154">
        <f>IF(ISNUMBER(Q3154),1,0)</f>
        <v/>
      </c>
      <c r="Z3154">
        <f>IF(AND(K3154=0,L3154=0,Y3154=0),1,0)</f>
        <v/>
      </c>
      <c r="AA3154">
        <f>IF(AND(Z3154=1,G3154&lt;Assumptions!$C$6),1,0)</f>
        <v/>
      </c>
      <c r="AB3154">
        <f>IF(U3154=0,"",IF(Y3154=1,MAX(0,Q3154-G3154),IF(L3154=1,MAX(0,R3154-G3154),MAX(0,Assumptions!$C$6-G3154))))</f>
        <v/>
      </c>
      <c r="AC3154">
        <f>IF(Y3154=1,Q3154-F3154,"")</f>
        <v/>
      </c>
      <c r="AD3154">
        <f>IF(Y3154=1,AC3154^2,"")</f>
        <v/>
      </c>
      <c r="AE3154" s="19">
        <f>IF(Z3154=1,(H3154-M3154)*I3154,0)</f>
        <v/>
      </c>
      <c r="AF3154">
        <f>IF(G3154&lt;EDATE(Assumptions!$C$6,-12)+1,"prior_12m","last_12m")</f>
        <v/>
      </c>
      <c r="AG3154" s="21">
        <f>DATE(YEAR(G3154),MONTH(G3154),1)</f>
        <v/>
      </c>
    </row>
    <row r="3155">
      <c r="A3155" t="inlineStr">
        <is>
          <t>SPO-01690-1</t>
        </is>
      </c>
      <c r="B3155" t="inlineStr">
        <is>
          <t>SPO-01690</t>
        </is>
      </c>
      <c r="C3155" t="inlineStr">
        <is>
          <t>SUP-12</t>
        </is>
      </c>
      <c r="D3155" t="inlineStr">
        <is>
          <t>IT</t>
        </is>
      </c>
      <c r="E3155" t="inlineStr">
        <is>
          <t>IT-06</t>
        </is>
      </c>
      <c r="F3155" s="17" t="n">
        <v>46039</v>
      </c>
      <c r="G3155" s="17" t="n">
        <v>46049</v>
      </c>
      <c r="H3155" s="18" t="n">
        <v>11</v>
      </c>
      <c r="I3155" s="19" t="n">
        <v>94.83</v>
      </c>
      <c r="J3155" s="19" t="n">
        <v>89</v>
      </c>
      <c r="K3155" s="20" t="n">
        <v>0</v>
      </c>
      <c r="L3155" s="20" t="n">
        <v>0</v>
      </c>
      <c r="M3155" s="18" t="n">
        <v>11</v>
      </c>
      <c r="N3155" s="18" t="n">
        <v>11</v>
      </c>
      <c r="O3155" s="18" t="n">
        <v>0</v>
      </c>
      <c r="P3155" s="17" t="n">
        <v>46047</v>
      </c>
      <c r="Q3155" s="17" t="n">
        <v>46047</v>
      </c>
      <c r="R3155" s="17" t="n">
        <v>46047</v>
      </c>
      <c r="S3155" s="19">
        <f>H3155*I3155</f>
        <v/>
      </c>
      <c r="T3155" s="19">
        <f>H3155*J3155</f>
        <v/>
      </c>
      <c r="U3155">
        <f>IF(AND(K3155=0,G3155&lt;=Assumptions!$C$6),1,0)</f>
        <v/>
      </c>
      <c r="V3155">
        <f>IF(U3155=1,IF(M3155&gt;0,IF(P3155&lt;=G3155+Assumptions!$C$7,1,0),0),0)</f>
        <v/>
      </c>
      <c r="W3155">
        <f>IF(AND(U3155=1,M3155&gt;=H3155*(1-Assumptions!$C$8)),1,0)</f>
        <v/>
      </c>
      <c r="X3155">
        <f>IF(AND(U3155=1,N3155&gt;=H3155*(1-Assumptions!$C$8)),1,0)</f>
        <v/>
      </c>
      <c r="Y3155">
        <f>IF(ISNUMBER(Q3155),1,0)</f>
        <v/>
      </c>
      <c r="Z3155">
        <f>IF(AND(K3155=0,L3155=0,Y3155=0),1,0)</f>
        <v/>
      </c>
      <c r="AA3155">
        <f>IF(AND(Z3155=1,G3155&lt;Assumptions!$C$6),1,0)</f>
        <v/>
      </c>
      <c r="AB3155">
        <f>IF(U3155=0,"",IF(Y3155=1,MAX(0,Q3155-G3155),IF(L3155=1,MAX(0,R3155-G3155),MAX(0,Assumptions!$C$6-G3155))))</f>
        <v/>
      </c>
      <c r="AC3155">
        <f>IF(Y3155=1,Q3155-F3155,"")</f>
        <v/>
      </c>
      <c r="AD3155">
        <f>IF(Y3155=1,AC3155^2,"")</f>
        <v/>
      </c>
      <c r="AE3155" s="19">
        <f>IF(Z3155=1,(H3155-M3155)*I3155,0)</f>
        <v/>
      </c>
      <c r="AF3155">
        <f>IF(G3155&lt;EDATE(Assumptions!$C$6,-12)+1,"prior_12m","last_12m")</f>
        <v/>
      </c>
      <c r="AG3155" s="21">
        <f>DATE(YEAR(G3155),MONTH(G3155),1)</f>
        <v/>
      </c>
    </row>
    <row r="3156">
      <c r="A3156" t="inlineStr">
        <is>
          <t>SPO-01690-2</t>
        </is>
      </c>
      <c r="B3156" t="inlineStr">
        <is>
          <t>SPO-01690</t>
        </is>
      </c>
      <c r="C3156" t="inlineStr">
        <is>
          <t>SUP-12</t>
        </is>
      </c>
      <c r="D3156" t="inlineStr">
        <is>
          <t>IT</t>
        </is>
      </c>
      <c r="E3156" t="inlineStr">
        <is>
          <t>IT-03</t>
        </is>
      </c>
      <c r="F3156" s="17" t="n">
        <v>46039</v>
      </c>
      <c r="G3156" s="17" t="n">
        <v>46049</v>
      </c>
      <c r="H3156" s="18" t="n">
        <v>27</v>
      </c>
      <c r="I3156" s="19" t="n">
        <v>41.36</v>
      </c>
      <c r="J3156" s="19" t="n">
        <v>38</v>
      </c>
      <c r="K3156" s="20" t="n">
        <v>0</v>
      </c>
      <c r="L3156" s="20" t="n">
        <v>0</v>
      </c>
      <c r="M3156" s="18" t="n">
        <v>27</v>
      </c>
      <c r="N3156" s="18" t="n">
        <v>27</v>
      </c>
      <c r="O3156" s="18" t="n">
        <v>0</v>
      </c>
      <c r="P3156" s="17" t="n">
        <v>46045</v>
      </c>
      <c r="Q3156" s="17" t="n">
        <v>46045</v>
      </c>
      <c r="R3156" s="17" t="n">
        <v>46045</v>
      </c>
      <c r="S3156" s="19">
        <f>H3156*I3156</f>
        <v/>
      </c>
      <c r="T3156" s="19">
        <f>H3156*J3156</f>
        <v/>
      </c>
      <c r="U3156">
        <f>IF(AND(K3156=0,G3156&lt;=Assumptions!$C$6),1,0)</f>
        <v/>
      </c>
      <c r="V3156">
        <f>IF(U3156=1,IF(M3156&gt;0,IF(P3156&lt;=G3156+Assumptions!$C$7,1,0),0),0)</f>
        <v/>
      </c>
      <c r="W3156">
        <f>IF(AND(U3156=1,M3156&gt;=H3156*(1-Assumptions!$C$8)),1,0)</f>
        <v/>
      </c>
      <c r="X3156">
        <f>IF(AND(U3156=1,N3156&gt;=H3156*(1-Assumptions!$C$8)),1,0)</f>
        <v/>
      </c>
      <c r="Y3156">
        <f>IF(ISNUMBER(Q3156),1,0)</f>
        <v/>
      </c>
      <c r="Z3156">
        <f>IF(AND(K3156=0,L3156=0,Y3156=0),1,0)</f>
        <v/>
      </c>
      <c r="AA3156">
        <f>IF(AND(Z3156=1,G3156&lt;Assumptions!$C$6),1,0)</f>
        <v/>
      </c>
      <c r="AB3156">
        <f>IF(U3156=0,"",IF(Y3156=1,MAX(0,Q3156-G3156),IF(L3156=1,MAX(0,R3156-G3156),MAX(0,Assumptions!$C$6-G3156))))</f>
        <v/>
      </c>
      <c r="AC3156">
        <f>IF(Y3156=1,Q3156-F3156,"")</f>
        <v/>
      </c>
      <c r="AD3156">
        <f>IF(Y3156=1,AC3156^2,"")</f>
        <v/>
      </c>
      <c r="AE3156" s="19">
        <f>IF(Z3156=1,(H3156-M3156)*I3156,0)</f>
        <v/>
      </c>
      <c r="AF3156">
        <f>IF(G3156&lt;EDATE(Assumptions!$C$6,-12)+1,"prior_12m","last_12m")</f>
        <v/>
      </c>
      <c r="AG3156" s="21">
        <f>DATE(YEAR(G3156),MONTH(G3156),1)</f>
        <v/>
      </c>
    </row>
    <row r="3157">
      <c r="A3157" t="inlineStr">
        <is>
          <t>SPO-01690-3</t>
        </is>
      </c>
      <c r="B3157" t="inlineStr">
        <is>
          <t>SPO-01690</t>
        </is>
      </c>
      <c r="C3157" t="inlineStr">
        <is>
          <t>SUP-12</t>
        </is>
      </c>
      <c r="D3157" t="inlineStr">
        <is>
          <t>IT</t>
        </is>
      </c>
      <c r="E3157" t="inlineStr">
        <is>
          <t>IT-01</t>
        </is>
      </c>
      <c r="F3157" s="17" t="n">
        <v>46039</v>
      </c>
      <c r="G3157" s="17" t="n">
        <v>46049</v>
      </c>
      <c r="H3157" s="18" t="n">
        <v>11</v>
      </c>
      <c r="I3157" s="19" t="n">
        <v>221.78</v>
      </c>
      <c r="J3157" s="19" t="n">
        <v>189</v>
      </c>
      <c r="K3157" s="20" t="n">
        <v>0</v>
      </c>
      <c r="L3157" s="20" t="n">
        <v>0</v>
      </c>
      <c r="M3157" s="18" t="n">
        <v>11</v>
      </c>
      <c r="N3157" s="18" t="n">
        <v>11</v>
      </c>
      <c r="O3157" s="18" t="n">
        <v>0</v>
      </c>
      <c r="P3157" s="17" t="n">
        <v>46048</v>
      </c>
      <c r="Q3157" s="17" t="n">
        <v>46048</v>
      </c>
      <c r="R3157" s="17" t="n">
        <v>46048</v>
      </c>
      <c r="S3157" s="19">
        <f>H3157*I3157</f>
        <v/>
      </c>
      <c r="T3157" s="19">
        <f>H3157*J3157</f>
        <v/>
      </c>
      <c r="U3157">
        <f>IF(AND(K3157=0,G3157&lt;=Assumptions!$C$6),1,0)</f>
        <v/>
      </c>
      <c r="V3157">
        <f>IF(U3157=1,IF(M3157&gt;0,IF(P3157&lt;=G3157+Assumptions!$C$7,1,0),0),0)</f>
        <v/>
      </c>
      <c r="W3157">
        <f>IF(AND(U3157=1,M3157&gt;=H3157*(1-Assumptions!$C$8)),1,0)</f>
        <v/>
      </c>
      <c r="X3157">
        <f>IF(AND(U3157=1,N3157&gt;=H3157*(1-Assumptions!$C$8)),1,0)</f>
        <v/>
      </c>
      <c r="Y3157">
        <f>IF(ISNUMBER(Q3157),1,0)</f>
        <v/>
      </c>
      <c r="Z3157">
        <f>IF(AND(K3157=0,L3157=0,Y3157=0),1,0)</f>
        <v/>
      </c>
      <c r="AA3157">
        <f>IF(AND(Z3157=1,G3157&lt;Assumptions!$C$6),1,0)</f>
        <v/>
      </c>
      <c r="AB3157">
        <f>IF(U3157=0,"",IF(Y3157=1,MAX(0,Q3157-G3157),IF(L3157=1,MAX(0,R3157-G3157),MAX(0,Assumptions!$C$6-G3157))))</f>
        <v/>
      </c>
      <c r="AC3157">
        <f>IF(Y3157=1,Q3157-F3157,"")</f>
        <v/>
      </c>
      <c r="AD3157">
        <f>IF(Y3157=1,AC3157^2,"")</f>
        <v/>
      </c>
      <c r="AE3157" s="19">
        <f>IF(Z3157=1,(H3157-M3157)*I3157,0)</f>
        <v/>
      </c>
      <c r="AF3157">
        <f>IF(G3157&lt;EDATE(Assumptions!$C$6,-12)+1,"prior_12m","last_12m")</f>
        <v/>
      </c>
      <c r="AG3157" s="21">
        <f>DATE(YEAR(G3157),MONTH(G3157),1)</f>
        <v/>
      </c>
    </row>
    <row r="3158">
      <c r="A3158" t="inlineStr">
        <is>
          <t>SPO-01691-1</t>
        </is>
      </c>
      <c r="B3158" t="inlineStr">
        <is>
          <t>SPO-01691</t>
        </is>
      </c>
      <c r="C3158" t="inlineStr">
        <is>
          <t>SUP-08</t>
        </is>
      </c>
      <c r="D3158" t="inlineStr">
        <is>
          <t>PPE</t>
        </is>
      </c>
      <c r="E3158" t="inlineStr">
        <is>
          <t>PPE-04</t>
        </is>
      </c>
      <c r="F3158" s="17" t="n">
        <v>46039</v>
      </c>
      <c r="G3158" s="17" t="n">
        <v>46050</v>
      </c>
      <c r="H3158" s="18" t="n">
        <v>53</v>
      </c>
      <c r="I3158" s="19" t="n">
        <v>26.01</v>
      </c>
      <c r="J3158" s="19" t="n">
        <v>26</v>
      </c>
      <c r="K3158" s="20" t="n">
        <v>0</v>
      </c>
      <c r="L3158" s="20" t="n">
        <v>0</v>
      </c>
      <c r="M3158" s="18" t="n">
        <v>53</v>
      </c>
      <c r="N3158" s="18" t="n">
        <v>53</v>
      </c>
      <c r="O3158" s="18" t="n">
        <v>0</v>
      </c>
      <c r="P3158" s="17" t="n">
        <v>46047</v>
      </c>
      <c r="Q3158" s="17" t="n">
        <v>46047</v>
      </c>
      <c r="R3158" s="17" t="n">
        <v>46047</v>
      </c>
      <c r="S3158" s="19">
        <f>H3158*I3158</f>
        <v/>
      </c>
      <c r="T3158" s="19">
        <f>H3158*J3158</f>
        <v/>
      </c>
      <c r="U3158">
        <f>IF(AND(K3158=0,G3158&lt;=Assumptions!$C$6),1,0)</f>
        <v/>
      </c>
      <c r="V3158">
        <f>IF(U3158=1,IF(M3158&gt;0,IF(P3158&lt;=G3158+Assumptions!$C$7,1,0),0),0)</f>
        <v/>
      </c>
      <c r="W3158">
        <f>IF(AND(U3158=1,M3158&gt;=H3158*(1-Assumptions!$C$8)),1,0)</f>
        <v/>
      </c>
      <c r="X3158">
        <f>IF(AND(U3158=1,N3158&gt;=H3158*(1-Assumptions!$C$8)),1,0)</f>
        <v/>
      </c>
      <c r="Y3158">
        <f>IF(ISNUMBER(Q3158),1,0)</f>
        <v/>
      </c>
      <c r="Z3158">
        <f>IF(AND(K3158=0,L3158=0,Y3158=0),1,0)</f>
        <v/>
      </c>
      <c r="AA3158">
        <f>IF(AND(Z3158=1,G3158&lt;Assumptions!$C$6),1,0)</f>
        <v/>
      </c>
      <c r="AB3158">
        <f>IF(U3158=0,"",IF(Y3158=1,MAX(0,Q3158-G3158),IF(L3158=1,MAX(0,R3158-G3158),MAX(0,Assumptions!$C$6-G3158))))</f>
        <v/>
      </c>
      <c r="AC3158">
        <f>IF(Y3158=1,Q3158-F3158,"")</f>
        <v/>
      </c>
      <c r="AD3158">
        <f>IF(Y3158=1,AC3158^2,"")</f>
        <v/>
      </c>
      <c r="AE3158" s="19">
        <f>IF(Z3158=1,(H3158-M3158)*I3158,0)</f>
        <v/>
      </c>
      <c r="AF3158">
        <f>IF(G3158&lt;EDATE(Assumptions!$C$6,-12)+1,"prior_12m","last_12m")</f>
        <v/>
      </c>
      <c r="AG3158" s="21">
        <f>DATE(YEAR(G3158),MONTH(G3158),1)</f>
        <v/>
      </c>
    </row>
    <row r="3159">
      <c r="A3159" t="inlineStr">
        <is>
          <t>SPO-01691-2</t>
        </is>
      </c>
      <c r="B3159" t="inlineStr">
        <is>
          <t>SPO-01691</t>
        </is>
      </c>
      <c r="C3159" t="inlineStr">
        <is>
          <t>SUP-08</t>
        </is>
      </c>
      <c r="D3159" t="inlineStr">
        <is>
          <t>PPE</t>
        </is>
      </c>
      <c r="E3159" t="inlineStr">
        <is>
          <t>PPE-03</t>
        </is>
      </c>
      <c r="F3159" s="17" t="n">
        <v>46039</v>
      </c>
      <c r="G3159" s="17" t="n">
        <v>46050</v>
      </c>
      <c r="H3159" s="18" t="n">
        <v>70</v>
      </c>
      <c r="I3159" s="19" t="n">
        <v>21.61</v>
      </c>
      <c r="J3159" s="19" t="n">
        <v>21</v>
      </c>
      <c r="K3159" s="20" t="n">
        <v>0</v>
      </c>
      <c r="L3159" s="20" t="n">
        <v>0</v>
      </c>
      <c r="M3159" s="18" t="n">
        <v>70</v>
      </c>
      <c r="N3159" s="18" t="n">
        <v>70</v>
      </c>
      <c r="O3159" s="18" t="n">
        <v>0</v>
      </c>
      <c r="P3159" s="17" t="n">
        <v>46048</v>
      </c>
      <c r="Q3159" s="17" t="n">
        <v>46048</v>
      </c>
      <c r="R3159" s="17" t="n">
        <v>46048</v>
      </c>
      <c r="S3159" s="19">
        <f>H3159*I3159</f>
        <v/>
      </c>
      <c r="T3159" s="19">
        <f>H3159*J3159</f>
        <v/>
      </c>
      <c r="U3159">
        <f>IF(AND(K3159=0,G3159&lt;=Assumptions!$C$6),1,0)</f>
        <v/>
      </c>
      <c r="V3159">
        <f>IF(U3159=1,IF(M3159&gt;0,IF(P3159&lt;=G3159+Assumptions!$C$7,1,0),0),0)</f>
        <v/>
      </c>
      <c r="W3159">
        <f>IF(AND(U3159=1,M3159&gt;=H3159*(1-Assumptions!$C$8)),1,0)</f>
        <v/>
      </c>
      <c r="X3159">
        <f>IF(AND(U3159=1,N3159&gt;=H3159*(1-Assumptions!$C$8)),1,0)</f>
        <v/>
      </c>
      <c r="Y3159">
        <f>IF(ISNUMBER(Q3159),1,0)</f>
        <v/>
      </c>
      <c r="Z3159">
        <f>IF(AND(K3159=0,L3159=0,Y3159=0),1,0)</f>
        <v/>
      </c>
      <c r="AA3159">
        <f>IF(AND(Z3159=1,G3159&lt;Assumptions!$C$6),1,0)</f>
        <v/>
      </c>
      <c r="AB3159">
        <f>IF(U3159=0,"",IF(Y3159=1,MAX(0,Q3159-G3159),IF(L3159=1,MAX(0,R3159-G3159),MAX(0,Assumptions!$C$6-G3159))))</f>
        <v/>
      </c>
      <c r="AC3159">
        <f>IF(Y3159=1,Q3159-F3159,"")</f>
        <v/>
      </c>
      <c r="AD3159">
        <f>IF(Y3159=1,AC3159^2,"")</f>
        <v/>
      </c>
      <c r="AE3159" s="19">
        <f>IF(Z3159=1,(H3159-M3159)*I3159,0)</f>
        <v/>
      </c>
      <c r="AF3159">
        <f>IF(G3159&lt;EDATE(Assumptions!$C$6,-12)+1,"prior_12m","last_12m")</f>
        <v/>
      </c>
      <c r="AG3159" s="21">
        <f>DATE(YEAR(G3159),MONTH(G3159),1)</f>
        <v/>
      </c>
    </row>
    <row r="3160">
      <c r="A3160" t="inlineStr">
        <is>
          <t>SPO-01692-1</t>
        </is>
      </c>
      <c r="B3160" t="inlineStr">
        <is>
          <t>SPO-01692</t>
        </is>
      </c>
      <c r="C3160" t="inlineStr">
        <is>
          <t>SUP-01</t>
        </is>
      </c>
      <c r="D3160" t="inlineStr">
        <is>
          <t>ELEC</t>
        </is>
      </c>
      <c r="E3160" t="inlineStr">
        <is>
          <t>ELEC-05</t>
        </is>
      </c>
      <c r="F3160" s="17" t="n">
        <v>46039</v>
      </c>
      <c r="G3160" s="17" t="n">
        <v>46057</v>
      </c>
      <c r="H3160" s="18" t="n">
        <v>208</v>
      </c>
      <c r="I3160" s="19" t="n">
        <v>11.36</v>
      </c>
      <c r="J3160" s="19" t="n">
        <v>11.5</v>
      </c>
      <c r="K3160" s="20" t="n">
        <v>0</v>
      </c>
      <c r="L3160" s="20" t="n">
        <v>0</v>
      </c>
      <c r="M3160" s="18" t="n">
        <v>208</v>
      </c>
      <c r="N3160" s="18" t="n">
        <v>0</v>
      </c>
      <c r="O3160" s="18" t="n">
        <v>0</v>
      </c>
      <c r="P3160" s="17" t="n">
        <v>46058</v>
      </c>
      <c r="Q3160" s="17" t="n">
        <v>46058</v>
      </c>
      <c r="R3160" s="17" t="n">
        <v>46058</v>
      </c>
      <c r="S3160" s="19">
        <f>H3160*I3160</f>
        <v/>
      </c>
      <c r="T3160" s="19">
        <f>H3160*J3160</f>
        <v/>
      </c>
      <c r="U3160">
        <f>IF(AND(K3160=0,G3160&lt;=Assumptions!$C$6),1,0)</f>
        <v/>
      </c>
      <c r="V3160">
        <f>IF(U3160=1,IF(M3160&gt;0,IF(P3160&lt;=G3160+Assumptions!$C$7,1,0),0),0)</f>
        <v/>
      </c>
      <c r="W3160">
        <f>IF(AND(U3160=1,M3160&gt;=H3160*(1-Assumptions!$C$8)),1,0)</f>
        <v/>
      </c>
      <c r="X3160">
        <f>IF(AND(U3160=1,N3160&gt;=H3160*(1-Assumptions!$C$8)),1,0)</f>
        <v/>
      </c>
      <c r="Y3160">
        <f>IF(ISNUMBER(Q3160),1,0)</f>
        <v/>
      </c>
      <c r="Z3160">
        <f>IF(AND(K3160=0,L3160=0,Y3160=0),1,0)</f>
        <v/>
      </c>
      <c r="AA3160">
        <f>IF(AND(Z3160=1,G3160&lt;Assumptions!$C$6),1,0)</f>
        <v/>
      </c>
      <c r="AB3160">
        <f>IF(U3160=0,"",IF(Y3160=1,MAX(0,Q3160-G3160),IF(L3160=1,MAX(0,R3160-G3160),MAX(0,Assumptions!$C$6-G3160))))</f>
        <v/>
      </c>
      <c r="AC3160">
        <f>IF(Y3160=1,Q3160-F3160,"")</f>
        <v/>
      </c>
      <c r="AD3160">
        <f>IF(Y3160=1,AC3160^2,"")</f>
        <v/>
      </c>
      <c r="AE3160" s="19">
        <f>IF(Z3160=1,(H3160-M3160)*I3160,0)</f>
        <v/>
      </c>
      <c r="AF3160">
        <f>IF(G3160&lt;EDATE(Assumptions!$C$6,-12)+1,"prior_12m","last_12m")</f>
        <v/>
      </c>
      <c r="AG3160" s="21">
        <f>DATE(YEAR(G3160),MONTH(G3160),1)</f>
        <v/>
      </c>
    </row>
    <row r="3161">
      <c r="A3161" t="inlineStr">
        <is>
          <t>SPO-01692-2</t>
        </is>
      </c>
      <c r="B3161" t="inlineStr">
        <is>
          <t>SPO-01692</t>
        </is>
      </c>
      <c r="C3161" t="inlineStr">
        <is>
          <t>SUP-01</t>
        </is>
      </c>
      <c r="D3161" t="inlineStr">
        <is>
          <t>ELEC</t>
        </is>
      </c>
      <c r="E3161" t="inlineStr">
        <is>
          <t>ELEC-02</t>
        </is>
      </c>
      <c r="F3161" s="17" t="n">
        <v>46039</v>
      </c>
      <c r="G3161" s="17" t="n">
        <v>46057</v>
      </c>
      <c r="H3161" s="18" t="n">
        <v>430</v>
      </c>
      <c r="I3161" s="19" t="n">
        <v>4.18</v>
      </c>
      <c r="J3161" s="19" t="n">
        <v>4.2</v>
      </c>
      <c r="K3161" s="20" t="n">
        <v>0</v>
      </c>
      <c r="L3161" s="20" t="n">
        <v>0</v>
      </c>
      <c r="M3161" s="18" t="n">
        <v>430</v>
      </c>
      <c r="N3161" s="18" t="n">
        <v>0</v>
      </c>
      <c r="O3161" s="18" t="n">
        <v>0</v>
      </c>
      <c r="P3161" s="17" t="n">
        <v>46061</v>
      </c>
      <c r="Q3161" s="17" t="n">
        <v>46061</v>
      </c>
      <c r="R3161" s="17" t="n">
        <v>46061</v>
      </c>
      <c r="S3161" s="19">
        <f>H3161*I3161</f>
        <v/>
      </c>
      <c r="T3161" s="19">
        <f>H3161*J3161</f>
        <v/>
      </c>
      <c r="U3161">
        <f>IF(AND(K3161=0,G3161&lt;=Assumptions!$C$6),1,0)</f>
        <v/>
      </c>
      <c r="V3161">
        <f>IF(U3161=1,IF(M3161&gt;0,IF(P3161&lt;=G3161+Assumptions!$C$7,1,0),0),0)</f>
        <v/>
      </c>
      <c r="W3161">
        <f>IF(AND(U3161=1,M3161&gt;=H3161*(1-Assumptions!$C$8)),1,0)</f>
        <v/>
      </c>
      <c r="X3161">
        <f>IF(AND(U3161=1,N3161&gt;=H3161*(1-Assumptions!$C$8)),1,0)</f>
        <v/>
      </c>
      <c r="Y3161">
        <f>IF(ISNUMBER(Q3161),1,0)</f>
        <v/>
      </c>
      <c r="Z3161">
        <f>IF(AND(K3161=0,L3161=0,Y3161=0),1,0)</f>
        <v/>
      </c>
      <c r="AA3161">
        <f>IF(AND(Z3161=1,G3161&lt;Assumptions!$C$6),1,0)</f>
        <v/>
      </c>
      <c r="AB3161">
        <f>IF(U3161=0,"",IF(Y3161=1,MAX(0,Q3161-G3161),IF(L3161=1,MAX(0,R3161-G3161),MAX(0,Assumptions!$C$6-G3161))))</f>
        <v/>
      </c>
      <c r="AC3161">
        <f>IF(Y3161=1,Q3161-F3161,"")</f>
        <v/>
      </c>
      <c r="AD3161">
        <f>IF(Y3161=1,AC3161^2,"")</f>
        <v/>
      </c>
      <c r="AE3161" s="19">
        <f>IF(Z3161=1,(H3161-M3161)*I3161,0)</f>
        <v/>
      </c>
      <c r="AF3161">
        <f>IF(G3161&lt;EDATE(Assumptions!$C$6,-12)+1,"prior_12m","last_12m")</f>
        <v/>
      </c>
      <c r="AG3161" s="21">
        <f>DATE(YEAR(G3161),MONTH(G3161),1)</f>
        <v/>
      </c>
    </row>
    <row r="3162">
      <c r="A3162" t="inlineStr">
        <is>
          <t>SPO-01692-3</t>
        </is>
      </c>
      <c r="B3162" t="inlineStr">
        <is>
          <t>SPO-01692</t>
        </is>
      </c>
      <c r="C3162" t="inlineStr">
        <is>
          <t>SUP-01</t>
        </is>
      </c>
      <c r="D3162" t="inlineStr">
        <is>
          <t>ELEC</t>
        </is>
      </c>
      <c r="E3162" t="inlineStr">
        <is>
          <t>ELEC-08</t>
        </is>
      </c>
      <c r="F3162" s="17" t="n">
        <v>46039</v>
      </c>
      <c r="G3162" s="17" t="n">
        <v>46057</v>
      </c>
      <c r="H3162" s="18" t="n">
        <v>89</v>
      </c>
      <c r="I3162" s="19" t="n">
        <v>19.05</v>
      </c>
      <c r="J3162" s="19" t="n">
        <v>18</v>
      </c>
      <c r="K3162" s="20" t="n">
        <v>0</v>
      </c>
      <c r="L3162" s="20" t="n">
        <v>0</v>
      </c>
      <c r="M3162" s="18" t="n">
        <v>89</v>
      </c>
      <c r="N3162" s="18" t="n">
        <v>89</v>
      </c>
      <c r="O3162" s="18" t="n">
        <v>0</v>
      </c>
      <c r="P3162" s="17" t="n">
        <v>46048</v>
      </c>
      <c r="Q3162" s="17" t="n">
        <v>46048</v>
      </c>
      <c r="R3162" s="17" t="n">
        <v>46048</v>
      </c>
      <c r="S3162" s="19">
        <f>H3162*I3162</f>
        <v/>
      </c>
      <c r="T3162" s="19">
        <f>H3162*J3162</f>
        <v/>
      </c>
      <c r="U3162">
        <f>IF(AND(K3162=0,G3162&lt;=Assumptions!$C$6),1,0)</f>
        <v/>
      </c>
      <c r="V3162">
        <f>IF(U3162=1,IF(M3162&gt;0,IF(P3162&lt;=G3162+Assumptions!$C$7,1,0),0),0)</f>
        <v/>
      </c>
      <c r="W3162">
        <f>IF(AND(U3162=1,M3162&gt;=H3162*(1-Assumptions!$C$8)),1,0)</f>
        <v/>
      </c>
      <c r="X3162">
        <f>IF(AND(U3162=1,N3162&gt;=H3162*(1-Assumptions!$C$8)),1,0)</f>
        <v/>
      </c>
      <c r="Y3162">
        <f>IF(ISNUMBER(Q3162),1,0)</f>
        <v/>
      </c>
      <c r="Z3162">
        <f>IF(AND(K3162=0,L3162=0,Y3162=0),1,0)</f>
        <v/>
      </c>
      <c r="AA3162">
        <f>IF(AND(Z3162=1,G3162&lt;Assumptions!$C$6),1,0)</f>
        <v/>
      </c>
      <c r="AB3162">
        <f>IF(U3162=0,"",IF(Y3162=1,MAX(0,Q3162-G3162),IF(L3162=1,MAX(0,R3162-G3162),MAX(0,Assumptions!$C$6-G3162))))</f>
        <v/>
      </c>
      <c r="AC3162">
        <f>IF(Y3162=1,Q3162-F3162,"")</f>
        <v/>
      </c>
      <c r="AD3162">
        <f>IF(Y3162=1,AC3162^2,"")</f>
        <v/>
      </c>
      <c r="AE3162" s="19">
        <f>IF(Z3162=1,(H3162-M3162)*I3162,0)</f>
        <v/>
      </c>
      <c r="AF3162">
        <f>IF(G3162&lt;EDATE(Assumptions!$C$6,-12)+1,"prior_12m","last_12m")</f>
        <v/>
      </c>
      <c r="AG3162" s="21">
        <f>DATE(YEAR(G3162),MONTH(G3162),1)</f>
        <v/>
      </c>
    </row>
    <row r="3163">
      <c r="A3163" t="inlineStr">
        <is>
          <t>SPO-01693-1</t>
        </is>
      </c>
      <c r="B3163" t="inlineStr">
        <is>
          <t>SPO-01693</t>
        </is>
      </c>
      <c r="C3163" t="inlineStr">
        <is>
          <t>SUP-08</t>
        </is>
      </c>
      <c r="D3163" t="inlineStr">
        <is>
          <t>MRO</t>
        </is>
      </c>
      <c r="E3163" t="inlineStr">
        <is>
          <t>MRO-05</t>
        </is>
      </c>
      <c r="F3163" s="17" t="n">
        <v>46040</v>
      </c>
      <c r="G3163" s="17" t="n">
        <v>46051</v>
      </c>
      <c r="H3163" s="18" t="n">
        <v>43</v>
      </c>
      <c r="I3163" s="19" t="n">
        <v>37.04</v>
      </c>
      <c r="J3163" s="19" t="n">
        <v>36</v>
      </c>
      <c r="K3163" s="20" t="n">
        <v>0</v>
      </c>
      <c r="L3163" s="20" t="n">
        <v>0</v>
      </c>
      <c r="M3163" s="18" t="n">
        <v>43</v>
      </c>
      <c r="N3163" s="18" t="n">
        <v>43</v>
      </c>
      <c r="O3163" s="18" t="n">
        <v>0</v>
      </c>
      <c r="P3163" s="17" t="n">
        <v>46047</v>
      </c>
      <c r="Q3163" s="17" t="n">
        <v>46047</v>
      </c>
      <c r="R3163" s="17" t="n">
        <v>46047</v>
      </c>
      <c r="S3163" s="19">
        <f>H3163*I3163</f>
        <v/>
      </c>
      <c r="T3163" s="19">
        <f>H3163*J3163</f>
        <v/>
      </c>
      <c r="U3163">
        <f>IF(AND(K3163=0,G3163&lt;=Assumptions!$C$6),1,0)</f>
        <v/>
      </c>
      <c r="V3163">
        <f>IF(U3163=1,IF(M3163&gt;0,IF(P3163&lt;=G3163+Assumptions!$C$7,1,0),0),0)</f>
        <v/>
      </c>
      <c r="W3163">
        <f>IF(AND(U3163=1,M3163&gt;=H3163*(1-Assumptions!$C$8)),1,0)</f>
        <v/>
      </c>
      <c r="X3163">
        <f>IF(AND(U3163=1,N3163&gt;=H3163*(1-Assumptions!$C$8)),1,0)</f>
        <v/>
      </c>
      <c r="Y3163">
        <f>IF(ISNUMBER(Q3163),1,0)</f>
        <v/>
      </c>
      <c r="Z3163">
        <f>IF(AND(K3163=0,L3163=0,Y3163=0),1,0)</f>
        <v/>
      </c>
      <c r="AA3163">
        <f>IF(AND(Z3163=1,G3163&lt;Assumptions!$C$6),1,0)</f>
        <v/>
      </c>
      <c r="AB3163">
        <f>IF(U3163=0,"",IF(Y3163=1,MAX(0,Q3163-G3163),IF(L3163=1,MAX(0,R3163-G3163),MAX(0,Assumptions!$C$6-G3163))))</f>
        <v/>
      </c>
      <c r="AC3163">
        <f>IF(Y3163=1,Q3163-F3163,"")</f>
        <v/>
      </c>
      <c r="AD3163">
        <f>IF(Y3163=1,AC3163^2,"")</f>
        <v/>
      </c>
      <c r="AE3163" s="19">
        <f>IF(Z3163=1,(H3163-M3163)*I3163,0)</f>
        <v/>
      </c>
      <c r="AF3163">
        <f>IF(G3163&lt;EDATE(Assumptions!$C$6,-12)+1,"prior_12m","last_12m")</f>
        <v/>
      </c>
      <c r="AG3163" s="21">
        <f>DATE(YEAR(G3163),MONTH(G3163),1)</f>
        <v/>
      </c>
    </row>
    <row r="3164">
      <c r="A3164" t="inlineStr">
        <is>
          <t>SPO-01693-2</t>
        </is>
      </c>
      <c r="B3164" t="inlineStr">
        <is>
          <t>SPO-01693</t>
        </is>
      </c>
      <c r="C3164" t="inlineStr">
        <is>
          <t>SUP-08</t>
        </is>
      </c>
      <c r="D3164" t="inlineStr">
        <is>
          <t>MRO</t>
        </is>
      </c>
      <c r="E3164" t="inlineStr">
        <is>
          <t>MRO-07</t>
        </is>
      </c>
      <c r="F3164" s="17" t="n">
        <v>46040</v>
      </c>
      <c r="G3164" s="17" t="n">
        <v>46051</v>
      </c>
      <c r="H3164" s="18" t="n">
        <v>170</v>
      </c>
      <c r="I3164" s="19" t="n">
        <v>14.53</v>
      </c>
      <c r="J3164" s="19" t="n">
        <v>14</v>
      </c>
      <c r="K3164" s="20" t="n">
        <v>0</v>
      </c>
      <c r="L3164" s="20" t="n">
        <v>0</v>
      </c>
      <c r="M3164" s="18" t="n">
        <v>170</v>
      </c>
      <c r="N3164" s="18" t="n">
        <v>170</v>
      </c>
      <c r="O3164" s="18" t="n">
        <v>0</v>
      </c>
      <c r="P3164" s="17" t="n">
        <v>46049</v>
      </c>
      <c r="Q3164" s="17" t="n">
        <v>46049</v>
      </c>
      <c r="R3164" s="17" t="n">
        <v>46049</v>
      </c>
      <c r="S3164" s="19">
        <f>H3164*I3164</f>
        <v/>
      </c>
      <c r="T3164" s="19">
        <f>H3164*J3164</f>
        <v/>
      </c>
      <c r="U3164">
        <f>IF(AND(K3164=0,G3164&lt;=Assumptions!$C$6),1,0)</f>
        <v/>
      </c>
      <c r="V3164">
        <f>IF(U3164=1,IF(M3164&gt;0,IF(P3164&lt;=G3164+Assumptions!$C$7,1,0),0),0)</f>
        <v/>
      </c>
      <c r="W3164">
        <f>IF(AND(U3164=1,M3164&gt;=H3164*(1-Assumptions!$C$8)),1,0)</f>
        <v/>
      </c>
      <c r="X3164">
        <f>IF(AND(U3164=1,N3164&gt;=H3164*(1-Assumptions!$C$8)),1,0)</f>
        <v/>
      </c>
      <c r="Y3164">
        <f>IF(ISNUMBER(Q3164),1,0)</f>
        <v/>
      </c>
      <c r="Z3164">
        <f>IF(AND(K3164=0,L3164=0,Y3164=0),1,0)</f>
        <v/>
      </c>
      <c r="AA3164">
        <f>IF(AND(Z3164=1,G3164&lt;Assumptions!$C$6),1,0)</f>
        <v/>
      </c>
      <c r="AB3164">
        <f>IF(U3164=0,"",IF(Y3164=1,MAX(0,Q3164-G3164),IF(L3164=1,MAX(0,R3164-G3164),MAX(0,Assumptions!$C$6-G3164))))</f>
        <v/>
      </c>
      <c r="AC3164">
        <f>IF(Y3164=1,Q3164-F3164,"")</f>
        <v/>
      </c>
      <c r="AD3164">
        <f>IF(Y3164=1,AC3164^2,"")</f>
        <v/>
      </c>
      <c r="AE3164" s="19">
        <f>IF(Z3164=1,(H3164-M3164)*I3164,0)</f>
        <v/>
      </c>
      <c r="AF3164">
        <f>IF(G3164&lt;EDATE(Assumptions!$C$6,-12)+1,"prior_12m","last_12m")</f>
        <v/>
      </c>
      <c r="AG3164" s="21">
        <f>DATE(YEAR(G3164),MONTH(G3164),1)</f>
        <v/>
      </c>
    </row>
    <row r="3165">
      <c r="A3165" t="inlineStr">
        <is>
          <t>SPO-01693-3</t>
        </is>
      </c>
      <c r="B3165" t="inlineStr">
        <is>
          <t>SPO-01693</t>
        </is>
      </c>
      <c r="C3165" t="inlineStr">
        <is>
          <t>SUP-08</t>
        </is>
      </c>
      <c r="D3165" t="inlineStr">
        <is>
          <t>MRO</t>
        </is>
      </c>
      <c r="E3165" t="inlineStr">
        <is>
          <t>MRO-01</t>
        </is>
      </c>
      <c r="F3165" s="17" t="n">
        <v>46040</v>
      </c>
      <c r="G3165" s="17" t="n">
        <v>46051</v>
      </c>
      <c r="H3165" s="18" t="n">
        <v>32</v>
      </c>
      <c r="I3165" s="19" t="n">
        <v>50.58</v>
      </c>
      <c r="J3165" s="19" t="n">
        <v>52</v>
      </c>
      <c r="K3165" s="20" t="n">
        <v>0</v>
      </c>
      <c r="L3165" s="20" t="n">
        <v>0</v>
      </c>
      <c r="M3165" s="18" t="n">
        <v>32</v>
      </c>
      <c r="N3165" s="18" t="n">
        <v>32</v>
      </c>
      <c r="O3165" s="18" t="n">
        <v>0</v>
      </c>
      <c r="P3165" s="17" t="n">
        <v>46050</v>
      </c>
      <c r="Q3165" s="17" t="n">
        <v>46050</v>
      </c>
      <c r="R3165" s="17" t="n">
        <v>46050</v>
      </c>
      <c r="S3165" s="19">
        <f>H3165*I3165</f>
        <v/>
      </c>
      <c r="T3165" s="19">
        <f>H3165*J3165</f>
        <v/>
      </c>
      <c r="U3165">
        <f>IF(AND(K3165=0,G3165&lt;=Assumptions!$C$6),1,0)</f>
        <v/>
      </c>
      <c r="V3165">
        <f>IF(U3165=1,IF(M3165&gt;0,IF(P3165&lt;=G3165+Assumptions!$C$7,1,0),0),0)</f>
        <v/>
      </c>
      <c r="W3165">
        <f>IF(AND(U3165=1,M3165&gt;=H3165*(1-Assumptions!$C$8)),1,0)</f>
        <v/>
      </c>
      <c r="X3165">
        <f>IF(AND(U3165=1,N3165&gt;=H3165*(1-Assumptions!$C$8)),1,0)</f>
        <v/>
      </c>
      <c r="Y3165">
        <f>IF(ISNUMBER(Q3165),1,0)</f>
        <v/>
      </c>
      <c r="Z3165">
        <f>IF(AND(K3165=0,L3165=0,Y3165=0),1,0)</f>
        <v/>
      </c>
      <c r="AA3165">
        <f>IF(AND(Z3165=1,G3165&lt;Assumptions!$C$6),1,0)</f>
        <v/>
      </c>
      <c r="AB3165">
        <f>IF(U3165=0,"",IF(Y3165=1,MAX(0,Q3165-G3165),IF(L3165=1,MAX(0,R3165-G3165),MAX(0,Assumptions!$C$6-G3165))))</f>
        <v/>
      </c>
      <c r="AC3165">
        <f>IF(Y3165=1,Q3165-F3165,"")</f>
        <v/>
      </c>
      <c r="AD3165">
        <f>IF(Y3165=1,AC3165^2,"")</f>
        <v/>
      </c>
      <c r="AE3165" s="19">
        <f>IF(Z3165=1,(H3165-M3165)*I3165,0)</f>
        <v/>
      </c>
      <c r="AF3165">
        <f>IF(G3165&lt;EDATE(Assumptions!$C$6,-12)+1,"prior_12m","last_12m")</f>
        <v/>
      </c>
      <c r="AG3165" s="21">
        <f>DATE(YEAR(G3165),MONTH(G3165),1)</f>
        <v/>
      </c>
    </row>
    <row r="3166">
      <c r="A3166" t="inlineStr">
        <is>
          <t>SPO-01694-1</t>
        </is>
      </c>
      <c r="B3166" t="inlineStr">
        <is>
          <t>SPO-01694</t>
        </is>
      </c>
      <c r="C3166" t="inlineStr">
        <is>
          <t>SUP-01</t>
        </is>
      </c>
      <c r="D3166" t="inlineStr">
        <is>
          <t>ELEC</t>
        </is>
      </c>
      <c r="E3166" t="inlineStr">
        <is>
          <t>ELEC-05</t>
        </is>
      </c>
      <c r="F3166" s="17" t="n">
        <v>46041</v>
      </c>
      <c r="G3166" s="17" t="n">
        <v>46059</v>
      </c>
      <c r="H3166" s="18" t="n">
        <v>161</v>
      </c>
      <c r="I3166" s="19" t="n">
        <v>11.08</v>
      </c>
      <c r="J3166" s="19" t="n">
        <v>11.5</v>
      </c>
      <c r="K3166" s="20" t="n">
        <v>0</v>
      </c>
      <c r="L3166" s="20" t="n">
        <v>0</v>
      </c>
      <c r="M3166" s="18" t="n">
        <v>161</v>
      </c>
      <c r="N3166" s="18" t="n">
        <v>0</v>
      </c>
      <c r="O3166" s="18" t="n">
        <v>0</v>
      </c>
      <c r="P3166" s="17" t="n">
        <v>46060</v>
      </c>
      <c r="Q3166" s="17" t="n">
        <v>46060</v>
      </c>
      <c r="R3166" s="17" t="n">
        <v>46060</v>
      </c>
      <c r="S3166" s="19">
        <f>H3166*I3166</f>
        <v/>
      </c>
      <c r="T3166" s="19">
        <f>H3166*J3166</f>
        <v/>
      </c>
      <c r="U3166">
        <f>IF(AND(K3166=0,G3166&lt;=Assumptions!$C$6),1,0)</f>
        <v/>
      </c>
      <c r="V3166">
        <f>IF(U3166=1,IF(M3166&gt;0,IF(P3166&lt;=G3166+Assumptions!$C$7,1,0),0),0)</f>
        <v/>
      </c>
      <c r="W3166">
        <f>IF(AND(U3166=1,M3166&gt;=H3166*(1-Assumptions!$C$8)),1,0)</f>
        <v/>
      </c>
      <c r="X3166">
        <f>IF(AND(U3166=1,N3166&gt;=H3166*(1-Assumptions!$C$8)),1,0)</f>
        <v/>
      </c>
      <c r="Y3166">
        <f>IF(ISNUMBER(Q3166),1,0)</f>
        <v/>
      </c>
      <c r="Z3166">
        <f>IF(AND(K3166=0,L3166=0,Y3166=0),1,0)</f>
        <v/>
      </c>
      <c r="AA3166">
        <f>IF(AND(Z3166=1,G3166&lt;Assumptions!$C$6),1,0)</f>
        <v/>
      </c>
      <c r="AB3166">
        <f>IF(U3166=0,"",IF(Y3166=1,MAX(0,Q3166-G3166),IF(L3166=1,MAX(0,R3166-G3166),MAX(0,Assumptions!$C$6-G3166))))</f>
        <v/>
      </c>
      <c r="AC3166">
        <f>IF(Y3166=1,Q3166-F3166,"")</f>
        <v/>
      </c>
      <c r="AD3166">
        <f>IF(Y3166=1,AC3166^2,"")</f>
        <v/>
      </c>
      <c r="AE3166" s="19">
        <f>IF(Z3166=1,(H3166-M3166)*I3166,0)</f>
        <v/>
      </c>
      <c r="AF3166">
        <f>IF(G3166&lt;EDATE(Assumptions!$C$6,-12)+1,"prior_12m","last_12m")</f>
        <v/>
      </c>
      <c r="AG3166" s="21">
        <f>DATE(YEAR(G3166),MONTH(G3166),1)</f>
        <v/>
      </c>
    </row>
    <row r="3167">
      <c r="A3167" t="inlineStr">
        <is>
          <t>SPO-01694-2</t>
        </is>
      </c>
      <c r="B3167" t="inlineStr">
        <is>
          <t>SPO-01694</t>
        </is>
      </c>
      <c r="C3167" t="inlineStr">
        <is>
          <t>SUP-01</t>
        </is>
      </c>
      <c r="D3167" t="inlineStr">
        <is>
          <t>ELEC</t>
        </is>
      </c>
      <c r="E3167" t="inlineStr">
        <is>
          <t>ELEC-01</t>
        </is>
      </c>
      <c r="F3167" s="17" t="n">
        <v>46041</v>
      </c>
      <c r="G3167" s="17" t="n">
        <v>46059</v>
      </c>
      <c r="H3167" s="18" t="n">
        <v>67</v>
      </c>
      <c r="I3167" s="19" t="n">
        <v>38.43</v>
      </c>
      <c r="J3167" s="19" t="n">
        <v>38</v>
      </c>
      <c r="K3167" s="20" t="n">
        <v>0</v>
      </c>
      <c r="L3167" s="20" t="n">
        <v>0</v>
      </c>
      <c r="M3167" s="18" t="n">
        <v>67</v>
      </c>
      <c r="N3167" s="18" t="n">
        <v>67</v>
      </c>
      <c r="O3167" s="18" t="n">
        <v>0</v>
      </c>
      <c r="P3167" s="17" t="n">
        <v>46057</v>
      </c>
      <c r="Q3167" s="17" t="n">
        <v>46057</v>
      </c>
      <c r="R3167" s="17" t="n">
        <v>46057</v>
      </c>
      <c r="S3167" s="19">
        <f>H3167*I3167</f>
        <v/>
      </c>
      <c r="T3167" s="19">
        <f>H3167*J3167</f>
        <v/>
      </c>
      <c r="U3167">
        <f>IF(AND(K3167=0,G3167&lt;=Assumptions!$C$6),1,0)</f>
        <v/>
      </c>
      <c r="V3167">
        <f>IF(U3167=1,IF(M3167&gt;0,IF(P3167&lt;=G3167+Assumptions!$C$7,1,0),0),0)</f>
        <v/>
      </c>
      <c r="W3167">
        <f>IF(AND(U3167=1,M3167&gt;=H3167*(1-Assumptions!$C$8)),1,0)</f>
        <v/>
      </c>
      <c r="X3167">
        <f>IF(AND(U3167=1,N3167&gt;=H3167*(1-Assumptions!$C$8)),1,0)</f>
        <v/>
      </c>
      <c r="Y3167">
        <f>IF(ISNUMBER(Q3167),1,0)</f>
        <v/>
      </c>
      <c r="Z3167">
        <f>IF(AND(K3167=0,L3167=0,Y3167=0),1,0)</f>
        <v/>
      </c>
      <c r="AA3167">
        <f>IF(AND(Z3167=1,G3167&lt;Assumptions!$C$6),1,0)</f>
        <v/>
      </c>
      <c r="AB3167">
        <f>IF(U3167=0,"",IF(Y3167=1,MAX(0,Q3167-G3167),IF(L3167=1,MAX(0,R3167-G3167),MAX(0,Assumptions!$C$6-G3167))))</f>
        <v/>
      </c>
      <c r="AC3167">
        <f>IF(Y3167=1,Q3167-F3167,"")</f>
        <v/>
      </c>
      <c r="AD3167">
        <f>IF(Y3167=1,AC3167^2,"")</f>
        <v/>
      </c>
      <c r="AE3167" s="19">
        <f>IF(Z3167=1,(H3167-M3167)*I3167,0)</f>
        <v/>
      </c>
      <c r="AF3167">
        <f>IF(G3167&lt;EDATE(Assumptions!$C$6,-12)+1,"prior_12m","last_12m")</f>
        <v/>
      </c>
      <c r="AG3167" s="21">
        <f>DATE(YEAR(G3167),MONTH(G3167),1)</f>
        <v/>
      </c>
    </row>
    <row r="3168">
      <c r="A3168" t="inlineStr">
        <is>
          <t>SPO-01695-1</t>
        </is>
      </c>
      <c r="B3168" t="inlineStr">
        <is>
          <t>SPO-01695</t>
        </is>
      </c>
      <c r="C3168" t="inlineStr">
        <is>
          <t>SUP-01</t>
        </is>
      </c>
      <c r="D3168" t="inlineStr">
        <is>
          <t>ELEC</t>
        </is>
      </c>
      <c r="E3168" t="inlineStr">
        <is>
          <t>ELEC-06</t>
        </is>
      </c>
      <c r="F3168" s="17" t="n">
        <v>46041</v>
      </c>
      <c r="G3168" s="17" t="n">
        <v>46059</v>
      </c>
      <c r="H3168" s="18" t="n">
        <v>21</v>
      </c>
      <c r="I3168" s="19" t="n">
        <v>144.71</v>
      </c>
      <c r="J3168" s="19" t="n">
        <v>145</v>
      </c>
      <c r="K3168" s="20" t="n">
        <v>0</v>
      </c>
      <c r="L3168" s="20" t="n">
        <v>0</v>
      </c>
      <c r="M3168" s="18" t="n">
        <v>21</v>
      </c>
      <c r="N3168" s="18" t="n">
        <v>21</v>
      </c>
      <c r="O3168" s="18" t="n">
        <v>0</v>
      </c>
      <c r="P3168" s="17" t="n">
        <v>46051</v>
      </c>
      <c r="Q3168" s="17" t="n">
        <v>46051</v>
      </c>
      <c r="R3168" s="17" t="n">
        <v>46051</v>
      </c>
      <c r="S3168" s="19">
        <f>H3168*I3168</f>
        <v/>
      </c>
      <c r="T3168" s="19">
        <f>H3168*J3168</f>
        <v/>
      </c>
      <c r="U3168">
        <f>IF(AND(K3168=0,G3168&lt;=Assumptions!$C$6),1,0)</f>
        <v/>
      </c>
      <c r="V3168">
        <f>IF(U3168=1,IF(M3168&gt;0,IF(P3168&lt;=G3168+Assumptions!$C$7,1,0),0),0)</f>
        <v/>
      </c>
      <c r="W3168">
        <f>IF(AND(U3168=1,M3168&gt;=H3168*(1-Assumptions!$C$8)),1,0)</f>
        <v/>
      </c>
      <c r="X3168">
        <f>IF(AND(U3168=1,N3168&gt;=H3168*(1-Assumptions!$C$8)),1,0)</f>
        <v/>
      </c>
      <c r="Y3168">
        <f>IF(ISNUMBER(Q3168),1,0)</f>
        <v/>
      </c>
      <c r="Z3168">
        <f>IF(AND(K3168=0,L3168=0,Y3168=0),1,0)</f>
        <v/>
      </c>
      <c r="AA3168">
        <f>IF(AND(Z3168=1,G3168&lt;Assumptions!$C$6),1,0)</f>
        <v/>
      </c>
      <c r="AB3168">
        <f>IF(U3168=0,"",IF(Y3168=1,MAX(0,Q3168-G3168),IF(L3168=1,MAX(0,R3168-G3168),MAX(0,Assumptions!$C$6-G3168))))</f>
        <v/>
      </c>
      <c r="AC3168">
        <f>IF(Y3168=1,Q3168-F3168,"")</f>
        <v/>
      </c>
      <c r="AD3168">
        <f>IF(Y3168=1,AC3168^2,"")</f>
        <v/>
      </c>
      <c r="AE3168" s="19">
        <f>IF(Z3168=1,(H3168-M3168)*I3168,0)</f>
        <v/>
      </c>
      <c r="AF3168">
        <f>IF(G3168&lt;EDATE(Assumptions!$C$6,-12)+1,"prior_12m","last_12m")</f>
        <v/>
      </c>
      <c r="AG3168" s="21">
        <f>DATE(YEAR(G3168),MONTH(G3168),1)</f>
        <v/>
      </c>
    </row>
    <row r="3169">
      <c r="A3169" t="inlineStr">
        <is>
          <t>SPO-01695-2</t>
        </is>
      </c>
      <c r="B3169" t="inlineStr">
        <is>
          <t>SPO-01695</t>
        </is>
      </c>
      <c r="C3169" t="inlineStr">
        <is>
          <t>SUP-01</t>
        </is>
      </c>
      <c r="D3169" t="inlineStr">
        <is>
          <t>ELEC</t>
        </is>
      </c>
      <c r="E3169" t="inlineStr">
        <is>
          <t>ELEC-01</t>
        </is>
      </c>
      <c r="F3169" s="17" t="n">
        <v>46041</v>
      </c>
      <c r="G3169" s="17" t="n">
        <v>46059</v>
      </c>
      <c r="H3169" s="18" t="n">
        <v>37</v>
      </c>
      <c r="I3169" s="19" t="n">
        <v>36.94</v>
      </c>
      <c r="J3169" s="19" t="n">
        <v>38</v>
      </c>
      <c r="K3169" s="20" t="n">
        <v>0</v>
      </c>
      <c r="L3169" s="20" t="n">
        <v>0</v>
      </c>
      <c r="M3169" s="18" t="n">
        <v>37</v>
      </c>
      <c r="N3169" s="18" t="n">
        <v>0</v>
      </c>
      <c r="O3169" s="18" t="n">
        <v>0</v>
      </c>
      <c r="P3169" s="17" t="n">
        <v>46063</v>
      </c>
      <c r="Q3169" s="17" t="n">
        <v>46063</v>
      </c>
      <c r="R3169" s="17" t="n">
        <v>46063</v>
      </c>
      <c r="S3169" s="19">
        <f>H3169*I3169</f>
        <v/>
      </c>
      <c r="T3169" s="19">
        <f>H3169*J3169</f>
        <v/>
      </c>
      <c r="U3169">
        <f>IF(AND(K3169=0,G3169&lt;=Assumptions!$C$6),1,0)</f>
        <v/>
      </c>
      <c r="V3169">
        <f>IF(U3169=1,IF(M3169&gt;0,IF(P3169&lt;=G3169+Assumptions!$C$7,1,0),0),0)</f>
        <v/>
      </c>
      <c r="W3169">
        <f>IF(AND(U3169=1,M3169&gt;=H3169*(1-Assumptions!$C$8)),1,0)</f>
        <v/>
      </c>
      <c r="X3169">
        <f>IF(AND(U3169=1,N3169&gt;=H3169*(1-Assumptions!$C$8)),1,0)</f>
        <v/>
      </c>
      <c r="Y3169">
        <f>IF(ISNUMBER(Q3169),1,0)</f>
        <v/>
      </c>
      <c r="Z3169">
        <f>IF(AND(K3169=0,L3169=0,Y3169=0),1,0)</f>
        <v/>
      </c>
      <c r="AA3169">
        <f>IF(AND(Z3169=1,G3169&lt;Assumptions!$C$6),1,0)</f>
        <v/>
      </c>
      <c r="AB3169">
        <f>IF(U3169=0,"",IF(Y3169=1,MAX(0,Q3169-G3169),IF(L3169=1,MAX(0,R3169-G3169),MAX(0,Assumptions!$C$6-G3169))))</f>
        <v/>
      </c>
      <c r="AC3169">
        <f>IF(Y3169=1,Q3169-F3169,"")</f>
        <v/>
      </c>
      <c r="AD3169">
        <f>IF(Y3169=1,AC3169^2,"")</f>
        <v/>
      </c>
      <c r="AE3169" s="19">
        <f>IF(Z3169=1,(H3169-M3169)*I3169,0)</f>
        <v/>
      </c>
      <c r="AF3169">
        <f>IF(G3169&lt;EDATE(Assumptions!$C$6,-12)+1,"prior_12m","last_12m")</f>
        <v/>
      </c>
      <c r="AG3169" s="21">
        <f>DATE(YEAR(G3169),MONTH(G3169),1)</f>
        <v/>
      </c>
    </row>
    <row r="3170">
      <c r="A3170" t="inlineStr">
        <is>
          <t>SPO-01696-1</t>
        </is>
      </c>
      <c r="B3170" t="inlineStr">
        <is>
          <t>SPO-01696</t>
        </is>
      </c>
      <c r="C3170" t="inlineStr">
        <is>
          <t>SUP-06</t>
        </is>
      </c>
      <c r="D3170" t="inlineStr">
        <is>
          <t>MRO</t>
        </is>
      </c>
      <c r="E3170" t="inlineStr">
        <is>
          <t>MRO-02</t>
        </is>
      </c>
      <c r="F3170" s="17" t="n">
        <v>46041</v>
      </c>
      <c r="G3170" s="17" t="n">
        <v>46049</v>
      </c>
      <c r="H3170" s="18" t="n">
        <v>22</v>
      </c>
      <c r="I3170" s="19" t="n">
        <v>42.18</v>
      </c>
      <c r="J3170" s="19" t="n">
        <v>41</v>
      </c>
      <c r="K3170" s="20" t="n">
        <v>0</v>
      </c>
      <c r="L3170" s="20" t="n">
        <v>0</v>
      </c>
      <c r="M3170" s="18" t="n">
        <v>22</v>
      </c>
      <c r="N3170" s="18" t="n">
        <v>22</v>
      </c>
      <c r="O3170" s="18" t="n">
        <v>0</v>
      </c>
      <c r="P3170" s="17" t="n">
        <v>46048</v>
      </c>
      <c r="Q3170" s="17" t="n">
        <v>46048</v>
      </c>
      <c r="R3170" s="17" t="n">
        <v>46048</v>
      </c>
      <c r="S3170" s="19">
        <f>H3170*I3170</f>
        <v/>
      </c>
      <c r="T3170" s="19">
        <f>H3170*J3170</f>
        <v/>
      </c>
      <c r="U3170">
        <f>IF(AND(K3170=0,G3170&lt;=Assumptions!$C$6),1,0)</f>
        <v/>
      </c>
      <c r="V3170">
        <f>IF(U3170=1,IF(M3170&gt;0,IF(P3170&lt;=G3170+Assumptions!$C$7,1,0),0),0)</f>
        <v/>
      </c>
      <c r="W3170">
        <f>IF(AND(U3170=1,M3170&gt;=H3170*(1-Assumptions!$C$8)),1,0)</f>
        <v/>
      </c>
      <c r="X3170">
        <f>IF(AND(U3170=1,N3170&gt;=H3170*(1-Assumptions!$C$8)),1,0)</f>
        <v/>
      </c>
      <c r="Y3170">
        <f>IF(ISNUMBER(Q3170),1,0)</f>
        <v/>
      </c>
      <c r="Z3170">
        <f>IF(AND(K3170=0,L3170=0,Y3170=0),1,0)</f>
        <v/>
      </c>
      <c r="AA3170">
        <f>IF(AND(Z3170=1,G3170&lt;Assumptions!$C$6),1,0)</f>
        <v/>
      </c>
      <c r="AB3170">
        <f>IF(U3170=0,"",IF(Y3170=1,MAX(0,Q3170-G3170),IF(L3170=1,MAX(0,R3170-G3170),MAX(0,Assumptions!$C$6-G3170))))</f>
        <v/>
      </c>
      <c r="AC3170">
        <f>IF(Y3170=1,Q3170-F3170,"")</f>
        <v/>
      </c>
      <c r="AD3170">
        <f>IF(Y3170=1,AC3170^2,"")</f>
        <v/>
      </c>
      <c r="AE3170" s="19">
        <f>IF(Z3170=1,(H3170-M3170)*I3170,0)</f>
        <v/>
      </c>
      <c r="AF3170">
        <f>IF(G3170&lt;EDATE(Assumptions!$C$6,-12)+1,"prior_12m","last_12m")</f>
        <v/>
      </c>
      <c r="AG3170" s="21">
        <f>DATE(YEAR(G3170),MONTH(G3170),1)</f>
        <v/>
      </c>
    </row>
    <row r="3171">
      <c r="A3171" t="inlineStr">
        <is>
          <t>SPO-01696-2</t>
        </is>
      </c>
      <c r="B3171" t="inlineStr">
        <is>
          <t>SPO-01696</t>
        </is>
      </c>
      <c r="C3171" t="inlineStr">
        <is>
          <t>SUP-06</t>
        </is>
      </c>
      <c r="D3171" t="inlineStr">
        <is>
          <t>MRO</t>
        </is>
      </c>
      <c r="E3171" t="inlineStr">
        <is>
          <t>MRO-04</t>
        </is>
      </c>
      <c r="F3171" s="17" t="n">
        <v>46041</v>
      </c>
      <c r="G3171" s="17" t="n">
        <v>46049</v>
      </c>
      <c r="H3171" s="18" t="n">
        <v>21</v>
      </c>
      <c r="I3171" s="19" t="n">
        <v>60.06</v>
      </c>
      <c r="J3171" s="19" t="n">
        <v>58</v>
      </c>
      <c r="K3171" s="20" t="n">
        <v>0</v>
      </c>
      <c r="L3171" s="20" t="n">
        <v>0</v>
      </c>
      <c r="M3171" s="18" t="n">
        <v>21</v>
      </c>
      <c r="N3171" s="18" t="n">
        <v>21</v>
      </c>
      <c r="O3171" s="18" t="n">
        <v>0</v>
      </c>
      <c r="P3171" s="17" t="n">
        <v>46046</v>
      </c>
      <c r="Q3171" s="17" t="n">
        <v>46046</v>
      </c>
      <c r="R3171" s="17" t="n">
        <v>46046</v>
      </c>
      <c r="S3171" s="19">
        <f>H3171*I3171</f>
        <v/>
      </c>
      <c r="T3171" s="19">
        <f>H3171*J3171</f>
        <v/>
      </c>
      <c r="U3171">
        <f>IF(AND(K3171=0,G3171&lt;=Assumptions!$C$6),1,0)</f>
        <v/>
      </c>
      <c r="V3171">
        <f>IF(U3171=1,IF(M3171&gt;0,IF(P3171&lt;=G3171+Assumptions!$C$7,1,0),0),0)</f>
        <v/>
      </c>
      <c r="W3171">
        <f>IF(AND(U3171=1,M3171&gt;=H3171*(1-Assumptions!$C$8)),1,0)</f>
        <v/>
      </c>
      <c r="X3171">
        <f>IF(AND(U3171=1,N3171&gt;=H3171*(1-Assumptions!$C$8)),1,0)</f>
        <v/>
      </c>
      <c r="Y3171">
        <f>IF(ISNUMBER(Q3171),1,0)</f>
        <v/>
      </c>
      <c r="Z3171">
        <f>IF(AND(K3171=0,L3171=0,Y3171=0),1,0)</f>
        <v/>
      </c>
      <c r="AA3171">
        <f>IF(AND(Z3171=1,G3171&lt;Assumptions!$C$6),1,0)</f>
        <v/>
      </c>
      <c r="AB3171">
        <f>IF(U3171=0,"",IF(Y3171=1,MAX(0,Q3171-G3171),IF(L3171=1,MAX(0,R3171-G3171),MAX(0,Assumptions!$C$6-G3171))))</f>
        <v/>
      </c>
      <c r="AC3171">
        <f>IF(Y3171=1,Q3171-F3171,"")</f>
        <v/>
      </c>
      <c r="AD3171">
        <f>IF(Y3171=1,AC3171^2,"")</f>
        <v/>
      </c>
      <c r="AE3171" s="19">
        <f>IF(Z3171=1,(H3171-M3171)*I3171,0)</f>
        <v/>
      </c>
      <c r="AF3171">
        <f>IF(G3171&lt;EDATE(Assumptions!$C$6,-12)+1,"prior_12m","last_12m")</f>
        <v/>
      </c>
      <c r="AG3171" s="21">
        <f>DATE(YEAR(G3171),MONTH(G3171),1)</f>
        <v/>
      </c>
    </row>
    <row r="3172">
      <c r="A3172" t="inlineStr">
        <is>
          <t>SPO-01696-3</t>
        </is>
      </c>
      <c r="B3172" t="inlineStr">
        <is>
          <t>SPO-01696</t>
        </is>
      </c>
      <c r="C3172" t="inlineStr">
        <is>
          <t>SUP-06</t>
        </is>
      </c>
      <c r="D3172" t="inlineStr">
        <is>
          <t>MRO</t>
        </is>
      </c>
      <c r="E3172" t="inlineStr">
        <is>
          <t>MRO-05</t>
        </is>
      </c>
      <c r="F3172" s="17" t="n">
        <v>46041</v>
      </c>
      <c r="G3172" s="17" t="n">
        <v>46049</v>
      </c>
      <c r="H3172" s="18" t="n">
        <v>70</v>
      </c>
      <c r="I3172" s="19" t="n">
        <v>35.87</v>
      </c>
      <c r="J3172" s="19" t="n">
        <v>36</v>
      </c>
      <c r="K3172" s="20" t="n">
        <v>0</v>
      </c>
      <c r="L3172" s="20" t="n">
        <v>0</v>
      </c>
      <c r="M3172" s="18" t="n">
        <v>70</v>
      </c>
      <c r="N3172" s="18" t="n">
        <v>70</v>
      </c>
      <c r="O3172" s="18" t="n">
        <v>0</v>
      </c>
      <c r="P3172" s="17" t="n">
        <v>46047</v>
      </c>
      <c r="Q3172" s="17" t="n">
        <v>46047</v>
      </c>
      <c r="R3172" s="17" t="n">
        <v>46047</v>
      </c>
      <c r="S3172" s="19">
        <f>H3172*I3172</f>
        <v/>
      </c>
      <c r="T3172" s="19">
        <f>H3172*J3172</f>
        <v/>
      </c>
      <c r="U3172">
        <f>IF(AND(K3172=0,G3172&lt;=Assumptions!$C$6),1,0)</f>
        <v/>
      </c>
      <c r="V3172">
        <f>IF(U3172=1,IF(M3172&gt;0,IF(P3172&lt;=G3172+Assumptions!$C$7,1,0),0),0)</f>
        <v/>
      </c>
      <c r="W3172">
        <f>IF(AND(U3172=1,M3172&gt;=H3172*(1-Assumptions!$C$8)),1,0)</f>
        <v/>
      </c>
      <c r="X3172">
        <f>IF(AND(U3172=1,N3172&gt;=H3172*(1-Assumptions!$C$8)),1,0)</f>
        <v/>
      </c>
      <c r="Y3172">
        <f>IF(ISNUMBER(Q3172),1,0)</f>
        <v/>
      </c>
      <c r="Z3172">
        <f>IF(AND(K3172=0,L3172=0,Y3172=0),1,0)</f>
        <v/>
      </c>
      <c r="AA3172">
        <f>IF(AND(Z3172=1,G3172&lt;Assumptions!$C$6),1,0)</f>
        <v/>
      </c>
      <c r="AB3172">
        <f>IF(U3172=0,"",IF(Y3172=1,MAX(0,Q3172-G3172),IF(L3172=1,MAX(0,R3172-G3172),MAX(0,Assumptions!$C$6-G3172))))</f>
        <v/>
      </c>
      <c r="AC3172">
        <f>IF(Y3172=1,Q3172-F3172,"")</f>
        <v/>
      </c>
      <c r="AD3172">
        <f>IF(Y3172=1,AC3172^2,"")</f>
        <v/>
      </c>
      <c r="AE3172" s="19">
        <f>IF(Z3172=1,(H3172-M3172)*I3172,0)</f>
        <v/>
      </c>
      <c r="AF3172">
        <f>IF(G3172&lt;EDATE(Assumptions!$C$6,-12)+1,"prior_12m","last_12m")</f>
        <v/>
      </c>
      <c r="AG3172" s="21">
        <f>DATE(YEAR(G3172),MONTH(G3172),1)</f>
        <v/>
      </c>
    </row>
    <row r="3173">
      <c r="A3173" t="inlineStr">
        <is>
          <t>SPO-01697-1</t>
        </is>
      </c>
      <c r="B3173" t="inlineStr">
        <is>
          <t>SPO-01697</t>
        </is>
      </c>
      <c r="C3173" t="inlineStr">
        <is>
          <t>SUP-10</t>
        </is>
      </c>
      <c r="D3173" t="inlineStr">
        <is>
          <t>PPE</t>
        </is>
      </c>
      <c r="E3173" t="inlineStr">
        <is>
          <t>PPE-04</t>
        </is>
      </c>
      <c r="F3173" s="17" t="n">
        <v>46042</v>
      </c>
      <c r="G3173" s="17" t="n">
        <v>46055</v>
      </c>
      <c r="H3173" s="18" t="n">
        <v>29</v>
      </c>
      <c r="I3173" s="19" t="n">
        <v>23.89</v>
      </c>
      <c r="J3173" s="19" t="n">
        <v>26</v>
      </c>
      <c r="K3173" s="20" t="n">
        <v>0</v>
      </c>
      <c r="L3173" s="20" t="n">
        <v>0</v>
      </c>
      <c r="M3173" s="18" t="n">
        <v>29</v>
      </c>
      <c r="N3173" s="18" t="n">
        <v>29</v>
      </c>
      <c r="O3173" s="18" t="n">
        <v>0</v>
      </c>
      <c r="P3173" s="17" t="n">
        <v>46054</v>
      </c>
      <c r="Q3173" s="17" t="n">
        <v>46054</v>
      </c>
      <c r="R3173" s="17" t="n">
        <v>46054</v>
      </c>
      <c r="S3173" s="19">
        <f>H3173*I3173</f>
        <v/>
      </c>
      <c r="T3173" s="19">
        <f>H3173*J3173</f>
        <v/>
      </c>
      <c r="U3173">
        <f>IF(AND(K3173=0,G3173&lt;=Assumptions!$C$6),1,0)</f>
        <v/>
      </c>
      <c r="V3173">
        <f>IF(U3173=1,IF(M3173&gt;0,IF(P3173&lt;=G3173+Assumptions!$C$7,1,0),0),0)</f>
        <v/>
      </c>
      <c r="W3173">
        <f>IF(AND(U3173=1,M3173&gt;=H3173*(1-Assumptions!$C$8)),1,0)</f>
        <v/>
      </c>
      <c r="X3173">
        <f>IF(AND(U3173=1,N3173&gt;=H3173*(1-Assumptions!$C$8)),1,0)</f>
        <v/>
      </c>
      <c r="Y3173">
        <f>IF(ISNUMBER(Q3173),1,0)</f>
        <v/>
      </c>
      <c r="Z3173">
        <f>IF(AND(K3173=0,L3173=0,Y3173=0),1,0)</f>
        <v/>
      </c>
      <c r="AA3173">
        <f>IF(AND(Z3173=1,G3173&lt;Assumptions!$C$6),1,0)</f>
        <v/>
      </c>
      <c r="AB3173">
        <f>IF(U3173=0,"",IF(Y3173=1,MAX(0,Q3173-G3173),IF(L3173=1,MAX(0,R3173-G3173),MAX(0,Assumptions!$C$6-G3173))))</f>
        <v/>
      </c>
      <c r="AC3173">
        <f>IF(Y3173=1,Q3173-F3173,"")</f>
        <v/>
      </c>
      <c r="AD3173">
        <f>IF(Y3173=1,AC3173^2,"")</f>
        <v/>
      </c>
      <c r="AE3173" s="19">
        <f>IF(Z3173=1,(H3173-M3173)*I3173,0)</f>
        <v/>
      </c>
      <c r="AF3173">
        <f>IF(G3173&lt;EDATE(Assumptions!$C$6,-12)+1,"prior_12m","last_12m")</f>
        <v/>
      </c>
      <c r="AG3173" s="21">
        <f>DATE(YEAR(G3173),MONTH(G3173),1)</f>
        <v/>
      </c>
    </row>
    <row r="3174">
      <c r="A3174" t="inlineStr">
        <is>
          <t>SPO-01698-1</t>
        </is>
      </c>
      <c r="B3174" t="inlineStr">
        <is>
          <t>SPO-01698</t>
        </is>
      </c>
      <c r="C3174" t="inlineStr">
        <is>
          <t>SUP-04</t>
        </is>
      </c>
      <c r="D3174" t="inlineStr">
        <is>
          <t>FLEET</t>
        </is>
      </c>
      <c r="E3174" t="inlineStr">
        <is>
          <t>FLEET-03</t>
        </is>
      </c>
      <c r="F3174" s="17" t="n">
        <v>46042</v>
      </c>
      <c r="G3174" s="17" t="n">
        <v>46055</v>
      </c>
      <c r="H3174" s="18" t="n">
        <v>62</v>
      </c>
      <c r="I3174" s="19" t="n">
        <v>20.6</v>
      </c>
      <c r="J3174" s="19" t="n">
        <v>21</v>
      </c>
      <c r="K3174" s="20" t="n">
        <v>0</v>
      </c>
      <c r="L3174" s="20" t="n">
        <v>0</v>
      </c>
      <c r="M3174" s="18" t="n">
        <v>62</v>
      </c>
      <c r="N3174" s="18" t="n">
        <v>0</v>
      </c>
      <c r="O3174" s="18" t="n">
        <v>0</v>
      </c>
      <c r="P3174" s="17" t="n">
        <v>46058</v>
      </c>
      <c r="Q3174" s="17" t="n">
        <v>46058</v>
      </c>
      <c r="R3174" s="17" t="n">
        <v>46058</v>
      </c>
      <c r="S3174" s="19">
        <f>H3174*I3174</f>
        <v/>
      </c>
      <c r="T3174" s="19">
        <f>H3174*J3174</f>
        <v/>
      </c>
      <c r="U3174">
        <f>IF(AND(K3174=0,G3174&lt;=Assumptions!$C$6),1,0)</f>
        <v/>
      </c>
      <c r="V3174">
        <f>IF(U3174=1,IF(M3174&gt;0,IF(P3174&lt;=G3174+Assumptions!$C$7,1,0),0),0)</f>
        <v/>
      </c>
      <c r="W3174">
        <f>IF(AND(U3174=1,M3174&gt;=H3174*(1-Assumptions!$C$8)),1,0)</f>
        <v/>
      </c>
      <c r="X3174">
        <f>IF(AND(U3174=1,N3174&gt;=H3174*(1-Assumptions!$C$8)),1,0)</f>
        <v/>
      </c>
      <c r="Y3174">
        <f>IF(ISNUMBER(Q3174),1,0)</f>
        <v/>
      </c>
      <c r="Z3174">
        <f>IF(AND(K3174=0,L3174=0,Y3174=0),1,0)</f>
        <v/>
      </c>
      <c r="AA3174">
        <f>IF(AND(Z3174=1,G3174&lt;Assumptions!$C$6),1,0)</f>
        <v/>
      </c>
      <c r="AB3174">
        <f>IF(U3174=0,"",IF(Y3174=1,MAX(0,Q3174-G3174),IF(L3174=1,MAX(0,R3174-G3174),MAX(0,Assumptions!$C$6-G3174))))</f>
        <v/>
      </c>
      <c r="AC3174">
        <f>IF(Y3174=1,Q3174-F3174,"")</f>
        <v/>
      </c>
      <c r="AD3174">
        <f>IF(Y3174=1,AC3174^2,"")</f>
        <v/>
      </c>
      <c r="AE3174" s="19">
        <f>IF(Z3174=1,(H3174-M3174)*I3174,0)</f>
        <v/>
      </c>
      <c r="AF3174">
        <f>IF(G3174&lt;EDATE(Assumptions!$C$6,-12)+1,"prior_12m","last_12m")</f>
        <v/>
      </c>
      <c r="AG3174" s="21">
        <f>DATE(YEAR(G3174),MONTH(G3174),1)</f>
        <v/>
      </c>
    </row>
    <row r="3175">
      <c r="A3175" t="inlineStr">
        <is>
          <t>SPO-01699-1</t>
        </is>
      </c>
      <c r="B3175" t="inlineStr">
        <is>
          <t>SPO-01699</t>
        </is>
      </c>
      <c r="C3175" t="inlineStr">
        <is>
          <t>SUP-05</t>
        </is>
      </c>
      <c r="D3175" t="inlineStr">
        <is>
          <t>FLEET</t>
        </is>
      </c>
      <c r="E3175" t="inlineStr">
        <is>
          <t>FLEET-07</t>
        </is>
      </c>
      <c r="F3175" s="17" t="n">
        <v>46042</v>
      </c>
      <c r="G3175" s="17" t="n">
        <v>46056</v>
      </c>
      <c r="H3175" s="18" t="n">
        <v>29</v>
      </c>
      <c r="I3175" s="19" t="n">
        <v>117.45</v>
      </c>
      <c r="J3175" s="19" t="n">
        <v>118</v>
      </c>
      <c r="K3175" s="20" t="n">
        <v>0</v>
      </c>
      <c r="L3175" s="20" t="n">
        <v>0</v>
      </c>
      <c r="M3175" s="18" t="n">
        <v>29</v>
      </c>
      <c r="N3175" s="18" t="n">
        <v>29</v>
      </c>
      <c r="O3175" s="18" t="n">
        <v>0</v>
      </c>
      <c r="P3175" s="17" t="n">
        <v>46052</v>
      </c>
      <c r="Q3175" s="17" t="n">
        <v>46052</v>
      </c>
      <c r="R3175" s="17" t="n">
        <v>46052</v>
      </c>
      <c r="S3175" s="19">
        <f>H3175*I3175</f>
        <v/>
      </c>
      <c r="T3175" s="19">
        <f>H3175*J3175</f>
        <v/>
      </c>
      <c r="U3175">
        <f>IF(AND(K3175=0,G3175&lt;=Assumptions!$C$6),1,0)</f>
        <v/>
      </c>
      <c r="V3175">
        <f>IF(U3175=1,IF(M3175&gt;0,IF(P3175&lt;=G3175+Assumptions!$C$7,1,0),0),0)</f>
        <v/>
      </c>
      <c r="W3175">
        <f>IF(AND(U3175=1,M3175&gt;=H3175*(1-Assumptions!$C$8)),1,0)</f>
        <v/>
      </c>
      <c r="X3175">
        <f>IF(AND(U3175=1,N3175&gt;=H3175*(1-Assumptions!$C$8)),1,0)</f>
        <v/>
      </c>
      <c r="Y3175">
        <f>IF(ISNUMBER(Q3175),1,0)</f>
        <v/>
      </c>
      <c r="Z3175">
        <f>IF(AND(K3175=0,L3175=0,Y3175=0),1,0)</f>
        <v/>
      </c>
      <c r="AA3175">
        <f>IF(AND(Z3175=1,G3175&lt;Assumptions!$C$6),1,0)</f>
        <v/>
      </c>
      <c r="AB3175">
        <f>IF(U3175=0,"",IF(Y3175=1,MAX(0,Q3175-G3175),IF(L3175=1,MAX(0,R3175-G3175),MAX(0,Assumptions!$C$6-G3175))))</f>
        <v/>
      </c>
      <c r="AC3175">
        <f>IF(Y3175=1,Q3175-F3175,"")</f>
        <v/>
      </c>
      <c r="AD3175">
        <f>IF(Y3175=1,AC3175^2,"")</f>
        <v/>
      </c>
      <c r="AE3175" s="19">
        <f>IF(Z3175=1,(H3175-M3175)*I3175,0)</f>
        <v/>
      </c>
      <c r="AF3175">
        <f>IF(G3175&lt;EDATE(Assumptions!$C$6,-12)+1,"prior_12m","last_12m")</f>
        <v/>
      </c>
      <c r="AG3175" s="21">
        <f>DATE(YEAR(G3175),MONTH(G3175),1)</f>
        <v/>
      </c>
    </row>
    <row r="3176">
      <c r="A3176" t="inlineStr">
        <is>
          <t>SPO-01699-2</t>
        </is>
      </c>
      <c r="B3176" t="inlineStr">
        <is>
          <t>SPO-01699</t>
        </is>
      </c>
      <c r="C3176" t="inlineStr">
        <is>
          <t>SUP-05</t>
        </is>
      </c>
      <c r="D3176" t="inlineStr">
        <is>
          <t>FLEET</t>
        </is>
      </c>
      <c r="E3176" t="inlineStr">
        <is>
          <t>FLEET-01</t>
        </is>
      </c>
      <c r="F3176" s="17" t="n">
        <v>46042</v>
      </c>
      <c r="G3176" s="17" t="n">
        <v>46056</v>
      </c>
      <c r="H3176" s="18" t="n">
        <v>20</v>
      </c>
      <c r="I3176" s="19" t="n">
        <v>65.48</v>
      </c>
      <c r="J3176" s="19" t="n">
        <v>64</v>
      </c>
      <c r="K3176" s="20" t="n">
        <v>0</v>
      </c>
      <c r="L3176" s="20" t="n">
        <v>0</v>
      </c>
      <c r="M3176" s="18" t="n">
        <v>20</v>
      </c>
      <c r="N3176" s="18" t="n">
        <v>20</v>
      </c>
      <c r="O3176" s="18" t="n">
        <v>0</v>
      </c>
      <c r="P3176" s="17" t="n">
        <v>46050</v>
      </c>
      <c r="Q3176" s="17" t="n">
        <v>46050</v>
      </c>
      <c r="R3176" s="17" t="n">
        <v>46050</v>
      </c>
      <c r="S3176" s="19">
        <f>H3176*I3176</f>
        <v/>
      </c>
      <c r="T3176" s="19">
        <f>H3176*J3176</f>
        <v/>
      </c>
      <c r="U3176">
        <f>IF(AND(K3176=0,G3176&lt;=Assumptions!$C$6),1,0)</f>
        <v/>
      </c>
      <c r="V3176">
        <f>IF(U3176=1,IF(M3176&gt;0,IF(P3176&lt;=G3176+Assumptions!$C$7,1,0),0),0)</f>
        <v/>
      </c>
      <c r="W3176">
        <f>IF(AND(U3176=1,M3176&gt;=H3176*(1-Assumptions!$C$8)),1,0)</f>
        <v/>
      </c>
      <c r="X3176">
        <f>IF(AND(U3176=1,N3176&gt;=H3176*(1-Assumptions!$C$8)),1,0)</f>
        <v/>
      </c>
      <c r="Y3176">
        <f>IF(ISNUMBER(Q3176),1,0)</f>
        <v/>
      </c>
      <c r="Z3176">
        <f>IF(AND(K3176=0,L3176=0,Y3176=0),1,0)</f>
        <v/>
      </c>
      <c r="AA3176">
        <f>IF(AND(Z3176=1,G3176&lt;Assumptions!$C$6),1,0)</f>
        <v/>
      </c>
      <c r="AB3176">
        <f>IF(U3176=0,"",IF(Y3176=1,MAX(0,Q3176-G3176),IF(L3176=1,MAX(0,R3176-G3176),MAX(0,Assumptions!$C$6-G3176))))</f>
        <v/>
      </c>
      <c r="AC3176">
        <f>IF(Y3176=1,Q3176-F3176,"")</f>
        <v/>
      </c>
      <c r="AD3176">
        <f>IF(Y3176=1,AC3176^2,"")</f>
        <v/>
      </c>
      <c r="AE3176" s="19">
        <f>IF(Z3176=1,(H3176-M3176)*I3176,0)</f>
        <v/>
      </c>
      <c r="AF3176">
        <f>IF(G3176&lt;EDATE(Assumptions!$C$6,-12)+1,"prior_12m","last_12m")</f>
        <v/>
      </c>
      <c r="AG3176" s="21">
        <f>DATE(YEAR(G3176),MONTH(G3176),1)</f>
        <v/>
      </c>
    </row>
    <row r="3177">
      <c r="A3177" t="inlineStr">
        <is>
          <t>SPO-01700-1</t>
        </is>
      </c>
      <c r="B3177" t="inlineStr">
        <is>
          <t>SPO-01700</t>
        </is>
      </c>
      <c r="C3177" t="inlineStr">
        <is>
          <t>SUP-06</t>
        </is>
      </c>
      <c r="D3177" t="inlineStr">
        <is>
          <t>MRO</t>
        </is>
      </c>
      <c r="E3177" t="inlineStr">
        <is>
          <t>MRO-07</t>
        </is>
      </c>
      <c r="F3177" s="17" t="n">
        <v>46042</v>
      </c>
      <c r="G3177" s="17" t="n">
        <v>46050</v>
      </c>
      <c r="H3177" s="18" t="n">
        <v>168</v>
      </c>
      <c r="I3177" s="19" t="n">
        <v>14.69</v>
      </c>
      <c r="J3177" s="19" t="n">
        <v>14</v>
      </c>
      <c r="K3177" s="20" t="n">
        <v>0</v>
      </c>
      <c r="L3177" s="20" t="n">
        <v>0</v>
      </c>
      <c r="M3177" s="18" t="n">
        <v>168</v>
      </c>
      <c r="N3177" s="18" t="n">
        <v>168</v>
      </c>
      <c r="O3177" s="18" t="n">
        <v>0</v>
      </c>
      <c r="P3177" s="17" t="n">
        <v>46048</v>
      </c>
      <c r="Q3177" s="17" t="n">
        <v>46048</v>
      </c>
      <c r="R3177" s="17" t="n">
        <v>46048</v>
      </c>
      <c r="S3177" s="19">
        <f>H3177*I3177</f>
        <v/>
      </c>
      <c r="T3177" s="19">
        <f>H3177*J3177</f>
        <v/>
      </c>
      <c r="U3177">
        <f>IF(AND(K3177=0,G3177&lt;=Assumptions!$C$6),1,0)</f>
        <v/>
      </c>
      <c r="V3177">
        <f>IF(U3177=1,IF(M3177&gt;0,IF(P3177&lt;=G3177+Assumptions!$C$7,1,0),0),0)</f>
        <v/>
      </c>
      <c r="W3177">
        <f>IF(AND(U3177=1,M3177&gt;=H3177*(1-Assumptions!$C$8)),1,0)</f>
        <v/>
      </c>
      <c r="X3177">
        <f>IF(AND(U3177=1,N3177&gt;=H3177*(1-Assumptions!$C$8)),1,0)</f>
        <v/>
      </c>
      <c r="Y3177">
        <f>IF(ISNUMBER(Q3177),1,0)</f>
        <v/>
      </c>
      <c r="Z3177">
        <f>IF(AND(K3177=0,L3177=0,Y3177=0),1,0)</f>
        <v/>
      </c>
      <c r="AA3177">
        <f>IF(AND(Z3177=1,G3177&lt;Assumptions!$C$6),1,0)</f>
        <v/>
      </c>
      <c r="AB3177">
        <f>IF(U3177=0,"",IF(Y3177=1,MAX(0,Q3177-G3177),IF(L3177=1,MAX(0,R3177-G3177),MAX(0,Assumptions!$C$6-G3177))))</f>
        <v/>
      </c>
      <c r="AC3177">
        <f>IF(Y3177=1,Q3177-F3177,"")</f>
        <v/>
      </c>
      <c r="AD3177">
        <f>IF(Y3177=1,AC3177^2,"")</f>
        <v/>
      </c>
      <c r="AE3177" s="19">
        <f>IF(Z3177=1,(H3177-M3177)*I3177,0)</f>
        <v/>
      </c>
      <c r="AF3177">
        <f>IF(G3177&lt;EDATE(Assumptions!$C$6,-12)+1,"prior_12m","last_12m")</f>
        <v/>
      </c>
      <c r="AG3177" s="21">
        <f>DATE(YEAR(G3177),MONTH(G3177),1)</f>
        <v/>
      </c>
    </row>
    <row r="3178">
      <c r="A3178" t="inlineStr">
        <is>
          <t>SPO-01700-2</t>
        </is>
      </c>
      <c r="B3178" t="inlineStr">
        <is>
          <t>SPO-01700</t>
        </is>
      </c>
      <c r="C3178" t="inlineStr">
        <is>
          <t>SUP-06</t>
        </is>
      </c>
      <c r="D3178" t="inlineStr">
        <is>
          <t>MRO</t>
        </is>
      </c>
      <c r="E3178" t="inlineStr">
        <is>
          <t>MRO-06</t>
        </is>
      </c>
      <c r="F3178" s="17" t="n">
        <v>46042</v>
      </c>
      <c r="G3178" s="17" t="n">
        <v>46050</v>
      </c>
      <c r="H3178" s="18" t="n">
        <v>309</v>
      </c>
      <c r="I3178" s="19" t="n">
        <v>5.88</v>
      </c>
      <c r="J3178" s="19" t="n">
        <v>6.1</v>
      </c>
      <c r="K3178" s="20" t="n">
        <v>0</v>
      </c>
      <c r="L3178" s="20" t="n">
        <v>0</v>
      </c>
      <c r="M3178" s="18" t="n">
        <v>309</v>
      </c>
      <c r="N3178" s="18" t="n">
        <v>309</v>
      </c>
      <c r="O3178" s="18" t="n">
        <v>0</v>
      </c>
      <c r="P3178" s="17" t="n">
        <v>46048</v>
      </c>
      <c r="Q3178" s="17" t="n">
        <v>46048</v>
      </c>
      <c r="R3178" s="17" t="n">
        <v>46048</v>
      </c>
      <c r="S3178" s="19">
        <f>H3178*I3178</f>
        <v/>
      </c>
      <c r="T3178" s="19">
        <f>H3178*J3178</f>
        <v/>
      </c>
      <c r="U3178">
        <f>IF(AND(K3178=0,G3178&lt;=Assumptions!$C$6),1,0)</f>
        <v/>
      </c>
      <c r="V3178">
        <f>IF(U3178=1,IF(M3178&gt;0,IF(P3178&lt;=G3178+Assumptions!$C$7,1,0),0),0)</f>
        <v/>
      </c>
      <c r="W3178">
        <f>IF(AND(U3178=1,M3178&gt;=H3178*(1-Assumptions!$C$8)),1,0)</f>
        <v/>
      </c>
      <c r="X3178">
        <f>IF(AND(U3178=1,N3178&gt;=H3178*(1-Assumptions!$C$8)),1,0)</f>
        <v/>
      </c>
      <c r="Y3178">
        <f>IF(ISNUMBER(Q3178),1,0)</f>
        <v/>
      </c>
      <c r="Z3178">
        <f>IF(AND(K3178=0,L3178=0,Y3178=0),1,0)</f>
        <v/>
      </c>
      <c r="AA3178">
        <f>IF(AND(Z3178=1,G3178&lt;Assumptions!$C$6),1,0)</f>
        <v/>
      </c>
      <c r="AB3178">
        <f>IF(U3178=0,"",IF(Y3178=1,MAX(0,Q3178-G3178),IF(L3178=1,MAX(0,R3178-G3178),MAX(0,Assumptions!$C$6-G3178))))</f>
        <v/>
      </c>
      <c r="AC3178">
        <f>IF(Y3178=1,Q3178-F3178,"")</f>
        <v/>
      </c>
      <c r="AD3178">
        <f>IF(Y3178=1,AC3178^2,"")</f>
        <v/>
      </c>
      <c r="AE3178" s="19">
        <f>IF(Z3178=1,(H3178-M3178)*I3178,0)</f>
        <v/>
      </c>
      <c r="AF3178">
        <f>IF(G3178&lt;EDATE(Assumptions!$C$6,-12)+1,"prior_12m","last_12m")</f>
        <v/>
      </c>
      <c r="AG3178" s="21">
        <f>DATE(YEAR(G3178),MONTH(G3178),1)</f>
        <v/>
      </c>
    </row>
    <row r="3179">
      <c r="A3179" t="inlineStr">
        <is>
          <t>SPO-01701-1</t>
        </is>
      </c>
      <c r="B3179" t="inlineStr">
        <is>
          <t>SPO-01701</t>
        </is>
      </c>
      <c r="C3179" t="inlineStr">
        <is>
          <t>SUP-11</t>
        </is>
      </c>
      <c r="D3179" t="inlineStr">
        <is>
          <t>PPE</t>
        </is>
      </c>
      <c r="E3179" t="inlineStr">
        <is>
          <t>PPE-04</t>
        </is>
      </c>
      <c r="F3179" s="17" t="n">
        <v>46043</v>
      </c>
      <c r="G3179" s="17" t="n">
        <v>46055</v>
      </c>
      <c r="H3179" s="18" t="n">
        <v>65</v>
      </c>
      <c r="I3179" s="19" t="n">
        <v>25.51</v>
      </c>
      <c r="J3179" s="19" t="n">
        <v>26</v>
      </c>
      <c r="K3179" s="20" t="n">
        <v>0</v>
      </c>
      <c r="L3179" s="20" t="n">
        <v>0</v>
      </c>
      <c r="M3179" s="18" t="n">
        <v>65</v>
      </c>
      <c r="N3179" s="18" t="n">
        <v>65</v>
      </c>
      <c r="O3179" s="18" t="n">
        <v>0</v>
      </c>
      <c r="P3179" s="17" t="n">
        <v>46052</v>
      </c>
      <c r="Q3179" s="17" t="n">
        <v>46052</v>
      </c>
      <c r="R3179" s="17" t="n">
        <v>46052</v>
      </c>
      <c r="S3179" s="19">
        <f>H3179*I3179</f>
        <v/>
      </c>
      <c r="T3179" s="19">
        <f>H3179*J3179</f>
        <v/>
      </c>
      <c r="U3179">
        <f>IF(AND(K3179=0,G3179&lt;=Assumptions!$C$6),1,0)</f>
        <v/>
      </c>
      <c r="V3179">
        <f>IF(U3179=1,IF(M3179&gt;0,IF(P3179&lt;=G3179+Assumptions!$C$7,1,0),0),0)</f>
        <v/>
      </c>
      <c r="W3179">
        <f>IF(AND(U3179=1,M3179&gt;=H3179*(1-Assumptions!$C$8)),1,0)</f>
        <v/>
      </c>
      <c r="X3179">
        <f>IF(AND(U3179=1,N3179&gt;=H3179*(1-Assumptions!$C$8)),1,0)</f>
        <v/>
      </c>
      <c r="Y3179">
        <f>IF(ISNUMBER(Q3179),1,0)</f>
        <v/>
      </c>
      <c r="Z3179">
        <f>IF(AND(K3179=0,L3179=0,Y3179=0),1,0)</f>
        <v/>
      </c>
      <c r="AA3179">
        <f>IF(AND(Z3179=1,G3179&lt;Assumptions!$C$6),1,0)</f>
        <v/>
      </c>
      <c r="AB3179">
        <f>IF(U3179=0,"",IF(Y3179=1,MAX(0,Q3179-G3179),IF(L3179=1,MAX(0,R3179-G3179),MAX(0,Assumptions!$C$6-G3179))))</f>
        <v/>
      </c>
      <c r="AC3179">
        <f>IF(Y3179=1,Q3179-F3179,"")</f>
        <v/>
      </c>
      <c r="AD3179">
        <f>IF(Y3179=1,AC3179^2,"")</f>
        <v/>
      </c>
      <c r="AE3179" s="19">
        <f>IF(Z3179=1,(H3179-M3179)*I3179,0)</f>
        <v/>
      </c>
      <c r="AF3179">
        <f>IF(G3179&lt;EDATE(Assumptions!$C$6,-12)+1,"prior_12m","last_12m")</f>
        <v/>
      </c>
      <c r="AG3179" s="21">
        <f>DATE(YEAR(G3179),MONTH(G3179),1)</f>
        <v/>
      </c>
    </row>
    <row r="3180">
      <c r="A3180" t="inlineStr">
        <is>
          <t>SPO-01701-2</t>
        </is>
      </c>
      <c r="B3180" t="inlineStr">
        <is>
          <t>SPO-01701</t>
        </is>
      </c>
      <c r="C3180" t="inlineStr">
        <is>
          <t>SUP-11</t>
        </is>
      </c>
      <c r="D3180" t="inlineStr">
        <is>
          <t>PPE</t>
        </is>
      </c>
      <c r="E3180" t="inlineStr">
        <is>
          <t>PPE-01</t>
        </is>
      </c>
      <c r="F3180" s="17" t="n">
        <v>46043</v>
      </c>
      <c r="G3180" s="17" t="n">
        <v>46055</v>
      </c>
      <c r="H3180" s="18" t="n">
        <v>140</v>
      </c>
      <c r="I3180" s="19" t="n">
        <v>4.76</v>
      </c>
      <c r="J3180" s="19" t="n">
        <v>4.8</v>
      </c>
      <c r="K3180" s="20" t="n">
        <v>0</v>
      </c>
      <c r="L3180" s="20" t="n">
        <v>0</v>
      </c>
      <c r="M3180" s="18" t="n">
        <v>140</v>
      </c>
      <c r="N3180" s="18" t="n">
        <v>140</v>
      </c>
      <c r="O3180" s="18" t="n">
        <v>0</v>
      </c>
      <c r="P3180" s="17" t="n">
        <v>46051</v>
      </c>
      <c r="Q3180" s="17" t="n">
        <v>46051</v>
      </c>
      <c r="R3180" s="17" t="n">
        <v>46051</v>
      </c>
      <c r="S3180" s="19">
        <f>H3180*I3180</f>
        <v/>
      </c>
      <c r="T3180" s="19">
        <f>H3180*J3180</f>
        <v/>
      </c>
      <c r="U3180">
        <f>IF(AND(K3180=0,G3180&lt;=Assumptions!$C$6),1,0)</f>
        <v/>
      </c>
      <c r="V3180">
        <f>IF(U3180=1,IF(M3180&gt;0,IF(P3180&lt;=G3180+Assumptions!$C$7,1,0),0),0)</f>
        <v/>
      </c>
      <c r="W3180">
        <f>IF(AND(U3180=1,M3180&gt;=H3180*(1-Assumptions!$C$8)),1,0)</f>
        <v/>
      </c>
      <c r="X3180">
        <f>IF(AND(U3180=1,N3180&gt;=H3180*(1-Assumptions!$C$8)),1,0)</f>
        <v/>
      </c>
      <c r="Y3180">
        <f>IF(ISNUMBER(Q3180),1,0)</f>
        <v/>
      </c>
      <c r="Z3180">
        <f>IF(AND(K3180=0,L3180=0,Y3180=0),1,0)</f>
        <v/>
      </c>
      <c r="AA3180">
        <f>IF(AND(Z3180=1,G3180&lt;Assumptions!$C$6),1,0)</f>
        <v/>
      </c>
      <c r="AB3180">
        <f>IF(U3180=0,"",IF(Y3180=1,MAX(0,Q3180-G3180),IF(L3180=1,MAX(0,R3180-G3180),MAX(0,Assumptions!$C$6-G3180))))</f>
        <v/>
      </c>
      <c r="AC3180">
        <f>IF(Y3180=1,Q3180-F3180,"")</f>
        <v/>
      </c>
      <c r="AD3180">
        <f>IF(Y3180=1,AC3180^2,"")</f>
        <v/>
      </c>
      <c r="AE3180" s="19">
        <f>IF(Z3180=1,(H3180-M3180)*I3180,0)</f>
        <v/>
      </c>
      <c r="AF3180">
        <f>IF(G3180&lt;EDATE(Assumptions!$C$6,-12)+1,"prior_12m","last_12m")</f>
        <v/>
      </c>
      <c r="AG3180" s="21">
        <f>DATE(YEAR(G3180),MONTH(G3180),1)</f>
        <v/>
      </c>
    </row>
    <row r="3181">
      <c r="A3181" t="inlineStr">
        <is>
          <t>SPO-01701-3</t>
        </is>
      </c>
      <c r="B3181" t="inlineStr">
        <is>
          <t>SPO-01701</t>
        </is>
      </c>
      <c r="C3181" t="inlineStr">
        <is>
          <t>SUP-11</t>
        </is>
      </c>
      <c r="D3181" t="inlineStr">
        <is>
          <t>PPE</t>
        </is>
      </c>
      <c r="E3181" t="inlineStr">
        <is>
          <t>PPE-08</t>
        </is>
      </c>
      <c r="F3181" s="17" t="n">
        <v>46043</v>
      </c>
      <c r="G3181" s="17" t="n">
        <v>46055</v>
      </c>
      <c r="H3181" s="18" t="n">
        <v>23</v>
      </c>
      <c r="I3181" s="19" t="n">
        <v>63.22</v>
      </c>
      <c r="J3181" s="19" t="n">
        <v>64</v>
      </c>
      <c r="K3181" s="20" t="n">
        <v>0</v>
      </c>
      <c r="L3181" s="20" t="n">
        <v>0</v>
      </c>
      <c r="M3181" s="18" t="n">
        <v>23</v>
      </c>
      <c r="N3181" s="18" t="n">
        <v>23</v>
      </c>
      <c r="O3181" s="18" t="n">
        <v>0</v>
      </c>
      <c r="P3181" s="17" t="n">
        <v>46053</v>
      </c>
      <c r="Q3181" s="17" t="n">
        <v>46053</v>
      </c>
      <c r="R3181" s="17" t="n">
        <v>46053</v>
      </c>
      <c r="S3181" s="19">
        <f>H3181*I3181</f>
        <v/>
      </c>
      <c r="T3181" s="19">
        <f>H3181*J3181</f>
        <v/>
      </c>
      <c r="U3181">
        <f>IF(AND(K3181=0,G3181&lt;=Assumptions!$C$6),1,0)</f>
        <v/>
      </c>
      <c r="V3181">
        <f>IF(U3181=1,IF(M3181&gt;0,IF(P3181&lt;=G3181+Assumptions!$C$7,1,0),0),0)</f>
        <v/>
      </c>
      <c r="W3181">
        <f>IF(AND(U3181=1,M3181&gt;=H3181*(1-Assumptions!$C$8)),1,0)</f>
        <v/>
      </c>
      <c r="X3181">
        <f>IF(AND(U3181=1,N3181&gt;=H3181*(1-Assumptions!$C$8)),1,0)</f>
        <v/>
      </c>
      <c r="Y3181">
        <f>IF(ISNUMBER(Q3181),1,0)</f>
        <v/>
      </c>
      <c r="Z3181">
        <f>IF(AND(K3181=0,L3181=0,Y3181=0),1,0)</f>
        <v/>
      </c>
      <c r="AA3181">
        <f>IF(AND(Z3181=1,G3181&lt;Assumptions!$C$6),1,0)</f>
        <v/>
      </c>
      <c r="AB3181">
        <f>IF(U3181=0,"",IF(Y3181=1,MAX(0,Q3181-G3181),IF(L3181=1,MAX(0,R3181-G3181),MAX(0,Assumptions!$C$6-G3181))))</f>
        <v/>
      </c>
      <c r="AC3181">
        <f>IF(Y3181=1,Q3181-F3181,"")</f>
        <v/>
      </c>
      <c r="AD3181">
        <f>IF(Y3181=1,AC3181^2,"")</f>
        <v/>
      </c>
      <c r="AE3181" s="19">
        <f>IF(Z3181=1,(H3181-M3181)*I3181,0)</f>
        <v/>
      </c>
      <c r="AF3181">
        <f>IF(G3181&lt;EDATE(Assumptions!$C$6,-12)+1,"prior_12m","last_12m")</f>
        <v/>
      </c>
      <c r="AG3181" s="21">
        <f>DATE(YEAR(G3181),MONTH(G3181),1)</f>
        <v/>
      </c>
    </row>
    <row r="3182">
      <c r="A3182" t="inlineStr">
        <is>
          <t>SPO-01701-4</t>
        </is>
      </c>
      <c r="B3182" t="inlineStr">
        <is>
          <t>SPO-01701</t>
        </is>
      </c>
      <c r="C3182" t="inlineStr">
        <is>
          <t>SUP-11</t>
        </is>
      </c>
      <c r="D3182" t="inlineStr">
        <is>
          <t>PPE</t>
        </is>
      </c>
      <c r="E3182" t="inlineStr">
        <is>
          <t>PPE-03</t>
        </is>
      </c>
      <c r="F3182" s="17" t="n">
        <v>46043</v>
      </c>
      <c r="G3182" s="17" t="n">
        <v>46055</v>
      </c>
      <c r="H3182" s="18" t="n">
        <v>140</v>
      </c>
      <c r="I3182" s="19" t="n">
        <v>22.19</v>
      </c>
      <c r="J3182" s="19" t="n">
        <v>21</v>
      </c>
      <c r="K3182" s="20" t="n">
        <v>0</v>
      </c>
      <c r="L3182" s="20" t="n">
        <v>0</v>
      </c>
      <c r="M3182" s="18" t="n">
        <v>140</v>
      </c>
      <c r="N3182" s="18" t="n">
        <v>140</v>
      </c>
      <c r="O3182" s="18" t="n">
        <v>0</v>
      </c>
      <c r="P3182" s="17" t="n">
        <v>46052</v>
      </c>
      <c r="Q3182" s="17" t="n">
        <v>46052</v>
      </c>
      <c r="R3182" s="17" t="n">
        <v>46052</v>
      </c>
      <c r="S3182" s="19">
        <f>H3182*I3182</f>
        <v/>
      </c>
      <c r="T3182" s="19">
        <f>H3182*J3182</f>
        <v/>
      </c>
      <c r="U3182">
        <f>IF(AND(K3182=0,G3182&lt;=Assumptions!$C$6),1,0)</f>
        <v/>
      </c>
      <c r="V3182">
        <f>IF(U3182=1,IF(M3182&gt;0,IF(P3182&lt;=G3182+Assumptions!$C$7,1,0),0),0)</f>
        <v/>
      </c>
      <c r="W3182">
        <f>IF(AND(U3182=1,M3182&gt;=H3182*(1-Assumptions!$C$8)),1,0)</f>
        <v/>
      </c>
      <c r="X3182">
        <f>IF(AND(U3182=1,N3182&gt;=H3182*(1-Assumptions!$C$8)),1,0)</f>
        <v/>
      </c>
      <c r="Y3182">
        <f>IF(ISNUMBER(Q3182),1,0)</f>
        <v/>
      </c>
      <c r="Z3182">
        <f>IF(AND(K3182=0,L3182=0,Y3182=0),1,0)</f>
        <v/>
      </c>
      <c r="AA3182">
        <f>IF(AND(Z3182=1,G3182&lt;Assumptions!$C$6),1,0)</f>
        <v/>
      </c>
      <c r="AB3182">
        <f>IF(U3182=0,"",IF(Y3182=1,MAX(0,Q3182-G3182),IF(L3182=1,MAX(0,R3182-G3182),MAX(0,Assumptions!$C$6-G3182))))</f>
        <v/>
      </c>
      <c r="AC3182">
        <f>IF(Y3182=1,Q3182-F3182,"")</f>
        <v/>
      </c>
      <c r="AD3182">
        <f>IF(Y3182=1,AC3182^2,"")</f>
        <v/>
      </c>
      <c r="AE3182" s="19">
        <f>IF(Z3182=1,(H3182-M3182)*I3182,0)</f>
        <v/>
      </c>
      <c r="AF3182">
        <f>IF(G3182&lt;EDATE(Assumptions!$C$6,-12)+1,"prior_12m","last_12m")</f>
        <v/>
      </c>
      <c r="AG3182" s="21">
        <f>DATE(YEAR(G3182),MONTH(G3182),1)</f>
        <v/>
      </c>
    </row>
    <row r="3183">
      <c r="A3183" t="inlineStr">
        <is>
          <t>SPO-01702-1</t>
        </is>
      </c>
      <c r="B3183" t="inlineStr">
        <is>
          <t>SPO-01702</t>
        </is>
      </c>
      <c r="C3183" t="inlineStr">
        <is>
          <t>SUP-06</t>
        </is>
      </c>
      <c r="D3183" t="inlineStr">
        <is>
          <t>MRO</t>
        </is>
      </c>
      <c r="E3183" t="inlineStr">
        <is>
          <t>MRO-01</t>
        </is>
      </c>
      <c r="F3183" s="17" t="n">
        <v>46043</v>
      </c>
      <c r="G3183" s="17" t="n">
        <v>46051</v>
      </c>
      <c r="H3183" s="18" t="n">
        <v>39</v>
      </c>
      <c r="I3183" s="19" t="n">
        <v>50.39</v>
      </c>
      <c r="J3183" s="19" t="n">
        <v>52</v>
      </c>
      <c r="K3183" s="20" t="n">
        <v>0</v>
      </c>
      <c r="L3183" s="20" t="n">
        <v>0</v>
      </c>
      <c r="M3183" s="18" t="n">
        <v>39</v>
      </c>
      <c r="N3183" s="18" t="n">
        <v>39</v>
      </c>
      <c r="O3183" s="18" t="n">
        <v>0</v>
      </c>
      <c r="P3183" s="17" t="n">
        <v>46049</v>
      </c>
      <c r="Q3183" s="17" t="n">
        <v>46049</v>
      </c>
      <c r="R3183" s="17" t="n">
        <v>46049</v>
      </c>
      <c r="S3183" s="19">
        <f>H3183*I3183</f>
        <v/>
      </c>
      <c r="T3183" s="19">
        <f>H3183*J3183</f>
        <v/>
      </c>
      <c r="U3183">
        <f>IF(AND(K3183=0,G3183&lt;=Assumptions!$C$6),1,0)</f>
        <v/>
      </c>
      <c r="V3183">
        <f>IF(U3183=1,IF(M3183&gt;0,IF(P3183&lt;=G3183+Assumptions!$C$7,1,0),0),0)</f>
        <v/>
      </c>
      <c r="W3183">
        <f>IF(AND(U3183=1,M3183&gt;=H3183*(1-Assumptions!$C$8)),1,0)</f>
        <v/>
      </c>
      <c r="X3183">
        <f>IF(AND(U3183=1,N3183&gt;=H3183*(1-Assumptions!$C$8)),1,0)</f>
        <v/>
      </c>
      <c r="Y3183">
        <f>IF(ISNUMBER(Q3183),1,0)</f>
        <v/>
      </c>
      <c r="Z3183">
        <f>IF(AND(K3183=0,L3183=0,Y3183=0),1,0)</f>
        <v/>
      </c>
      <c r="AA3183">
        <f>IF(AND(Z3183=1,G3183&lt;Assumptions!$C$6),1,0)</f>
        <v/>
      </c>
      <c r="AB3183">
        <f>IF(U3183=0,"",IF(Y3183=1,MAX(0,Q3183-G3183),IF(L3183=1,MAX(0,R3183-G3183),MAX(0,Assumptions!$C$6-G3183))))</f>
        <v/>
      </c>
      <c r="AC3183">
        <f>IF(Y3183=1,Q3183-F3183,"")</f>
        <v/>
      </c>
      <c r="AD3183">
        <f>IF(Y3183=1,AC3183^2,"")</f>
        <v/>
      </c>
      <c r="AE3183" s="19">
        <f>IF(Z3183=1,(H3183-M3183)*I3183,0)</f>
        <v/>
      </c>
      <c r="AF3183">
        <f>IF(G3183&lt;EDATE(Assumptions!$C$6,-12)+1,"prior_12m","last_12m")</f>
        <v/>
      </c>
      <c r="AG3183" s="21">
        <f>DATE(YEAR(G3183),MONTH(G3183),1)</f>
        <v/>
      </c>
    </row>
    <row r="3184">
      <c r="A3184" t="inlineStr">
        <is>
          <t>SPO-01702-2</t>
        </is>
      </c>
      <c r="B3184" t="inlineStr">
        <is>
          <t>SPO-01702</t>
        </is>
      </c>
      <c r="C3184" t="inlineStr">
        <is>
          <t>SUP-06</t>
        </is>
      </c>
      <c r="D3184" t="inlineStr">
        <is>
          <t>MRO</t>
        </is>
      </c>
      <c r="E3184" t="inlineStr">
        <is>
          <t>MRO-02</t>
        </is>
      </c>
      <c r="F3184" s="17" t="n">
        <v>46043</v>
      </c>
      <c r="G3184" s="17" t="n">
        <v>46051</v>
      </c>
      <c r="H3184" s="18" t="n">
        <v>54</v>
      </c>
      <c r="I3184" s="19" t="n">
        <v>39.36</v>
      </c>
      <c r="J3184" s="19" t="n">
        <v>41</v>
      </c>
      <c r="K3184" s="20" t="n">
        <v>0</v>
      </c>
      <c r="L3184" s="20" t="n">
        <v>0</v>
      </c>
      <c r="M3184" s="18" t="n">
        <v>54</v>
      </c>
      <c r="N3184" s="18" t="n">
        <v>54</v>
      </c>
      <c r="O3184" s="18" t="n">
        <v>0</v>
      </c>
      <c r="P3184" s="17" t="n">
        <v>46049</v>
      </c>
      <c r="Q3184" s="17" t="n">
        <v>46049</v>
      </c>
      <c r="R3184" s="17" t="n">
        <v>46049</v>
      </c>
      <c r="S3184" s="19">
        <f>H3184*I3184</f>
        <v/>
      </c>
      <c r="T3184" s="19">
        <f>H3184*J3184</f>
        <v/>
      </c>
      <c r="U3184">
        <f>IF(AND(K3184=0,G3184&lt;=Assumptions!$C$6),1,0)</f>
        <v/>
      </c>
      <c r="V3184">
        <f>IF(U3184=1,IF(M3184&gt;0,IF(P3184&lt;=G3184+Assumptions!$C$7,1,0),0),0)</f>
        <v/>
      </c>
      <c r="W3184">
        <f>IF(AND(U3184=1,M3184&gt;=H3184*(1-Assumptions!$C$8)),1,0)</f>
        <v/>
      </c>
      <c r="X3184">
        <f>IF(AND(U3184=1,N3184&gt;=H3184*(1-Assumptions!$C$8)),1,0)</f>
        <v/>
      </c>
      <c r="Y3184">
        <f>IF(ISNUMBER(Q3184),1,0)</f>
        <v/>
      </c>
      <c r="Z3184">
        <f>IF(AND(K3184=0,L3184=0,Y3184=0),1,0)</f>
        <v/>
      </c>
      <c r="AA3184">
        <f>IF(AND(Z3184=1,G3184&lt;Assumptions!$C$6),1,0)</f>
        <v/>
      </c>
      <c r="AB3184">
        <f>IF(U3184=0,"",IF(Y3184=1,MAX(0,Q3184-G3184),IF(L3184=1,MAX(0,R3184-G3184),MAX(0,Assumptions!$C$6-G3184))))</f>
        <v/>
      </c>
      <c r="AC3184">
        <f>IF(Y3184=1,Q3184-F3184,"")</f>
        <v/>
      </c>
      <c r="AD3184">
        <f>IF(Y3184=1,AC3184^2,"")</f>
        <v/>
      </c>
      <c r="AE3184" s="19">
        <f>IF(Z3184=1,(H3184-M3184)*I3184,0)</f>
        <v/>
      </c>
      <c r="AF3184">
        <f>IF(G3184&lt;EDATE(Assumptions!$C$6,-12)+1,"prior_12m","last_12m")</f>
        <v/>
      </c>
      <c r="AG3184" s="21">
        <f>DATE(YEAR(G3184),MONTH(G3184),1)</f>
        <v/>
      </c>
    </row>
    <row r="3185">
      <c r="A3185" t="inlineStr">
        <is>
          <t>SPO-01703-1</t>
        </is>
      </c>
      <c r="B3185" t="inlineStr">
        <is>
          <t>SPO-01703</t>
        </is>
      </c>
      <c r="C3185" t="inlineStr">
        <is>
          <t>SUP-04</t>
        </is>
      </c>
      <c r="D3185" t="inlineStr">
        <is>
          <t>FLEET</t>
        </is>
      </c>
      <c r="E3185" t="inlineStr">
        <is>
          <t>FLEET-02</t>
        </is>
      </c>
      <c r="F3185" s="17" t="n">
        <v>46043</v>
      </c>
      <c r="G3185" s="17" t="n">
        <v>46056</v>
      </c>
      <c r="H3185" s="18" t="n">
        <v>245</v>
      </c>
      <c r="I3185" s="19" t="n">
        <v>7.87</v>
      </c>
      <c r="J3185" s="19" t="n">
        <v>7.5</v>
      </c>
      <c r="K3185" s="20" t="n">
        <v>0</v>
      </c>
      <c r="L3185" s="20" t="n">
        <v>0</v>
      </c>
      <c r="M3185" s="18" t="n">
        <v>245</v>
      </c>
      <c r="N3185" s="18" t="n">
        <v>245</v>
      </c>
      <c r="O3185" s="18" t="n">
        <v>0</v>
      </c>
      <c r="P3185" s="17" t="n">
        <v>46056</v>
      </c>
      <c r="Q3185" s="17" t="n">
        <v>46056</v>
      </c>
      <c r="R3185" s="17" t="n">
        <v>46056</v>
      </c>
      <c r="S3185" s="19">
        <f>H3185*I3185</f>
        <v/>
      </c>
      <c r="T3185" s="19">
        <f>H3185*J3185</f>
        <v/>
      </c>
      <c r="U3185">
        <f>IF(AND(K3185=0,G3185&lt;=Assumptions!$C$6),1,0)</f>
        <v/>
      </c>
      <c r="V3185">
        <f>IF(U3185=1,IF(M3185&gt;0,IF(P3185&lt;=G3185+Assumptions!$C$7,1,0),0),0)</f>
        <v/>
      </c>
      <c r="W3185">
        <f>IF(AND(U3185=1,M3185&gt;=H3185*(1-Assumptions!$C$8)),1,0)</f>
        <v/>
      </c>
      <c r="X3185">
        <f>IF(AND(U3185=1,N3185&gt;=H3185*(1-Assumptions!$C$8)),1,0)</f>
        <v/>
      </c>
      <c r="Y3185">
        <f>IF(ISNUMBER(Q3185),1,0)</f>
        <v/>
      </c>
      <c r="Z3185">
        <f>IF(AND(K3185=0,L3185=0,Y3185=0),1,0)</f>
        <v/>
      </c>
      <c r="AA3185">
        <f>IF(AND(Z3185=1,G3185&lt;Assumptions!$C$6),1,0)</f>
        <v/>
      </c>
      <c r="AB3185">
        <f>IF(U3185=0,"",IF(Y3185=1,MAX(0,Q3185-G3185),IF(L3185=1,MAX(0,R3185-G3185),MAX(0,Assumptions!$C$6-G3185))))</f>
        <v/>
      </c>
      <c r="AC3185">
        <f>IF(Y3185=1,Q3185-F3185,"")</f>
        <v/>
      </c>
      <c r="AD3185">
        <f>IF(Y3185=1,AC3185^2,"")</f>
        <v/>
      </c>
      <c r="AE3185" s="19">
        <f>IF(Z3185=1,(H3185-M3185)*I3185,0)</f>
        <v/>
      </c>
      <c r="AF3185">
        <f>IF(G3185&lt;EDATE(Assumptions!$C$6,-12)+1,"prior_12m","last_12m")</f>
        <v/>
      </c>
      <c r="AG3185" s="21">
        <f>DATE(YEAR(G3185),MONTH(G3185),1)</f>
        <v/>
      </c>
    </row>
    <row r="3186">
      <c r="A3186" t="inlineStr">
        <is>
          <t>SPO-01704-1</t>
        </is>
      </c>
      <c r="B3186" t="inlineStr">
        <is>
          <t>SPO-01704</t>
        </is>
      </c>
      <c r="C3186" t="inlineStr">
        <is>
          <t>SUP-04</t>
        </is>
      </c>
      <c r="D3186" t="inlineStr">
        <is>
          <t>FLEET</t>
        </is>
      </c>
      <c r="E3186" t="inlineStr">
        <is>
          <t>FLEET-04</t>
        </is>
      </c>
      <c r="F3186" s="17" t="n">
        <v>46043</v>
      </c>
      <c r="G3186" s="17" t="n">
        <v>46056</v>
      </c>
      <c r="H3186" s="18" t="n">
        <v>48</v>
      </c>
      <c r="I3186" s="19" t="n">
        <v>9.23</v>
      </c>
      <c r="J3186" s="19" t="n">
        <v>9</v>
      </c>
      <c r="K3186" s="20" t="n">
        <v>0</v>
      </c>
      <c r="L3186" s="20" t="n">
        <v>0</v>
      </c>
      <c r="M3186" s="18" t="n">
        <v>48</v>
      </c>
      <c r="N3186" s="18" t="n">
        <v>0</v>
      </c>
      <c r="O3186" s="18" t="n">
        <v>0</v>
      </c>
      <c r="P3186" s="17" t="n">
        <v>46060</v>
      </c>
      <c r="Q3186" s="17" t="n">
        <v>46060</v>
      </c>
      <c r="R3186" s="17" t="n">
        <v>46060</v>
      </c>
      <c r="S3186" s="19">
        <f>H3186*I3186</f>
        <v/>
      </c>
      <c r="T3186" s="19">
        <f>H3186*J3186</f>
        <v/>
      </c>
      <c r="U3186">
        <f>IF(AND(K3186=0,G3186&lt;=Assumptions!$C$6),1,0)</f>
        <v/>
      </c>
      <c r="V3186">
        <f>IF(U3186=1,IF(M3186&gt;0,IF(P3186&lt;=G3186+Assumptions!$C$7,1,0),0),0)</f>
        <v/>
      </c>
      <c r="W3186">
        <f>IF(AND(U3186=1,M3186&gt;=H3186*(1-Assumptions!$C$8)),1,0)</f>
        <v/>
      </c>
      <c r="X3186">
        <f>IF(AND(U3186=1,N3186&gt;=H3186*(1-Assumptions!$C$8)),1,0)</f>
        <v/>
      </c>
      <c r="Y3186">
        <f>IF(ISNUMBER(Q3186),1,0)</f>
        <v/>
      </c>
      <c r="Z3186">
        <f>IF(AND(K3186=0,L3186=0,Y3186=0),1,0)</f>
        <v/>
      </c>
      <c r="AA3186">
        <f>IF(AND(Z3186=1,G3186&lt;Assumptions!$C$6),1,0)</f>
        <v/>
      </c>
      <c r="AB3186">
        <f>IF(U3186=0,"",IF(Y3186=1,MAX(0,Q3186-G3186),IF(L3186=1,MAX(0,R3186-G3186),MAX(0,Assumptions!$C$6-G3186))))</f>
        <v/>
      </c>
      <c r="AC3186">
        <f>IF(Y3186=1,Q3186-F3186,"")</f>
        <v/>
      </c>
      <c r="AD3186">
        <f>IF(Y3186=1,AC3186^2,"")</f>
        <v/>
      </c>
      <c r="AE3186" s="19">
        <f>IF(Z3186=1,(H3186-M3186)*I3186,0)</f>
        <v/>
      </c>
      <c r="AF3186">
        <f>IF(G3186&lt;EDATE(Assumptions!$C$6,-12)+1,"prior_12m","last_12m")</f>
        <v/>
      </c>
      <c r="AG3186" s="21">
        <f>DATE(YEAR(G3186),MONTH(G3186),1)</f>
        <v/>
      </c>
    </row>
    <row r="3187">
      <c r="A3187" t="inlineStr">
        <is>
          <t>SPO-01704-2</t>
        </is>
      </c>
      <c r="B3187" t="inlineStr">
        <is>
          <t>SPO-01704</t>
        </is>
      </c>
      <c r="C3187" t="inlineStr">
        <is>
          <t>SUP-04</t>
        </is>
      </c>
      <c r="D3187" t="inlineStr">
        <is>
          <t>FLEET</t>
        </is>
      </c>
      <c r="E3187" t="inlineStr">
        <is>
          <t>FLEET-07</t>
        </is>
      </c>
      <c r="F3187" s="17" t="n">
        <v>46043</v>
      </c>
      <c r="G3187" s="17" t="n">
        <v>46056</v>
      </c>
      <c r="H3187" s="18" t="n">
        <v>15</v>
      </c>
      <c r="I3187" s="19" t="n">
        <v>119.39</v>
      </c>
      <c r="J3187" s="19" t="n">
        <v>118</v>
      </c>
      <c r="K3187" s="20" t="n">
        <v>0</v>
      </c>
      <c r="L3187" s="20" t="n">
        <v>0</v>
      </c>
      <c r="M3187" s="18" t="n">
        <v>15</v>
      </c>
      <c r="N3187" s="18" t="n">
        <v>15</v>
      </c>
      <c r="O3187" s="18" t="n">
        <v>4</v>
      </c>
      <c r="P3187" s="17" t="n">
        <v>46046</v>
      </c>
      <c r="Q3187" s="17" t="n">
        <v>46046</v>
      </c>
      <c r="R3187" s="17" t="n">
        <v>46046</v>
      </c>
      <c r="S3187" s="19">
        <f>H3187*I3187</f>
        <v/>
      </c>
      <c r="T3187" s="19">
        <f>H3187*J3187</f>
        <v/>
      </c>
      <c r="U3187">
        <f>IF(AND(K3187=0,G3187&lt;=Assumptions!$C$6),1,0)</f>
        <v/>
      </c>
      <c r="V3187">
        <f>IF(U3187=1,IF(M3187&gt;0,IF(P3187&lt;=G3187+Assumptions!$C$7,1,0),0),0)</f>
        <v/>
      </c>
      <c r="W3187">
        <f>IF(AND(U3187=1,M3187&gt;=H3187*(1-Assumptions!$C$8)),1,0)</f>
        <v/>
      </c>
      <c r="X3187">
        <f>IF(AND(U3187=1,N3187&gt;=H3187*(1-Assumptions!$C$8)),1,0)</f>
        <v/>
      </c>
      <c r="Y3187">
        <f>IF(ISNUMBER(Q3187),1,0)</f>
        <v/>
      </c>
      <c r="Z3187">
        <f>IF(AND(K3187=0,L3187=0,Y3187=0),1,0)</f>
        <v/>
      </c>
      <c r="AA3187">
        <f>IF(AND(Z3187=1,G3187&lt;Assumptions!$C$6),1,0)</f>
        <v/>
      </c>
      <c r="AB3187">
        <f>IF(U3187=0,"",IF(Y3187=1,MAX(0,Q3187-G3187),IF(L3187=1,MAX(0,R3187-G3187),MAX(0,Assumptions!$C$6-G3187))))</f>
        <v/>
      </c>
      <c r="AC3187">
        <f>IF(Y3187=1,Q3187-F3187,"")</f>
        <v/>
      </c>
      <c r="AD3187">
        <f>IF(Y3187=1,AC3187^2,"")</f>
        <v/>
      </c>
      <c r="AE3187" s="19">
        <f>IF(Z3187=1,(H3187-M3187)*I3187,0)</f>
        <v/>
      </c>
      <c r="AF3187">
        <f>IF(G3187&lt;EDATE(Assumptions!$C$6,-12)+1,"prior_12m","last_12m")</f>
        <v/>
      </c>
      <c r="AG3187" s="21">
        <f>DATE(YEAR(G3187),MONTH(G3187),1)</f>
        <v/>
      </c>
    </row>
    <row r="3188">
      <c r="A3188" t="inlineStr">
        <is>
          <t>SPO-01704-3</t>
        </is>
      </c>
      <c r="B3188" t="inlineStr">
        <is>
          <t>SPO-01704</t>
        </is>
      </c>
      <c r="C3188" t="inlineStr">
        <is>
          <t>SUP-04</t>
        </is>
      </c>
      <c r="D3188" t="inlineStr">
        <is>
          <t>FLEET</t>
        </is>
      </c>
      <c r="E3188" t="inlineStr">
        <is>
          <t>FLEET-05</t>
        </is>
      </c>
      <c r="F3188" s="17" t="n">
        <v>46043</v>
      </c>
      <c r="G3188" s="17" t="n">
        <v>46056</v>
      </c>
      <c r="H3188" s="18" t="n">
        <v>11</v>
      </c>
      <c r="I3188" s="19" t="n">
        <v>173.48</v>
      </c>
      <c r="J3188" s="19" t="n">
        <v>168</v>
      </c>
      <c r="K3188" s="20" t="n">
        <v>0</v>
      </c>
      <c r="L3188" s="20" t="n">
        <v>0</v>
      </c>
      <c r="M3188" s="18" t="n">
        <v>11</v>
      </c>
      <c r="N3188" s="18" t="n">
        <v>0</v>
      </c>
      <c r="O3188" s="18" t="n">
        <v>0</v>
      </c>
      <c r="P3188" s="17" t="n">
        <v>46061</v>
      </c>
      <c r="Q3188" s="17" t="n">
        <v>46061</v>
      </c>
      <c r="R3188" s="17" t="n">
        <v>46061</v>
      </c>
      <c r="S3188" s="19">
        <f>H3188*I3188</f>
        <v/>
      </c>
      <c r="T3188" s="19">
        <f>H3188*J3188</f>
        <v/>
      </c>
      <c r="U3188">
        <f>IF(AND(K3188=0,G3188&lt;=Assumptions!$C$6),1,0)</f>
        <v/>
      </c>
      <c r="V3188">
        <f>IF(U3188=1,IF(M3188&gt;0,IF(P3188&lt;=G3188+Assumptions!$C$7,1,0),0),0)</f>
        <v/>
      </c>
      <c r="W3188">
        <f>IF(AND(U3188=1,M3188&gt;=H3188*(1-Assumptions!$C$8)),1,0)</f>
        <v/>
      </c>
      <c r="X3188">
        <f>IF(AND(U3188=1,N3188&gt;=H3188*(1-Assumptions!$C$8)),1,0)</f>
        <v/>
      </c>
      <c r="Y3188">
        <f>IF(ISNUMBER(Q3188),1,0)</f>
        <v/>
      </c>
      <c r="Z3188">
        <f>IF(AND(K3188=0,L3188=0,Y3188=0),1,0)</f>
        <v/>
      </c>
      <c r="AA3188">
        <f>IF(AND(Z3188=1,G3188&lt;Assumptions!$C$6),1,0)</f>
        <v/>
      </c>
      <c r="AB3188">
        <f>IF(U3188=0,"",IF(Y3188=1,MAX(0,Q3188-G3188),IF(L3188=1,MAX(0,R3188-G3188),MAX(0,Assumptions!$C$6-G3188))))</f>
        <v/>
      </c>
      <c r="AC3188">
        <f>IF(Y3188=1,Q3188-F3188,"")</f>
        <v/>
      </c>
      <c r="AD3188">
        <f>IF(Y3188=1,AC3188^2,"")</f>
        <v/>
      </c>
      <c r="AE3188" s="19">
        <f>IF(Z3188=1,(H3188-M3188)*I3188,0)</f>
        <v/>
      </c>
      <c r="AF3188">
        <f>IF(G3188&lt;EDATE(Assumptions!$C$6,-12)+1,"prior_12m","last_12m")</f>
        <v/>
      </c>
      <c r="AG3188" s="21">
        <f>DATE(YEAR(G3188),MONTH(G3188),1)</f>
        <v/>
      </c>
    </row>
    <row r="3189">
      <c r="A3189" t="inlineStr">
        <is>
          <t>SPO-01705-1</t>
        </is>
      </c>
      <c r="B3189" t="inlineStr">
        <is>
          <t>SPO-01705</t>
        </is>
      </c>
      <c r="C3189" t="inlineStr">
        <is>
          <t>SUP-01</t>
        </is>
      </c>
      <c r="D3189" t="inlineStr">
        <is>
          <t>ELEC</t>
        </is>
      </c>
      <c r="E3189" t="inlineStr">
        <is>
          <t>ELEC-08</t>
        </is>
      </c>
      <c r="F3189" s="17" t="n">
        <v>46043</v>
      </c>
      <c r="G3189" s="17" t="n">
        <v>46061</v>
      </c>
      <c r="H3189" s="18" t="n">
        <v>238</v>
      </c>
      <c r="I3189" s="19" t="n">
        <v>17.82</v>
      </c>
      <c r="J3189" s="19" t="n">
        <v>18</v>
      </c>
      <c r="K3189" s="20" t="n">
        <v>0</v>
      </c>
      <c r="L3189" s="20" t="n">
        <v>0</v>
      </c>
      <c r="M3189" s="18" t="n">
        <v>238</v>
      </c>
      <c r="N3189" s="18" t="n">
        <v>238</v>
      </c>
      <c r="O3189" s="18" t="n">
        <v>0</v>
      </c>
      <c r="P3189" s="17" t="n">
        <v>46052</v>
      </c>
      <c r="Q3189" s="17" t="n">
        <v>46052</v>
      </c>
      <c r="R3189" s="17" t="n">
        <v>46052</v>
      </c>
      <c r="S3189" s="19">
        <f>H3189*I3189</f>
        <v/>
      </c>
      <c r="T3189" s="19">
        <f>H3189*J3189</f>
        <v/>
      </c>
      <c r="U3189">
        <f>IF(AND(K3189=0,G3189&lt;=Assumptions!$C$6),1,0)</f>
        <v/>
      </c>
      <c r="V3189">
        <f>IF(U3189=1,IF(M3189&gt;0,IF(P3189&lt;=G3189+Assumptions!$C$7,1,0),0),0)</f>
        <v/>
      </c>
      <c r="W3189">
        <f>IF(AND(U3189=1,M3189&gt;=H3189*(1-Assumptions!$C$8)),1,0)</f>
        <v/>
      </c>
      <c r="X3189">
        <f>IF(AND(U3189=1,N3189&gt;=H3189*(1-Assumptions!$C$8)),1,0)</f>
        <v/>
      </c>
      <c r="Y3189">
        <f>IF(ISNUMBER(Q3189),1,0)</f>
        <v/>
      </c>
      <c r="Z3189">
        <f>IF(AND(K3189=0,L3189=0,Y3189=0),1,0)</f>
        <v/>
      </c>
      <c r="AA3189">
        <f>IF(AND(Z3189=1,G3189&lt;Assumptions!$C$6),1,0)</f>
        <v/>
      </c>
      <c r="AB3189">
        <f>IF(U3189=0,"",IF(Y3189=1,MAX(0,Q3189-G3189),IF(L3189=1,MAX(0,R3189-G3189),MAX(0,Assumptions!$C$6-G3189))))</f>
        <v/>
      </c>
      <c r="AC3189">
        <f>IF(Y3189=1,Q3189-F3189,"")</f>
        <v/>
      </c>
      <c r="AD3189">
        <f>IF(Y3189=1,AC3189^2,"")</f>
        <v/>
      </c>
      <c r="AE3189" s="19">
        <f>IF(Z3189=1,(H3189-M3189)*I3189,0)</f>
        <v/>
      </c>
      <c r="AF3189">
        <f>IF(G3189&lt;EDATE(Assumptions!$C$6,-12)+1,"prior_12m","last_12m")</f>
        <v/>
      </c>
      <c r="AG3189" s="21">
        <f>DATE(YEAR(G3189),MONTH(G3189),1)</f>
        <v/>
      </c>
    </row>
    <row r="3190">
      <c r="A3190" t="inlineStr">
        <is>
          <t>SPO-01705-2</t>
        </is>
      </c>
      <c r="B3190" t="inlineStr">
        <is>
          <t>SPO-01705</t>
        </is>
      </c>
      <c r="C3190" t="inlineStr">
        <is>
          <t>SUP-01</t>
        </is>
      </c>
      <c r="D3190" t="inlineStr">
        <is>
          <t>ELEC</t>
        </is>
      </c>
      <c r="E3190" t="inlineStr">
        <is>
          <t>ELEC-04</t>
        </is>
      </c>
      <c r="F3190" s="17" t="n">
        <v>46043</v>
      </c>
      <c r="G3190" s="17" t="n">
        <v>46061</v>
      </c>
      <c r="H3190" s="18" t="n">
        <v>28</v>
      </c>
      <c r="I3190" s="19" t="n">
        <v>71.27</v>
      </c>
      <c r="J3190" s="19" t="n">
        <v>72</v>
      </c>
      <c r="K3190" s="20" t="n">
        <v>0</v>
      </c>
      <c r="L3190" s="20" t="n">
        <v>0</v>
      </c>
      <c r="M3190" s="18" t="n">
        <v>28</v>
      </c>
      <c r="N3190" s="18" t="n">
        <v>28</v>
      </c>
      <c r="O3190" s="18" t="n">
        <v>0</v>
      </c>
      <c r="P3190" s="17" t="n">
        <v>46056</v>
      </c>
      <c r="Q3190" s="17" t="n">
        <v>46056</v>
      </c>
      <c r="R3190" s="17" t="n">
        <v>46056</v>
      </c>
      <c r="S3190" s="19">
        <f>H3190*I3190</f>
        <v/>
      </c>
      <c r="T3190" s="19">
        <f>H3190*J3190</f>
        <v/>
      </c>
      <c r="U3190">
        <f>IF(AND(K3190=0,G3190&lt;=Assumptions!$C$6),1,0)</f>
        <v/>
      </c>
      <c r="V3190">
        <f>IF(U3190=1,IF(M3190&gt;0,IF(P3190&lt;=G3190+Assumptions!$C$7,1,0),0),0)</f>
        <v/>
      </c>
      <c r="W3190">
        <f>IF(AND(U3190=1,M3190&gt;=H3190*(1-Assumptions!$C$8)),1,0)</f>
        <v/>
      </c>
      <c r="X3190">
        <f>IF(AND(U3190=1,N3190&gt;=H3190*(1-Assumptions!$C$8)),1,0)</f>
        <v/>
      </c>
      <c r="Y3190">
        <f>IF(ISNUMBER(Q3190),1,0)</f>
        <v/>
      </c>
      <c r="Z3190">
        <f>IF(AND(K3190=0,L3190=0,Y3190=0),1,0)</f>
        <v/>
      </c>
      <c r="AA3190">
        <f>IF(AND(Z3190=1,G3190&lt;Assumptions!$C$6),1,0)</f>
        <v/>
      </c>
      <c r="AB3190">
        <f>IF(U3190=0,"",IF(Y3190=1,MAX(0,Q3190-G3190),IF(L3190=1,MAX(0,R3190-G3190),MAX(0,Assumptions!$C$6-G3190))))</f>
        <v/>
      </c>
      <c r="AC3190">
        <f>IF(Y3190=1,Q3190-F3190,"")</f>
        <v/>
      </c>
      <c r="AD3190">
        <f>IF(Y3190=1,AC3190^2,"")</f>
        <v/>
      </c>
      <c r="AE3190" s="19">
        <f>IF(Z3190=1,(H3190-M3190)*I3190,0)</f>
        <v/>
      </c>
      <c r="AF3190">
        <f>IF(G3190&lt;EDATE(Assumptions!$C$6,-12)+1,"prior_12m","last_12m")</f>
        <v/>
      </c>
      <c r="AG3190" s="21">
        <f>DATE(YEAR(G3190),MONTH(G3190),1)</f>
        <v/>
      </c>
    </row>
    <row r="3191">
      <c r="A3191" t="inlineStr">
        <is>
          <t>SPO-01706-1</t>
        </is>
      </c>
      <c r="B3191" t="inlineStr">
        <is>
          <t>SPO-01706</t>
        </is>
      </c>
      <c r="C3191" t="inlineStr">
        <is>
          <t>SUP-14</t>
        </is>
      </c>
      <c r="D3191" t="inlineStr">
        <is>
          <t>FLEET</t>
        </is>
      </c>
      <c r="E3191" t="inlineStr">
        <is>
          <t>FLEET-04</t>
        </is>
      </c>
      <c r="F3191" s="17" t="n">
        <v>46044</v>
      </c>
      <c r="G3191" s="17" t="n">
        <v>46058</v>
      </c>
      <c r="H3191" s="18" t="n">
        <v>254</v>
      </c>
      <c r="I3191" s="19" t="n">
        <v>9.23</v>
      </c>
      <c r="J3191" s="19" t="n">
        <v>9</v>
      </c>
      <c r="K3191" s="20" t="n">
        <v>0</v>
      </c>
      <c r="L3191" s="20" t="n">
        <v>0</v>
      </c>
      <c r="M3191" s="18" t="n">
        <v>254</v>
      </c>
      <c r="N3191" s="18" t="n">
        <v>254</v>
      </c>
      <c r="O3191" s="18" t="n">
        <v>0</v>
      </c>
      <c r="P3191" s="17" t="n">
        <v>46058</v>
      </c>
      <c r="Q3191" s="17" t="n">
        <v>46058</v>
      </c>
      <c r="R3191" s="17" t="n">
        <v>46058</v>
      </c>
      <c r="S3191" s="19">
        <f>H3191*I3191</f>
        <v/>
      </c>
      <c r="T3191" s="19">
        <f>H3191*J3191</f>
        <v/>
      </c>
      <c r="U3191">
        <f>IF(AND(K3191=0,G3191&lt;=Assumptions!$C$6),1,0)</f>
        <v/>
      </c>
      <c r="V3191">
        <f>IF(U3191=1,IF(M3191&gt;0,IF(P3191&lt;=G3191+Assumptions!$C$7,1,0),0),0)</f>
        <v/>
      </c>
      <c r="W3191">
        <f>IF(AND(U3191=1,M3191&gt;=H3191*(1-Assumptions!$C$8)),1,0)</f>
        <v/>
      </c>
      <c r="X3191">
        <f>IF(AND(U3191=1,N3191&gt;=H3191*(1-Assumptions!$C$8)),1,0)</f>
        <v/>
      </c>
      <c r="Y3191">
        <f>IF(ISNUMBER(Q3191),1,0)</f>
        <v/>
      </c>
      <c r="Z3191">
        <f>IF(AND(K3191=0,L3191=0,Y3191=0),1,0)</f>
        <v/>
      </c>
      <c r="AA3191">
        <f>IF(AND(Z3191=1,G3191&lt;Assumptions!$C$6),1,0)</f>
        <v/>
      </c>
      <c r="AB3191">
        <f>IF(U3191=0,"",IF(Y3191=1,MAX(0,Q3191-G3191),IF(L3191=1,MAX(0,R3191-G3191),MAX(0,Assumptions!$C$6-G3191))))</f>
        <v/>
      </c>
      <c r="AC3191">
        <f>IF(Y3191=1,Q3191-F3191,"")</f>
        <v/>
      </c>
      <c r="AD3191">
        <f>IF(Y3191=1,AC3191^2,"")</f>
        <v/>
      </c>
      <c r="AE3191" s="19">
        <f>IF(Z3191=1,(H3191-M3191)*I3191,0)</f>
        <v/>
      </c>
      <c r="AF3191">
        <f>IF(G3191&lt;EDATE(Assumptions!$C$6,-12)+1,"prior_12m","last_12m")</f>
        <v/>
      </c>
      <c r="AG3191" s="21">
        <f>DATE(YEAR(G3191),MONTH(G3191),1)</f>
        <v/>
      </c>
    </row>
    <row r="3192">
      <c r="A3192" t="inlineStr">
        <is>
          <t>SPO-01707-1</t>
        </is>
      </c>
      <c r="B3192" t="inlineStr">
        <is>
          <t>SPO-01707</t>
        </is>
      </c>
      <c r="C3192" t="inlineStr">
        <is>
          <t>SUP-04</t>
        </is>
      </c>
      <c r="D3192" t="inlineStr">
        <is>
          <t>FLEET</t>
        </is>
      </c>
      <c r="E3192" t="inlineStr">
        <is>
          <t>FLEET-07</t>
        </is>
      </c>
      <c r="F3192" s="17" t="n">
        <v>46044</v>
      </c>
      <c r="G3192" s="17" t="n">
        <v>46057</v>
      </c>
      <c r="H3192" s="18" t="n">
        <v>22</v>
      </c>
      <c r="I3192" s="19" t="n">
        <v>112.87</v>
      </c>
      <c r="J3192" s="19" t="n">
        <v>118</v>
      </c>
      <c r="K3192" s="20" t="n">
        <v>1</v>
      </c>
      <c r="L3192" s="20" t="n">
        <v>0</v>
      </c>
      <c r="M3192" s="18" t="n">
        <v>0</v>
      </c>
      <c r="N3192" s="18" t="n">
        <v>0</v>
      </c>
      <c r="O3192" s="18" t="n">
        <v>0</v>
      </c>
      <c r="P3192" s="17" t="n"/>
      <c r="Q3192" s="17" t="n"/>
      <c r="R3192" s="17" t="n"/>
      <c r="S3192" s="19">
        <f>H3192*I3192</f>
        <v/>
      </c>
      <c r="T3192" s="19">
        <f>H3192*J3192</f>
        <v/>
      </c>
      <c r="U3192">
        <f>IF(AND(K3192=0,G3192&lt;=Assumptions!$C$6),1,0)</f>
        <v/>
      </c>
      <c r="V3192">
        <f>IF(U3192=1,IF(M3192&gt;0,IF(P3192&lt;=G3192+Assumptions!$C$7,1,0),0),0)</f>
        <v/>
      </c>
      <c r="W3192">
        <f>IF(AND(U3192=1,M3192&gt;=H3192*(1-Assumptions!$C$8)),1,0)</f>
        <v/>
      </c>
      <c r="X3192">
        <f>IF(AND(U3192=1,N3192&gt;=H3192*(1-Assumptions!$C$8)),1,0)</f>
        <v/>
      </c>
      <c r="Y3192">
        <f>IF(ISNUMBER(Q3192),1,0)</f>
        <v/>
      </c>
      <c r="Z3192">
        <f>IF(AND(K3192=0,L3192=0,Y3192=0),1,0)</f>
        <v/>
      </c>
      <c r="AA3192">
        <f>IF(AND(Z3192=1,G3192&lt;Assumptions!$C$6),1,0)</f>
        <v/>
      </c>
      <c r="AB3192">
        <f>IF(U3192=0,"",IF(Y3192=1,MAX(0,Q3192-G3192),IF(L3192=1,MAX(0,R3192-G3192),MAX(0,Assumptions!$C$6-G3192))))</f>
        <v/>
      </c>
      <c r="AC3192">
        <f>IF(Y3192=1,Q3192-F3192,"")</f>
        <v/>
      </c>
      <c r="AD3192">
        <f>IF(Y3192=1,AC3192^2,"")</f>
        <v/>
      </c>
      <c r="AE3192" s="19">
        <f>IF(Z3192=1,(H3192-M3192)*I3192,0)</f>
        <v/>
      </c>
      <c r="AF3192">
        <f>IF(G3192&lt;EDATE(Assumptions!$C$6,-12)+1,"prior_12m","last_12m")</f>
        <v/>
      </c>
      <c r="AG3192" s="21">
        <f>DATE(YEAR(G3192),MONTH(G3192),1)</f>
        <v/>
      </c>
    </row>
    <row r="3193">
      <c r="A3193" t="inlineStr">
        <is>
          <t>SPO-01707-2</t>
        </is>
      </c>
      <c r="B3193" t="inlineStr">
        <is>
          <t>SPO-01707</t>
        </is>
      </c>
      <c r="C3193" t="inlineStr">
        <is>
          <t>SUP-04</t>
        </is>
      </c>
      <c r="D3193" t="inlineStr">
        <is>
          <t>FLEET</t>
        </is>
      </c>
      <c r="E3193" t="inlineStr">
        <is>
          <t>FLEET-08</t>
        </is>
      </c>
      <c r="F3193" s="17" t="n">
        <v>46044</v>
      </c>
      <c r="G3193" s="17" t="n">
        <v>46057</v>
      </c>
      <c r="H3193" s="18" t="n">
        <v>280</v>
      </c>
      <c r="I3193" s="19" t="n">
        <v>6.63</v>
      </c>
      <c r="J3193" s="19" t="n">
        <v>6.4</v>
      </c>
      <c r="K3193" s="20" t="n">
        <v>0</v>
      </c>
      <c r="L3193" s="20" t="n">
        <v>0</v>
      </c>
      <c r="M3193" s="18" t="n">
        <v>280</v>
      </c>
      <c r="N3193" s="18" t="n">
        <v>280</v>
      </c>
      <c r="O3193" s="18" t="n">
        <v>0</v>
      </c>
      <c r="P3193" s="17" t="n">
        <v>46054</v>
      </c>
      <c r="Q3193" s="17" t="n">
        <v>46054</v>
      </c>
      <c r="R3193" s="17" t="n">
        <v>46054</v>
      </c>
      <c r="S3193" s="19">
        <f>H3193*I3193</f>
        <v/>
      </c>
      <c r="T3193" s="19">
        <f>H3193*J3193</f>
        <v/>
      </c>
      <c r="U3193">
        <f>IF(AND(K3193=0,G3193&lt;=Assumptions!$C$6),1,0)</f>
        <v/>
      </c>
      <c r="V3193">
        <f>IF(U3193=1,IF(M3193&gt;0,IF(P3193&lt;=G3193+Assumptions!$C$7,1,0),0),0)</f>
        <v/>
      </c>
      <c r="W3193">
        <f>IF(AND(U3193=1,M3193&gt;=H3193*(1-Assumptions!$C$8)),1,0)</f>
        <v/>
      </c>
      <c r="X3193">
        <f>IF(AND(U3193=1,N3193&gt;=H3193*(1-Assumptions!$C$8)),1,0)</f>
        <v/>
      </c>
      <c r="Y3193">
        <f>IF(ISNUMBER(Q3193),1,0)</f>
        <v/>
      </c>
      <c r="Z3193">
        <f>IF(AND(K3193=0,L3193=0,Y3193=0),1,0)</f>
        <v/>
      </c>
      <c r="AA3193">
        <f>IF(AND(Z3193=1,G3193&lt;Assumptions!$C$6),1,0)</f>
        <v/>
      </c>
      <c r="AB3193">
        <f>IF(U3193=0,"",IF(Y3193=1,MAX(0,Q3193-G3193),IF(L3193=1,MAX(0,R3193-G3193),MAX(0,Assumptions!$C$6-G3193))))</f>
        <v/>
      </c>
      <c r="AC3193">
        <f>IF(Y3193=1,Q3193-F3193,"")</f>
        <v/>
      </c>
      <c r="AD3193">
        <f>IF(Y3193=1,AC3193^2,"")</f>
        <v/>
      </c>
      <c r="AE3193" s="19">
        <f>IF(Z3193=1,(H3193-M3193)*I3193,0)</f>
        <v/>
      </c>
      <c r="AF3193">
        <f>IF(G3193&lt;EDATE(Assumptions!$C$6,-12)+1,"prior_12m","last_12m")</f>
        <v/>
      </c>
      <c r="AG3193" s="21">
        <f>DATE(YEAR(G3193),MONTH(G3193),1)</f>
        <v/>
      </c>
    </row>
    <row r="3194">
      <c r="A3194" t="inlineStr">
        <is>
          <t>SPO-01708-1</t>
        </is>
      </c>
      <c r="B3194" t="inlineStr">
        <is>
          <t>SPO-01708</t>
        </is>
      </c>
      <c r="C3194" t="inlineStr">
        <is>
          <t>SUP-05</t>
        </is>
      </c>
      <c r="D3194" t="inlineStr">
        <is>
          <t>FLEET</t>
        </is>
      </c>
      <c r="E3194" t="inlineStr">
        <is>
          <t>FLEET-05</t>
        </is>
      </c>
      <c r="F3194" s="17" t="n">
        <v>46044</v>
      </c>
      <c r="G3194" s="17" t="n">
        <v>46058</v>
      </c>
      <c r="H3194" s="18" t="n">
        <v>17</v>
      </c>
      <c r="I3194" s="19" t="n">
        <v>164.7</v>
      </c>
      <c r="J3194" s="19" t="n">
        <v>168</v>
      </c>
      <c r="K3194" s="20" t="n">
        <v>0</v>
      </c>
      <c r="L3194" s="20" t="n">
        <v>0</v>
      </c>
      <c r="M3194" s="18" t="n">
        <v>17</v>
      </c>
      <c r="N3194" s="18" t="n">
        <v>17</v>
      </c>
      <c r="O3194" s="18" t="n">
        <v>0</v>
      </c>
      <c r="P3194" s="17" t="n">
        <v>46055</v>
      </c>
      <c r="Q3194" s="17" t="n">
        <v>46055</v>
      </c>
      <c r="R3194" s="17" t="n">
        <v>46055</v>
      </c>
      <c r="S3194" s="19">
        <f>H3194*I3194</f>
        <v/>
      </c>
      <c r="T3194" s="19">
        <f>H3194*J3194</f>
        <v/>
      </c>
      <c r="U3194">
        <f>IF(AND(K3194=0,G3194&lt;=Assumptions!$C$6),1,0)</f>
        <v/>
      </c>
      <c r="V3194">
        <f>IF(U3194=1,IF(M3194&gt;0,IF(P3194&lt;=G3194+Assumptions!$C$7,1,0),0),0)</f>
        <v/>
      </c>
      <c r="W3194">
        <f>IF(AND(U3194=1,M3194&gt;=H3194*(1-Assumptions!$C$8)),1,0)</f>
        <v/>
      </c>
      <c r="X3194">
        <f>IF(AND(U3194=1,N3194&gt;=H3194*(1-Assumptions!$C$8)),1,0)</f>
        <v/>
      </c>
      <c r="Y3194">
        <f>IF(ISNUMBER(Q3194),1,0)</f>
        <v/>
      </c>
      <c r="Z3194">
        <f>IF(AND(K3194=0,L3194=0,Y3194=0),1,0)</f>
        <v/>
      </c>
      <c r="AA3194">
        <f>IF(AND(Z3194=1,G3194&lt;Assumptions!$C$6),1,0)</f>
        <v/>
      </c>
      <c r="AB3194">
        <f>IF(U3194=0,"",IF(Y3194=1,MAX(0,Q3194-G3194),IF(L3194=1,MAX(0,R3194-G3194),MAX(0,Assumptions!$C$6-G3194))))</f>
        <v/>
      </c>
      <c r="AC3194">
        <f>IF(Y3194=1,Q3194-F3194,"")</f>
        <v/>
      </c>
      <c r="AD3194">
        <f>IF(Y3194=1,AC3194^2,"")</f>
        <v/>
      </c>
      <c r="AE3194" s="19">
        <f>IF(Z3194=1,(H3194-M3194)*I3194,0)</f>
        <v/>
      </c>
      <c r="AF3194">
        <f>IF(G3194&lt;EDATE(Assumptions!$C$6,-12)+1,"prior_12m","last_12m")</f>
        <v/>
      </c>
      <c r="AG3194" s="21">
        <f>DATE(YEAR(G3194),MONTH(G3194),1)</f>
        <v/>
      </c>
    </row>
    <row r="3195">
      <c r="A3195" t="inlineStr">
        <is>
          <t>SPO-01708-2</t>
        </is>
      </c>
      <c r="B3195" t="inlineStr">
        <is>
          <t>SPO-01708</t>
        </is>
      </c>
      <c r="C3195" t="inlineStr">
        <is>
          <t>SUP-05</t>
        </is>
      </c>
      <c r="D3195" t="inlineStr">
        <is>
          <t>FLEET</t>
        </is>
      </c>
      <c r="E3195" t="inlineStr">
        <is>
          <t>FLEET-01</t>
        </is>
      </c>
      <c r="F3195" s="17" t="n">
        <v>46044</v>
      </c>
      <c r="G3195" s="17" t="n">
        <v>46058</v>
      </c>
      <c r="H3195" s="18" t="n">
        <v>58</v>
      </c>
      <c r="I3195" s="19" t="n">
        <v>68.8</v>
      </c>
      <c r="J3195" s="19" t="n">
        <v>64</v>
      </c>
      <c r="K3195" s="20" t="n">
        <v>0</v>
      </c>
      <c r="L3195" s="20" t="n">
        <v>0</v>
      </c>
      <c r="M3195" s="18" t="n">
        <v>58</v>
      </c>
      <c r="N3195" s="18" t="n">
        <v>58</v>
      </c>
      <c r="O3195" s="18" t="n">
        <v>0</v>
      </c>
      <c r="P3195" s="17" t="n">
        <v>46056</v>
      </c>
      <c r="Q3195" s="17" t="n">
        <v>46056</v>
      </c>
      <c r="R3195" s="17" t="n">
        <v>46056</v>
      </c>
      <c r="S3195" s="19">
        <f>H3195*I3195</f>
        <v/>
      </c>
      <c r="T3195" s="19">
        <f>H3195*J3195</f>
        <v/>
      </c>
      <c r="U3195">
        <f>IF(AND(K3195=0,G3195&lt;=Assumptions!$C$6),1,0)</f>
        <v/>
      </c>
      <c r="V3195">
        <f>IF(U3195=1,IF(M3195&gt;0,IF(P3195&lt;=G3195+Assumptions!$C$7,1,0),0),0)</f>
        <v/>
      </c>
      <c r="W3195">
        <f>IF(AND(U3195=1,M3195&gt;=H3195*(1-Assumptions!$C$8)),1,0)</f>
        <v/>
      </c>
      <c r="X3195">
        <f>IF(AND(U3195=1,N3195&gt;=H3195*(1-Assumptions!$C$8)),1,0)</f>
        <v/>
      </c>
      <c r="Y3195">
        <f>IF(ISNUMBER(Q3195),1,0)</f>
        <v/>
      </c>
      <c r="Z3195">
        <f>IF(AND(K3195=0,L3195=0,Y3195=0),1,0)</f>
        <v/>
      </c>
      <c r="AA3195">
        <f>IF(AND(Z3195=1,G3195&lt;Assumptions!$C$6),1,0)</f>
        <v/>
      </c>
      <c r="AB3195">
        <f>IF(U3195=0,"",IF(Y3195=1,MAX(0,Q3195-G3195),IF(L3195=1,MAX(0,R3195-G3195),MAX(0,Assumptions!$C$6-G3195))))</f>
        <v/>
      </c>
      <c r="AC3195">
        <f>IF(Y3195=1,Q3195-F3195,"")</f>
        <v/>
      </c>
      <c r="AD3195">
        <f>IF(Y3195=1,AC3195^2,"")</f>
        <v/>
      </c>
      <c r="AE3195" s="19">
        <f>IF(Z3195=1,(H3195-M3195)*I3195,0)</f>
        <v/>
      </c>
      <c r="AF3195">
        <f>IF(G3195&lt;EDATE(Assumptions!$C$6,-12)+1,"prior_12m","last_12m")</f>
        <v/>
      </c>
      <c r="AG3195" s="21">
        <f>DATE(YEAR(G3195),MONTH(G3195),1)</f>
        <v/>
      </c>
    </row>
    <row r="3196">
      <c r="A3196" t="inlineStr">
        <is>
          <t>SPO-01708-3</t>
        </is>
      </c>
      <c r="B3196" t="inlineStr">
        <is>
          <t>SPO-01708</t>
        </is>
      </c>
      <c r="C3196" t="inlineStr">
        <is>
          <t>SUP-05</t>
        </is>
      </c>
      <c r="D3196" t="inlineStr">
        <is>
          <t>FLEET</t>
        </is>
      </c>
      <c r="E3196" t="inlineStr">
        <is>
          <t>FLEET-07</t>
        </is>
      </c>
      <c r="F3196" s="17" t="n">
        <v>46044</v>
      </c>
      <c r="G3196" s="17" t="n">
        <v>46058</v>
      </c>
      <c r="H3196" s="18" t="n">
        <v>13</v>
      </c>
      <c r="I3196" s="19" t="n">
        <v>119.5</v>
      </c>
      <c r="J3196" s="19" t="n">
        <v>118</v>
      </c>
      <c r="K3196" s="20" t="n">
        <v>0</v>
      </c>
      <c r="L3196" s="20" t="n">
        <v>0</v>
      </c>
      <c r="M3196" s="18" t="n">
        <v>13</v>
      </c>
      <c r="N3196" s="18" t="n">
        <v>13</v>
      </c>
      <c r="O3196" s="18" t="n">
        <v>0</v>
      </c>
      <c r="P3196" s="17" t="n">
        <v>46056</v>
      </c>
      <c r="Q3196" s="17" t="n">
        <v>46056</v>
      </c>
      <c r="R3196" s="17" t="n">
        <v>46056</v>
      </c>
      <c r="S3196" s="19">
        <f>H3196*I3196</f>
        <v/>
      </c>
      <c r="T3196" s="19">
        <f>H3196*J3196</f>
        <v/>
      </c>
      <c r="U3196">
        <f>IF(AND(K3196=0,G3196&lt;=Assumptions!$C$6),1,0)</f>
        <v/>
      </c>
      <c r="V3196">
        <f>IF(U3196=1,IF(M3196&gt;0,IF(P3196&lt;=G3196+Assumptions!$C$7,1,0),0),0)</f>
        <v/>
      </c>
      <c r="W3196">
        <f>IF(AND(U3196=1,M3196&gt;=H3196*(1-Assumptions!$C$8)),1,0)</f>
        <v/>
      </c>
      <c r="X3196">
        <f>IF(AND(U3196=1,N3196&gt;=H3196*(1-Assumptions!$C$8)),1,0)</f>
        <v/>
      </c>
      <c r="Y3196">
        <f>IF(ISNUMBER(Q3196),1,0)</f>
        <v/>
      </c>
      <c r="Z3196">
        <f>IF(AND(K3196=0,L3196=0,Y3196=0),1,0)</f>
        <v/>
      </c>
      <c r="AA3196">
        <f>IF(AND(Z3196=1,G3196&lt;Assumptions!$C$6),1,0)</f>
        <v/>
      </c>
      <c r="AB3196">
        <f>IF(U3196=0,"",IF(Y3196=1,MAX(0,Q3196-G3196),IF(L3196=1,MAX(0,R3196-G3196),MAX(0,Assumptions!$C$6-G3196))))</f>
        <v/>
      </c>
      <c r="AC3196">
        <f>IF(Y3196=1,Q3196-F3196,"")</f>
        <v/>
      </c>
      <c r="AD3196">
        <f>IF(Y3196=1,AC3196^2,"")</f>
        <v/>
      </c>
      <c r="AE3196" s="19">
        <f>IF(Z3196=1,(H3196-M3196)*I3196,0)</f>
        <v/>
      </c>
      <c r="AF3196">
        <f>IF(G3196&lt;EDATE(Assumptions!$C$6,-12)+1,"prior_12m","last_12m")</f>
        <v/>
      </c>
      <c r="AG3196" s="21">
        <f>DATE(YEAR(G3196),MONTH(G3196),1)</f>
        <v/>
      </c>
    </row>
    <row r="3197">
      <c r="A3197" t="inlineStr">
        <is>
          <t>SPO-01708-4</t>
        </is>
      </c>
      <c r="B3197" t="inlineStr">
        <is>
          <t>SPO-01708</t>
        </is>
      </c>
      <c r="C3197" t="inlineStr">
        <is>
          <t>SUP-05</t>
        </is>
      </c>
      <c r="D3197" t="inlineStr">
        <is>
          <t>FLEET</t>
        </is>
      </c>
      <c r="E3197" t="inlineStr">
        <is>
          <t>FLEET-03</t>
        </is>
      </c>
      <c r="F3197" s="17" t="n">
        <v>46044</v>
      </c>
      <c r="G3197" s="17" t="n">
        <v>46058</v>
      </c>
      <c r="H3197" s="18" t="n">
        <v>102</v>
      </c>
      <c r="I3197" s="19" t="n">
        <v>20.76</v>
      </c>
      <c r="J3197" s="19" t="n">
        <v>21</v>
      </c>
      <c r="K3197" s="20" t="n">
        <v>0</v>
      </c>
      <c r="L3197" s="20" t="n">
        <v>0</v>
      </c>
      <c r="M3197" s="18" t="n">
        <v>102</v>
      </c>
      <c r="N3197" s="18" t="n">
        <v>102</v>
      </c>
      <c r="O3197" s="18" t="n">
        <v>0</v>
      </c>
      <c r="P3197" s="17" t="n">
        <v>46055</v>
      </c>
      <c r="Q3197" s="17" t="n">
        <v>46055</v>
      </c>
      <c r="R3197" s="17" t="n">
        <v>46055</v>
      </c>
      <c r="S3197" s="19">
        <f>H3197*I3197</f>
        <v/>
      </c>
      <c r="T3197" s="19">
        <f>H3197*J3197</f>
        <v/>
      </c>
      <c r="U3197">
        <f>IF(AND(K3197=0,G3197&lt;=Assumptions!$C$6),1,0)</f>
        <v/>
      </c>
      <c r="V3197">
        <f>IF(U3197=1,IF(M3197&gt;0,IF(P3197&lt;=G3197+Assumptions!$C$7,1,0),0),0)</f>
        <v/>
      </c>
      <c r="W3197">
        <f>IF(AND(U3197=1,M3197&gt;=H3197*(1-Assumptions!$C$8)),1,0)</f>
        <v/>
      </c>
      <c r="X3197">
        <f>IF(AND(U3197=1,N3197&gt;=H3197*(1-Assumptions!$C$8)),1,0)</f>
        <v/>
      </c>
      <c r="Y3197">
        <f>IF(ISNUMBER(Q3197),1,0)</f>
        <v/>
      </c>
      <c r="Z3197">
        <f>IF(AND(K3197=0,L3197=0,Y3197=0),1,0)</f>
        <v/>
      </c>
      <c r="AA3197">
        <f>IF(AND(Z3197=1,G3197&lt;Assumptions!$C$6),1,0)</f>
        <v/>
      </c>
      <c r="AB3197">
        <f>IF(U3197=0,"",IF(Y3197=1,MAX(0,Q3197-G3197),IF(L3197=1,MAX(0,R3197-G3197),MAX(0,Assumptions!$C$6-G3197))))</f>
        <v/>
      </c>
      <c r="AC3197">
        <f>IF(Y3197=1,Q3197-F3197,"")</f>
        <v/>
      </c>
      <c r="AD3197">
        <f>IF(Y3197=1,AC3197^2,"")</f>
        <v/>
      </c>
      <c r="AE3197" s="19">
        <f>IF(Z3197=1,(H3197-M3197)*I3197,0)</f>
        <v/>
      </c>
      <c r="AF3197">
        <f>IF(G3197&lt;EDATE(Assumptions!$C$6,-12)+1,"prior_12m","last_12m")</f>
        <v/>
      </c>
      <c r="AG3197" s="21">
        <f>DATE(YEAR(G3197),MONTH(G3197),1)</f>
        <v/>
      </c>
    </row>
    <row r="3198">
      <c r="A3198" t="inlineStr">
        <is>
          <t>SPO-01709-1</t>
        </is>
      </c>
      <c r="B3198" t="inlineStr">
        <is>
          <t>SPO-01709</t>
        </is>
      </c>
      <c r="C3198" t="inlineStr">
        <is>
          <t>SUP-11</t>
        </is>
      </c>
      <c r="D3198" t="inlineStr">
        <is>
          <t>PPE</t>
        </is>
      </c>
      <c r="E3198" t="inlineStr">
        <is>
          <t>PPE-03</t>
        </is>
      </c>
      <c r="F3198" s="17" t="n">
        <v>46044</v>
      </c>
      <c r="G3198" s="17" t="n">
        <v>46056</v>
      </c>
      <c r="H3198" s="18" t="n">
        <v>79</v>
      </c>
      <c r="I3198" s="19" t="n">
        <v>21.27</v>
      </c>
      <c r="J3198" s="19" t="n">
        <v>21</v>
      </c>
      <c r="K3198" s="20" t="n">
        <v>0</v>
      </c>
      <c r="L3198" s="20" t="n">
        <v>0</v>
      </c>
      <c r="M3198" s="18" t="n">
        <v>79</v>
      </c>
      <c r="N3198" s="18" t="n">
        <v>79</v>
      </c>
      <c r="O3198" s="18" t="n">
        <v>0</v>
      </c>
      <c r="P3198" s="17" t="n">
        <v>46055</v>
      </c>
      <c r="Q3198" s="17" t="n">
        <v>46055</v>
      </c>
      <c r="R3198" s="17" t="n">
        <v>46055</v>
      </c>
      <c r="S3198" s="19">
        <f>H3198*I3198</f>
        <v/>
      </c>
      <c r="T3198" s="19">
        <f>H3198*J3198</f>
        <v/>
      </c>
      <c r="U3198">
        <f>IF(AND(K3198=0,G3198&lt;=Assumptions!$C$6),1,0)</f>
        <v/>
      </c>
      <c r="V3198">
        <f>IF(U3198=1,IF(M3198&gt;0,IF(P3198&lt;=G3198+Assumptions!$C$7,1,0),0),0)</f>
        <v/>
      </c>
      <c r="W3198">
        <f>IF(AND(U3198=1,M3198&gt;=H3198*(1-Assumptions!$C$8)),1,0)</f>
        <v/>
      </c>
      <c r="X3198">
        <f>IF(AND(U3198=1,N3198&gt;=H3198*(1-Assumptions!$C$8)),1,0)</f>
        <v/>
      </c>
      <c r="Y3198">
        <f>IF(ISNUMBER(Q3198),1,0)</f>
        <v/>
      </c>
      <c r="Z3198">
        <f>IF(AND(K3198=0,L3198=0,Y3198=0),1,0)</f>
        <v/>
      </c>
      <c r="AA3198">
        <f>IF(AND(Z3198=1,G3198&lt;Assumptions!$C$6),1,0)</f>
        <v/>
      </c>
      <c r="AB3198">
        <f>IF(U3198=0,"",IF(Y3198=1,MAX(0,Q3198-G3198),IF(L3198=1,MAX(0,R3198-G3198),MAX(0,Assumptions!$C$6-G3198))))</f>
        <v/>
      </c>
      <c r="AC3198">
        <f>IF(Y3198=1,Q3198-F3198,"")</f>
        <v/>
      </c>
      <c r="AD3198">
        <f>IF(Y3198=1,AC3198^2,"")</f>
        <v/>
      </c>
      <c r="AE3198" s="19">
        <f>IF(Z3198=1,(H3198-M3198)*I3198,0)</f>
        <v/>
      </c>
      <c r="AF3198">
        <f>IF(G3198&lt;EDATE(Assumptions!$C$6,-12)+1,"prior_12m","last_12m")</f>
        <v/>
      </c>
      <c r="AG3198" s="21">
        <f>DATE(YEAR(G3198),MONTH(G3198),1)</f>
        <v/>
      </c>
    </row>
    <row r="3199">
      <c r="A3199" t="inlineStr">
        <is>
          <t>SPO-01709-2</t>
        </is>
      </c>
      <c r="B3199" t="inlineStr">
        <is>
          <t>SPO-01709</t>
        </is>
      </c>
      <c r="C3199" t="inlineStr">
        <is>
          <t>SUP-11</t>
        </is>
      </c>
      <c r="D3199" t="inlineStr">
        <is>
          <t>PPE</t>
        </is>
      </c>
      <c r="E3199" t="inlineStr">
        <is>
          <t>PPE-02</t>
        </is>
      </c>
      <c r="F3199" s="17" t="n">
        <v>46044</v>
      </c>
      <c r="G3199" s="17" t="n">
        <v>46056</v>
      </c>
      <c r="H3199" s="18" t="n">
        <v>234</v>
      </c>
      <c r="I3199" s="19" t="n">
        <v>12.61</v>
      </c>
      <c r="J3199" s="19" t="n">
        <v>12.5</v>
      </c>
      <c r="K3199" s="20" t="n">
        <v>0</v>
      </c>
      <c r="L3199" s="20" t="n">
        <v>0</v>
      </c>
      <c r="M3199" s="18" t="n">
        <v>234</v>
      </c>
      <c r="N3199" s="18" t="n">
        <v>234</v>
      </c>
      <c r="O3199" s="18" t="n">
        <v>0</v>
      </c>
      <c r="P3199" s="17" t="n">
        <v>46052</v>
      </c>
      <c r="Q3199" s="17" t="n">
        <v>46052</v>
      </c>
      <c r="R3199" s="17" t="n">
        <v>46052</v>
      </c>
      <c r="S3199" s="19">
        <f>H3199*I3199</f>
        <v/>
      </c>
      <c r="T3199" s="19">
        <f>H3199*J3199</f>
        <v/>
      </c>
      <c r="U3199">
        <f>IF(AND(K3199=0,G3199&lt;=Assumptions!$C$6),1,0)</f>
        <v/>
      </c>
      <c r="V3199">
        <f>IF(U3199=1,IF(M3199&gt;0,IF(P3199&lt;=G3199+Assumptions!$C$7,1,0),0),0)</f>
        <v/>
      </c>
      <c r="W3199">
        <f>IF(AND(U3199=1,M3199&gt;=H3199*(1-Assumptions!$C$8)),1,0)</f>
        <v/>
      </c>
      <c r="X3199">
        <f>IF(AND(U3199=1,N3199&gt;=H3199*(1-Assumptions!$C$8)),1,0)</f>
        <v/>
      </c>
      <c r="Y3199">
        <f>IF(ISNUMBER(Q3199),1,0)</f>
        <v/>
      </c>
      <c r="Z3199">
        <f>IF(AND(K3199=0,L3199=0,Y3199=0),1,0)</f>
        <v/>
      </c>
      <c r="AA3199">
        <f>IF(AND(Z3199=1,G3199&lt;Assumptions!$C$6),1,0)</f>
        <v/>
      </c>
      <c r="AB3199">
        <f>IF(U3199=0,"",IF(Y3199=1,MAX(0,Q3199-G3199),IF(L3199=1,MAX(0,R3199-G3199),MAX(0,Assumptions!$C$6-G3199))))</f>
        <v/>
      </c>
      <c r="AC3199">
        <f>IF(Y3199=1,Q3199-F3199,"")</f>
        <v/>
      </c>
      <c r="AD3199">
        <f>IF(Y3199=1,AC3199^2,"")</f>
        <v/>
      </c>
      <c r="AE3199" s="19">
        <f>IF(Z3199=1,(H3199-M3199)*I3199,0)</f>
        <v/>
      </c>
      <c r="AF3199">
        <f>IF(G3199&lt;EDATE(Assumptions!$C$6,-12)+1,"prior_12m","last_12m")</f>
        <v/>
      </c>
      <c r="AG3199" s="21">
        <f>DATE(YEAR(G3199),MONTH(G3199),1)</f>
        <v/>
      </c>
    </row>
    <row r="3200">
      <c r="A3200" t="inlineStr">
        <is>
          <t>SPO-01709-3</t>
        </is>
      </c>
      <c r="B3200" t="inlineStr">
        <is>
          <t>SPO-01709</t>
        </is>
      </c>
      <c r="C3200" t="inlineStr">
        <is>
          <t>SUP-11</t>
        </is>
      </c>
      <c r="D3200" t="inlineStr">
        <is>
          <t>PPE</t>
        </is>
      </c>
      <c r="E3200" t="inlineStr">
        <is>
          <t>PPE-08</t>
        </is>
      </c>
      <c r="F3200" s="17" t="n">
        <v>46044</v>
      </c>
      <c r="G3200" s="17" t="n">
        <v>46056</v>
      </c>
      <c r="H3200" s="18" t="n">
        <v>52</v>
      </c>
      <c r="I3200" s="19" t="n">
        <v>61.9</v>
      </c>
      <c r="J3200" s="19" t="n">
        <v>64</v>
      </c>
      <c r="K3200" s="20" t="n">
        <v>0</v>
      </c>
      <c r="L3200" s="20" t="n">
        <v>0</v>
      </c>
      <c r="M3200" s="18" t="n">
        <v>52</v>
      </c>
      <c r="N3200" s="18" t="n">
        <v>52</v>
      </c>
      <c r="O3200" s="18" t="n">
        <v>0</v>
      </c>
      <c r="P3200" s="17" t="n">
        <v>46052</v>
      </c>
      <c r="Q3200" s="17" t="n">
        <v>46052</v>
      </c>
      <c r="R3200" s="17" t="n">
        <v>46052</v>
      </c>
      <c r="S3200" s="19">
        <f>H3200*I3200</f>
        <v/>
      </c>
      <c r="T3200" s="19">
        <f>H3200*J3200</f>
        <v/>
      </c>
      <c r="U3200">
        <f>IF(AND(K3200=0,G3200&lt;=Assumptions!$C$6),1,0)</f>
        <v/>
      </c>
      <c r="V3200">
        <f>IF(U3200=1,IF(M3200&gt;0,IF(P3200&lt;=G3200+Assumptions!$C$7,1,0),0),0)</f>
        <v/>
      </c>
      <c r="W3200">
        <f>IF(AND(U3200=1,M3200&gt;=H3200*(1-Assumptions!$C$8)),1,0)</f>
        <v/>
      </c>
      <c r="X3200">
        <f>IF(AND(U3200=1,N3200&gt;=H3200*(1-Assumptions!$C$8)),1,0)</f>
        <v/>
      </c>
      <c r="Y3200">
        <f>IF(ISNUMBER(Q3200),1,0)</f>
        <v/>
      </c>
      <c r="Z3200">
        <f>IF(AND(K3200=0,L3200=0,Y3200=0),1,0)</f>
        <v/>
      </c>
      <c r="AA3200">
        <f>IF(AND(Z3200=1,G3200&lt;Assumptions!$C$6),1,0)</f>
        <v/>
      </c>
      <c r="AB3200">
        <f>IF(U3200=0,"",IF(Y3200=1,MAX(0,Q3200-G3200),IF(L3200=1,MAX(0,R3200-G3200),MAX(0,Assumptions!$C$6-G3200))))</f>
        <v/>
      </c>
      <c r="AC3200">
        <f>IF(Y3200=1,Q3200-F3200,"")</f>
        <v/>
      </c>
      <c r="AD3200">
        <f>IF(Y3200=1,AC3200^2,"")</f>
        <v/>
      </c>
      <c r="AE3200" s="19">
        <f>IF(Z3200=1,(H3200-M3200)*I3200,0)</f>
        <v/>
      </c>
      <c r="AF3200">
        <f>IF(G3200&lt;EDATE(Assumptions!$C$6,-12)+1,"prior_12m","last_12m")</f>
        <v/>
      </c>
      <c r="AG3200" s="21">
        <f>DATE(YEAR(G3200),MONTH(G3200),1)</f>
        <v/>
      </c>
    </row>
    <row r="3201">
      <c r="A3201" t="inlineStr">
        <is>
          <t>SPO-01710-1</t>
        </is>
      </c>
      <c r="B3201" t="inlineStr">
        <is>
          <t>SPO-01710</t>
        </is>
      </c>
      <c r="C3201" t="inlineStr">
        <is>
          <t>SUP-14</t>
        </is>
      </c>
      <c r="D3201" t="inlineStr">
        <is>
          <t>FLEET</t>
        </is>
      </c>
      <c r="E3201" t="inlineStr">
        <is>
          <t>FLEET-03</t>
        </is>
      </c>
      <c r="F3201" s="17" t="n">
        <v>46044</v>
      </c>
      <c r="G3201" s="17" t="n">
        <v>46058</v>
      </c>
      <c r="H3201" s="18" t="n">
        <v>78</v>
      </c>
      <c r="I3201" s="19" t="n">
        <v>21.89</v>
      </c>
      <c r="J3201" s="19" t="n">
        <v>21</v>
      </c>
      <c r="K3201" s="20" t="n">
        <v>0</v>
      </c>
      <c r="L3201" s="20" t="n">
        <v>0</v>
      </c>
      <c r="M3201" s="18" t="n">
        <v>78</v>
      </c>
      <c r="N3201" s="18" t="n">
        <v>78</v>
      </c>
      <c r="O3201" s="18" t="n">
        <v>0</v>
      </c>
      <c r="P3201" s="17" t="n">
        <v>46050</v>
      </c>
      <c r="Q3201" s="17" t="n">
        <v>46050</v>
      </c>
      <c r="R3201" s="17" t="n">
        <v>46050</v>
      </c>
      <c r="S3201" s="19">
        <f>H3201*I3201</f>
        <v/>
      </c>
      <c r="T3201" s="19">
        <f>H3201*J3201</f>
        <v/>
      </c>
      <c r="U3201">
        <f>IF(AND(K3201=0,G3201&lt;=Assumptions!$C$6),1,0)</f>
        <v/>
      </c>
      <c r="V3201">
        <f>IF(U3201=1,IF(M3201&gt;0,IF(P3201&lt;=G3201+Assumptions!$C$7,1,0),0),0)</f>
        <v/>
      </c>
      <c r="W3201">
        <f>IF(AND(U3201=1,M3201&gt;=H3201*(1-Assumptions!$C$8)),1,0)</f>
        <v/>
      </c>
      <c r="X3201">
        <f>IF(AND(U3201=1,N3201&gt;=H3201*(1-Assumptions!$C$8)),1,0)</f>
        <v/>
      </c>
      <c r="Y3201">
        <f>IF(ISNUMBER(Q3201),1,0)</f>
        <v/>
      </c>
      <c r="Z3201">
        <f>IF(AND(K3201=0,L3201=0,Y3201=0),1,0)</f>
        <v/>
      </c>
      <c r="AA3201">
        <f>IF(AND(Z3201=1,G3201&lt;Assumptions!$C$6),1,0)</f>
        <v/>
      </c>
      <c r="AB3201">
        <f>IF(U3201=0,"",IF(Y3201=1,MAX(0,Q3201-G3201),IF(L3201=1,MAX(0,R3201-G3201),MAX(0,Assumptions!$C$6-G3201))))</f>
        <v/>
      </c>
      <c r="AC3201">
        <f>IF(Y3201=1,Q3201-F3201,"")</f>
        <v/>
      </c>
      <c r="AD3201">
        <f>IF(Y3201=1,AC3201^2,"")</f>
        <v/>
      </c>
      <c r="AE3201" s="19">
        <f>IF(Z3201=1,(H3201-M3201)*I3201,0)</f>
        <v/>
      </c>
      <c r="AF3201">
        <f>IF(G3201&lt;EDATE(Assumptions!$C$6,-12)+1,"prior_12m","last_12m")</f>
        <v/>
      </c>
      <c r="AG3201" s="21">
        <f>DATE(YEAR(G3201),MONTH(G3201),1)</f>
        <v/>
      </c>
    </row>
    <row r="3202">
      <c r="A3202" t="inlineStr">
        <is>
          <t>SPO-01710-2</t>
        </is>
      </c>
      <c r="B3202" t="inlineStr">
        <is>
          <t>SPO-01710</t>
        </is>
      </c>
      <c r="C3202" t="inlineStr">
        <is>
          <t>SUP-14</t>
        </is>
      </c>
      <c r="D3202" t="inlineStr">
        <is>
          <t>FLEET</t>
        </is>
      </c>
      <c r="E3202" t="inlineStr">
        <is>
          <t>FLEET-08</t>
        </is>
      </c>
      <c r="F3202" s="17" t="n">
        <v>46044</v>
      </c>
      <c r="G3202" s="17" t="n">
        <v>46058</v>
      </c>
      <c r="H3202" s="18" t="n">
        <v>241</v>
      </c>
      <c r="I3202" s="19" t="n">
        <v>6.27</v>
      </c>
      <c r="J3202" s="19" t="n">
        <v>6.4</v>
      </c>
      <c r="K3202" s="20" t="n">
        <v>0</v>
      </c>
      <c r="L3202" s="20" t="n">
        <v>0</v>
      </c>
      <c r="M3202" s="18" t="n">
        <v>241</v>
      </c>
      <c r="N3202" s="18" t="n">
        <v>241</v>
      </c>
      <c r="O3202" s="18" t="n">
        <v>0</v>
      </c>
      <c r="P3202" s="17" t="n">
        <v>46058</v>
      </c>
      <c r="Q3202" s="17" t="n">
        <v>46058</v>
      </c>
      <c r="R3202" s="17" t="n">
        <v>46058</v>
      </c>
      <c r="S3202" s="19">
        <f>H3202*I3202</f>
        <v/>
      </c>
      <c r="T3202" s="19">
        <f>H3202*J3202</f>
        <v/>
      </c>
      <c r="U3202">
        <f>IF(AND(K3202=0,G3202&lt;=Assumptions!$C$6),1,0)</f>
        <v/>
      </c>
      <c r="V3202">
        <f>IF(U3202=1,IF(M3202&gt;0,IF(P3202&lt;=G3202+Assumptions!$C$7,1,0),0),0)</f>
        <v/>
      </c>
      <c r="W3202">
        <f>IF(AND(U3202=1,M3202&gt;=H3202*(1-Assumptions!$C$8)),1,0)</f>
        <v/>
      </c>
      <c r="X3202">
        <f>IF(AND(U3202=1,N3202&gt;=H3202*(1-Assumptions!$C$8)),1,0)</f>
        <v/>
      </c>
      <c r="Y3202">
        <f>IF(ISNUMBER(Q3202),1,0)</f>
        <v/>
      </c>
      <c r="Z3202">
        <f>IF(AND(K3202=0,L3202=0,Y3202=0),1,0)</f>
        <v/>
      </c>
      <c r="AA3202">
        <f>IF(AND(Z3202=1,G3202&lt;Assumptions!$C$6),1,0)</f>
        <v/>
      </c>
      <c r="AB3202">
        <f>IF(U3202=0,"",IF(Y3202=1,MAX(0,Q3202-G3202),IF(L3202=1,MAX(0,R3202-G3202),MAX(0,Assumptions!$C$6-G3202))))</f>
        <v/>
      </c>
      <c r="AC3202">
        <f>IF(Y3202=1,Q3202-F3202,"")</f>
        <v/>
      </c>
      <c r="AD3202">
        <f>IF(Y3202=1,AC3202^2,"")</f>
        <v/>
      </c>
      <c r="AE3202" s="19">
        <f>IF(Z3202=1,(H3202-M3202)*I3202,0)</f>
        <v/>
      </c>
      <c r="AF3202">
        <f>IF(G3202&lt;EDATE(Assumptions!$C$6,-12)+1,"prior_12m","last_12m")</f>
        <v/>
      </c>
      <c r="AG3202" s="21">
        <f>DATE(YEAR(G3202),MONTH(G3202),1)</f>
        <v/>
      </c>
    </row>
    <row r="3203">
      <c r="A3203" t="inlineStr">
        <is>
          <t>SPO-01711-1</t>
        </is>
      </c>
      <c r="B3203" t="inlineStr">
        <is>
          <t>SPO-01711</t>
        </is>
      </c>
      <c r="C3203" t="inlineStr">
        <is>
          <t>SUP-12</t>
        </is>
      </c>
      <c r="D3203" t="inlineStr">
        <is>
          <t>IT</t>
        </is>
      </c>
      <c r="E3203" t="inlineStr">
        <is>
          <t>IT-03</t>
        </is>
      </c>
      <c r="F3203" s="17" t="n">
        <v>46045</v>
      </c>
      <c r="G3203" s="17" t="n">
        <v>46055</v>
      </c>
      <c r="H3203" s="18" t="n">
        <v>48</v>
      </c>
      <c r="I3203" s="19" t="n">
        <v>43.88</v>
      </c>
      <c r="J3203" s="19" t="n">
        <v>38</v>
      </c>
      <c r="K3203" s="20" t="n">
        <v>0</v>
      </c>
      <c r="L3203" s="20" t="n">
        <v>0</v>
      </c>
      <c r="M3203" s="18" t="n">
        <v>48</v>
      </c>
      <c r="N3203" s="18" t="n">
        <v>48</v>
      </c>
      <c r="O3203" s="18" t="n">
        <v>0</v>
      </c>
      <c r="P3203" s="17" t="n">
        <v>46047</v>
      </c>
      <c r="Q3203" s="17" t="n">
        <v>46047</v>
      </c>
      <c r="R3203" s="17" t="n">
        <v>46047</v>
      </c>
      <c r="S3203" s="19">
        <f>H3203*I3203</f>
        <v/>
      </c>
      <c r="T3203" s="19">
        <f>H3203*J3203</f>
        <v/>
      </c>
      <c r="U3203">
        <f>IF(AND(K3203=0,G3203&lt;=Assumptions!$C$6),1,0)</f>
        <v/>
      </c>
      <c r="V3203">
        <f>IF(U3203=1,IF(M3203&gt;0,IF(P3203&lt;=G3203+Assumptions!$C$7,1,0),0),0)</f>
        <v/>
      </c>
      <c r="W3203">
        <f>IF(AND(U3203=1,M3203&gt;=H3203*(1-Assumptions!$C$8)),1,0)</f>
        <v/>
      </c>
      <c r="X3203">
        <f>IF(AND(U3203=1,N3203&gt;=H3203*(1-Assumptions!$C$8)),1,0)</f>
        <v/>
      </c>
      <c r="Y3203">
        <f>IF(ISNUMBER(Q3203),1,0)</f>
        <v/>
      </c>
      <c r="Z3203">
        <f>IF(AND(K3203=0,L3203=0,Y3203=0),1,0)</f>
        <v/>
      </c>
      <c r="AA3203">
        <f>IF(AND(Z3203=1,G3203&lt;Assumptions!$C$6),1,0)</f>
        <v/>
      </c>
      <c r="AB3203">
        <f>IF(U3203=0,"",IF(Y3203=1,MAX(0,Q3203-G3203),IF(L3203=1,MAX(0,R3203-G3203),MAX(0,Assumptions!$C$6-G3203))))</f>
        <v/>
      </c>
      <c r="AC3203">
        <f>IF(Y3203=1,Q3203-F3203,"")</f>
        <v/>
      </c>
      <c r="AD3203">
        <f>IF(Y3203=1,AC3203^2,"")</f>
        <v/>
      </c>
      <c r="AE3203" s="19">
        <f>IF(Z3203=1,(H3203-M3203)*I3203,0)</f>
        <v/>
      </c>
      <c r="AF3203">
        <f>IF(G3203&lt;EDATE(Assumptions!$C$6,-12)+1,"prior_12m","last_12m")</f>
        <v/>
      </c>
      <c r="AG3203" s="21">
        <f>DATE(YEAR(G3203),MONTH(G3203),1)</f>
        <v/>
      </c>
    </row>
    <row r="3204">
      <c r="A3204" t="inlineStr">
        <is>
          <t>SPO-01711-2</t>
        </is>
      </c>
      <c r="B3204" t="inlineStr">
        <is>
          <t>SPO-01711</t>
        </is>
      </c>
      <c r="C3204" t="inlineStr">
        <is>
          <t>SUP-12</t>
        </is>
      </c>
      <c r="D3204" t="inlineStr">
        <is>
          <t>IT</t>
        </is>
      </c>
      <c r="E3204" t="inlineStr">
        <is>
          <t>IT-04</t>
        </is>
      </c>
      <c r="F3204" s="17" t="n">
        <v>46045</v>
      </c>
      <c r="G3204" s="17" t="n">
        <v>46055</v>
      </c>
      <c r="H3204" s="18" t="n">
        <v>89</v>
      </c>
      <c r="I3204" s="19" t="n">
        <v>13.7</v>
      </c>
      <c r="J3204" s="19" t="n">
        <v>12</v>
      </c>
      <c r="K3204" s="20" t="n">
        <v>0</v>
      </c>
      <c r="L3204" s="20" t="n">
        <v>0</v>
      </c>
      <c r="M3204" s="18" t="n">
        <v>89</v>
      </c>
      <c r="N3204" s="18" t="n">
        <v>89</v>
      </c>
      <c r="O3204" s="18" t="n">
        <v>0</v>
      </c>
      <c r="P3204" s="17" t="n">
        <v>46051</v>
      </c>
      <c r="Q3204" s="17" t="n">
        <v>46051</v>
      </c>
      <c r="R3204" s="17" t="n">
        <v>46051</v>
      </c>
      <c r="S3204" s="19">
        <f>H3204*I3204</f>
        <v/>
      </c>
      <c r="T3204" s="19">
        <f>H3204*J3204</f>
        <v/>
      </c>
      <c r="U3204">
        <f>IF(AND(K3204=0,G3204&lt;=Assumptions!$C$6),1,0)</f>
        <v/>
      </c>
      <c r="V3204">
        <f>IF(U3204=1,IF(M3204&gt;0,IF(P3204&lt;=G3204+Assumptions!$C$7,1,0),0),0)</f>
        <v/>
      </c>
      <c r="W3204">
        <f>IF(AND(U3204=1,M3204&gt;=H3204*(1-Assumptions!$C$8)),1,0)</f>
        <v/>
      </c>
      <c r="X3204">
        <f>IF(AND(U3204=1,N3204&gt;=H3204*(1-Assumptions!$C$8)),1,0)</f>
        <v/>
      </c>
      <c r="Y3204">
        <f>IF(ISNUMBER(Q3204),1,0)</f>
        <v/>
      </c>
      <c r="Z3204">
        <f>IF(AND(K3204=0,L3204=0,Y3204=0),1,0)</f>
        <v/>
      </c>
      <c r="AA3204">
        <f>IF(AND(Z3204=1,G3204&lt;Assumptions!$C$6),1,0)</f>
        <v/>
      </c>
      <c r="AB3204">
        <f>IF(U3204=0,"",IF(Y3204=1,MAX(0,Q3204-G3204),IF(L3204=1,MAX(0,R3204-G3204),MAX(0,Assumptions!$C$6-G3204))))</f>
        <v/>
      </c>
      <c r="AC3204">
        <f>IF(Y3204=1,Q3204-F3204,"")</f>
        <v/>
      </c>
      <c r="AD3204">
        <f>IF(Y3204=1,AC3204^2,"")</f>
        <v/>
      </c>
      <c r="AE3204" s="19">
        <f>IF(Z3204=1,(H3204-M3204)*I3204,0)</f>
        <v/>
      </c>
      <c r="AF3204">
        <f>IF(G3204&lt;EDATE(Assumptions!$C$6,-12)+1,"prior_12m","last_12m")</f>
        <v/>
      </c>
      <c r="AG3204" s="21">
        <f>DATE(YEAR(G3204),MONTH(G3204),1)</f>
        <v/>
      </c>
    </row>
    <row r="3205">
      <c r="A3205" t="inlineStr">
        <is>
          <t>SPO-01712-1</t>
        </is>
      </c>
      <c r="B3205" t="inlineStr">
        <is>
          <t>SPO-01712</t>
        </is>
      </c>
      <c r="C3205" t="inlineStr">
        <is>
          <t>SUP-01</t>
        </is>
      </c>
      <c r="D3205" t="inlineStr">
        <is>
          <t>ELEC</t>
        </is>
      </c>
      <c r="E3205" t="inlineStr">
        <is>
          <t>ELEC-03</t>
        </is>
      </c>
      <c r="F3205" s="17" t="n">
        <v>46045</v>
      </c>
      <c r="G3205" s="17" t="n">
        <v>46063</v>
      </c>
      <c r="H3205" s="18" t="n">
        <v>43</v>
      </c>
      <c r="I3205" s="19" t="n">
        <v>93.52</v>
      </c>
      <c r="J3205" s="19" t="n">
        <v>96</v>
      </c>
      <c r="K3205" s="20" t="n">
        <v>0</v>
      </c>
      <c r="L3205" s="20" t="n">
        <v>0</v>
      </c>
      <c r="M3205" s="18" t="n">
        <v>43</v>
      </c>
      <c r="N3205" s="18" t="n">
        <v>0</v>
      </c>
      <c r="O3205" s="18" t="n">
        <v>0</v>
      </c>
      <c r="P3205" s="17" t="n">
        <v>46066</v>
      </c>
      <c r="Q3205" s="17" t="n">
        <v>46066</v>
      </c>
      <c r="R3205" s="17" t="n">
        <v>46066</v>
      </c>
      <c r="S3205" s="19">
        <f>H3205*I3205</f>
        <v/>
      </c>
      <c r="T3205" s="19">
        <f>H3205*J3205</f>
        <v/>
      </c>
      <c r="U3205">
        <f>IF(AND(K3205=0,G3205&lt;=Assumptions!$C$6),1,0)</f>
        <v/>
      </c>
      <c r="V3205">
        <f>IF(U3205=1,IF(M3205&gt;0,IF(P3205&lt;=G3205+Assumptions!$C$7,1,0),0),0)</f>
        <v/>
      </c>
      <c r="W3205">
        <f>IF(AND(U3205=1,M3205&gt;=H3205*(1-Assumptions!$C$8)),1,0)</f>
        <v/>
      </c>
      <c r="X3205">
        <f>IF(AND(U3205=1,N3205&gt;=H3205*(1-Assumptions!$C$8)),1,0)</f>
        <v/>
      </c>
      <c r="Y3205">
        <f>IF(ISNUMBER(Q3205),1,0)</f>
        <v/>
      </c>
      <c r="Z3205">
        <f>IF(AND(K3205=0,L3205=0,Y3205=0),1,0)</f>
        <v/>
      </c>
      <c r="AA3205">
        <f>IF(AND(Z3205=1,G3205&lt;Assumptions!$C$6),1,0)</f>
        <v/>
      </c>
      <c r="AB3205">
        <f>IF(U3205=0,"",IF(Y3205=1,MAX(0,Q3205-G3205),IF(L3205=1,MAX(0,R3205-G3205),MAX(0,Assumptions!$C$6-G3205))))</f>
        <v/>
      </c>
      <c r="AC3205">
        <f>IF(Y3205=1,Q3205-F3205,"")</f>
        <v/>
      </c>
      <c r="AD3205">
        <f>IF(Y3205=1,AC3205^2,"")</f>
        <v/>
      </c>
      <c r="AE3205" s="19">
        <f>IF(Z3205=1,(H3205-M3205)*I3205,0)</f>
        <v/>
      </c>
      <c r="AF3205">
        <f>IF(G3205&lt;EDATE(Assumptions!$C$6,-12)+1,"prior_12m","last_12m")</f>
        <v/>
      </c>
      <c r="AG3205" s="21">
        <f>DATE(YEAR(G3205),MONTH(G3205),1)</f>
        <v/>
      </c>
    </row>
    <row r="3206">
      <c r="A3206" t="inlineStr">
        <is>
          <t>SPO-01712-2</t>
        </is>
      </c>
      <c r="B3206" t="inlineStr">
        <is>
          <t>SPO-01712</t>
        </is>
      </c>
      <c r="C3206" t="inlineStr">
        <is>
          <t>SUP-01</t>
        </is>
      </c>
      <c r="D3206" t="inlineStr">
        <is>
          <t>ELEC</t>
        </is>
      </c>
      <c r="E3206" t="inlineStr">
        <is>
          <t>ELEC-01</t>
        </is>
      </c>
      <c r="F3206" s="17" t="n">
        <v>46045</v>
      </c>
      <c r="G3206" s="17" t="n">
        <v>46063</v>
      </c>
      <c r="H3206" s="18" t="n">
        <v>56</v>
      </c>
      <c r="I3206" s="19" t="n">
        <v>38.6</v>
      </c>
      <c r="J3206" s="19" t="n">
        <v>38</v>
      </c>
      <c r="K3206" s="20" t="n">
        <v>0</v>
      </c>
      <c r="L3206" s="20" t="n">
        <v>0</v>
      </c>
      <c r="M3206" s="18" t="n">
        <v>56</v>
      </c>
      <c r="N3206" s="18" t="n">
        <v>56</v>
      </c>
      <c r="O3206" s="18" t="n">
        <v>0</v>
      </c>
      <c r="P3206" s="17" t="n">
        <v>46059</v>
      </c>
      <c r="Q3206" s="17" t="n">
        <v>46059</v>
      </c>
      <c r="R3206" s="17" t="n">
        <v>46059</v>
      </c>
      <c r="S3206" s="19">
        <f>H3206*I3206</f>
        <v/>
      </c>
      <c r="T3206" s="19">
        <f>H3206*J3206</f>
        <v/>
      </c>
      <c r="U3206">
        <f>IF(AND(K3206=0,G3206&lt;=Assumptions!$C$6),1,0)</f>
        <v/>
      </c>
      <c r="V3206">
        <f>IF(U3206=1,IF(M3206&gt;0,IF(P3206&lt;=G3206+Assumptions!$C$7,1,0),0),0)</f>
        <v/>
      </c>
      <c r="W3206">
        <f>IF(AND(U3206=1,M3206&gt;=H3206*(1-Assumptions!$C$8)),1,0)</f>
        <v/>
      </c>
      <c r="X3206">
        <f>IF(AND(U3206=1,N3206&gt;=H3206*(1-Assumptions!$C$8)),1,0)</f>
        <v/>
      </c>
      <c r="Y3206">
        <f>IF(ISNUMBER(Q3206),1,0)</f>
        <v/>
      </c>
      <c r="Z3206">
        <f>IF(AND(K3206=0,L3206=0,Y3206=0),1,0)</f>
        <v/>
      </c>
      <c r="AA3206">
        <f>IF(AND(Z3206=1,G3206&lt;Assumptions!$C$6),1,0)</f>
        <v/>
      </c>
      <c r="AB3206">
        <f>IF(U3206=0,"",IF(Y3206=1,MAX(0,Q3206-G3206),IF(L3206=1,MAX(0,R3206-G3206),MAX(0,Assumptions!$C$6-G3206))))</f>
        <v/>
      </c>
      <c r="AC3206">
        <f>IF(Y3206=1,Q3206-F3206,"")</f>
        <v/>
      </c>
      <c r="AD3206">
        <f>IF(Y3206=1,AC3206^2,"")</f>
        <v/>
      </c>
      <c r="AE3206" s="19">
        <f>IF(Z3206=1,(H3206-M3206)*I3206,0)</f>
        <v/>
      </c>
      <c r="AF3206">
        <f>IF(G3206&lt;EDATE(Assumptions!$C$6,-12)+1,"prior_12m","last_12m")</f>
        <v/>
      </c>
      <c r="AG3206" s="21">
        <f>DATE(YEAR(G3206),MONTH(G3206),1)</f>
        <v/>
      </c>
    </row>
    <row r="3207">
      <c r="A3207" t="inlineStr">
        <is>
          <t>SPO-01713-1</t>
        </is>
      </c>
      <c r="B3207" t="inlineStr">
        <is>
          <t>SPO-01713</t>
        </is>
      </c>
      <c r="C3207" t="inlineStr">
        <is>
          <t>SUP-02</t>
        </is>
      </c>
      <c r="D3207" t="inlineStr">
        <is>
          <t>ELEC</t>
        </is>
      </c>
      <c r="E3207" t="inlineStr">
        <is>
          <t>ELEC-04</t>
        </is>
      </c>
      <c r="F3207" s="17" t="n">
        <v>46045</v>
      </c>
      <c r="G3207" s="17" t="n">
        <v>46061</v>
      </c>
      <c r="H3207" s="18" t="n">
        <v>38</v>
      </c>
      <c r="I3207" s="19" t="n">
        <v>70.73999999999999</v>
      </c>
      <c r="J3207" s="19" t="n">
        <v>72</v>
      </c>
      <c r="K3207" s="20" t="n">
        <v>0</v>
      </c>
      <c r="L3207" s="20" t="n">
        <v>0</v>
      </c>
      <c r="M3207" s="18" t="n">
        <v>38</v>
      </c>
      <c r="N3207" s="18" t="n">
        <v>38</v>
      </c>
      <c r="O3207" s="18" t="n">
        <v>0</v>
      </c>
      <c r="P3207" s="17" t="n">
        <v>46057</v>
      </c>
      <c r="Q3207" s="17" t="n">
        <v>46057</v>
      </c>
      <c r="R3207" s="17" t="n">
        <v>46057</v>
      </c>
      <c r="S3207" s="19">
        <f>H3207*I3207</f>
        <v/>
      </c>
      <c r="T3207" s="19">
        <f>H3207*J3207</f>
        <v/>
      </c>
      <c r="U3207">
        <f>IF(AND(K3207=0,G3207&lt;=Assumptions!$C$6),1,0)</f>
        <v/>
      </c>
      <c r="V3207">
        <f>IF(U3207=1,IF(M3207&gt;0,IF(P3207&lt;=G3207+Assumptions!$C$7,1,0),0),0)</f>
        <v/>
      </c>
      <c r="W3207">
        <f>IF(AND(U3207=1,M3207&gt;=H3207*(1-Assumptions!$C$8)),1,0)</f>
        <v/>
      </c>
      <c r="X3207">
        <f>IF(AND(U3207=1,N3207&gt;=H3207*(1-Assumptions!$C$8)),1,0)</f>
        <v/>
      </c>
      <c r="Y3207">
        <f>IF(ISNUMBER(Q3207),1,0)</f>
        <v/>
      </c>
      <c r="Z3207">
        <f>IF(AND(K3207=0,L3207=0,Y3207=0),1,0)</f>
        <v/>
      </c>
      <c r="AA3207">
        <f>IF(AND(Z3207=1,G3207&lt;Assumptions!$C$6),1,0)</f>
        <v/>
      </c>
      <c r="AB3207">
        <f>IF(U3207=0,"",IF(Y3207=1,MAX(0,Q3207-G3207),IF(L3207=1,MAX(0,R3207-G3207),MAX(0,Assumptions!$C$6-G3207))))</f>
        <v/>
      </c>
      <c r="AC3207">
        <f>IF(Y3207=1,Q3207-F3207,"")</f>
        <v/>
      </c>
      <c r="AD3207">
        <f>IF(Y3207=1,AC3207^2,"")</f>
        <v/>
      </c>
      <c r="AE3207" s="19">
        <f>IF(Z3207=1,(H3207-M3207)*I3207,0)</f>
        <v/>
      </c>
      <c r="AF3207">
        <f>IF(G3207&lt;EDATE(Assumptions!$C$6,-12)+1,"prior_12m","last_12m")</f>
        <v/>
      </c>
      <c r="AG3207" s="21">
        <f>DATE(YEAR(G3207),MONTH(G3207),1)</f>
        <v/>
      </c>
    </row>
    <row r="3208">
      <c r="A3208" t="inlineStr">
        <is>
          <t>SPO-01713-2</t>
        </is>
      </c>
      <c r="B3208" t="inlineStr">
        <is>
          <t>SPO-01713</t>
        </is>
      </c>
      <c r="C3208" t="inlineStr">
        <is>
          <t>SUP-02</t>
        </is>
      </c>
      <c r="D3208" t="inlineStr">
        <is>
          <t>ELEC</t>
        </is>
      </c>
      <c r="E3208" t="inlineStr">
        <is>
          <t>ELEC-02</t>
        </is>
      </c>
      <c r="F3208" s="17" t="n">
        <v>46045</v>
      </c>
      <c r="G3208" s="17" t="n">
        <v>46061</v>
      </c>
      <c r="H3208" s="18" t="n">
        <v>203</v>
      </c>
      <c r="I3208" s="19" t="n">
        <v>4.43</v>
      </c>
      <c r="J3208" s="19" t="n">
        <v>4.2</v>
      </c>
      <c r="K3208" s="20" t="n">
        <v>0</v>
      </c>
      <c r="L3208" s="20" t="n">
        <v>0</v>
      </c>
      <c r="M3208" s="18" t="n">
        <v>203</v>
      </c>
      <c r="N3208" s="18" t="n">
        <v>203</v>
      </c>
      <c r="O3208" s="18" t="n">
        <v>0</v>
      </c>
      <c r="P3208" s="17" t="n">
        <v>46059</v>
      </c>
      <c r="Q3208" s="17" t="n">
        <v>46059</v>
      </c>
      <c r="R3208" s="17" t="n">
        <v>46059</v>
      </c>
      <c r="S3208" s="19">
        <f>H3208*I3208</f>
        <v/>
      </c>
      <c r="T3208" s="19">
        <f>H3208*J3208</f>
        <v/>
      </c>
      <c r="U3208">
        <f>IF(AND(K3208=0,G3208&lt;=Assumptions!$C$6),1,0)</f>
        <v/>
      </c>
      <c r="V3208">
        <f>IF(U3208=1,IF(M3208&gt;0,IF(P3208&lt;=G3208+Assumptions!$C$7,1,0),0),0)</f>
        <v/>
      </c>
      <c r="W3208">
        <f>IF(AND(U3208=1,M3208&gt;=H3208*(1-Assumptions!$C$8)),1,0)</f>
        <v/>
      </c>
      <c r="X3208">
        <f>IF(AND(U3208=1,N3208&gt;=H3208*(1-Assumptions!$C$8)),1,0)</f>
        <v/>
      </c>
      <c r="Y3208">
        <f>IF(ISNUMBER(Q3208),1,0)</f>
        <v/>
      </c>
      <c r="Z3208">
        <f>IF(AND(K3208=0,L3208=0,Y3208=0),1,0)</f>
        <v/>
      </c>
      <c r="AA3208">
        <f>IF(AND(Z3208=1,G3208&lt;Assumptions!$C$6),1,0)</f>
        <v/>
      </c>
      <c r="AB3208">
        <f>IF(U3208=0,"",IF(Y3208=1,MAX(0,Q3208-G3208),IF(L3208=1,MAX(0,R3208-G3208),MAX(0,Assumptions!$C$6-G3208))))</f>
        <v/>
      </c>
      <c r="AC3208">
        <f>IF(Y3208=1,Q3208-F3208,"")</f>
        <v/>
      </c>
      <c r="AD3208">
        <f>IF(Y3208=1,AC3208^2,"")</f>
        <v/>
      </c>
      <c r="AE3208" s="19">
        <f>IF(Z3208=1,(H3208-M3208)*I3208,0)</f>
        <v/>
      </c>
      <c r="AF3208">
        <f>IF(G3208&lt;EDATE(Assumptions!$C$6,-12)+1,"prior_12m","last_12m")</f>
        <v/>
      </c>
      <c r="AG3208" s="21">
        <f>DATE(YEAR(G3208),MONTH(G3208),1)</f>
        <v/>
      </c>
    </row>
    <row r="3209">
      <c r="A3209" t="inlineStr">
        <is>
          <t>SPO-01714-1</t>
        </is>
      </c>
      <c r="B3209" t="inlineStr">
        <is>
          <t>SPO-01714</t>
        </is>
      </c>
      <c r="C3209" t="inlineStr">
        <is>
          <t>SUP-04</t>
        </is>
      </c>
      <c r="D3209" t="inlineStr">
        <is>
          <t>FLEET</t>
        </is>
      </c>
      <c r="E3209" t="inlineStr">
        <is>
          <t>FLEET-02</t>
        </is>
      </c>
      <c r="F3209" s="17" t="n">
        <v>46045</v>
      </c>
      <c r="G3209" s="17" t="n">
        <v>46058</v>
      </c>
      <c r="H3209" s="18" t="n">
        <v>51</v>
      </c>
      <c r="I3209" s="19" t="n">
        <v>7.42</v>
      </c>
      <c r="J3209" s="19" t="n">
        <v>7.5</v>
      </c>
      <c r="K3209" s="20" t="n">
        <v>0</v>
      </c>
      <c r="L3209" s="20" t="n">
        <v>0</v>
      </c>
      <c r="M3209" s="18" t="n">
        <v>51</v>
      </c>
      <c r="N3209" s="18" t="n">
        <v>51</v>
      </c>
      <c r="O3209" s="18" t="n">
        <v>0</v>
      </c>
      <c r="P3209" s="17" t="n">
        <v>46053</v>
      </c>
      <c r="Q3209" s="17" t="n">
        <v>46053</v>
      </c>
      <c r="R3209" s="17" t="n">
        <v>46053</v>
      </c>
      <c r="S3209" s="19">
        <f>H3209*I3209</f>
        <v/>
      </c>
      <c r="T3209" s="19">
        <f>H3209*J3209</f>
        <v/>
      </c>
      <c r="U3209">
        <f>IF(AND(K3209=0,G3209&lt;=Assumptions!$C$6),1,0)</f>
        <v/>
      </c>
      <c r="V3209">
        <f>IF(U3209=1,IF(M3209&gt;0,IF(P3209&lt;=G3209+Assumptions!$C$7,1,0),0),0)</f>
        <v/>
      </c>
      <c r="W3209">
        <f>IF(AND(U3209=1,M3209&gt;=H3209*(1-Assumptions!$C$8)),1,0)</f>
        <v/>
      </c>
      <c r="X3209">
        <f>IF(AND(U3209=1,N3209&gt;=H3209*(1-Assumptions!$C$8)),1,0)</f>
        <v/>
      </c>
      <c r="Y3209">
        <f>IF(ISNUMBER(Q3209),1,0)</f>
        <v/>
      </c>
      <c r="Z3209">
        <f>IF(AND(K3209=0,L3209=0,Y3209=0),1,0)</f>
        <v/>
      </c>
      <c r="AA3209">
        <f>IF(AND(Z3209=1,G3209&lt;Assumptions!$C$6),1,0)</f>
        <v/>
      </c>
      <c r="AB3209">
        <f>IF(U3209=0,"",IF(Y3209=1,MAX(0,Q3209-G3209),IF(L3209=1,MAX(0,R3209-G3209),MAX(0,Assumptions!$C$6-G3209))))</f>
        <v/>
      </c>
      <c r="AC3209">
        <f>IF(Y3209=1,Q3209-F3209,"")</f>
        <v/>
      </c>
      <c r="AD3209">
        <f>IF(Y3209=1,AC3209^2,"")</f>
        <v/>
      </c>
      <c r="AE3209" s="19">
        <f>IF(Z3209=1,(H3209-M3209)*I3209,0)</f>
        <v/>
      </c>
      <c r="AF3209">
        <f>IF(G3209&lt;EDATE(Assumptions!$C$6,-12)+1,"prior_12m","last_12m")</f>
        <v/>
      </c>
      <c r="AG3209" s="21">
        <f>DATE(YEAR(G3209),MONTH(G3209),1)</f>
        <v/>
      </c>
    </row>
    <row r="3210">
      <c r="A3210" t="inlineStr">
        <is>
          <t>SPO-01715-1</t>
        </is>
      </c>
      <c r="B3210" t="inlineStr">
        <is>
          <t>SPO-01715</t>
        </is>
      </c>
      <c r="C3210" t="inlineStr">
        <is>
          <t>SUP-02</t>
        </is>
      </c>
      <c r="D3210" t="inlineStr">
        <is>
          <t>ELEC</t>
        </is>
      </c>
      <c r="E3210" t="inlineStr">
        <is>
          <t>ELEC-06</t>
        </is>
      </c>
      <c r="F3210" s="17" t="n">
        <v>46045</v>
      </c>
      <c r="G3210" s="17" t="n">
        <v>46061</v>
      </c>
      <c r="H3210" s="18" t="n">
        <v>2</v>
      </c>
      <c r="I3210" s="19" t="n">
        <v>142.86</v>
      </c>
      <c r="J3210" s="19" t="n">
        <v>145</v>
      </c>
      <c r="K3210" s="20" t="n">
        <v>0</v>
      </c>
      <c r="L3210" s="20" t="n">
        <v>0</v>
      </c>
      <c r="M3210" s="18" t="n">
        <v>2</v>
      </c>
      <c r="N3210" s="18" t="n">
        <v>2</v>
      </c>
      <c r="O3210" s="18" t="n">
        <v>0</v>
      </c>
      <c r="P3210" s="17" t="n">
        <v>46057</v>
      </c>
      <c r="Q3210" s="17" t="n">
        <v>46057</v>
      </c>
      <c r="R3210" s="17" t="n">
        <v>46057</v>
      </c>
      <c r="S3210" s="19">
        <f>H3210*I3210</f>
        <v/>
      </c>
      <c r="T3210" s="19">
        <f>H3210*J3210</f>
        <v/>
      </c>
      <c r="U3210">
        <f>IF(AND(K3210=0,G3210&lt;=Assumptions!$C$6),1,0)</f>
        <v/>
      </c>
      <c r="V3210">
        <f>IF(U3210=1,IF(M3210&gt;0,IF(P3210&lt;=G3210+Assumptions!$C$7,1,0),0),0)</f>
        <v/>
      </c>
      <c r="W3210">
        <f>IF(AND(U3210=1,M3210&gt;=H3210*(1-Assumptions!$C$8)),1,0)</f>
        <v/>
      </c>
      <c r="X3210">
        <f>IF(AND(U3210=1,N3210&gt;=H3210*(1-Assumptions!$C$8)),1,0)</f>
        <v/>
      </c>
      <c r="Y3210">
        <f>IF(ISNUMBER(Q3210),1,0)</f>
        <v/>
      </c>
      <c r="Z3210">
        <f>IF(AND(K3210=0,L3210=0,Y3210=0),1,0)</f>
        <v/>
      </c>
      <c r="AA3210">
        <f>IF(AND(Z3210=1,G3210&lt;Assumptions!$C$6),1,0)</f>
        <v/>
      </c>
      <c r="AB3210">
        <f>IF(U3210=0,"",IF(Y3210=1,MAX(0,Q3210-G3210),IF(L3210=1,MAX(0,R3210-G3210),MAX(0,Assumptions!$C$6-G3210))))</f>
        <v/>
      </c>
      <c r="AC3210">
        <f>IF(Y3210=1,Q3210-F3210,"")</f>
        <v/>
      </c>
      <c r="AD3210">
        <f>IF(Y3210=1,AC3210^2,"")</f>
        <v/>
      </c>
      <c r="AE3210" s="19">
        <f>IF(Z3210=1,(H3210-M3210)*I3210,0)</f>
        <v/>
      </c>
      <c r="AF3210">
        <f>IF(G3210&lt;EDATE(Assumptions!$C$6,-12)+1,"prior_12m","last_12m")</f>
        <v/>
      </c>
      <c r="AG3210" s="21">
        <f>DATE(YEAR(G3210),MONTH(G3210),1)</f>
        <v/>
      </c>
    </row>
    <row r="3211">
      <c r="A3211" t="inlineStr">
        <is>
          <t>SPO-01715-2</t>
        </is>
      </c>
      <c r="B3211" t="inlineStr">
        <is>
          <t>SPO-01715</t>
        </is>
      </c>
      <c r="C3211" t="inlineStr">
        <is>
          <t>SUP-02</t>
        </is>
      </c>
      <c r="D3211" t="inlineStr">
        <is>
          <t>ELEC</t>
        </is>
      </c>
      <c r="E3211" t="inlineStr">
        <is>
          <t>ELEC-03</t>
        </is>
      </c>
      <c r="F3211" s="17" t="n">
        <v>46045</v>
      </c>
      <c r="G3211" s="17" t="n">
        <v>46061</v>
      </c>
      <c r="H3211" s="18" t="n">
        <v>10</v>
      </c>
      <c r="I3211" s="19" t="n">
        <v>93.34999999999999</v>
      </c>
      <c r="J3211" s="19" t="n">
        <v>96</v>
      </c>
      <c r="K3211" s="20" t="n">
        <v>0</v>
      </c>
      <c r="L3211" s="20" t="n">
        <v>0</v>
      </c>
      <c r="M3211" s="18" t="n">
        <v>10</v>
      </c>
      <c r="N3211" s="18" t="n">
        <v>4</v>
      </c>
      <c r="O3211" s="18" t="n">
        <v>0</v>
      </c>
      <c r="P3211" s="17" t="n">
        <v>46058</v>
      </c>
      <c r="Q3211" s="17" t="n">
        <v>46074</v>
      </c>
      <c r="R3211" s="17" t="n">
        <v>46074</v>
      </c>
      <c r="S3211" s="19">
        <f>H3211*I3211</f>
        <v/>
      </c>
      <c r="T3211" s="19">
        <f>H3211*J3211</f>
        <v/>
      </c>
      <c r="U3211">
        <f>IF(AND(K3211=0,G3211&lt;=Assumptions!$C$6),1,0)</f>
        <v/>
      </c>
      <c r="V3211">
        <f>IF(U3211=1,IF(M3211&gt;0,IF(P3211&lt;=G3211+Assumptions!$C$7,1,0),0),0)</f>
        <v/>
      </c>
      <c r="W3211">
        <f>IF(AND(U3211=1,M3211&gt;=H3211*(1-Assumptions!$C$8)),1,0)</f>
        <v/>
      </c>
      <c r="X3211">
        <f>IF(AND(U3211=1,N3211&gt;=H3211*(1-Assumptions!$C$8)),1,0)</f>
        <v/>
      </c>
      <c r="Y3211">
        <f>IF(ISNUMBER(Q3211),1,0)</f>
        <v/>
      </c>
      <c r="Z3211">
        <f>IF(AND(K3211=0,L3211=0,Y3211=0),1,0)</f>
        <v/>
      </c>
      <c r="AA3211">
        <f>IF(AND(Z3211=1,G3211&lt;Assumptions!$C$6),1,0)</f>
        <v/>
      </c>
      <c r="AB3211">
        <f>IF(U3211=0,"",IF(Y3211=1,MAX(0,Q3211-G3211),IF(L3211=1,MAX(0,R3211-G3211),MAX(0,Assumptions!$C$6-G3211))))</f>
        <v/>
      </c>
      <c r="AC3211">
        <f>IF(Y3211=1,Q3211-F3211,"")</f>
        <v/>
      </c>
      <c r="AD3211">
        <f>IF(Y3211=1,AC3211^2,"")</f>
        <v/>
      </c>
      <c r="AE3211" s="19">
        <f>IF(Z3211=1,(H3211-M3211)*I3211,0)</f>
        <v/>
      </c>
      <c r="AF3211">
        <f>IF(G3211&lt;EDATE(Assumptions!$C$6,-12)+1,"prior_12m","last_12m")</f>
        <v/>
      </c>
      <c r="AG3211" s="21">
        <f>DATE(YEAR(G3211),MONTH(G3211),1)</f>
        <v/>
      </c>
    </row>
    <row r="3212">
      <c r="A3212" t="inlineStr">
        <is>
          <t>SPO-01716-1</t>
        </is>
      </c>
      <c r="B3212" t="inlineStr">
        <is>
          <t>SPO-01716</t>
        </is>
      </c>
      <c r="C3212" t="inlineStr">
        <is>
          <t>SUP-12</t>
        </is>
      </c>
      <c r="D3212" t="inlineStr">
        <is>
          <t>IT</t>
        </is>
      </c>
      <c r="E3212" t="inlineStr">
        <is>
          <t>IT-05</t>
        </is>
      </c>
      <c r="F3212" s="17" t="n">
        <v>46046</v>
      </c>
      <c r="G3212" s="17" t="n">
        <v>46056</v>
      </c>
      <c r="H3212" s="18" t="n">
        <v>1</v>
      </c>
      <c r="I3212" s="19" t="n">
        <v>709.36</v>
      </c>
      <c r="J3212" s="19" t="n">
        <v>640</v>
      </c>
      <c r="K3212" s="20" t="n">
        <v>0</v>
      </c>
      <c r="L3212" s="20" t="n">
        <v>0</v>
      </c>
      <c r="M3212" s="18" t="n">
        <v>1</v>
      </c>
      <c r="N3212" s="18" t="n">
        <v>1</v>
      </c>
      <c r="O3212" s="18" t="n">
        <v>0</v>
      </c>
      <c r="P3212" s="17" t="n">
        <v>46052</v>
      </c>
      <c r="Q3212" s="17" t="n">
        <v>46052</v>
      </c>
      <c r="R3212" s="17" t="n">
        <v>46052</v>
      </c>
      <c r="S3212" s="19">
        <f>H3212*I3212</f>
        <v/>
      </c>
      <c r="T3212" s="19">
        <f>H3212*J3212</f>
        <v/>
      </c>
      <c r="U3212">
        <f>IF(AND(K3212=0,G3212&lt;=Assumptions!$C$6),1,0)</f>
        <v/>
      </c>
      <c r="V3212">
        <f>IF(U3212=1,IF(M3212&gt;0,IF(P3212&lt;=G3212+Assumptions!$C$7,1,0),0),0)</f>
        <v/>
      </c>
      <c r="W3212">
        <f>IF(AND(U3212=1,M3212&gt;=H3212*(1-Assumptions!$C$8)),1,0)</f>
        <v/>
      </c>
      <c r="X3212">
        <f>IF(AND(U3212=1,N3212&gt;=H3212*(1-Assumptions!$C$8)),1,0)</f>
        <v/>
      </c>
      <c r="Y3212">
        <f>IF(ISNUMBER(Q3212),1,0)</f>
        <v/>
      </c>
      <c r="Z3212">
        <f>IF(AND(K3212=0,L3212=0,Y3212=0),1,0)</f>
        <v/>
      </c>
      <c r="AA3212">
        <f>IF(AND(Z3212=1,G3212&lt;Assumptions!$C$6),1,0)</f>
        <v/>
      </c>
      <c r="AB3212">
        <f>IF(U3212=0,"",IF(Y3212=1,MAX(0,Q3212-G3212),IF(L3212=1,MAX(0,R3212-G3212),MAX(0,Assumptions!$C$6-G3212))))</f>
        <v/>
      </c>
      <c r="AC3212">
        <f>IF(Y3212=1,Q3212-F3212,"")</f>
        <v/>
      </c>
      <c r="AD3212">
        <f>IF(Y3212=1,AC3212^2,"")</f>
        <v/>
      </c>
      <c r="AE3212" s="19">
        <f>IF(Z3212=1,(H3212-M3212)*I3212,0)</f>
        <v/>
      </c>
      <c r="AF3212">
        <f>IF(G3212&lt;EDATE(Assumptions!$C$6,-12)+1,"prior_12m","last_12m")</f>
        <v/>
      </c>
      <c r="AG3212" s="21">
        <f>DATE(YEAR(G3212),MONTH(G3212),1)</f>
        <v/>
      </c>
    </row>
    <row r="3213">
      <c r="A3213" t="inlineStr">
        <is>
          <t>SPO-01716-2</t>
        </is>
      </c>
      <c r="B3213" t="inlineStr">
        <is>
          <t>SPO-01716</t>
        </is>
      </c>
      <c r="C3213" t="inlineStr">
        <is>
          <t>SUP-12</t>
        </is>
      </c>
      <c r="D3213" t="inlineStr">
        <is>
          <t>IT</t>
        </is>
      </c>
      <c r="E3213" t="inlineStr">
        <is>
          <t>IT-07</t>
        </is>
      </c>
      <c r="F3213" s="17" t="n">
        <v>46046</v>
      </c>
      <c r="G3213" s="17" t="n">
        <v>46056</v>
      </c>
      <c r="H3213" s="18" t="n">
        <v>24</v>
      </c>
      <c r="I3213" s="19" t="n">
        <v>83.77</v>
      </c>
      <c r="J3213" s="19" t="n">
        <v>74</v>
      </c>
      <c r="K3213" s="20" t="n">
        <v>0</v>
      </c>
      <c r="L3213" s="20" t="n">
        <v>0</v>
      </c>
      <c r="M3213" s="18" t="n">
        <v>24</v>
      </c>
      <c r="N3213" s="18" t="n">
        <v>24</v>
      </c>
      <c r="O3213" s="18" t="n">
        <v>0</v>
      </c>
      <c r="P3213" s="17" t="n">
        <v>46050</v>
      </c>
      <c r="Q3213" s="17" t="n">
        <v>46050</v>
      </c>
      <c r="R3213" s="17" t="n">
        <v>46050</v>
      </c>
      <c r="S3213" s="19">
        <f>H3213*I3213</f>
        <v/>
      </c>
      <c r="T3213" s="19">
        <f>H3213*J3213</f>
        <v/>
      </c>
      <c r="U3213">
        <f>IF(AND(K3213=0,G3213&lt;=Assumptions!$C$6),1,0)</f>
        <v/>
      </c>
      <c r="V3213">
        <f>IF(U3213=1,IF(M3213&gt;0,IF(P3213&lt;=G3213+Assumptions!$C$7,1,0),0),0)</f>
        <v/>
      </c>
      <c r="W3213">
        <f>IF(AND(U3213=1,M3213&gt;=H3213*(1-Assumptions!$C$8)),1,0)</f>
        <v/>
      </c>
      <c r="X3213">
        <f>IF(AND(U3213=1,N3213&gt;=H3213*(1-Assumptions!$C$8)),1,0)</f>
        <v/>
      </c>
      <c r="Y3213">
        <f>IF(ISNUMBER(Q3213),1,0)</f>
        <v/>
      </c>
      <c r="Z3213">
        <f>IF(AND(K3213=0,L3213=0,Y3213=0),1,0)</f>
        <v/>
      </c>
      <c r="AA3213">
        <f>IF(AND(Z3213=1,G3213&lt;Assumptions!$C$6),1,0)</f>
        <v/>
      </c>
      <c r="AB3213">
        <f>IF(U3213=0,"",IF(Y3213=1,MAX(0,Q3213-G3213),IF(L3213=1,MAX(0,R3213-G3213),MAX(0,Assumptions!$C$6-G3213))))</f>
        <v/>
      </c>
      <c r="AC3213">
        <f>IF(Y3213=1,Q3213-F3213,"")</f>
        <v/>
      </c>
      <c r="AD3213">
        <f>IF(Y3213=1,AC3213^2,"")</f>
        <v/>
      </c>
      <c r="AE3213" s="19">
        <f>IF(Z3213=1,(H3213-M3213)*I3213,0)</f>
        <v/>
      </c>
      <c r="AF3213">
        <f>IF(G3213&lt;EDATE(Assumptions!$C$6,-12)+1,"prior_12m","last_12m")</f>
        <v/>
      </c>
      <c r="AG3213" s="21">
        <f>DATE(YEAR(G3213),MONTH(G3213),1)</f>
        <v/>
      </c>
    </row>
    <row r="3214">
      <c r="A3214" t="inlineStr">
        <is>
          <t>SPO-01716-3</t>
        </is>
      </c>
      <c r="B3214" t="inlineStr">
        <is>
          <t>SPO-01716</t>
        </is>
      </c>
      <c r="C3214" t="inlineStr">
        <is>
          <t>SUP-12</t>
        </is>
      </c>
      <c r="D3214" t="inlineStr">
        <is>
          <t>IT</t>
        </is>
      </c>
      <c r="E3214" t="inlineStr">
        <is>
          <t>IT-06</t>
        </is>
      </c>
      <c r="F3214" s="17" t="n">
        <v>46046</v>
      </c>
      <c r="G3214" s="17" t="n">
        <v>46056</v>
      </c>
      <c r="H3214" s="18" t="n">
        <v>12</v>
      </c>
      <c r="I3214" s="19" t="n">
        <v>99.83</v>
      </c>
      <c r="J3214" s="19" t="n">
        <v>89</v>
      </c>
      <c r="K3214" s="20" t="n">
        <v>0</v>
      </c>
      <c r="L3214" s="20" t="n">
        <v>0</v>
      </c>
      <c r="M3214" s="18" t="n">
        <v>12</v>
      </c>
      <c r="N3214" s="18" t="n">
        <v>12</v>
      </c>
      <c r="O3214" s="18" t="n">
        <v>0</v>
      </c>
      <c r="P3214" s="17" t="n">
        <v>46053</v>
      </c>
      <c r="Q3214" s="17" t="n">
        <v>46053</v>
      </c>
      <c r="R3214" s="17" t="n">
        <v>46053</v>
      </c>
      <c r="S3214" s="19">
        <f>H3214*I3214</f>
        <v/>
      </c>
      <c r="T3214" s="19">
        <f>H3214*J3214</f>
        <v/>
      </c>
      <c r="U3214">
        <f>IF(AND(K3214=0,G3214&lt;=Assumptions!$C$6),1,0)</f>
        <v/>
      </c>
      <c r="V3214">
        <f>IF(U3214=1,IF(M3214&gt;0,IF(P3214&lt;=G3214+Assumptions!$C$7,1,0),0),0)</f>
        <v/>
      </c>
      <c r="W3214">
        <f>IF(AND(U3214=1,M3214&gt;=H3214*(1-Assumptions!$C$8)),1,0)</f>
        <v/>
      </c>
      <c r="X3214">
        <f>IF(AND(U3214=1,N3214&gt;=H3214*(1-Assumptions!$C$8)),1,0)</f>
        <v/>
      </c>
      <c r="Y3214">
        <f>IF(ISNUMBER(Q3214),1,0)</f>
        <v/>
      </c>
      <c r="Z3214">
        <f>IF(AND(K3214=0,L3214=0,Y3214=0),1,0)</f>
        <v/>
      </c>
      <c r="AA3214">
        <f>IF(AND(Z3214=1,G3214&lt;Assumptions!$C$6),1,0)</f>
        <v/>
      </c>
      <c r="AB3214">
        <f>IF(U3214=0,"",IF(Y3214=1,MAX(0,Q3214-G3214),IF(L3214=1,MAX(0,R3214-G3214),MAX(0,Assumptions!$C$6-G3214))))</f>
        <v/>
      </c>
      <c r="AC3214">
        <f>IF(Y3214=1,Q3214-F3214,"")</f>
        <v/>
      </c>
      <c r="AD3214">
        <f>IF(Y3214=1,AC3214^2,"")</f>
        <v/>
      </c>
      <c r="AE3214" s="19">
        <f>IF(Z3214=1,(H3214-M3214)*I3214,0)</f>
        <v/>
      </c>
      <c r="AF3214">
        <f>IF(G3214&lt;EDATE(Assumptions!$C$6,-12)+1,"prior_12m","last_12m")</f>
        <v/>
      </c>
      <c r="AG3214" s="21">
        <f>DATE(YEAR(G3214),MONTH(G3214),1)</f>
        <v/>
      </c>
    </row>
    <row r="3215">
      <c r="A3215" t="inlineStr">
        <is>
          <t>SPO-01716-4</t>
        </is>
      </c>
      <c r="B3215" t="inlineStr">
        <is>
          <t>SPO-01716</t>
        </is>
      </c>
      <c r="C3215" t="inlineStr">
        <is>
          <t>SUP-12</t>
        </is>
      </c>
      <c r="D3215" t="inlineStr">
        <is>
          <t>IT</t>
        </is>
      </c>
      <c r="E3215" t="inlineStr">
        <is>
          <t>IT-04</t>
        </is>
      </c>
      <c r="F3215" s="17" t="n">
        <v>46046</v>
      </c>
      <c r="G3215" s="17" t="n">
        <v>46056</v>
      </c>
      <c r="H3215" s="18" t="n">
        <v>308</v>
      </c>
      <c r="I3215" s="19" t="n">
        <v>13.79</v>
      </c>
      <c r="J3215" s="19" t="n">
        <v>12</v>
      </c>
      <c r="K3215" s="20" t="n">
        <v>0</v>
      </c>
      <c r="L3215" s="20" t="n">
        <v>0</v>
      </c>
      <c r="M3215" s="18" t="n">
        <v>308</v>
      </c>
      <c r="N3215" s="18" t="n">
        <v>308</v>
      </c>
      <c r="O3215" s="18" t="n">
        <v>0</v>
      </c>
      <c r="P3215" s="17" t="n">
        <v>46053</v>
      </c>
      <c r="Q3215" s="17" t="n">
        <v>46053</v>
      </c>
      <c r="R3215" s="17" t="n">
        <v>46053</v>
      </c>
      <c r="S3215" s="19">
        <f>H3215*I3215</f>
        <v/>
      </c>
      <c r="T3215" s="19">
        <f>H3215*J3215</f>
        <v/>
      </c>
      <c r="U3215">
        <f>IF(AND(K3215=0,G3215&lt;=Assumptions!$C$6),1,0)</f>
        <v/>
      </c>
      <c r="V3215">
        <f>IF(U3215=1,IF(M3215&gt;0,IF(P3215&lt;=G3215+Assumptions!$C$7,1,0),0),0)</f>
        <v/>
      </c>
      <c r="W3215">
        <f>IF(AND(U3215=1,M3215&gt;=H3215*(1-Assumptions!$C$8)),1,0)</f>
        <v/>
      </c>
      <c r="X3215">
        <f>IF(AND(U3215=1,N3215&gt;=H3215*(1-Assumptions!$C$8)),1,0)</f>
        <v/>
      </c>
      <c r="Y3215">
        <f>IF(ISNUMBER(Q3215),1,0)</f>
        <v/>
      </c>
      <c r="Z3215">
        <f>IF(AND(K3215=0,L3215=0,Y3215=0),1,0)</f>
        <v/>
      </c>
      <c r="AA3215">
        <f>IF(AND(Z3215=1,G3215&lt;Assumptions!$C$6),1,0)</f>
        <v/>
      </c>
      <c r="AB3215">
        <f>IF(U3215=0,"",IF(Y3215=1,MAX(0,Q3215-G3215),IF(L3215=1,MAX(0,R3215-G3215),MAX(0,Assumptions!$C$6-G3215))))</f>
        <v/>
      </c>
      <c r="AC3215">
        <f>IF(Y3215=1,Q3215-F3215,"")</f>
        <v/>
      </c>
      <c r="AD3215">
        <f>IF(Y3215=1,AC3215^2,"")</f>
        <v/>
      </c>
      <c r="AE3215" s="19">
        <f>IF(Z3215=1,(H3215-M3215)*I3215,0)</f>
        <v/>
      </c>
      <c r="AF3215">
        <f>IF(G3215&lt;EDATE(Assumptions!$C$6,-12)+1,"prior_12m","last_12m")</f>
        <v/>
      </c>
      <c r="AG3215" s="21">
        <f>DATE(YEAR(G3215),MONTH(G3215),1)</f>
        <v/>
      </c>
    </row>
    <row r="3216">
      <c r="A3216" t="inlineStr">
        <is>
          <t>SPO-01717-1</t>
        </is>
      </c>
      <c r="B3216" t="inlineStr">
        <is>
          <t>SPO-01717</t>
        </is>
      </c>
      <c r="C3216" t="inlineStr">
        <is>
          <t>SUP-09</t>
        </is>
      </c>
      <c r="D3216" t="inlineStr">
        <is>
          <t>CHEM</t>
        </is>
      </c>
      <c r="E3216" t="inlineStr">
        <is>
          <t>CHEM-01</t>
        </is>
      </c>
      <c r="F3216" s="17" t="n">
        <v>46046</v>
      </c>
      <c r="G3216" s="17" t="n">
        <v>46060</v>
      </c>
      <c r="H3216" s="18" t="n">
        <v>5</v>
      </c>
      <c r="I3216" s="19" t="n">
        <v>686.76</v>
      </c>
      <c r="J3216" s="19" t="n">
        <v>640</v>
      </c>
      <c r="K3216" s="20" t="n">
        <v>0</v>
      </c>
      <c r="L3216" s="20" t="n">
        <v>0</v>
      </c>
      <c r="M3216" s="18" t="n">
        <v>5</v>
      </c>
      <c r="N3216" s="18" t="n">
        <v>5</v>
      </c>
      <c r="O3216" s="18" t="n">
        <v>0</v>
      </c>
      <c r="P3216" s="17" t="n">
        <v>46056</v>
      </c>
      <c r="Q3216" s="17" t="n">
        <v>46056</v>
      </c>
      <c r="R3216" s="17" t="n">
        <v>46056</v>
      </c>
      <c r="S3216" s="19">
        <f>H3216*I3216</f>
        <v/>
      </c>
      <c r="T3216" s="19">
        <f>H3216*J3216</f>
        <v/>
      </c>
      <c r="U3216">
        <f>IF(AND(K3216=0,G3216&lt;=Assumptions!$C$6),1,0)</f>
        <v/>
      </c>
      <c r="V3216">
        <f>IF(U3216=1,IF(M3216&gt;0,IF(P3216&lt;=G3216+Assumptions!$C$7,1,0),0),0)</f>
        <v/>
      </c>
      <c r="W3216">
        <f>IF(AND(U3216=1,M3216&gt;=H3216*(1-Assumptions!$C$8)),1,0)</f>
        <v/>
      </c>
      <c r="X3216">
        <f>IF(AND(U3216=1,N3216&gt;=H3216*(1-Assumptions!$C$8)),1,0)</f>
        <v/>
      </c>
      <c r="Y3216">
        <f>IF(ISNUMBER(Q3216),1,0)</f>
        <v/>
      </c>
      <c r="Z3216">
        <f>IF(AND(K3216=0,L3216=0,Y3216=0),1,0)</f>
        <v/>
      </c>
      <c r="AA3216">
        <f>IF(AND(Z3216=1,G3216&lt;Assumptions!$C$6),1,0)</f>
        <v/>
      </c>
      <c r="AB3216">
        <f>IF(U3216=0,"",IF(Y3216=1,MAX(0,Q3216-G3216),IF(L3216=1,MAX(0,R3216-G3216),MAX(0,Assumptions!$C$6-G3216))))</f>
        <v/>
      </c>
      <c r="AC3216">
        <f>IF(Y3216=1,Q3216-F3216,"")</f>
        <v/>
      </c>
      <c r="AD3216">
        <f>IF(Y3216=1,AC3216^2,"")</f>
        <v/>
      </c>
      <c r="AE3216" s="19">
        <f>IF(Z3216=1,(H3216-M3216)*I3216,0)</f>
        <v/>
      </c>
      <c r="AF3216">
        <f>IF(G3216&lt;EDATE(Assumptions!$C$6,-12)+1,"prior_12m","last_12m")</f>
        <v/>
      </c>
      <c r="AG3216" s="21">
        <f>DATE(YEAR(G3216),MONTH(G3216),1)</f>
        <v/>
      </c>
    </row>
    <row r="3217">
      <c r="A3217" t="inlineStr">
        <is>
          <t>SPO-01718-1</t>
        </is>
      </c>
      <c r="B3217" t="inlineStr">
        <is>
          <t>SPO-01718</t>
        </is>
      </c>
      <c r="C3217" t="inlineStr">
        <is>
          <t>SUP-11</t>
        </is>
      </c>
      <c r="D3217" t="inlineStr">
        <is>
          <t>PPE</t>
        </is>
      </c>
      <c r="E3217" t="inlineStr">
        <is>
          <t>PPE-08</t>
        </is>
      </c>
      <c r="F3217" s="17" t="n">
        <v>46046</v>
      </c>
      <c r="G3217" s="17" t="n">
        <v>46058</v>
      </c>
      <c r="H3217" s="18" t="n">
        <v>29</v>
      </c>
      <c r="I3217" s="19" t="n">
        <v>65.45999999999999</v>
      </c>
      <c r="J3217" s="19" t="n">
        <v>64</v>
      </c>
      <c r="K3217" s="20" t="n">
        <v>0</v>
      </c>
      <c r="L3217" s="20" t="n">
        <v>0</v>
      </c>
      <c r="M3217" s="18" t="n">
        <v>29</v>
      </c>
      <c r="N3217" s="18" t="n">
        <v>29</v>
      </c>
      <c r="O3217" s="18" t="n">
        <v>0</v>
      </c>
      <c r="P3217" s="17" t="n">
        <v>46055</v>
      </c>
      <c r="Q3217" s="17" t="n">
        <v>46055</v>
      </c>
      <c r="R3217" s="17" t="n">
        <v>46055</v>
      </c>
      <c r="S3217" s="19">
        <f>H3217*I3217</f>
        <v/>
      </c>
      <c r="T3217" s="19">
        <f>H3217*J3217</f>
        <v/>
      </c>
      <c r="U3217">
        <f>IF(AND(K3217=0,G3217&lt;=Assumptions!$C$6),1,0)</f>
        <v/>
      </c>
      <c r="V3217">
        <f>IF(U3217=1,IF(M3217&gt;0,IF(P3217&lt;=G3217+Assumptions!$C$7,1,0),0),0)</f>
        <v/>
      </c>
      <c r="W3217">
        <f>IF(AND(U3217=1,M3217&gt;=H3217*(1-Assumptions!$C$8)),1,0)</f>
        <v/>
      </c>
      <c r="X3217">
        <f>IF(AND(U3217=1,N3217&gt;=H3217*(1-Assumptions!$C$8)),1,0)</f>
        <v/>
      </c>
      <c r="Y3217">
        <f>IF(ISNUMBER(Q3217),1,0)</f>
        <v/>
      </c>
      <c r="Z3217">
        <f>IF(AND(K3217=0,L3217=0,Y3217=0),1,0)</f>
        <v/>
      </c>
      <c r="AA3217">
        <f>IF(AND(Z3217=1,G3217&lt;Assumptions!$C$6),1,0)</f>
        <v/>
      </c>
      <c r="AB3217">
        <f>IF(U3217=0,"",IF(Y3217=1,MAX(0,Q3217-G3217),IF(L3217=1,MAX(0,R3217-G3217),MAX(0,Assumptions!$C$6-G3217))))</f>
        <v/>
      </c>
      <c r="AC3217">
        <f>IF(Y3217=1,Q3217-F3217,"")</f>
        <v/>
      </c>
      <c r="AD3217">
        <f>IF(Y3217=1,AC3217^2,"")</f>
        <v/>
      </c>
      <c r="AE3217" s="19">
        <f>IF(Z3217=1,(H3217-M3217)*I3217,0)</f>
        <v/>
      </c>
      <c r="AF3217">
        <f>IF(G3217&lt;EDATE(Assumptions!$C$6,-12)+1,"prior_12m","last_12m")</f>
        <v/>
      </c>
      <c r="AG3217" s="21">
        <f>DATE(YEAR(G3217),MONTH(G3217),1)</f>
        <v/>
      </c>
    </row>
    <row r="3218">
      <c r="A3218" t="inlineStr">
        <is>
          <t>SPO-01719-1</t>
        </is>
      </c>
      <c r="B3218" t="inlineStr">
        <is>
          <t>SPO-01719</t>
        </is>
      </c>
      <c r="C3218" t="inlineStr">
        <is>
          <t>SUP-05</t>
        </is>
      </c>
      <c r="D3218" t="inlineStr">
        <is>
          <t>FLEET</t>
        </is>
      </c>
      <c r="E3218" t="inlineStr">
        <is>
          <t>FLEET-06</t>
        </is>
      </c>
      <c r="F3218" s="17" t="n">
        <v>46046</v>
      </c>
      <c r="G3218" s="17" t="n">
        <v>46060</v>
      </c>
      <c r="H3218" s="18" t="n">
        <v>35</v>
      </c>
      <c r="I3218" s="19" t="n">
        <v>34.01</v>
      </c>
      <c r="J3218" s="19" t="n">
        <v>33</v>
      </c>
      <c r="K3218" s="20" t="n">
        <v>0</v>
      </c>
      <c r="L3218" s="20" t="n">
        <v>0</v>
      </c>
      <c r="M3218" s="18" t="n">
        <v>35</v>
      </c>
      <c r="N3218" s="18" t="n">
        <v>35</v>
      </c>
      <c r="O3218" s="18" t="n">
        <v>0</v>
      </c>
      <c r="P3218" s="17" t="n">
        <v>46055</v>
      </c>
      <c r="Q3218" s="17" t="n">
        <v>46055</v>
      </c>
      <c r="R3218" s="17" t="n">
        <v>46055</v>
      </c>
      <c r="S3218" s="19">
        <f>H3218*I3218</f>
        <v/>
      </c>
      <c r="T3218" s="19">
        <f>H3218*J3218</f>
        <v/>
      </c>
      <c r="U3218">
        <f>IF(AND(K3218=0,G3218&lt;=Assumptions!$C$6),1,0)</f>
        <v/>
      </c>
      <c r="V3218">
        <f>IF(U3218=1,IF(M3218&gt;0,IF(P3218&lt;=G3218+Assumptions!$C$7,1,0),0),0)</f>
        <v/>
      </c>
      <c r="W3218">
        <f>IF(AND(U3218=1,M3218&gt;=H3218*(1-Assumptions!$C$8)),1,0)</f>
        <v/>
      </c>
      <c r="X3218">
        <f>IF(AND(U3218=1,N3218&gt;=H3218*(1-Assumptions!$C$8)),1,0)</f>
        <v/>
      </c>
      <c r="Y3218">
        <f>IF(ISNUMBER(Q3218),1,0)</f>
        <v/>
      </c>
      <c r="Z3218">
        <f>IF(AND(K3218=0,L3218=0,Y3218=0),1,0)</f>
        <v/>
      </c>
      <c r="AA3218">
        <f>IF(AND(Z3218=1,G3218&lt;Assumptions!$C$6),1,0)</f>
        <v/>
      </c>
      <c r="AB3218">
        <f>IF(U3218=0,"",IF(Y3218=1,MAX(0,Q3218-G3218),IF(L3218=1,MAX(0,R3218-G3218),MAX(0,Assumptions!$C$6-G3218))))</f>
        <v/>
      </c>
      <c r="AC3218">
        <f>IF(Y3218=1,Q3218-F3218,"")</f>
        <v/>
      </c>
      <c r="AD3218">
        <f>IF(Y3218=1,AC3218^2,"")</f>
        <v/>
      </c>
      <c r="AE3218" s="19">
        <f>IF(Z3218=1,(H3218-M3218)*I3218,0)</f>
        <v/>
      </c>
      <c r="AF3218">
        <f>IF(G3218&lt;EDATE(Assumptions!$C$6,-12)+1,"prior_12m","last_12m")</f>
        <v/>
      </c>
      <c r="AG3218" s="21">
        <f>DATE(YEAR(G3218),MONTH(G3218),1)</f>
        <v/>
      </c>
    </row>
    <row r="3219">
      <c r="A3219" t="inlineStr">
        <is>
          <t>SPO-01720-1</t>
        </is>
      </c>
      <c r="B3219" t="inlineStr">
        <is>
          <t>SPO-01720</t>
        </is>
      </c>
      <c r="C3219" t="inlineStr">
        <is>
          <t>SUP-10</t>
        </is>
      </c>
      <c r="D3219" t="inlineStr">
        <is>
          <t>PPE</t>
        </is>
      </c>
      <c r="E3219" t="inlineStr">
        <is>
          <t>PPE-08</t>
        </is>
      </c>
      <c r="F3219" s="17" t="n">
        <v>46046</v>
      </c>
      <c r="G3219" s="17" t="n">
        <v>46059</v>
      </c>
      <c r="H3219" s="18" t="n">
        <v>14</v>
      </c>
      <c r="I3219" s="19" t="n">
        <v>62.54</v>
      </c>
      <c r="J3219" s="19" t="n">
        <v>64</v>
      </c>
      <c r="K3219" s="20" t="n">
        <v>0</v>
      </c>
      <c r="L3219" s="20" t="n">
        <v>0</v>
      </c>
      <c r="M3219" s="18" t="n">
        <v>14</v>
      </c>
      <c r="N3219" s="18" t="n">
        <v>14</v>
      </c>
      <c r="O3219" s="18" t="n">
        <v>0</v>
      </c>
      <c r="P3219" s="17" t="n">
        <v>46052</v>
      </c>
      <c r="Q3219" s="17" t="n">
        <v>46052</v>
      </c>
      <c r="R3219" s="17" t="n">
        <v>46052</v>
      </c>
      <c r="S3219" s="19">
        <f>H3219*I3219</f>
        <v/>
      </c>
      <c r="T3219" s="19">
        <f>H3219*J3219</f>
        <v/>
      </c>
      <c r="U3219">
        <f>IF(AND(K3219=0,G3219&lt;=Assumptions!$C$6),1,0)</f>
        <v/>
      </c>
      <c r="V3219">
        <f>IF(U3219=1,IF(M3219&gt;0,IF(P3219&lt;=G3219+Assumptions!$C$7,1,0),0),0)</f>
        <v/>
      </c>
      <c r="W3219">
        <f>IF(AND(U3219=1,M3219&gt;=H3219*(1-Assumptions!$C$8)),1,0)</f>
        <v/>
      </c>
      <c r="X3219">
        <f>IF(AND(U3219=1,N3219&gt;=H3219*(1-Assumptions!$C$8)),1,0)</f>
        <v/>
      </c>
      <c r="Y3219">
        <f>IF(ISNUMBER(Q3219),1,0)</f>
        <v/>
      </c>
      <c r="Z3219">
        <f>IF(AND(K3219=0,L3219=0,Y3219=0),1,0)</f>
        <v/>
      </c>
      <c r="AA3219">
        <f>IF(AND(Z3219=1,G3219&lt;Assumptions!$C$6),1,0)</f>
        <v/>
      </c>
      <c r="AB3219">
        <f>IF(U3219=0,"",IF(Y3219=1,MAX(0,Q3219-G3219),IF(L3219=1,MAX(0,R3219-G3219),MAX(0,Assumptions!$C$6-G3219))))</f>
        <v/>
      </c>
      <c r="AC3219">
        <f>IF(Y3219=1,Q3219-F3219,"")</f>
        <v/>
      </c>
      <c r="AD3219">
        <f>IF(Y3219=1,AC3219^2,"")</f>
        <v/>
      </c>
      <c r="AE3219" s="19">
        <f>IF(Z3219=1,(H3219-M3219)*I3219,0)</f>
        <v/>
      </c>
      <c r="AF3219">
        <f>IF(G3219&lt;EDATE(Assumptions!$C$6,-12)+1,"prior_12m","last_12m")</f>
        <v/>
      </c>
      <c r="AG3219" s="21">
        <f>DATE(YEAR(G3219),MONTH(G3219),1)</f>
        <v/>
      </c>
    </row>
    <row r="3220">
      <c r="A3220" t="inlineStr">
        <is>
          <t>SPO-01720-2</t>
        </is>
      </c>
      <c r="B3220" t="inlineStr">
        <is>
          <t>SPO-01720</t>
        </is>
      </c>
      <c r="C3220" t="inlineStr">
        <is>
          <t>SUP-10</t>
        </is>
      </c>
      <c r="D3220" t="inlineStr">
        <is>
          <t>PPE</t>
        </is>
      </c>
      <c r="E3220" t="inlineStr">
        <is>
          <t>PPE-05</t>
        </is>
      </c>
      <c r="F3220" s="17" t="n">
        <v>46046</v>
      </c>
      <c r="G3220" s="17" t="n">
        <v>46059</v>
      </c>
      <c r="H3220" s="18" t="n">
        <v>239</v>
      </c>
      <c r="I3220" s="19" t="n">
        <v>10.77</v>
      </c>
      <c r="J3220" s="19" t="n">
        <v>11</v>
      </c>
      <c r="K3220" s="20" t="n">
        <v>0</v>
      </c>
      <c r="L3220" s="20" t="n">
        <v>0</v>
      </c>
      <c r="M3220" s="18" t="n">
        <v>239</v>
      </c>
      <c r="N3220" s="18" t="n">
        <v>239</v>
      </c>
      <c r="O3220" s="18" t="n">
        <v>52</v>
      </c>
      <c r="P3220" s="17" t="n">
        <v>46057</v>
      </c>
      <c r="Q3220" s="17" t="n">
        <v>46057</v>
      </c>
      <c r="R3220" s="17" t="n">
        <v>46057</v>
      </c>
      <c r="S3220" s="19">
        <f>H3220*I3220</f>
        <v/>
      </c>
      <c r="T3220" s="19">
        <f>H3220*J3220</f>
        <v/>
      </c>
      <c r="U3220">
        <f>IF(AND(K3220=0,G3220&lt;=Assumptions!$C$6),1,0)</f>
        <v/>
      </c>
      <c r="V3220">
        <f>IF(U3220=1,IF(M3220&gt;0,IF(P3220&lt;=G3220+Assumptions!$C$7,1,0),0),0)</f>
        <v/>
      </c>
      <c r="W3220">
        <f>IF(AND(U3220=1,M3220&gt;=H3220*(1-Assumptions!$C$8)),1,0)</f>
        <v/>
      </c>
      <c r="X3220">
        <f>IF(AND(U3220=1,N3220&gt;=H3220*(1-Assumptions!$C$8)),1,0)</f>
        <v/>
      </c>
      <c r="Y3220">
        <f>IF(ISNUMBER(Q3220),1,0)</f>
        <v/>
      </c>
      <c r="Z3220">
        <f>IF(AND(K3220=0,L3220=0,Y3220=0),1,0)</f>
        <v/>
      </c>
      <c r="AA3220">
        <f>IF(AND(Z3220=1,G3220&lt;Assumptions!$C$6),1,0)</f>
        <v/>
      </c>
      <c r="AB3220">
        <f>IF(U3220=0,"",IF(Y3220=1,MAX(0,Q3220-G3220),IF(L3220=1,MAX(0,R3220-G3220),MAX(0,Assumptions!$C$6-G3220))))</f>
        <v/>
      </c>
      <c r="AC3220">
        <f>IF(Y3220=1,Q3220-F3220,"")</f>
        <v/>
      </c>
      <c r="AD3220">
        <f>IF(Y3220=1,AC3220^2,"")</f>
        <v/>
      </c>
      <c r="AE3220" s="19">
        <f>IF(Z3220=1,(H3220-M3220)*I3220,0)</f>
        <v/>
      </c>
      <c r="AF3220">
        <f>IF(G3220&lt;EDATE(Assumptions!$C$6,-12)+1,"prior_12m","last_12m")</f>
        <v/>
      </c>
      <c r="AG3220" s="21">
        <f>DATE(YEAR(G3220),MONTH(G3220),1)</f>
        <v/>
      </c>
    </row>
    <row r="3221">
      <c r="A3221" t="inlineStr">
        <is>
          <t>SPO-01721-1</t>
        </is>
      </c>
      <c r="B3221" t="inlineStr">
        <is>
          <t>SPO-01721</t>
        </is>
      </c>
      <c r="C3221" t="inlineStr">
        <is>
          <t>SUP-08</t>
        </is>
      </c>
      <c r="D3221" t="inlineStr">
        <is>
          <t>PPE</t>
        </is>
      </c>
      <c r="E3221" t="inlineStr">
        <is>
          <t>PPE-02</t>
        </is>
      </c>
      <c r="F3221" s="17" t="n">
        <v>46046</v>
      </c>
      <c r="G3221" s="17" t="n">
        <v>46057</v>
      </c>
      <c r="H3221" s="18" t="n">
        <v>145</v>
      </c>
      <c r="I3221" s="19" t="n">
        <v>12.76</v>
      </c>
      <c r="J3221" s="19" t="n">
        <v>12.5</v>
      </c>
      <c r="K3221" s="20" t="n">
        <v>0</v>
      </c>
      <c r="L3221" s="20" t="n">
        <v>0</v>
      </c>
      <c r="M3221" s="18" t="n">
        <v>145</v>
      </c>
      <c r="N3221" s="18" t="n">
        <v>145</v>
      </c>
      <c r="O3221" s="18" t="n">
        <v>0</v>
      </c>
      <c r="P3221" s="17" t="n">
        <v>46053</v>
      </c>
      <c r="Q3221" s="17" t="n">
        <v>46053</v>
      </c>
      <c r="R3221" s="17" t="n">
        <v>46053</v>
      </c>
      <c r="S3221" s="19">
        <f>H3221*I3221</f>
        <v/>
      </c>
      <c r="T3221" s="19">
        <f>H3221*J3221</f>
        <v/>
      </c>
      <c r="U3221">
        <f>IF(AND(K3221=0,G3221&lt;=Assumptions!$C$6),1,0)</f>
        <v/>
      </c>
      <c r="V3221">
        <f>IF(U3221=1,IF(M3221&gt;0,IF(P3221&lt;=G3221+Assumptions!$C$7,1,0),0),0)</f>
        <v/>
      </c>
      <c r="W3221">
        <f>IF(AND(U3221=1,M3221&gt;=H3221*(1-Assumptions!$C$8)),1,0)</f>
        <v/>
      </c>
      <c r="X3221">
        <f>IF(AND(U3221=1,N3221&gt;=H3221*(1-Assumptions!$C$8)),1,0)</f>
        <v/>
      </c>
      <c r="Y3221">
        <f>IF(ISNUMBER(Q3221),1,0)</f>
        <v/>
      </c>
      <c r="Z3221">
        <f>IF(AND(K3221=0,L3221=0,Y3221=0),1,0)</f>
        <v/>
      </c>
      <c r="AA3221">
        <f>IF(AND(Z3221=1,G3221&lt;Assumptions!$C$6),1,0)</f>
        <v/>
      </c>
      <c r="AB3221">
        <f>IF(U3221=0,"",IF(Y3221=1,MAX(0,Q3221-G3221),IF(L3221=1,MAX(0,R3221-G3221),MAX(0,Assumptions!$C$6-G3221))))</f>
        <v/>
      </c>
      <c r="AC3221">
        <f>IF(Y3221=1,Q3221-F3221,"")</f>
        <v/>
      </c>
      <c r="AD3221">
        <f>IF(Y3221=1,AC3221^2,"")</f>
        <v/>
      </c>
      <c r="AE3221" s="19">
        <f>IF(Z3221=1,(H3221-M3221)*I3221,0)</f>
        <v/>
      </c>
      <c r="AF3221">
        <f>IF(G3221&lt;EDATE(Assumptions!$C$6,-12)+1,"prior_12m","last_12m")</f>
        <v/>
      </c>
      <c r="AG3221" s="21">
        <f>DATE(YEAR(G3221),MONTH(G3221),1)</f>
        <v/>
      </c>
    </row>
    <row r="3222">
      <c r="A3222" t="inlineStr">
        <is>
          <t>SPO-01722-1</t>
        </is>
      </c>
      <c r="B3222" t="inlineStr">
        <is>
          <t>SPO-01722</t>
        </is>
      </c>
      <c r="C3222" t="inlineStr">
        <is>
          <t>SUP-09</t>
        </is>
      </c>
      <c r="D3222" t="inlineStr">
        <is>
          <t>CHEM</t>
        </is>
      </c>
      <c r="E3222" t="inlineStr">
        <is>
          <t>CHEM-01</t>
        </is>
      </c>
      <c r="F3222" s="17" t="n">
        <v>46047</v>
      </c>
      <c r="G3222" s="17" t="n">
        <v>46061</v>
      </c>
      <c r="H3222" s="18" t="n">
        <v>1</v>
      </c>
      <c r="I3222" s="19" t="n">
        <v>667.77</v>
      </c>
      <c r="J3222" s="19" t="n">
        <v>640</v>
      </c>
      <c r="K3222" s="20" t="n">
        <v>0</v>
      </c>
      <c r="L3222" s="20" t="n">
        <v>0</v>
      </c>
      <c r="M3222" s="18" t="n">
        <v>1</v>
      </c>
      <c r="N3222" s="18" t="n">
        <v>1</v>
      </c>
      <c r="O3222" s="18" t="n">
        <v>0</v>
      </c>
      <c r="P3222" s="17" t="n">
        <v>46057</v>
      </c>
      <c r="Q3222" s="17" t="n">
        <v>46057</v>
      </c>
      <c r="R3222" s="17" t="n">
        <v>46057</v>
      </c>
      <c r="S3222" s="19">
        <f>H3222*I3222</f>
        <v/>
      </c>
      <c r="T3222" s="19">
        <f>H3222*J3222</f>
        <v/>
      </c>
      <c r="U3222">
        <f>IF(AND(K3222=0,G3222&lt;=Assumptions!$C$6),1,0)</f>
        <v/>
      </c>
      <c r="V3222">
        <f>IF(U3222=1,IF(M3222&gt;0,IF(P3222&lt;=G3222+Assumptions!$C$7,1,0),0),0)</f>
        <v/>
      </c>
      <c r="W3222">
        <f>IF(AND(U3222=1,M3222&gt;=H3222*(1-Assumptions!$C$8)),1,0)</f>
        <v/>
      </c>
      <c r="X3222">
        <f>IF(AND(U3222=1,N3222&gt;=H3222*(1-Assumptions!$C$8)),1,0)</f>
        <v/>
      </c>
      <c r="Y3222">
        <f>IF(ISNUMBER(Q3222),1,0)</f>
        <v/>
      </c>
      <c r="Z3222">
        <f>IF(AND(K3222=0,L3222=0,Y3222=0),1,0)</f>
        <v/>
      </c>
      <c r="AA3222">
        <f>IF(AND(Z3222=1,G3222&lt;Assumptions!$C$6),1,0)</f>
        <v/>
      </c>
      <c r="AB3222">
        <f>IF(U3222=0,"",IF(Y3222=1,MAX(0,Q3222-G3222),IF(L3222=1,MAX(0,R3222-G3222),MAX(0,Assumptions!$C$6-G3222))))</f>
        <v/>
      </c>
      <c r="AC3222">
        <f>IF(Y3222=1,Q3222-F3222,"")</f>
        <v/>
      </c>
      <c r="AD3222">
        <f>IF(Y3222=1,AC3222^2,"")</f>
        <v/>
      </c>
      <c r="AE3222" s="19">
        <f>IF(Z3222=1,(H3222-M3222)*I3222,0)</f>
        <v/>
      </c>
      <c r="AF3222">
        <f>IF(G3222&lt;EDATE(Assumptions!$C$6,-12)+1,"prior_12m","last_12m")</f>
        <v/>
      </c>
      <c r="AG3222" s="21">
        <f>DATE(YEAR(G3222),MONTH(G3222),1)</f>
        <v/>
      </c>
    </row>
    <row r="3223">
      <c r="A3223" t="inlineStr">
        <is>
          <t>SPO-01722-2</t>
        </is>
      </c>
      <c r="B3223" t="inlineStr">
        <is>
          <t>SPO-01722</t>
        </is>
      </c>
      <c r="C3223" t="inlineStr">
        <is>
          <t>SUP-09</t>
        </is>
      </c>
      <c r="D3223" t="inlineStr">
        <is>
          <t>CHEM</t>
        </is>
      </c>
      <c r="E3223" t="inlineStr">
        <is>
          <t>CHEM-02</t>
        </is>
      </c>
      <c r="F3223" s="17" t="n">
        <v>46047</v>
      </c>
      <c r="G3223" s="17" t="n">
        <v>46061</v>
      </c>
      <c r="H3223" s="18" t="n">
        <v>2</v>
      </c>
      <c r="I3223" s="19" t="n">
        <v>424.78</v>
      </c>
      <c r="J3223" s="19" t="n">
        <v>410</v>
      </c>
      <c r="K3223" s="20" t="n">
        <v>0</v>
      </c>
      <c r="L3223" s="20" t="n">
        <v>0</v>
      </c>
      <c r="M3223" s="18" t="n">
        <v>2</v>
      </c>
      <c r="N3223" s="18" t="n">
        <v>0</v>
      </c>
      <c r="O3223" s="18" t="n">
        <v>0</v>
      </c>
      <c r="P3223" s="17" t="n">
        <v>46062</v>
      </c>
      <c r="Q3223" s="17" t="n">
        <v>46062</v>
      </c>
      <c r="R3223" s="17" t="n">
        <v>46062</v>
      </c>
      <c r="S3223" s="19">
        <f>H3223*I3223</f>
        <v/>
      </c>
      <c r="T3223" s="19">
        <f>H3223*J3223</f>
        <v/>
      </c>
      <c r="U3223">
        <f>IF(AND(K3223=0,G3223&lt;=Assumptions!$C$6),1,0)</f>
        <v/>
      </c>
      <c r="V3223">
        <f>IF(U3223=1,IF(M3223&gt;0,IF(P3223&lt;=G3223+Assumptions!$C$7,1,0),0),0)</f>
        <v/>
      </c>
      <c r="W3223">
        <f>IF(AND(U3223=1,M3223&gt;=H3223*(1-Assumptions!$C$8)),1,0)</f>
        <v/>
      </c>
      <c r="X3223">
        <f>IF(AND(U3223=1,N3223&gt;=H3223*(1-Assumptions!$C$8)),1,0)</f>
        <v/>
      </c>
      <c r="Y3223">
        <f>IF(ISNUMBER(Q3223),1,0)</f>
        <v/>
      </c>
      <c r="Z3223">
        <f>IF(AND(K3223=0,L3223=0,Y3223=0),1,0)</f>
        <v/>
      </c>
      <c r="AA3223">
        <f>IF(AND(Z3223=1,G3223&lt;Assumptions!$C$6),1,0)</f>
        <v/>
      </c>
      <c r="AB3223">
        <f>IF(U3223=0,"",IF(Y3223=1,MAX(0,Q3223-G3223),IF(L3223=1,MAX(0,R3223-G3223),MAX(0,Assumptions!$C$6-G3223))))</f>
        <v/>
      </c>
      <c r="AC3223">
        <f>IF(Y3223=1,Q3223-F3223,"")</f>
        <v/>
      </c>
      <c r="AD3223">
        <f>IF(Y3223=1,AC3223^2,"")</f>
        <v/>
      </c>
      <c r="AE3223" s="19">
        <f>IF(Z3223=1,(H3223-M3223)*I3223,0)</f>
        <v/>
      </c>
      <c r="AF3223">
        <f>IF(G3223&lt;EDATE(Assumptions!$C$6,-12)+1,"prior_12m","last_12m")</f>
        <v/>
      </c>
      <c r="AG3223" s="21">
        <f>DATE(YEAR(G3223),MONTH(G3223),1)</f>
        <v/>
      </c>
    </row>
    <row r="3224">
      <c r="A3224" t="inlineStr">
        <is>
          <t>SPO-01722-3</t>
        </is>
      </c>
      <c r="B3224" t="inlineStr">
        <is>
          <t>SPO-01722</t>
        </is>
      </c>
      <c r="C3224" t="inlineStr">
        <is>
          <t>SUP-09</t>
        </is>
      </c>
      <c r="D3224" t="inlineStr">
        <is>
          <t>CHEM</t>
        </is>
      </c>
      <c r="E3224" t="inlineStr">
        <is>
          <t>CHEM-04</t>
        </is>
      </c>
      <c r="F3224" s="17" t="n">
        <v>46047</v>
      </c>
      <c r="G3224" s="17" t="n">
        <v>46061</v>
      </c>
      <c r="H3224" s="18" t="n">
        <v>2</v>
      </c>
      <c r="I3224" s="19" t="n">
        <v>822.89</v>
      </c>
      <c r="J3224" s="19" t="n">
        <v>820</v>
      </c>
      <c r="K3224" s="20" t="n">
        <v>0</v>
      </c>
      <c r="L3224" s="20" t="n">
        <v>0</v>
      </c>
      <c r="M3224" s="18" t="n">
        <v>2</v>
      </c>
      <c r="N3224" s="18" t="n">
        <v>2</v>
      </c>
      <c r="O3224" s="18" t="n">
        <v>0</v>
      </c>
      <c r="P3224" s="17" t="n">
        <v>46058</v>
      </c>
      <c r="Q3224" s="17" t="n">
        <v>46058</v>
      </c>
      <c r="R3224" s="17" t="n">
        <v>46058</v>
      </c>
      <c r="S3224" s="19">
        <f>H3224*I3224</f>
        <v/>
      </c>
      <c r="T3224" s="19">
        <f>H3224*J3224</f>
        <v/>
      </c>
      <c r="U3224">
        <f>IF(AND(K3224=0,G3224&lt;=Assumptions!$C$6),1,0)</f>
        <v/>
      </c>
      <c r="V3224">
        <f>IF(U3224=1,IF(M3224&gt;0,IF(P3224&lt;=G3224+Assumptions!$C$7,1,0),0),0)</f>
        <v/>
      </c>
      <c r="W3224">
        <f>IF(AND(U3224=1,M3224&gt;=H3224*(1-Assumptions!$C$8)),1,0)</f>
        <v/>
      </c>
      <c r="X3224">
        <f>IF(AND(U3224=1,N3224&gt;=H3224*(1-Assumptions!$C$8)),1,0)</f>
        <v/>
      </c>
      <c r="Y3224">
        <f>IF(ISNUMBER(Q3224),1,0)</f>
        <v/>
      </c>
      <c r="Z3224">
        <f>IF(AND(K3224=0,L3224=0,Y3224=0),1,0)</f>
        <v/>
      </c>
      <c r="AA3224">
        <f>IF(AND(Z3224=1,G3224&lt;Assumptions!$C$6),1,0)</f>
        <v/>
      </c>
      <c r="AB3224">
        <f>IF(U3224=0,"",IF(Y3224=1,MAX(0,Q3224-G3224),IF(L3224=1,MAX(0,R3224-G3224),MAX(0,Assumptions!$C$6-G3224))))</f>
        <v/>
      </c>
      <c r="AC3224">
        <f>IF(Y3224=1,Q3224-F3224,"")</f>
        <v/>
      </c>
      <c r="AD3224">
        <f>IF(Y3224=1,AC3224^2,"")</f>
        <v/>
      </c>
      <c r="AE3224" s="19">
        <f>IF(Z3224=1,(H3224-M3224)*I3224,0)</f>
        <v/>
      </c>
      <c r="AF3224">
        <f>IF(G3224&lt;EDATE(Assumptions!$C$6,-12)+1,"prior_12m","last_12m")</f>
        <v/>
      </c>
      <c r="AG3224" s="21">
        <f>DATE(YEAR(G3224),MONTH(G3224),1)</f>
        <v/>
      </c>
    </row>
    <row r="3225">
      <c r="A3225" t="inlineStr">
        <is>
          <t>SPO-01722-4</t>
        </is>
      </c>
      <c r="B3225" t="inlineStr">
        <is>
          <t>SPO-01722</t>
        </is>
      </c>
      <c r="C3225" t="inlineStr">
        <is>
          <t>SUP-09</t>
        </is>
      </c>
      <c r="D3225" t="inlineStr">
        <is>
          <t>CHEM</t>
        </is>
      </c>
      <c r="E3225" t="inlineStr">
        <is>
          <t>CHEM-06</t>
        </is>
      </c>
      <c r="F3225" s="17" t="n">
        <v>46047</v>
      </c>
      <c r="G3225" s="17" t="n">
        <v>46061</v>
      </c>
      <c r="H3225" s="18" t="n">
        <v>3</v>
      </c>
      <c r="I3225" s="19" t="n">
        <v>399.11</v>
      </c>
      <c r="J3225" s="19" t="n">
        <v>380</v>
      </c>
      <c r="K3225" s="20" t="n">
        <v>0</v>
      </c>
      <c r="L3225" s="20" t="n">
        <v>0</v>
      </c>
      <c r="M3225" s="18" t="n">
        <v>3</v>
      </c>
      <c r="N3225" s="18" t="n">
        <v>3</v>
      </c>
      <c r="O3225" s="18" t="n">
        <v>0</v>
      </c>
      <c r="P3225" s="17" t="n">
        <v>46060</v>
      </c>
      <c r="Q3225" s="17" t="n">
        <v>46060</v>
      </c>
      <c r="R3225" s="17" t="n">
        <v>46060</v>
      </c>
      <c r="S3225" s="19">
        <f>H3225*I3225</f>
        <v/>
      </c>
      <c r="T3225" s="19">
        <f>H3225*J3225</f>
        <v/>
      </c>
      <c r="U3225">
        <f>IF(AND(K3225=0,G3225&lt;=Assumptions!$C$6),1,0)</f>
        <v/>
      </c>
      <c r="V3225">
        <f>IF(U3225=1,IF(M3225&gt;0,IF(P3225&lt;=G3225+Assumptions!$C$7,1,0),0),0)</f>
        <v/>
      </c>
      <c r="W3225">
        <f>IF(AND(U3225=1,M3225&gt;=H3225*(1-Assumptions!$C$8)),1,0)</f>
        <v/>
      </c>
      <c r="X3225">
        <f>IF(AND(U3225=1,N3225&gt;=H3225*(1-Assumptions!$C$8)),1,0)</f>
        <v/>
      </c>
      <c r="Y3225">
        <f>IF(ISNUMBER(Q3225),1,0)</f>
        <v/>
      </c>
      <c r="Z3225">
        <f>IF(AND(K3225=0,L3225=0,Y3225=0),1,0)</f>
        <v/>
      </c>
      <c r="AA3225">
        <f>IF(AND(Z3225=1,G3225&lt;Assumptions!$C$6),1,0)</f>
        <v/>
      </c>
      <c r="AB3225">
        <f>IF(U3225=0,"",IF(Y3225=1,MAX(0,Q3225-G3225),IF(L3225=1,MAX(0,R3225-G3225),MAX(0,Assumptions!$C$6-G3225))))</f>
        <v/>
      </c>
      <c r="AC3225">
        <f>IF(Y3225=1,Q3225-F3225,"")</f>
        <v/>
      </c>
      <c r="AD3225">
        <f>IF(Y3225=1,AC3225^2,"")</f>
        <v/>
      </c>
      <c r="AE3225" s="19">
        <f>IF(Z3225=1,(H3225-M3225)*I3225,0)</f>
        <v/>
      </c>
      <c r="AF3225">
        <f>IF(G3225&lt;EDATE(Assumptions!$C$6,-12)+1,"prior_12m","last_12m")</f>
        <v/>
      </c>
      <c r="AG3225" s="21">
        <f>DATE(YEAR(G3225),MONTH(G3225),1)</f>
        <v/>
      </c>
    </row>
    <row r="3226">
      <c r="A3226" t="inlineStr">
        <is>
          <t>SPO-01723-1</t>
        </is>
      </c>
      <c r="B3226" t="inlineStr">
        <is>
          <t>SPO-01723</t>
        </is>
      </c>
      <c r="C3226" t="inlineStr">
        <is>
          <t>SUP-02</t>
        </is>
      </c>
      <c r="D3226" t="inlineStr">
        <is>
          <t>ELEC</t>
        </is>
      </c>
      <c r="E3226" t="inlineStr">
        <is>
          <t>ELEC-04</t>
        </is>
      </c>
      <c r="F3226" s="17" t="n">
        <v>46048</v>
      </c>
      <c r="G3226" s="17" t="n">
        <v>46064</v>
      </c>
      <c r="H3226" s="18" t="n">
        <v>25</v>
      </c>
      <c r="I3226" s="19" t="n">
        <v>75.66</v>
      </c>
      <c r="J3226" s="19" t="n">
        <v>72</v>
      </c>
      <c r="K3226" s="20" t="n">
        <v>0</v>
      </c>
      <c r="L3226" s="20" t="n">
        <v>0</v>
      </c>
      <c r="M3226" s="18" t="n">
        <v>25</v>
      </c>
      <c r="N3226" s="18" t="n">
        <v>25</v>
      </c>
      <c r="O3226" s="18" t="n">
        <v>0</v>
      </c>
      <c r="P3226" s="17" t="n">
        <v>46063</v>
      </c>
      <c r="Q3226" s="17" t="n">
        <v>46063</v>
      </c>
      <c r="R3226" s="17" t="n">
        <v>46063</v>
      </c>
      <c r="S3226" s="19">
        <f>H3226*I3226</f>
        <v/>
      </c>
      <c r="T3226" s="19">
        <f>H3226*J3226</f>
        <v/>
      </c>
      <c r="U3226">
        <f>IF(AND(K3226=0,G3226&lt;=Assumptions!$C$6),1,0)</f>
        <v/>
      </c>
      <c r="V3226">
        <f>IF(U3226=1,IF(M3226&gt;0,IF(P3226&lt;=G3226+Assumptions!$C$7,1,0),0),0)</f>
        <v/>
      </c>
      <c r="W3226">
        <f>IF(AND(U3226=1,M3226&gt;=H3226*(1-Assumptions!$C$8)),1,0)</f>
        <v/>
      </c>
      <c r="X3226">
        <f>IF(AND(U3226=1,N3226&gt;=H3226*(1-Assumptions!$C$8)),1,0)</f>
        <v/>
      </c>
      <c r="Y3226">
        <f>IF(ISNUMBER(Q3226),1,0)</f>
        <v/>
      </c>
      <c r="Z3226">
        <f>IF(AND(K3226=0,L3226=0,Y3226=0),1,0)</f>
        <v/>
      </c>
      <c r="AA3226">
        <f>IF(AND(Z3226=1,G3226&lt;Assumptions!$C$6),1,0)</f>
        <v/>
      </c>
      <c r="AB3226">
        <f>IF(U3226=0,"",IF(Y3226=1,MAX(0,Q3226-G3226),IF(L3226=1,MAX(0,R3226-G3226),MAX(0,Assumptions!$C$6-G3226))))</f>
        <v/>
      </c>
      <c r="AC3226">
        <f>IF(Y3226=1,Q3226-F3226,"")</f>
        <v/>
      </c>
      <c r="AD3226">
        <f>IF(Y3226=1,AC3226^2,"")</f>
        <v/>
      </c>
      <c r="AE3226" s="19">
        <f>IF(Z3226=1,(H3226-M3226)*I3226,0)</f>
        <v/>
      </c>
      <c r="AF3226">
        <f>IF(G3226&lt;EDATE(Assumptions!$C$6,-12)+1,"prior_12m","last_12m")</f>
        <v/>
      </c>
      <c r="AG3226" s="21">
        <f>DATE(YEAR(G3226),MONTH(G3226),1)</f>
        <v/>
      </c>
    </row>
    <row r="3227">
      <c r="A3227" t="inlineStr">
        <is>
          <t>SPO-01724-1</t>
        </is>
      </c>
      <c r="B3227" t="inlineStr">
        <is>
          <t>SPO-01724</t>
        </is>
      </c>
      <c r="C3227" t="inlineStr">
        <is>
          <t>SUP-05</t>
        </is>
      </c>
      <c r="D3227" t="inlineStr">
        <is>
          <t>FLEET</t>
        </is>
      </c>
      <c r="E3227" t="inlineStr">
        <is>
          <t>FLEET-02</t>
        </is>
      </c>
      <c r="F3227" s="17" t="n">
        <v>46048</v>
      </c>
      <c r="G3227" s="17" t="n">
        <v>46062</v>
      </c>
      <c r="H3227" s="18" t="n">
        <v>150</v>
      </c>
      <c r="I3227" s="19" t="n">
        <v>7.38</v>
      </c>
      <c r="J3227" s="19" t="n">
        <v>7.5</v>
      </c>
      <c r="K3227" s="20" t="n">
        <v>0</v>
      </c>
      <c r="L3227" s="20" t="n">
        <v>0</v>
      </c>
      <c r="M3227" s="18" t="n">
        <v>150</v>
      </c>
      <c r="N3227" s="18" t="n">
        <v>150</v>
      </c>
      <c r="O3227" s="18" t="n">
        <v>0</v>
      </c>
      <c r="P3227" s="17" t="n">
        <v>46059</v>
      </c>
      <c r="Q3227" s="17" t="n">
        <v>46059</v>
      </c>
      <c r="R3227" s="17" t="n">
        <v>46059</v>
      </c>
      <c r="S3227" s="19">
        <f>H3227*I3227</f>
        <v/>
      </c>
      <c r="T3227" s="19">
        <f>H3227*J3227</f>
        <v/>
      </c>
      <c r="U3227">
        <f>IF(AND(K3227=0,G3227&lt;=Assumptions!$C$6),1,0)</f>
        <v/>
      </c>
      <c r="V3227">
        <f>IF(U3227=1,IF(M3227&gt;0,IF(P3227&lt;=G3227+Assumptions!$C$7,1,0),0),0)</f>
        <v/>
      </c>
      <c r="W3227">
        <f>IF(AND(U3227=1,M3227&gt;=H3227*(1-Assumptions!$C$8)),1,0)</f>
        <v/>
      </c>
      <c r="X3227">
        <f>IF(AND(U3227=1,N3227&gt;=H3227*(1-Assumptions!$C$8)),1,0)</f>
        <v/>
      </c>
      <c r="Y3227">
        <f>IF(ISNUMBER(Q3227),1,0)</f>
        <v/>
      </c>
      <c r="Z3227">
        <f>IF(AND(K3227=0,L3227=0,Y3227=0),1,0)</f>
        <v/>
      </c>
      <c r="AA3227">
        <f>IF(AND(Z3227=1,G3227&lt;Assumptions!$C$6),1,0)</f>
        <v/>
      </c>
      <c r="AB3227">
        <f>IF(U3227=0,"",IF(Y3227=1,MAX(0,Q3227-G3227),IF(L3227=1,MAX(0,R3227-G3227),MAX(0,Assumptions!$C$6-G3227))))</f>
        <v/>
      </c>
      <c r="AC3227">
        <f>IF(Y3227=1,Q3227-F3227,"")</f>
        <v/>
      </c>
      <c r="AD3227">
        <f>IF(Y3227=1,AC3227^2,"")</f>
        <v/>
      </c>
      <c r="AE3227" s="19">
        <f>IF(Z3227=1,(H3227-M3227)*I3227,0)</f>
        <v/>
      </c>
      <c r="AF3227">
        <f>IF(G3227&lt;EDATE(Assumptions!$C$6,-12)+1,"prior_12m","last_12m")</f>
        <v/>
      </c>
      <c r="AG3227" s="21">
        <f>DATE(YEAR(G3227),MONTH(G3227),1)</f>
        <v/>
      </c>
    </row>
    <row r="3228">
      <c r="A3228" t="inlineStr">
        <is>
          <t>SPO-01724-2</t>
        </is>
      </c>
      <c r="B3228" t="inlineStr">
        <is>
          <t>SPO-01724</t>
        </is>
      </c>
      <c r="C3228" t="inlineStr">
        <is>
          <t>SUP-05</t>
        </is>
      </c>
      <c r="D3228" t="inlineStr">
        <is>
          <t>FLEET</t>
        </is>
      </c>
      <c r="E3228" t="inlineStr">
        <is>
          <t>FLEET-03</t>
        </is>
      </c>
      <c r="F3228" s="17" t="n">
        <v>46048</v>
      </c>
      <c r="G3228" s="17" t="n">
        <v>46062</v>
      </c>
      <c r="H3228" s="18" t="n">
        <v>37</v>
      </c>
      <c r="I3228" s="19" t="n">
        <v>21.52</v>
      </c>
      <c r="J3228" s="19" t="n">
        <v>21</v>
      </c>
      <c r="K3228" s="20" t="n">
        <v>0</v>
      </c>
      <c r="L3228" s="20" t="n">
        <v>0</v>
      </c>
      <c r="M3228" s="18" t="n">
        <v>37</v>
      </c>
      <c r="N3228" s="18" t="n">
        <v>37</v>
      </c>
      <c r="O3228" s="18" t="n">
        <v>0</v>
      </c>
      <c r="P3228" s="17" t="n">
        <v>46057</v>
      </c>
      <c r="Q3228" s="17" t="n">
        <v>46057</v>
      </c>
      <c r="R3228" s="17" t="n">
        <v>46057</v>
      </c>
      <c r="S3228" s="19">
        <f>H3228*I3228</f>
        <v/>
      </c>
      <c r="T3228" s="19">
        <f>H3228*J3228</f>
        <v/>
      </c>
      <c r="U3228">
        <f>IF(AND(K3228=0,G3228&lt;=Assumptions!$C$6),1,0)</f>
        <v/>
      </c>
      <c r="V3228">
        <f>IF(U3228=1,IF(M3228&gt;0,IF(P3228&lt;=G3228+Assumptions!$C$7,1,0),0),0)</f>
        <v/>
      </c>
      <c r="W3228">
        <f>IF(AND(U3228=1,M3228&gt;=H3228*(1-Assumptions!$C$8)),1,0)</f>
        <v/>
      </c>
      <c r="X3228">
        <f>IF(AND(U3228=1,N3228&gt;=H3228*(1-Assumptions!$C$8)),1,0)</f>
        <v/>
      </c>
      <c r="Y3228">
        <f>IF(ISNUMBER(Q3228),1,0)</f>
        <v/>
      </c>
      <c r="Z3228">
        <f>IF(AND(K3228=0,L3228=0,Y3228=0),1,0)</f>
        <v/>
      </c>
      <c r="AA3228">
        <f>IF(AND(Z3228=1,G3228&lt;Assumptions!$C$6),1,0)</f>
        <v/>
      </c>
      <c r="AB3228">
        <f>IF(U3228=0,"",IF(Y3228=1,MAX(0,Q3228-G3228),IF(L3228=1,MAX(0,R3228-G3228),MAX(0,Assumptions!$C$6-G3228))))</f>
        <v/>
      </c>
      <c r="AC3228">
        <f>IF(Y3228=1,Q3228-F3228,"")</f>
        <v/>
      </c>
      <c r="AD3228">
        <f>IF(Y3228=1,AC3228^2,"")</f>
        <v/>
      </c>
      <c r="AE3228" s="19">
        <f>IF(Z3228=1,(H3228-M3228)*I3228,0)</f>
        <v/>
      </c>
      <c r="AF3228">
        <f>IF(G3228&lt;EDATE(Assumptions!$C$6,-12)+1,"prior_12m","last_12m")</f>
        <v/>
      </c>
      <c r="AG3228" s="21">
        <f>DATE(YEAR(G3228),MONTH(G3228),1)</f>
        <v/>
      </c>
    </row>
    <row r="3229">
      <c r="A3229" t="inlineStr">
        <is>
          <t>SPO-01724-3</t>
        </is>
      </c>
      <c r="B3229" t="inlineStr">
        <is>
          <t>SPO-01724</t>
        </is>
      </c>
      <c r="C3229" t="inlineStr">
        <is>
          <t>SUP-05</t>
        </is>
      </c>
      <c r="D3229" t="inlineStr">
        <is>
          <t>FLEET</t>
        </is>
      </c>
      <c r="E3229" t="inlineStr">
        <is>
          <t>FLEET-04</t>
        </is>
      </c>
      <c r="F3229" s="17" t="n">
        <v>46048</v>
      </c>
      <c r="G3229" s="17" t="n">
        <v>46062</v>
      </c>
      <c r="H3229" s="18" t="n">
        <v>97</v>
      </c>
      <c r="I3229" s="19" t="n">
        <v>9.210000000000001</v>
      </c>
      <c r="J3229" s="19" t="n">
        <v>9</v>
      </c>
      <c r="K3229" s="20" t="n">
        <v>0</v>
      </c>
      <c r="L3229" s="20" t="n">
        <v>0</v>
      </c>
      <c r="M3229" s="18" t="n">
        <v>97</v>
      </c>
      <c r="N3229" s="18" t="n">
        <v>97</v>
      </c>
      <c r="O3229" s="18" t="n">
        <v>0</v>
      </c>
      <c r="P3229" s="17" t="n">
        <v>46059</v>
      </c>
      <c r="Q3229" s="17" t="n">
        <v>46059</v>
      </c>
      <c r="R3229" s="17" t="n">
        <v>46059</v>
      </c>
      <c r="S3229" s="19">
        <f>H3229*I3229</f>
        <v/>
      </c>
      <c r="T3229" s="19">
        <f>H3229*J3229</f>
        <v/>
      </c>
      <c r="U3229">
        <f>IF(AND(K3229=0,G3229&lt;=Assumptions!$C$6),1,0)</f>
        <v/>
      </c>
      <c r="V3229">
        <f>IF(U3229=1,IF(M3229&gt;0,IF(P3229&lt;=G3229+Assumptions!$C$7,1,0),0),0)</f>
        <v/>
      </c>
      <c r="W3229">
        <f>IF(AND(U3229=1,M3229&gt;=H3229*(1-Assumptions!$C$8)),1,0)</f>
        <v/>
      </c>
      <c r="X3229">
        <f>IF(AND(U3229=1,N3229&gt;=H3229*(1-Assumptions!$C$8)),1,0)</f>
        <v/>
      </c>
      <c r="Y3229">
        <f>IF(ISNUMBER(Q3229),1,0)</f>
        <v/>
      </c>
      <c r="Z3229">
        <f>IF(AND(K3229=0,L3229=0,Y3229=0),1,0)</f>
        <v/>
      </c>
      <c r="AA3229">
        <f>IF(AND(Z3229=1,G3229&lt;Assumptions!$C$6),1,0)</f>
        <v/>
      </c>
      <c r="AB3229">
        <f>IF(U3229=0,"",IF(Y3229=1,MAX(0,Q3229-G3229),IF(L3229=1,MAX(0,R3229-G3229),MAX(0,Assumptions!$C$6-G3229))))</f>
        <v/>
      </c>
      <c r="AC3229">
        <f>IF(Y3229=1,Q3229-F3229,"")</f>
        <v/>
      </c>
      <c r="AD3229">
        <f>IF(Y3229=1,AC3229^2,"")</f>
        <v/>
      </c>
      <c r="AE3229" s="19">
        <f>IF(Z3229=1,(H3229-M3229)*I3229,0)</f>
        <v/>
      </c>
      <c r="AF3229">
        <f>IF(G3229&lt;EDATE(Assumptions!$C$6,-12)+1,"prior_12m","last_12m")</f>
        <v/>
      </c>
      <c r="AG3229" s="21">
        <f>DATE(YEAR(G3229),MONTH(G3229),1)</f>
        <v/>
      </c>
    </row>
    <row r="3230">
      <c r="A3230" t="inlineStr">
        <is>
          <t>SPO-01725-1</t>
        </is>
      </c>
      <c r="B3230" t="inlineStr">
        <is>
          <t>SPO-01725</t>
        </is>
      </c>
      <c r="C3230" t="inlineStr">
        <is>
          <t>SUP-12</t>
        </is>
      </c>
      <c r="D3230" t="inlineStr">
        <is>
          <t>IT</t>
        </is>
      </c>
      <c r="E3230" t="inlineStr">
        <is>
          <t>IT-07</t>
        </is>
      </c>
      <c r="F3230" s="17" t="n">
        <v>46049</v>
      </c>
      <c r="G3230" s="17" t="n">
        <v>46059</v>
      </c>
      <c r="H3230" s="18" t="n">
        <v>9</v>
      </c>
      <c r="I3230" s="19" t="n">
        <v>78.88</v>
      </c>
      <c r="J3230" s="19" t="n">
        <v>74</v>
      </c>
      <c r="K3230" s="20" t="n">
        <v>0</v>
      </c>
      <c r="L3230" s="20" t="n">
        <v>0</v>
      </c>
      <c r="M3230" s="18" t="n">
        <v>9</v>
      </c>
      <c r="N3230" s="18" t="n">
        <v>9</v>
      </c>
      <c r="O3230" s="18" t="n">
        <v>0</v>
      </c>
      <c r="P3230" s="17" t="n">
        <v>46053</v>
      </c>
      <c r="Q3230" s="17" t="n">
        <v>46053</v>
      </c>
      <c r="R3230" s="17" t="n">
        <v>46053</v>
      </c>
      <c r="S3230" s="19">
        <f>H3230*I3230</f>
        <v/>
      </c>
      <c r="T3230" s="19">
        <f>H3230*J3230</f>
        <v/>
      </c>
      <c r="U3230">
        <f>IF(AND(K3230=0,G3230&lt;=Assumptions!$C$6),1,0)</f>
        <v/>
      </c>
      <c r="V3230">
        <f>IF(U3230=1,IF(M3230&gt;0,IF(P3230&lt;=G3230+Assumptions!$C$7,1,0),0),0)</f>
        <v/>
      </c>
      <c r="W3230">
        <f>IF(AND(U3230=1,M3230&gt;=H3230*(1-Assumptions!$C$8)),1,0)</f>
        <v/>
      </c>
      <c r="X3230">
        <f>IF(AND(U3230=1,N3230&gt;=H3230*(1-Assumptions!$C$8)),1,0)</f>
        <v/>
      </c>
      <c r="Y3230">
        <f>IF(ISNUMBER(Q3230),1,0)</f>
        <v/>
      </c>
      <c r="Z3230">
        <f>IF(AND(K3230=0,L3230=0,Y3230=0),1,0)</f>
        <v/>
      </c>
      <c r="AA3230">
        <f>IF(AND(Z3230=1,G3230&lt;Assumptions!$C$6),1,0)</f>
        <v/>
      </c>
      <c r="AB3230">
        <f>IF(U3230=0,"",IF(Y3230=1,MAX(0,Q3230-G3230),IF(L3230=1,MAX(0,R3230-G3230),MAX(0,Assumptions!$C$6-G3230))))</f>
        <v/>
      </c>
      <c r="AC3230">
        <f>IF(Y3230=1,Q3230-F3230,"")</f>
        <v/>
      </c>
      <c r="AD3230">
        <f>IF(Y3230=1,AC3230^2,"")</f>
        <v/>
      </c>
      <c r="AE3230" s="19">
        <f>IF(Z3230=1,(H3230-M3230)*I3230,0)</f>
        <v/>
      </c>
      <c r="AF3230">
        <f>IF(G3230&lt;EDATE(Assumptions!$C$6,-12)+1,"prior_12m","last_12m")</f>
        <v/>
      </c>
      <c r="AG3230" s="21">
        <f>DATE(YEAR(G3230),MONTH(G3230),1)</f>
        <v/>
      </c>
    </row>
    <row r="3231">
      <c r="A3231" t="inlineStr">
        <is>
          <t>SPO-01725-2</t>
        </is>
      </c>
      <c r="B3231" t="inlineStr">
        <is>
          <t>SPO-01725</t>
        </is>
      </c>
      <c r="C3231" t="inlineStr">
        <is>
          <t>SUP-12</t>
        </is>
      </c>
      <c r="D3231" t="inlineStr">
        <is>
          <t>IT</t>
        </is>
      </c>
      <c r="E3231" t="inlineStr">
        <is>
          <t>IT-03</t>
        </is>
      </c>
      <c r="F3231" s="17" t="n">
        <v>46049</v>
      </c>
      <c r="G3231" s="17" t="n">
        <v>46059</v>
      </c>
      <c r="H3231" s="18" t="n">
        <v>34</v>
      </c>
      <c r="I3231" s="19" t="n">
        <v>43.24</v>
      </c>
      <c r="J3231" s="19" t="n">
        <v>38</v>
      </c>
      <c r="K3231" s="20" t="n">
        <v>0</v>
      </c>
      <c r="L3231" s="20" t="n">
        <v>0</v>
      </c>
      <c r="M3231" s="18" t="n">
        <v>34</v>
      </c>
      <c r="N3231" s="18" t="n">
        <v>34</v>
      </c>
      <c r="O3231" s="18" t="n">
        <v>0</v>
      </c>
      <c r="P3231" s="17" t="n">
        <v>46051</v>
      </c>
      <c r="Q3231" s="17" t="n">
        <v>46051</v>
      </c>
      <c r="R3231" s="17" t="n">
        <v>46051</v>
      </c>
      <c r="S3231" s="19">
        <f>H3231*I3231</f>
        <v/>
      </c>
      <c r="T3231" s="19">
        <f>H3231*J3231</f>
        <v/>
      </c>
      <c r="U3231">
        <f>IF(AND(K3231=0,G3231&lt;=Assumptions!$C$6),1,0)</f>
        <v/>
      </c>
      <c r="V3231">
        <f>IF(U3231=1,IF(M3231&gt;0,IF(P3231&lt;=G3231+Assumptions!$C$7,1,0),0),0)</f>
        <v/>
      </c>
      <c r="W3231">
        <f>IF(AND(U3231=1,M3231&gt;=H3231*(1-Assumptions!$C$8)),1,0)</f>
        <v/>
      </c>
      <c r="X3231">
        <f>IF(AND(U3231=1,N3231&gt;=H3231*(1-Assumptions!$C$8)),1,0)</f>
        <v/>
      </c>
      <c r="Y3231">
        <f>IF(ISNUMBER(Q3231),1,0)</f>
        <v/>
      </c>
      <c r="Z3231">
        <f>IF(AND(K3231=0,L3231=0,Y3231=0),1,0)</f>
        <v/>
      </c>
      <c r="AA3231">
        <f>IF(AND(Z3231=1,G3231&lt;Assumptions!$C$6),1,0)</f>
        <v/>
      </c>
      <c r="AB3231">
        <f>IF(U3231=0,"",IF(Y3231=1,MAX(0,Q3231-G3231),IF(L3231=1,MAX(0,R3231-G3231),MAX(0,Assumptions!$C$6-G3231))))</f>
        <v/>
      </c>
      <c r="AC3231">
        <f>IF(Y3231=1,Q3231-F3231,"")</f>
        <v/>
      </c>
      <c r="AD3231">
        <f>IF(Y3231=1,AC3231^2,"")</f>
        <v/>
      </c>
      <c r="AE3231" s="19">
        <f>IF(Z3231=1,(H3231-M3231)*I3231,0)</f>
        <v/>
      </c>
      <c r="AF3231">
        <f>IF(G3231&lt;EDATE(Assumptions!$C$6,-12)+1,"prior_12m","last_12m")</f>
        <v/>
      </c>
      <c r="AG3231" s="21">
        <f>DATE(YEAR(G3231),MONTH(G3231),1)</f>
        <v/>
      </c>
    </row>
    <row r="3232">
      <c r="A3232" t="inlineStr">
        <is>
          <t>SPO-01725-3</t>
        </is>
      </c>
      <c r="B3232" t="inlineStr">
        <is>
          <t>SPO-01725</t>
        </is>
      </c>
      <c r="C3232" t="inlineStr">
        <is>
          <t>SUP-12</t>
        </is>
      </c>
      <c r="D3232" t="inlineStr">
        <is>
          <t>IT</t>
        </is>
      </c>
      <c r="E3232" t="inlineStr">
        <is>
          <t>IT-04</t>
        </is>
      </c>
      <c r="F3232" s="17" t="n">
        <v>46049</v>
      </c>
      <c r="G3232" s="17" t="n">
        <v>46059</v>
      </c>
      <c r="H3232" s="18" t="n">
        <v>90</v>
      </c>
      <c r="I3232" s="19" t="n">
        <v>13.68</v>
      </c>
      <c r="J3232" s="19" t="n">
        <v>12</v>
      </c>
      <c r="K3232" s="20" t="n">
        <v>0</v>
      </c>
      <c r="L3232" s="20" t="n">
        <v>0</v>
      </c>
      <c r="M3232" s="18" t="n">
        <v>90</v>
      </c>
      <c r="N3232" s="18" t="n">
        <v>90</v>
      </c>
      <c r="O3232" s="18" t="n">
        <v>0</v>
      </c>
      <c r="P3232" s="17" t="n">
        <v>46051</v>
      </c>
      <c r="Q3232" s="17" t="n">
        <v>46051</v>
      </c>
      <c r="R3232" s="17" t="n">
        <v>46051</v>
      </c>
      <c r="S3232" s="19">
        <f>H3232*I3232</f>
        <v/>
      </c>
      <c r="T3232" s="19">
        <f>H3232*J3232</f>
        <v/>
      </c>
      <c r="U3232">
        <f>IF(AND(K3232=0,G3232&lt;=Assumptions!$C$6),1,0)</f>
        <v/>
      </c>
      <c r="V3232">
        <f>IF(U3232=1,IF(M3232&gt;0,IF(P3232&lt;=G3232+Assumptions!$C$7,1,0),0),0)</f>
        <v/>
      </c>
      <c r="W3232">
        <f>IF(AND(U3232=1,M3232&gt;=H3232*(1-Assumptions!$C$8)),1,0)</f>
        <v/>
      </c>
      <c r="X3232">
        <f>IF(AND(U3232=1,N3232&gt;=H3232*(1-Assumptions!$C$8)),1,0)</f>
        <v/>
      </c>
      <c r="Y3232">
        <f>IF(ISNUMBER(Q3232),1,0)</f>
        <v/>
      </c>
      <c r="Z3232">
        <f>IF(AND(K3232=0,L3232=0,Y3232=0),1,0)</f>
        <v/>
      </c>
      <c r="AA3232">
        <f>IF(AND(Z3232=1,G3232&lt;Assumptions!$C$6),1,0)</f>
        <v/>
      </c>
      <c r="AB3232">
        <f>IF(U3232=0,"",IF(Y3232=1,MAX(0,Q3232-G3232),IF(L3232=1,MAX(0,R3232-G3232),MAX(0,Assumptions!$C$6-G3232))))</f>
        <v/>
      </c>
      <c r="AC3232">
        <f>IF(Y3232=1,Q3232-F3232,"")</f>
        <v/>
      </c>
      <c r="AD3232">
        <f>IF(Y3232=1,AC3232^2,"")</f>
        <v/>
      </c>
      <c r="AE3232" s="19">
        <f>IF(Z3232=1,(H3232-M3232)*I3232,0)</f>
        <v/>
      </c>
      <c r="AF3232">
        <f>IF(G3232&lt;EDATE(Assumptions!$C$6,-12)+1,"prior_12m","last_12m")</f>
        <v/>
      </c>
      <c r="AG3232" s="21">
        <f>DATE(YEAR(G3232),MONTH(G3232),1)</f>
        <v/>
      </c>
    </row>
    <row r="3233">
      <c r="A3233" t="inlineStr">
        <is>
          <t>SPO-01726-1</t>
        </is>
      </c>
      <c r="B3233" t="inlineStr">
        <is>
          <t>SPO-01726</t>
        </is>
      </c>
      <c r="C3233" t="inlineStr">
        <is>
          <t>SUP-10</t>
        </is>
      </c>
      <c r="D3233" t="inlineStr">
        <is>
          <t>PPE</t>
        </is>
      </c>
      <c r="E3233" t="inlineStr">
        <is>
          <t>PPE-03</t>
        </is>
      </c>
      <c r="F3233" s="17" t="n">
        <v>46049</v>
      </c>
      <c r="G3233" s="17" t="n">
        <v>46062</v>
      </c>
      <c r="H3233" s="18" t="n">
        <v>35</v>
      </c>
      <c r="I3233" s="19" t="n">
        <v>19.83</v>
      </c>
      <c r="J3233" s="19" t="n">
        <v>21</v>
      </c>
      <c r="K3233" s="20" t="n">
        <v>0</v>
      </c>
      <c r="L3233" s="20" t="n">
        <v>0</v>
      </c>
      <c r="M3233" s="18" t="n">
        <v>35</v>
      </c>
      <c r="N3233" s="18" t="n">
        <v>35</v>
      </c>
      <c r="O3233" s="18" t="n">
        <v>9</v>
      </c>
      <c r="P3233" s="17" t="n">
        <v>46056</v>
      </c>
      <c r="Q3233" s="17" t="n">
        <v>46056</v>
      </c>
      <c r="R3233" s="17" t="n">
        <v>46056</v>
      </c>
      <c r="S3233" s="19">
        <f>H3233*I3233</f>
        <v/>
      </c>
      <c r="T3233" s="19">
        <f>H3233*J3233</f>
        <v/>
      </c>
      <c r="U3233">
        <f>IF(AND(K3233=0,G3233&lt;=Assumptions!$C$6),1,0)</f>
        <v/>
      </c>
      <c r="V3233">
        <f>IF(U3233=1,IF(M3233&gt;0,IF(P3233&lt;=G3233+Assumptions!$C$7,1,0),0),0)</f>
        <v/>
      </c>
      <c r="W3233">
        <f>IF(AND(U3233=1,M3233&gt;=H3233*(1-Assumptions!$C$8)),1,0)</f>
        <v/>
      </c>
      <c r="X3233">
        <f>IF(AND(U3233=1,N3233&gt;=H3233*(1-Assumptions!$C$8)),1,0)</f>
        <v/>
      </c>
      <c r="Y3233">
        <f>IF(ISNUMBER(Q3233),1,0)</f>
        <v/>
      </c>
      <c r="Z3233">
        <f>IF(AND(K3233=0,L3233=0,Y3233=0),1,0)</f>
        <v/>
      </c>
      <c r="AA3233">
        <f>IF(AND(Z3233=1,G3233&lt;Assumptions!$C$6),1,0)</f>
        <v/>
      </c>
      <c r="AB3233">
        <f>IF(U3233=0,"",IF(Y3233=1,MAX(0,Q3233-G3233),IF(L3233=1,MAX(0,R3233-G3233),MAX(0,Assumptions!$C$6-G3233))))</f>
        <v/>
      </c>
      <c r="AC3233">
        <f>IF(Y3233=1,Q3233-F3233,"")</f>
        <v/>
      </c>
      <c r="AD3233">
        <f>IF(Y3233=1,AC3233^2,"")</f>
        <v/>
      </c>
      <c r="AE3233" s="19">
        <f>IF(Z3233=1,(H3233-M3233)*I3233,0)</f>
        <v/>
      </c>
      <c r="AF3233">
        <f>IF(G3233&lt;EDATE(Assumptions!$C$6,-12)+1,"prior_12m","last_12m")</f>
        <v/>
      </c>
      <c r="AG3233" s="21">
        <f>DATE(YEAR(G3233),MONTH(G3233),1)</f>
        <v/>
      </c>
    </row>
    <row r="3234">
      <c r="A3234" t="inlineStr">
        <is>
          <t>SPO-01726-2</t>
        </is>
      </c>
      <c r="B3234" t="inlineStr">
        <is>
          <t>SPO-01726</t>
        </is>
      </c>
      <c r="C3234" t="inlineStr">
        <is>
          <t>SUP-10</t>
        </is>
      </c>
      <c r="D3234" t="inlineStr">
        <is>
          <t>PPE</t>
        </is>
      </c>
      <c r="E3234" t="inlineStr">
        <is>
          <t>PPE-02</t>
        </is>
      </c>
      <c r="F3234" s="17" t="n">
        <v>46049</v>
      </c>
      <c r="G3234" s="17" t="n">
        <v>46062</v>
      </c>
      <c r="H3234" s="18" t="n">
        <v>78</v>
      </c>
      <c r="I3234" s="19" t="n">
        <v>12.4</v>
      </c>
      <c r="J3234" s="19" t="n">
        <v>12.5</v>
      </c>
      <c r="K3234" s="20" t="n">
        <v>0</v>
      </c>
      <c r="L3234" s="20" t="n">
        <v>0</v>
      </c>
      <c r="M3234" s="18" t="n">
        <v>78</v>
      </c>
      <c r="N3234" s="18" t="n">
        <v>78</v>
      </c>
      <c r="O3234" s="18" t="n">
        <v>0</v>
      </c>
      <c r="P3234" s="17" t="n">
        <v>46059</v>
      </c>
      <c r="Q3234" s="17" t="n">
        <v>46059</v>
      </c>
      <c r="R3234" s="17" t="n">
        <v>46059</v>
      </c>
      <c r="S3234" s="19">
        <f>H3234*I3234</f>
        <v/>
      </c>
      <c r="T3234" s="19">
        <f>H3234*J3234</f>
        <v/>
      </c>
      <c r="U3234">
        <f>IF(AND(K3234=0,G3234&lt;=Assumptions!$C$6),1,0)</f>
        <v/>
      </c>
      <c r="V3234">
        <f>IF(U3234=1,IF(M3234&gt;0,IF(P3234&lt;=G3234+Assumptions!$C$7,1,0),0),0)</f>
        <v/>
      </c>
      <c r="W3234">
        <f>IF(AND(U3234=1,M3234&gt;=H3234*(1-Assumptions!$C$8)),1,0)</f>
        <v/>
      </c>
      <c r="X3234">
        <f>IF(AND(U3234=1,N3234&gt;=H3234*(1-Assumptions!$C$8)),1,0)</f>
        <v/>
      </c>
      <c r="Y3234">
        <f>IF(ISNUMBER(Q3234),1,0)</f>
        <v/>
      </c>
      <c r="Z3234">
        <f>IF(AND(K3234=0,L3234=0,Y3234=0),1,0)</f>
        <v/>
      </c>
      <c r="AA3234">
        <f>IF(AND(Z3234=1,G3234&lt;Assumptions!$C$6),1,0)</f>
        <v/>
      </c>
      <c r="AB3234">
        <f>IF(U3234=0,"",IF(Y3234=1,MAX(0,Q3234-G3234),IF(L3234=1,MAX(0,R3234-G3234),MAX(0,Assumptions!$C$6-G3234))))</f>
        <v/>
      </c>
      <c r="AC3234">
        <f>IF(Y3234=1,Q3234-F3234,"")</f>
        <v/>
      </c>
      <c r="AD3234">
        <f>IF(Y3234=1,AC3234^2,"")</f>
        <v/>
      </c>
      <c r="AE3234" s="19">
        <f>IF(Z3234=1,(H3234-M3234)*I3234,0)</f>
        <v/>
      </c>
      <c r="AF3234">
        <f>IF(G3234&lt;EDATE(Assumptions!$C$6,-12)+1,"prior_12m","last_12m")</f>
        <v/>
      </c>
      <c r="AG3234" s="21">
        <f>DATE(YEAR(G3234),MONTH(G3234),1)</f>
        <v/>
      </c>
    </row>
    <row r="3235">
      <c r="A3235" t="inlineStr">
        <is>
          <t>SPO-01727-1</t>
        </is>
      </c>
      <c r="B3235" t="inlineStr">
        <is>
          <t>SPO-01727</t>
        </is>
      </c>
      <c r="C3235" t="inlineStr">
        <is>
          <t>SUP-10</t>
        </is>
      </c>
      <c r="D3235" t="inlineStr">
        <is>
          <t>PPE</t>
        </is>
      </c>
      <c r="E3235" t="inlineStr">
        <is>
          <t>PPE-02</t>
        </is>
      </c>
      <c r="F3235" s="17" t="n">
        <v>46049</v>
      </c>
      <c r="G3235" s="17" t="n">
        <v>46062</v>
      </c>
      <c r="H3235" s="18" t="n">
        <v>182</v>
      </c>
      <c r="I3235" s="19" t="n">
        <v>10.99</v>
      </c>
      <c r="J3235" s="19" t="n">
        <v>12.5</v>
      </c>
      <c r="K3235" s="20" t="n">
        <v>0</v>
      </c>
      <c r="L3235" s="20" t="n">
        <v>0</v>
      </c>
      <c r="M3235" s="18" t="n">
        <v>182</v>
      </c>
      <c r="N3235" s="18" t="n">
        <v>182</v>
      </c>
      <c r="O3235" s="18" t="n">
        <v>0</v>
      </c>
      <c r="P3235" s="17" t="n">
        <v>46059</v>
      </c>
      <c r="Q3235" s="17" t="n">
        <v>46059</v>
      </c>
      <c r="R3235" s="17" t="n">
        <v>46059</v>
      </c>
      <c r="S3235" s="19">
        <f>H3235*I3235</f>
        <v/>
      </c>
      <c r="T3235" s="19">
        <f>H3235*J3235</f>
        <v/>
      </c>
      <c r="U3235">
        <f>IF(AND(K3235=0,G3235&lt;=Assumptions!$C$6),1,0)</f>
        <v/>
      </c>
      <c r="V3235">
        <f>IF(U3235=1,IF(M3235&gt;0,IF(P3235&lt;=G3235+Assumptions!$C$7,1,0),0),0)</f>
        <v/>
      </c>
      <c r="W3235">
        <f>IF(AND(U3235=1,M3235&gt;=H3235*(1-Assumptions!$C$8)),1,0)</f>
        <v/>
      </c>
      <c r="X3235">
        <f>IF(AND(U3235=1,N3235&gt;=H3235*(1-Assumptions!$C$8)),1,0)</f>
        <v/>
      </c>
      <c r="Y3235">
        <f>IF(ISNUMBER(Q3235),1,0)</f>
        <v/>
      </c>
      <c r="Z3235">
        <f>IF(AND(K3235=0,L3235=0,Y3235=0),1,0)</f>
        <v/>
      </c>
      <c r="AA3235">
        <f>IF(AND(Z3235=1,G3235&lt;Assumptions!$C$6),1,0)</f>
        <v/>
      </c>
      <c r="AB3235">
        <f>IF(U3235=0,"",IF(Y3235=1,MAX(0,Q3235-G3235),IF(L3235=1,MAX(0,R3235-G3235),MAX(0,Assumptions!$C$6-G3235))))</f>
        <v/>
      </c>
      <c r="AC3235">
        <f>IF(Y3235=1,Q3235-F3235,"")</f>
        <v/>
      </c>
      <c r="AD3235">
        <f>IF(Y3235=1,AC3235^2,"")</f>
        <v/>
      </c>
      <c r="AE3235" s="19">
        <f>IF(Z3235=1,(H3235-M3235)*I3235,0)</f>
        <v/>
      </c>
      <c r="AF3235">
        <f>IF(G3235&lt;EDATE(Assumptions!$C$6,-12)+1,"prior_12m","last_12m")</f>
        <v/>
      </c>
      <c r="AG3235" s="21">
        <f>DATE(YEAR(G3235),MONTH(G3235),1)</f>
        <v/>
      </c>
    </row>
    <row r="3236">
      <c r="A3236" t="inlineStr">
        <is>
          <t>SPO-01728-1</t>
        </is>
      </c>
      <c r="B3236" t="inlineStr">
        <is>
          <t>SPO-01728</t>
        </is>
      </c>
      <c r="C3236" t="inlineStr">
        <is>
          <t>SUP-04</t>
        </is>
      </c>
      <c r="D3236" t="inlineStr">
        <is>
          <t>FLEET</t>
        </is>
      </c>
      <c r="E3236" t="inlineStr">
        <is>
          <t>FLEET-01</t>
        </is>
      </c>
      <c r="F3236" s="17" t="n">
        <v>46049</v>
      </c>
      <c r="G3236" s="17" t="n">
        <v>46062</v>
      </c>
      <c r="H3236" s="18" t="n">
        <v>23</v>
      </c>
      <c r="I3236" s="19" t="n">
        <v>61.48</v>
      </c>
      <c r="J3236" s="19" t="n">
        <v>64</v>
      </c>
      <c r="K3236" s="20" t="n">
        <v>0</v>
      </c>
      <c r="L3236" s="20" t="n">
        <v>0</v>
      </c>
      <c r="M3236" s="18" t="n">
        <v>23</v>
      </c>
      <c r="N3236" s="18" t="n">
        <v>23</v>
      </c>
      <c r="O3236" s="18" t="n">
        <v>0</v>
      </c>
      <c r="P3236" s="17" t="n">
        <v>46050</v>
      </c>
      <c r="Q3236" s="17" t="n">
        <v>46050</v>
      </c>
      <c r="R3236" s="17" t="n">
        <v>46050</v>
      </c>
      <c r="S3236" s="19">
        <f>H3236*I3236</f>
        <v/>
      </c>
      <c r="T3236" s="19">
        <f>H3236*J3236</f>
        <v/>
      </c>
      <c r="U3236">
        <f>IF(AND(K3236=0,G3236&lt;=Assumptions!$C$6),1,0)</f>
        <v/>
      </c>
      <c r="V3236">
        <f>IF(U3236=1,IF(M3236&gt;0,IF(P3236&lt;=G3236+Assumptions!$C$7,1,0),0),0)</f>
        <v/>
      </c>
      <c r="W3236">
        <f>IF(AND(U3236=1,M3236&gt;=H3236*(1-Assumptions!$C$8)),1,0)</f>
        <v/>
      </c>
      <c r="X3236">
        <f>IF(AND(U3236=1,N3236&gt;=H3236*(1-Assumptions!$C$8)),1,0)</f>
        <v/>
      </c>
      <c r="Y3236">
        <f>IF(ISNUMBER(Q3236),1,0)</f>
        <v/>
      </c>
      <c r="Z3236">
        <f>IF(AND(K3236=0,L3236=0,Y3236=0),1,0)</f>
        <v/>
      </c>
      <c r="AA3236">
        <f>IF(AND(Z3236=1,G3236&lt;Assumptions!$C$6),1,0)</f>
        <v/>
      </c>
      <c r="AB3236">
        <f>IF(U3236=0,"",IF(Y3236=1,MAX(0,Q3236-G3236),IF(L3236=1,MAX(0,R3236-G3236),MAX(0,Assumptions!$C$6-G3236))))</f>
        <v/>
      </c>
      <c r="AC3236">
        <f>IF(Y3236=1,Q3236-F3236,"")</f>
        <v/>
      </c>
      <c r="AD3236">
        <f>IF(Y3236=1,AC3236^2,"")</f>
        <v/>
      </c>
      <c r="AE3236" s="19">
        <f>IF(Z3236=1,(H3236-M3236)*I3236,0)</f>
        <v/>
      </c>
      <c r="AF3236">
        <f>IF(G3236&lt;EDATE(Assumptions!$C$6,-12)+1,"prior_12m","last_12m")</f>
        <v/>
      </c>
      <c r="AG3236" s="21">
        <f>DATE(YEAR(G3236),MONTH(G3236),1)</f>
        <v/>
      </c>
    </row>
    <row r="3237">
      <c r="A3237" t="inlineStr">
        <is>
          <t>SPO-01728-2</t>
        </is>
      </c>
      <c r="B3237" t="inlineStr">
        <is>
          <t>SPO-01728</t>
        </is>
      </c>
      <c r="C3237" t="inlineStr">
        <is>
          <t>SUP-04</t>
        </is>
      </c>
      <c r="D3237" t="inlineStr">
        <is>
          <t>FLEET</t>
        </is>
      </c>
      <c r="E3237" t="inlineStr">
        <is>
          <t>FLEET-02</t>
        </is>
      </c>
      <c r="F3237" s="17" t="n">
        <v>46049</v>
      </c>
      <c r="G3237" s="17" t="n">
        <v>46062</v>
      </c>
      <c r="H3237" s="18" t="n">
        <v>678</v>
      </c>
      <c r="I3237" s="19" t="n">
        <v>7.49</v>
      </c>
      <c r="J3237" s="19" t="n">
        <v>7.5</v>
      </c>
      <c r="K3237" s="20" t="n">
        <v>0</v>
      </c>
      <c r="L3237" s="20" t="n">
        <v>0</v>
      </c>
      <c r="M3237" s="18" t="n">
        <v>678</v>
      </c>
      <c r="N3237" s="18" t="n">
        <v>678</v>
      </c>
      <c r="O3237" s="18" t="n">
        <v>0</v>
      </c>
      <c r="P3237" s="17" t="n">
        <v>46050</v>
      </c>
      <c r="Q3237" s="17" t="n">
        <v>46050</v>
      </c>
      <c r="R3237" s="17" t="n">
        <v>46050</v>
      </c>
      <c r="S3237" s="19">
        <f>H3237*I3237</f>
        <v/>
      </c>
      <c r="T3237" s="19">
        <f>H3237*J3237</f>
        <v/>
      </c>
      <c r="U3237">
        <f>IF(AND(K3237=0,G3237&lt;=Assumptions!$C$6),1,0)</f>
        <v/>
      </c>
      <c r="V3237">
        <f>IF(U3237=1,IF(M3237&gt;0,IF(P3237&lt;=G3237+Assumptions!$C$7,1,0),0),0)</f>
        <v/>
      </c>
      <c r="W3237">
        <f>IF(AND(U3237=1,M3237&gt;=H3237*(1-Assumptions!$C$8)),1,0)</f>
        <v/>
      </c>
      <c r="X3237">
        <f>IF(AND(U3237=1,N3237&gt;=H3237*(1-Assumptions!$C$8)),1,0)</f>
        <v/>
      </c>
      <c r="Y3237">
        <f>IF(ISNUMBER(Q3237),1,0)</f>
        <v/>
      </c>
      <c r="Z3237">
        <f>IF(AND(K3237=0,L3237=0,Y3237=0),1,0)</f>
        <v/>
      </c>
      <c r="AA3237">
        <f>IF(AND(Z3237=1,G3237&lt;Assumptions!$C$6),1,0)</f>
        <v/>
      </c>
      <c r="AB3237">
        <f>IF(U3237=0,"",IF(Y3237=1,MAX(0,Q3237-G3237),IF(L3237=1,MAX(0,R3237-G3237),MAX(0,Assumptions!$C$6-G3237))))</f>
        <v/>
      </c>
      <c r="AC3237">
        <f>IF(Y3237=1,Q3237-F3237,"")</f>
        <v/>
      </c>
      <c r="AD3237">
        <f>IF(Y3237=1,AC3237^2,"")</f>
        <v/>
      </c>
      <c r="AE3237" s="19">
        <f>IF(Z3237=1,(H3237-M3237)*I3237,0)</f>
        <v/>
      </c>
      <c r="AF3237">
        <f>IF(G3237&lt;EDATE(Assumptions!$C$6,-12)+1,"prior_12m","last_12m")</f>
        <v/>
      </c>
      <c r="AG3237" s="21">
        <f>DATE(YEAR(G3237),MONTH(G3237),1)</f>
        <v/>
      </c>
    </row>
    <row r="3238">
      <c r="A3238" t="inlineStr">
        <is>
          <t>SPO-01729-1</t>
        </is>
      </c>
      <c r="B3238" t="inlineStr">
        <is>
          <t>SPO-01729</t>
        </is>
      </c>
      <c r="C3238" t="inlineStr">
        <is>
          <t>SUP-09</t>
        </is>
      </c>
      <c r="D3238" t="inlineStr">
        <is>
          <t>CHEM</t>
        </is>
      </c>
      <c r="E3238" t="inlineStr">
        <is>
          <t>CHEM-02</t>
        </is>
      </c>
      <c r="F3238" s="17" t="n">
        <v>46050</v>
      </c>
      <c r="G3238" s="17" t="n">
        <v>46064</v>
      </c>
      <c r="H3238" s="18" t="n">
        <v>3</v>
      </c>
      <c r="I3238" s="19" t="n">
        <v>404.2</v>
      </c>
      <c r="J3238" s="19" t="n">
        <v>410</v>
      </c>
      <c r="K3238" s="20" t="n">
        <v>0</v>
      </c>
      <c r="L3238" s="20" t="n">
        <v>0</v>
      </c>
      <c r="M3238" s="18" t="n">
        <v>3</v>
      </c>
      <c r="N3238" s="18" t="n">
        <v>3</v>
      </c>
      <c r="O3238" s="18" t="n">
        <v>0</v>
      </c>
      <c r="P3238" s="17" t="n">
        <v>46061</v>
      </c>
      <c r="Q3238" s="17" t="n">
        <v>46061</v>
      </c>
      <c r="R3238" s="17" t="n">
        <v>46061</v>
      </c>
      <c r="S3238" s="19">
        <f>H3238*I3238</f>
        <v/>
      </c>
      <c r="T3238" s="19">
        <f>H3238*J3238</f>
        <v/>
      </c>
      <c r="U3238">
        <f>IF(AND(K3238=0,G3238&lt;=Assumptions!$C$6),1,0)</f>
        <v/>
      </c>
      <c r="V3238">
        <f>IF(U3238=1,IF(M3238&gt;0,IF(P3238&lt;=G3238+Assumptions!$C$7,1,0),0),0)</f>
        <v/>
      </c>
      <c r="W3238">
        <f>IF(AND(U3238=1,M3238&gt;=H3238*(1-Assumptions!$C$8)),1,0)</f>
        <v/>
      </c>
      <c r="X3238">
        <f>IF(AND(U3238=1,N3238&gt;=H3238*(1-Assumptions!$C$8)),1,0)</f>
        <v/>
      </c>
      <c r="Y3238">
        <f>IF(ISNUMBER(Q3238),1,0)</f>
        <v/>
      </c>
      <c r="Z3238">
        <f>IF(AND(K3238=0,L3238=0,Y3238=0),1,0)</f>
        <v/>
      </c>
      <c r="AA3238">
        <f>IF(AND(Z3238=1,G3238&lt;Assumptions!$C$6),1,0)</f>
        <v/>
      </c>
      <c r="AB3238">
        <f>IF(U3238=0,"",IF(Y3238=1,MAX(0,Q3238-G3238),IF(L3238=1,MAX(0,R3238-G3238),MAX(0,Assumptions!$C$6-G3238))))</f>
        <v/>
      </c>
      <c r="AC3238">
        <f>IF(Y3238=1,Q3238-F3238,"")</f>
        <v/>
      </c>
      <c r="AD3238">
        <f>IF(Y3238=1,AC3238^2,"")</f>
        <v/>
      </c>
      <c r="AE3238" s="19">
        <f>IF(Z3238=1,(H3238-M3238)*I3238,0)</f>
        <v/>
      </c>
      <c r="AF3238">
        <f>IF(G3238&lt;EDATE(Assumptions!$C$6,-12)+1,"prior_12m","last_12m")</f>
        <v/>
      </c>
      <c r="AG3238" s="21">
        <f>DATE(YEAR(G3238),MONTH(G3238),1)</f>
        <v/>
      </c>
    </row>
    <row r="3239">
      <c r="A3239" t="inlineStr">
        <is>
          <t>SPO-01730-1</t>
        </is>
      </c>
      <c r="B3239" t="inlineStr">
        <is>
          <t>SPO-01730</t>
        </is>
      </c>
      <c r="C3239" t="inlineStr">
        <is>
          <t>SUP-12</t>
        </is>
      </c>
      <c r="D3239" t="inlineStr">
        <is>
          <t>IT</t>
        </is>
      </c>
      <c r="E3239" t="inlineStr">
        <is>
          <t>IT-06</t>
        </is>
      </c>
      <c r="F3239" s="17" t="n">
        <v>46050</v>
      </c>
      <c r="G3239" s="17" t="n">
        <v>46060</v>
      </c>
      <c r="H3239" s="18" t="n">
        <v>15</v>
      </c>
      <c r="I3239" s="19" t="n">
        <v>102.44</v>
      </c>
      <c r="J3239" s="19" t="n">
        <v>89</v>
      </c>
      <c r="K3239" s="20" t="n">
        <v>0</v>
      </c>
      <c r="L3239" s="20" t="n">
        <v>0</v>
      </c>
      <c r="M3239" s="18" t="n">
        <v>15</v>
      </c>
      <c r="N3239" s="18" t="n">
        <v>15</v>
      </c>
      <c r="O3239" s="18" t="n">
        <v>0</v>
      </c>
      <c r="P3239" s="17" t="n">
        <v>46055</v>
      </c>
      <c r="Q3239" s="17" t="n">
        <v>46055</v>
      </c>
      <c r="R3239" s="17" t="n">
        <v>46055</v>
      </c>
      <c r="S3239" s="19">
        <f>H3239*I3239</f>
        <v/>
      </c>
      <c r="T3239" s="19">
        <f>H3239*J3239</f>
        <v/>
      </c>
      <c r="U3239">
        <f>IF(AND(K3239=0,G3239&lt;=Assumptions!$C$6),1,0)</f>
        <v/>
      </c>
      <c r="V3239">
        <f>IF(U3239=1,IF(M3239&gt;0,IF(P3239&lt;=G3239+Assumptions!$C$7,1,0),0),0)</f>
        <v/>
      </c>
      <c r="W3239">
        <f>IF(AND(U3239=1,M3239&gt;=H3239*(1-Assumptions!$C$8)),1,0)</f>
        <v/>
      </c>
      <c r="X3239">
        <f>IF(AND(U3239=1,N3239&gt;=H3239*(1-Assumptions!$C$8)),1,0)</f>
        <v/>
      </c>
      <c r="Y3239">
        <f>IF(ISNUMBER(Q3239),1,0)</f>
        <v/>
      </c>
      <c r="Z3239">
        <f>IF(AND(K3239=0,L3239=0,Y3239=0),1,0)</f>
        <v/>
      </c>
      <c r="AA3239">
        <f>IF(AND(Z3239=1,G3239&lt;Assumptions!$C$6),1,0)</f>
        <v/>
      </c>
      <c r="AB3239">
        <f>IF(U3239=0,"",IF(Y3239=1,MAX(0,Q3239-G3239),IF(L3239=1,MAX(0,R3239-G3239),MAX(0,Assumptions!$C$6-G3239))))</f>
        <v/>
      </c>
      <c r="AC3239">
        <f>IF(Y3239=1,Q3239-F3239,"")</f>
        <v/>
      </c>
      <c r="AD3239">
        <f>IF(Y3239=1,AC3239^2,"")</f>
        <v/>
      </c>
      <c r="AE3239" s="19">
        <f>IF(Z3239=1,(H3239-M3239)*I3239,0)</f>
        <v/>
      </c>
      <c r="AF3239">
        <f>IF(G3239&lt;EDATE(Assumptions!$C$6,-12)+1,"prior_12m","last_12m")</f>
        <v/>
      </c>
      <c r="AG3239" s="21">
        <f>DATE(YEAR(G3239),MONTH(G3239),1)</f>
        <v/>
      </c>
    </row>
    <row r="3240">
      <c r="A3240" t="inlineStr">
        <is>
          <t>SPO-01730-2</t>
        </is>
      </c>
      <c r="B3240" t="inlineStr">
        <is>
          <t>SPO-01730</t>
        </is>
      </c>
      <c r="C3240" t="inlineStr">
        <is>
          <t>SUP-12</t>
        </is>
      </c>
      <c r="D3240" t="inlineStr">
        <is>
          <t>IT</t>
        </is>
      </c>
      <c r="E3240" t="inlineStr">
        <is>
          <t>IT-08</t>
        </is>
      </c>
      <c r="F3240" s="17" t="n">
        <v>46050</v>
      </c>
      <c r="G3240" s="17" t="n">
        <v>46060</v>
      </c>
      <c r="H3240" s="18" t="n">
        <v>11</v>
      </c>
      <c r="I3240" s="19" t="n">
        <v>277.61</v>
      </c>
      <c r="J3240" s="19" t="n">
        <v>245</v>
      </c>
      <c r="K3240" s="20" t="n">
        <v>1</v>
      </c>
      <c r="L3240" s="20" t="n">
        <v>0</v>
      </c>
      <c r="M3240" s="18" t="n">
        <v>0</v>
      </c>
      <c r="N3240" s="18" t="n">
        <v>0</v>
      </c>
      <c r="O3240" s="18" t="n">
        <v>0</v>
      </c>
      <c r="P3240" s="17" t="n"/>
      <c r="Q3240" s="17" t="n"/>
      <c r="R3240" s="17" t="n"/>
      <c r="S3240" s="19">
        <f>H3240*I3240</f>
        <v/>
      </c>
      <c r="T3240" s="19">
        <f>H3240*J3240</f>
        <v/>
      </c>
      <c r="U3240">
        <f>IF(AND(K3240=0,G3240&lt;=Assumptions!$C$6),1,0)</f>
        <v/>
      </c>
      <c r="V3240">
        <f>IF(U3240=1,IF(M3240&gt;0,IF(P3240&lt;=G3240+Assumptions!$C$7,1,0),0),0)</f>
        <v/>
      </c>
      <c r="W3240">
        <f>IF(AND(U3240=1,M3240&gt;=H3240*(1-Assumptions!$C$8)),1,0)</f>
        <v/>
      </c>
      <c r="X3240">
        <f>IF(AND(U3240=1,N3240&gt;=H3240*(1-Assumptions!$C$8)),1,0)</f>
        <v/>
      </c>
      <c r="Y3240">
        <f>IF(ISNUMBER(Q3240),1,0)</f>
        <v/>
      </c>
      <c r="Z3240">
        <f>IF(AND(K3240=0,L3240=0,Y3240=0),1,0)</f>
        <v/>
      </c>
      <c r="AA3240">
        <f>IF(AND(Z3240=1,G3240&lt;Assumptions!$C$6),1,0)</f>
        <v/>
      </c>
      <c r="AB3240">
        <f>IF(U3240=0,"",IF(Y3240=1,MAX(0,Q3240-G3240),IF(L3240=1,MAX(0,R3240-G3240),MAX(0,Assumptions!$C$6-G3240))))</f>
        <v/>
      </c>
      <c r="AC3240">
        <f>IF(Y3240=1,Q3240-F3240,"")</f>
        <v/>
      </c>
      <c r="AD3240">
        <f>IF(Y3240=1,AC3240^2,"")</f>
        <v/>
      </c>
      <c r="AE3240" s="19">
        <f>IF(Z3240=1,(H3240-M3240)*I3240,0)</f>
        <v/>
      </c>
      <c r="AF3240">
        <f>IF(G3240&lt;EDATE(Assumptions!$C$6,-12)+1,"prior_12m","last_12m")</f>
        <v/>
      </c>
      <c r="AG3240" s="21">
        <f>DATE(YEAR(G3240),MONTH(G3240),1)</f>
        <v/>
      </c>
    </row>
    <row r="3241">
      <c r="A3241" t="inlineStr">
        <is>
          <t>SPO-01731-1</t>
        </is>
      </c>
      <c r="B3241" t="inlineStr">
        <is>
          <t>SPO-01731</t>
        </is>
      </c>
      <c r="C3241" t="inlineStr">
        <is>
          <t>SUP-01</t>
        </is>
      </c>
      <c r="D3241" t="inlineStr">
        <is>
          <t>ELEC</t>
        </is>
      </c>
      <c r="E3241" t="inlineStr">
        <is>
          <t>ELEC-08</t>
        </is>
      </c>
      <c r="F3241" s="17" t="n">
        <v>46050</v>
      </c>
      <c r="G3241" s="17" t="n">
        <v>46068</v>
      </c>
      <c r="H3241" s="18" t="n">
        <v>118</v>
      </c>
      <c r="I3241" s="19" t="n">
        <v>17.48</v>
      </c>
      <c r="J3241" s="19" t="n">
        <v>18</v>
      </c>
      <c r="K3241" s="20" t="n">
        <v>1</v>
      </c>
      <c r="L3241" s="20" t="n">
        <v>0</v>
      </c>
      <c r="M3241" s="18" t="n">
        <v>0</v>
      </c>
      <c r="N3241" s="18" t="n">
        <v>0</v>
      </c>
      <c r="O3241" s="18" t="n">
        <v>0</v>
      </c>
      <c r="P3241" s="17" t="n"/>
      <c r="Q3241" s="17" t="n"/>
      <c r="R3241" s="17" t="n"/>
      <c r="S3241" s="19">
        <f>H3241*I3241</f>
        <v/>
      </c>
      <c r="T3241" s="19">
        <f>H3241*J3241</f>
        <v/>
      </c>
      <c r="U3241">
        <f>IF(AND(K3241=0,G3241&lt;=Assumptions!$C$6),1,0)</f>
        <v/>
      </c>
      <c r="V3241">
        <f>IF(U3241=1,IF(M3241&gt;0,IF(P3241&lt;=G3241+Assumptions!$C$7,1,0),0),0)</f>
        <v/>
      </c>
      <c r="W3241">
        <f>IF(AND(U3241=1,M3241&gt;=H3241*(1-Assumptions!$C$8)),1,0)</f>
        <v/>
      </c>
      <c r="X3241">
        <f>IF(AND(U3241=1,N3241&gt;=H3241*(1-Assumptions!$C$8)),1,0)</f>
        <v/>
      </c>
      <c r="Y3241">
        <f>IF(ISNUMBER(Q3241),1,0)</f>
        <v/>
      </c>
      <c r="Z3241">
        <f>IF(AND(K3241=0,L3241=0,Y3241=0),1,0)</f>
        <v/>
      </c>
      <c r="AA3241">
        <f>IF(AND(Z3241=1,G3241&lt;Assumptions!$C$6),1,0)</f>
        <v/>
      </c>
      <c r="AB3241">
        <f>IF(U3241=0,"",IF(Y3241=1,MAX(0,Q3241-G3241),IF(L3241=1,MAX(0,R3241-G3241),MAX(0,Assumptions!$C$6-G3241))))</f>
        <v/>
      </c>
      <c r="AC3241">
        <f>IF(Y3241=1,Q3241-F3241,"")</f>
        <v/>
      </c>
      <c r="AD3241">
        <f>IF(Y3241=1,AC3241^2,"")</f>
        <v/>
      </c>
      <c r="AE3241" s="19">
        <f>IF(Z3241=1,(H3241-M3241)*I3241,0)</f>
        <v/>
      </c>
      <c r="AF3241">
        <f>IF(G3241&lt;EDATE(Assumptions!$C$6,-12)+1,"prior_12m","last_12m")</f>
        <v/>
      </c>
      <c r="AG3241" s="21">
        <f>DATE(YEAR(G3241),MONTH(G3241),1)</f>
        <v/>
      </c>
    </row>
    <row r="3242">
      <c r="A3242" t="inlineStr">
        <is>
          <t>SPO-01731-2</t>
        </is>
      </c>
      <c r="B3242" t="inlineStr">
        <is>
          <t>SPO-01731</t>
        </is>
      </c>
      <c r="C3242" t="inlineStr">
        <is>
          <t>SUP-01</t>
        </is>
      </c>
      <c r="D3242" t="inlineStr">
        <is>
          <t>ELEC</t>
        </is>
      </c>
      <c r="E3242" t="inlineStr">
        <is>
          <t>ELEC-02</t>
        </is>
      </c>
      <c r="F3242" s="17" t="n">
        <v>46050</v>
      </c>
      <c r="G3242" s="17" t="n">
        <v>46068</v>
      </c>
      <c r="H3242" s="18" t="n">
        <v>471</v>
      </c>
      <c r="I3242" s="19" t="n">
        <v>4.45</v>
      </c>
      <c r="J3242" s="19" t="n">
        <v>4.2</v>
      </c>
      <c r="K3242" s="20" t="n">
        <v>0</v>
      </c>
      <c r="L3242" s="20" t="n">
        <v>0</v>
      </c>
      <c r="M3242" s="18" t="n">
        <v>471</v>
      </c>
      <c r="N3242" s="18" t="n">
        <v>471</v>
      </c>
      <c r="O3242" s="18" t="n">
        <v>0</v>
      </c>
      <c r="P3242" s="17" t="n">
        <v>46068</v>
      </c>
      <c r="Q3242" s="17" t="n">
        <v>46068</v>
      </c>
      <c r="R3242" s="17" t="n">
        <v>46068</v>
      </c>
      <c r="S3242" s="19">
        <f>H3242*I3242</f>
        <v/>
      </c>
      <c r="T3242" s="19">
        <f>H3242*J3242</f>
        <v/>
      </c>
      <c r="U3242">
        <f>IF(AND(K3242=0,G3242&lt;=Assumptions!$C$6),1,0)</f>
        <v/>
      </c>
      <c r="V3242">
        <f>IF(U3242=1,IF(M3242&gt;0,IF(P3242&lt;=G3242+Assumptions!$C$7,1,0),0),0)</f>
        <v/>
      </c>
      <c r="W3242">
        <f>IF(AND(U3242=1,M3242&gt;=H3242*(1-Assumptions!$C$8)),1,0)</f>
        <v/>
      </c>
      <c r="X3242">
        <f>IF(AND(U3242=1,N3242&gt;=H3242*(1-Assumptions!$C$8)),1,0)</f>
        <v/>
      </c>
      <c r="Y3242">
        <f>IF(ISNUMBER(Q3242),1,0)</f>
        <v/>
      </c>
      <c r="Z3242">
        <f>IF(AND(K3242=0,L3242=0,Y3242=0),1,0)</f>
        <v/>
      </c>
      <c r="AA3242">
        <f>IF(AND(Z3242=1,G3242&lt;Assumptions!$C$6),1,0)</f>
        <v/>
      </c>
      <c r="AB3242">
        <f>IF(U3242=0,"",IF(Y3242=1,MAX(0,Q3242-G3242),IF(L3242=1,MAX(0,R3242-G3242),MAX(0,Assumptions!$C$6-G3242))))</f>
        <v/>
      </c>
      <c r="AC3242">
        <f>IF(Y3242=1,Q3242-F3242,"")</f>
        <v/>
      </c>
      <c r="AD3242">
        <f>IF(Y3242=1,AC3242^2,"")</f>
        <v/>
      </c>
      <c r="AE3242" s="19">
        <f>IF(Z3242=1,(H3242-M3242)*I3242,0)</f>
        <v/>
      </c>
      <c r="AF3242">
        <f>IF(G3242&lt;EDATE(Assumptions!$C$6,-12)+1,"prior_12m","last_12m")</f>
        <v/>
      </c>
      <c r="AG3242" s="21">
        <f>DATE(YEAR(G3242),MONTH(G3242),1)</f>
        <v/>
      </c>
    </row>
    <row r="3243">
      <c r="A3243" t="inlineStr">
        <is>
          <t>SPO-01731-3</t>
        </is>
      </c>
      <c r="B3243" t="inlineStr">
        <is>
          <t>SPO-01731</t>
        </is>
      </c>
      <c r="C3243" t="inlineStr">
        <is>
          <t>SUP-01</t>
        </is>
      </c>
      <c r="D3243" t="inlineStr">
        <is>
          <t>ELEC</t>
        </is>
      </c>
      <c r="E3243" t="inlineStr">
        <is>
          <t>ELEC-04</t>
        </is>
      </c>
      <c r="F3243" s="17" t="n">
        <v>46050</v>
      </c>
      <c r="G3243" s="17" t="n">
        <v>46068</v>
      </c>
      <c r="H3243" s="18" t="n">
        <v>15</v>
      </c>
      <c r="I3243" s="19" t="n">
        <v>72.73999999999999</v>
      </c>
      <c r="J3243" s="19" t="n">
        <v>72</v>
      </c>
      <c r="K3243" s="20" t="n">
        <v>0</v>
      </c>
      <c r="L3243" s="20" t="n">
        <v>0</v>
      </c>
      <c r="M3243" s="18" t="n">
        <v>15</v>
      </c>
      <c r="N3243" s="18" t="n">
        <v>15</v>
      </c>
      <c r="O3243" s="18" t="n">
        <v>0</v>
      </c>
      <c r="P3243" s="17" t="n">
        <v>46068</v>
      </c>
      <c r="Q3243" s="17" t="n">
        <v>46068</v>
      </c>
      <c r="R3243" s="17" t="n">
        <v>46068</v>
      </c>
      <c r="S3243" s="19">
        <f>H3243*I3243</f>
        <v/>
      </c>
      <c r="T3243" s="19">
        <f>H3243*J3243</f>
        <v/>
      </c>
      <c r="U3243">
        <f>IF(AND(K3243=0,G3243&lt;=Assumptions!$C$6),1,0)</f>
        <v/>
      </c>
      <c r="V3243">
        <f>IF(U3243=1,IF(M3243&gt;0,IF(P3243&lt;=G3243+Assumptions!$C$7,1,0),0),0)</f>
        <v/>
      </c>
      <c r="W3243">
        <f>IF(AND(U3243=1,M3243&gt;=H3243*(1-Assumptions!$C$8)),1,0)</f>
        <v/>
      </c>
      <c r="X3243">
        <f>IF(AND(U3243=1,N3243&gt;=H3243*(1-Assumptions!$C$8)),1,0)</f>
        <v/>
      </c>
      <c r="Y3243">
        <f>IF(ISNUMBER(Q3243),1,0)</f>
        <v/>
      </c>
      <c r="Z3243">
        <f>IF(AND(K3243=0,L3243=0,Y3243=0),1,0)</f>
        <v/>
      </c>
      <c r="AA3243">
        <f>IF(AND(Z3243=1,G3243&lt;Assumptions!$C$6),1,0)</f>
        <v/>
      </c>
      <c r="AB3243">
        <f>IF(U3243=0,"",IF(Y3243=1,MAX(0,Q3243-G3243),IF(L3243=1,MAX(0,R3243-G3243),MAX(0,Assumptions!$C$6-G3243))))</f>
        <v/>
      </c>
      <c r="AC3243">
        <f>IF(Y3243=1,Q3243-F3243,"")</f>
        <v/>
      </c>
      <c r="AD3243">
        <f>IF(Y3243=1,AC3243^2,"")</f>
        <v/>
      </c>
      <c r="AE3243" s="19">
        <f>IF(Z3243=1,(H3243-M3243)*I3243,0)</f>
        <v/>
      </c>
      <c r="AF3243">
        <f>IF(G3243&lt;EDATE(Assumptions!$C$6,-12)+1,"prior_12m","last_12m")</f>
        <v/>
      </c>
      <c r="AG3243" s="21">
        <f>DATE(YEAR(G3243),MONTH(G3243),1)</f>
        <v/>
      </c>
    </row>
    <row r="3244">
      <c r="A3244" t="inlineStr">
        <is>
          <t>SPO-01731-4</t>
        </is>
      </c>
      <c r="B3244" t="inlineStr">
        <is>
          <t>SPO-01731</t>
        </is>
      </c>
      <c r="C3244" t="inlineStr">
        <is>
          <t>SUP-01</t>
        </is>
      </c>
      <c r="D3244" t="inlineStr">
        <is>
          <t>ELEC</t>
        </is>
      </c>
      <c r="E3244" t="inlineStr">
        <is>
          <t>ELEC-07</t>
        </is>
      </c>
      <c r="F3244" s="17" t="n">
        <v>46050</v>
      </c>
      <c r="G3244" s="17" t="n">
        <v>46068</v>
      </c>
      <c r="H3244" s="18" t="n">
        <v>401</v>
      </c>
      <c r="I3244" s="19" t="n">
        <v>9.779999999999999</v>
      </c>
      <c r="J3244" s="19" t="n">
        <v>9.800000000000001</v>
      </c>
      <c r="K3244" s="20" t="n">
        <v>0</v>
      </c>
      <c r="L3244" s="20" t="n">
        <v>0</v>
      </c>
      <c r="M3244" s="18" t="n">
        <v>401</v>
      </c>
      <c r="N3244" s="18" t="n">
        <v>0</v>
      </c>
      <c r="O3244" s="18" t="n">
        <v>0</v>
      </c>
      <c r="P3244" s="17" t="n">
        <v>46070</v>
      </c>
      <c r="Q3244" s="17" t="n">
        <v>46070</v>
      </c>
      <c r="R3244" s="17" t="n">
        <v>46070</v>
      </c>
      <c r="S3244" s="19">
        <f>H3244*I3244</f>
        <v/>
      </c>
      <c r="T3244" s="19">
        <f>H3244*J3244</f>
        <v/>
      </c>
      <c r="U3244">
        <f>IF(AND(K3244=0,G3244&lt;=Assumptions!$C$6),1,0)</f>
        <v/>
      </c>
      <c r="V3244">
        <f>IF(U3244=1,IF(M3244&gt;0,IF(P3244&lt;=G3244+Assumptions!$C$7,1,0),0),0)</f>
        <v/>
      </c>
      <c r="W3244">
        <f>IF(AND(U3244=1,M3244&gt;=H3244*(1-Assumptions!$C$8)),1,0)</f>
        <v/>
      </c>
      <c r="X3244">
        <f>IF(AND(U3244=1,N3244&gt;=H3244*(1-Assumptions!$C$8)),1,0)</f>
        <v/>
      </c>
      <c r="Y3244">
        <f>IF(ISNUMBER(Q3244),1,0)</f>
        <v/>
      </c>
      <c r="Z3244">
        <f>IF(AND(K3244=0,L3244=0,Y3244=0),1,0)</f>
        <v/>
      </c>
      <c r="AA3244">
        <f>IF(AND(Z3244=1,G3244&lt;Assumptions!$C$6),1,0)</f>
        <v/>
      </c>
      <c r="AB3244">
        <f>IF(U3244=0,"",IF(Y3244=1,MAX(0,Q3244-G3244),IF(L3244=1,MAX(0,R3244-G3244),MAX(0,Assumptions!$C$6-G3244))))</f>
        <v/>
      </c>
      <c r="AC3244">
        <f>IF(Y3244=1,Q3244-F3244,"")</f>
        <v/>
      </c>
      <c r="AD3244">
        <f>IF(Y3244=1,AC3244^2,"")</f>
        <v/>
      </c>
      <c r="AE3244" s="19">
        <f>IF(Z3244=1,(H3244-M3244)*I3244,0)</f>
        <v/>
      </c>
      <c r="AF3244">
        <f>IF(G3244&lt;EDATE(Assumptions!$C$6,-12)+1,"prior_12m","last_12m")</f>
        <v/>
      </c>
      <c r="AG3244" s="21">
        <f>DATE(YEAR(G3244),MONTH(G3244),1)</f>
        <v/>
      </c>
    </row>
    <row r="3245">
      <c r="A3245" t="inlineStr">
        <is>
          <t>SPO-01732-1</t>
        </is>
      </c>
      <c r="B3245" t="inlineStr">
        <is>
          <t>SPO-01732</t>
        </is>
      </c>
      <c r="C3245" t="inlineStr">
        <is>
          <t>SUP-01</t>
        </is>
      </c>
      <c r="D3245" t="inlineStr">
        <is>
          <t>ELEC</t>
        </is>
      </c>
      <c r="E3245" t="inlineStr">
        <is>
          <t>ELEC-05</t>
        </is>
      </c>
      <c r="F3245" s="17" t="n">
        <v>46051</v>
      </c>
      <c r="G3245" s="17" t="n">
        <v>46069</v>
      </c>
      <c r="H3245" s="18" t="n">
        <v>363</v>
      </c>
      <c r="I3245" s="19" t="n">
        <v>11.24</v>
      </c>
      <c r="J3245" s="19" t="n">
        <v>11.5</v>
      </c>
      <c r="K3245" s="20" t="n">
        <v>0</v>
      </c>
      <c r="L3245" s="20" t="n">
        <v>0</v>
      </c>
      <c r="M3245" s="18" t="n">
        <v>363</v>
      </c>
      <c r="N3245" s="18" t="n">
        <v>363</v>
      </c>
      <c r="O3245" s="18" t="n">
        <v>0</v>
      </c>
      <c r="P3245" s="17" t="n">
        <v>46066</v>
      </c>
      <c r="Q3245" s="17" t="n">
        <v>46066</v>
      </c>
      <c r="R3245" s="17" t="n">
        <v>46066</v>
      </c>
      <c r="S3245" s="19">
        <f>H3245*I3245</f>
        <v/>
      </c>
      <c r="T3245" s="19">
        <f>H3245*J3245</f>
        <v/>
      </c>
      <c r="U3245">
        <f>IF(AND(K3245=0,G3245&lt;=Assumptions!$C$6),1,0)</f>
        <v/>
      </c>
      <c r="V3245">
        <f>IF(U3245=1,IF(M3245&gt;0,IF(P3245&lt;=G3245+Assumptions!$C$7,1,0),0),0)</f>
        <v/>
      </c>
      <c r="W3245">
        <f>IF(AND(U3245=1,M3245&gt;=H3245*(1-Assumptions!$C$8)),1,0)</f>
        <v/>
      </c>
      <c r="X3245">
        <f>IF(AND(U3245=1,N3245&gt;=H3245*(1-Assumptions!$C$8)),1,0)</f>
        <v/>
      </c>
      <c r="Y3245">
        <f>IF(ISNUMBER(Q3245),1,0)</f>
        <v/>
      </c>
      <c r="Z3245">
        <f>IF(AND(K3245=0,L3245=0,Y3245=0),1,0)</f>
        <v/>
      </c>
      <c r="AA3245">
        <f>IF(AND(Z3245=1,G3245&lt;Assumptions!$C$6),1,0)</f>
        <v/>
      </c>
      <c r="AB3245">
        <f>IF(U3245=0,"",IF(Y3245=1,MAX(0,Q3245-G3245),IF(L3245=1,MAX(0,R3245-G3245),MAX(0,Assumptions!$C$6-G3245))))</f>
        <v/>
      </c>
      <c r="AC3245">
        <f>IF(Y3245=1,Q3245-F3245,"")</f>
        <v/>
      </c>
      <c r="AD3245">
        <f>IF(Y3245=1,AC3245^2,"")</f>
        <v/>
      </c>
      <c r="AE3245" s="19">
        <f>IF(Z3245=1,(H3245-M3245)*I3245,0)</f>
        <v/>
      </c>
      <c r="AF3245">
        <f>IF(G3245&lt;EDATE(Assumptions!$C$6,-12)+1,"prior_12m","last_12m")</f>
        <v/>
      </c>
      <c r="AG3245" s="21">
        <f>DATE(YEAR(G3245),MONTH(G3245),1)</f>
        <v/>
      </c>
    </row>
    <row r="3246">
      <c r="A3246" t="inlineStr">
        <is>
          <t>SPO-01732-2</t>
        </is>
      </c>
      <c r="B3246" t="inlineStr">
        <is>
          <t>SPO-01732</t>
        </is>
      </c>
      <c r="C3246" t="inlineStr">
        <is>
          <t>SUP-01</t>
        </is>
      </c>
      <c r="D3246" t="inlineStr">
        <is>
          <t>ELEC</t>
        </is>
      </c>
      <c r="E3246" t="inlineStr">
        <is>
          <t>ELEC-01</t>
        </is>
      </c>
      <c r="F3246" s="17" t="n">
        <v>46051</v>
      </c>
      <c r="G3246" s="17" t="n">
        <v>46069</v>
      </c>
      <c r="H3246" s="18" t="n">
        <v>69</v>
      </c>
      <c r="I3246" s="19" t="n">
        <v>37.98</v>
      </c>
      <c r="J3246" s="19" t="n">
        <v>38</v>
      </c>
      <c r="K3246" s="20" t="n">
        <v>0</v>
      </c>
      <c r="L3246" s="20" t="n">
        <v>0</v>
      </c>
      <c r="M3246" s="18" t="n">
        <v>69</v>
      </c>
      <c r="N3246" s="18" t="n">
        <v>69</v>
      </c>
      <c r="O3246" s="18" t="n">
        <v>0</v>
      </c>
      <c r="P3246" s="17" t="n">
        <v>46067</v>
      </c>
      <c r="Q3246" s="17" t="n">
        <v>46067</v>
      </c>
      <c r="R3246" s="17" t="n">
        <v>46067</v>
      </c>
      <c r="S3246" s="19">
        <f>H3246*I3246</f>
        <v/>
      </c>
      <c r="T3246" s="19">
        <f>H3246*J3246</f>
        <v/>
      </c>
      <c r="U3246">
        <f>IF(AND(K3246=0,G3246&lt;=Assumptions!$C$6),1,0)</f>
        <v/>
      </c>
      <c r="V3246">
        <f>IF(U3246=1,IF(M3246&gt;0,IF(P3246&lt;=G3246+Assumptions!$C$7,1,0),0),0)</f>
        <v/>
      </c>
      <c r="W3246">
        <f>IF(AND(U3246=1,M3246&gt;=H3246*(1-Assumptions!$C$8)),1,0)</f>
        <v/>
      </c>
      <c r="X3246">
        <f>IF(AND(U3246=1,N3246&gt;=H3246*(1-Assumptions!$C$8)),1,0)</f>
        <v/>
      </c>
      <c r="Y3246">
        <f>IF(ISNUMBER(Q3246),1,0)</f>
        <v/>
      </c>
      <c r="Z3246">
        <f>IF(AND(K3246=0,L3246=0,Y3246=0),1,0)</f>
        <v/>
      </c>
      <c r="AA3246">
        <f>IF(AND(Z3246=1,G3246&lt;Assumptions!$C$6),1,0)</f>
        <v/>
      </c>
      <c r="AB3246">
        <f>IF(U3246=0,"",IF(Y3246=1,MAX(0,Q3246-G3246),IF(L3246=1,MAX(0,R3246-G3246),MAX(0,Assumptions!$C$6-G3246))))</f>
        <v/>
      </c>
      <c r="AC3246">
        <f>IF(Y3246=1,Q3246-F3246,"")</f>
        <v/>
      </c>
      <c r="AD3246">
        <f>IF(Y3246=1,AC3246^2,"")</f>
        <v/>
      </c>
      <c r="AE3246" s="19">
        <f>IF(Z3246=1,(H3246-M3246)*I3246,0)</f>
        <v/>
      </c>
      <c r="AF3246">
        <f>IF(G3246&lt;EDATE(Assumptions!$C$6,-12)+1,"prior_12m","last_12m")</f>
        <v/>
      </c>
      <c r="AG3246" s="21">
        <f>DATE(YEAR(G3246),MONTH(G3246),1)</f>
        <v/>
      </c>
    </row>
    <row r="3247">
      <c r="A3247" t="inlineStr">
        <is>
          <t>SPO-01732-3</t>
        </is>
      </c>
      <c r="B3247" t="inlineStr">
        <is>
          <t>SPO-01732</t>
        </is>
      </c>
      <c r="C3247" t="inlineStr">
        <is>
          <t>SUP-01</t>
        </is>
      </c>
      <c r="D3247" t="inlineStr">
        <is>
          <t>ELEC</t>
        </is>
      </c>
      <c r="E3247" t="inlineStr">
        <is>
          <t>ELEC-03</t>
        </is>
      </c>
      <c r="F3247" s="17" t="n">
        <v>46051</v>
      </c>
      <c r="G3247" s="17" t="n">
        <v>46069</v>
      </c>
      <c r="H3247" s="18" t="n">
        <v>26</v>
      </c>
      <c r="I3247" s="19" t="n">
        <v>100.06</v>
      </c>
      <c r="J3247" s="19" t="n">
        <v>96</v>
      </c>
      <c r="K3247" s="20" t="n">
        <v>0</v>
      </c>
      <c r="L3247" s="20" t="n">
        <v>0</v>
      </c>
      <c r="M3247" s="18" t="n">
        <v>26</v>
      </c>
      <c r="N3247" s="18" t="n">
        <v>0</v>
      </c>
      <c r="O3247" s="18" t="n">
        <v>0</v>
      </c>
      <c r="P3247" s="17" t="n">
        <v>46084</v>
      </c>
      <c r="Q3247" s="17" t="n">
        <v>46084</v>
      </c>
      <c r="R3247" s="17" t="n">
        <v>46084</v>
      </c>
      <c r="S3247" s="19">
        <f>H3247*I3247</f>
        <v/>
      </c>
      <c r="T3247" s="19">
        <f>H3247*J3247</f>
        <v/>
      </c>
      <c r="U3247">
        <f>IF(AND(K3247=0,G3247&lt;=Assumptions!$C$6),1,0)</f>
        <v/>
      </c>
      <c r="V3247">
        <f>IF(U3247=1,IF(M3247&gt;0,IF(P3247&lt;=G3247+Assumptions!$C$7,1,0),0),0)</f>
        <v/>
      </c>
      <c r="W3247">
        <f>IF(AND(U3247=1,M3247&gt;=H3247*(1-Assumptions!$C$8)),1,0)</f>
        <v/>
      </c>
      <c r="X3247">
        <f>IF(AND(U3247=1,N3247&gt;=H3247*(1-Assumptions!$C$8)),1,0)</f>
        <v/>
      </c>
      <c r="Y3247">
        <f>IF(ISNUMBER(Q3247),1,0)</f>
        <v/>
      </c>
      <c r="Z3247">
        <f>IF(AND(K3247=0,L3247=0,Y3247=0),1,0)</f>
        <v/>
      </c>
      <c r="AA3247">
        <f>IF(AND(Z3247=1,G3247&lt;Assumptions!$C$6),1,0)</f>
        <v/>
      </c>
      <c r="AB3247">
        <f>IF(U3247=0,"",IF(Y3247=1,MAX(0,Q3247-G3247),IF(L3247=1,MAX(0,R3247-G3247),MAX(0,Assumptions!$C$6-G3247))))</f>
        <v/>
      </c>
      <c r="AC3247">
        <f>IF(Y3247=1,Q3247-F3247,"")</f>
        <v/>
      </c>
      <c r="AD3247">
        <f>IF(Y3247=1,AC3247^2,"")</f>
        <v/>
      </c>
      <c r="AE3247" s="19">
        <f>IF(Z3247=1,(H3247-M3247)*I3247,0)</f>
        <v/>
      </c>
      <c r="AF3247">
        <f>IF(G3247&lt;EDATE(Assumptions!$C$6,-12)+1,"prior_12m","last_12m")</f>
        <v/>
      </c>
      <c r="AG3247" s="21">
        <f>DATE(YEAR(G3247),MONTH(G3247),1)</f>
        <v/>
      </c>
    </row>
    <row r="3248">
      <c r="A3248" t="inlineStr">
        <is>
          <t>SPO-01733-1</t>
        </is>
      </c>
      <c r="B3248" t="inlineStr">
        <is>
          <t>SPO-01733</t>
        </is>
      </c>
      <c r="C3248" t="inlineStr">
        <is>
          <t>SUP-08</t>
        </is>
      </c>
      <c r="D3248" t="inlineStr">
        <is>
          <t>PPE</t>
        </is>
      </c>
      <c r="E3248" t="inlineStr">
        <is>
          <t>PPE-06</t>
        </is>
      </c>
      <c r="F3248" s="17" t="n">
        <v>46051</v>
      </c>
      <c r="G3248" s="17" t="n">
        <v>46062</v>
      </c>
      <c r="H3248" s="18" t="n">
        <v>14</v>
      </c>
      <c r="I3248" s="19" t="n">
        <v>111.34</v>
      </c>
      <c r="J3248" s="19" t="n">
        <v>115</v>
      </c>
      <c r="K3248" s="20" t="n">
        <v>0</v>
      </c>
      <c r="L3248" s="20" t="n">
        <v>0</v>
      </c>
      <c r="M3248" s="18" t="n">
        <v>14</v>
      </c>
      <c r="N3248" s="18" t="n">
        <v>14</v>
      </c>
      <c r="O3248" s="18" t="n">
        <v>0</v>
      </c>
      <c r="P3248" s="17" t="n">
        <v>46058</v>
      </c>
      <c r="Q3248" s="17" t="n">
        <v>46058</v>
      </c>
      <c r="R3248" s="17" t="n">
        <v>46058</v>
      </c>
      <c r="S3248" s="19">
        <f>H3248*I3248</f>
        <v/>
      </c>
      <c r="T3248" s="19">
        <f>H3248*J3248</f>
        <v/>
      </c>
      <c r="U3248">
        <f>IF(AND(K3248=0,G3248&lt;=Assumptions!$C$6),1,0)</f>
        <v/>
      </c>
      <c r="V3248">
        <f>IF(U3248=1,IF(M3248&gt;0,IF(P3248&lt;=G3248+Assumptions!$C$7,1,0),0),0)</f>
        <v/>
      </c>
      <c r="W3248">
        <f>IF(AND(U3248=1,M3248&gt;=H3248*(1-Assumptions!$C$8)),1,0)</f>
        <v/>
      </c>
      <c r="X3248">
        <f>IF(AND(U3248=1,N3248&gt;=H3248*(1-Assumptions!$C$8)),1,0)</f>
        <v/>
      </c>
      <c r="Y3248">
        <f>IF(ISNUMBER(Q3248),1,0)</f>
        <v/>
      </c>
      <c r="Z3248">
        <f>IF(AND(K3248=0,L3248=0,Y3248=0),1,0)</f>
        <v/>
      </c>
      <c r="AA3248">
        <f>IF(AND(Z3248=1,G3248&lt;Assumptions!$C$6),1,0)</f>
        <v/>
      </c>
      <c r="AB3248">
        <f>IF(U3248=0,"",IF(Y3248=1,MAX(0,Q3248-G3248),IF(L3248=1,MAX(0,R3248-G3248),MAX(0,Assumptions!$C$6-G3248))))</f>
        <v/>
      </c>
      <c r="AC3248">
        <f>IF(Y3248=1,Q3248-F3248,"")</f>
        <v/>
      </c>
      <c r="AD3248">
        <f>IF(Y3248=1,AC3248^2,"")</f>
        <v/>
      </c>
      <c r="AE3248" s="19">
        <f>IF(Z3248=1,(H3248-M3248)*I3248,0)</f>
        <v/>
      </c>
      <c r="AF3248">
        <f>IF(G3248&lt;EDATE(Assumptions!$C$6,-12)+1,"prior_12m","last_12m")</f>
        <v/>
      </c>
      <c r="AG3248" s="21">
        <f>DATE(YEAR(G3248),MONTH(G3248),1)</f>
        <v/>
      </c>
    </row>
    <row r="3249">
      <c r="A3249" t="inlineStr">
        <is>
          <t>SPO-01733-2</t>
        </is>
      </c>
      <c r="B3249" t="inlineStr">
        <is>
          <t>SPO-01733</t>
        </is>
      </c>
      <c r="C3249" t="inlineStr">
        <is>
          <t>SUP-08</t>
        </is>
      </c>
      <c r="D3249" t="inlineStr">
        <is>
          <t>PPE</t>
        </is>
      </c>
      <c r="E3249" t="inlineStr">
        <is>
          <t>PPE-08</t>
        </is>
      </c>
      <c r="F3249" s="17" t="n">
        <v>46051</v>
      </c>
      <c r="G3249" s="17" t="n">
        <v>46062</v>
      </c>
      <c r="H3249" s="18" t="n">
        <v>14</v>
      </c>
      <c r="I3249" s="19" t="n">
        <v>65.17</v>
      </c>
      <c r="J3249" s="19" t="n">
        <v>64</v>
      </c>
      <c r="K3249" s="20" t="n">
        <v>1</v>
      </c>
      <c r="L3249" s="20" t="n">
        <v>0</v>
      </c>
      <c r="M3249" s="18" t="n">
        <v>0</v>
      </c>
      <c r="N3249" s="18" t="n">
        <v>0</v>
      </c>
      <c r="O3249" s="18" t="n">
        <v>0</v>
      </c>
      <c r="P3249" s="17" t="n"/>
      <c r="Q3249" s="17" t="n"/>
      <c r="R3249" s="17" t="n"/>
      <c r="S3249" s="19">
        <f>H3249*I3249</f>
        <v/>
      </c>
      <c r="T3249" s="19">
        <f>H3249*J3249</f>
        <v/>
      </c>
      <c r="U3249">
        <f>IF(AND(K3249=0,G3249&lt;=Assumptions!$C$6),1,0)</f>
        <v/>
      </c>
      <c r="V3249">
        <f>IF(U3249=1,IF(M3249&gt;0,IF(P3249&lt;=G3249+Assumptions!$C$7,1,0),0),0)</f>
        <v/>
      </c>
      <c r="W3249">
        <f>IF(AND(U3249=1,M3249&gt;=H3249*(1-Assumptions!$C$8)),1,0)</f>
        <v/>
      </c>
      <c r="X3249">
        <f>IF(AND(U3249=1,N3249&gt;=H3249*(1-Assumptions!$C$8)),1,0)</f>
        <v/>
      </c>
      <c r="Y3249">
        <f>IF(ISNUMBER(Q3249),1,0)</f>
        <v/>
      </c>
      <c r="Z3249">
        <f>IF(AND(K3249=0,L3249=0,Y3249=0),1,0)</f>
        <v/>
      </c>
      <c r="AA3249">
        <f>IF(AND(Z3249=1,G3249&lt;Assumptions!$C$6),1,0)</f>
        <v/>
      </c>
      <c r="AB3249">
        <f>IF(U3249=0,"",IF(Y3249=1,MAX(0,Q3249-G3249),IF(L3249=1,MAX(0,R3249-G3249),MAX(0,Assumptions!$C$6-G3249))))</f>
        <v/>
      </c>
      <c r="AC3249">
        <f>IF(Y3249=1,Q3249-F3249,"")</f>
        <v/>
      </c>
      <c r="AD3249">
        <f>IF(Y3249=1,AC3249^2,"")</f>
        <v/>
      </c>
      <c r="AE3249" s="19">
        <f>IF(Z3249=1,(H3249-M3249)*I3249,0)</f>
        <v/>
      </c>
      <c r="AF3249">
        <f>IF(G3249&lt;EDATE(Assumptions!$C$6,-12)+1,"prior_12m","last_12m")</f>
        <v/>
      </c>
      <c r="AG3249" s="21">
        <f>DATE(YEAR(G3249),MONTH(G3249),1)</f>
        <v/>
      </c>
    </row>
    <row r="3250">
      <c r="A3250" t="inlineStr">
        <is>
          <t>SPO-01734-1</t>
        </is>
      </c>
      <c r="B3250" t="inlineStr">
        <is>
          <t>SPO-01734</t>
        </is>
      </c>
      <c r="C3250" t="inlineStr">
        <is>
          <t>SUP-06</t>
        </is>
      </c>
      <c r="D3250" t="inlineStr">
        <is>
          <t>MRO</t>
        </is>
      </c>
      <c r="E3250" t="inlineStr">
        <is>
          <t>MRO-07</t>
        </is>
      </c>
      <c r="F3250" s="17" t="n">
        <v>46051</v>
      </c>
      <c r="G3250" s="17" t="n">
        <v>46059</v>
      </c>
      <c r="H3250" s="18" t="n">
        <v>210</v>
      </c>
      <c r="I3250" s="19" t="n">
        <v>14.21</v>
      </c>
      <c r="J3250" s="19" t="n">
        <v>14</v>
      </c>
      <c r="K3250" s="20" t="n">
        <v>0</v>
      </c>
      <c r="L3250" s="20" t="n">
        <v>0</v>
      </c>
      <c r="M3250" s="18" t="n">
        <v>210</v>
      </c>
      <c r="N3250" s="18" t="n">
        <v>210</v>
      </c>
      <c r="O3250" s="18" t="n">
        <v>0</v>
      </c>
      <c r="P3250" s="17" t="n">
        <v>46055</v>
      </c>
      <c r="Q3250" s="17" t="n">
        <v>46055</v>
      </c>
      <c r="R3250" s="17" t="n">
        <v>46055</v>
      </c>
      <c r="S3250" s="19">
        <f>H3250*I3250</f>
        <v/>
      </c>
      <c r="T3250" s="19">
        <f>H3250*J3250</f>
        <v/>
      </c>
      <c r="U3250">
        <f>IF(AND(K3250=0,G3250&lt;=Assumptions!$C$6),1,0)</f>
        <v/>
      </c>
      <c r="V3250">
        <f>IF(U3250=1,IF(M3250&gt;0,IF(P3250&lt;=G3250+Assumptions!$C$7,1,0),0),0)</f>
        <v/>
      </c>
      <c r="W3250">
        <f>IF(AND(U3250=1,M3250&gt;=H3250*(1-Assumptions!$C$8)),1,0)</f>
        <v/>
      </c>
      <c r="X3250">
        <f>IF(AND(U3250=1,N3250&gt;=H3250*(1-Assumptions!$C$8)),1,0)</f>
        <v/>
      </c>
      <c r="Y3250">
        <f>IF(ISNUMBER(Q3250),1,0)</f>
        <v/>
      </c>
      <c r="Z3250">
        <f>IF(AND(K3250=0,L3250=0,Y3250=0),1,0)</f>
        <v/>
      </c>
      <c r="AA3250">
        <f>IF(AND(Z3250=1,G3250&lt;Assumptions!$C$6),1,0)</f>
        <v/>
      </c>
      <c r="AB3250">
        <f>IF(U3250=0,"",IF(Y3250=1,MAX(0,Q3250-G3250),IF(L3250=1,MAX(0,R3250-G3250),MAX(0,Assumptions!$C$6-G3250))))</f>
        <v/>
      </c>
      <c r="AC3250">
        <f>IF(Y3250=1,Q3250-F3250,"")</f>
        <v/>
      </c>
      <c r="AD3250">
        <f>IF(Y3250=1,AC3250^2,"")</f>
        <v/>
      </c>
      <c r="AE3250" s="19">
        <f>IF(Z3250=1,(H3250-M3250)*I3250,0)</f>
        <v/>
      </c>
      <c r="AF3250">
        <f>IF(G3250&lt;EDATE(Assumptions!$C$6,-12)+1,"prior_12m","last_12m")</f>
        <v/>
      </c>
      <c r="AG3250" s="21">
        <f>DATE(YEAR(G3250),MONTH(G3250),1)</f>
        <v/>
      </c>
    </row>
    <row r="3251">
      <c r="A3251" t="inlineStr">
        <is>
          <t>SPO-01735-1</t>
        </is>
      </c>
      <c r="B3251" t="inlineStr">
        <is>
          <t>SPO-01735</t>
        </is>
      </c>
      <c r="C3251" t="inlineStr">
        <is>
          <t>SUP-02</t>
        </is>
      </c>
      <c r="D3251" t="inlineStr">
        <is>
          <t>ELEC</t>
        </is>
      </c>
      <c r="E3251" t="inlineStr">
        <is>
          <t>ELEC-04</t>
        </is>
      </c>
      <c r="F3251" s="17" t="n">
        <v>46051</v>
      </c>
      <c r="G3251" s="17" t="n">
        <v>46067</v>
      </c>
      <c r="H3251" s="18" t="n">
        <v>16</v>
      </c>
      <c r="I3251" s="19" t="n">
        <v>69.66</v>
      </c>
      <c r="J3251" s="19" t="n">
        <v>72</v>
      </c>
      <c r="K3251" s="20" t="n">
        <v>0</v>
      </c>
      <c r="L3251" s="20" t="n">
        <v>0</v>
      </c>
      <c r="M3251" s="18" t="n">
        <v>16</v>
      </c>
      <c r="N3251" s="18" t="n">
        <v>16</v>
      </c>
      <c r="O3251" s="18" t="n">
        <v>0</v>
      </c>
      <c r="P3251" s="17" t="n">
        <v>46064</v>
      </c>
      <c r="Q3251" s="17" t="n">
        <v>46064</v>
      </c>
      <c r="R3251" s="17" t="n">
        <v>46064</v>
      </c>
      <c r="S3251" s="19">
        <f>H3251*I3251</f>
        <v/>
      </c>
      <c r="T3251" s="19">
        <f>H3251*J3251</f>
        <v/>
      </c>
      <c r="U3251">
        <f>IF(AND(K3251=0,G3251&lt;=Assumptions!$C$6),1,0)</f>
        <v/>
      </c>
      <c r="V3251">
        <f>IF(U3251=1,IF(M3251&gt;0,IF(P3251&lt;=G3251+Assumptions!$C$7,1,0),0),0)</f>
        <v/>
      </c>
      <c r="W3251">
        <f>IF(AND(U3251=1,M3251&gt;=H3251*(1-Assumptions!$C$8)),1,0)</f>
        <v/>
      </c>
      <c r="X3251">
        <f>IF(AND(U3251=1,N3251&gt;=H3251*(1-Assumptions!$C$8)),1,0)</f>
        <v/>
      </c>
      <c r="Y3251">
        <f>IF(ISNUMBER(Q3251),1,0)</f>
        <v/>
      </c>
      <c r="Z3251">
        <f>IF(AND(K3251=0,L3251=0,Y3251=0),1,0)</f>
        <v/>
      </c>
      <c r="AA3251">
        <f>IF(AND(Z3251=1,G3251&lt;Assumptions!$C$6),1,0)</f>
        <v/>
      </c>
      <c r="AB3251">
        <f>IF(U3251=0,"",IF(Y3251=1,MAX(0,Q3251-G3251),IF(L3251=1,MAX(0,R3251-G3251),MAX(0,Assumptions!$C$6-G3251))))</f>
        <v/>
      </c>
      <c r="AC3251">
        <f>IF(Y3251=1,Q3251-F3251,"")</f>
        <v/>
      </c>
      <c r="AD3251">
        <f>IF(Y3251=1,AC3251^2,"")</f>
        <v/>
      </c>
      <c r="AE3251" s="19">
        <f>IF(Z3251=1,(H3251-M3251)*I3251,0)</f>
        <v/>
      </c>
      <c r="AF3251">
        <f>IF(G3251&lt;EDATE(Assumptions!$C$6,-12)+1,"prior_12m","last_12m")</f>
        <v/>
      </c>
      <c r="AG3251" s="21">
        <f>DATE(YEAR(G3251),MONTH(G3251),1)</f>
        <v/>
      </c>
    </row>
    <row r="3252">
      <c r="A3252" t="inlineStr">
        <is>
          <t>SPO-01736-1</t>
        </is>
      </c>
      <c r="B3252" t="inlineStr">
        <is>
          <t>SPO-01736</t>
        </is>
      </c>
      <c r="C3252" t="inlineStr">
        <is>
          <t>SUP-06</t>
        </is>
      </c>
      <c r="D3252" t="inlineStr">
        <is>
          <t>MRO</t>
        </is>
      </c>
      <c r="E3252" t="inlineStr">
        <is>
          <t>MRO-03</t>
        </is>
      </c>
      <c r="F3252" s="17" t="n">
        <v>46051</v>
      </c>
      <c r="G3252" s="17" t="n">
        <v>46059</v>
      </c>
      <c r="H3252" s="18" t="n">
        <v>63</v>
      </c>
      <c r="I3252" s="19" t="n">
        <v>8.81</v>
      </c>
      <c r="J3252" s="19" t="n">
        <v>8.9</v>
      </c>
      <c r="K3252" s="20" t="n">
        <v>0</v>
      </c>
      <c r="L3252" s="20" t="n">
        <v>0</v>
      </c>
      <c r="M3252" s="18" t="n">
        <v>63</v>
      </c>
      <c r="N3252" s="18" t="n">
        <v>63</v>
      </c>
      <c r="O3252" s="18" t="n">
        <v>0</v>
      </c>
      <c r="P3252" s="17" t="n">
        <v>46058</v>
      </c>
      <c r="Q3252" s="17" t="n">
        <v>46058</v>
      </c>
      <c r="R3252" s="17" t="n">
        <v>46058</v>
      </c>
      <c r="S3252" s="19">
        <f>H3252*I3252</f>
        <v/>
      </c>
      <c r="T3252" s="19">
        <f>H3252*J3252</f>
        <v/>
      </c>
      <c r="U3252">
        <f>IF(AND(K3252=0,G3252&lt;=Assumptions!$C$6),1,0)</f>
        <v/>
      </c>
      <c r="V3252">
        <f>IF(U3252=1,IF(M3252&gt;0,IF(P3252&lt;=G3252+Assumptions!$C$7,1,0),0),0)</f>
        <v/>
      </c>
      <c r="W3252">
        <f>IF(AND(U3252=1,M3252&gt;=H3252*(1-Assumptions!$C$8)),1,0)</f>
        <v/>
      </c>
      <c r="X3252">
        <f>IF(AND(U3252=1,N3252&gt;=H3252*(1-Assumptions!$C$8)),1,0)</f>
        <v/>
      </c>
      <c r="Y3252">
        <f>IF(ISNUMBER(Q3252),1,0)</f>
        <v/>
      </c>
      <c r="Z3252">
        <f>IF(AND(K3252=0,L3252=0,Y3252=0),1,0)</f>
        <v/>
      </c>
      <c r="AA3252">
        <f>IF(AND(Z3252=1,G3252&lt;Assumptions!$C$6),1,0)</f>
        <v/>
      </c>
      <c r="AB3252">
        <f>IF(U3252=0,"",IF(Y3252=1,MAX(0,Q3252-G3252),IF(L3252=1,MAX(0,R3252-G3252),MAX(0,Assumptions!$C$6-G3252))))</f>
        <v/>
      </c>
      <c r="AC3252">
        <f>IF(Y3252=1,Q3252-F3252,"")</f>
        <v/>
      </c>
      <c r="AD3252">
        <f>IF(Y3252=1,AC3252^2,"")</f>
        <v/>
      </c>
      <c r="AE3252" s="19">
        <f>IF(Z3252=1,(H3252-M3252)*I3252,0)</f>
        <v/>
      </c>
      <c r="AF3252">
        <f>IF(G3252&lt;EDATE(Assumptions!$C$6,-12)+1,"prior_12m","last_12m")</f>
        <v/>
      </c>
      <c r="AG3252" s="21">
        <f>DATE(YEAR(G3252),MONTH(G3252),1)</f>
        <v/>
      </c>
    </row>
    <row r="3253">
      <c r="A3253" t="inlineStr">
        <is>
          <t>SPO-01737-1</t>
        </is>
      </c>
      <c r="B3253" t="inlineStr">
        <is>
          <t>SPO-01737</t>
        </is>
      </c>
      <c r="C3253" t="inlineStr">
        <is>
          <t>SUP-04</t>
        </is>
      </c>
      <c r="D3253" t="inlineStr">
        <is>
          <t>FLEET</t>
        </is>
      </c>
      <c r="E3253" t="inlineStr">
        <is>
          <t>FLEET-05</t>
        </is>
      </c>
      <c r="F3253" s="17" t="n">
        <v>46051</v>
      </c>
      <c r="G3253" s="17" t="n">
        <v>46064</v>
      </c>
      <c r="H3253" s="18" t="n">
        <v>7</v>
      </c>
      <c r="I3253" s="19" t="n">
        <v>170.06</v>
      </c>
      <c r="J3253" s="19" t="n">
        <v>168</v>
      </c>
      <c r="K3253" s="20" t="n">
        <v>0</v>
      </c>
      <c r="L3253" s="20" t="n">
        <v>0</v>
      </c>
      <c r="M3253" s="18" t="n">
        <v>7</v>
      </c>
      <c r="N3253" s="18" t="n">
        <v>7</v>
      </c>
      <c r="O3253" s="18" t="n">
        <v>0</v>
      </c>
      <c r="P3253" s="17" t="n">
        <v>46053</v>
      </c>
      <c r="Q3253" s="17" t="n">
        <v>46053</v>
      </c>
      <c r="R3253" s="17" t="n">
        <v>46053</v>
      </c>
      <c r="S3253" s="19">
        <f>H3253*I3253</f>
        <v/>
      </c>
      <c r="T3253" s="19">
        <f>H3253*J3253</f>
        <v/>
      </c>
      <c r="U3253">
        <f>IF(AND(K3253=0,G3253&lt;=Assumptions!$C$6),1,0)</f>
        <v/>
      </c>
      <c r="V3253">
        <f>IF(U3253=1,IF(M3253&gt;0,IF(P3253&lt;=G3253+Assumptions!$C$7,1,0),0),0)</f>
        <v/>
      </c>
      <c r="W3253">
        <f>IF(AND(U3253=1,M3253&gt;=H3253*(1-Assumptions!$C$8)),1,0)</f>
        <v/>
      </c>
      <c r="X3253">
        <f>IF(AND(U3253=1,N3253&gt;=H3253*(1-Assumptions!$C$8)),1,0)</f>
        <v/>
      </c>
      <c r="Y3253">
        <f>IF(ISNUMBER(Q3253),1,0)</f>
        <v/>
      </c>
      <c r="Z3253">
        <f>IF(AND(K3253=0,L3253=0,Y3253=0),1,0)</f>
        <v/>
      </c>
      <c r="AA3253">
        <f>IF(AND(Z3253=1,G3253&lt;Assumptions!$C$6),1,0)</f>
        <v/>
      </c>
      <c r="AB3253">
        <f>IF(U3253=0,"",IF(Y3253=1,MAX(0,Q3253-G3253),IF(L3253=1,MAX(0,R3253-G3253),MAX(0,Assumptions!$C$6-G3253))))</f>
        <v/>
      </c>
      <c r="AC3253">
        <f>IF(Y3253=1,Q3253-F3253,"")</f>
        <v/>
      </c>
      <c r="AD3253">
        <f>IF(Y3253=1,AC3253^2,"")</f>
        <v/>
      </c>
      <c r="AE3253" s="19">
        <f>IF(Z3253=1,(H3253-M3253)*I3253,0)</f>
        <v/>
      </c>
      <c r="AF3253">
        <f>IF(G3253&lt;EDATE(Assumptions!$C$6,-12)+1,"prior_12m","last_12m")</f>
        <v/>
      </c>
      <c r="AG3253" s="21">
        <f>DATE(YEAR(G3253),MONTH(G3253),1)</f>
        <v/>
      </c>
    </row>
    <row r="3254">
      <c r="A3254" t="inlineStr">
        <is>
          <t>SPO-01738-1</t>
        </is>
      </c>
      <c r="B3254" t="inlineStr">
        <is>
          <t>SPO-01738</t>
        </is>
      </c>
      <c r="C3254" t="inlineStr">
        <is>
          <t>SUP-04</t>
        </is>
      </c>
      <c r="D3254" t="inlineStr">
        <is>
          <t>FLEET</t>
        </is>
      </c>
      <c r="E3254" t="inlineStr">
        <is>
          <t>FLEET-04</t>
        </is>
      </c>
      <c r="F3254" s="17" t="n">
        <v>46051</v>
      </c>
      <c r="G3254" s="17" t="n">
        <v>46064</v>
      </c>
      <c r="H3254" s="18" t="n">
        <v>332</v>
      </c>
      <c r="I3254" s="19" t="n">
        <v>9.33</v>
      </c>
      <c r="J3254" s="19" t="n">
        <v>9</v>
      </c>
      <c r="K3254" s="20" t="n">
        <v>0</v>
      </c>
      <c r="L3254" s="20" t="n">
        <v>0</v>
      </c>
      <c r="M3254" s="18" t="n">
        <v>332</v>
      </c>
      <c r="N3254" s="18" t="n">
        <v>0</v>
      </c>
      <c r="O3254" s="18" t="n">
        <v>0</v>
      </c>
      <c r="P3254" s="17" t="n">
        <v>46066</v>
      </c>
      <c r="Q3254" s="17" t="n">
        <v>46066</v>
      </c>
      <c r="R3254" s="17" t="n">
        <v>46066</v>
      </c>
      <c r="S3254" s="19">
        <f>H3254*I3254</f>
        <v/>
      </c>
      <c r="T3254" s="19">
        <f>H3254*J3254</f>
        <v/>
      </c>
      <c r="U3254">
        <f>IF(AND(K3254=0,G3254&lt;=Assumptions!$C$6),1,0)</f>
        <v/>
      </c>
      <c r="V3254">
        <f>IF(U3254=1,IF(M3254&gt;0,IF(P3254&lt;=G3254+Assumptions!$C$7,1,0),0),0)</f>
        <v/>
      </c>
      <c r="W3254">
        <f>IF(AND(U3254=1,M3254&gt;=H3254*(1-Assumptions!$C$8)),1,0)</f>
        <v/>
      </c>
      <c r="X3254">
        <f>IF(AND(U3254=1,N3254&gt;=H3254*(1-Assumptions!$C$8)),1,0)</f>
        <v/>
      </c>
      <c r="Y3254">
        <f>IF(ISNUMBER(Q3254),1,0)</f>
        <v/>
      </c>
      <c r="Z3254">
        <f>IF(AND(K3254=0,L3254=0,Y3254=0),1,0)</f>
        <v/>
      </c>
      <c r="AA3254">
        <f>IF(AND(Z3254=1,G3254&lt;Assumptions!$C$6),1,0)</f>
        <v/>
      </c>
      <c r="AB3254">
        <f>IF(U3254=0,"",IF(Y3254=1,MAX(0,Q3254-G3254),IF(L3254=1,MAX(0,R3254-G3254),MAX(0,Assumptions!$C$6-G3254))))</f>
        <v/>
      </c>
      <c r="AC3254">
        <f>IF(Y3254=1,Q3254-F3254,"")</f>
        <v/>
      </c>
      <c r="AD3254">
        <f>IF(Y3254=1,AC3254^2,"")</f>
        <v/>
      </c>
      <c r="AE3254" s="19">
        <f>IF(Z3254=1,(H3254-M3254)*I3254,0)</f>
        <v/>
      </c>
      <c r="AF3254">
        <f>IF(G3254&lt;EDATE(Assumptions!$C$6,-12)+1,"prior_12m","last_12m")</f>
        <v/>
      </c>
      <c r="AG3254" s="21">
        <f>DATE(YEAR(G3254),MONTH(G3254),1)</f>
        <v/>
      </c>
    </row>
    <row r="3255">
      <c r="A3255" t="inlineStr">
        <is>
          <t>SPO-01739-1</t>
        </is>
      </c>
      <c r="B3255" t="inlineStr">
        <is>
          <t>SPO-01739</t>
        </is>
      </c>
      <c r="C3255" t="inlineStr">
        <is>
          <t>SUP-12</t>
        </is>
      </c>
      <c r="D3255" t="inlineStr">
        <is>
          <t>IT</t>
        </is>
      </c>
      <c r="E3255" t="inlineStr">
        <is>
          <t>IT-05</t>
        </is>
      </c>
      <c r="F3255" s="17" t="n">
        <v>46052</v>
      </c>
      <c r="G3255" s="17" t="n">
        <v>46062</v>
      </c>
      <c r="H3255" s="18" t="n">
        <v>4</v>
      </c>
      <c r="I3255" s="19" t="n">
        <v>732.3200000000001</v>
      </c>
      <c r="J3255" s="19" t="n">
        <v>640</v>
      </c>
      <c r="K3255" s="20" t="n">
        <v>0</v>
      </c>
      <c r="L3255" s="20" t="n">
        <v>0</v>
      </c>
      <c r="M3255" s="18" t="n">
        <v>4</v>
      </c>
      <c r="N3255" s="18" t="n">
        <v>4</v>
      </c>
      <c r="O3255" s="18" t="n">
        <v>0</v>
      </c>
      <c r="P3255" s="17" t="n">
        <v>46059</v>
      </c>
      <c r="Q3255" s="17" t="n">
        <v>46059</v>
      </c>
      <c r="R3255" s="17" t="n">
        <v>46059</v>
      </c>
      <c r="S3255" s="19">
        <f>H3255*I3255</f>
        <v/>
      </c>
      <c r="T3255" s="19">
        <f>H3255*J3255</f>
        <v/>
      </c>
      <c r="U3255">
        <f>IF(AND(K3255=0,G3255&lt;=Assumptions!$C$6),1,0)</f>
        <v/>
      </c>
      <c r="V3255">
        <f>IF(U3255=1,IF(M3255&gt;0,IF(P3255&lt;=G3255+Assumptions!$C$7,1,0),0),0)</f>
        <v/>
      </c>
      <c r="W3255">
        <f>IF(AND(U3255=1,M3255&gt;=H3255*(1-Assumptions!$C$8)),1,0)</f>
        <v/>
      </c>
      <c r="X3255">
        <f>IF(AND(U3255=1,N3255&gt;=H3255*(1-Assumptions!$C$8)),1,0)</f>
        <v/>
      </c>
      <c r="Y3255">
        <f>IF(ISNUMBER(Q3255),1,0)</f>
        <v/>
      </c>
      <c r="Z3255">
        <f>IF(AND(K3255=0,L3255=0,Y3255=0),1,0)</f>
        <v/>
      </c>
      <c r="AA3255">
        <f>IF(AND(Z3255=1,G3255&lt;Assumptions!$C$6),1,0)</f>
        <v/>
      </c>
      <c r="AB3255">
        <f>IF(U3255=0,"",IF(Y3255=1,MAX(0,Q3255-G3255),IF(L3255=1,MAX(0,R3255-G3255),MAX(0,Assumptions!$C$6-G3255))))</f>
        <v/>
      </c>
      <c r="AC3255">
        <f>IF(Y3255=1,Q3255-F3255,"")</f>
        <v/>
      </c>
      <c r="AD3255">
        <f>IF(Y3255=1,AC3255^2,"")</f>
        <v/>
      </c>
      <c r="AE3255" s="19">
        <f>IF(Z3255=1,(H3255-M3255)*I3255,0)</f>
        <v/>
      </c>
      <c r="AF3255">
        <f>IF(G3255&lt;EDATE(Assumptions!$C$6,-12)+1,"prior_12m","last_12m")</f>
        <v/>
      </c>
      <c r="AG3255" s="21">
        <f>DATE(YEAR(G3255),MONTH(G3255),1)</f>
        <v/>
      </c>
    </row>
    <row r="3256">
      <c r="A3256" t="inlineStr">
        <is>
          <t>SPO-01739-2</t>
        </is>
      </c>
      <c r="B3256" t="inlineStr">
        <is>
          <t>SPO-01739</t>
        </is>
      </c>
      <c r="C3256" t="inlineStr">
        <is>
          <t>SUP-12</t>
        </is>
      </c>
      <c r="D3256" t="inlineStr">
        <is>
          <t>IT</t>
        </is>
      </c>
      <c r="E3256" t="inlineStr">
        <is>
          <t>IT-04</t>
        </is>
      </c>
      <c r="F3256" s="17" t="n">
        <v>46052</v>
      </c>
      <c r="G3256" s="17" t="n">
        <v>46062</v>
      </c>
      <c r="H3256" s="18" t="n">
        <v>91</v>
      </c>
      <c r="I3256" s="19" t="n">
        <v>13.68</v>
      </c>
      <c r="J3256" s="19" t="n">
        <v>12</v>
      </c>
      <c r="K3256" s="20" t="n">
        <v>0</v>
      </c>
      <c r="L3256" s="20" t="n">
        <v>0</v>
      </c>
      <c r="M3256" s="18" t="n">
        <v>91</v>
      </c>
      <c r="N3256" s="18" t="n">
        <v>91</v>
      </c>
      <c r="O3256" s="18" t="n">
        <v>0</v>
      </c>
      <c r="P3256" s="17" t="n">
        <v>46060</v>
      </c>
      <c r="Q3256" s="17" t="n">
        <v>46060</v>
      </c>
      <c r="R3256" s="17" t="n">
        <v>46060</v>
      </c>
      <c r="S3256" s="19">
        <f>H3256*I3256</f>
        <v/>
      </c>
      <c r="T3256" s="19">
        <f>H3256*J3256</f>
        <v/>
      </c>
      <c r="U3256">
        <f>IF(AND(K3256=0,G3256&lt;=Assumptions!$C$6),1,0)</f>
        <v/>
      </c>
      <c r="V3256">
        <f>IF(U3256=1,IF(M3256&gt;0,IF(P3256&lt;=G3256+Assumptions!$C$7,1,0),0),0)</f>
        <v/>
      </c>
      <c r="W3256">
        <f>IF(AND(U3256=1,M3256&gt;=H3256*(1-Assumptions!$C$8)),1,0)</f>
        <v/>
      </c>
      <c r="X3256">
        <f>IF(AND(U3256=1,N3256&gt;=H3256*(1-Assumptions!$C$8)),1,0)</f>
        <v/>
      </c>
      <c r="Y3256">
        <f>IF(ISNUMBER(Q3256),1,0)</f>
        <v/>
      </c>
      <c r="Z3256">
        <f>IF(AND(K3256=0,L3256=0,Y3256=0),1,0)</f>
        <v/>
      </c>
      <c r="AA3256">
        <f>IF(AND(Z3256=1,G3256&lt;Assumptions!$C$6),1,0)</f>
        <v/>
      </c>
      <c r="AB3256">
        <f>IF(U3256=0,"",IF(Y3256=1,MAX(0,Q3256-G3256),IF(L3256=1,MAX(0,R3256-G3256),MAX(0,Assumptions!$C$6-G3256))))</f>
        <v/>
      </c>
      <c r="AC3256">
        <f>IF(Y3256=1,Q3256-F3256,"")</f>
        <v/>
      </c>
      <c r="AD3256">
        <f>IF(Y3256=1,AC3256^2,"")</f>
        <v/>
      </c>
      <c r="AE3256" s="19">
        <f>IF(Z3256=1,(H3256-M3256)*I3256,0)</f>
        <v/>
      </c>
      <c r="AF3256">
        <f>IF(G3256&lt;EDATE(Assumptions!$C$6,-12)+1,"prior_12m","last_12m")</f>
        <v/>
      </c>
      <c r="AG3256" s="21">
        <f>DATE(YEAR(G3256),MONTH(G3256),1)</f>
        <v/>
      </c>
    </row>
    <row r="3257">
      <c r="A3257" t="inlineStr">
        <is>
          <t>SPO-01740-1</t>
        </is>
      </c>
      <c r="B3257" t="inlineStr">
        <is>
          <t>SPO-01740</t>
        </is>
      </c>
      <c r="C3257" t="inlineStr">
        <is>
          <t>SUP-02</t>
        </is>
      </c>
      <c r="D3257" t="inlineStr">
        <is>
          <t>ELEC</t>
        </is>
      </c>
      <c r="E3257" t="inlineStr">
        <is>
          <t>ELEC-06</t>
        </is>
      </c>
      <c r="F3257" s="17" t="n">
        <v>46052</v>
      </c>
      <c r="G3257" s="17" t="n">
        <v>46068</v>
      </c>
      <c r="H3257" s="18" t="n">
        <v>10</v>
      </c>
      <c r="I3257" s="19" t="n">
        <v>136.14</v>
      </c>
      <c r="J3257" s="19" t="n">
        <v>145</v>
      </c>
      <c r="K3257" s="20" t="n">
        <v>0</v>
      </c>
      <c r="L3257" s="20" t="n">
        <v>0</v>
      </c>
      <c r="M3257" s="18" t="n">
        <v>10</v>
      </c>
      <c r="N3257" s="18" t="n">
        <v>10</v>
      </c>
      <c r="O3257" s="18" t="n">
        <v>0</v>
      </c>
      <c r="P3257" s="17" t="n">
        <v>46063</v>
      </c>
      <c r="Q3257" s="17" t="n">
        <v>46063</v>
      </c>
      <c r="R3257" s="17" t="n">
        <v>46063</v>
      </c>
      <c r="S3257" s="19">
        <f>H3257*I3257</f>
        <v/>
      </c>
      <c r="T3257" s="19">
        <f>H3257*J3257</f>
        <v/>
      </c>
      <c r="U3257">
        <f>IF(AND(K3257=0,G3257&lt;=Assumptions!$C$6),1,0)</f>
        <v/>
      </c>
      <c r="V3257">
        <f>IF(U3257=1,IF(M3257&gt;0,IF(P3257&lt;=G3257+Assumptions!$C$7,1,0),0),0)</f>
        <v/>
      </c>
      <c r="W3257">
        <f>IF(AND(U3257=1,M3257&gt;=H3257*(1-Assumptions!$C$8)),1,0)</f>
        <v/>
      </c>
      <c r="X3257">
        <f>IF(AND(U3257=1,N3257&gt;=H3257*(1-Assumptions!$C$8)),1,0)</f>
        <v/>
      </c>
      <c r="Y3257">
        <f>IF(ISNUMBER(Q3257),1,0)</f>
        <v/>
      </c>
      <c r="Z3257">
        <f>IF(AND(K3257=0,L3257=0,Y3257=0),1,0)</f>
        <v/>
      </c>
      <c r="AA3257">
        <f>IF(AND(Z3257=1,G3257&lt;Assumptions!$C$6),1,0)</f>
        <v/>
      </c>
      <c r="AB3257">
        <f>IF(U3257=0,"",IF(Y3257=1,MAX(0,Q3257-G3257),IF(L3257=1,MAX(0,R3257-G3257),MAX(0,Assumptions!$C$6-G3257))))</f>
        <v/>
      </c>
      <c r="AC3257">
        <f>IF(Y3257=1,Q3257-F3257,"")</f>
        <v/>
      </c>
      <c r="AD3257">
        <f>IF(Y3257=1,AC3257^2,"")</f>
        <v/>
      </c>
      <c r="AE3257" s="19">
        <f>IF(Z3257=1,(H3257-M3257)*I3257,0)</f>
        <v/>
      </c>
      <c r="AF3257">
        <f>IF(G3257&lt;EDATE(Assumptions!$C$6,-12)+1,"prior_12m","last_12m")</f>
        <v/>
      </c>
      <c r="AG3257" s="21">
        <f>DATE(YEAR(G3257),MONTH(G3257),1)</f>
        <v/>
      </c>
    </row>
    <row r="3258">
      <c r="A3258" t="inlineStr">
        <is>
          <t>SPO-01740-2</t>
        </is>
      </c>
      <c r="B3258" t="inlineStr">
        <is>
          <t>SPO-01740</t>
        </is>
      </c>
      <c r="C3258" t="inlineStr">
        <is>
          <t>SUP-02</t>
        </is>
      </c>
      <c r="D3258" t="inlineStr">
        <is>
          <t>ELEC</t>
        </is>
      </c>
      <c r="E3258" t="inlineStr">
        <is>
          <t>ELEC-05</t>
        </is>
      </c>
      <c r="F3258" s="17" t="n">
        <v>46052</v>
      </c>
      <c r="G3258" s="17" t="n">
        <v>46068</v>
      </c>
      <c r="H3258" s="18" t="n">
        <v>185</v>
      </c>
      <c r="I3258" s="19" t="n">
        <v>11.54</v>
      </c>
      <c r="J3258" s="19" t="n">
        <v>11.5</v>
      </c>
      <c r="K3258" s="20" t="n">
        <v>0</v>
      </c>
      <c r="L3258" s="20" t="n">
        <v>0</v>
      </c>
      <c r="M3258" s="18" t="n">
        <v>185</v>
      </c>
      <c r="N3258" s="18" t="n">
        <v>185</v>
      </c>
      <c r="O3258" s="18" t="n">
        <v>0</v>
      </c>
      <c r="P3258" s="17" t="n">
        <v>46062</v>
      </c>
      <c r="Q3258" s="17" t="n">
        <v>46062</v>
      </c>
      <c r="R3258" s="17" t="n">
        <v>46062</v>
      </c>
      <c r="S3258" s="19">
        <f>H3258*I3258</f>
        <v/>
      </c>
      <c r="T3258" s="19">
        <f>H3258*J3258</f>
        <v/>
      </c>
      <c r="U3258">
        <f>IF(AND(K3258=0,G3258&lt;=Assumptions!$C$6),1,0)</f>
        <v/>
      </c>
      <c r="V3258">
        <f>IF(U3258=1,IF(M3258&gt;0,IF(P3258&lt;=G3258+Assumptions!$C$7,1,0),0),0)</f>
        <v/>
      </c>
      <c r="W3258">
        <f>IF(AND(U3258=1,M3258&gt;=H3258*(1-Assumptions!$C$8)),1,0)</f>
        <v/>
      </c>
      <c r="X3258">
        <f>IF(AND(U3258=1,N3258&gt;=H3258*(1-Assumptions!$C$8)),1,0)</f>
        <v/>
      </c>
      <c r="Y3258">
        <f>IF(ISNUMBER(Q3258),1,0)</f>
        <v/>
      </c>
      <c r="Z3258">
        <f>IF(AND(K3258=0,L3258=0,Y3258=0),1,0)</f>
        <v/>
      </c>
      <c r="AA3258">
        <f>IF(AND(Z3258=1,G3258&lt;Assumptions!$C$6),1,0)</f>
        <v/>
      </c>
      <c r="AB3258">
        <f>IF(U3258=0,"",IF(Y3258=1,MAX(0,Q3258-G3258),IF(L3258=1,MAX(0,R3258-G3258),MAX(0,Assumptions!$C$6-G3258))))</f>
        <v/>
      </c>
      <c r="AC3258">
        <f>IF(Y3258=1,Q3258-F3258,"")</f>
        <v/>
      </c>
      <c r="AD3258">
        <f>IF(Y3258=1,AC3258^2,"")</f>
        <v/>
      </c>
      <c r="AE3258" s="19">
        <f>IF(Z3258=1,(H3258-M3258)*I3258,0)</f>
        <v/>
      </c>
      <c r="AF3258">
        <f>IF(G3258&lt;EDATE(Assumptions!$C$6,-12)+1,"prior_12m","last_12m")</f>
        <v/>
      </c>
      <c r="AG3258" s="21">
        <f>DATE(YEAR(G3258),MONTH(G3258),1)</f>
        <v/>
      </c>
    </row>
    <row r="3259">
      <c r="A3259" t="inlineStr">
        <is>
          <t>SPO-01741-1</t>
        </is>
      </c>
      <c r="B3259" t="inlineStr">
        <is>
          <t>SPO-01741</t>
        </is>
      </c>
      <c r="C3259" t="inlineStr">
        <is>
          <t>SUP-12</t>
        </is>
      </c>
      <c r="D3259" t="inlineStr">
        <is>
          <t>IT</t>
        </is>
      </c>
      <c r="E3259" t="inlineStr">
        <is>
          <t>IT-01</t>
        </is>
      </c>
      <c r="F3259" s="17" t="n">
        <v>46052</v>
      </c>
      <c r="G3259" s="17" t="n">
        <v>46062</v>
      </c>
      <c r="H3259" s="18" t="n">
        <v>5</v>
      </c>
      <c r="I3259" s="19" t="n">
        <v>207.02</v>
      </c>
      <c r="J3259" s="19" t="n">
        <v>189</v>
      </c>
      <c r="K3259" s="20" t="n">
        <v>0</v>
      </c>
      <c r="L3259" s="20" t="n">
        <v>0</v>
      </c>
      <c r="M3259" s="18" t="n">
        <v>5</v>
      </c>
      <c r="N3259" s="18" t="n">
        <v>5</v>
      </c>
      <c r="O3259" s="18" t="n">
        <v>0</v>
      </c>
      <c r="P3259" s="17" t="n">
        <v>46058</v>
      </c>
      <c r="Q3259" s="17" t="n">
        <v>46058</v>
      </c>
      <c r="R3259" s="17" t="n">
        <v>46058</v>
      </c>
      <c r="S3259" s="19">
        <f>H3259*I3259</f>
        <v/>
      </c>
      <c r="T3259" s="19">
        <f>H3259*J3259</f>
        <v/>
      </c>
      <c r="U3259">
        <f>IF(AND(K3259=0,G3259&lt;=Assumptions!$C$6),1,0)</f>
        <v/>
      </c>
      <c r="V3259">
        <f>IF(U3259=1,IF(M3259&gt;0,IF(P3259&lt;=G3259+Assumptions!$C$7,1,0),0),0)</f>
        <v/>
      </c>
      <c r="W3259">
        <f>IF(AND(U3259=1,M3259&gt;=H3259*(1-Assumptions!$C$8)),1,0)</f>
        <v/>
      </c>
      <c r="X3259">
        <f>IF(AND(U3259=1,N3259&gt;=H3259*(1-Assumptions!$C$8)),1,0)</f>
        <v/>
      </c>
      <c r="Y3259">
        <f>IF(ISNUMBER(Q3259),1,0)</f>
        <v/>
      </c>
      <c r="Z3259">
        <f>IF(AND(K3259=0,L3259=0,Y3259=0),1,0)</f>
        <v/>
      </c>
      <c r="AA3259">
        <f>IF(AND(Z3259=1,G3259&lt;Assumptions!$C$6),1,0)</f>
        <v/>
      </c>
      <c r="AB3259">
        <f>IF(U3259=0,"",IF(Y3259=1,MAX(0,Q3259-G3259),IF(L3259=1,MAX(0,R3259-G3259),MAX(0,Assumptions!$C$6-G3259))))</f>
        <v/>
      </c>
      <c r="AC3259">
        <f>IF(Y3259=1,Q3259-F3259,"")</f>
        <v/>
      </c>
      <c r="AD3259">
        <f>IF(Y3259=1,AC3259^2,"")</f>
        <v/>
      </c>
      <c r="AE3259" s="19">
        <f>IF(Z3259=1,(H3259-M3259)*I3259,0)</f>
        <v/>
      </c>
      <c r="AF3259">
        <f>IF(G3259&lt;EDATE(Assumptions!$C$6,-12)+1,"prior_12m","last_12m")</f>
        <v/>
      </c>
      <c r="AG3259" s="21">
        <f>DATE(YEAR(G3259),MONTH(G3259),1)</f>
        <v/>
      </c>
    </row>
    <row r="3260">
      <c r="A3260" t="inlineStr">
        <is>
          <t>SPO-01742-1</t>
        </is>
      </c>
      <c r="B3260" t="inlineStr">
        <is>
          <t>SPO-01742</t>
        </is>
      </c>
      <c r="C3260" t="inlineStr">
        <is>
          <t>SUP-05</t>
        </is>
      </c>
      <c r="D3260" t="inlineStr">
        <is>
          <t>FLEET</t>
        </is>
      </c>
      <c r="E3260" t="inlineStr">
        <is>
          <t>FLEET-08</t>
        </is>
      </c>
      <c r="F3260" s="17" t="n">
        <v>46052</v>
      </c>
      <c r="G3260" s="17" t="n">
        <v>46066</v>
      </c>
      <c r="H3260" s="18" t="n">
        <v>277</v>
      </c>
      <c r="I3260" s="19" t="n">
        <v>6.44</v>
      </c>
      <c r="J3260" s="19" t="n">
        <v>6.4</v>
      </c>
      <c r="K3260" s="20" t="n">
        <v>0</v>
      </c>
      <c r="L3260" s="20" t="n">
        <v>0</v>
      </c>
      <c r="M3260" s="18" t="n">
        <v>277</v>
      </c>
      <c r="N3260" s="18" t="n">
        <v>277</v>
      </c>
      <c r="O3260" s="18" t="n">
        <v>0</v>
      </c>
      <c r="P3260" s="17" t="n">
        <v>46062</v>
      </c>
      <c r="Q3260" s="17" t="n">
        <v>46062</v>
      </c>
      <c r="R3260" s="17" t="n">
        <v>46062</v>
      </c>
      <c r="S3260" s="19">
        <f>H3260*I3260</f>
        <v/>
      </c>
      <c r="T3260" s="19">
        <f>H3260*J3260</f>
        <v/>
      </c>
      <c r="U3260">
        <f>IF(AND(K3260=0,G3260&lt;=Assumptions!$C$6),1,0)</f>
        <v/>
      </c>
      <c r="V3260">
        <f>IF(U3260=1,IF(M3260&gt;0,IF(P3260&lt;=G3260+Assumptions!$C$7,1,0),0),0)</f>
        <v/>
      </c>
      <c r="W3260">
        <f>IF(AND(U3260=1,M3260&gt;=H3260*(1-Assumptions!$C$8)),1,0)</f>
        <v/>
      </c>
      <c r="X3260">
        <f>IF(AND(U3260=1,N3260&gt;=H3260*(1-Assumptions!$C$8)),1,0)</f>
        <v/>
      </c>
      <c r="Y3260">
        <f>IF(ISNUMBER(Q3260),1,0)</f>
        <v/>
      </c>
      <c r="Z3260">
        <f>IF(AND(K3260=0,L3260=0,Y3260=0),1,0)</f>
        <v/>
      </c>
      <c r="AA3260">
        <f>IF(AND(Z3260=1,G3260&lt;Assumptions!$C$6),1,0)</f>
        <v/>
      </c>
      <c r="AB3260">
        <f>IF(U3260=0,"",IF(Y3260=1,MAX(0,Q3260-G3260),IF(L3260=1,MAX(0,R3260-G3260),MAX(0,Assumptions!$C$6-G3260))))</f>
        <v/>
      </c>
      <c r="AC3260">
        <f>IF(Y3260=1,Q3260-F3260,"")</f>
        <v/>
      </c>
      <c r="AD3260">
        <f>IF(Y3260=1,AC3260^2,"")</f>
        <v/>
      </c>
      <c r="AE3260" s="19">
        <f>IF(Z3260=1,(H3260-M3260)*I3260,0)</f>
        <v/>
      </c>
      <c r="AF3260">
        <f>IF(G3260&lt;EDATE(Assumptions!$C$6,-12)+1,"prior_12m","last_12m")</f>
        <v/>
      </c>
      <c r="AG3260" s="21">
        <f>DATE(YEAR(G3260),MONTH(G3260),1)</f>
        <v/>
      </c>
    </row>
    <row r="3261">
      <c r="A3261" t="inlineStr">
        <is>
          <t>SPO-01742-2</t>
        </is>
      </c>
      <c r="B3261" t="inlineStr">
        <is>
          <t>SPO-01742</t>
        </is>
      </c>
      <c r="C3261" t="inlineStr">
        <is>
          <t>SUP-05</t>
        </is>
      </c>
      <c r="D3261" t="inlineStr">
        <is>
          <t>FLEET</t>
        </is>
      </c>
      <c r="E3261" t="inlineStr">
        <is>
          <t>FLEET-03</t>
        </is>
      </c>
      <c r="F3261" s="17" t="n">
        <v>46052</v>
      </c>
      <c r="G3261" s="17" t="n">
        <v>46066</v>
      </c>
      <c r="H3261" s="18" t="n">
        <v>76</v>
      </c>
      <c r="I3261" s="19" t="n">
        <v>21.33</v>
      </c>
      <c r="J3261" s="19" t="n">
        <v>21</v>
      </c>
      <c r="K3261" s="20" t="n">
        <v>0</v>
      </c>
      <c r="L3261" s="20" t="n">
        <v>0</v>
      </c>
      <c r="M3261" s="18" t="n">
        <v>76</v>
      </c>
      <c r="N3261" s="18" t="n">
        <v>76</v>
      </c>
      <c r="O3261" s="18" t="n">
        <v>0</v>
      </c>
      <c r="P3261" s="17" t="n">
        <v>46059</v>
      </c>
      <c r="Q3261" s="17" t="n">
        <v>46059</v>
      </c>
      <c r="R3261" s="17" t="n">
        <v>46059</v>
      </c>
      <c r="S3261" s="19">
        <f>H3261*I3261</f>
        <v/>
      </c>
      <c r="T3261" s="19">
        <f>H3261*J3261</f>
        <v/>
      </c>
      <c r="U3261">
        <f>IF(AND(K3261=0,G3261&lt;=Assumptions!$C$6),1,0)</f>
        <v/>
      </c>
      <c r="V3261">
        <f>IF(U3261=1,IF(M3261&gt;0,IF(P3261&lt;=G3261+Assumptions!$C$7,1,0),0),0)</f>
        <v/>
      </c>
      <c r="W3261">
        <f>IF(AND(U3261=1,M3261&gt;=H3261*(1-Assumptions!$C$8)),1,0)</f>
        <v/>
      </c>
      <c r="X3261">
        <f>IF(AND(U3261=1,N3261&gt;=H3261*(1-Assumptions!$C$8)),1,0)</f>
        <v/>
      </c>
      <c r="Y3261">
        <f>IF(ISNUMBER(Q3261),1,0)</f>
        <v/>
      </c>
      <c r="Z3261">
        <f>IF(AND(K3261=0,L3261=0,Y3261=0),1,0)</f>
        <v/>
      </c>
      <c r="AA3261">
        <f>IF(AND(Z3261=1,G3261&lt;Assumptions!$C$6),1,0)</f>
        <v/>
      </c>
      <c r="AB3261">
        <f>IF(U3261=0,"",IF(Y3261=1,MAX(0,Q3261-G3261),IF(L3261=1,MAX(0,R3261-G3261),MAX(0,Assumptions!$C$6-G3261))))</f>
        <v/>
      </c>
      <c r="AC3261">
        <f>IF(Y3261=1,Q3261-F3261,"")</f>
        <v/>
      </c>
      <c r="AD3261">
        <f>IF(Y3261=1,AC3261^2,"")</f>
        <v/>
      </c>
      <c r="AE3261" s="19">
        <f>IF(Z3261=1,(H3261-M3261)*I3261,0)</f>
        <v/>
      </c>
      <c r="AF3261">
        <f>IF(G3261&lt;EDATE(Assumptions!$C$6,-12)+1,"prior_12m","last_12m")</f>
        <v/>
      </c>
      <c r="AG3261" s="21">
        <f>DATE(YEAR(G3261),MONTH(G3261),1)</f>
        <v/>
      </c>
    </row>
    <row r="3262">
      <c r="A3262" t="inlineStr">
        <is>
          <t>SPO-01742-3</t>
        </is>
      </c>
      <c r="B3262" t="inlineStr">
        <is>
          <t>SPO-01742</t>
        </is>
      </c>
      <c r="C3262" t="inlineStr">
        <is>
          <t>SUP-05</t>
        </is>
      </c>
      <c r="D3262" t="inlineStr">
        <is>
          <t>FLEET</t>
        </is>
      </c>
      <c r="E3262" t="inlineStr">
        <is>
          <t>FLEET-01</t>
        </is>
      </c>
      <c r="F3262" s="17" t="n">
        <v>46052</v>
      </c>
      <c r="G3262" s="17" t="n">
        <v>46066</v>
      </c>
      <c r="H3262" s="18" t="n">
        <v>20</v>
      </c>
      <c r="I3262" s="19" t="n">
        <v>63.54</v>
      </c>
      <c r="J3262" s="19" t="n">
        <v>64</v>
      </c>
      <c r="K3262" s="20" t="n">
        <v>0</v>
      </c>
      <c r="L3262" s="20" t="n">
        <v>0</v>
      </c>
      <c r="M3262" s="18" t="n">
        <v>20</v>
      </c>
      <c r="N3262" s="18" t="n">
        <v>0</v>
      </c>
      <c r="O3262" s="18" t="n">
        <v>0</v>
      </c>
      <c r="P3262" s="17" t="n">
        <v>46067</v>
      </c>
      <c r="Q3262" s="17" t="n">
        <v>46067</v>
      </c>
      <c r="R3262" s="17" t="n">
        <v>46067</v>
      </c>
      <c r="S3262" s="19">
        <f>H3262*I3262</f>
        <v/>
      </c>
      <c r="T3262" s="19">
        <f>H3262*J3262</f>
        <v/>
      </c>
      <c r="U3262">
        <f>IF(AND(K3262=0,G3262&lt;=Assumptions!$C$6),1,0)</f>
        <v/>
      </c>
      <c r="V3262">
        <f>IF(U3262=1,IF(M3262&gt;0,IF(P3262&lt;=G3262+Assumptions!$C$7,1,0),0),0)</f>
        <v/>
      </c>
      <c r="W3262">
        <f>IF(AND(U3262=1,M3262&gt;=H3262*(1-Assumptions!$C$8)),1,0)</f>
        <v/>
      </c>
      <c r="X3262">
        <f>IF(AND(U3262=1,N3262&gt;=H3262*(1-Assumptions!$C$8)),1,0)</f>
        <v/>
      </c>
      <c r="Y3262">
        <f>IF(ISNUMBER(Q3262),1,0)</f>
        <v/>
      </c>
      <c r="Z3262">
        <f>IF(AND(K3262=0,L3262=0,Y3262=0),1,0)</f>
        <v/>
      </c>
      <c r="AA3262">
        <f>IF(AND(Z3262=1,G3262&lt;Assumptions!$C$6),1,0)</f>
        <v/>
      </c>
      <c r="AB3262">
        <f>IF(U3262=0,"",IF(Y3262=1,MAX(0,Q3262-G3262),IF(L3262=1,MAX(0,R3262-G3262),MAX(0,Assumptions!$C$6-G3262))))</f>
        <v/>
      </c>
      <c r="AC3262">
        <f>IF(Y3262=1,Q3262-F3262,"")</f>
        <v/>
      </c>
      <c r="AD3262">
        <f>IF(Y3262=1,AC3262^2,"")</f>
        <v/>
      </c>
      <c r="AE3262" s="19">
        <f>IF(Z3262=1,(H3262-M3262)*I3262,0)</f>
        <v/>
      </c>
      <c r="AF3262">
        <f>IF(G3262&lt;EDATE(Assumptions!$C$6,-12)+1,"prior_12m","last_12m")</f>
        <v/>
      </c>
      <c r="AG3262" s="21">
        <f>DATE(YEAR(G3262),MONTH(G3262),1)</f>
        <v/>
      </c>
    </row>
    <row r="3263">
      <c r="A3263" t="inlineStr">
        <is>
          <t>SPO-01743-1</t>
        </is>
      </c>
      <c r="B3263" t="inlineStr">
        <is>
          <t>SPO-01743</t>
        </is>
      </c>
      <c r="C3263" t="inlineStr">
        <is>
          <t>SUP-01</t>
        </is>
      </c>
      <c r="D3263" t="inlineStr">
        <is>
          <t>ELEC</t>
        </is>
      </c>
      <c r="E3263" t="inlineStr">
        <is>
          <t>ELEC-06</t>
        </is>
      </c>
      <c r="F3263" s="17" t="n">
        <v>46052</v>
      </c>
      <c r="G3263" s="17" t="n">
        <v>46070</v>
      </c>
      <c r="H3263" s="18" t="n">
        <v>17</v>
      </c>
      <c r="I3263" s="19" t="n">
        <v>152.05</v>
      </c>
      <c r="J3263" s="19" t="n">
        <v>145</v>
      </c>
      <c r="K3263" s="20" t="n">
        <v>0</v>
      </c>
      <c r="L3263" s="20" t="n">
        <v>0</v>
      </c>
      <c r="M3263" s="18" t="n">
        <v>17</v>
      </c>
      <c r="N3263" s="18" t="n">
        <v>0</v>
      </c>
      <c r="O3263" s="18" t="n">
        <v>0</v>
      </c>
      <c r="P3263" s="17" t="n">
        <v>46072</v>
      </c>
      <c r="Q3263" s="17" t="n">
        <v>46072</v>
      </c>
      <c r="R3263" s="17" t="n">
        <v>46072</v>
      </c>
      <c r="S3263" s="19">
        <f>H3263*I3263</f>
        <v/>
      </c>
      <c r="T3263" s="19">
        <f>H3263*J3263</f>
        <v/>
      </c>
      <c r="U3263">
        <f>IF(AND(K3263=0,G3263&lt;=Assumptions!$C$6),1,0)</f>
        <v/>
      </c>
      <c r="V3263">
        <f>IF(U3263=1,IF(M3263&gt;0,IF(P3263&lt;=G3263+Assumptions!$C$7,1,0),0),0)</f>
        <v/>
      </c>
      <c r="W3263">
        <f>IF(AND(U3263=1,M3263&gt;=H3263*(1-Assumptions!$C$8)),1,0)</f>
        <v/>
      </c>
      <c r="X3263">
        <f>IF(AND(U3263=1,N3263&gt;=H3263*(1-Assumptions!$C$8)),1,0)</f>
        <v/>
      </c>
      <c r="Y3263">
        <f>IF(ISNUMBER(Q3263),1,0)</f>
        <v/>
      </c>
      <c r="Z3263">
        <f>IF(AND(K3263=0,L3263=0,Y3263=0),1,0)</f>
        <v/>
      </c>
      <c r="AA3263">
        <f>IF(AND(Z3263=1,G3263&lt;Assumptions!$C$6),1,0)</f>
        <v/>
      </c>
      <c r="AB3263">
        <f>IF(U3263=0,"",IF(Y3263=1,MAX(0,Q3263-G3263),IF(L3263=1,MAX(0,R3263-G3263),MAX(0,Assumptions!$C$6-G3263))))</f>
        <v/>
      </c>
      <c r="AC3263">
        <f>IF(Y3263=1,Q3263-F3263,"")</f>
        <v/>
      </c>
      <c r="AD3263">
        <f>IF(Y3263=1,AC3263^2,"")</f>
        <v/>
      </c>
      <c r="AE3263" s="19">
        <f>IF(Z3263=1,(H3263-M3263)*I3263,0)</f>
        <v/>
      </c>
      <c r="AF3263">
        <f>IF(G3263&lt;EDATE(Assumptions!$C$6,-12)+1,"prior_12m","last_12m")</f>
        <v/>
      </c>
      <c r="AG3263" s="21">
        <f>DATE(YEAR(G3263),MONTH(G3263),1)</f>
        <v/>
      </c>
    </row>
    <row r="3264">
      <c r="A3264" t="inlineStr">
        <is>
          <t>SPO-01743-2</t>
        </is>
      </c>
      <c r="B3264" t="inlineStr">
        <is>
          <t>SPO-01743</t>
        </is>
      </c>
      <c r="C3264" t="inlineStr">
        <is>
          <t>SUP-01</t>
        </is>
      </c>
      <c r="D3264" t="inlineStr">
        <is>
          <t>ELEC</t>
        </is>
      </c>
      <c r="E3264" t="inlineStr">
        <is>
          <t>ELEC-07</t>
        </is>
      </c>
      <c r="F3264" s="17" t="n">
        <v>46052</v>
      </c>
      <c r="G3264" s="17" t="n">
        <v>46070</v>
      </c>
      <c r="H3264" s="18" t="n">
        <v>309</v>
      </c>
      <c r="I3264" s="19" t="n">
        <v>9.550000000000001</v>
      </c>
      <c r="J3264" s="19" t="n">
        <v>9.800000000000001</v>
      </c>
      <c r="K3264" s="20" t="n">
        <v>0</v>
      </c>
      <c r="L3264" s="20" t="n">
        <v>0</v>
      </c>
      <c r="M3264" s="18" t="n">
        <v>309</v>
      </c>
      <c r="N3264" s="18" t="n">
        <v>309</v>
      </c>
      <c r="O3264" s="18" t="n">
        <v>0</v>
      </c>
      <c r="P3264" s="17" t="n">
        <v>46065</v>
      </c>
      <c r="Q3264" s="17" t="n">
        <v>46065</v>
      </c>
      <c r="R3264" s="17" t="n">
        <v>46065</v>
      </c>
      <c r="S3264" s="19">
        <f>H3264*I3264</f>
        <v/>
      </c>
      <c r="T3264" s="19">
        <f>H3264*J3264</f>
        <v/>
      </c>
      <c r="U3264">
        <f>IF(AND(K3264=0,G3264&lt;=Assumptions!$C$6),1,0)</f>
        <v/>
      </c>
      <c r="V3264">
        <f>IF(U3264=1,IF(M3264&gt;0,IF(P3264&lt;=G3264+Assumptions!$C$7,1,0),0),0)</f>
        <v/>
      </c>
      <c r="W3264">
        <f>IF(AND(U3264=1,M3264&gt;=H3264*(1-Assumptions!$C$8)),1,0)</f>
        <v/>
      </c>
      <c r="X3264">
        <f>IF(AND(U3264=1,N3264&gt;=H3264*(1-Assumptions!$C$8)),1,0)</f>
        <v/>
      </c>
      <c r="Y3264">
        <f>IF(ISNUMBER(Q3264),1,0)</f>
        <v/>
      </c>
      <c r="Z3264">
        <f>IF(AND(K3264=0,L3264=0,Y3264=0),1,0)</f>
        <v/>
      </c>
      <c r="AA3264">
        <f>IF(AND(Z3264=1,G3264&lt;Assumptions!$C$6),1,0)</f>
        <v/>
      </c>
      <c r="AB3264">
        <f>IF(U3264=0,"",IF(Y3264=1,MAX(0,Q3264-G3264),IF(L3264=1,MAX(0,R3264-G3264),MAX(0,Assumptions!$C$6-G3264))))</f>
        <v/>
      </c>
      <c r="AC3264">
        <f>IF(Y3264=1,Q3264-F3264,"")</f>
        <v/>
      </c>
      <c r="AD3264">
        <f>IF(Y3264=1,AC3264^2,"")</f>
        <v/>
      </c>
      <c r="AE3264" s="19">
        <f>IF(Z3264=1,(H3264-M3264)*I3264,0)</f>
        <v/>
      </c>
      <c r="AF3264">
        <f>IF(G3264&lt;EDATE(Assumptions!$C$6,-12)+1,"prior_12m","last_12m")</f>
        <v/>
      </c>
      <c r="AG3264" s="21">
        <f>DATE(YEAR(G3264),MONTH(G3264),1)</f>
        <v/>
      </c>
    </row>
    <row r="3265">
      <c r="A3265" t="inlineStr">
        <is>
          <t>SPO-01744-1</t>
        </is>
      </c>
      <c r="B3265" t="inlineStr">
        <is>
          <t>SPO-01744</t>
        </is>
      </c>
      <c r="C3265" t="inlineStr">
        <is>
          <t>SUP-01</t>
        </is>
      </c>
      <c r="D3265" t="inlineStr">
        <is>
          <t>ELEC</t>
        </is>
      </c>
      <c r="E3265" t="inlineStr">
        <is>
          <t>ELEC-08</t>
        </is>
      </c>
      <c r="F3265" s="17" t="n">
        <v>46052</v>
      </c>
      <c r="G3265" s="17" t="n">
        <v>46070</v>
      </c>
      <c r="H3265" s="18" t="n">
        <v>166</v>
      </c>
      <c r="I3265" s="19" t="n">
        <v>18.33</v>
      </c>
      <c r="J3265" s="19" t="n">
        <v>18</v>
      </c>
      <c r="K3265" s="20" t="n">
        <v>0</v>
      </c>
      <c r="L3265" s="20" t="n">
        <v>0</v>
      </c>
      <c r="M3265" s="18" t="n">
        <v>166</v>
      </c>
      <c r="N3265" s="18" t="n">
        <v>166</v>
      </c>
      <c r="O3265" s="18" t="n">
        <v>0</v>
      </c>
      <c r="P3265" s="17" t="n">
        <v>46067</v>
      </c>
      <c r="Q3265" s="17" t="n">
        <v>46067</v>
      </c>
      <c r="R3265" s="17" t="n">
        <v>46067</v>
      </c>
      <c r="S3265" s="19">
        <f>H3265*I3265</f>
        <v/>
      </c>
      <c r="T3265" s="19">
        <f>H3265*J3265</f>
        <v/>
      </c>
      <c r="U3265">
        <f>IF(AND(K3265=0,G3265&lt;=Assumptions!$C$6),1,0)</f>
        <v/>
      </c>
      <c r="V3265">
        <f>IF(U3265=1,IF(M3265&gt;0,IF(P3265&lt;=G3265+Assumptions!$C$7,1,0),0),0)</f>
        <v/>
      </c>
      <c r="W3265">
        <f>IF(AND(U3265=1,M3265&gt;=H3265*(1-Assumptions!$C$8)),1,0)</f>
        <v/>
      </c>
      <c r="X3265">
        <f>IF(AND(U3265=1,N3265&gt;=H3265*(1-Assumptions!$C$8)),1,0)</f>
        <v/>
      </c>
      <c r="Y3265">
        <f>IF(ISNUMBER(Q3265),1,0)</f>
        <v/>
      </c>
      <c r="Z3265">
        <f>IF(AND(K3265=0,L3265=0,Y3265=0),1,0)</f>
        <v/>
      </c>
      <c r="AA3265">
        <f>IF(AND(Z3265=1,G3265&lt;Assumptions!$C$6),1,0)</f>
        <v/>
      </c>
      <c r="AB3265">
        <f>IF(U3265=0,"",IF(Y3265=1,MAX(0,Q3265-G3265),IF(L3265=1,MAX(0,R3265-G3265),MAX(0,Assumptions!$C$6-G3265))))</f>
        <v/>
      </c>
      <c r="AC3265">
        <f>IF(Y3265=1,Q3265-F3265,"")</f>
        <v/>
      </c>
      <c r="AD3265">
        <f>IF(Y3265=1,AC3265^2,"")</f>
        <v/>
      </c>
      <c r="AE3265" s="19">
        <f>IF(Z3265=1,(H3265-M3265)*I3265,0)</f>
        <v/>
      </c>
      <c r="AF3265">
        <f>IF(G3265&lt;EDATE(Assumptions!$C$6,-12)+1,"prior_12m","last_12m")</f>
        <v/>
      </c>
      <c r="AG3265" s="21">
        <f>DATE(YEAR(G3265),MONTH(G3265),1)</f>
        <v/>
      </c>
    </row>
    <row r="3266">
      <c r="A3266" t="inlineStr">
        <is>
          <t>SPO-01745-1</t>
        </is>
      </c>
      <c r="B3266" t="inlineStr">
        <is>
          <t>SPO-01745</t>
        </is>
      </c>
      <c r="C3266" t="inlineStr">
        <is>
          <t>SUP-12</t>
        </is>
      </c>
      <c r="D3266" t="inlineStr">
        <is>
          <t>IT</t>
        </is>
      </c>
      <c r="E3266" t="inlineStr">
        <is>
          <t>IT-04</t>
        </is>
      </c>
      <c r="F3266" s="17" t="n">
        <v>46052</v>
      </c>
      <c r="G3266" s="17" t="n">
        <v>46062</v>
      </c>
      <c r="H3266" s="18" t="n">
        <v>104</v>
      </c>
      <c r="I3266" s="19" t="n">
        <v>13.26</v>
      </c>
      <c r="J3266" s="19" t="n">
        <v>12</v>
      </c>
      <c r="K3266" s="20" t="n">
        <v>0</v>
      </c>
      <c r="L3266" s="20" t="n">
        <v>0</v>
      </c>
      <c r="M3266" s="18" t="n">
        <v>104</v>
      </c>
      <c r="N3266" s="18" t="n">
        <v>104</v>
      </c>
      <c r="O3266" s="18" t="n">
        <v>0</v>
      </c>
      <c r="P3266" s="17" t="n">
        <v>46062</v>
      </c>
      <c r="Q3266" s="17" t="n">
        <v>46062</v>
      </c>
      <c r="R3266" s="17" t="n">
        <v>46062</v>
      </c>
      <c r="S3266" s="19">
        <f>H3266*I3266</f>
        <v/>
      </c>
      <c r="T3266" s="19">
        <f>H3266*J3266</f>
        <v/>
      </c>
      <c r="U3266">
        <f>IF(AND(K3266=0,G3266&lt;=Assumptions!$C$6),1,0)</f>
        <v/>
      </c>
      <c r="V3266">
        <f>IF(U3266=1,IF(M3266&gt;0,IF(P3266&lt;=G3266+Assumptions!$C$7,1,0),0),0)</f>
        <v/>
      </c>
      <c r="W3266">
        <f>IF(AND(U3266=1,M3266&gt;=H3266*(1-Assumptions!$C$8)),1,0)</f>
        <v/>
      </c>
      <c r="X3266">
        <f>IF(AND(U3266=1,N3266&gt;=H3266*(1-Assumptions!$C$8)),1,0)</f>
        <v/>
      </c>
      <c r="Y3266">
        <f>IF(ISNUMBER(Q3266),1,0)</f>
        <v/>
      </c>
      <c r="Z3266">
        <f>IF(AND(K3266=0,L3266=0,Y3266=0),1,0)</f>
        <v/>
      </c>
      <c r="AA3266">
        <f>IF(AND(Z3266=1,G3266&lt;Assumptions!$C$6),1,0)</f>
        <v/>
      </c>
      <c r="AB3266">
        <f>IF(U3266=0,"",IF(Y3266=1,MAX(0,Q3266-G3266),IF(L3266=1,MAX(0,R3266-G3266),MAX(0,Assumptions!$C$6-G3266))))</f>
        <v/>
      </c>
      <c r="AC3266">
        <f>IF(Y3266=1,Q3266-F3266,"")</f>
        <v/>
      </c>
      <c r="AD3266">
        <f>IF(Y3266=1,AC3266^2,"")</f>
        <v/>
      </c>
      <c r="AE3266" s="19">
        <f>IF(Z3266=1,(H3266-M3266)*I3266,0)</f>
        <v/>
      </c>
      <c r="AF3266">
        <f>IF(G3266&lt;EDATE(Assumptions!$C$6,-12)+1,"prior_12m","last_12m")</f>
        <v/>
      </c>
      <c r="AG3266" s="21">
        <f>DATE(YEAR(G3266),MONTH(G3266),1)</f>
        <v/>
      </c>
    </row>
    <row r="3267">
      <c r="A3267" t="inlineStr">
        <is>
          <t>SPO-01745-2</t>
        </is>
      </c>
      <c r="B3267" t="inlineStr">
        <is>
          <t>SPO-01745</t>
        </is>
      </c>
      <c r="C3267" t="inlineStr">
        <is>
          <t>SUP-12</t>
        </is>
      </c>
      <c r="D3267" t="inlineStr">
        <is>
          <t>IT</t>
        </is>
      </c>
      <c r="E3267" t="inlineStr">
        <is>
          <t>IT-05</t>
        </is>
      </c>
      <c r="F3267" s="17" t="n">
        <v>46052</v>
      </c>
      <c r="G3267" s="17" t="n">
        <v>46062</v>
      </c>
      <c r="H3267" s="18" t="n">
        <v>2</v>
      </c>
      <c r="I3267" s="19" t="n">
        <v>726.03</v>
      </c>
      <c r="J3267" s="19" t="n">
        <v>640</v>
      </c>
      <c r="K3267" s="20" t="n">
        <v>0</v>
      </c>
      <c r="L3267" s="20" t="n">
        <v>0</v>
      </c>
      <c r="M3267" s="18" t="n">
        <v>2</v>
      </c>
      <c r="N3267" s="18" t="n">
        <v>2</v>
      </c>
      <c r="O3267" s="18" t="n">
        <v>0</v>
      </c>
      <c r="P3267" s="17" t="n">
        <v>46058</v>
      </c>
      <c r="Q3267" s="17" t="n">
        <v>46058</v>
      </c>
      <c r="R3267" s="17" t="n">
        <v>46058</v>
      </c>
      <c r="S3267" s="19">
        <f>H3267*I3267</f>
        <v/>
      </c>
      <c r="T3267" s="19">
        <f>H3267*J3267</f>
        <v/>
      </c>
      <c r="U3267">
        <f>IF(AND(K3267=0,G3267&lt;=Assumptions!$C$6),1,0)</f>
        <v/>
      </c>
      <c r="V3267">
        <f>IF(U3267=1,IF(M3267&gt;0,IF(P3267&lt;=G3267+Assumptions!$C$7,1,0),0),0)</f>
        <v/>
      </c>
      <c r="W3267">
        <f>IF(AND(U3267=1,M3267&gt;=H3267*(1-Assumptions!$C$8)),1,0)</f>
        <v/>
      </c>
      <c r="X3267">
        <f>IF(AND(U3267=1,N3267&gt;=H3267*(1-Assumptions!$C$8)),1,0)</f>
        <v/>
      </c>
      <c r="Y3267">
        <f>IF(ISNUMBER(Q3267),1,0)</f>
        <v/>
      </c>
      <c r="Z3267">
        <f>IF(AND(K3267=0,L3267=0,Y3267=0),1,0)</f>
        <v/>
      </c>
      <c r="AA3267">
        <f>IF(AND(Z3267=1,G3267&lt;Assumptions!$C$6),1,0)</f>
        <v/>
      </c>
      <c r="AB3267">
        <f>IF(U3267=0,"",IF(Y3267=1,MAX(0,Q3267-G3267),IF(L3267=1,MAX(0,R3267-G3267),MAX(0,Assumptions!$C$6-G3267))))</f>
        <v/>
      </c>
      <c r="AC3267">
        <f>IF(Y3267=1,Q3267-F3267,"")</f>
        <v/>
      </c>
      <c r="AD3267">
        <f>IF(Y3267=1,AC3267^2,"")</f>
        <v/>
      </c>
      <c r="AE3267" s="19">
        <f>IF(Z3267=1,(H3267-M3267)*I3267,0)</f>
        <v/>
      </c>
      <c r="AF3267">
        <f>IF(G3267&lt;EDATE(Assumptions!$C$6,-12)+1,"prior_12m","last_12m")</f>
        <v/>
      </c>
      <c r="AG3267" s="21">
        <f>DATE(YEAR(G3267),MONTH(G3267),1)</f>
        <v/>
      </c>
    </row>
    <row r="3268">
      <c r="A3268" t="inlineStr">
        <is>
          <t>SPO-01746-1</t>
        </is>
      </c>
      <c r="B3268" t="inlineStr">
        <is>
          <t>SPO-01746</t>
        </is>
      </c>
      <c r="C3268" t="inlineStr">
        <is>
          <t>SUP-01</t>
        </is>
      </c>
      <c r="D3268" t="inlineStr">
        <is>
          <t>ELEC</t>
        </is>
      </c>
      <c r="E3268" t="inlineStr">
        <is>
          <t>ELEC-03</t>
        </is>
      </c>
      <c r="F3268" s="17" t="n">
        <v>46052</v>
      </c>
      <c r="G3268" s="17" t="n">
        <v>46070</v>
      </c>
      <c r="H3268" s="18" t="n">
        <v>28</v>
      </c>
      <c r="I3268" s="19" t="n">
        <v>100.37</v>
      </c>
      <c r="J3268" s="19" t="n">
        <v>96</v>
      </c>
      <c r="K3268" s="20" t="n">
        <v>0</v>
      </c>
      <c r="L3268" s="20" t="n">
        <v>0</v>
      </c>
      <c r="M3268" s="18" t="n">
        <v>28</v>
      </c>
      <c r="N3268" s="18" t="n">
        <v>28</v>
      </c>
      <c r="O3268" s="18" t="n">
        <v>0</v>
      </c>
      <c r="P3268" s="17" t="n">
        <v>46068</v>
      </c>
      <c r="Q3268" s="17" t="n">
        <v>46068</v>
      </c>
      <c r="R3268" s="17" t="n">
        <v>46068</v>
      </c>
      <c r="S3268" s="19">
        <f>H3268*I3268</f>
        <v/>
      </c>
      <c r="T3268" s="19">
        <f>H3268*J3268</f>
        <v/>
      </c>
      <c r="U3268">
        <f>IF(AND(K3268=0,G3268&lt;=Assumptions!$C$6),1,0)</f>
        <v/>
      </c>
      <c r="V3268">
        <f>IF(U3268=1,IF(M3268&gt;0,IF(P3268&lt;=G3268+Assumptions!$C$7,1,0),0),0)</f>
        <v/>
      </c>
      <c r="W3268">
        <f>IF(AND(U3268=1,M3268&gt;=H3268*(1-Assumptions!$C$8)),1,0)</f>
        <v/>
      </c>
      <c r="X3268">
        <f>IF(AND(U3268=1,N3268&gt;=H3268*(1-Assumptions!$C$8)),1,0)</f>
        <v/>
      </c>
      <c r="Y3268">
        <f>IF(ISNUMBER(Q3268),1,0)</f>
        <v/>
      </c>
      <c r="Z3268">
        <f>IF(AND(K3268=0,L3268=0,Y3268=0),1,0)</f>
        <v/>
      </c>
      <c r="AA3268">
        <f>IF(AND(Z3268=1,G3268&lt;Assumptions!$C$6),1,0)</f>
        <v/>
      </c>
      <c r="AB3268">
        <f>IF(U3268=0,"",IF(Y3268=1,MAX(0,Q3268-G3268),IF(L3268=1,MAX(0,R3268-G3268),MAX(0,Assumptions!$C$6-G3268))))</f>
        <v/>
      </c>
      <c r="AC3268">
        <f>IF(Y3268=1,Q3268-F3268,"")</f>
        <v/>
      </c>
      <c r="AD3268">
        <f>IF(Y3268=1,AC3268^2,"")</f>
        <v/>
      </c>
      <c r="AE3268" s="19">
        <f>IF(Z3268=1,(H3268-M3268)*I3268,0)</f>
        <v/>
      </c>
      <c r="AF3268">
        <f>IF(G3268&lt;EDATE(Assumptions!$C$6,-12)+1,"prior_12m","last_12m")</f>
        <v/>
      </c>
      <c r="AG3268" s="21">
        <f>DATE(YEAR(G3268),MONTH(G3268),1)</f>
        <v/>
      </c>
    </row>
    <row r="3269">
      <c r="A3269" t="inlineStr">
        <is>
          <t>SPO-01747-1</t>
        </is>
      </c>
      <c r="B3269" t="inlineStr">
        <is>
          <t>SPO-01747</t>
        </is>
      </c>
      <c r="C3269" t="inlineStr">
        <is>
          <t>SUP-05</t>
        </is>
      </c>
      <c r="D3269" t="inlineStr">
        <is>
          <t>FLEET</t>
        </is>
      </c>
      <c r="E3269" t="inlineStr">
        <is>
          <t>FLEET-02</t>
        </is>
      </c>
      <c r="F3269" s="17" t="n">
        <v>46053</v>
      </c>
      <c r="G3269" s="17" t="n">
        <v>46067</v>
      </c>
      <c r="H3269" s="18" t="n">
        <v>147</v>
      </c>
      <c r="I3269" s="19" t="n">
        <v>7.66</v>
      </c>
      <c r="J3269" s="19" t="n">
        <v>7.5</v>
      </c>
      <c r="K3269" s="20" t="n">
        <v>0</v>
      </c>
      <c r="L3269" s="20" t="n">
        <v>0</v>
      </c>
      <c r="M3269" s="18" t="n">
        <v>147</v>
      </c>
      <c r="N3269" s="18" t="n">
        <v>0</v>
      </c>
      <c r="O3269" s="18" t="n">
        <v>0</v>
      </c>
      <c r="P3269" s="17" t="n">
        <v>46070</v>
      </c>
      <c r="Q3269" s="17" t="n">
        <v>46070</v>
      </c>
      <c r="R3269" s="17" t="n">
        <v>46070</v>
      </c>
      <c r="S3269" s="19">
        <f>H3269*I3269</f>
        <v/>
      </c>
      <c r="T3269" s="19">
        <f>H3269*J3269</f>
        <v/>
      </c>
      <c r="U3269">
        <f>IF(AND(K3269=0,G3269&lt;=Assumptions!$C$6),1,0)</f>
        <v/>
      </c>
      <c r="V3269">
        <f>IF(U3269=1,IF(M3269&gt;0,IF(P3269&lt;=G3269+Assumptions!$C$7,1,0),0),0)</f>
        <v/>
      </c>
      <c r="W3269">
        <f>IF(AND(U3269=1,M3269&gt;=H3269*(1-Assumptions!$C$8)),1,0)</f>
        <v/>
      </c>
      <c r="X3269">
        <f>IF(AND(U3269=1,N3269&gt;=H3269*(1-Assumptions!$C$8)),1,0)</f>
        <v/>
      </c>
      <c r="Y3269">
        <f>IF(ISNUMBER(Q3269),1,0)</f>
        <v/>
      </c>
      <c r="Z3269">
        <f>IF(AND(K3269=0,L3269=0,Y3269=0),1,0)</f>
        <v/>
      </c>
      <c r="AA3269">
        <f>IF(AND(Z3269=1,G3269&lt;Assumptions!$C$6),1,0)</f>
        <v/>
      </c>
      <c r="AB3269">
        <f>IF(U3269=0,"",IF(Y3269=1,MAX(0,Q3269-G3269),IF(L3269=1,MAX(0,R3269-G3269),MAX(0,Assumptions!$C$6-G3269))))</f>
        <v/>
      </c>
      <c r="AC3269">
        <f>IF(Y3269=1,Q3269-F3269,"")</f>
        <v/>
      </c>
      <c r="AD3269">
        <f>IF(Y3269=1,AC3269^2,"")</f>
        <v/>
      </c>
      <c r="AE3269" s="19">
        <f>IF(Z3269=1,(H3269-M3269)*I3269,0)</f>
        <v/>
      </c>
      <c r="AF3269">
        <f>IF(G3269&lt;EDATE(Assumptions!$C$6,-12)+1,"prior_12m","last_12m")</f>
        <v/>
      </c>
      <c r="AG3269" s="21">
        <f>DATE(YEAR(G3269),MONTH(G3269),1)</f>
        <v/>
      </c>
    </row>
    <row r="3270">
      <c r="A3270" t="inlineStr">
        <is>
          <t>SPO-01747-2</t>
        </is>
      </c>
      <c r="B3270" t="inlineStr">
        <is>
          <t>SPO-01747</t>
        </is>
      </c>
      <c r="C3270" t="inlineStr">
        <is>
          <t>SUP-05</t>
        </is>
      </c>
      <c r="D3270" t="inlineStr">
        <is>
          <t>FLEET</t>
        </is>
      </c>
      <c r="E3270" t="inlineStr">
        <is>
          <t>FLEET-01</t>
        </is>
      </c>
      <c r="F3270" s="17" t="n">
        <v>46053</v>
      </c>
      <c r="G3270" s="17" t="n">
        <v>46067</v>
      </c>
      <c r="H3270" s="18" t="n">
        <v>32</v>
      </c>
      <c r="I3270" s="19" t="n">
        <v>68.34999999999999</v>
      </c>
      <c r="J3270" s="19" t="n">
        <v>64</v>
      </c>
      <c r="K3270" s="20" t="n">
        <v>0</v>
      </c>
      <c r="L3270" s="20" t="n">
        <v>0</v>
      </c>
      <c r="M3270" s="18" t="n">
        <v>32</v>
      </c>
      <c r="N3270" s="18" t="n">
        <v>24</v>
      </c>
      <c r="O3270" s="18" t="n">
        <v>0</v>
      </c>
      <c r="P3270" s="17" t="n">
        <v>46064</v>
      </c>
      <c r="Q3270" s="17" t="n">
        <v>46075</v>
      </c>
      <c r="R3270" s="17" t="n">
        <v>46075</v>
      </c>
      <c r="S3270" s="19">
        <f>H3270*I3270</f>
        <v/>
      </c>
      <c r="T3270" s="19">
        <f>H3270*J3270</f>
        <v/>
      </c>
      <c r="U3270">
        <f>IF(AND(K3270=0,G3270&lt;=Assumptions!$C$6),1,0)</f>
        <v/>
      </c>
      <c r="V3270">
        <f>IF(U3270=1,IF(M3270&gt;0,IF(P3270&lt;=G3270+Assumptions!$C$7,1,0),0),0)</f>
        <v/>
      </c>
      <c r="W3270">
        <f>IF(AND(U3270=1,M3270&gt;=H3270*(1-Assumptions!$C$8)),1,0)</f>
        <v/>
      </c>
      <c r="X3270">
        <f>IF(AND(U3270=1,N3270&gt;=H3270*(1-Assumptions!$C$8)),1,0)</f>
        <v/>
      </c>
      <c r="Y3270">
        <f>IF(ISNUMBER(Q3270),1,0)</f>
        <v/>
      </c>
      <c r="Z3270">
        <f>IF(AND(K3270=0,L3270=0,Y3270=0),1,0)</f>
        <v/>
      </c>
      <c r="AA3270">
        <f>IF(AND(Z3270=1,G3270&lt;Assumptions!$C$6),1,0)</f>
        <v/>
      </c>
      <c r="AB3270">
        <f>IF(U3270=0,"",IF(Y3270=1,MAX(0,Q3270-G3270),IF(L3270=1,MAX(0,R3270-G3270),MAX(0,Assumptions!$C$6-G3270))))</f>
        <v/>
      </c>
      <c r="AC3270">
        <f>IF(Y3270=1,Q3270-F3270,"")</f>
        <v/>
      </c>
      <c r="AD3270">
        <f>IF(Y3270=1,AC3270^2,"")</f>
        <v/>
      </c>
      <c r="AE3270" s="19">
        <f>IF(Z3270=1,(H3270-M3270)*I3270,0)</f>
        <v/>
      </c>
      <c r="AF3270">
        <f>IF(G3270&lt;EDATE(Assumptions!$C$6,-12)+1,"prior_12m","last_12m")</f>
        <v/>
      </c>
      <c r="AG3270" s="21">
        <f>DATE(YEAR(G3270),MONTH(G3270),1)</f>
        <v/>
      </c>
    </row>
    <row r="3271">
      <c r="A3271" t="inlineStr">
        <is>
          <t>SPO-01747-3</t>
        </is>
      </c>
      <c r="B3271" t="inlineStr">
        <is>
          <t>SPO-01747</t>
        </is>
      </c>
      <c r="C3271" t="inlineStr">
        <is>
          <t>SUP-05</t>
        </is>
      </c>
      <c r="D3271" t="inlineStr">
        <is>
          <t>FLEET</t>
        </is>
      </c>
      <c r="E3271" t="inlineStr">
        <is>
          <t>FLEET-03</t>
        </is>
      </c>
      <c r="F3271" s="17" t="n">
        <v>46053</v>
      </c>
      <c r="G3271" s="17" t="n">
        <v>46067</v>
      </c>
      <c r="H3271" s="18" t="n">
        <v>157</v>
      </c>
      <c r="I3271" s="19" t="n">
        <v>21.84</v>
      </c>
      <c r="J3271" s="19" t="n">
        <v>21</v>
      </c>
      <c r="K3271" s="20" t="n">
        <v>0</v>
      </c>
      <c r="L3271" s="20" t="n">
        <v>0</v>
      </c>
      <c r="M3271" s="18" t="n">
        <v>157</v>
      </c>
      <c r="N3271" s="18" t="n">
        <v>157</v>
      </c>
      <c r="O3271" s="18" t="n">
        <v>0</v>
      </c>
      <c r="P3271" s="17" t="n">
        <v>46064</v>
      </c>
      <c r="Q3271" s="17" t="n">
        <v>46064</v>
      </c>
      <c r="R3271" s="17" t="n">
        <v>46064</v>
      </c>
      <c r="S3271" s="19">
        <f>H3271*I3271</f>
        <v/>
      </c>
      <c r="T3271" s="19">
        <f>H3271*J3271</f>
        <v/>
      </c>
      <c r="U3271">
        <f>IF(AND(K3271=0,G3271&lt;=Assumptions!$C$6),1,0)</f>
        <v/>
      </c>
      <c r="V3271">
        <f>IF(U3271=1,IF(M3271&gt;0,IF(P3271&lt;=G3271+Assumptions!$C$7,1,0),0),0)</f>
        <v/>
      </c>
      <c r="W3271">
        <f>IF(AND(U3271=1,M3271&gt;=H3271*(1-Assumptions!$C$8)),1,0)</f>
        <v/>
      </c>
      <c r="X3271">
        <f>IF(AND(U3271=1,N3271&gt;=H3271*(1-Assumptions!$C$8)),1,0)</f>
        <v/>
      </c>
      <c r="Y3271">
        <f>IF(ISNUMBER(Q3271),1,0)</f>
        <v/>
      </c>
      <c r="Z3271">
        <f>IF(AND(K3271=0,L3271=0,Y3271=0),1,0)</f>
        <v/>
      </c>
      <c r="AA3271">
        <f>IF(AND(Z3271=1,G3271&lt;Assumptions!$C$6),1,0)</f>
        <v/>
      </c>
      <c r="AB3271">
        <f>IF(U3271=0,"",IF(Y3271=1,MAX(0,Q3271-G3271),IF(L3271=1,MAX(0,R3271-G3271),MAX(0,Assumptions!$C$6-G3271))))</f>
        <v/>
      </c>
      <c r="AC3271">
        <f>IF(Y3271=1,Q3271-F3271,"")</f>
        <v/>
      </c>
      <c r="AD3271">
        <f>IF(Y3271=1,AC3271^2,"")</f>
        <v/>
      </c>
      <c r="AE3271" s="19">
        <f>IF(Z3271=1,(H3271-M3271)*I3271,0)</f>
        <v/>
      </c>
      <c r="AF3271">
        <f>IF(G3271&lt;EDATE(Assumptions!$C$6,-12)+1,"prior_12m","last_12m")</f>
        <v/>
      </c>
      <c r="AG3271" s="21">
        <f>DATE(YEAR(G3271),MONTH(G3271),1)</f>
        <v/>
      </c>
    </row>
    <row r="3272">
      <c r="A3272" t="inlineStr">
        <is>
          <t>SPO-01748-1</t>
        </is>
      </c>
      <c r="B3272" t="inlineStr">
        <is>
          <t>SPO-01748</t>
        </is>
      </c>
      <c r="C3272" t="inlineStr">
        <is>
          <t>SUP-01</t>
        </is>
      </c>
      <c r="D3272" t="inlineStr">
        <is>
          <t>ELEC</t>
        </is>
      </c>
      <c r="E3272" t="inlineStr">
        <is>
          <t>ELEC-06</t>
        </is>
      </c>
      <c r="F3272" s="17" t="n">
        <v>46053</v>
      </c>
      <c r="G3272" s="17" t="n">
        <v>46071</v>
      </c>
      <c r="H3272" s="18" t="n">
        <v>13</v>
      </c>
      <c r="I3272" s="19" t="n">
        <v>142.5</v>
      </c>
      <c r="J3272" s="19" t="n">
        <v>145</v>
      </c>
      <c r="K3272" s="20" t="n">
        <v>0</v>
      </c>
      <c r="L3272" s="20" t="n">
        <v>0</v>
      </c>
      <c r="M3272" s="18" t="n">
        <v>13</v>
      </c>
      <c r="N3272" s="18" t="n">
        <v>13</v>
      </c>
      <c r="O3272" s="18" t="n">
        <v>0</v>
      </c>
      <c r="P3272" s="17" t="n">
        <v>46065</v>
      </c>
      <c r="Q3272" s="17" t="n">
        <v>46065</v>
      </c>
      <c r="R3272" s="17" t="n">
        <v>46065</v>
      </c>
      <c r="S3272" s="19">
        <f>H3272*I3272</f>
        <v/>
      </c>
      <c r="T3272" s="19">
        <f>H3272*J3272</f>
        <v/>
      </c>
      <c r="U3272">
        <f>IF(AND(K3272=0,G3272&lt;=Assumptions!$C$6),1,0)</f>
        <v/>
      </c>
      <c r="V3272">
        <f>IF(U3272=1,IF(M3272&gt;0,IF(P3272&lt;=G3272+Assumptions!$C$7,1,0),0),0)</f>
        <v/>
      </c>
      <c r="W3272">
        <f>IF(AND(U3272=1,M3272&gt;=H3272*(1-Assumptions!$C$8)),1,0)</f>
        <v/>
      </c>
      <c r="X3272">
        <f>IF(AND(U3272=1,N3272&gt;=H3272*(1-Assumptions!$C$8)),1,0)</f>
        <v/>
      </c>
      <c r="Y3272">
        <f>IF(ISNUMBER(Q3272),1,0)</f>
        <v/>
      </c>
      <c r="Z3272">
        <f>IF(AND(K3272=0,L3272=0,Y3272=0),1,0)</f>
        <v/>
      </c>
      <c r="AA3272">
        <f>IF(AND(Z3272=1,G3272&lt;Assumptions!$C$6),1,0)</f>
        <v/>
      </c>
      <c r="AB3272">
        <f>IF(U3272=0,"",IF(Y3272=1,MAX(0,Q3272-G3272),IF(L3272=1,MAX(0,R3272-G3272),MAX(0,Assumptions!$C$6-G3272))))</f>
        <v/>
      </c>
      <c r="AC3272">
        <f>IF(Y3272=1,Q3272-F3272,"")</f>
        <v/>
      </c>
      <c r="AD3272">
        <f>IF(Y3272=1,AC3272^2,"")</f>
        <v/>
      </c>
      <c r="AE3272" s="19">
        <f>IF(Z3272=1,(H3272-M3272)*I3272,0)</f>
        <v/>
      </c>
      <c r="AF3272">
        <f>IF(G3272&lt;EDATE(Assumptions!$C$6,-12)+1,"prior_12m","last_12m")</f>
        <v/>
      </c>
      <c r="AG3272" s="21">
        <f>DATE(YEAR(G3272),MONTH(G3272),1)</f>
        <v/>
      </c>
    </row>
    <row r="3273">
      <c r="A3273" t="inlineStr">
        <is>
          <t>SPO-01748-2</t>
        </is>
      </c>
      <c r="B3273" t="inlineStr">
        <is>
          <t>SPO-01748</t>
        </is>
      </c>
      <c r="C3273" t="inlineStr">
        <is>
          <t>SUP-01</t>
        </is>
      </c>
      <c r="D3273" t="inlineStr">
        <is>
          <t>ELEC</t>
        </is>
      </c>
      <c r="E3273" t="inlineStr">
        <is>
          <t>ELEC-02</t>
        </is>
      </c>
      <c r="F3273" s="17" t="n">
        <v>46053</v>
      </c>
      <c r="G3273" s="17" t="n">
        <v>46071</v>
      </c>
      <c r="H3273" s="18" t="n">
        <v>652</v>
      </c>
      <c r="I3273" s="19" t="n">
        <v>4.31</v>
      </c>
      <c r="J3273" s="19" t="n">
        <v>4.2</v>
      </c>
      <c r="K3273" s="20" t="n">
        <v>0</v>
      </c>
      <c r="L3273" s="20" t="n">
        <v>0</v>
      </c>
      <c r="M3273" s="18" t="n">
        <v>652</v>
      </c>
      <c r="N3273" s="18" t="n">
        <v>652</v>
      </c>
      <c r="O3273" s="18" t="n">
        <v>0</v>
      </c>
      <c r="P3273" s="17" t="n">
        <v>46062</v>
      </c>
      <c r="Q3273" s="17" t="n">
        <v>46062</v>
      </c>
      <c r="R3273" s="17" t="n">
        <v>46062</v>
      </c>
      <c r="S3273" s="19">
        <f>H3273*I3273</f>
        <v/>
      </c>
      <c r="T3273" s="19">
        <f>H3273*J3273</f>
        <v/>
      </c>
      <c r="U3273">
        <f>IF(AND(K3273=0,G3273&lt;=Assumptions!$C$6),1,0)</f>
        <v/>
      </c>
      <c r="V3273">
        <f>IF(U3273=1,IF(M3273&gt;0,IF(P3273&lt;=G3273+Assumptions!$C$7,1,0),0),0)</f>
        <v/>
      </c>
      <c r="W3273">
        <f>IF(AND(U3273=1,M3273&gt;=H3273*(1-Assumptions!$C$8)),1,0)</f>
        <v/>
      </c>
      <c r="X3273">
        <f>IF(AND(U3273=1,N3273&gt;=H3273*(1-Assumptions!$C$8)),1,0)</f>
        <v/>
      </c>
      <c r="Y3273">
        <f>IF(ISNUMBER(Q3273),1,0)</f>
        <v/>
      </c>
      <c r="Z3273">
        <f>IF(AND(K3273=0,L3273=0,Y3273=0),1,0)</f>
        <v/>
      </c>
      <c r="AA3273">
        <f>IF(AND(Z3273=1,G3273&lt;Assumptions!$C$6),1,0)</f>
        <v/>
      </c>
      <c r="AB3273">
        <f>IF(U3273=0,"",IF(Y3273=1,MAX(0,Q3273-G3273),IF(L3273=1,MAX(0,R3273-G3273),MAX(0,Assumptions!$C$6-G3273))))</f>
        <v/>
      </c>
      <c r="AC3273">
        <f>IF(Y3273=1,Q3273-F3273,"")</f>
        <v/>
      </c>
      <c r="AD3273">
        <f>IF(Y3273=1,AC3273^2,"")</f>
        <v/>
      </c>
      <c r="AE3273" s="19">
        <f>IF(Z3273=1,(H3273-M3273)*I3273,0)</f>
        <v/>
      </c>
      <c r="AF3273">
        <f>IF(G3273&lt;EDATE(Assumptions!$C$6,-12)+1,"prior_12m","last_12m")</f>
        <v/>
      </c>
      <c r="AG3273" s="21">
        <f>DATE(YEAR(G3273),MONTH(G3273),1)</f>
        <v/>
      </c>
    </row>
    <row r="3274">
      <c r="A3274" t="inlineStr">
        <is>
          <t>SPO-01748-3</t>
        </is>
      </c>
      <c r="B3274" t="inlineStr">
        <is>
          <t>SPO-01748</t>
        </is>
      </c>
      <c r="C3274" t="inlineStr">
        <is>
          <t>SUP-01</t>
        </is>
      </c>
      <c r="D3274" t="inlineStr">
        <is>
          <t>ELEC</t>
        </is>
      </c>
      <c r="E3274" t="inlineStr">
        <is>
          <t>ELEC-04</t>
        </is>
      </c>
      <c r="F3274" s="17" t="n">
        <v>46053</v>
      </c>
      <c r="G3274" s="17" t="n">
        <v>46071</v>
      </c>
      <c r="H3274" s="18" t="n">
        <v>49</v>
      </c>
      <c r="I3274" s="19" t="n">
        <v>68.73</v>
      </c>
      <c r="J3274" s="19" t="n">
        <v>72</v>
      </c>
      <c r="K3274" s="20" t="n">
        <v>0</v>
      </c>
      <c r="L3274" s="20" t="n">
        <v>0</v>
      </c>
      <c r="M3274" s="18" t="n">
        <v>49</v>
      </c>
      <c r="N3274" s="18" t="n">
        <v>49</v>
      </c>
      <c r="O3274" s="18" t="n">
        <v>0</v>
      </c>
      <c r="P3274" s="17" t="n">
        <v>46071</v>
      </c>
      <c r="Q3274" s="17" t="n">
        <v>46071</v>
      </c>
      <c r="R3274" s="17" t="n">
        <v>46071</v>
      </c>
      <c r="S3274" s="19">
        <f>H3274*I3274</f>
        <v/>
      </c>
      <c r="T3274" s="19">
        <f>H3274*J3274</f>
        <v/>
      </c>
      <c r="U3274">
        <f>IF(AND(K3274=0,G3274&lt;=Assumptions!$C$6),1,0)</f>
        <v/>
      </c>
      <c r="V3274">
        <f>IF(U3274=1,IF(M3274&gt;0,IF(P3274&lt;=G3274+Assumptions!$C$7,1,0),0),0)</f>
        <v/>
      </c>
      <c r="W3274">
        <f>IF(AND(U3274=1,M3274&gt;=H3274*(1-Assumptions!$C$8)),1,0)</f>
        <v/>
      </c>
      <c r="X3274">
        <f>IF(AND(U3274=1,N3274&gt;=H3274*(1-Assumptions!$C$8)),1,0)</f>
        <v/>
      </c>
      <c r="Y3274">
        <f>IF(ISNUMBER(Q3274),1,0)</f>
        <v/>
      </c>
      <c r="Z3274">
        <f>IF(AND(K3274=0,L3274=0,Y3274=0),1,0)</f>
        <v/>
      </c>
      <c r="AA3274">
        <f>IF(AND(Z3274=1,G3274&lt;Assumptions!$C$6),1,0)</f>
        <v/>
      </c>
      <c r="AB3274">
        <f>IF(U3274=0,"",IF(Y3274=1,MAX(0,Q3274-G3274),IF(L3274=1,MAX(0,R3274-G3274),MAX(0,Assumptions!$C$6-G3274))))</f>
        <v/>
      </c>
      <c r="AC3274">
        <f>IF(Y3274=1,Q3274-F3274,"")</f>
        <v/>
      </c>
      <c r="AD3274">
        <f>IF(Y3274=1,AC3274^2,"")</f>
        <v/>
      </c>
      <c r="AE3274" s="19">
        <f>IF(Z3274=1,(H3274-M3274)*I3274,0)</f>
        <v/>
      </c>
      <c r="AF3274">
        <f>IF(G3274&lt;EDATE(Assumptions!$C$6,-12)+1,"prior_12m","last_12m")</f>
        <v/>
      </c>
      <c r="AG3274" s="21">
        <f>DATE(YEAR(G3274),MONTH(G3274),1)</f>
        <v/>
      </c>
    </row>
    <row r="3275">
      <c r="A3275" t="inlineStr">
        <is>
          <t>SPO-01749-1</t>
        </is>
      </c>
      <c r="B3275" t="inlineStr">
        <is>
          <t>SPO-01749</t>
        </is>
      </c>
      <c r="C3275" t="inlineStr">
        <is>
          <t>SUP-01</t>
        </is>
      </c>
      <c r="D3275" t="inlineStr">
        <is>
          <t>ELEC</t>
        </is>
      </c>
      <c r="E3275" t="inlineStr">
        <is>
          <t>ELEC-05</t>
        </is>
      </c>
      <c r="F3275" s="17" t="n">
        <v>46053</v>
      </c>
      <c r="G3275" s="17" t="n">
        <v>46071</v>
      </c>
      <c r="H3275" s="18" t="n">
        <v>115</v>
      </c>
      <c r="I3275" s="19" t="n">
        <v>11.63</v>
      </c>
      <c r="J3275" s="19" t="n">
        <v>11.5</v>
      </c>
      <c r="K3275" s="20" t="n">
        <v>0</v>
      </c>
      <c r="L3275" s="20" t="n">
        <v>0</v>
      </c>
      <c r="M3275" s="18" t="n">
        <v>115</v>
      </c>
      <c r="N3275" s="18" t="n">
        <v>115</v>
      </c>
      <c r="O3275" s="18" t="n">
        <v>0</v>
      </c>
      <c r="P3275" s="17" t="n">
        <v>46059</v>
      </c>
      <c r="Q3275" s="17" t="n">
        <v>46059</v>
      </c>
      <c r="R3275" s="17" t="n">
        <v>46059</v>
      </c>
      <c r="S3275" s="19">
        <f>H3275*I3275</f>
        <v/>
      </c>
      <c r="T3275" s="19">
        <f>H3275*J3275</f>
        <v/>
      </c>
      <c r="U3275">
        <f>IF(AND(K3275=0,G3275&lt;=Assumptions!$C$6),1,0)</f>
        <v/>
      </c>
      <c r="V3275">
        <f>IF(U3275=1,IF(M3275&gt;0,IF(P3275&lt;=G3275+Assumptions!$C$7,1,0),0),0)</f>
        <v/>
      </c>
      <c r="W3275">
        <f>IF(AND(U3275=1,M3275&gt;=H3275*(1-Assumptions!$C$8)),1,0)</f>
        <v/>
      </c>
      <c r="X3275">
        <f>IF(AND(U3275=1,N3275&gt;=H3275*(1-Assumptions!$C$8)),1,0)</f>
        <v/>
      </c>
      <c r="Y3275">
        <f>IF(ISNUMBER(Q3275),1,0)</f>
        <v/>
      </c>
      <c r="Z3275">
        <f>IF(AND(K3275=0,L3275=0,Y3275=0),1,0)</f>
        <v/>
      </c>
      <c r="AA3275">
        <f>IF(AND(Z3275=1,G3275&lt;Assumptions!$C$6),1,0)</f>
        <v/>
      </c>
      <c r="AB3275">
        <f>IF(U3275=0,"",IF(Y3275=1,MAX(0,Q3275-G3275),IF(L3275=1,MAX(0,R3275-G3275),MAX(0,Assumptions!$C$6-G3275))))</f>
        <v/>
      </c>
      <c r="AC3275">
        <f>IF(Y3275=1,Q3275-F3275,"")</f>
        <v/>
      </c>
      <c r="AD3275">
        <f>IF(Y3275=1,AC3275^2,"")</f>
        <v/>
      </c>
      <c r="AE3275" s="19">
        <f>IF(Z3275=1,(H3275-M3275)*I3275,0)</f>
        <v/>
      </c>
      <c r="AF3275">
        <f>IF(G3275&lt;EDATE(Assumptions!$C$6,-12)+1,"prior_12m","last_12m")</f>
        <v/>
      </c>
      <c r="AG3275" s="21">
        <f>DATE(YEAR(G3275),MONTH(G3275),1)</f>
        <v/>
      </c>
    </row>
    <row r="3276">
      <c r="A3276" t="inlineStr">
        <is>
          <t>SPO-01749-2</t>
        </is>
      </c>
      <c r="B3276" t="inlineStr">
        <is>
          <t>SPO-01749</t>
        </is>
      </c>
      <c r="C3276" t="inlineStr">
        <is>
          <t>SUP-01</t>
        </is>
      </c>
      <c r="D3276" t="inlineStr">
        <is>
          <t>ELEC</t>
        </is>
      </c>
      <c r="E3276" t="inlineStr">
        <is>
          <t>ELEC-06</t>
        </is>
      </c>
      <c r="F3276" s="17" t="n">
        <v>46053</v>
      </c>
      <c r="G3276" s="17" t="n">
        <v>46071</v>
      </c>
      <c r="H3276" s="18" t="n">
        <v>20</v>
      </c>
      <c r="I3276" s="19" t="n">
        <v>146.72</v>
      </c>
      <c r="J3276" s="19" t="n">
        <v>145</v>
      </c>
      <c r="K3276" s="20" t="n">
        <v>0</v>
      </c>
      <c r="L3276" s="20" t="n">
        <v>0</v>
      </c>
      <c r="M3276" s="18" t="n">
        <v>20</v>
      </c>
      <c r="N3276" s="18" t="n">
        <v>20</v>
      </c>
      <c r="O3276" s="18" t="n">
        <v>0</v>
      </c>
      <c r="P3276" s="17" t="n">
        <v>46070</v>
      </c>
      <c r="Q3276" s="17" t="n">
        <v>46070</v>
      </c>
      <c r="R3276" s="17" t="n">
        <v>46070</v>
      </c>
      <c r="S3276" s="19">
        <f>H3276*I3276</f>
        <v/>
      </c>
      <c r="T3276" s="19">
        <f>H3276*J3276</f>
        <v/>
      </c>
      <c r="U3276">
        <f>IF(AND(K3276=0,G3276&lt;=Assumptions!$C$6),1,0)</f>
        <v/>
      </c>
      <c r="V3276">
        <f>IF(U3276=1,IF(M3276&gt;0,IF(P3276&lt;=G3276+Assumptions!$C$7,1,0),0),0)</f>
        <v/>
      </c>
      <c r="W3276">
        <f>IF(AND(U3276=1,M3276&gt;=H3276*(1-Assumptions!$C$8)),1,0)</f>
        <v/>
      </c>
      <c r="X3276">
        <f>IF(AND(U3276=1,N3276&gt;=H3276*(1-Assumptions!$C$8)),1,0)</f>
        <v/>
      </c>
      <c r="Y3276">
        <f>IF(ISNUMBER(Q3276),1,0)</f>
        <v/>
      </c>
      <c r="Z3276">
        <f>IF(AND(K3276=0,L3276=0,Y3276=0),1,0)</f>
        <v/>
      </c>
      <c r="AA3276">
        <f>IF(AND(Z3276=1,G3276&lt;Assumptions!$C$6),1,0)</f>
        <v/>
      </c>
      <c r="AB3276">
        <f>IF(U3276=0,"",IF(Y3276=1,MAX(0,Q3276-G3276),IF(L3276=1,MAX(0,R3276-G3276),MAX(0,Assumptions!$C$6-G3276))))</f>
        <v/>
      </c>
      <c r="AC3276">
        <f>IF(Y3276=1,Q3276-F3276,"")</f>
        <v/>
      </c>
      <c r="AD3276">
        <f>IF(Y3276=1,AC3276^2,"")</f>
        <v/>
      </c>
      <c r="AE3276" s="19">
        <f>IF(Z3276=1,(H3276-M3276)*I3276,0)</f>
        <v/>
      </c>
      <c r="AF3276">
        <f>IF(G3276&lt;EDATE(Assumptions!$C$6,-12)+1,"prior_12m","last_12m")</f>
        <v/>
      </c>
      <c r="AG3276" s="21">
        <f>DATE(YEAR(G3276),MONTH(G3276),1)</f>
        <v/>
      </c>
    </row>
    <row r="3277">
      <c r="A3277" t="inlineStr">
        <is>
          <t>SPO-01750-1</t>
        </is>
      </c>
      <c r="B3277" t="inlineStr">
        <is>
          <t>SPO-01750</t>
        </is>
      </c>
      <c r="C3277" t="inlineStr">
        <is>
          <t>SUP-01</t>
        </is>
      </c>
      <c r="D3277" t="inlineStr">
        <is>
          <t>ELEC</t>
        </is>
      </c>
      <c r="E3277" t="inlineStr">
        <is>
          <t>ELEC-07</t>
        </is>
      </c>
      <c r="F3277" s="17" t="n">
        <v>46053</v>
      </c>
      <c r="G3277" s="17" t="n">
        <v>46071</v>
      </c>
      <c r="H3277" s="18" t="n">
        <v>212</v>
      </c>
      <c r="I3277" s="19" t="n">
        <v>9.550000000000001</v>
      </c>
      <c r="J3277" s="19" t="n">
        <v>9.800000000000001</v>
      </c>
      <c r="K3277" s="20" t="n">
        <v>0</v>
      </c>
      <c r="L3277" s="20" t="n">
        <v>0</v>
      </c>
      <c r="M3277" s="18" t="n">
        <v>212</v>
      </c>
      <c r="N3277" s="18" t="n">
        <v>212</v>
      </c>
      <c r="O3277" s="18" t="n">
        <v>0</v>
      </c>
      <c r="P3277" s="17" t="n">
        <v>46067</v>
      </c>
      <c r="Q3277" s="17" t="n">
        <v>46067</v>
      </c>
      <c r="R3277" s="17" t="n">
        <v>46067</v>
      </c>
      <c r="S3277" s="19">
        <f>H3277*I3277</f>
        <v/>
      </c>
      <c r="T3277" s="19">
        <f>H3277*J3277</f>
        <v/>
      </c>
      <c r="U3277">
        <f>IF(AND(K3277=0,G3277&lt;=Assumptions!$C$6),1,0)</f>
        <v/>
      </c>
      <c r="V3277">
        <f>IF(U3277=1,IF(M3277&gt;0,IF(P3277&lt;=G3277+Assumptions!$C$7,1,0),0),0)</f>
        <v/>
      </c>
      <c r="W3277">
        <f>IF(AND(U3277=1,M3277&gt;=H3277*(1-Assumptions!$C$8)),1,0)</f>
        <v/>
      </c>
      <c r="X3277">
        <f>IF(AND(U3277=1,N3277&gt;=H3277*(1-Assumptions!$C$8)),1,0)</f>
        <v/>
      </c>
      <c r="Y3277">
        <f>IF(ISNUMBER(Q3277),1,0)</f>
        <v/>
      </c>
      <c r="Z3277">
        <f>IF(AND(K3277=0,L3277=0,Y3277=0),1,0)</f>
        <v/>
      </c>
      <c r="AA3277">
        <f>IF(AND(Z3277=1,G3277&lt;Assumptions!$C$6),1,0)</f>
        <v/>
      </c>
      <c r="AB3277">
        <f>IF(U3277=0,"",IF(Y3277=1,MAX(0,Q3277-G3277),IF(L3277=1,MAX(0,R3277-G3277),MAX(0,Assumptions!$C$6-G3277))))</f>
        <v/>
      </c>
      <c r="AC3277">
        <f>IF(Y3277=1,Q3277-F3277,"")</f>
        <v/>
      </c>
      <c r="AD3277">
        <f>IF(Y3277=1,AC3277^2,"")</f>
        <v/>
      </c>
      <c r="AE3277" s="19">
        <f>IF(Z3277=1,(H3277-M3277)*I3277,0)</f>
        <v/>
      </c>
      <c r="AF3277">
        <f>IF(G3277&lt;EDATE(Assumptions!$C$6,-12)+1,"prior_12m","last_12m")</f>
        <v/>
      </c>
      <c r="AG3277" s="21">
        <f>DATE(YEAR(G3277),MONTH(G3277),1)</f>
        <v/>
      </c>
    </row>
    <row r="3278">
      <c r="A3278" t="inlineStr">
        <is>
          <t>SPO-01751-1</t>
        </is>
      </c>
      <c r="B3278" t="inlineStr">
        <is>
          <t>SPO-01751</t>
        </is>
      </c>
      <c r="C3278" t="inlineStr">
        <is>
          <t>SUP-01</t>
        </is>
      </c>
      <c r="D3278" t="inlineStr">
        <is>
          <t>ELEC</t>
        </is>
      </c>
      <c r="E3278" t="inlineStr">
        <is>
          <t>ELEC-03</t>
        </is>
      </c>
      <c r="F3278" s="17" t="n">
        <v>46053</v>
      </c>
      <c r="G3278" s="17" t="n">
        <v>46071</v>
      </c>
      <c r="H3278" s="18" t="n">
        <v>24</v>
      </c>
      <c r="I3278" s="19" t="n">
        <v>103.78</v>
      </c>
      <c r="J3278" s="19" t="n">
        <v>96</v>
      </c>
      <c r="K3278" s="20" t="n">
        <v>0</v>
      </c>
      <c r="L3278" s="20" t="n">
        <v>0</v>
      </c>
      <c r="M3278" s="18" t="n">
        <v>24</v>
      </c>
      <c r="N3278" s="18" t="n">
        <v>0</v>
      </c>
      <c r="O3278" s="18" t="n">
        <v>0</v>
      </c>
      <c r="P3278" s="17" t="n">
        <v>46077</v>
      </c>
      <c r="Q3278" s="17" t="n">
        <v>46077</v>
      </c>
      <c r="R3278" s="17" t="n">
        <v>46077</v>
      </c>
      <c r="S3278" s="19">
        <f>H3278*I3278</f>
        <v/>
      </c>
      <c r="T3278" s="19">
        <f>H3278*J3278</f>
        <v/>
      </c>
      <c r="U3278">
        <f>IF(AND(K3278=0,G3278&lt;=Assumptions!$C$6),1,0)</f>
        <v/>
      </c>
      <c r="V3278">
        <f>IF(U3278=1,IF(M3278&gt;0,IF(P3278&lt;=G3278+Assumptions!$C$7,1,0),0),0)</f>
        <v/>
      </c>
      <c r="W3278">
        <f>IF(AND(U3278=1,M3278&gt;=H3278*(1-Assumptions!$C$8)),1,0)</f>
        <v/>
      </c>
      <c r="X3278">
        <f>IF(AND(U3278=1,N3278&gt;=H3278*(1-Assumptions!$C$8)),1,0)</f>
        <v/>
      </c>
      <c r="Y3278">
        <f>IF(ISNUMBER(Q3278),1,0)</f>
        <v/>
      </c>
      <c r="Z3278">
        <f>IF(AND(K3278=0,L3278=0,Y3278=0),1,0)</f>
        <v/>
      </c>
      <c r="AA3278">
        <f>IF(AND(Z3278=1,G3278&lt;Assumptions!$C$6),1,0)</f>
        <v/>
      </c>
      <c r="AB3278">
        <f>IF(U3278=0,"",IF(Y3278=1,MAX(0,Q3278-G3278),IF(L3278=1,MAX(0,R3278-G3278),MAX(0,Assumptions!$C$6-G3278))))</f>
        <v/>
      </c>
      <c r="AC3278">
        <f>IF(Y3278=1,Q3278-F3278,"")</f>
        <v/>
      </c>
      <c r="AD3278">
        <f>IF(Y3278=1,AC3278^2,"")</f>
        <v/>
      </c>
      <c r="AE3278" s="19">
        <f>IF(Z3278=1,(H3278-M3278)*I3278,0)</f>
        <v/>
      </c>
      <c r="AF3278">
        <f>IF(G3278&lt;EDATE(Assumptions!$C$6,-12)+1,"prior_12m","last_12m")</f>
        <v/>
      </c>
      <c r="AG3278" s="21">
        <f>DATE(YEAR(G3278),MONTH(G3278),1)</f>
        <v/>
      </c>
    </row>
    <row r="3279">
      <c r="A3279" t="inlineStr">
        <is>
          <t>SPO-01752-1</t>
        </is>
      </c>
      <c r="B3279" t="inlineStr">
        <is>
          <t>SPO-01752</t>
        </is>
      </c>
      <c r="C3279" t="inlineStr">
        <is>
          <t>SUP-01</t>
        </is>
      </c>
      <c r="D3279" t="inlineStr">
        <is>
          <t>ELEC</t>
        </is>
      </c>
      <c r="E3279" t="inlineStr">
        <is>
          <t>ELEC-03</t>
        </is>
      </c>
      <c r="F3279" s="17" t="n">
        <v>46054</v>
      </c>
      <c r="G3279" s="17" t="n">
        <v>46072</v>
      </c>
      <c r="H3279" s="18" t="n">
        <v>10</v>
      </c>
      <c r="I3279" s="19" t="n">
        <v>101.09</v>
      </c>
      <c r="J3279" s="19" t="n">
        <v>96</v>
      </c>
      <c r="K3279" s="20" t="n">
        <v>0</v>
      </c>
      <c r="L3279" s="20" t="n">
        <v>0</v>
      </c>
      <c r="M3279" s="18" t="n">
        <v>10</v>
      </c>
      <c r="N3279" s="18" t="n">
        <v>0</v>
      </c>
      <c r="O3279" s="18" t="n">
        <v>0</v>
      </c>
      <c r="P3279" s="17" t="n">
        <v>46076</v>
      </c>
      <c r="Q3279" s="17" t="n">
        <v>46076</v>
      </c>
      <c r="R3279" s="17" t="n">
        <v>46076</v>
      </c>
      <c r="S3279" s="19">
        <f>H3279*I3279</f>
        <v/>
      </c>
      <c r="T3279" s="19">
        <f>H3279*J3279</f>
        <v/>
      </c>
      <c r="U3279">
        <f>IF(AND(K3279=0,G3279&lt;=Assumptions!$C$6),1,0)</f>
        <v/>
      </c>
      <c r="V3279">
        <f>IF(U3279=1,IF(M3279&gt;0,IF(P3279&lt;=G3279+Assumptions!$C$7,1,0),0),0)</f>
        <v/>
      </c>
      <c r="W3279">
        <f>IF(AND(U3279=1,M3279&gt;=H3279*(1-Assumptions!$C$8)),1,0)</f>
        <v/>
      </c>
      <c r="X3279">
        <f>IF(AND(U3279=1,N3279&gt;=H3279*(1-Assumptions!$C$8)),1,0)</f>
        <v/>
      </c>
      <c r="Y3279">
        <f>IF(ISNUMBER(Q3279),1,0)</f>
        <v/>
      </c>
      <c r="Z3279">
        <f>IF(AND(K3279=0,L3279=0,Y3279=0),1,0)</f>
        <v/>
      </c>
      <c r="AA3279">
        <f>IF(AND(Z3279=1,G3279&lt;Assumptions!$C$6),1,0)</f>
        <v/>
      </c>
      <c r="AB3279">
        <f>IF(U3279=0,"",IF(Y3279=1,MAX(0,Q3279-G3279),IF(L3279=1,MAX(0,R3279-G3279),MAX(0,Assumptions!$C$6-G3279))))</f>
        <v/>
      </c>
      <c r="AC3279">
        <f>IF(Y3279=1,Q3279-F3279,"")</f>
        <v/>
      </c>
      <c r="AD3279">
        <f>IF(Y3279=1,AC3279^2,"")</f>
        <v/>
      </c>
      <c r="AE3279" s="19">
        <f>IF(Z3279=1,(H3279-M3279)*I3279,0)</f>
        <v/>
      </c>
      <c r="AF3279">
        <f>IF(G3279&lt;EDATE(Assumptions!$C$6,-12)+1,"prior_12m","last_12m")</f>
        <v/>
      </c>
      <c r="AG3279" s="21">
        <f>DATE(YEAR(G3279),MONTH(G3279),1)</f>
        <v/>
      </c>
    </row>
    <row r="3280">
      <c r="A3280" t="inlineStr">
        <is>
          <t>SPO-01753-1</t>
        </is>
      </c>
      <c r="B3280" t="inlineStr">
        <is>
          <t>SPO-01753</t>
        </is>
      </c>
      <c r="C3280" t="inlineStr">
        <is>
          <t>SUP-06</t>
        </is>
      </c>
      <c r="D3280" t="inlineStr">
        <is>
          <t>MRO</t>
        </is>
      </c>
      <c r="E3280" t="inlineStr">
        <is>
          <t>MRO-05</t>
        </is>
      </c>
      <c r="F3280" s="17" t="n">
        <v>46054</v>
      </c>
      <c r="G3280" s="17" t="n">
        <v>46062</v>
      </c>
      <c r="H3280" s="18" t="n">
        <v>29</v>
      </c>
      <c r="I3280" s="19" t="n">
        <v>34.64</v>
      </c>
      <c r="J3280" s="19" t="n">
        <v>36</v>
      </c>
      <c r="K3280" s="20" t="n">
        <v>0</v>
      </c>
      <c r="L3280" s="20" t="n">
        <v>0</v>
      </c>
      <c r="M3280" s="18" t="n">
        <v>29</v>
      </c>
      <c r="N3280" s="18" t="n">
        <v>29</v>
      </c>
      <c r="O3280" s="18" t="n">
        <v>0</v>
      </c>
      <c r="P3280" s="17" t="n">
        <v>46061</v>
      </c>
      <c r="Q3280" s="17" t="n">
        <v>46061</v>
      </c>
      <c r="R3280" s="17" t="n">
        <v>46061</v>
      </c>
      <c r="S3280" s="19">
        <f>H3280*I3280</f>
        <v/>
      </c>
      <c r="T3280" s="19">
        <f>H3280*J3280</f>
        <v/>
      </c>
      <c r="U3280">
        <f>IF(AND(K3280=0,G3280&lt;=Assumptions!$C$6),1,0)</f>
        <v/>
      </c>
      <c r="V3280">
        <f>IF(U3280=1,IF(M3280&gt;0,IF(P3280&lt;=G3280+Assumptions!$C$7,1,0),0),0)</f>
        <v/>
      </c>
      <c r="W3280">
        <f>IF(AND(U3280=1,M3280&gt;=H3280*(1-Assumptions!$C$8)),1,0)</f>
        <v/>
      </c>
      <c r="X3280">
        <f>IF(AND(U3280=1,N3280&gt;=H3280*(1-Assumptions!$C$8)),1,0)</f>
        <v/>
      </c>
      <c r="Y3280">
        <f>IF(ISNUMBER(Q3280),1,0)</f>
        <v/>
      </c>
      <c r="Z3280">
        <f>IF(AND(K3280=0,L3280=0,Y3280=0),1,0)</f>
        <v/>
      </c>
      <c r="AA3280">
        <f>IF(AND(Z3280=1,G3280&lt;Assumptions!$C$6),1,0)</f>
        <v/>
      </c>
      <c r="AB3280">
        <f>IF(U3280=0,"",IF(Y3280=1,MAX(0,Q3280-G3280),IF(L3280=1,MAX(0,R3280-G3280),MAX(0,Assumptions!$C$6-G3280))))</f>
        <v/>
      </c>
      <c r="AC3280">
        <f>IF(Y3280=1,Q3280-F3280,"")</f>
        <v/>
      </c>
      <c r="AD3280">
        <f>IF(Y3280=1,AC3280^2,"")</f>
        <v/>
      </c>
      <c r="AE3280" s="19">
        <f>IF(Z3280=1,(H3280-M3280)*I3280,0)</f>
        <v/>
      </c>
      <c r="AF3280">
        <f>IF(G3280&lt;EDATE(Assumptions!$C$6,-12)+1,"prior_12m","last_12m")</f>
        <v/>
      </c>
      <c r="AG3280" s="21">
        <f>DATE(YEAR(G3280),MONTH(G3280),1)</f>
        <v/>
      </c>
    </row>
    <row r="3281">
      <c r="A3281" t="inlineStr">
        <is>
          <t>SPO-01753-2</t>
        </is>
      </c>
      <c r="B3281" t="inlineStr">
        <is>
          <t>SPO-01753</t>
        </is>
      </c>
      <c r="C3281" t="inlineStr">
        <is>
          <t>SUP-06</t>
        </is>
      </c>
      <c r="D3281" t="inlineStr">
        <is>
          <t>MRO</t>
        </is>
      </c>
      <c r="E3281" t="inlineStr">
        <is>
          <t>MRO-08</t>
        </is>
      </c>
      <c r="F3281" s="17" t="n">
        <v>46054</v>
      </c>
      <c r="G3281" s="17" t="n">
        <v>46062</v>
      </c>
      <c r="H3281" s="18" t="n">
        <v>136</v>
      </c>
      <c r="I3281" s="19" t="n">
        <v>7.19</v>
      </c>
      <c r="J3281" s="19" t="n">
        <v>7.2</v>
      </c>
      <c r="K3281" s="20" t="n">
        <v>0</v>
      </c>
      <c r="L3281" s="20" t="n">
        <v>0</v>
      </c>
      <c r="M3281" s="18" t="n">
        <v>136</v>
      </c>
      <c r="N3281" s="18" t="n">
        <v>136</v>
      </c>
      <c r="O3281" s="18" t="n">
        <v>0</v>
      </c>
      <c r="P3281" s="17" t="n">
        <v>46060</v>
      </c>
      <c r="Q3281" s="17" t="n">
        <v>46060</v>
      </c>
      <c r="R3281" s="17" t="n">
        <v>46060</v>
      </c>
      <c r="S3281" s="19">
        <f>H3281*I3281</f>
        <v/>
      </c>
      <c r="T3281" s="19">
        <f>H3281*J3281</f>
        <v/>
      </c>
      <c r="U3281">
        <f>IF(AND(K3281=0,G3281&lt;=Assumptions!$C$6),1,0)</f>
        <v/>
      </c>
      <c r="V3281">
        <f>IF(U3281=1,IF(M3281&gt;0,IF(P3281&lt;=G3281+Assumptions!$C$7,1,0),0),0)</f>
        <v/>
      </c>
      <c r="W3281">
        <f>IF(AND(U3281=1,M3281&gt;=H3281*(1-Assumptions!$C$8)),1,0)</f>
        <v/>
      </c>
      <c r="X3281">
        <f>IF(AND(U3281=1,N3281&gt;=H3281*(1-Assumptions!$C$8)),1,0)</f>
        <v/>
      </c>
      <c r="Y3281">
        <f>IF(ISNUMBER(Q3281),1,0)</f>
        <v/>
      </c>
      <c r="Z3281">
        <f>IF(AND(K3281=0,L3281=0,Y3281=0),1,0)</f>
        <v/>
      </c>
      <c r="AA3281">
        <f>IF(AND(Z3281=1,G3281&lt;Assumptions!$C$6),1,0)</f>
        <v/>
      </c>
      <c r="AB3281">
        <f>IF(U3281=0,"",IF(Y3281=1,MAX(0,Q3281-G3281),IF(L3281=1,MAX(0,R3281-G3281),MAX(0,Assumptions!$C$6-G3281))))</f>
        <v/>
      </c>
      <c r="AC3281">
        <f>IF(Y3281=1,Q3281-F3281,"")</f>
        <v/>
      </c>
      <c r="AD3281">
        <f>IF(Y3281=1,AC3281^2,"")</f>
        <v/>
      </c>
      <c r="AE3281" s="19">
        <f>IF(Z3281=1,(H3281-M3281)*I3281,0)</f>
        <v/>
      </c>
      <c r="AF3281">
        <f>IF(G3281&lt;EDATE(Assumptions!$C$6,-12)+1,"prior_12m","last_12m")</f>
        <v/>
      </c>
      <c r="AG3281" s="21">
        <f>DATE(YEAR(G3281),MONTH(G3281),1)</f>
        <v/>
      </c>
    </row>
    <row r="3282">
      <c r="A3282" t="inlineStr">
        <is>
          <t>SPO-01754-1</t>
        </is>
      </c>
      <c r="B3282" t="inlineStr">
        <is>
          <t>SPO-01754</t>
        </is>
      </c>
      <c r="C3282" t="inlineStr">
        <is>
          <t>SUP-01</t>
        </is>
      </c>
      <c r="D3282" t="inlineStr">
        <is>
          <t>ELEC</t>
        </is>
      </c>
      <c r="E3282" t="inlineStr">
        <is>
          <t>ELEC-04</t>
        </is>
      </c>
      <c r="F3282" s="17" t="n">
        <v>46054</v>
      </c>
      <c r="G3282" s="17" t="n">
        <v>46072</v>
      </c>
      <c r="H3282" s="18" t="n">
        <v>24</v>
      </c>
      <c r="I3282" s="19" t="n">
        <v>76.45999999999999</v>
      </c>
      <c r="J3282" s="19" t="n">
        <v>72</v>
      </c>
      <c r="K3282" s="20" t="n">
        <v>0</v>
      </c>
      <c r="L3282" s="20" t="n">
        <v>0</v>
      </c>
      <c r="M3282" s="18" t="n">
        <v>24</v>
      </c>
      <c r="N3282" s="18" t="n">
        <v>24</v>
      </c>
      <c r="O3282" s="18" t="n">
        <v>0</v>
      </c>
      <c r="P3282" s="17" t="n">
        <v>46068</v>
      </c>
      <c r="Q3282" s="17" t="n">
        <v>46068</v>
      </c>
      <c r="R3282" s="17" t="n">
        <v>46068</v>
      </c>
      <c r="S3282" s="19">
        <f>H3282*I3282</f>
        <v/>
      </c>
      <c r="T3282" s="19">
        <f>H3282*J3282</f>
        <v/>
      </c>
      <c r="U3282">
        <f>IF(AND(K3282=0,G3282&lt;=Assumptions!$C$6),1,0)</f>
        <v/>
      </c>
      <c r="V3282">
        <f>IF(U3282=1,IF(M3282&gt;0,IF(P3282&lt;=G3282+Assumptions!$C$7,1,0),0),0)</f>
        <v/>
      </c>
      <c r="W3282">
        <f>IF(AND(U3282=1,M3282&gt;=H3282*(1-Assumptions!$C$8)),1,0)</f>
        <v/>
      </c>
      <c r="X3282">
        <f>IF(AND(U3282=1,N3282&gt;=H3282*(1-Assumptions!$C$8)),1,0)</f>
        <v/>
      </c>
      <c r="Y3282">
        <f>IF(ISNUMBER(Q3282),1,0)</f>
        <v/>
      </c>
      <c r="Z3282">
        <f>IF(AND(K3282=0,L3282=0,Y3282=0),1,0)</f>
        <v/>
      </c>
      <c r="AA3282">
        <f>IF(AND(Z3282=1,G3282&lt;Assumptions!$C$6),1,0)</f>
        <v/>
      </c>
      <c r="AB3282">
        <f>IF(U3282=0,"",IF(Y3282=1,MAX(0,Q3282-G3282),IF(L3282=1,MAX(0,R3282-G3282),MAX(0,Assumptions!$C$6-G3282))))</f>
        <v/>
      </c>
      <c r="AC3282">
        <f>IF(Y3282=1,Q3282-F3282,"")</f>
        <v/>
      </c>
      <c r="AD3282">
        <f>IF(Y3282=1,AC3282^2,"")</f>
        <v/>
      </c>
      <c r="AE3282" s="19">
        <f>IF(Z3282=1,(H3282-M3282)*I3282,0)</f>
        <v/>
      </c>
      <c r="AF3282">
        <f>IF(G3282&lt;EDATE(Assumptions!$C$6,-12)+1,"prior_12m","last_12m")</f>
        <v/>
      </c>
      <c r="AG3282" s="21">
        <f>DATE(YEAR(G3282),MONTH(G3282),1)</f>
        <v/>
      </c>
    </row>
    <row r="3283">
      <c r="A3283" t="inlineStr">
        <is>
          <t>SPO-01755-1</t>
        </is>
      </c>
      <c r="B3283" t="inlineStr">
        <is>
          <t>SPO-01755</t>
        </is>
      </c>
      <c r="C3283" t="inlineStr">
        <is>
          <t>SUP-09</t>
        </is>
      </c>
      <c r="D3283" t="inlineStr">
        <is>
          <t>CHEM</t>
        </is>
      </c>
      <c r="E3283" t="inlineStr">
        <is>
          <t>CHEM-04</t>
        </is>
      </c>
      <c r="F3283" s="17" t="n">
        <v>46055</v>
      </c>
      <c r="G3283" s="17" t="n">
        <v>46069</v>
      </c>
      <c r="H3283" s="18" t="n">
        <v>1</v>
      </c>
      <c r="I3283" s="19" t="n">
        <v>851.46</v>
      </c>
      <c r="J3283" s="19" t="n">
        <v>820</v>
      </c>
      <c r="K3283" s="20" t="n">
        <v>0</v>
      </c>
      <c r="L3283" s="20" t="n">
        <v>0</v>
      </c>
      <c r="M3283" s="18" t="n">
        <v>1</v>
      </c>
      <c r="N3283" s="18" t="n">
        <v>1</v>
      </c>
      <c r="O3283" s="18" t="n">
        <v>0</v>
      </c>
      <c r="P3283" s="17" t="n">
        <v>46067</v>
      </c>
      <c r="Q3283" s="17" t="n">
        <v>46067</v>
      </c>
      <c r="R3283" s="17" t="n">
        <v>46067</v>
      </c>
      <c r="S3283" s="19">
        <f>H3283*I3283</f>
        <v/>
      </c>
      <c r="T3283" s="19">
        <f>H3283*J3283</f>
        <v/>
      </c>
      <c r="U3283">
        <f>IF(AND(K3283=0,G3283&lt;=Assumptions!$C$6),1,0)</f>
        <v/>
      </c>
      <c r="V3283">
        <f>IF(U3283=1,IF(M3283&gt;0,IF(P3283&lt;=G3283+Assumptions!$C$7,1,0),0),0)</f>
        <v/>
      </c>
      <c r="W3283">
        <f>IF(AND(U3283=1,M3283&gt;=H3283*(1-Assumptions!$C$8)),1,0)</f>
        <v/>
      </c>
      <c r="X3283">
        <f>IF(AND(U3283=1,N3283&gt;=H3283*(1-Assumptions!$C$8)),1,0)</f>
        <v/>
      </c>
      <c r="Y3283">
        <f>IF(ISNUMBER(Q3283),1,0)</f>
        <v/>
      </c>
      <c r="Z3283">
        <f>IF(AND(K3283=0,L3283=0,Y3283=0),1,0)</f>
        <v/>
      </c>
      <c r="AA3283">
        <f>IF(AND(Z3283=1,G3283&lt;Assumptions!$C$6),1,0)</f>
        <v/>
      </c>
      <c r="AB3283">
        <f>IF(U3283=0,"",IF(Y3283=1,MAX(0,Q3283-G3283),IF(L3283=1,MAX(0,R3283-G3283),MAX(0,Assumptions!$C$6-G3283))))</f>
        <v/>
      </c>
      <c r="AC3283">
        <f>IF(Y3283=1,Q3283-F3283,"")</f>
        <v/>
      </c>
      <c r="AD3283">
        <f>IF(Y3283=1,AC3283^2,"")</f>
        <v/>
      </c>
      <c r="AE3283" s="19">
        <f>IF(Z3283=1,(H3283-M3283)*I3283,0)</f>
        <v/>
      </c>
      <c r="AF3283">
        <f>IF(G3283&lt;EDATE(Assumptions!$C$6,-12)+1,"prior_12m","last_12m")</f>
        <v/>
      </c>
      <c r="AG3283" s="21">
        <f>DATE(YEAR(G3283),MONTH(G3283),1)</f>
        <v/>
      </c>
    </row>
    <row r="3284">
      <c r="A3284" t="inlineStr">
        <is>
          <t>SPO-01756-1</t>
        </is>
      </c>
      <c r="B3284" t="inlineStr">
        <is>
          <t>SPO-01756</t>
        </is>
      </c>
      <c r="C3284" t="inlineStr">
        <is>
          <t>SUP-12</t>
        </is>
      </c>
      <c r="D3284" t="inlineStr">
        <is>
          <t>IT</t>
        </is>
      </c>
      <c r="E3284" t="inlineStr">
        <is>
          <t>IT-07</t>
        </is>
      </c>
      <c r="F3284" s="17" t="n">
        <v>46055</v>
      </c>
      <c r="G3284" s="17" t="n">
        <v>46065</v>
      </c>
      <c r="H3284" s="18" t="n">
        <v>14</v>
      </c>
      <c r="I3284" s="19" t="n">
        <v>84.97</v>
      </c>
      <c r="J3284" s="19" t="n">
        <v>74</v>
      </c>
      <c r="K3284" s="20" t="n">
        <v>0</v>
      </c>
      <c r="L3284" s="20" t="n">
        <v>0</v>
      </c>
      <c r="M3284" s="18" t="n">
        <v>14</v>
      </c>
      <c r="N3284" s="18" t="n">
        <v>14</v>
      </c>
      <c r="O3284" s="18" t="n">
        <v>0</v>
      </c>
      <c r="P3284" s="17" t="n">
        <v>46059</v>
      </c>
      <c r="Q3284" s="17" t="n">
        <v>46059</v>
      </c>
      <c r="R3284" s="17" t="n">
        <v>46059</v>
      </c>
      <c r="S3284" s="19">
        <f>H3284*I3284</f>
        <v/>
      </c>
      <c r="T3284" s="19">
        <f>H3284*J3284</f>
        <v/>
      </c>
      <c r="U3284">
        <f>IF(AND(K3284=0,G3284&lt;=Assumptions!$C$6),1,0)</f>
        <v/>
      </c>
      <c r="V3284">
        <f>IF(U3284=1,IF(M3284&gt;0,IF(P3284&lt;=G3284+Assumptions!$C$7,1,0),0),0)</f>
        <v/>
      </c>
      <c r="W3284">
        <f>IF(AND(U3284=1,M3284&gt;=H3284*(1-Assumptions!$C$8)),1,0)</f>
        <v/>
      </c>
      <c r="X3284">
        <f>IF(AND(U3284=1,N3284&gt;=H3284*(1-Assumptions!$C$8)),1,0)</f>
        <v/>
      </c>
      <c r="Y3284">
        <f>IF(ISNUMBER(Q3284),1,0)</f>
        <v/>
      </c>
      <c r="Z3284">
        <f>IF(AND(K3284=0,L3284=0,Y3284=0),1,0)</f>
        <v/>
      </c>
      <c r="AA3284">
        <f>IF(AND(Z3284=1,G3284&lt;Assumptions!$C$6),1,0)</f>
        <v/>
      </c>
      <c r="AB3284">
        <f>IF(U3284=0,"",IF(Y3284=1,MAX(0,Q3284-G3284),IF(L3284=1,MAX(0,R3284-G3284),MAX(0,Assumptions!$C$6-G3284))))</f>
        <v/>
      </c>
      <c r="AC3284">
        <f>IF(Y3284=1,Q3284-F3284,"")</f>
        <v/>
      </c>
      <c r="AD3284">
        <f>IF(Y3284=1,AC3284^2,"")</f>
        <v/>
      </c>
      <c r="AE3284" s="19">
        <f>IF(Z3284=1,(H3284-M3284)*I3284,0)</f>
        <v/>
      </c>
      <c r="AF3284">
        <f>IF(G3284&lt;EDATE(Assumptions!$C$6,-12)+1,"prior_12m","last_12m")</f>
        <v/>
      </c>
      <c r="AG3284" s="21">
        <f>DATE(YEAR(G3284),MONTH(G3284),1)</f>
        <v/>
      </c>
    </row>
    <row r="3285">
      <c r="A3285" t="inlineStr">
        <is>
          <t>SPO-01757-1</t>
        </is>
      </c>
      <c r="B3285" t="inlineStr">
        <is>
          <t>SPO-01757</t>
        </is>
      </c>
      <c r="C3285" t="inlineStr">
        <is>
          <t>SUP-08</t>
        </is>
      </c>
      <c r="D3285" t="inlineStr">
        <is>
          <t>PPE</t>
        </is>
      </c>
      <c r="E3285" t="inlineStr">
        <is>
          <t>PPE-02</t>
        </is>
      </c>
      <c r="F3285" s="17" t="n">
        <v>46055</v>
      </c>
      <c r="G3285" s="17" t="n">
        <v>46066</v>
      </c>
      <c r="H3285" s="18" t="n">
        <v>157</v>
      </c>
      <c r="I3285" s="19" t="n">
        <v>11.67</v>
      </c>
      <c r="J3285" s="19" t="n">
        <v>12.5</v>
      </c>
      <c r="K3285" s="20" t="n">
        <v>0</v>
      </c>
      <c r="L3285" s="20" t="n">
        <v>0</v>
      </c>
      <c r="M3285" s="18" t="n">
        <v>157</v>
      </c>
      <c r="N3285" s="18" t="n">
        <v>157</v>
      </c>
      <c r="O3285" s="18" t="n">
        <v>0</v>
      </c>
      <c r="P3285" s="17" t="n">
        <v>46065</v>
      </c>
      <c r="Q3285" s="17" t="n">
        <v>46065</v>
      </c>
      <c r="R3285" s="17" t="n">
        <v>46065</v>
      </c>
      <c r="S3285" s="19">
        <f>H3285*I3285</f>
        <v/>
      </c>
      <c r="T3285" s="19">
        <f>H3285*J3285</f>
        <v/>
      </c>
      <c r="U3285">
        <f>IF(AND(K3285=0,G3285&lt;=Assumptions!$C$6),1,0)</f>
        <v/>
      </c>
      <c r="V3285">
        <f>IF(U3285=1,IF(M3285&gt;0,IF(P3285&lt;=G3285+Assumptions!$C$7,1,0),0),0)</f>
        <v/>
      </c>
      <c r="W3285">
        <f>IF(AND(U3285=1,M3285&gt;=H3285*(1-Assumptions!$C$8)),1,0)</f>
        <v/>
      </c>
      <c r="X3285">
        <f>IF(AND(U3285=1,N3285&gt;=H3285*(1-Assumptions!$C$8)),1,0)</f>
        <v/>
      </c>
      <c r="Y3285">
        <f>IF(ISNUMBER(Q3285),1,0)</f>
        <v/>
      </c>
      <c r="Z3285">
        <f>IF(AND(K3285=0,L3285=0,Y3285=0),1,0)</f>
        <v/>
      </c>
      <c r="AA3285">
        <f>IF(AND(Z3285=1,G3285&lt;Assumptions!$C$6),1,0)</f>
        <v/>
      </c>
      <c r="AB3285">
        <f>IF(U3285=0,"",IF(Y3285=1,MAX(0,Q3285-G3285),IF(L3285=1,MAX(0,R3285-G3285),MAX(0,Assumptions!$C$6-G3285))))</f>
        <v/>
      </c>
      <c r="AC3285">
        <f>IF(Y3285=1,Q3285-F3285,"")</f>
        <v/>
      </c>
      <c r="AD3285">
        <f>IF(Y3285=1,AC3285^2,"")</f>
        <v/>
      </c>
      <c r="AE3285" s="19">
        <f>IF(Z3285=1,(H3285-M3285)*I3285,0)</f>
        <v/>
      </c>
      <c r="AF3285">
        <f>IF(G3285&lt;EDATE(Assumptions!$C$6,-12)+1,"prior_12m","last_12m")</f>
        <v/>
      </c>
      <c r="AG3285" s="21">
        <f>DATE(YEAR(G3285),MONTH(G3285),1)</f>
        <v/>
      </c>
    </row>
    <row r="3286">
      <c r="A3286" t="inlineStr">
        <is>
          <t>SPO-01757-2</t>
        </is>
      </c>
      <c r="B3286" t="inlineStr">
        <is>
          <t>SPO-01757</t>
        </is>
      </c>
      <c r="C3286" t="inlineStr">
        <is>
          <t>SUP-08</t>
        </is>
      </c>
      <c r="D3286" t="inlineStr">
        <is>
          <t>PPE</t>
        </is>
      </c>
      <c r="E3286" t="inlineStr">
        <is>
          <t>PPE-05</t>
        </is>
      </c>
      <c r="F3286" s="17" t="n">
        <v>46055</v>
      </c>
      <c r="G3286" s="17" t="n">
        <v>46066</v>
      </c>
      <c r="H3286" s="18" t="n">
        <v>140</v>
      </c>
      <c r="I3286" s="19" t="n">
        <v>11.39</v>
      </c>
      <c r="J3286" s="19" t="n">
        <v>11</v>
      </c>
      <c r="K3286" s="20" t="n">
        <v>0</v>
      </c>
      <c r="L3286" s="20" t="n">
        <v>0</v>
      </c>
      <c r="M3286" s="18" t="n">
        <v>140</v>
      </c>
      <c r="N3286" s="18" t="n">
        <v>140</v>
      </c>
      <c r="O3286" s="18" t="n">
        <v>0</v>
      </c>
      <c r="P3286" s="17" t="n">
        <v>46065</v>
      </c>
      <c r="Q3286" s="17" t="n">
        <v>46065</v>
      </c>
      <c r="R3286" s="17" t="n">
        <v>46065</v>
      </c>
      <c r="S3286" s="19">
        <f>H3286*I3286</f>
        <v/>
      </c>
      <c r="T3286" s="19">
        <f>H3286*J3286</f>
        <v/>
      </c>
      <c r="U3286">
        <f>IF(AND(K3286=0,G3286&lt;=Assumptions!$C$6),1,0)</f>
        <v/>
      </c>
      <c r="V3286">
        <f>IF(U3286=1,IF(M3286&gt;0,IF(P3286&lt;=G3286+Assumptions!$C$7,1,0),0),0)</f>
        <v/>
      </c>
      <c r="W3286">
        <f>IF(AND(U3286=1,M3286&gt;=H3286*(1-Assumptions!$C$8)),1,0)</f>
        <v/>
      </c>
      <c r="X3286">
        <f>IF(AND(U3286=1,N3286&gt;=H3286*(1-Assumptions!$C$8)),1,0)</f>
        <v/>
      </c>
      <c r="Y3286">
        <f>IF(ISNUMBER(Q3286),1,0)</f>
        <v/>
      </c>
      <c r="Z3286">
        <f>IF(AND(K3286=0,L3286=0,Y3286=0),1,0)</f>
        <v/>
      </c>
      <c r="AA3286">
        <f>IF(AND(Z3286=1,G3286&lt;Assumptions!$C$6),1,0)</f>
        <v/>
      </c>
      <c r="AB3286">
        <f>IF(U3286=0,"",IF(Y3286=1,MAX(0,Q3286-G3286),IF(L3286=1,MAX(0,R3286-G3286),MAX(0,Assumptions!$C$6-G3286))))</f>
        <v/>
      </c>
      <c r="AC3286">
        <f>IF(Y3286=1,Q3286-F3286,"")</f>
        <v/>
      </c>
      <c r="AD3286">
        <f>IF(Y3286=1,AC3286^2,"")</f>
        <v/>
      </c>
      <c r="AE3286" s="19">
        <f>IF(Z3286=1,(H3286-M3286)*I3286,0)</f>
        <v/>
      </c>
      <c r="AF3286">
        <f>IF(G3286&lt;EDATE(Assumptions!$C$6,-12)+1,"prior_12m","last_12m")</f>
        <v/>
      </c>
      <c r="AG3286" s="21">
        <f>DATE(YEAR(G3286),MONTH(G3286),1)</f>
        <v/>
      </c>
    </row>
    <row r="3287">
      <c r="A3287" t="inlineStr">
        <is>
          <t>SPO-01757-3</t>
        </is>
      </c>
      <c r="B3287" t="inlineStr">
        <is>
          <t>SPO-01757</t>
        </is>
      </c>
      <c r="C3287" t="inlineStr">
        <is>
          <t>SUP-08</t>
        </is>
      </c>
      <c r="D3287" t="inlineStr">
        <is>
          <t>PPE</t>
        </is>
      </c>
      <c r="E3287" t="inlineStr">
        <is>
          <t>PPE-07</t>
        </is>
      </c>
      <c r="F3287" s="17" t="n">
        <v>46055</v>
      </c>
      <c r="G3287" s="17" t="n">
        <v>46066</v>
      </c>
      <c r="H3287" s="18" t="n">
        <v>30</v>
      </c>
      <c r="I3287" s="19" t="n">
        <v>31.45</v>
      </c>
      <c r="J3287" s="19" t="n">
        <v>31</v>
      </c>
      <c r="K3287" s="20" t="n">
        <v>0</v>
      </c>
      <c r="L3287" s="20" t="n">
        <v>0</v>
      </c>
      <c r="M3287" s="18" t="n">
        <v>30</v>
      </c>
      <c r="N3287" s="18" t="n">
        <v>14</v>
      </c>
      <c r="O3287" s="18" t="n">
        <v>0</v>
      </c>
      <c r="P3287" s="17" t="n">
        <v>46063</v>
      </c>
      <c r="Q3287" s="17" t="n">
        <v>46074</v>
      </c>
      <c r="R3287" s="17" t="n">
        <v>46074</v>
      </c>
      <c r="S3287" s="19">
        <f>H3287*I3287</f>
        <v/>
      </c>
      <c r="T3287" s="19">
        <f>H3287*J3287</f>
        <v/>
      </c>
      <c r="U3287">
        <f>IF(AND(K3287=0,G3287&lt;=Assumptions!$C$6),1,0)</f>
        <v/>
      </c>
      <c r="V3287">
        <f>IF(U3287=1,IF(M3287&gt;0,IF(P3287&lt;=G3287+Assumptions!$C$7,1,0),0),0)</f>
        <v/>
      </c>
      <c r="W3287">
        <f>IF(AND(U3287=1,M3287&gt;=H3287*(1-Assumptions!$C$8)),1,0)</f>
        <v/>
      </c>
      <c r="X3287">
        <f>IF(AND(U3287=1,N3287&gt;=H3287*(1-Assumptions!$C$8)),1,0)</f>
        <v/>
      </c>
      <c r="Y3287">
        <f>IF(ISNUMBER(Q3287),1,0)</f>
        <v/>
      </c>
      <c r="Z3287">
        <f>IF(AND(K3287=0,L3287=0,Y3287=0),1,0)</f>
        <v/>
      </c>
      <c r="AA3287">
        <f>IF(AND(Z3287=1,G3287&lt;Assumptions!$C$6),1,0)</f>
        <v/>
      </c>
      <c r="AB3287">
        <f>IF(U3287=0,"",IF(Y3287=1,MAX(0,Q3287-G3287),IF(L3287=1,MAX(0,R3287-G3287),MAX(0,Assumptions!$C$6-G3287))))</f>
        <v/>
      </c>
      <c r="AC3287">
        <f>IF(Y3287=1,Q3287-F3287,"")</f>
        <v/>
      </c>
      <c r="AD3287">
        <f>IF(Y3287=1,AC3287^2,"")</f>
        <v/>
      </c>
      <c r="AE3287" s="19">
        <f>IF(Z3287=1,(H3287-M3287)*I3287,0)</f>
        <v/>
      </c>
      <c r="AF3287">
        <f>IF(G3287&lt;EDATE(Assumptions!$C$6,-12)+1,"prior_12m","last_12m")</f>
        <v/>
      </c>
      <c r="AG3287" s="21">
        <f>DATE(YEAR(G3287),MONTH(G3287),1)</f>
        <v/>
      </c>
    </row>
    <row r="3288">
      <c r="A3288" t="inlineStr">
        <is>
          <t>SPO-01757-4</t>
        </is>
      </c>
      <c r="B3288" t="inlineStr">
        <is>
          <t>SPO-01757</t>
        </is>
      </c>
      <c r="C3288" t="inlineStr">
        <is>
          <t>SUP-08</t>
        </is>
      </c>
      <c r="D3288" t="inlineStr">
        <is>
          <t>PPE</t>
        </is>
      </c>
      <c r="E3288" t="inlineStr">
        <is>
          <t>PPE-03</t>
        </is>
      </c>
      <c r="F3288" s="17" t="n">
        <v>46055</v>
      </c>
      <c r="G3288" s="17" t="n">
        <v>46066</v>
      </c>
      <c r="H3288" s="18" t="n">
        <v>46</v>
      </c>
      <c r="I3288" s="19" t="n">
        <v>21.24</v>
      </c>
      <c r="J3288" s="19" t="n">
        <v>21</v>
      </c>
      <c r="K3288" s="20" t="n">
        <v>0</v>
      </c>
      <c r="L3288" s="20" t="n">
        <v>0</v>
      </c>
      <c r="M3288" s="18" t="n">
        <v>46</v>
      </c>
      <c r="N3288" s="18" t="n">
        <v>46</v>
      </c>
      <c r="O3288" s="18" t="n">
        <v>0</v>
      </c>
      <c r="P3288" s="17" t="n">
        <v>46065</v>
      </c>
      <c r="Q3288" s="17" t="n">
        <v>46065</v>
      </c>
      <c r="R3288" s="17" t="n">
        <v>46065</v>
      </c>
      <c r="S3288" s="19">
        <f>H3288*I3288</f>
        <v/>
      </c>
      <c r="T3288" s="19">
        <f>H3288*J3288</f>
        <v/>
      </c>
      <c r="U3288">
        <f>IF(AND(K3288=0,G3288&lt;=Assumptions!$C$6),1,0)</f>
        <v/>
      </c>
      <c r="V3288">
        <f>IF(U3288=1,IF(M3288&gt;0,IF(P3288&lt;=G3288+Assumptions!$C$7,1,0),0),0)</f>
        <v/>
      </c>
      <c r="W3288">
        <f>IF(AND(U3288=1,M3288&gt;=H3288*(1-Assumptions!$C$8)),1,0)</f>
        <v/>
      </c>
      <c r="X3288">
        <f>IF(AND(U3288=1,N3288&gt;=H3288*(1-Assumptions!$C$8)),1,0)</f>
        <v/>
      </c>
      <c r="Y3288">
        <f>IF(ISNUMBER(Q3288),1,0)</f>
        <v/>
      </c>
      <c r="Z3288">
        <f>IF(AND(K3288=0,L3288=0,Y3288=0),1,0)</f>
        <v/>
      </c>
      <c r="AA3288">
        <f>IF(AND(Z3288=1,G3288&lt;Assumptions!$C$6),1,0)</f>
        <v/>
      </c>
      <c r="AB3288">
        <f>IF(U3288=0,"",IF(Y3288=1,MAX(0,Q3288-G3288),IF(L3288=1,MAX(0,R3288-G3288),MAX(0,Assumptions!$C$6-G3288))))</f>
        <v/>
      </c>
      <c r="AC3288">
        <f>IF(Y3288=1,Q3288-F3288,"")</f>
        <v/>
      </c>
      <c r="AD3288">
        <f>IF(Y3288=1,AC3288^2,"")</f>
        <v/>
      </c>
      <c r="AE3288" s="19">
        <f>IF(Z3288=1,(H3288-M3288)*I3288,0)</f>
        <v/>
      </c>
      <c r="AF3288">
        <f>IF(G3288&lt;EDATE(Assumptions!$C$6,-12)+1,"prior_12m","last_12m")</f>
        <v/>
      </c>
      <c r="AG3288" s="21">
        <f>DATE(YEAR(G3288),MONTH(G3288),1)</f>
        <v/>
      </c>
    </row>
    <row r="3289">
      <c r="A3289" t="inlineStr">
        <is>
          <t>SPO-01758-1</t>
        </is>
      </c>
      <c r="B3289" t="inlineStr">
        <is>
          <t>SPO-01758</t>
        </is>
      </c>
      <c r="C3289" t="inlineStr">
        <is>
          <t>SUP-04</t>
        </is>
      </c>
      <c r="D3289" t="inlineStr">
        <is>
          <t>FLEET</t>
        </is>
      </c>
      <c r="E3289" t="inlineStr">
        <is>
          <t>FLEET-08</t>
        </is>
      </c>
      <c r="F3289" s="17" t="n">
        <v>46056</v>
      </c>
      <c r="G3289" s="17" t="n">
        <v>46069</v>
      </c>
      <c r="H3289" s="18" t="n">
        <v>352</v>
      </c>
      <c r="I3289" s="19" t="n">
        <v>6.03</v>
      </c>
      <c r="J3289" s="19" t="n">
        <v>6.4</v>
      </c>
      <c r="K3289" s="20" t="n">
        <v>0</v>
      </c>
      <c r="L3289" s="20" t="n">
        <v>0</v>
      </c>
      <c r="M3289" s="18" t="n">
        <v>352</v>
      </c>
      <c r="N3289" s="18" t="n">
        <v>0</v>
      </c>
      <c r="O3289" s="18" t="n">
        <v>0</v>
      </c>
      <c r="P3289" s="17" t="n">
        <v>46076</v>
      </c>
      <c r="Q3289" s="17" t="n">
        <v>46076</v>
      </c>
      <c r="R3289" s="17" t="n">
        <v>46076</v>
      </c>
      <c r="S3289" s="19">
        <f>H3289*I3289</f>
        <v/>
      </c>
      <c r="T3289" s="19">
        <f>H3289*J3289</f>
        <v/>
      </c>
      <c r="U3289">
        <f>IF(AND(K3289=0,G3289&lt;=Assumptions!$C$6),1,0)</f>
        <v/>
      </c>
      <c r="V3289">
        <f>IF(U3289=1,IF(M3289&gt;0,IF(P3289&lt;=G3289+Assumptions!$C$7,1,0),0),0)</f>
        <v/>
      </c>
      <c r="W3289">
        <f>IF(AND(U3289=1,M3289&gt;=H3289*(1-Assumptions!$C$8)),1,0)</f>
        <v/>
      </c>
      <c r="X3289">
        <f>IF(AND(U3289=1,N3289&gt;=H3289*(1-Assumptions!$C$8)),1,0)</f>
        <v/>
      </c>
      <c r="Y3289">
        <f>IF(ISNUMBER(Q3289),1,0)</f>
        <v/>
      </c>
      <c r="Z3289">
        <f>IF(AND(K3289=0,L3289=0,Y3289=0),1,0)</f>
        <v/>
      </c>
      <c r="AA3289">
        <f>IF(AND(Z3289=1,G3289&lt;Assumptions!$C$6),1,0)</f>
        <v/>
      </c>
      <c r="AB3289">
        <f>IF(U3289=0,"",IF(Y3289=1,MAX(0,Q3289-G3289),IF(L3289=1,MAX(0,R3289-G3289),MAX(0,Assumptions!$C$6-G3289))))</f>
        <v/>
      </c>
      <c r="AC3289">
        <f>IF(Y3289=1,Q3289-F3289,"")</f>
        <v/>
      </c>
      <c r="AD3289">
        <f>IF(Y3289=1,AC3289^2,"")</f>
        <v/>
      </c>
      <c r="AE3289" s="19">
        <f>IF(Z3289=1,(H3289-M3289)*I3289,0)</f>
        <v/>
      </c>
      <c r="AF3289">
        <f>IF(G3289&lt;EDATE(Assumptions!$C$6,-12)+1,"prior_12m","last_12m")</f>
        <v/>
      </c>
      <c r="AG3289" s="21">
        <f>DATE(YEAR(G3289),MONTH(G3289),1)</f>
        <v/>
      </c>
    </row>
    <row r="3290">
      <c r="A3290" t="inlineStr">
        <is>
          <t>SPO-01758-2</t>
        </is>
      </c>
      <c r="B3290" t="inlineStr">
        <is>
          <t>SPO-01758</t>
        </is>
      </c>
      <c r="C3290" t="inlineStr">
        <is>
          <t>SUP-04</t>
        </is>
      </c>
      <c r="D3290" t="inlineStr">
        <is>
          <t>FLEET</t>
        </is>
      </c>
      <c r="E3290" t="inlineStr">
        <is>
          <t>FLEET-03</t>
        </is>
      </c>
      <c r="F3290" s="17" t="n">
        <v>46056</v>
      </c>
      <c r="G3290" s="17" t="n">
        <v>46069</v>
      </c>
      <c r="H3290" s="18" t="n">
        <v>37</v>
      </c>
      <c r="I3290" s="19" t="n">
        <v>20.76</v>
      </c>
      <c r="J3290" s="19" t="n">
        <v>21</v>
      </c>
      <c r="K3290" s="20" t="n">
        <v>0</v>
      </c>
      <c r="L3290" s="20" t="n">
        <v>0</v>
      </c>
      <c r="M3290" s="18" t="n">
        <v>37</v>
      </c>
      <c r="N3290" s="18" t="n">
        <v>37</v>
      </c>
      <c r="O3290" s="18" t="n">
        <v>0</v>
      </c>
      <c r="P3290" s="17" t="n">
        <v>46067</v>
      </c>
      <c r="Q3290" s="17" t="n">
        <v>46067</v>
      </c>
      <c r="R3290" s="17" t="n">
        <v>46067</v>
      </c>
      <c r="S3290" s="19">
        <f>H3290*I3290</f>
        <v/>
      </c>
      <c r="T3290" s="19">
        <f>H3290*J3290</f>
        <v/>
      </c>
      <c r="U3290">
        <f>IF(AND(K3290=0,G3290&lt;=Assumptions!$C$6),1,0)</f>
        <v/>
      </c>
      <c r="V3290">
        <f>IF(U3290=1,IF(M3290&gt;0,IF(P3290&lt;=G3290+Assumptions!$C$7,1,0),0),0)</f>
        <v/>
      </c>
      <c r="W3290">
        <f>IF(AND(U3290=1,M3290&gt;=H3290*(1-Assumptions!$C$8)),1,0)</f>
        <v/>
      </c>
      <c r="X3290">
        <f>IF(AND(U3290=1,N3290&gt;=H3290*(1-Assumptions!$C$8)),1,0)</f>
        <v/>
      </c>
      <c r="Y3290">
        <f>IF(ISNUMBER(Q3290),1,0)</f>
        <v/>
      </c>
      <c r="Z3290">
        <f>IF(AND(K3290=0,L3290=0,Y3290=0),1,0)</f>
        <v/>
      </c>
      <c r="AA3290">
        <f>IF(AND(Z3290=1,G3290&lt;Assumptions!$C$6),1,0)</f>
        <v/>
      </c>
      <c r="AB3290">
        <f>IF(U3290=0,"",IF(Y3290=1,MAX(0,Q3290-G3290),IF(L3290=1,MAX(0,R3290-G3290),MAX(0,Assumptions!$C$6-G3290))))</f>
        <v/>
      </c>
      <c r="AC3290">
        <f>IF(Y3290=1,Q3290-F3290,"")</f>
        <v/>
      </c>
      <c r="AD3290">
        <f>IF(Y3290=1,AC3290^2,"")</f>
        <v/>
      </c>
      <c r="AE3290" s="19">
        <f>IF(Z3290=1,(H3290-M3290)*I3290,0)</f>
        <v/>
      </c>
      <c r="AF3290">
        <f>IF(G3290&lt;EDATE(Assumptions!$C$6,-12)+1,"prior_12m","last_12m")</f>
        <v/>
      </c>
      <c r="AG3290" s="21">
        <f>DATE(YEAR(G3290),MONTH(G3290),1)</f>
        <v/>
      </c>
    </row>
    <row r="3291">
      <c r="A3291" t="inlineStr">
        <is>
          <t>SPO-01758-3</t>
        </is>
      </c>
      <c r="B3291" t="inlineStr">
        <is>
          <t>SPO-01758</t>
        </is>
      </c>
      <c r="C3291" t="inlineStr">
        <is>
          <t>SUP-04</t>
        </is>
      </c>
      <c r="D3291" t="inlineStr">
        <is>
          <t>FLEET</t>
        </is>
      </c>
      <c r="E3291" t="inlineStr">
        <is>
          <t>FLEET-01</t>
        </is>
      </c>
      <c r="F3291" s="17" t="n">
        <v>46056</v>
      </c>
      <c r="G3291" s="17" t="n">
        <v>46069</v>
      </c>
      <c r="H3291" s="18" t="n">
        <v>21</v>
      </c>
      <c r="I3291" s="19" t="n">
        <v>63.77</v>
      </c>
      <c r="J3291" s="19" t="n">
        <v>64</v>
      </c>
      <c r="K3291" s="20" t="n">
        <v>0</v>
      </c>
      <c r="L3291" s="20" t="n">
        <v>0</v>
      </c>
      <c r="M3291" s="18" t="n">
        <v>21</v>
      </c>
      <c r="N3291" s="18" t="n">
        <v>21</v>
      </c>
      <c r="O3291" s="18" t="n">
        <v>5</v>
      </c>
      <c r="P3291" s="17" t="n">
        <v>46058</v>
      </c>
      <c r="Q3291" s="17" t="n">
        <v>46058</v>
      </c>
      <c r="R3291" s="17" t="n">
        <v>46058</v>
      </c>
      <c r="S3291" s="19">
        <f>H3291*I3291</f>
        <v/>
      </c>
      <c r="T3291" s="19">
        <f>H3291*J3291</f>
        <v/>
      </c>
      <c r="U3291">
        <f>IF(AND(K3291=0,G3291&lt;=Assumptions!$C$6),1,0)</f>
        <v/>
      </c>
      <c r="V3291">
        <f>IF(U3291=1,IF(M3291&gt;0,IF(P3291&lt;=G3291+Assumptions!$C$7,1,0),0),0)</f>
        <v/>
      </c>
      <c r="W3291">
        <f>IF(AND(U3291=1,M3291&gt;=H3291*(1-Assumptions!$C$8)),1,0)</f>
        <v/>
      </c>
      <c r="X3291">
        <f>IF(AND(U3291=1,N3291&gt;=H3291*(1-Assumptions!$C$8)),1,0)</f>
        <v/>
      </c>
      <c r="Y3291">
        <f>IF(ISNUMBER(Q3291),1,0)</f>
        <v/>
      </c>
      <c r="Z3291">
        <f>IF(AND(K3291=0,L3291=0,Y3291=0),1,0)</f>
        <v/>
      </c>
      <c r="AA3291">
        <f>IF(AND(Z3291=1,G3291&lt;Assumptions!$C$6),1,0)</f>
        <v/>
      </c>
      <c r="AB3291">
        <f>IF(U3291=0,"",IF(Y3291=1,MAX(0,Q3291-G3291),IF(L3291=1,MAX(0,R3291-G3291),MAX(0,Assumptions!$C$6-G3291))))</f>
        <v/>
      </c>
      <c r="AC3291">
        <f>IF(Y3291=1,Q3291-F3291,"")</f>
        <v/>
      </c>
      <c r="AD3291">
        <f>IF(Y3291=1,AC3291^2,"")</f>
        <v/>
      </c>
      <c r="AE3291" s="19">
        <f>IF(Z3291=1,(H3291-M3291)*I3291,0)</f>
        <v/>
      </c>
      <c r="AF3291">
        <f>IF(G3291&lt;EDATE(Assumptions!$C$6,-12)+1,"prior_12m","last_12m")</f>
        <v/>
      </c>
      <c r="AG3291" s="21">
        <f>DATE(YEAR(G3291),MONTH(G3291),1)</f>
        <v/>
      </c>
    </row>
    <row r="3292">
      <c r="A3292" t="inlineStr">
        <is>
          <t>SPO-01759-1</t>
        </is>
      </c>
      <c r="B3292" t="inlineStr">
        <is>
          <t>SPO-01759</t>
        </is>
      </c>
      <c r="C3292" t="inlineStr">
        <is>
          <t>SUP-01</t>
        </is>
      </c>
      <c r="D3292" t="inlineStr">
        <is>
          <t>ELEC</t>
        </is>
      </c>
      <c r="E3292" t="inlineStr">
        <is>
          <t>ELEC-08</t>
        </is>
      </c>
      <c r="F3292" s="17" t="n">
        <v>46056</v>
      </c>
      <c r="G3292" s="17" t="n">
        <v>46074</v>
      </c>
      <c r="H3292" s="18" t="n">
        <v>346</v>
      </c>
      <c r="I3292" s="19" t="n">
        <v>17.79</v>
      </c>
      <c r="J3292" s="19" t="n">
        <v>18</v>
      </c>
      <c r="K3292" s="20" t="n">
        <v>0</v>
      </c>
      <c r="L3292" s="20" t="n">
        <v>0</v>
      </c>
      <c r="M3292" s="18" t="n">
        <v>346</v>
      </c>
      <c r="N3292" s="18" t="n">
        <v>0</v>
      </c>
      <c r="O3292" s="18" t="n">
        <v>0</v>
      </c>
      <c r="P3292" s="17" t="n">
        <v>46077</v>
      </c>
      <c r="Q3292" s="17" t="n">
        <v>46077</v>
      </c>
      <c r="R3292" s="17" t="n">
        <v>46077</v>
      </c>
      <c r="S3292" s="19">
        <f>H3292*I3292</f>
        <v/>
      </c>
      <c r="T3292" s="19">
        <f>H3292*J3292</f>
        <v/>
      </c>
      <c r="U3292">
        <f>IF(AND(K3292=0,G3292&lt;=Assumptions!$C$6),1,0)</f>
        <v/>
      </c>
      <c r="V3292">
        <f>IF(U3292=1,IF(M3292&gt;0,IF(P3292&lt;=G3292+Assumptions!$C$7,1,0),0),0)</f>
        <v/>
      </c>
      <c r="W3292">
        <f>IF(AND(U3292=1,M3292&gt;=H3292*(1-Assumptions!$C$8)),1,0)</f>
        <v/>
      </c>
      <c r="X3292">
        <f>IF(AND(U3292=1,N3292&gt;=H3292*(1-Assumptions!$C$8)),1,0)</f>
        <v/>
      </c>
      <c r="Y3292">
        <f>IF(ISNUMBER(Q3292),1,0)</f>
        <v/>
      </c>
      <c r="Z3292">
        <f>IF(AND(K3292=0,L3292=0,Y3292=0),1,0)</f>
        <v/>
      </c>
      <c r="AA3292">
        <f>IF(AND(Z3292=1,G3292&lt;Assumptions!$C$6),1,0)</f>
        <v/>
      </c>
      <c r="AB3292">
        <f>IF(U3292=0,"",IF(Y3292=1,MAX(0,Q3292-G3292),IF(L3292=1,MAX(0,R3292-G3292),MAX(0,Assumptions!$C$6-G3292))))</f>
        <v/>
      </c>
      <c r="AC3292">
        <f>IF(Y3292=1,Q3292-F3292,"")</f>
        <v/>
      </c>
      <c r="AD3292">
        <f>IF(Y3292=1,AC3292^2,"")</f>
        <v/>
      </c>
      <c r="AE3292" s="19">
        <f>IF(Z3292=1,(H3292-M3292)*I3292,0)</f>
        <v/>
      </c>
      <c r="AF3292">
        <f>IF(G3292&lt;EDATE(Assumptions!$C$6,-12)+1,"prior_12m","last_12m")</f>
        <v/>
      </c>
      <c r="AG3292" s="21">
        <f>DATE(YEAR(G3292),MONTH(G3292),1)</f>
        <v/>
      </c>
    </row>
    <row r="3293">
      <c r="A3293" t="inlineStr">
        <is>
          <t>SPO-01760-1</t>
        </is>
      </c>
      <c r="B3293" t="inlineStr">
        <is>
          <t>SPO-01760</t>
        </is>
      </c>
      <c r="C3293" t="inlineStr">
        <is>
          <t>SUP-01</t>
        </is>
      </c>
      <c r="D3293" t="inlineStr">
        <is>
          <t>ELEC</t>
        </is>
      </c>
      <c r="E3293" t="inlineStr">
        <is>
          <t>ELEC-08</t>
        </is>
      </c>
      <c r="F3293" s="17" t="n">
        <v>46056</v>
      </c>
      <c r="G3293" s="17" t="n">
        <v>46074</v>
      </c>
      <c r="H3293" s="18" t="n">
        <v>88</v>
      </c>
      <c r="I3293" s="19" t="n">
        <v>18.89</v>
      </c>
      <c r="J3293" s="19" t="n">
        <v>18</v>
      </c>
      <c r="K3293" s="20" t="n">
        <v>1</v>
      </c>
      <c r="L3293" s="20" t="n">
        <v>0</v>
      </c>
      <c r="M3293" s="18" t="n">
        <v>0</v>
      </c>
      <c r="N3293" s="18" t="n">
        <v>0</v>
      </c>
      <c r="O3293" s="18" t="n">
        <v>0</v>
      </c>
      <c r="P3293" s="17" t="n"/>
      <c r="Q3293" s="17" t="n"/>
      <c r="R3293" s="17" t="n"/>
      <c r="S3293" s="19">
        <f>H3293*I3293</f>
        <v/>
      </c>
      <c r="T3293" s="19">
        <f>H3293*J3293</f>
        <v/>
      </c>
      <c r="U3293">
        <f>IF(AND(K3293=0,G3293&lt;=Assumptions!$C$6),1,0)</f>
        <v/>
      </c>
      <c r="V3293">
        <f>IF(U3293=1,IF(M3293&gt;0,IF(P3293&lt;=G3293+Assumptions!$C$7,1,0),0),0)</f>
        <v/>
      </c>
      <c r="W3293">
        <f>IF(AND(U3293=1,M3293&gt;=H3293*(1-Assumptions!$C$8)),1,0)</f>
        <v/>
      </c>
      <c r="X3293">
        <f>IF(AND(U3293=1,N3293&gt;=H3293*(1-Assumptions!$C$8)),1,0)</f>
        <v/>
      </c>
      <c r="Y3293">
        <f>IF(ISNUMBER(Q3293),1,0)</f>
        <v/>
      </c>
      <c r="Z3293">
        <f>IF(AND(K3293=0,L3293=0,Y3293=0),1,0)</f>
        <v/>
      </c>
      <c r="AA3293">
        <f>IF(AND(Z3293=1,G3293&lt;Assumptions!$C$6),1,0)</f>
        <v/>
      </c>
      <c r="AB3293">
        <f>IF(U3293=0,"",IF(Y3293=1,MAX(0,Q3293-G3293),IF(L3293=1,MAX(0,R3293-G3293),MAX(0,Assumptions!$C$6-G3293))))</f>
        <v/>
      </c>
      <c r="AC3293">
        <f>IF(Y3293=1,Q3293-F3293,"")</f>
        <v/>
      </c>
      <c r="AD3293">
        <f>IF(Y3293=1,AC3293^2,"")</f>
        <v/>
      </c>
      <c r="AE3293" s="19">
        <f>IF(Z3293=1,(H3293-M3293)*I3293,0)</f>
        <v/>
      </c>
      <c r="AF3293">
        <f>IF(G3293&lt;EDATE(Assumptions!$C$6,-12)+1,"prior_12m","last_12m")</f>
        <v/>
      </c>
      <c r="AG3293" s="21">
        <f>DATE(YEAR(G3293),MONTH(G3293),1)</f>
        <v/>
      </c>
    </row>
    <row r="3294">
      <c r="A3294" t="inlineStr">
        <is>
          <t>SPO-01760-2</t>
        </is>
      </c>
      <c r="B3294" t="inlineStr">
        <is>
          <t>SPO-01760</t>
        </is>
      </c>
      <c r="C3294" t="inlineStr">
        <is>
          <t>SUP-01</t>
        </is>
      </c>
      <c r="D3294" t="inlineStr">
        <is>
          <t>ELEC</t>
        </is>
      </c>
      <c r="E3294" t="inlineStr">
        <is>
          <t>ELEC-04</t>
        </is>
      </c>
      <c r="F3294" s="17" t="n">
        <v>46056</v>
      </c>
      <c r="G3294" s="17" t="n">
        <v>46074</v>
      </c>
      <c r="H3294" s="18" t="n">
        <v>27</v>
      </c>
      <c r="I3294" s="19" t="n">
        <v>73.62</v>
      </c>
      <c r="J3294" s="19" t="n">
        <v>72</v>
      </c>
      <c r="K3294" s="20" t="n">
        <v>1</v>
      </c>
      <c r="L3294" s="20" t="n">
        <v>0</v>
      </c>
      <c r="M3294" s="18" t="n">
        <v>0</v>
      </c>
      <c r="N3294" s="18" t="n">
        <v>0</v>
      </c>
      <c r="O3294" s="18" t="n">
        <v>0</v>
      </c>
      <c r="P3294" s="17" t="n"/>
      <c r="Q3294" s="17" t="n"/>
      <c r="R3294" s="17" t="n"/>
      <c r="S3294" s="19">
        <f>H3294*I3294</f>
        <v/>
      </c>
      <c r="T3294" s="19">
        <f>H3294*J3294</f>
        <v/>
      </c>
      <c r="U3294">
        <f>IF(AND(K3294=0,G3294&lt;=Assumptions!$C$6),1,0)</f>
        <v/>
      </c>
      <c r="V3294">
        <f>IF(U3294=1,IF(M3294&gt;0,IF(P3294&lt;=G3294+Assumptions!$C$7,1,0),0),0)</f>
        <v/>
      </c>
      <c r="W3294">
        <f>IF(AND(U3294=1,M3294&gt;=H3294*(1-Assumptions!$C$8)),1,0)</f>
        <v/>
      </c>
      <c r="X3294">
        <f>IF(AND(U3294=1,N3294&gt;=H3294*(1-Assumptions!$C$8)),1,0)</f>
        <v/>
      </c>
      <c r="Y3294">
        <f>IF(ISNUMBER(Q3294),1,0)</f>
        <v/>
      </c>
      <c r="Z3294">
        <f>IF(AND(K3294=0,L3294=0,Y3294=0),1,0)</f>
        <v/>
      </c>
      <c r="AA3294">
        <f>IF(AND(Z3294=1,G3294&lt;Assumptions!$C$6),1,0)</f>
        <v/>
      </c>
      <c r="AB3294">
        <f>IF(U3294=0,"",IF(Y3294=1,MAX(0,Q3294-G3294),IF(L3294=1,MAX(0,R3294-G3294),MAX(0,Assumptions!$C$6-G3294))))</f>
        <v/>
      </c>
      <c r="AC3294">
        <f>IF(Y3294=1,Q3294-F3294,"")</f>
        <v/>
      </c>
      <c r="AD3294">
        <f>IF(Y3294=1,AC3294^2,"")</f>
        <v/>
      </c>
      <c r="AE3294" s="19">
        <f>IF(Z3294=1,(H3294-M3294)*I3294,0)</f>
        <v/>
      </c>
      <c r="AF3294">
        <f>IF(G3294&lt;EDATE(Assumptions!$C$6,-12)+1,"prior_12m","last_12m")</f>
        <v/>
      </c>
      <c r="AG3294" s="21">
        <f>DATE(YEAR(G3294),MONTH(G3294),1)</f>
        <v/>
      </c>
    </row>
    <row r="3295">
      <c r="A3295" t="inlineStr">
        <is>
          <t>SPO-01761-1</t>
        </is>
      </c>
      <c r="B3295" t="inlineStr">
        <is>
          <t>SPO-01761</t>
        </is>
      </c>
      <c r="C3295" t="inlineStr">
        <is>
          <t>SUP-01</t>
        </is>
      </c>
      <c r="D3295" t="inlineStr">
        <is>
          <t>ELEC</t>
        </is>
      </c>
      <c r="E3295" t="inlineStr">
        <is>
          <t>ELEC-04</t>
        </is>
      </c>
      <c r="F3295" s="17" t="n">
        <v>46057</v>
      </c>
      <c r="G3295" s="17" t="n">
        <v>46075</v>
      </c>
      <c r="H3295" s="18" t="n">
        <v>31</v>
      </c>
      <c r="I3295" s="19" t="n">
        <v>71.95</v>
      </c>
      <c r="J3295" s="19" t="n">
        <v>72</v>
      </c>
      <c r="K3295" s="20" t="n">
        <v>0</v>
      </c>
      <c r="L3295" s="20" t="n">
        <v>0</v>
      </c>
      <c r="M3295" s="18" t="n">
        <v>31</v>
      </c>
      <c r="N3295" s="18" t="n">
        <v>31</v>
      </c>
      <c r="O3295" s="18" t="n">
        <v>0</v>
      </c>
      <c r="P3295" s="17" t="n">
        <v>46062</v>
      </c>
      <c r="Q3295" s="17" t="n">
        <v>46062</v>
      </c>
      <c r="R3295" s="17" t="n">
        <v>46062</v>
      </c>
      <c r="S3295" s="19">
        <f>H3295*I3295</f>
        <v/>
      </c>
      <c r="T3295" s="19">
        <f>H3295*J3295</f>
        <v/>
      </c>
      <c r="U3295">
        <f>IF(AND(K3295=0,G3295&lt;=Assumptions!$C$6),1,0)</f>
        <v/>
      </c>
      <c r="V3295">
        <f>IF(U3295=1,IF(M3295&gt;0,IF(P3295&lt;=G3295+Assumptions!$C$7,1,0),0),0)</f>
        <v/>
      </c>
      <c r="W3295">
        <f>IF(AND(U3295=1,M3295&gt;=H3295*(1-Assumptions!$C$8)),1,0)</f>
        <v/>
      </c>
      <c r="X3295">
        <f>IF(AND(U3295=1,N3295&gt;=H3295*(1-Assumptions!$C$8)),1,0)</f>
        <v/>
      </c>
      <c r="Y3295">
        <f>IF(ISNUMBER(Q3295),1,0)</f>
        <v/>
      </c>
      <c r="Z3295">
        <f>IF(AND(K3295=0,L3295=0,Y3295=0),1,0)</f>
        <v/>
      </c>
      <c r="AA3295">
        <f>IF(AND(Z3295=1,G3295&lt;Assumptions!$C$6),1,0)</f>
        <v/>
      </c>
      <c r="AB3295">
        <f>IF(U3295=0,"",IF(Y3295=1,MAX(0,Q3295-G3295),IF(L3295=1,MAX(0,R3295-G3295),MAX(0,Assumptions!$C$6-G3295))))</f>
        <v/>
      </c>
      <c r="AC3295">
        <f>IF(Y3295=1,Q3295-F3295,"")</f>
        <v/>
      </c>
      <c r="AD3295">
        <f>IF(Y3295=1,AC3295^2,"")</f>
        <v/>
      </c>
      <c r="AE3295" s="19">
        <f>IF(Z3295=1,(H3295-M3295)*I3295,0)</f>
        <v/>
      </c>
      <c r="AF3295">
        <f>IF(G3295&lt;EDATE(Assumptions!$C$6,-12)+1,"prior_12m","last_12m")</f>
        <v/>
      </c>
      <c r="AG3295" s="21">
        <f>DATE(YEAR(G3295),MONTH(G3295),1)</f>
        <v/>
      </c>
    </row>
    <row r="3296">
      <c r="A3296" t="inlineStr">
        <is>
          <t>SPO-01761-2</t>
        </is>
      </c>
      <c r="B3296" t="inlineStr">
        <is>
          <t>SPO-01761</t>
        </is>
      </c>
      <c r="C3296" t="inlineStr">
        <is>
          <t>SUP-01</t>
        </is>
      </c>
      <c r="D3296" t="inlineStr">
        <is>
          <t>ELEC</t>
        </is>
      </c>
      <c r="E3296" t="inlineStr">
        <is>
          <t>ELEC-05</t>
        </is>
      </c>
      <c r="F3296" s="17" t="n">
        <v>46057</v>
      </c>
      <c r="G3296" s="17" t="n">
        <v>46075</v>
      </c>
      <c r="H3296" s="18" t="n">
        <v>390</v>
      </c>
      <c r="I3296" s="19" t="n">
        <v>11.47</v>
      </c>
      <c r="J3296" s="19" t="n">
        <v>11.5</v>
      </c>
      <c r="K3296" s="20" t="n">
        <v>0</v>
      </c>
      <c r="L3296" s="20" t="n">
        <v>0</v>
      </c>
      <c r="M3296" s="18" t="n">
        <v>390</v>
      </c>
      <c r="N3296" s="18" t="n">
        <v>0</v>
      </c>
      <c r="O3296" s="18" t="n">
        <v>108</v>
      </c>
      <c r="P3296" s="17" t="n">
        <v>46077</v>
      </c>
      <c r="Q3296" s="17" t="n">
        <v>46077</v>
      </c>
      <c r="R3296" s="17" t="n">
        <v>46077</v>
      </c>
      <c r="S3296" s="19">
        <f>H3296*I3296</f>
        <v/>
      </c>
      <c r="T3296" s="19">
        <f>H3296*J3296</f>
        <v/>
      </c>
      <c r="U3296">
        <f>IF(AND(K3296=0,G3296&lt;=Assumptions!$C$6),1,0)</f>
        <v/>
      </c>
      <c r="V3296">
        <f>IF(U3296=1,IF(M3296&gt;0,IF(P3296&lt;=G3296+Assumptions!$C$7,1,0),0),0)</f>
        <v/>
      </c>
      <c r="W3296">
        <f>IF(AND(U3296=1,M3296&gt;=H3296*(1-Assumptions!$C$8)),1,0)</f>
        <v/>
      </c>
      <c r="X3296">
        <f>IF(AND(U3296=1,N3296&gt;=H3296*(1-Assumptions!$C$8)),1,0)</f>
        <v/>
      </c>
      <c r="Y3296">
        <f>IF(ISNUMBER(Q3296),1,0)</f>
        <v/>
      </c>
      <c r="Z3296">
        <f>IF(AND(K3296=0,L3296=0,Y3296=0),1,0)</f>
        <v/>
      </c>
      <c r="AA3296">
        <f>IF(AND(Z3296=1,G3296&lt;Assumptions!$C$6),1,0)</f>
        <v/>
      </c>
      <c r="AB3296">
        <f>IF(U3296=0,"",IF(Y3296=1,MAX(0,Q3296-G3296),IF(L3296=1,MAX(0,R3296-G3296),MAX(0,Assumptions!$C$6-G3296))))</f>
        <v/>
      </c>
      <c r="AC3296">
        <f>IF(Y3296=1,Q3296-F3296,"")</f>
        <v/>
      </c>
      <c r="AD3296">
        <f>IF(Y3296=1,AC3296^2,"")</f>
        <v/>
      </c>
      <c r="AE3296" s="19">
        <f>IF(Z3296=1,(H3296-M3296)*I3296,0)</f>
        <v/>
      </c>
      <c r="AF3296">
        <f>IF(G3296&lt;EDATE(Assumptions!$C$6,-12)+1,"prior_12m","last_12m")</f>
        <v/>
      </c>
      <c r="AG3296" s="21">
        <f>DATE(YEAR(G3296),MONTH(G3296),1)</f>
        <v/>
      </c>
    </row>
    <row r="3297">
      <c r="A3297" t="inlineStr">
        <is>
          <t>SPO-01762-1</t>
        </is>
      </c>
      <c r="B3297" t="inlineStr">
        <is>
          <t>SPO-01762</t>
        </is>
      </c>
      <c r="C3297" t="inlineStr">
        <is>
          <t>SUP-06</t>
        </is>
      </c>
      <c r="D3297" t="inlineStr">
        <is>
          <t>MRO</t>
        </is>
      </c>
      <c r="E3297" t="inlineStr">
        <is>
          <t>MRO-03</t>
        </is>
      </c>
      <c r="F3297" s="17" t="n">
        <v>46058</v>
      </c>
      <c r="G3297" s="17" t="n">
        <v>46066</v>
      </c>
      <c r="H3297" s="18" t="n">
        <v>105</v>
      </c>
      <c r="I3297" s="19" t="n">
        <v>9.279999999999999</v>
      </c>
      <c r="J3297" s="19" t="n">
        <v>8.9</v>
      </c>
      <c r="K3297" s="20" t="n">
        <v>0</v>
      </c>
      <c r="L3297" s="20" t="n">
        <v>0</v>
      </c>
      <c r="M3297" s="18" t="n">
        <v>105</v>
      </c>
      <c r="N3297" s="18" t="n">
        <v>105</v>
      </c>
      <c r="O3297" s="18" t="n">
        <v>0</v>
      </c>
      <c r="P3297" s="17" t="n">
        <v>46063</v>
      </c>
      <c r="Q3297" s="17" t="n">
        <v>46063</v>
      </c>
      <c r="R3297" s="17" t="n">
        <v>46063</v>
      </c>
      <c r="S3297" s="19">
        <f>H3297*I3297</f>
        <v/>
      </c>
      <c r="T3297" s="19">
        <f>H3297*J3297</f>
        <v/>
      </c>
      <c r="U3297">
        <f>IF(AND(K3297=0,G3297&lt;=Assumptions!$C$6),1,0)</f>
        <v/>
      </c>
      <c r="V3297">
        <f>IF(U3297=1,IF(M3297&gt;0,IF(P3297&lt;=G3297+Assumptions!$C$7,1,0),0),0)</f>
        <v/>
      </c>
      <c r="W3297">
        <f>IF(AND(U3297=1,M3297&gt;=H3297*(1-Assumptions!$C$8)),1,0)</f>
        <v/>
      </c>
      <c r="X3297">
        <f>IF(AND(U3297=1,N3297&gt;=H3297*(1-Assumptions!$C$8)),1,0)</f>
        <v/>
      </c>
      <c r="Y3297">
        <f>IF(ISNUMBER(Q3297),1,0)</f>
        <v/>
      </c>
      <c r="Z3297">
        <f>IF(AND(K3297=0,L3297=0,Y3297=0),1,0)</f>
        <v/>
      </c>
      <c r="AA3297">
        <f>IF(AND(Z3297=1,G3297&lt;Assumptions!$C$6),1,0)</f>
        <v/>
      </c>
      <c r="AB3297">
        <f>IF(U3297=0,"",IF(Y3297=1,MAX(0,Q3297-G3297),IF(L3297=1,MAX(0,R3297-G3297),MAX(0,Assumptions!$C$6-G3297))))</f>
        <v/>
      </c>
      <c r="AC3297">
        <f>IF(Y3297=1,Q3297-F3297,"")</f>
        <v/>
      </c>
      <c r="AD3297">
        <f>IF(Y3297=1,AC3297^2,"")</f>
        <v/>
      </c>
      <c r="AE3297" s="19">
        <f>IF(Z3297=1,(H3297-M3297)*I3297,0)</f>
        <v/>
      </c>
      <c r="AF3297">
        <f>IF(G3297&lt;EDATE(Assumptions!$C$6,-12)+1,"prior_12m","last_12m")</f>
        <v/>
      </c>
      <c r="AG3297" s="21">
        <f>DATE(YEAR(G3297),MONTH(G3297),1)</f>
        <v/>
      </c>
    </row>
    <row r="3298">
      <c r="A3298" t="inlineStr">
        <is>
          <t>SPO-01762-2</t>
        </is>
      </c>
      <c r="B3298" t="inlineStr">
        <is>
          <t>SPO-01762</t>
        </is>
      </c>
      <c r="C3298" t="inlineStr">
        <is>
          <t>SUP-06</t>
        </is>
      </c>
      <c r="D3298" t="inlineStr">
        <is>
          <t>MRO</t>
        </is>
      </c>
      <c r="E3298" t="inlineStr">
        <is>
          <t>MRO-06</t>
        </is>
      </c>
      <c r="F3298" s="17" t="n">
        <v>46058</v>
      </c>
      <c r="G3298" s="17" t="n">
        <v>46066</v>
      </c>
      <c r="H3298" s="18" t="n">
        <v>275</v>
      </c>
      <c r="I3298" s="19" t="n">
        <v>5.95</v>
      </c>
      <c r="J3298" s="19" t="n">
        <v>6.1</v>
      </c>
      <c r="K3298" s="20" t="n">
        <v>0</v>
      </c>
      <c r="L3298" s="20" t="n">
        <v>0</v>
      </c>
      <c r="M3298" s="18" t="n">
        <v>275</v>
      </c>
      <c r="N3298" s="18" t="n">
        <v>275</v>
      </c>
      <c r="O3298" s="18" t="n">
        <v>0</v>
      </c>
      <c r="P3298" s="17" t="n">
        <v>46064</v>
      </c>
      <c r="Q3298" s="17" t="n">
        <v>46064</v>
      </c>
      <c r="R3298" s="17" t="n">
        <v>46064</v>
      </c>
      <c r="S3298" s="19">
        <f>H3298*I3298</f>
        <v/>
      </c>
      <c r="T3298" s="19">
        <f>H3298*J3298</f>
        <v/>
      </c>
      <c r="U3298">
        <f>IF(AND(K3298=0,G3298&lt;=Assumptions!$C$6),1,0)</f>
        <v/>
      </c>
      <c r="V3298">
        <f>IF(U3298=1,IF(M3298&gt;0,IF(P3298&lt;=G3298+Assumptions!$C$7,1,0),0),0)</f>
        <v/>
      </c>
      <c r="W3298">
        <f>IF(AND(U3298=1,M3298&gt;=H3298*(1-Assumptions!$C$8)),1,0)</f>
        <v/>
      </c>
      <c r="X3298">
        <f>IF(AND(U3298=1,N3298&gt;=H3298*(1-Assumptions!$C$8)),1,0)</f>
        <v/>
      </c>
      <c r="Y3298">
        <f>IF(ISNUMBER(Q3298),1,0)</f>
        <v/>
      </c>
      <c r="Z3298">
        <f>IF(AND(K3298=0,L3298=0,Y3298=0),1,0)</f>
        <v/>
      </c>
      <c r="AA3298">
        <f>IF(AND(Z3298=1,G3298&lt;Assumptions!$C$6),1,0)</f>
        <v/>
      </c>
      <c r="AB3298">
        <f>IF(U3298=0,"",IF(Y3298=1,MAX(0,Q3298-G3298),IF(L3298=1,MAX(0,R3298-G3298),MAX(0,Assumptions!$C$6-G3298))))</f>
        <v/>
      </c>
      <c r="AC3298">
        <f>IF(Y3298=1,Q3298-F3298,"")</f>
        <v/>
      </c>
      <c r="AD3298">
        <f>IF(Y3298=1,AC3298^2,"")</f>
        <v/>
      </c>
      <c r="AE3298" s="19">
        <f>IF(Z3298=1,(H3298-M3298)*I3298,0)</f>
        <v/>
      </c>
      <c r="AF3298">
        <f>IF(G3298&lt;EDATE(Assumptions!$C$6,-12)+1,"prior_12m","last_12m")</f>
        <v/>
      </c>
      <c r="AG3298" s="21">
        <f>DATE(YEAR(G3298),MONTH(G3298),1)</f>
        <v/>
      </c>
    </row>
    <row r="3299">
      <c r="A3299" t="inlineStr">
        <is>
          <t>SPO-01763-1</t>
        </is>
      </c>
      <c r="B3299" t="inlineStr">
        <is>
          <t>SPO-01763</t>
        </is>
      </c>
      <c r="C3299" t="inlineStr">
        <is>
          <t>SUP-02</t>
        </is>
      </c>
      <c r="D3299" t="inlineStr">
        <is>
          <t>ELEC</t>
        </is>
      </c>
      <c r="E3299" t="inlineStr">
        <is>
          <t>ELEC-02</t>
        </is>
      </c>
      <c r="F3299" s="17" t="n">
        <v>46058</v>
      </c>
      <c r="G3299" s="17" t="n">
        <v>46074</v>
      </c>
      <c r="H3299" s="18" t="n">
        <v>410</v>
      </c>
      <c r="I3299" s="19" t="n">
        <v>4.48</v>
      </c>
      <c r="J3299" s="19" t="n">
        <v>4.2</v>
      </c>
      <c r="K3299" s="20" t="n">
        <v>0</v>
      </c>
      <c r="L3299" s="20" t="n">
        <v>0</v>
      </c>
      <c r="M3299" s="18" t="n">
        <v>410</v>
      </c>
      <c r="N3299" s="18" t="n">
        <v>410</v>
      </c>
      <c r="O3299" s="18" t="n">
        <v>0</v>
      </c>
      <c r="P3299" s="17" t="n">
        <v>46069</v>
      </c>
      <c r="Q3299" s="17" t="n">
        <v>46069</v>
      </c>
      <c r="R3299" s="17" t="n">
        <v>46069</v>
      </c>
      <c r="S3299" s="19">
        <f>H3299*I3299</f>
        <v/>
      </c>
      <c r="T3299" s="19">
        <f>H3299*J3299</f>
        <v/>
      </c>
      <c r="U3299">
        <f>IF(AND(K3299=0,G3299&lt;=Assumptions!$C$6),1,0)</f>
        <v/>
      </c>
      <c r="V3299">
        <f>IF(U3299=1,IF(M3299&gt;0,IF(P3299&lt;=G3299+Assumptions!$C$7,1,0),0),0)</f>
        <v/>
      </c>
      <c r="W3299">
        <f>IF(AND(U3299=1,M3299&gt;=H3299*(1-Assumptions!$C$8)),1,0)</f>
        <v/>
      </c>
      <c r="X3299">
        <f>IF(AND(U3299=1,N3299&gt;=H3299*(1-Assumptions!$C$8)),1,0)</f>
        <v/>
      </c>
      <c r="Y3299">
        <f>IF(ISNUMBER(Q3299),1,0)</f>
        <v/>
      </c>
      <c r="Z3299">
        <f>IF(AND(K3299=0,L3299=0,Y3299=0),1,0)</f>
        <v/>
      </c>
      <c r="AA3299">
        <f>IF(AND(Z3299=1,G3299&lt;Assumptions!$C$6),1,0)</f>
        <v/>
      </c>
      <c r="AB3299">
        <f>IF(U3299=0,"",IF(Y3299=1,MAX(0,Q3299-G3299),IF(L3299=1,MAX(0,R3299-G3299),MAX(0,Assumptions!$C$6-G3299))))</f>
        <v/>
      </c>
      <c r="AC3299">
        <f>IF(Y3299=1,Q3299-F3299,"")</f>
        <v/>
      </c>
      <c r="AD3299">
        <f>IF(Y3299=1,AC3299^2,"")</f>
        <v/>
      </c>
      <c r="AE3299" s="19">
        <f>IF(Z3299=1,(H3299-M3299)*I3299,0)</f>
        <v/>
      </c>
      <c r="AF3299">
        <f>IF(G3299&lt;EDATE(Assumptions!$C$6,-12)+1,"prior_12m","last_12m")</f>
        <v/>
      </c>
      <c r="AG3299" s="21">
        <f>DATE(YEAR(G3299),MONTH(G3299),1)</f>
        <v/>
      </c>
    </row>
    <row r="3300">
      <c r="A3300" t="inlineStr">
        <is>
          <t>SPO-01764-1</t>
        </is>
      </c>
      <c r="B3300" t="inlineStr">
        <is>
          <t>SPO-01764</t>
        </is>
      </c>
      <c r="C3300" t="inlineStr">
        <is>
          <t>SUP-12</t>
        </is>
      </c>
      <c r="D3300" t="inlineStr">
        <is>
          <t>IT</t>
        </is>
      </c>
      <c r="E3300" t="inlineStr">
        <is>
          <t>IT-02</t>
        </is>
      </c>
      <c r="F3300" s="17" t="n">
        <v>46058</v>
      </c>
      <c r="G3300" s="17" t="n">
        <v>46068</v>
      </c>
      <c r="H3300" s="18" t="n">
        <v>11</v>
      </c>
      <c r="I3300" s="19" t="n">
        <v>181</v>
      </c>
      <c r="J3300" s="19" t="n">
        <v>162</v>
      </c>
      <c r="K3300" s="20" t="n">
        <v>0</v>
      </c>
      <c r="L3300" s="20" t="n">
        <v>0</v>
      </c>
      <c r="M3300" s="18" t="n">
        <v>11</v>
      </c>
      <c r="N3300" s="18" t="n">
        <v>11</v>
      </c>
      <c r="O3300" s="18" t="n">
        <v>0</v>
      </c>
      <c r="P3300" s="17" t="n">
        <v>46064</v>
      </c>
      <c r="Q3300" s="17" t="n">
        <v>46064</v>
      </c>
      <c r="R3300" s="17" t="n">
        <v>46064</v>
      </c>
      <c r="S3300" s="19">
        <f>H3300*I3300</f>
        <v/>
      </c>
      <c r="T3300" s="19">
        <f>H3300*J3300</f>
        <v/>
      </c>
      <c r="U3300">
        <f>IF(AND(K3300=0,G3300&lt;=Assumptions!$C$6),1,0)</f>
        <v/>
      </c>
      <c r="V3300">
        <f>IF(U3300=1,IF(M3300&gt;0,IF(P3300&lt;=G3300+Assumptions!$C$7,1,0),0),0)</f>
        <v/>
      </c>
      <c r="W3300">
        <f>IF(AND(U3300=1,M3300&gt;=H3300*(1-Assumptions!$C$8)),1,0)</f>
        <v/>
      </c>
      <c r="X3300">
        <f>IF(AND(U3300=1,N3300&gt;=H3300*(1-Assumptions!$C$8)),1,0)</f>
        <v/>
      </c>
      <c r="Y3300">
        <f>IF(ISNUMBER(Q3300),1,0)</f>
        <v/>
      </c>
      <c r="Z3300">
        <f>IF(AND(K3300=0,L3300=0,Y3300=0),1,0)</f>
        <v/>
      </c>
      <c r="AA3300">
        <f>IF(AND(Z3300=1,G3300&lt;Assumptions!$C$6),1,0)</f>
        <v/>
      </c>
      <c r="AB3300">
        <f>IF(U3300=0,"",IF(Y3300=1,MAX(0,Q3300-G3300),IF(L3300=1,MAX(0,R3300-G3300),MAX(0,Assumptions!$C$6-G3300))))</f>
        <v/>
      </c>
      <c r="AC3300">
        <f>IF(Y3300=1,Q3300-F3300,"")</f>
        <v/>
      </c>
      <c r="AD3300">
        <f>IF(Y3300=1,AC3300^2,"")</f>
        <v/>
      </c>
      <c r="AE3300" s="19">
        <f>IF(Z3300=1,(H3300-M3300)*I3300,0)</f>
        <v/>
      </c>
      <c r="AF3300">
        <f>IF(G3300&lt;EDATE(Assumptions!$C$6,-12)+1,"prior_12m","last_12m")</f>
        <v/>
      </c>
      <c r="AG3300" s="21">
        <f>DATE(YEAR(G3300),MONTH(G3300),1)</f>
        <v/>
      </c>
    </row>
    <row r="3301">
      <c r="A3301" t="inlineStr">
        <is>
          <t>SPO-01765-1</t>
        </is>
      </c>
      <c r="B3301" t="inlineStr">
        <is>
          <t>SPO-01765</t>
        </is>
      </c>
      <c r="C3301" t="inlineStr">
        <is>
          <t>SUP-12</t>
        </is>
      </c>
      <c r="D3301" t="inlineStr">
        <is>
          <t>IT</t>
        </is>
      </c>
      <c r="E3301" t="inlineStr">
        <is>
          <t>IT-07</t>
        </is>
      </c>
      <c r="F3301" s="17" t="n">
        <v>46058</v>
      </c>
      <c r="G3301" s="17" t="n">
        <v>46068</v>
      </c>
      <c r="H3301" s="18" t="n">
        <v>14</v>
      </c>
      <c r="I3301" s="19" t="n">
        <v>83.41</v>
      </c>
      <c r="J3301" s="19" t="n">
        <v>74</v>
      </c>
      <c r="K3301" s="20" t="n">
        <v>0</v>
      </c>
      <c r="L3301" s="20" t="n">
        <v>0</v>
      </c>
      <c r="M3301" s="18" t="n">
        <v>14</v>
      </c>
      <c r="N3301" s="18" t="n">
        <v>14</v>
      </c>
      <c r="O3301" s="18" t="n">
        <v>0</v>
      </c>
      <c r="P3301" s="17" t="n">
        <v>46061</v>
      </c>
      <c r="Q3301" s="17" t="n">
        <v>46061</v>
      </c>
      <c r="R3301" s="17" t="n">
        <v>46061</v>
      </c>
      <c r="S3301" s="19">
        <f>H3301*I3301</f>
        <v/>
      </c>
      <c r="T3301" s="19">
        <f>H3301*J3301</f>
        <v/>
      </c>
      <c r="U3301">
        <f>IF(AND(K3301=0,G3301&lt;=Assumptions!$C$6),1,0)</f>
        <v/>
      </c>
      <c r="V3301">
        <f>IF(U3301=1,IF(M3301&gt;0,IF(P3301&lt;=G3301+Assumptions!$C$7,1,0),0),0)</f>
        <v/>
      </c>
      <c r="W3301">
        <f>IF(AND(U3301=1,M3301&gt;=H3301*(1-Assumptions!$C$8)),1,0)</f>
        <v/>
      </c>
      <c r="X3301">
        <f>IF(AND(U3301=1,N3301&gt;=H3301*(1-Assumptions!$C$8)),1,0)</f>
        <v/>
      </c>
      <c r="Y3301">
        <f>IF(ISNUMBER(Q3301),1,0)</f>
        <v/>
      </c>
      <c r="Z3301">
        <f>IF(AND(K3301=0,L3301=0,Y3301=0),1,0)</f>
        <v/>
      </c>
      <c r="AA3301">
        <f>IF(AND(Z3301=1,G3301&lt;Assumptions!$C$6),1,0)</f>
        <v/>
      </c>
      <c r="AB3301">
        <f>IF(U3301=0,"",IF(Y3301=1,MAX(0,Q3301-G3301),IF(L3301=1,MAX(0,R3301-G3301),MAX(0,Assumptions!$C$6-G3301))))</f>
        <v/>
      </c>
      <c r="AC3301">
        <f>IF(Y3301=1,Q3301-F3301,"")</f>
        <v/>
      </c>
      <c r="AD3301">
        <f>IF(Y3301=1,AC3301^2,"")</f>
        <v/>
      </c>
      <c r="AE3301" s="19">
        <f>IF(Z3301=1,(H3301-M3301)*I3301,0)</f>
        <v/>
      </c>
      <c r="AF3301">
        <f>IF(G3301&lt;EDATE(Assumptions!$C$6,-12)+1,"prior_12m","last_12m")</f>
        <v/>
      </c>
      <c r="AG3301" s="21">
        <f>DATE(YEAR(G3301),MONTH(G3301),1)</f>
        <v/>
      </c>
    </row>
    <row r="3302">
      <c r="A3302" t="inlineStr">
        <is>
          <t>SPO-01765-2</t>
        </is>
      </c>
      <c r="B3302" t="inlineStr">
        <is>
          <t>SPO-01765</t>
        </is>
      </c>
      <c r="C3302" t="inlineStr">
        <is>
          <t>SUP-12</t>
        </is>
      </c>
      <c r="D3302" t="inlineStr">
        <is>
          <t>IT</t>
        </is>
      </c>
      <c r="E3302" t="inlineStr">
        <is>
          <t>IT-01</t>
        </is>
      </c>
      <c r="F3302" s="17" t="n">
        <v>46058</v>
      </c>
      <c r="G3302" s="17" t="n">
        <v>46068</v>
      </c>
      <c r="H3302" s="18" t="n">
        <v>12</v>
      </c>
      <c r="I3302" s="19" t="n">
        <v>212.35</v>
      </c>
      <c r="J3302" s="19" t="n">
        <v>189</v>
      </c>
      <c r="K3302" s="20" t="n">
        <v>0</v>
      </c>
      <c r="L3302" s="20" t="n">
        <v>0</v>
      </c>
      <c r="M3302" s="18" t="n">
        <v>12</v>
      </c>
      <c r="N3302" s="18" t="n">
        <v>12</v>
      </c>
      <c r="O3302" s="18" t="n">
        <v>0</v>
      </c>
      <c r="P3302" s="17" t="n">
        <v>46068</v>
      </c>
      <c r="Q3302" s="17" t="n">
        <v>46068</v>
      </c>
      <c r="R3302" s="17" t="n">
        <v>46068</v>
      </c>
      <c r="S3302" s="19">
        <f>H3302*I3302</f>
        <v/>
      </c>
      <c r="T3302" s="19">
        <f>H3302*J3302</f>
        <v/>
      </c>
      <c r="U3302">
        <f>IF(AND(K3302=0,G3302&lt;=Assumptions!$C$6),1,0)</f>
        <v/>
      </c>
      <c r="V3302">
        <f>IF(U3302=1,IF(M3302&gt;0,IF(P3302&lt;=G3302+Assumptions!$C$7,1,0),0),0)</f>
        <v/>
      </c>
      <c r="W3302">
        <f>IF(AND(U3302=1,M3302&gt;=H3302*(1-Assumptions!$C$8)),1,0)</f>
        <v/>
      </c>
      <c r="X3302">
        <f>IF(AND(U3302=1,N3302&gt;=H3302*(1-Assumptions!$C$8)),1,0)</f>
        <v/>
      </c>
      <c r="Y3302">
        <f>IF(ISNUMBER(Q3302),1,0)</f>
        <v/>
      </c>
      <c r="Z3302">
        <f>IF(AND(K3302=0,L3302=0,Y3302=0),1,0)</f>
        <v/>
      </c>
      <c r="AA3302">
        <f>IF(AND(Z3302=1,G3302&lt;Assumptions!$C$6),1,0)</f>
        <v/>
      </c>
      <c r="AB3302">
        <f>IF(U3302=0,"",IF(Y3302=1,MAX(0,Q3302-G3302),IF(L3302=1,MAX(0,R3302-G3302),MAX(0,Assumptions!$C$6-G3302))))</f>
        <v/>
      </c>
      <c r="AC3302">
        <f>IF(Y3302=1,Q3302-F3302,"")</f>
        <v/>
      </c>
      <c r="AD3302">
        <f>IF(Y3302=1,AC3302^2,"")</f>
        <v/>
      </c>
      <c r="AE3302" s="19">
        <f>IF(Z3302=1,(H3302-M3302)*I3302,0)</f>
        <v/>
      </c>
      <c r="AF3302">
        <f>IF(G3302&lt;EDATE(Assumptions!$C$6,-12)+1,"prior_12m","last_12m")</f>
        <v/>
      </c>
      <c r="AG3302" s="21">
        <f>DATE(YEAR(G3302),MONTH(G3302),1)</f>
        <v/>
      </c>
    </row>
    <row r="3303">
      <c r="A3303" t="inlineStr">
        <is>
          <t>SPO-01766-1</t>
        </is>
      </c>
      <c r="B3303" t="inlineStr">
        <is>
          <t>SPO-01766</t>
        </is>
      </c>
      <c r="C3303" t="inlineStr">
        <is>
          <t>SUP-05</t>
        </is>
      </c>
      <c r="D3303" t="inlineStr">
        <is>
          <t>FLEET</t>
        </is>
      </c>
      <c r="E3303" t="inlineStr">
        <is>
          <t>FLEET-01</t>
        </is>
      </c>
      <c r="F3303" s="17" t="n">
        <v>46058</v>
      </c>
      <c r="G3303" s="17" t="n">
        <v>46072</v>
      </c>
      <c r="H3303" s="18" t="n">
        <v>11</v>
      </c>
      <c r="I3303" s="19" t="n">
        <v>65.77</v>
      </c>
      <c r="J3303" s="19" t="n">
        <v>64</v>
      </c>
      <c r="K3303" s="20" t="n">
        <v>0</v>
      </c>
      <c r="L3303" s="20" t="n">
        <v>0</v>
      </c>
      <c r="M3303" s="18" t="n">
        <v>11</v>
      </c>
      <c r="N3303" s="18" t="n">
        <v>11</v>
      </c>
      <c r="O3303" s="18" t="n">
        <v>0</v>
      </c>
      <c r="P3303" s="17" t="n">
        <v>46068</v>
      </c>
      <c r="Q3303" s="17" t="n">
        <v>46068</v>
      </c>
      <c r="R3303" s="17" t="n">
        <v>46068</v>
      </c>
      <c r="S3303" s="19">
        <f>H3303*I3303</f>
        <v/>
      </c>
      <c r="T3303" s="19">
        <f>H3303*J3303</f>
        <v/>
      </c>
      <c r="U3303">
        <f>IF(AND(K3303=0,G3303&lt;=Assumptions!$C$6),1,0)</f>
        <v/>
      </c>
      <c r="V3303">
        <f>IF(U3303=1,IF(M3303&gt;0,IF(P3303&lt;=G3303+Assumptions!$C$7,1,0),0),0)</f>
        <v/>
      </c>
      <c r="W3303">
        <f>IF(AND(U3303=1,M3303&gt;=H3303*(1-Assumptions!$C$8)),1,0)</f>
        <v/>
      </c>
      <c r="X3303">
        <f>IF(AND(U3303=1,N3303&gt;=H3303*(1-Assumptions!$C$8)),1,0)</f>
        <v/>
      </c>
      <c r="Y3303">
        <f>IF(ISNUMBER(Q3303),1,0)</f>
        <v/>
      </c>
      <c r="Z3303">
        <f>IF(AND(K3303=0,L3303=0,Y3303=0),1,0)</f>
        <v/>
      </c>
      <c r="AA3303">
        <f>IF(AND(Z3303=1,G3303&lt;Assumptions!$C$6),1,0)</f>
        <v/>
      </c>
      <c r="AB3303">
        <f>IF(U3303=0,"",IF(Y3303=1,MAX(0,Q3303-G3303),IF(L3303=1,MAX(0,R3303-G3303),MAX(0,Assumptions!$C$6-G3303))))</f>
        <v/>
      </c>
      <c r="AC3303">
        <f>IF(Y3303=1,Q3303-F3303,"")</f>
        <v/>
      </c>
      <c r="AD3303">
        <f>IF(Y3303=1,AC3303^2,"")</f>
        <v/>
      </c>
      <c r="AE3303" s="19">
        <f>IF(Z3303=1,(H3303-M3303)*I3303,0)</f>
        <v/>
      </c>
      <c r="AF3303">
        <f>IF(G3303&lt;EDATE(Assumptions!$C$6,-12)+1,"prior_12m","last_12m")</f>
        <v/>
      </c>
      <c r="AG3303" s="21">
        <f>DATE(YEAR(G3303),MONTH(G3303),1)</f>
        <v/>
      </c>
    </row>
    <row r="3304">
      <c r="A3304" t="inlineStr">
        <is>
          <t>SPO-01766-2</t>
        </is>
      </c>
      <c r="B3304" t="inlineStr">
        <is>
          <t>SPO-01766</t>
        </is>
      </c>
      <c r="C3304" t="inlineStr">
        <is>
          <t>SUP-05</t>
        </is>
      </c>
      <c r="D3304" t="inlineStr">
        <is>
          <t>FLEET</t>
        </is>
      </c>
      <c r="E3304" t="inlineStr">
        <is>
          <t>FLEET-03</t>
        </is>
      </c>
      <c r="F3304" s="17" t="n">
        <v>46058</v>
      </c>
      <c r="G3304" s="17" t="n">
        <v>46072</v>
      </c>
      <c r="H3304" s="18" t="n">
        <v>76</v>
      </c>
      <c r="I3304" s="19" t="n">
        <v>20.52</v>
      </c>
      <c r="J3304" s="19" t="n">
        <v>21</v>
      </c>
      <c r="K3304" s="20" t="n">
        <v>0</v>
      </c>
      <c r="L3304" s="20" t="n">
        <v>0</v>
      </c>
      <c r="M3304" s="18" t="n">
        <v>76</v>
      </c>
      <c r="N3304" s="18" t="n">
        <v>76</v>
      </c>
      <c r="O3304" s="18" t="n">
        <v>0</v>
      </c>
      <c r="P3304" s="17" t="n">
        <v>46067</v>
      </c>
      <c r="Q3304" s="17" t="n">
        <v>46067</v>
      </c>
      <c r="R3304" s="17" t="n">
        <v>46067</v>
      </c>
      <c r="S3304" s="19">
        <f>H3304*I3304</f>
        <v/>
      </c>
      <c r="T3304" s="19">
        <f>H3304*J3304</f>
        <v/>
      </c>
      <c r="U3304">
        <f>IF(AND(K3304=0,G3304&lt;=Assumptions!$C$6),1,0)</f>
        <v/>
      </c>
      <c r="V3304">
        <f>IF(U3304=1,IF(M3304&gt;0,IF(P3304&lt;=G3304+Assumptions!$C$7,1,0),0),0)</f>
        <v/>
      </c>
      <c r="W3304">
        <f>IF(AND(U3304=1,M3304&gt;=H3304*(1-Assumptions!$C$8)),1,0)</f>
        <v/>
      </c>
      <c r="X3304">
        <f>IF(AND(U3304=1,N3304&gt;=H3304*(1-Assumptions!$C$8)),1,0)</f>
        <v/>
      </c>
      <c r="Y3304">
        <f>IF(ISNUMBER(Q3304),1,0)</f>
        <v/>
      </c>
      <c r="Z3304">
        <f>IF(AND(K3304=0,L3304=0,Y3304=0),1,0)</f>
        <v/>
      </c>
      <c r="AA3304">
        <f>IF(AND(Z3304=1,G3304&lt;Assumptions!$C$6),1,0)</f>
        <v/>
      </c>
      <c r="AB3304">
        <f>IF(U3304=0,"",IF(Y3304=1,MAX(0,Q3304-G3304),IF(L3304=1,MAX(0,R3304-G3304),MAX(0,Assumptions!$C$6-G3304))))</f>
        <v/>
      </c>
      <c r="AC3304">
        <f>IF(Y3304=1,Q3304-F3304,"")</f>
        <v/>
      </c>
      <c r="AD3304">
        <f>IF(Y3304=1,AC3304^2,"")</f>
        <v/>
      </c>
      <c r="AE3304" s="19">
        <f>IF(Z3304=1,(H3304-M3304)*I3304,0)</f>
        <v/>
      </c>
      <c r="AF3304">
        <f>IF(G3304&lt;EDATE(Assumptions!$C$6,-12)+1,"prior_12m","last_12m")</f>
        <v/>
      </c>
      <c r="AG3304" s="21">
        <f>DATE(YEAR(G3304),MONTH(G3304),1)</f>
        <v/>
      </c>
    </row>
    <row r="3305">
      <c r="A3305" t="inlineStr">
        <is>
          <t>SPO-01767-1</t>
        </is>
      </c>
      <c r="B3305" t="inlineStr">
        <is>
          <t>SPO-01767</t>
        </is>
      </c>
      <c r="C3305" t="inlineStr">
        <is>
          <t>SUP-12</t>
        </is>
      </c>
      <c r="D3305" t="inlineStr">
        <is>
          <t>IT</t>
        </is>
      </c>
      <c r="E3305" t="inlineStr">
        <is>
          <t>IT-03</t>
        </is>
      </c>
      <c r="F3305" s="17" t="n">
        <v>46058</v>
      </c>
      <c r="G3305" s="17" t="n">
        <v>46068</v>
      </c>
      <c r="H3305" s="18" t="n">
        <v>25</v>
      </c>
      <c r="I3305" s="19" t="n">
        <v>42.46</v>
      </c>
      <c r="J3305" s="19" t="n">
        <v>38</v>
      </c>
      <c r="K3305" s="20" t="n">
        <v>0</v>
      </c>
      <c r="L3305" s="20" t="n">
        <v>0</v>
      </c>
      <c r="M3305" s="18" t="n">
        <v>25</v>
      </c>
      <c r="N3305" s="18" t="n">
        <v>25</v>
      </c>
      <c r="O3305" s="18" t="n">
        <v>0</v>
      </c>
      <c r="P3305" s="17" t="n">
        <v>46068</v>
      </c>
      <c r="Q3305" s="17" t="n">
        <v>46068</v>
      </c>
      <c r="R3305" s="17" t="n">
        <v>46068</v>
      </c>
      <c r="S3305" s="19">
        <f>H3305*I3305</f>
        <v/>
      </c>
      <c r="T3305" s="19">
        <f>H3305*J3305</f>
        <v/>
      </c>
      <c r="U3305">
        <f>IF(AND(K3305=0,G3305&lt;=Assumptions!$C$6),1,0)</f>
        <v/>
      </c>
      <c r="V3305">
        <f>IF(U3305=1,IF(M3305&gt;0,IF(P3305&lt;=G3305+Assumptions!$C$7,1,0),0),0)</f>
        <v/>
      </c>
      <c r="W3305">
        <f>IF(AND(U3305=1,M3305&gt;=H3305*(1-Assumptions!$C$8)),1,0)</f>
        <v/>
      </c>
      <c r="X3305">
        <f>IF(AND(U3305=1,N3305&gt;=H3305*(1-Assumptions!$C$8)),1,0)</f>
        <v/>
      </c>
      <c r="Y3305">
        <f>IF(ISNUMBER(Q3305),1,0)</f>
        <v/>
      </c>
      <c r="Z3305">
        <f>IF(AND(K3305=0,L3305=0,Y3305=0),1,0)</f>
        <v/>
      </c>
      <c r="AA3305">
        <f>IF(AND(Z3305=1,G3305&lt;Assumptions!$C$6),1,0)</f>
        <v/>
      </c>
      <c r="AB3305">
        <f>IF(U3305=0,"",IF(Y3305=1,MAX(0,Q3305-G3305),IF(L3305=1,MAX(0,R3305-G3305),MAX(0,Assumptions!$C$6-G3305))))</f>
        <v/>
      </c>
      <c r="AC3305">
        <f>IF(Y3305=1,Q3305-F3305,"")</f>
        <v/>
      </c>
      <c r="AD3305">
        <f>IF(Y3305=1,AC3305^2,"")</f>
        <v/>
      </c>
      <c r="AE3305" s="19">
        <f>IF(Z3305=1,(H3305-M3305)*I3305,0)</f>
        <v/>
      </c>
      <c r="AF3305">
        <f>IF(G3305&lt;EDATE(Assumptions!$C$6,-12)+1,"prior_12m","last_12m")</f>
        <v/>
      </c>
      <c r="AG3305" s="21">
        <f>DATE(YEAR(G3305),MONTH(G3305),1)</f>
        <v/>
      </c>
    </row>
    <row r="3306">
      <c r="A3306" t="inlineStr">
        <is>
          <t>SPO-01768-1</t>
        </is>
      </c>
      <c r="B3306" t="inlineStr">
        <is>
          <t>SPO-01768</t>
        </is>
      </c>
      <c r="C3306" t="inlineStr">
        <is>
          <t>SUP-02</t>
        </is>
      </c>
      <c r="D3306" t="inlineStr">
        <is>
          <t>ELEC</t>
        </is>
      </c>
      <c r="E3306" t="inlineStr">
        <is>
          <t>ELEC-07</t>
        </is>
      </c>
      <c r="F3306" s="17" t="n">
        <v>46059</v>
      </c>
      <c r="G3306" s="17" t="n">
        <v>46075</v>
      </c>
      <c r="H3306" s="18" t="n">
        <v>105</v>
      </c>
      <c r="I3306" s="19" t="n">
        <v>9.83</v>
      </c>
      <c r="J3306" s="19" t="n">
        <v>9.800000000000001</v>
      </c>
      <c r="K3306" s="20" t="n">
        <v>0</v>
      </c>
      <c r="L3306" s="20" t="n">
        <v>0</v>
      </c>
      <c r="M3306" s="18" t="n">
        <v>105</v>
      </c>
      <c r="N3306" s="18" t="n">
        <v>105</v>
      </c>
      <c r="O3306" s="18" t="n">
        <v>0</v>
      </c>
      <c r="P3306" s="17" t="n">
        <v>46074</v>
      </c>
      <c r="Q3306" s="17" t="n">
        <v>46074</v>
      </c>
      <c r="R3306" s="17" t="n">
        <v>46074</v>
      </c>
      <c r="S3306" s="19">
        <f>H3306*I3306</f>
        <v/>
      </c>
      <c r="T3306" s="19">
        <f>H3306*J3306</f>
        <v/>
      </c>
      <c r="U3306">
        <f>IF(AND(K3306=0,G3306&lt;=Assumptions!$C$6),1,0)</f>
        <v/>
      </c>
      <c r="V3306">
        <f>IF(U3306=1,IF(M3306&gt;0,IF(P3306&lt;=G3306+Assumptions!$C$7,1,0),0),0)</f>
        <v/>
      </c>
      <c r="W3306">
        <f>IF(AND(U3306=1,M3306&gt;=H3306*(1-Assumptions!$C$8)),1,0)</f>
        <v/>
      </c>
      <c r="X3306">
        <f>IF(AND(U3306=1,N3306&gt;=H3306*(1-Assumptions!$C$8)),1,0)</f>
        <v/>
      </c>
      <c r="Y3306">
        <f>IF(ISNUMBER(Q3306),1,0)</f>
        <v/>
      </c>
      <c r="Z3306">
        <f>IF(AND(K3306=0,L3306=0,Y3306=0),1,0)</f>
        <v/>
      </c>
      <c r="AA3306">
        <f>IF(AND(Z3306=1,G3306&lt;Assumptions!$C$6),1,0)</f>
        <v/>
      </c>
      <c r="AB3306">
        <f>IF(U3306=0,"",IF(Y3306=1,MAX(0,Q3306-G3306),IF(L3306=1,MAX(0,R3306-G3306),MAX(0,Assumptions!$C$6-G3306))))</f>
        <v/>
      </c>
      <c r="AC3306">
        <f>IF(Y3306=1,Q3306-F3306,"")</f>
        <v/>
      </c>
      <c r="AD3306">
        <f>IF(Y3306=1,AC3306^2,"")</f>
        <v/>
      </c>
      <c r="AE3306" s="19">
        <f>IF(Z3306=1,(H3306-M3306)*I3306,0)</f>
        <v/>
      </c>
      <c r="AF3306">
        <f>IF(G3306&lt;EDATE(Assumptions!$C$6,-12)+1,"prior_12m","last_12m")</f>
        <v/>
      </c>
      <c r="AG3306" s="21">
        <f>DATE(YEAR(G3306),MONTH(G3306),1)</f>
        <v/>
      </c>
    </row>
    <row r="3307">
      <c r="A3307" t="inlineStr">
        <is>
          <t>SPO-01768-2</t>
        </is>
      </c>
      <c r="B3307" t="inlineStr">
        <is>
          <t>SPO-01768</t>
        </is>
      </c>
      <c r="C3307" t="inlineStr">
        <is>
          <t>SUP-02</t>
        </is>
      </c>
      <c r="D3307" t="inlineStr">
        <is>
          <t>ELEC</t>
        </is>
      </c>
      <c r="E3307" t="inlineStr">
        <is>
          <t>ELEC-01</t>
        </is>
      </c>
      <c r="F3307" s="17" t="n">
        <v>46059</v>
      </c>
      <c r="G3307" s="17" t="n">
        <v>46075</v>
      </c>
      <c r="H3307" s="18" t="n">
        <v>26</v>
      </c>
      <c r="I3307" s="19" t="n">
        <v>37.08</v>
      </c>
      <c r="J3307" s="19" t="n">
        <v>38</v>
      </c>
      <c r="K3307" s="20" t="n">
        <v>0</v>
      </c>
      <c r="L3307" s="20" t="n">
        <v>0</v>
      </c>
      <c r="M3307" s="18" t="n">
        <v>26</v>
      </c>
      <c r="N3307" s="18" t="n">
        <v>26</v>
      </c>
      <c r="O3307" s="18" t="n">
        <v>0</v>
      </c>
      <c r="P3307" s="17" t="n">
        <v>46072</v>
      </c>
      <c r="Q3307" s="17" t="n">
        <v>46072</v>
      </c>
      <c r="R3307" s="17" t="n">
        <v>46072</v>
      </c>
      <c r="S3307" s="19">
        <f>H3307*I3307</f>
        <v/>
      </c>
      <c r="T3307" s="19">
        <f>H3307*J3307</f>
        <v/>
      </c>
      <c r="U3307">
        <f>IF(AND(K3307=0,G3307&lt;=Assumptions!$C$6),1,0)</f>
        <v/>
      </c>
      <c r="V3307">
        <f>IF(U3307=1,IF(M3307&gt;0,IF(P3307&lt;=G3307+Assumptions!$C$7,1,0),0),0)</f>
        <v/>
      </c>
      <c r="W3307">
        <f>IF(AND(U3307=1,M3307&gt;=H3307*(1-Assumptions!$C$8)),1,0)</f>
        <v/>
      </c>
      <c r="X3307">
        <f>IF(AND(U3307=1,N3307&gt;=H3307*(1-Assumptions!$C$8)),1,0)</f>
        <v/>
      </c>
      <c r="Y3307">
        <f>IF(ISNUMBER(Q3307),1,0)</f>
        <v/>
      </c>
      <c r="Z3307">
        <f>IF(AND(K3307=0,L3307=0,Y3307=0),1,0)</f>
        <v/>
      </c>
      <c r="AA3307">
        <f>IF(AND(Z3307=1,G3307&lt;Assumptions!$C$6),1,0)</f>
        <v/>
      </c>
      <c r="AB3307">
        <f>IF(U3307=0,"",IF(Y3307=1,MAX(0,Q3307-G3307),IF(L3307=1,MAX(0,R3307-G3307),MAX(0,Assumptions!$C$6-G3307))))</f>
        <v/>
      </c>
      <c r="AC3307">
        <f>IF(Y3307=1,Q3307-F3307,"")</f>
        <v/>
      </c>
      <c r="AD3307">
        <f>IF(Y3307=1,AC3307^2,"")</f>
        <v/>
      </c>
      <c r="AE3307" s="19">
        <f>IF(Z3307=1,(H3307-M3307)*I3307,0)</f>
        <v/>
      </c>
      <c r="AF3307">
        <f>IF(G3307&lt;EDATE(Assumptions!$C$6,-12)+1,"prior_12m","last_12m")</f>
        <v/>
      </c>
      <c r="AG3307" s="21">
        <f>DATE(YEAR(G3307),MONTH(G3307),1)</f>
        <v/>
      </c>
    </row>
    <row r="3308">
      <c r="A3308" t="inlineStr">
        <is>
          <t>SPO-01769-1</t>
        </is>
      </c>
      <c r="B3308" t="inlineStr">
        <is>
          <t>SPO-01769</t>
        </is>
      </c>
      <c r="C3308" t="inlineStr">
        <is>
          <t>SUP-05</t>
        </is>
      </c>
      <c r="D3308" t="inlineStr">
        <is>
          <t>FLEET</t>
        </is>
      </c>
      <c r="E3308" t="inlineStr">
        <is>
          <t>FLEET-01</t>
        </is>
      </c>
      <c r="F3308" s="17" t="n">
        <v>46059</v>
      </c>
      <c r="G3308" s="17" t="n">
        <v>46073</v>
      </c>
      <c r="H3308" s="18" t="n">
        <v>13</v>
      </c>
      <c r="I3308" s="19" t="n">
        <v>62.01</v>
      </c>
      <c r="J3308" s="19" t="n">
        <v>64</v>
      </c>
      <c r="K3308" s="20" t="n">
        <v>0</v>
      </c>
      <c r="L3308" s="20" t="n">
        <v>0</v>
      </c>
      <c r="M3308" s="18" t="n">
        <v>13</v>
      </c>
      <c r="N3308" s="18" t="n">
        <v>13</v>
      </c>
      <c r="O3308" s="18" t="n">
        <v>0</v>
      </c>
      <c r="P3308" s="17" t="n">
        <v>46070</v>
      </c>
      <c r="Q3308" s="17" t="n">
        <v>46070</v>
      </c>
      <c r="R3308" s="17" t="n">
        <v>46070</v>
      </c>
      <c r="S3308" s="19">
        <f>H3308*I3308</f>
        <v/>
      </c>
      <c r="T3308" s="19">
        <f>H3308*J3308</f>
        <v/>
      </c>
      <c r="U3308">
        <f>IF(AND(K3308=0,G3308&lt;=Assumptions!$C$6),1,0)</f>
        <v/>
      </c>
      <c r="V3308">
        <f>IF(U3308=1,IF(M3308&gt;0,IF(P3308&lt;=G3308+Assumptions!$C$7,1,0),0),0)</f>
        <v/>
      </c>
      <c r="W3308">
        <f>IF(AND(U3308=1,M3308&gt;=H3308*(1-Assumptions!$C$8)),1,0)</f>
        <v/>
      </c>
      <c r="X3308">
        <f>IF(AND(U3308=1,N3308&gt;=H3308*(1-Assumptions!$C$8)),1,0)</f>
        <v/>
      </c>
      <c r="Y3308">
        <f>IF(ISNUMBER(Q3308),1,0)</f>
        <v/>
      </c>
      <c r="Z3308">
        <f>IF(AND(K3308=0,L3308=0,Y3308=0),1,0)</f>
        <v/>
      </c>
      <c r="AA3308">
        <f>IF(AND(Z3308=1,G3308&lt;Assumptions!$C$6),1,0)</f>
        <v/>
      </c>
      <c r="AB3308">
        <f>IF(U3308=0,"",IF(Y3308=1,MAX(0,Q3308-G3308),IF(L3308=1,MAX(0,R3308-G3308),MAX(0,Assumptions!$C$6-G3308))))</f>
        <v/>
      </c>
      <c r="AC3308">
        <f>IF(Y3308=1,Q3308-F3308,"")</f>
        <v/>
      </c>
      <c r="AD3308">
        <f>IF(Y3308=1,AC3308^2,"")</f>
        <v/>
      </c>
      <c r="AE3308" s="19">
        <f>IF(Z3308=1,(H3308-M3308)*I3308,0)</f>
        <v/>
      </c>
      <c r="AF3308">
        <f>IF(G3308&lt;EDATE(Assumptions!$C$6,-12)+1,"prior_12m","last_12m")</f>
        <v/>
      </c>
      <c r="AG3308" s="21">
        <f>DATE(YEAR(G3308),MONTH(G3308),1)</f>
        <v/>
      </c>
    </row>
    <row r="3309">
      <c r="A3309" t="inlineStr">
        <is>
          <t>SPO-01769-2</t>
        </is>
      </c>
      <c r="B3309" t="inlineStr">
        <is>
          <t>SPO-01769</t>
        </is>
      </c>
      <c r="C3309" t="inlineStr">
        <is>
          <t>SUP-05</t>
        </is>
      </c>
      <c r="D3309" t="inlineStr">
        <is>
          <t>FLEET</t>
        </is>
      </c>
      <c r="E3309" t="inlineStr">
        <is>
          <t>FLEET-05</t>
        </is>
      </c>
      <c r="F3309" s="17" t="n">
        <v>46059</v>
      </c>
      <c r="G3309" s="17" t="n">
        <v>46073</v>
      </c>
      <c r="H3309" s="18" t="n">
        <v>22</v>
      </c>
      <c r="I3309" s="19" t="n">
        <v>178.51</v>
      </c>
      <c r="J3309" s="19" t="n">
        <v>168</v>
      </c>
      <c r="K3309" s="20" t="n">
        <v>0</v>
      </c>
      <c r="L3309" s="20" t="n">
        <v>0</v>
      </c>
      <c r="M3309" s="18" t="n">
        <v>22</v>
      </c>
      <c r="N3309" s="18" t="n">
        <v>22</v>
      </c>
      <c r="O3309" s="18" t="n">
        <v>0</v>
      </c>
      <c r="P3309" s="17" t="n">
        <v>46073</v>
      </c>
      <c r="Q3309" s="17" t="n">
        <v>46073</v>
      </c>
      <c r="R3309" s="17" t="n">
        <v>46073</v>
      </c>
      <c r="S3309" s="19">
        <f>H3309*I3309</f>
        <v/>
      </c>
      <c r="T3309" s="19">
        <f>H3309*J3309</f>
        <v/>
      </c>
      <c r="U3309">
        <f>IF(AND(K3309=0,G3309&lt;=Assumptions!$C$6),1,0)</f>
        <v/>
      </c>
      <c r="V3309">
        <f>IF(U3309=1,IF(M3309&gt;0,IF(P3309&lt;=G3309+Assumptions!$C$7,1,0),0),0)</f>
        <v/>
      </c>
      <c r="W3309">
        <f>IF(AND(U3309=1,M3309&gt;=H3309*(1-Assumptions!$C$8)),1,0)</f>
        <v/>
      </c>
      <c r="X3309">
        <f>IF(AND(U3309=1,N3309&gt;=H3309*(1-Assumptions!$C$8)),1,0)</f>
        <v/>
      </c>
      <c r="Y3309">
        <f>IF(ISNUMBER(Q3309),1,0)</f>
        <v/>
      </c>
      <c r="Z3309">
        <f>IF(AND(K3309=0,L3309=0,Y3309=0),1,0)</f>
        <v/>
      </c>
      <c r="AA3309">
        <f>IF(AND(Z3309=1,G3309&lt;Assumptions!$C$6),1,0)</f>
        <v/>
      </c>
      <c r="AB3309">
        <f>IF(U3309=0,"",IF(Y3309=1,MAX(0,Q3309-G3309),IF(L3309=1,MAX(0,R3309-G3309),MAX(0,Assumptions!$C$6-G3309))))</f>
        <v/>
      </c>
      <c r="AC3309">
        <f>IF(Y3309=1,Q3309-F3309,"")</f>
        <v/>
      </c>
      <c r="AD3309">
        <f>IF(Y3309=1,AC3309^2,"")</f>
        <v/>
      </c>
      <c r="AE3309" s="19">
        <f>IF(Z3309=1,(H3309-M3309)*I3309,0)</f>
        <v/>
      </c>
      <c r="AF3309">
        <f>IF(G3309&lt;EDATE(Assumptions!$C$6,-12)+1,"prior_12m","last_12m")</f>
        <v/>
      </c>
      <c r="AG3309" s="21">
        <f>DATE(YEAR(G3309),MONTH(G3309),1)</f>
        <v/>
      </c>
    </row>
    <row r="3310">
      <c r="A3310" t="inlineStr">
        <is>
          <t>SPO-01769-3</t>
        </is>
      </c>
      <c r="B3310" t="inlineStr">
        <is>
          <t>SPO-01769</t>
        </is>
      </c>
      <c r="C3310" t="inlineStr">
        <is>
          <t>SUP-05</t>
        </is>
      </c>
      <c r="D3310" t="inlineStr">
        <is>
          <t>FLEET</t>
        </is>
      </c>
      <c r="E3310" t="inlineStr">
        <is>
          <t>FLEET-02</t>
        </is>
      </c>
      <c r="F3310" s="17" t="n">
        <v>46059</v>
      </c>
      <c r="G3310" s="17" t="n">
        <v>46073</v>
      </c>
      <c r="H3310" s="18" t="n">
        <v>183</v>
      </c>
      <c r="I3310" s="19" t="n">
        <v>7.62</v>
      </c>
      <c r="J3310" s="19" t="n">
        <v>7.5</v>
      </c>
      <c r="K3310" s="20" t="n">
        <v>0</v>
      </c>
      <c r="L3310" s="20" t="n">
        <v>0</v>
      </c>
      <c r="M3310" s="18" t="n">
        <v>183</v>
      </c>
      <c r="N3310" s="18" t="n">
        <v>183</v>
      </c>
      <c r="O3310" s="18" t="n">
        <v>0</v>
      </c>
      <c r="P3310" s="17" t="n">
        <v>46068</v>
      </c>
      <c r="Q3310" s="17" t="n">
        <v>46068</v>
      </c>
      <c r="R3310" s="17" t="n">
        <v>46068</v>
      </c>
      <c r="S3310" s="19">
        <f>H3310*I3310</f>
        <v/>
      </c>
      <c r="T3310" s="19">
        <f>H3310*J3310</f>
        <v/>
      </c>
      <c r="U3310">
        <f>IF(AND(K3310=0,G3310&lt;=Assumptions!$C$6),1,0)</f>
        <v/>
      </c>
      <c r="V3310">
        <f>IF(U3310=1,IF(M3310&gt;0,IF(P3310&lt;=G3310+Assumptions!$C$7,1,0),0),0)</f>
        <v/>
      </c>
      <c r="W3310">
        <f>IF(AND(U3310=1,M3310&gt;=H3310*(1-Assumptions!$C$8)),1,0)</f>
        <v/>
      </c>
      <c r="X3310">
        <f>IF(AND(U3310=1,N3310&gt;=H3310*(1-Assumptions!$C$8)),1,0)</f>
        <v/>
      </c>
      <c r="Y3310">
        <f>IF(ISNUMBER(Q3310),1,0)</f>
        <v/>
      </c>
      <c r="Z3310">
        <f>IF(AND(K3310=0,L3310=0,Y3310=0),1,0)</f>
        <v/>
      </c>
      <c r="AA3310">
        <f>IF(AND(Z3310=1,G3310&lt;Assumptions!$C$6),1,0)</f>
        <v/>
      </c>
      <c r="AB3310">
        <f>IF(U3310=0,"",IF(Y3310=1,MAX(0,Q3310-G3310),IF(L3310=1,MAX(0,R3310-G3310),MAX(0,Assumptions!$C$6-G3310))))</f>
        <v/>
      </c>
      <c r="AC3310">
        <f>IF(Y3310=1,Q3310-F3310,"")</f>
        <v/>
      </c>
      <c r="AD3310">
        <f>IF(Y3310=1,AC3310^2,"")</f>
        <v/>
      </c>
      <c r="AE3310" s="19">
        <f>IF(Z3310=1,(H3310-M3310)*I3310,0)</f>
        <v/>
      </c>
      <c r="AF3310">
        <f>IF(G3310&lt;EDATE(Assumptions!$C$6,-12)+1,"prior_12m","last_12m")</f>
        <v/>
      </c>
      <c r="AG3310" s="21">
        <f>DATE(YEAR(G3310),MONTH(G3310),1)</f>
        <v/>
      </c>
    </row>
    <row r="3311">
      <c r="A3311" t="inlineStr">
        <is>
          <t>SPO-01769-4</t>
        </is>
      </c>
      <c r="B3311" t="inlineStr">
        <is>
          <t>SPO-01769</t>
        </is>
      </c>
      <c r="C3311" t="inlineStr">
        <is>
          <t>SUP-05</t>
        </is>
      </c>
      <c r="D3311" t="inlineStr">
        <is>
          <t>FLEET</t>
        </is>
      </c>
      <c r="E3311" t="inlineStr">
        <is>
          <t>FLEET-04</t>
        </is>
      </c>
      <c r="F3311" s="17" t="n">
        <v>46059</v>
      </c>
      <c r="G3311" s="17" t="n">
        <v>46073</v>
      </c>
      <c r="H3311" s="18" t="n">
        <v>528</v>
      </c>
      <c r="I3311" s="19" t="n">
        <v>9.43</v>
      </c>
      <c r="J3311" s="19" t="n">
        <v>9</v>
      </c>
      <c r="K3311" s="20" t="n">
        <v>0</v>
      </c>
      <c r="L3311" s="20" t="n">
        <v>0</v>
      </c>
      <c r="M3311" s="18" t="n">
        <v>528</v>
      </c>
      <c r="N3311" s="18" t="n">
        <v>528</v>
      </c>
      <c r="O3311" s="18" t="n">
        <v>0</v>
      </c>
      <c r="P3311" s="17" t="n">
        <v>46070</v>
      </c>
      <c r="Q3311" s="17" t="n">
        <v>46070</v>
      </c>
      <c r="R3311" s="17" t="n">
        <v>46070</v>
      </c>
      <c r="S3311" s="19">
        <f>H3311*I3311</f>
        <v/>
      </c>
      <c r="T3311" s="19">
        <f>H3311*J3311</f>
        <v/>
      </c>
      <c r="U3311">
        <f>IF(AND(K3311=0,G3311&lt;=Assumptions!$C$6),1,0)</f>
        <v/>
      </c>
      <c r="V3311">
        <f>IF(U3311=1,IF(M3311&gt;0,IF(P3311&lt;=G3311+Assumptions!$C$7,1,0),0),0)</f>
        <v/>
      </c>
      <c r="W3311">
        <f>IF(AND(U3311=1,M3311&gt;=H3311*(1-Assumptions!$C$8)),1,0)</f>
        <v/>
      </c>
      <c r="X3311">
        <f>IF(AND(U3311=1,N3311&gt;=H3311*(1-Assumptions!$C$8)),1,0)</f>
        <v/>
      </c>
      <c r="Y3311">
        <f>IF(ISNUMBER(Q3311),1,0)</f>
        <v/>
      </c>
      <c r="Z3311">
        <f>IF(AND(K3311=0,L3311=0,Y3311=0),1,0)</f>
        <v/>
      </c>
      <c r="AA3311">
        <f>IF(AND(Z3311=1,G3311&lt;Assumptions!$C$6),1,0)</f>
        <v/>
      </c>
      <c r="AB3311">
        <f>IF(U3311=0,"",IF(Y3311=1,MAX(0,Q3311-G3311),IF(L3311=1,MAX(0,R3311-G3311),MAX(0,Assumptions!$C$6-G3311))))</f>
        <v/>
      </c>
      <c r="AC3311">
        <f>IF(Y3311=1,Q3311-F3311,"")</f>
        <v/>
      </c>
      <c r="AD3311">
        <f>IF(Y3311=1,AC3311^2,"")</f>
        <v/>
      </c>
      <c r="AE3311" s="19">
        <f>IF(Z3311=1,(H3311-M3311)*I3311,0)</f>
        <v/>
      </c>
      <c r="AF3311">
        <f>IF(G3311&lt;EDATE(Assumptions!$C$6,-12)+1,"prior_12m","last_12m")</f>
        <v/>
      </c>
      <c r="AG3311" s="21">
        <f>DATE(YEAR(G3311),MONTH(G3311),1)</f>
        <v/>
      </c>
    </row>
    <row r="3312">
      <c r="A3312" t="inlineStr">
        <is>
          <t>SPO-01770-1</t>
        </is>
      </c>
      <c r="B3312" t="inlineStr">
        <is>
          <t>SPO-01770</t>
        </is>
      </c>
      <c r="C3312" t="inlineStr">
        <is>
          <t>SUP-01</t>
        </is>
      </c>
      <c r="D3312" t="inlineStr">
        <is>
          <t>ELEC</t>
        </is>
      </c>
      <c r="E3312" t="inlineStr">
        <is>
          <t>ELEC-05</t>
        </is>
      </c>
      <c r="F3312" s="17" t="n">
        <v>46060</v>
      </c>
      <c r="G3312" s="17" t="n">
        <v>46078</v>
      </c>
      <c r="H3312" s="18" t="n">
        <v>252</v>
      </c>
      <c r="I3312" s="19" t="n">
        <v>11.83</v>
      </c>
      <c r="J3312" s="19" t="n">
        <v>11.5</v>
      </c>
      <c r="K3312" s="20" t="n">
        <v>0</v>
      </c>
      <c r="L3312" s="20" t="n">
        <v>0</v>
      </c>
      <c r="M3312" s="18" t="n">
        <v>252</v>
      </c>
      <c r="N3312" s="18" t="n">
        <v>252</v>
      </c>
      <c r="O3312" s="18" t="n">
        <v>0</v>
      </c>
      <c r="P3312" s="17" t="n">
        <v>46076</v>
      </c>
      <c r="Q3312" s="17" t="n">
        <v>46076</v>
      </c>
      <c r="R3312" s="17" t="n">
        <v>46076</v>
      </c>
      <c r="S3312" s="19">
        <f>H3312*I3312</f>
        <v/>
      </c>
      <c r="T3312" s="19">
        <f>H3312*J3312</f>
        <v/>
      </c>
      <c r="U3312">
        <f>IF(AND(K3312=0,G3312&lt;=Assumptions!$C$6),1,0)</f>
        <v/>
      </c>
      <c r="V3312">
        <f>IF(U3312=1,IF(M3312&gt;0,IF(P3312&lt;=G3312+Assumptions!$C$7,1,0),0),0)</f>
        <v/>
      </c>
      <c r="W3312">
        <f>IF(AND(U3312=1,M3312&gt;=H3312*(1-Assumptions!$C$8)),1,0)</f>
        <v/>
      </c>
      <c r="X3312">
        <f>IF(AND(U3312=1,N3312&gt;=H3312*(1-Assumptions!$C$8)),1,0)</f>
        <v/>
      </c>
      <c r="Y3312">
        <f>IF(ISNUMBER(Q3312),1,0)</f>
        <v/>
      </c>
      <c r="Z3312">
        <f>IF(AND(K3312=0,L3312=0,Y3312=0),1,0)</f>
        <v/>
      </c>
      <c r="AA3312">
        <f>IF(AND(Z3312=1,G3312&lt;Assumptions!$C$6),1,0)</f>
        <v/>
      </c>
      <c r="AB3312">
        <f>IF(U3312=0,"",IF(Y3312=1,MAX(0,Q3312-G3312),IF(L3312=1,MAX(0,R3312-G3312),MAX(0,Assumptions!$C$6-G3312))))</f>
        <v/>
      </c>
      <c r="AC3312">
        <f>IF(Y3312=1,Q3312-F3312,"")</f>
        <v/>
      </c>
      <c r="AD3312">
        <f>IF(Y3312=1,AC3312^2,"")</f>
        <v/>
      </c>
      <c r="AE3312" s="19">
        <f>IF(Z3312=1,(H3312-M3312)*I3312,0)</f>
        <v/>
      </c>
      <c r="AF3312">
        <f>IF(G3312&lt;EDATE(Assumptions!$C$6,-12)+1,"prior_12m","last_12m")</f>
        <v/>
      </c>
      <c r="AG3312" s="21">
        <f>DATE(YEAR(G3312),MONTH(G3312),1)</f>
        <v/>
      </c>
    </row>
    <row r="3313">
      <c r="A3313" t="inlineStr">
        <is>
          <t>SPO-01770-2</t>
        </is>
      </c>
      <c r="B3313" t="inlineStr">
        <is>
          <t>SPO-01770</t>
        </is>
      </c>
      <c r="C3313" t="inlineStr">
        <is>
          <t>SUP-01</t>
        </is>
      </c>
      <c r="D3313" t="inlineStr">
        <is>
          <t>ELEC</t>
        </is>
      </c>
      <c r="E3313" t="inlineStr">
        <is>
          <t>ELEC-06</t>
        </is>
      </c>
      <c r="F3313" s="17" t="n">
        <v>46060</v>
      </c>
      <c r="G3313" s="17" t="n">
        <v>46078</v>
      </c>
      <c r="H3313" s="18" t="n">
        <v>30</v>
      </c>
      <c r="I3313" s="19" t="n">
        <v>153.37</v>
      </c>
      <c r="J3313" s="19" t="n">
        <v>145</v>
      </c>
      <c r="K3313" s="20" t="n">
        <v>0</v>
      </c>
      <c r="L3313" s="20" t="n">
        <v>0</v>
      </c>
      <c r="M3313" s="18" t="n">
        <v>30</v>
      </c>
      <c r="N3313" s="18" t="n">
        <v>0</v>
      </c>
      <c r="O3313" s="18" t="n">
        <v>0</v>
      </c>
      <c r="P3313" s="17" t="n">
        <v>46081</v>
      </c>
      <c r="Q3313" s="17" t="n">
        <v>46081</v>
      </c>
      <c r="R3313" s="17" t="n">
        <v>46081</v>
      </c>
      <c r="S3313" s="19">
        <f>H3313*I3313</f>
        <v/>
      </c>
      <c r="T3313" s="19">
        <f>H3313*J3313</f>
        <v/>
      </c>
      <c r="U3313">
        <f>IF(AND(K3313=0,G3313&lt;=Assumptions!$C$6),1,0)</f>
        <v/>
      </c>
      <c r="V3313">
        <f>IF(U3313=1,IF(M3313&gt;0,IF(P3313&lt;=G3313+Assumptions!$C$7,1,0),0),0)</f>
        <v/>
      </c>
      <c r="W3313">
        <f>IF(AND(U3313=1,M3313&gt;=H3313*(1-Assumptions!$C$8)),1,0)</f>
        <v/>
      </c>
      <c r="X3313">
        <f>IF(AND(U3313=1,N3313&gt;=H3313*(1-Assumptions!$C$8)),1,0)</f>
        <v/>
      </c>
      <c r="Y3313">
        <f>IF(ISNUMBER(Q3313),1,0)</f>
        <v/>
      </c>
      <c r="Z3313">
        <f>IF(AND(K3313=0,L3313=0,Y3313=0),1,0)</f>
        <v/>
      </c>
      <c r="AA3313">
        <f>IF(AND(Z3313=1,G3313&lt;Assumptions!$C$6),1,0)</f>
        <v/>
      </c>
      <c r="AB3313">
        <f>IF(U3313=0,"",IF(Y3313=1,MAX(0,Q3313-G3313),IF(L3313=1,MAX(0,R3313-G3313),MAX(0,Assumptions!$C$6-G3313))))</f>
        <v/>
      </c>
      <c r="AC3313">
        <f>IF(Y3313=1,Q3313-F3313,"")</f>
        <v/>
      </c>
      <c r="AD3313">
        <f>IF(Y3313=1,AC3313^2,"")</f>
        <v/>
      </c>
      <c r="AE3313" s="19">
        <f>IF(Z3313=1,(H3313-M3313)*I3313,0)</f>
        <v/>
      </c>
      <c r="AF3313">
        <f>IF(G3313&lt;EDATE(Assumptions!$C$6,-12)+1,"prior_12m","last_12m")</f>
        <v/>
      </c>
      <c r="AG3313" s="21">
        <f>DATE(YEAR(G3313),MONTH(G3313),1)</f>
        <v/>
      </c>
    </row>
    <row r="3314">
      <c r="A3314" t="inlineStr">
        <is>
          <t>SPO-01770-3</t>
        </is>
      </c>
      <c r="B3314" t="inlineStr">
        <is>
          <t>SPO-01770</t>
        </is>
      </c>
      <c r="C3314" t="inlineStr">
        <is>
          <t>SUP-01</t>
        </is>
      </c>
      <c r="D3314" t="inlineStr">
        <is>
          <t>ELEC</t>
        </is>
      </c>
      <c r="E3314" t="inlineStr">
        <is>
          <t>ELEC-07</t>
        </is>
      </c>
      <c r="F3314" s="17" t="n">
        <v>46060</v>
      </c>
      <c r="G3314" s="17" t="n">
        <v>46078</v>
      </c>
      <c r="H3314" s="18" t="n">
        <v>256</v>
      </c>
      <c r="I3314" s="19" t="n">
        <v>9.890000000000001</v>
      </c>
      <c r="J3314" s="19" t="n">
        <v>9.800000000000001</v>
      </c>
      <c r="K3314" s="20" t="n">
        <v>0</v>
      </c>
      <c r="L3314" s="20" t="n">
        <v>0</v>
      </c>
      <c r="M3314" s="18" t="n">
        <v>256</v>
      </c>
      <c r="N3314" s="18" t="n">
        <v>256</v>
      </c>
      <c r="O3314" s="18" t="n">
        <v>0</v>
      </c>
      <c r="P3314" s="17" t="n">
        <v>46070</v>
      </c>
      <c r="Q3314" s="17" t="n">
        <v>46070</v>
      </c>
      <c r="R3314" s="17" t="n">
        <v>46070</v>
      </c>
      <c r="S3314" s="19">
        <f>H3314*I3314</f>
        <v/>
      </c>
      <c r="T3314" s="19">
        <f>H3314*J3314</f>
        <v/>
      </c>
      <c r="U3314">
        <f>IF(AND(K3314=0,G3314&lt;=Assumptions!$C$6),1,0)</f>
        <v/>
      </c>
      <c r="V3314">
        <f>IF(U3314=1,IF(M3314&gt;0,IF(P3314&lt;=G3314+Assumptions!$C$7,1,0),0),0)</f>
        <v/>
      </c>
      <c r="W3314">
        <f>IF(AND(U3314=1,M3314&gt;=H3314*(1-Assumptions!$C$8)),1,0)</f>
        <v/>
      </c>
      <c r="X3314">
        <f>IF(AND(U3314=1,N3314&gt;=H3314*(1-Assumptions!$C$8)),1,0)</f>
        <v/>
      </c>
      <c r="Y3314">
        <f>IF(ISNUMBER(Q3314),1,0)</f>
        <v/>
      </c>
      <c r="Z3314">
        <f>IF(AND(K3314=0,L3314=0,Y3314=0),1,0)</f>
        <v/>
      </c>
      <c r="AA3314">
        <f>IF(AND(Z3314=1,G3314&lt;Assumptions!$C$6),1,0)</f>
        <v/>
      </c>
      <c r="AB3314">
        <f>IF(U3314=0,"",IF(Y3314=1,MAX(0,Q3314-G3314),IF(L3314=1,MAX(0,R3314-G3314),MAX(0,Assumptions!$C$6-G3314))))</f>
        <v/>
      </c>
      <c r="AC3314">
        <f>IF(Y3314=1,Q3314-F3314,"")</f>
        <v/>
      </c>
      <c r="AD3314">
        <f>IF(Y3314=1,AC3314^2,"")</f>
        <v/>
      </c>
      <c r="AE3314" s="19">
        <f>IF(Z3314=1,(H3314-M3314)*I3314,0)</f>
        <v/>
      </c>
      <c r="AF3314">
        <f>IF(G3314&lt;EDATE(Assumptions!$C$6,-12)+1,"prior_12m","last_12m")</f>
        <v/>
      </c>
      <c r="AG3314" s="21">
        <f>DATE(YEAR(G3314),MONTH(G3314),1)</f>
        <v/>
      </c>
    </row>
    <row r="3315">
      <c r="A3315" t="inlineStr">
        <is>
          <t>SPO-01771-1</t>
        </is>
      </c>
      <c r="B3315" t="inlineStr">
        <is>
          <t>SPO-01771</t>
        </is>
      </c>
      <c r="C3315" t="inlineStr">
        <is>
          <t>SUP-06</t>
        </is>
      </c>
      <c r="D3315" t="inlineStr">
        <is>
          <t>MRO</t>
        </is>
      </c>
      <c r="E3315" t="inlineStr">
        <is>
          <t>MRO-06</t>
        </is>
      </c>
      <c r="F3315" s="17" t="n">
        <v>46060</v>
      </c>
      <c r="G3315" s="17" t="n">
        <v>46068</v>
      </c>
      <c r="H3315" s="18" t="n">
        <v>397</v>
      </c>
      <c r="I3315" s="19" t="n">
        <v>5.81</v>
      </c>
      <c r="J3315" s="19" t="n">
        <v>6.1</v>
      </c>
      <c r="K3315" s="20" t="n">
        <v>0</v>
      </c>
      <c r="L3315" s="20" t="n">
        <v>0</v>
      </c>
      <c r="M3315" s="18" t="n">
        <v>397</v>
      </c>
      <c r="N3315" s="18" t="n">
        <v>397</v>
      </c>
      <c r="O3315" s="18" t="n">
        <v>0</v>
      </c>
      <c r="P3315" s="17" t="n">
        <v>46064</v>
      </c>
      <c r="Q3315" s="17" t="n">
        <v>46064</v>
      </c>
      <c r="R3315" s="17" t="n">
        <v>46064</v>
      </c>
      <c r="S3315" s="19">
        <f>H3315*I3315</f>
        <v/>
      </c>
      <c r="T3315" s="19">
        <f>H3315*J3315</f>
        <v/>
      </c>
      <c r="U3315">
        <f>IF(AND(K3315=0,G3315&lt;=Assumptions!$C$6),1,0)</f>
        <v/>
      </c>
      <c r="V3315">
        <f>IF(U3315=1,IF(M3315&gt;0,IF(P3315&lt;=G3315+Assumptions!$C$7,1,0),0),0)</f>
        <v/>
      </c>
      <c r="W3315">
        <f>IF(AND(U3315=1,M3315&gt;=H3315*(1-Assumptions!$C$8)),1,0)</f>
        <v/>
      </c>
      <c r="X3315">
        <f>IF(AND(U3315=1,N3315&gt;=H3315*(1-Assumptions!$C$8)),1,0)</f>
        <v/>
      </c>
      <c r="Y3315">
        <f>IF(ISNUMBER(Q3315),1,0)</f>
        <v/>
      </c>
      <c r="Z3315">
        <f>IF(AND(K3315=0,L3315=0,Y3315=0),1,0)</f>
        <v/>
      </c>
      <c r="AA3315">
        <f>IF(AND(Z3315=1,G3315&lt;Assumptions!$C$6),1,0)</f>
        <v/>
      </c>
      <c r="AB3315">
        <f>IF(U3315=0,"",IF(Y3315=1,MAX(0,Q3315-G3315),IF(L3315=1,MAX(0,R3315-G3315),MAX(0,Assumptions!$C$6-G3315))))</f>
        <v/>
      </c>
      <c r="AC3315">
        <f>IF(Y3315=1,Q3315-F3315,"")</f>
        <v/>
      </c>
      <c r="AD3315">
        <f>IF(Y3315=1,AC3315^2,"")</f>
        <v/>
      </c>
      <c r="AE3315" s="19">
        <f>IF(Z3315=1,(H3315-M3315)*I3315,0)</f>
        <v/>
      </c>
      <c r="AF3315">
        <f>IF(G3315&lt;EDATE(Assumptions!$C$6,-12)+1,"prior_12m","last_12m")</f>
        <v/>
      </c>
      <c r="AG3315" s="21">
        <f>DATE(YEAR(G3315),MONTH(G3315),1)</f>
        <v/>
      </c>
    </row>
    <row r="3316">
      <c r="A3316" t="inlineStr">
        <is>
          <t>SPO-01771-2</t>
        </is>
      </c>
      <c r="B3316" t="inlineStr">
        <is>
          <t>SPO-01771</t>
        </is>
      </c>
      <c r="C3316" t="inlineStr">
        <is>
          <t>SUP-06</t>
        </is>
      </c>
      <c r="D3316" t="inlineStr">
        <is>
          <t>MRO</t>
        </is>
      </c>
      <c r="E3316" t="inlineStr">
        <is>
          <t>MRO-08</t>
        </is>
      </c>
      <c r="F3316" s="17" t="n">
        <v>46060</v>
      </c>
      <c r="G3316" s="17" t="n">
        <v>46068</v>
      </c>
      <c r="H3316" s="18" t="n">
        <v>164</v>
      </c>
      <c r="I3316" s="19" t="n">
        <v>6.81</v>
      </c>
      <c r="J3316" s="19" t="n">
        <v>7.2</v>
      </c>
      <c r="K3316" s="20" t="n">
        <v>0</v>
      </c>
      <c r="L3316" s="20" t="n">
        <v>0</v>
      </c>
      <c r="M3316" s="18" t="n">
        <v>164</v>
      </c>
      <c r="N3316" s="18" t="n">
        <v>164</v>
      </c>
      <c r="O3316" s="18" t="n">
        <v>0</v>
      </c>
      <c r="P3316" s="17" t="n">
        <v>46067</v>
      </c>
      <c r="Q3316" s="17" t="n">
        <v>46067</v>
      </c>
      <c r="R3316" s="17" t="n">
        <v>46067</v>
      </c>
      <c r="S3316" s="19">
        <f>H3316*I3316</f>
        <v/>
      </c>
      <c r="T3316" s="19">
        <f>H3316*J3316</f>
        <v/>
      </c>
      <c r="U3316">
        <f>IF(AND(K3316=0,G3316&lt;=Assumptions!$C$6),1,0)</f>
        <v/>
      </c>
      <c r="V3316">
        <f>IF(U3316=1,IF(M3316&gt;0,IF(P3316&lt;=G3316+Assumptions!$C$7,1,0),0),0)</f>
        <v/>
      </c>
      <c r="W3316">
        <f>IF(AND(U3316=1,M3316&gt;=H3316*(1-Assumptions!$C$8)),1,0)</f>
        <v/>
      </c>
      <c r="X3316">
        <f>IF(AND(U3316=1,N3316&gt;=H3316*(1-Assumptions!$C$8)),1,0)</f>
        <v/>
      </c>
      <c r="Y3316">
        <f>IF(ISNUMBER(Q3316),1,0)</f>
        <v/>
      </c>
      <c r="Z3316">
        <f>IF(AND(K3316=0,L3316=0,Y3316=0),1,0)</f>
        <v/>
      </c>
      <c r="AA3316">
        <f>IF(AND(Z3316=1,G3316&lt;Assumptions!$C$6),1,0)</f>
        <v/>
      </c>
      <c r="AB3316">
        <f>IF(U3316=0,"",IF(Y3316=1,MAX(0,Q3316-G3316),IF(L3316=1,MAX(0,R3316-G3316),MAX(0,Assumptions!$C$6-G3316))))</f>
        <v/>
      </c>
      <c r="AC3316">
        <f>IF(Y3316=1,Q3316-F3316,"")</f>
        <v/>
      </c>
      <c r="AD3316">
        <f>IF(Y3316=1,AC3316^2,"")</f>
        <v/>
      </c>
      <c r="AE3316" s="19">
        <f>IF(Z3316=1,(H3316-M3316)*I3316,0)</f>
        <v/>
      </c>
      <c r="AF3316">
        <f>IF(G3316&lt;EDATE(Assumptions!$C$6,-12)+1,"prior_12m","last_12m")</f>
        <v/>
      </c>
      <c r="AG3316" s="21">
        <f>DATE(YEAR(G3316),MONTH(G3316),1)</f>
        <v/>
      </c>
    </row>
    <row r="3317">
      <c r="A3317" t="inlineStr">
        <is>
          <t>SPO-01772-1</t>
        </is>
      </c>
      <c r="B3317" t="inlineStr">
        <is>
          <t>SPO-01772</t>
        </is>
      </c>
      <c r="C3317" t="inlineStr">
        <is>
          <t>SUP-07</t>
        </is>
      </c>
      <c r="D3317" t="inlineStr">
        <is>
          <t>MRO</t>
        </is>
      </c>
      <c r="E3317" t="inlineStr">
        <is>
          <t>MRO-04</t>
        </is>
      </c>
      <c r="F3317" s="17" t="n">
        <v>46060</v>
      </c>
      <c r="G3317" s="17" t="n">
        <v>46070</v>
      </c>
      <c r="H3317" s="18" t="n">
        <v>25</v>
      </c>
      <c r="I3317" s="19" t="n">
        <v>57.21</v>
      </c>
      <c r="J3317" s="19" t="n">
        <v>58</v>
      </c>
      <c r="K3317" s="20" t="n">
        <v>0</v>
      </c>
      <c r="L3317" s="20" t="n">
        <v>0</v>
      </c>
      <c r="M3317" s="18" t="n">
        <v>25</v>
      </c>
      <c r="N3317" s="18" t="n">
        <v>25</v>
      </c>
      <c r="O3317" s="18" t="n">
        <v>0</v>
      </c>
      <c r="P3317" s="17" t="n">
        <v>46067</v>
      </c>
      <c r="Q3317" s="17" t="n">
        <v>46067</v>
      </c>
      <c r="R3317" s="17" t="n">
        <v>46067</v>
      </c>
      <c r="S3317" s="19">
        <f>H3317*I3317</f>
        <v/>
      </c>
      <c r="T3317" s="19">
        <f>H3317*J3317</f>
        <v/>
      </c>
      <c r="U3317">
        <f>IF(AND(K3317=0,G3317&lt;=Assumptions!$C$6),1,0)</f>
        <v/>
      </c>
      <c r="V3317">
        <f>IF(U3317=1,IF(M3317&gt;0,IF(P3317&lt;=G3317+Assumptions!$C$7,1,0),0),0)</f>
        <v/>
      </c>
      <c r="W3317">
        <f>IF(AND(U3317=1,M3317&gt;=H3317*(1-Assumptions!$C$8)),1,0)</f>
        <v/>
      </c>
      <c r="X3317">
        <f>IF(AND(U3317=1,N3317&gt;=H3317*(1-Assumptions!$C$8)),1,0)</f>
        <v/>
      </c>
      <c r="Y3317">
        <f>IF(ISNUMBER(Q3317),1,0)</f>
        <v/>
      </c>
      <c r="Z3317">
        <f>IF(AND(K3317=0,L3317=0,Y3317=0),1,0)</f>
        <v/>
      </c>
      <c r="AA3317">
        <f>IF(AND(Z3317=1,G3317&lt;Assumptions!$C$6),1,0)</f>
        <v/>
      </c>
      <c r="AB3317">
        <f>IF(U3317=0,"",IF(Y3317=1,MAX(0,Q3317-G3317),IF(L3317=1,MAX(0,R3317-G3317),MAX(0,Assumptions!$C$6-G3317))))</f>
        <v/>
      </c>
      <c r="AC3317">
        <f>IF(Y3317=1,Q3317-F3317,"")</f>
        <v/>
      </c>
      <c r="AD3317">
        <f>IF(Y3317=1,AC3317^2,"")</f>
        <v/>
      </c>
      <c r="AE3317" s="19">
        <f>IF(Z3317=1,(H3317-M3317)*I3317,0)</f>
        <v/>
      </c>
      <c r="AF3317">
        <f>IF(G3317&lt;EDATE(Assumptions!$C$6,-12)+1,"prior_12m","last_12m")</f>
        <v/>
      </c>
      <c r="AG3317" s="21">
        <f>DATE(YEAR(G3317),MONTH(G3317),1)</f>
        <v/>
      </c>
    </row>
    <row r="3318">
      <c r="A3318" t="inlineStr">
        <is>
          <t>SPO-01772-2</t>
        </is>
      </c>
      <c r="B3318" t="inlineStr">
        <is>
          <t>SPO-01772</t>
        </is>
      </c>
      <c r="C3318" t="inlineStr">
        <is>
          <t>SUP-07</t>
        </is>
      </c>
      <c r="D3318" t="inlineStr">
        <is>
          <t>MRO</t>
        </is>
      </c>
      <c r="E3318" t="inlineStr">
        <is>
          <t>MRO-05</t>
        </is>
      </c>
      <c r="F3318" s="17" t="n">
        <v>46060</v>
      </c>
      <c r="G3318" s="17" t="n">
        <v>46070</v>
      </c>
      <c r="H3318" s="18" t="n">
        <v>70</v>
      </c>
      <c r="I3318" s="19" t="n">
        <v>35.81</v>
      </c>
      <c r="J3318" s="19" t="n">
        <v>36</v>
      </c>
      <c r="K3318" s="20" t="n">
        <v>0</v>
      </c>
      <c r="L3318" s="20" t="n">
        <v>0</v>
      </c>
      <c r="M3318" s="18" t="n">
        <v>70</v>
      </c>
      <c r="N3318" s="18" t="n">
        <v>70</v>
      </c>
      <c r="O3318" s="18" t="n">
        <v>0</v>
      </c>
      <c r="P3318" s="17" t="n">
        <v>46068</v>
      </c>
      <c r="Q3318" s="17" t="n">
        <v>46068</v>
      </c>
      <c r="R3318" s="17" t="n">
        <v>46068</v>
      </c>
      <c r="S3318" s="19">
        <f>H3318*I3318</f>
        <v/>
      </c>
      <c r="T3318" s="19">
        <f>H3318*J3318</f>
        <v/>
      </c>
      <c r="U3318">
        <f>IF(AND(K3318=0,G3318&lt;=Assumptions!$C$6),1,0)</f>
        <v/>
      </c>
      <c r="V3318">
        <f>IF(U3318=1,IF(M3318&gt;0,IF(P3318&lt;=G3318+Assumptions!$C$7,1,0),0),0)</f>
        <v/>
      </c>
      <c r="W3318">
        <f>IF(AND(U3318=1,M3318&gt;=H3318*(1-Assumptions!$C$8)),1,0)</f>
        <v/>
      </c>
      <c r="X3318">
        <f>IF(AND(U3318=1,N3318&gt;=H3318*(1-Assumptions!$C$8)),1,0)</f>
        <v/>
      </c>
      <c r="Y3318">
        <f>IF(ISNUMBER(Q3318),1,0)</f>
        <v/>
      </c>
      <c r="Z3318">
        <f>IF(AND(K3318=0,L3318=0,Y3318=0),1,0)</f>
        <v/>
      </c>
      <c r="AA3318">
        <f>IF(AND(Z3318=1,G3318&lt;Assumptions!$C$6),1,0)</f>
        <v/>
      </c>
      <c r="AB3318">
        <f>IF(U3318=0,"",IF(Y3318=1,MAX(0,Q3318-G3318),IF(L3318=1,MAX(0,R3318-G3318),MAX(0,Assumptions!$C$6-G3318))))</f>
        <v/>
      </c>
      <c r="AC3318">
        <f>IF(Y3318=1,Q3318-F3318,"")</f>
        <v/>
      </c>
      <c r="AD3318">
        <f>IF(Y3318=1,AC3318^2,"")</f>
        <v/>
      </c>
      <c r="AE3318" s="19">
        <f>IF(Z3318=1,(H3318-M3318)*I3318,0)</f>
        <v/>
      </c>
      <c r="AF3318">
        <f>IF(G3318&lt;EDATE(Assumptions!$C$6,-12)+1,"prior_12m","last_12m")</f>
        <v/>
      </c>
      <c r="AG3318" s="21">
        <f>DATE(YEAR(G3318),MONTH(G3318),1)</f>
        <v/>
      </c>
    </row>
    <row r="3319">
      <c r="A3319" t="inlineStr">
        <is>
          <t>SPO-01773-1</t>
        </is>
      </c>
      <c r="B3319" t="inlineStr">
        <is>
          <t>SPO-01773</t>
        </is>
      </c>
      <c r="C3319" t="inlineStr">
        <is>
          <t>SUP-09</t>
        </is>
      </c>
      <c r="D3319" t="inlineStr">
        <is>
          <t>CHEM</t>
        </is>
      </c>
      <c r="E3319" t="inlineStr">
        <is>
          <t>CHEM-02</t>
        </is>
      </c>
      <c r="F3319" s="17" t="n">
        <v>46061</v>
      </c>
      <c r="G3319" s="17" t="n">
        <v>46075</v>
      </c>
      <c r="H3319" s="18" t="n">
        <v>4</v>
      </c>
      <c r="I3319" s="19" t="n">
        <v>426.57</v>
      </c>
      <c r="J3319" s="19" t="n">
        <v>410</v>
      </c>
      <c r="K3319" s="20" t="n">
        <v>0</v>
      </c>
      <c r="L3319" s="20" t="n">
        <v>0</v>
      </c>
      <c r="M3319" s="18" t="n">
        <v>4</v>
      </c>
      <c r="N3319" s="18" t="n">
        <v>4</v>
      </c>
      <c r="O3319" s="18" t="n">
        <v>0</v>
      </c>
      <c r="P3319" s="17" t="n">
        <v>46074</v>
      </c>
      <c r="Q3319" s="17" t="n">
        <v>46074</v>
      </c>
      <c r="R3319" s="17" t="n">
        <v>46074</v>
      </c>
      <c r="S3319" s="19">
        <f>H3319*I3319</f>
        <v/>
      </c>
      <c r="T3319" s="19">
        <f>H3319*J3319</f>
        <v/>
      </c>
      <c r="U3319">
        <f>IF(AND(K3319=0,G3319&lt;=Assumptions!$C$6),1,0)</f>
        <v/>
      </c>
      <c r="V3319">
        <f>IF(U3319=1,IF(M3319&gt;0,IF(P3319&lt;=G3319+Assumptions!$C$7,1,0),0),0)</f>
        <v/>
      </c>
      <c r="W3319">
        <f>IF(AND(U3319=1,M3319&gt;=H3319*(1-Assumptions!$C$8)),1,0)</f>
        <v/>
      </c>
      <c r="X3319">
        <f>IF(AND(U3319=1,N3319&gt;=H3319*(1-Assumptions!$C$8)),1,0)</f>
        <v/>
      </c>
      <c r="Y3319">
        <f>IF(ISNUMBER(Q3319),1,0)</f>
        <v/>
      </c>
      <c r="Z3319">
        <f>IF(AND(K3319=0,L3319=0,Y3319=0),1,0)</f>
        <v/>
      </c>
      <c r="AA3319">
        <f>IF(AND(Z3319=1,G3319&lt;Assumptions!$C$6),1,0)</f>
        <v/>
      </c>
      <c r="AB3319">
        <f>IF(U3319=0,"",IF(Y3319=1,MAX(0,Q3319-G3319),IF(L3319=1,MAX(0,R3319-G3319),MAX(0,Assumptions!$C$6-G3319))))</f>
        <v/>
      </c>
      <c r="AC3319">
        <f>IF(Y3319=1,Q3319-F3319,"")</f>
        <v/>
      </c>
      <c r="AD3319">
        <f>IF(Y3319=1,AC3319^2,"")</f>
        <v/>
      </c>
      <c r="AE3319" s="19">
        <f>IF(Z3319=1,(H3319-M3319)*I3319,0)</f>
        <v/>
      </c>
      <c r="AF3319">
        <f>IF(G3319&lt;EDATE(Assumptions!$C$6,-12)+1,"prior_12m","last_12m")</f>
        <v/>
      </c>
      <c r="AG3319" s="21">
        <f>DATE(YEAR(G3319),MONTH(G3319),1)</f>
        <v/>
      </c>
    </row>
    <row r="3320">
      <c r="A3320" t="inlineStr">
        <is>
          <t>SPO-01774-1</t>
        </is>
      </c>
      <c r="B3320" t="inlineStr">
        <is>
          <t>SPO-01774</t>
        </is>
      </c>
      <c r="C3320" t="inlineStr">
        <is>
          <t>SUP-06</t>
        </is>
      </c>
      <c r="D3320" t="inlineStr">
        <is>
          <t>MRO</t>
        </is>
      </c>
      <c r="E3320" t="inlineStr">
        <is>
          <t>MRO-08</t>
        </is>
      </c>
      <c r="F3320" s="17" t="n">
        <v>46061</v>
      </c>
      <c r="G3320" s="17" t="n">
        <v>46069</v>
      </c>
      <c r="H3320" s="18" t="n">
        <v>363</v>
      </c>
      <c r="I3320" s="19" t="n">
        <v>6.86</v>
      </c>
      <c r="J3320" s="19" t="n">
        <v>7.2</v>
      </c>
      <c r="K3320" s="20" t="n">
        <v>0</v>
      </c>
      <c r="L3320" s="20" t="n">
        <v>0</v>
      </c>
      <c r="M3320" s="18" t="n">
        <v>363</v>
      </c>
      <c r="N3320" s="18" t="n">
        <v>363</v>
      </c>
      <c r="O3320" s="18" t="n">
        <v>0</v>
      </c>
      <c r="P3320" s="17" t="n">
        <v>46067</v>
      </c>
      <c r="Q3320" s="17" t="n">
        <v>46067</v>
      </c>
      <c r="R3320" s="17" t="n">
        <v>46067</v>
      </c>
      <c r="S3320" s="19">
        <f>H3320*I3320</f>
        <v/>
      </c>
      <c r="T3320" s="19">
        <f>H3320*J3320</f>
        <v/>
      </c>
      <c r="U3320">
        <f>IF(AND(K3320=0,G3320&lt;=Assumptions!$C$6),1,0)</f>
        <v/>
      </c>
      <c r="V3320">
        <f>IF(U3320=1,IF(M3320&gt;0,IF(P3320&lt;=G3320+Assumptions!$C$7,1,0),0),0)</f>
        <v/>
      </c>
      <c r="W3320">
        <f>IF(AND(U3320=1,M3320&gt;=H3320*(1-Assumptions!$C$8)),1,0)</f>
        <v/>
      </c>
      <c r="X3320">
        <f>IF(AND(U3320=1,N3320&gt;=H3320*(1-Assumptions!$C$8)),1,0)</f>
        <v/>
      </c>
      <c r="Y3320">
        <f>IF(ISNUMBER(Q3320),1,0)</f>
        <v/>
      </c>
      <c r="Z3320">
        <f>IF(AND(K3320=0,L3320=0,Y3320=0),1,0)</f>
        <v/>
      </c>
      <c r="AA3320">
        <f>IF(AND(Z3320=1,G3320&lt;Assumptions!$C$6),1,0)</f>
        <v/>
      </c>
      <c r="AB3320">
        <f>IF(U3320=0,"",IF(Y3320=1,MAX(0,Q3320-G3320),IF(L3320=1,MAX(0,R3320-G3320),MAX(0,Assumptions!$C$6-G3320))))</f>
        <v/>
      </c>
      <c r="AC3320">
        <f>IF(Y3320=1,Q3320-F3320,"")</f>
        <v/>
      </c>
      <c r="AD3320">
        <f>IF(Y3320=1,AC3320^2,"")</f>
        <v/>
      </c>
      <c r="AE3320" s="19">
        <f>IF(Z3320=1,(H3320-M3320)*I3320,0)</f>
        <v/>
      </c>
      <c r="AF3320">
        <f>IF(G3320&lt;EDATE(Assumptions!$C$6,-12)+1,"prior_12m","last_12m")</f>
        <v/>
      </c>
      <c r="AG3320" s="21">
        <f>DATE(YEAR(G3320),MONTH(G3320),1)</f>
        <v/>
      </c>
    </row>
    <row r="3321">
      <c r="A3321" t="inlineStr">
        <is>
          <t>SPO-01775-1</t>
        </is>
      </c>
      <c r="B3321" t="inlineStr">
        <is>
          <t>SPO-01775</t>
        </is>
      </c>
      <c r="C3321" t="inlineStr">
        <is>
          <t>SUP-05</t>
        </is>
      </c>
      <c r="D3321" t="inlineStr">
        <is>
          <t>FLEET</t>
        </is>
      </c>
      <c r="E3321" t="inlineStr">
        <is>
          <t>FLEET-04</t>
        </is>
      </c>
      <c r="F3321" s="17" t="n">
        <v>46061</v>
      </c>
      <c r="G3321" s="17" t="n">
        <v>46075</v>
      </c>
      <c r="H3321" s="18" t="n">
        <v>137</v>
      </c>
      <c r="I3321" s="19" t="n">
        <v>9.56</v>
      </c>
      <c r="J3321" s="19" t="n">
        <v>9</v>
      </c>
      <c r="K3321" s="20" t="n">
        <v>0</v>
      </c>
      <c r="L3321" s="20" t="n">
        <v>0</v>
      </c>
      <c r="M3321" s="18" t="n">
        <v>137</v>
      </c>
      <c r="N3321" s="18" t="n">
        <v>137</v>
      </c>
      <c r="O3321" s="18" t="n">
        <v>0</v>
      </c>
      <c r="P3321" s="17" t="n">
        <v>46074</v>
      </c>
      <c r="Q3321" s="17" t="n">
        <v>46074</v>
      </c>
      <c r="R3321" s="17" t="n">
        <v>46074</v>
      </c>
      <c r="S3321" s="19">
        <f>H3321*I3321</f>
        <v/>
      </c>
      <c r="T3321" s="19">
        <f>H3321*J3321</f>
        <v/>
      </c>
      <c r="U3321">
        <f>IF(AND(K3321=0,G3321&lt;=Assumptions!$C$6),1,0)</f>
        <v/>
      </c>
      <c r="V3321">
        <f>IF(U3321=1,IF(M3321&gt;0,IF(P3321&lt;=G3321+Assumptions!$C$7,1,0),0),0)</f>
        <v/>
      </c>
      <c r="W3321">
        <f>IF(AND(U3321=1,M3321&gt;=H3321*(1-Assumptions!$C$8)),1,0)</f>
        <v/>
      </c>
      <c r="X3321">
        <f>IF(AND(U3321=1,N3321&gt;=H3321*(1-Assumptions!$C$8)),1,0)</f>
        <v/>
      </c>
      <c r="Y3321">
        <f>IF(ISNUMBER(Q3321),1,0)</f>
        <v/>
      </c>
      <c r="Z3321">
        <f>IF(AND(K3321=0,L3321=0,Y3321=0),1,0)</f>
        <v/>
      </c>
      <c r="AA3321">
        <f>IF(AND(Z3321=1,G3321&lt;Assumptions!$C$6),1,0)</f>
        <v/>
      </c>
      <c r="AB3321">
        <f>IF(U3321=0,"",IF(Y3321=1,MAX(0,Q3321-G3321),IF(L3321=1,MAX(0,R3321-G3321),MAX(0,Assumptions!$C$6-G3321))))</f>
        <v/>
      </c>
      <c r="AC3321">
        <f>IF(Y3321=1,Q3321-F3321,"")</f>
        <v/>
      </c>
      <c r="AD3321">
        <f>IF(Y3321=1,AC3321^2,"")</f>
        <v/>
      </c>
      <c r="AE3321" s="19">
        <f>IF(Z3321=1,(H3321-M3321)*I3321,0)</f>
        <v/>
      </c>
      <c r="AF3321">
        <f>IF(G3321&lt;EDATE(Assumptions!$C$6,-12)+1,"prior_12m","last_12m")</f>
        <v/>
      </c>
      <c r="AG3321" s="21">
        <f>DATE(YEAR(G3321),MONTH(G3321),1)</f>
        <v/>
      </c>
    </row>
    <row r="3322">
      <c r="A3322" t="inlineStr">
        <is>
          <t>SPO-01775-2</t>
        </is>
      </c>
      <c r="B3322" t="inlineStr">
        <is>
          <t>SPO-01775</t>
        </is>
      </c>
      <c r="C3322" t="inlineStr">
        <is>
          <t>SUP-05</t>
        </is>
      </c>
      <c r="D3322" t="inlineStr">
        <is>
          <t>FLEET</t>
        </is>
      </c>
      <c r="E3322" t="inlineStr">
        <is>
          <t>FLEET-03</t>
        </is>
      </c>
      <c r="F3322" s="17" t="n">
        <v>46061</v>
      </c>
      <c r="G3322" s="17" t="n">
        <v>46075</v>
      </c>
      <c r="H3322" s="18" t="n">
        <v>70</v>
      </c>
      <c r="I3322" s="19" t="n">
        <v>22.14</v>
      </c>
      <c r="J3322" s="19" t="n">
        <v>21</v>
      </c>
      <c r="K3322" s="20" t="n">
        <v>0</v>
      </c>
      <c r="L3322" s="20" t="n">
        <v>0</v>
      </c>
      <c r="M3322" s="18" t="n">
        <v>70</v>
      </c>
      <c r="N3322" s="18" t="n">
        <v>70</v>
      </c>
      <c r="O3322" s="18" t="n">
        <v>0</v>
      </c>
      <c r="P3322" s="17" t="n">
        <v>46072</v>
      </c>
      <c r="Q3322" s="17" t="n">
        <v>46072</v>
      </c>
      <c r="R3322" s="17" t="n">
        <v>46072</v>
      </c>
      <c r="S3322" s="19">
        <f>H3322*I3322</f>
        <v/>
      </c>
      <c r="T3322" s="19">
        <f>H3322*J3322</f>
        <v/>
      </c>
      <c r="U3322">
        <f>IF(AND(K3322=0,G3322&lt;=Assumptions!$C$6),1,0)</f>
        <v/>
      </c>
      <c r="V3322">
        <f>IF(U3322=1,IF(M3322&gt;0,IF(P3322&lt;=G3322+Assumptions!$C$7,1,0),0),0)</f>
        <v/>
      </c>
      <c r="W3322">
        <f>IF(AND(U3322=1,M3322&gt;=H3322*(1-Assumptions!$C$8)),1,0)</f>
        <v/>
      </c>
      <c r="X3322">
        <f>IF(AND(U3322=1,N3322&gt;=H3322*(1-Assumptions!$C$8)),1,0)</f>
        <v/>
      </c>
      <c r="Y3322">
        <f>IF(ISNUMBER(Q3322),1,0)</f>
        <v/>
      </c>
      <c r="Z3322">
        <f>IF(AND(K3322=0,L3322=0,Y3322=0),1,0)</f>
        <v/>
      </c>
      <c r="AA3322">
        <f>IF(AND(Z3322=1,G3322&lt;Assumptions!$C$6),1,0)</f>
        <v/>
      </c>
      <c r="AB3322">
        <f>IF(U3322=0,"",IF(Y3322=1,MAX(0,Q3322-G3322),IF(L3322=1,MAX(0,R3322-G3322),MAX(0,Assumptions!$C$6-G3322))))</f>
        <v/>
      </c>
      <c r="AC3322">
        <f>IF(Y3322=1,Q3322-F3322,"")</f>
        <v/>
      </c>
      <c r="AD3322">
        <f>IF(Y3322=1,AC3322^2,"")</f>
        <v/>
      </c>
      <c r="AE3322" s="19">
        <f>IF(Z3322=1,(H3322-M3322)*I3322,0)</f>
        <v/>
      </c>
      <c r="AF3322">
        <f>IF(G3322&lt;EDATE(Assumptions!$C$6,-12)+1,"prior_12m","last_12m")</f>
        <v/>
      </c>
      <c r="AG3322" s="21">
        <f>DATE(YEAR(G3322),MONTH(G3322),1)</f>
        <v/>
      </c>
    </row>
    <row r="3323">
      <c r="A3323" t="inlineStr">
        <is>
          <t>SPO-01775-3</t>
        </is>
      </c>
      <c r="B3323" t="inlineStr">
        <is>
          <t>SPO-01775</t>
        </is>
      </c>
      <c r="C3323" t="inlineStr">
        <is>
          <t>SUP-05</t>
        </is>
      </c>
      <c r="D3323" t="inlineStr">
        <is>
          <t>FLEET</t>
        </is>
      </c>
      <c r="E3323" t="inlineStr">
        <is>
          <t>FLEET-05</t>
        </is>
      </c>
      <c r="F3323" s="17" t="n">
        <v>46061</v>
      </c>
      <c r="G3323" s="17" t="n">
        <v>46075</v>
      </c>
      <c r="H3323" s="18" t="n">
        <v>27</v>
      </c>
      <c r="I3323" s="19" t="n">
        <v>179.8</v>
      </c>
      <c r="J3323" s="19" t="n">
        <v>168</v>
      </c>
      <c r="K3323" s="20" t="n">
        <v>0</v>
      </c>
      <c r="L3323" s="20" t="n">
        <v>0</v>
      </c>
      <c r="M3323" s="18" t="n">
        <v>27</v>
      </c>
      <c r="N3323" s="18" t="n">
        <v>27</v>
      </c>
      <c r="O3323" s="18" t="n">
        <v>0</v>
      </c>
      <c r="P3323" s="17" t="n">
        <v>46070</v>
      </c>
      <c r="Q3323" s="17" t="n">
        <v>46070</v>
      </c>
      <c r="R3323" s="17" t="n">
        <v>46070</v>
      </c>
      <c r="S3323" s="19">
        <f>H3323*I3323</f>
        <v/>
      </c>
      <c r="T3323" s="19">
        <f>H3323*J3323</f>
        <v/>
      </c>
      <c r="U3323">
        <f>IF(AND(K3323=0,G3323&lt;=Assumptions!$C$6),1,0)</f>
        <v/>
      </c>
      <c r="V3323">
        <f>IF(U3323=1,IF(M3323&gt;0,IF(P3323&lt;=G3323+Assumptions!$C$7,1,0),0),0)</f>
        <v/>
      </c>
      <c r="W3323">
        <f>IF(AND(U3323=1,M3323&gt;=H3323*(1-Assumptions!$C$8)),1,0)</f>
        <v/>
      </c>
      <c r="X3323">
        <f>IF(AND(U3323=1,N3323&gt;=H3323*(1-Assumptions!$C$8)),1,0)</f>
        <v/>
      </c>
      <c r="Y3323">
        <f>IF(ISNUMBER(Q3323),1,0)</f>
        <v/>
      </c>
      <c r="Z3323">
        <f>IF(AND(K3323=0,L3323=0,Y3323=0),1,0)</f>
        <v/>
      </c>
      <c r="AA3323">
        <f>IF(AND(Z3323=1,G3323&lt;Assumptions!$C$6),1,0)</f>
        <v/>
      </c>
      <c r="AB3323">
        <f>IF(U3323=0,"",IF(Y3323=1,MAX(0,Q3323-G3323),IF(L3323=1,MAX(0,R3323-G3323),MAX(0,Assumptions!$C$6-G3323))))</f>
        <v/>
      </c>
      <c r="AC3323">
        <f>IF(Y3323=1,Q3323-F3323,"")</f>
        <v/>
      </c>
      <c r="AD3323">
        <f>IF(Y3323=1,AC3323^2,"")</f>
        <v/>
      </c>
      <c r="AE3323" s="19">
        <f>IF(Z3323=1,(H3323-M3323)*I3323,0)</f>
        <v/>
      </c>
      <c r="AF3323">
        <f>IF(G3323&lt;EDATE(Assumptions!$C$6,-12)+1,"prior_12m","last_12m")</f>
        <v/>
      </c>
      <c r="AG3323" s="21">
        <f>DATE(YEAR(G3323),MONTH(G3323),1)</f>
        <v/>
      </c>
    </row>
    <row r="3324">
      <c r="A3324" t="inlineStr">
        <is>
          <t>SPO-01775-4</t>
        </is>
      </c>
      <c r="B3324" t="inlineStr">
        <is>
          <t>SPO-01775</t>
        </is>
      </c>
      <c r="C3324" t="inlineStr">
        <is>
          <t>SUP-05</t>
        </is>
      </c>
      <c r="D3324" t="inlineStr">
        <is>
          <t>FLEET</t>
        </is>
      </c>
      <c r="E3324" t="inlineStr">
        <is>
          <t>FLEET-02</t>
        </is>
      </c>
      <c r="F3324" s="17" t="n">
        <v>46061</v>
      </c>
      <c r="G3324" s="17" t="n">
        <v>46075</v>
      </c>
      <c r="H3324" s="18" t="n">
        <v>201</v>
      </c>
      <c r="I3324" s="19" t="n">
        <v>7.81</v>
      </c>
      <c r="J3324" s="19" t="n">
        <v>7.5</v>
      </c>
      <c r="K3324" s="20" t="n">
        <v>0</v>
      </c>
      <c r="L3324" s="20" t="n">
        <v>0</v>
      </c>
      <c r="M3324" s="18" t="n">
        <v>201</v>
      </c>
      <c r="N3324" s="18" t="n">
        <v>201</v>
      </c>
      <c r="O3324" s="18" t="n">
        <v>0</v>
      </c>
      <c r="P3324" s="17" t="n">
        <v>46072</v>
      </c>
      <c r="Q3324" s="17" t="n">
        <v>46072</v>
      </c>
      <c r="R3324" s="17" t="n">
        <v>46072</v>
      </c>
      <c r="S3324" s="19">
        <f>H3324*I3324</f>
        <v/>
      </c>
      <c r="T3324" s="19">
        <f>H3324*J3324</f>
        <v/>
      </c>
      <c r="U3324">
        <f>IF(AND(K3324=0,G3324&lt;=Assumptions!$C$6),1,0)</f>
        <v/>
      </c>
      <c r="V3324">
        <f>IF(U3324=1,IF(M3324&gt;0,IF(P3324&lt;=G3324+Assumptions!$C$7,1,0),0),0)</f>
        <v/>
      </c>
      <c r="W3324">
        <f>IF(AND(U3324=1,M3324&gt;=H3324*(1-Assumptions!$C$8)),1,0)</f>
        <v/>
      </c>
      <c r="X3324">
        <f>IF(AND(U3324=1,N3324&gt;=H3324*(1-Assumptions!$C$8)),1,0)</f>
        <v/>
      </c>
      <c r="Y3324">
        <f>IF(ISNUMBER(Q3324),1,0)</f>
        <v/>
      </c>
      <c r="Z3324">
        <f>IF(AND(K3324=0,L3324=0,Y3324=0),1,0)</f>
        <v/>
      </c>
      <c r="AA3324">
        <f>IF(AND(Z3324=1,G3324&lt;Assumptions!$C$6),1,0)</f>
        <v/>
      </c>
      <c r="AB3324">
        <f>IF(U3324=0,"",IF(Y3324=1,MAX(0,Q3324-G3324),IF(L3324=1,MAX(0,R3324-G3324),MAX(0,Assumptions!$C$6-G3324))))</f>
        <v/>
      </c>
      <c r="AC3324">
        <f>IF(Y3324=1,Q3324-F3324,"")</f>
        <v/>
      </c>
      <c r="AD3324">
        <f>IF(Y3324=1,AC3324^2,"")</f>
        <v/>
      </c>
      <c r="AE3324" s="19">
        <f>IF(Z3324=1,(H3324-M3324)*I3324,0)</f>
        <v/>
      </c>
      <c r="AF3324">
        <f>IF(G3324&lt;EDATE(Assumptions!$C$6,-12)+1,"prior_12m","last_12m")</f>
        <v/>
      </c>
      <c r="AG3324" s="21">
        <f>DATE(YEAR(G3324),MONTH(G3324),1)</f>
        <v/>
      </c>
    </row>
    <row r="3325">
      <c r="A3325" t="inlineStr">
        <is>
          <t>SPO-01776-1</t>
        </is>
      </c>
      <c r="B3325" t="inlineStr">
        <is>
          <t>SPO-01776</t>
        </is>
      </c>
      <c r="C3325" t="inlineStr">
        <is>
          <t>SUP-05</t>
        </is>
      </c>
      <c r="D3325" t="inlineStr">
        <is>
          <t>FLEET</t>
        </is>
      </c>
      <c r="E3325" t="inlineStr">
        <is>
          <t>FLEET-03</t>
        </is>
      </c>
      <c r="F3325" s="17" t="n">
        <v>46062</v>
      </c>
      <c r="G3325" s="17" t="n">
        <v>46076</v>
      </c>
      <c r="H3325" s="18" t="n">
        <v>141</v>
      </c>
      <c r="I3325" s="19" t="n">
        <v>22.32</v>
      </c>
      <c r="J3325" s="19" t="n">
        <v>21</v>
      </c>
      <c r="K3325" s="20" t="n">
        <v>0</v>
      </c>
      <c r="L3325" s="20" t="n">
        <v>0</v>
      </c>
      <c r="M3325" s="18" t="n">
        <v>141</v>
      </c>
      <c r="N3325" s="18" t="n">
        <v>141</v>
      </c>
      <c r="O3325" s="18" t="n">
        <v>0</v>
      </c>
      <c r="P3325" s="17" t="n">
        <v>46075</v>
      </c>
      <c r="Q3325" s="17" t="n">
        <v>46075</v>
      </c>
      <c r="R3325" s="17" t="n">
        <v>46075</v>
      </c>
      <c r="S3325" s="19">
        <f>H3325*I3325</f>
        <v/>
      </c>
      <c r="T3325" s="19">
        <f>H3325*J3325</f>
        <v/>
      </c>
      <c r="U3325">
        <f>IF(AND(K3325=0,G3325&lt;=Assumptions!$C$6),1,0)</f>
        <v/>
      </c>
      <c r="V3325">
        <f>IF(U3325=1,IF(M3325&gt;0,IF(P3325&lt;=G3325+Assumptions!$C$7,1,0),0),0)</f>
        <v/>
      </c>
      <c r="W3325">
        <f>IF(AND(U3325=1,M3325&gt;=H3325*(1-Assumptions!$C$8)),1,0)</f>
        <v/>
      </c>
      <c r="X3325">
        <f>IF(AND(U3325=1,N3325&gt;=H3325*(1-Assumptions!$C$8)),1,0)</f>
        <v/>
      </c>
      <c r="Y3325">
        <f>IF(ISNUMBER(Q3325),1,0)</f>
        <v/>
      </c>
      <c r="Z3325">
        <f>IF(AND(K3325=0,L3325=0,Y3325=0),1,0)</f>
        <v/>
      </c>
      <c r="AA3325">
        <f>IF(AND(Z3325=1,G3325&lt;Assumptions!$C$6),1,0)</f>
        <v/>
      </c>
      <c r="AB3325">
        <f>IF(U3325=0,"",IF(Y3325=1,MAX(0,Q3325-G3325),IF(L3325=1,MAX(0,R3325-G3325),MAX(0,Assumptions!$C$6-G3325))))</f>
        <v/>
      </c>
      <c r="AC3325">
        <f>IF(Y3325=1,Q3325-F3325,"")</f>
        <v/>
      </c>
      <c r="AD3325">
        <f>IF(Y3325=1,AC3325^2,"")</f>
        <v/>
      </c>
      <c r="AE3325" s="19">
        <f>IF(Z3325=1,(H3325-M3325)*I3325,0)</f>
        <v/>
      </c>
      <c r="AF3325">
        <f>IF(G3325&lt;EDATE(Assumptions!$C$6,-12)+1,"prior_12m","last_12m")</f>
        <v/>
      </c>
      <c r="AG3325" s="21">
        <f>DATE(YEAR(G3325),MONTH(G3325),1)</f>
        <v/>
      </c>
    </row>
    <row r="3326">
      <c r="A3326" t="inlineStr">
        <is>
          <t>SPO-01777-1</t>
        </is>
      </c>
      <c r="B3326" t="inlineStr">
        <is>
          <t>SPO-01777</t>
        </is>
      </c>
      <c r="C3326" t="inlineStr">
        <is>
          <t>SUP-01</t>
        </is>
      </c>
      <c r="D3326" t="inlineStr">
        <is>
          <t>ELEC</t>
        </is>
      </c>
      <c r="E3326" t="inlineStr">
        <is>
          <t>ELEC-05</t>
        </is>
      </c>
      <c r="F3326" s="17" t="n">
        <v>46062</v>
      </c>
      <c r="G3326" s="17" t="n">
        <v>46080</v>
      </c>
      <c r="H3326" s="18" t="n">
        <v>123</v>
      </c>
      <c r="I3326" s="19" t="n">
        <v>11.79</v>
      </c>
      <c r="J3326" s="19" t="n">
        <v>11.5</v>
      </c>
      <c r="K3326" s="20" t="n">
        <v>0</v>
      </c>
      <c r="L3326" s="20" t="n">
        <v>0</v>
      </c>
      <c r="M3326" s="18" t="n">
        <v>123</v>
      </c>
      <c r="N3326" s="18" t="n">
        <v>123</v>
      </c>
      <c r="O3326" s="18" t="n">
        <v>0</v>
      </c>
      <c r="P3326" s="17" t="n">
        <v>46076</v>
      </c>
      <c r="Q3326" s="17" t="n">
        <v>46076</v>
      </c>
      <c r="R3326" s="17" t="n">
        <v>46076</v>
      </c>
      <c r="S3326" s="19">
        <f>H3326*I3326</f>
        <v/>
      </c>
      <c r="T3326" s="19">
        <f>H3326*J3326</f>
        <v/>
      </c>
      <c r="U3326">
        <f>IF(AND(K3326=0,G3326&lt;=Assumptions!$C$6),1,0)</f>
        <v/>
      </c>
      <c r="V3326">
        <f>IF(U3326=1,IF(M3326&gt;0,IF(P3326&lt;=G3326+Assumptions!$C$7,1,0),0),0)</f>
        <v/>
      </c>
      <c r="W3326">
        <f>IF(AND(U3326=1,M3326&gt;=H3326*(1-Assumptions!$C$8)),1,0)</f>
        <v/>
      </c>
      <c r="X3326">
        <f>IF(AND(U3326=1,N3326&gt;=H3326*(1-Assumptions!$C$8)),1,0)</f>
        <v/>
      </c>
      <c r="Y3326">
        <f>IF(ISNUMBER(Q3326),1,0)</f>
        <v/>
      </c>
      <c r="Z3326">
        <f>IF(AND(K3326=0,L3326=0,Y3326=0),1,0)</f>
        <v/>
      </c>
      <c r="AA3326">
        <f>IF(AND(Z3326=1,G3326&lt;Assumptions!$C$6),1,0)</f>
        <v/>
      </c>
      <c r="AB3326">
        <f>IF(U3326=0,"",IF(Y3326=1,MAX(0,Q3326-G3326),IF(L3326=1,MAX(0,R3326-G3326),MAX(0,Assumptions!$C$6-G3326))))</f>
        <v/>
      </c>
      <c r="AC3326">
        <f>IF(Y3326=1,Q3326-F3326,"")</f>
        <v/>
      </c>
      <c r="AD3326">
        <f>IF(Y3326=1,AC3326^2,"")</f>
        <v/>
      </c>
      <c r="AE3326" s="19">
        <f>IF(Z3326=1,(H3326-M3326)*I3326,0)</f>
        <v/>
      </c>
      <c r="AF3326">
        <f>IF(G3326&lt;EDATE(Assumptions!$C$6,-12)+1,"prior_12m","last_12m")</f>
        <v/>
      </c>
      <c r="AG3326" s="21">
        <f>DATE(YEAR(G3326),MONTH(G3326),1)</f>
        <v/>
      </c>
    </row>
    <row r="3327">
      <c r="A3327" t="inlineStr">
        <is>
          <t>SPO-01778-1</t>
        </is>
      </c>
      <c r="B3327" t="inlineStr">
        <is>
          <t>SPO-01778</t>
        </is>
      </c>
      <c r="C3327" t="inlineStr">
        <is>
          <t>SUP-08</t>
        </is>
      </c>
      <c r="D3327" t="inlineStr">
        <is>
          <t>PPE</t>
        </is>
      </c>
      <c r="E3327" t="inlineStr">
        <is>
          <t>PPE-03</t>
        </is>
      </c>
      <c r="F3327" s="17" t="n">
        <v>46062</v>
      </c>
      <c r="G3327" s="17" t="n">
        <v>46073</v>
      </c>
      <c r="H3327" s="18" t="n">
        <v>62</v>
      </c>
      <c r="I3327" s="19" t="n">
        <v>20.55</v>
      </c>
      <c r="J3327" s="19" t="n">
        <v>21</v>
      </c>
      <c r="K3327" s="20" t="n">
        <v>0</v>
      </c>
      <c r="L3327" s="20" t="n">
        <v>0</v>
      </c>
      <c r="M3327" s="18" t="n">
        <v>62</v>
      </c>
      <c r="N3327" s="18" t="n">
        <v>62</v>
      </c>
      <c r="O3327" s="18" t="n">
        <v>0</v>
      </c>
      <c r="P3327" s="17" t="n">
        <v>46070</v>
      </c>
      <c r="Q3327" s="17" t="n">
        <v>46070</v>
      </c>
      <c r="R3327" s="17" t="n">
        <v>46070</v>
      </c>
      <c r="S3327" s="19">
        <f>H3327*I3327</f>
        <v/>
      </c>
      <c r="T3327" s="19">
        <f>H3327*J3327</f>
        <v/>
      </c>
      <c r="U3327">
        <f>IF(AND(K3327=0,G3327&lt;=Assumptions!$C$6),1,0)</f>
        <v/>
      </c>
      <c r="V3327">
        <f>IF(U3327=1,IF(M3327&gt;0,IF(P3327&lt;=G3327+Assumptions!$C$7,1,0),0),0)</f>
        <v/>
      </c>
      <c r="W3327">
        <f>IF(AND(U3327=1,M3327&gt;=H3327*(1-Assumptions!$C$8)),1,0)</f>
        <v/>
      </c>
      <c r="X3327">
        <f>IF(AND(U3327=1,N3327&gt;=H3327*(1-Assumptions!$C$8)),1,0)</f>
        <v/>
      </c>
      <c r="Y3327">
        <f>IF(ISNUMBER(Q3327),1,0)</f>
        <v/>
      </c>
      <c r="Z3327">
        <f>IF(AND(K3327=0,L3327=0,Y3327=0),1,0)</f>
        <v/>
      </c>
      <c r="AA3327">
        <f>IF(AND(Z3327=1,G3327&lt;Assumptions!$C$6),1,0)</f>
        <v/>
      </c>
      <c r="AB3327">
        <f>IF(U3327=0,"",IF(Y3327=1,MAX(0,Q3327-G3327),IF(L3327=1,MAX(0,R3327-G3327),MAX(0,Assumptions!$C$6-G3327))))</f>
        <v/>
      </c>
      <c r="AC3327">
        <f>IF(Y3327=1,Q3327-F3327,"")</f>
        <v/>
      </c>
      <c r="AD3327">
        <f>IF(Y3327=1,AC3327^2,"")</f>
        <v/>
      </c>
      <c r="AE3327" s="19">
        <f>IF(Z3327=1,(H3327-M3327)*I3327,0)</f>
        <v/>
      </c>
      <c r="AF3327">
        <f>IF(G3327&lt;EDATE(Assumptions!$C$6,-12)+1,"prior_12m","last_12m")</f>
        <v/>
      </c>
      <c r="AG3327" s="21">
        <f>DATE(YEAR(G3327),MONTH(G3327),1)</f>
        <v/>
      </c>
    </row>
    <row r="3328">
      <c r="A3328" t="inlineStr">
        <is>
          <t>SPO-01779-1</t>
        </is>
      </c>
      <c r="B3328" t="inlineStr">
        <is>
          <t>SPO-01779</t>
        </is>
      </c>
      <c r="C3328" t="inlineStr">
        <is>
          <t>SUP-12</t>
        </is>
      </c>
      <c r="D3328" t="inlineStr">
        <is>
          <t>IT</t>
        </is>
      </c>
      <c r="E3328" t="inlineStr">
        <is>
          <t>IT-08</t>
        </is>
      </c>
      <c r="F3328" s="17" t="n">
        <v>46062</v>
      </c>
      <c r="G3328" s="17" t="n">
        <v>46072</v>
      </c>
      <c r="H3328" s="18" t="n">
        <v>3</v>
      </c>
      <c r="I3328" s="19" t="n">
        <v>269.09</v>
      </c>
      <c r="J3328" s="19" t="n">
        <v>245</v>
      </c>
      <c r="K3328" s="20" t="n">
        <v>0</v>
      </c>
      <c r="L3328" s="20" t="n">
        <v>0</v>
      </c>
      <c r="M3328" s="18" t="n">
        <v>3</v>
      </c>
      <c r="N3328" s="18" t="n">
        <v>3</v>
      </c>
      <c r="O3328" s="18" t="n">
        <v>0</v>
      </c>
      <c r="P3328" s="17" t="n">
        <v>46070</v>
      </c>
      <c r="Q3328" s="17" t="n">
        <v>46070</v>
      </c>
      <c r="R3328" s="17" t="n">
        <v>46070</v>
      </c>
      <c r="S3328" s="19">
        <f>H3328*I3328</f>
        <v/>
      </c>
      <c r="T3328" s="19">
        <f>H3328*J3328</f>
        <v/>
      </c>
      <c r="U3328">
        <f>IF(AND(K3328=0,G3328&lt;=Assumptions!$C$6),1,0)</f>
        <v/>
      </c>
      <c r="V3328">
        <f>IF(U3328=1,IF(M3328&gt;0,IF(P3328&lt;=G3328+Assumptions!$C$7,1,0),0),0)</f>
        <v/>
      </c>
      <c r="W3328">
        <f>IF(AND(U3328=1,M3328&gt;=H3328*(1-Assumptions!$C$8)),1,0)</f>
        <v/>
      </c>
      <c r="X3328">
        <f>IF(AND(U3328=1,N3328&gt;=H3328*(1-Assumptions!$C$8)),1,0)</f>
        <v/>
      </c>
      <c r="Y3328">
        <f>IF(ISNUMBER(Q3328),1,0)</f>
        <v/>
      </c>
      <c r="Z3328">
        <f>IF(AND(K3328=0,L3328=0,Y3328=0),1,0)</f>
        <v/>
      </c>
      <c r="AA3328">
        <f>IF(AND(Z3328=1,G3328&lt;Assumptions!$C$6),1,0)</f>
        <v/>
      </c>
      <c r="AB3328">
        <f>IF(U3328=0,"",IF(Y3328=1,MAX(0,Q3328-G3328),IF(L3328=1,MAX(0,R3328-G3328),MAX(0,Assumptions!$C$6-G3328))))</f>
        <v/>
      </c>
      <c r="AC3328">
        <f>IF(Y3328=1,Q3328-F3328,"")</f>
        <v/>
      </c>
      <c r="AD3328">
        <f>IF(Y3328=1,AC3328^2,"")</f>
        <v/>
      </c>
      <c r="AE3328" s="19">
        <f>IF(Z3328=1,(H3328-M3328)*I3328,0)</f>
        <v/>
      </c>
      <c r="AF3328">
        <f>IF(G3328&lt;EDATE(Assumptions!$C$6,-12)+1,"prior_12m","last_12m")</f>
        <v/>
      </c>
      <c r="AG3328" s="21">
        <f>DATE(YEAR(G3328),MONTH(G3328),1)</f>
        <v/>
      </c>
    </row>
    <row r="3329">
      <c r="A3329" t="inlineStr">
        <is>
          <t>SPO-01779-2</t>
        </is>
      </c>
      <c r="B3329" t="inlineStr">
        <is>
          <t>SPO-01779</t>
        </is>
      </c>
      <c r="C3329" t="inlineStr">
        <is>
          <t>SUP-12</t>
        </is>
      </c>
      <c r="D3329" t="inlineStr">
        <is>
          <t>IT</t>
        </is>
      </c>
      <c r="E3329" t="inlineStr">
        <is>
          <t>IT-05</t>
        </is>
      </c>
      <c r="F3329" s="17" t="n">
        <v>46062</v>
      </c>
      <c r="G3329" s="17" t="n">
        <v>46072</v>
      </c>
      <c r="H3329" s="18" t="n">
        <v>5</v>
      </c>
      <c r="I3329" s="19" t="n">
        <v>704.5599999999999</v>
      </c>
      <c r="J3329" s="19" t="n">
        <v>640</v>
      </c>
      <c r="K3329" s="20" t="n">
        <v>0</v>
      </c>
      <c r="L3329" s="20" t="n">
        <v>0</v>
      </c>
      <c r="M3329" s="18" t="n">
        <v>5</v>
      </c>
      <c r="N3329" s="18" t="n">
        <v>5</v>
      </c>
      <c r="O3329" s="18" t="n">
        <v>0</v>
      </c>
      <c r="P3329" s="17" t="n">
        <v>46065</v>
      </c>
      <c r="Q3329" s="17" t="n">
        <v>46065</v>
      </c>
      <c r="R3329" s="17" t="n">
        <v>46065</v>
      </c>
      <c r="S3329" s="19">
        <f>H3329*I3329</f>
        <v/>
      </c>
      <c r="T3329" s="19">
        <f>H3329*J3329</f>
        <v/>
      </c>
      <c r="U3329">
        <f>IF(AND(K3329=0,G3329&lt;=Assumptions!$C$6),1,0)</f>
        <v/>
      </c>
      <c r="V3329">
        <f>IF(U3329=1,IF(M3329&gt;0,IF(P3329&lt;=G3329+Assumptions!$C$7,1,0),0),0)</f>
        <v/>
      </c>
      <c r="W3329">
        <f>IF(AND(U3329=1,M3329&gt;=H3329*(1-Assumptions!$C$8)),1,0)</f>
        <v/>
      </c>
      <c r="X3329">
        <f>IF(AND(U3329=1,N3329&gt;=H3329*(1-Assumptions!$C$8)),1,0)</f>
        <v/>
      </c>
      <c r="Y3329">
        <f>IF(ISNUMBER(Q3329),1,0)</f>
        <v/>
      </c>
      <c r="Z3329">
        <f>IF(AND(K3329=0,L3329=0,Y3329=0),1,0)</f>
        <v/>
      </c>
      <c r="AA3329">
        <f>IF(AND(Z3329=1,G3329&lt;Assumptions!$C$6),1,0)</f>
        <v/>
      </c>
      <c r="AB3329">
        <f>IF(U3329=0,"",IF(Y3329=1,MAX(0,Q3329-G3329),IF(L3329=1,MAX(0,R3329-G3329),MAX(0,Assumptions!$C$6-G3329))))</f>
        <v/>
      </c>
      <c r="AC3329">
        <f>IF(Y3329=1,Q3329-F3329,"")</f>
        <v/>
      </c>
      <c r="AD3329">
        <f>IF(Y3329=1,AC3329^2,"")</f>
        <v/>
      </c>
      <c r="AE3329" s="19">
        <f>IF(Z3329=1,(H3329-M3329)*I3329,0)</f>
        <v/>
      </c>
      <c r="AF3329">
        <f>IF(G3329&lt;EDATE(Assumptions!$C$6,-12)+1,"prior_12m","last_12m")</f>
        <v/>
      </c>
      <c r="AG3329" s="21">
        <f>DATE(YEAR(G3329),MONTH(G3329),1)</f>
        <v/>
      </c>
    </row>
    <row r="3330">
      <c r="A3330" t="inlineStr">
        <is>
          <t>SPO-01780-1</t>
        </is>
      </c>
      <c r="B3330" t="inlineStr">
        <is>
          <t>SPO-01780</t>
        </is>
      </c>
      <c r="C3330" t="inlineStr">
        <is>
          <t>SUP-01</t>
        </is>
      </c>
      <c r="D3330" t="inlineStr">
        <is>
          <t>ELEC</t>
        </is>
      </c>
      <c r="E3330" t="inlineStr">
        <is>
          <t>ELEC-02</t>
        </is>
      </c>
      <c r="F3330" s="17" t="n">
        <v>46062</v>
      </c>
      <c r="G3330" s="17" t="n">
        <v>46080</v>
      </c>
      <c r="H3330" s="18" t="n">
        <v>547</v>
      </c>
      <c r="I3330" s="19" t="n">
        <v>4.25</v>
      </c>
      <c r="J3330" s="19" t="n">
        <v>4.2</v>
      </c>
      <c r="K3330" s="20" t="n">
        <v>0</v>
      </c>
      <c r="L3330" s="20" t="n">
        <v>0</v>
      </c>
      <c r="M3330" s="18" t="n">
        <v>547</v>
      </c>
      <c r="N3330" s="18" t="n">
        <v>0</v>
      </c>
      <c r="O3330" s="18" t="n">
        <v>0</v>
      </c>
      <c r="P3330" s="17" t="n">
        <v>46086</v>
      </c>
      <c r="Q3330" s="17" t="n">
        <v>46086</v>
      </c>
      <c r="R3330" s="17" t="n">
        <v>46086</v>
      </c>
      <c r="S3330" s="19">
        <f>H3330*I3330</f>
        <v/>
      </c>
      <c r="T3330" s="19">
        <f>H3330*J3330</f>
        <v/>
      </c>
      <c r="U3330">
        <f>IF(AND(K3330=0,G3330&lt;=Assumptions!$C$6),1,0)</f>
        <v/>
      </c>
      <c r="V3330">
        <f>IF(U3330=1,IF(M3330&gt;0,IF(P3330&lt;=G3330+Assumptions!$C$7,1,0),0),0)</f>
        <v/>
      </c>
      <c r="W3330">
        <f>IF(AND(U3330=1,M3330&gt;=H3330*(1-Assumptions!$C$8)),1,0)</f>
        <v/>
      </c>
      <c r="X3330">
        <f>IF(AND(U3330=1,N3330&gt;=H3330*(1-Assumptions!$C$8)),1,0)</f>
        <v/>
      </c>
      <c r="Y3330">
        <f>IF(ISNUMBER(Q3330),1,0)</f>
        <v/>
      </c>
      <c r="Z3330">
        <f>IF(AND(K3330=0,L3330=0,Y3330=0),1,0)</f>
        <v/>
      </c>
      <c r="AA3330">
        <f>IF(AND(Z3330=1,G3330&lt;Assumptions!$C$6),1,0)</f>
        <v/>
      </c>
      <c r="AB3330">
        <f>IF(U3330=0,"",IF(Y3330=1,MAX(0,Q3330-G3330),IF(L3330=1,MAX(0,R3330-G3330),MAX(0,Assumptions!$C$6-G3330))))</f>
        <v/>
      </c>
      <c r="AC3330">
        <f>IF(Y3330=1,Q3330-F3330,"")</f>
        <v/>
      </c>
      <c r="AD3330">
        <f>IF(Y3330=1,AC3330^2,"")</f>
        <v/>
      </c>
      <c r="AE3330" s="19">
        <f>IF(Z3330=1,(H3330-M3330)*I3330,0)</f>
        <v/>
      </c>
      <c r="AF3330">
        <f>IF(G3330&lt;EDATE(Assumptions!$C$6,-12)+1,"prior_12m","last_12m")</f>
        <v/>
      </c>
      <c r="AG3330" s="21">
        <f>DATE(YEAR(G3330),MONTH(G3330),1)</f>
        <v/>
      </c>
    </row>
    <row r="3331">
      <c r="A3331" t="inlineStr">
        <is>
          <t>SPO-01780-2</t>
        </is>
      </c>
      <c r="B3331" t="inlineStr">
        <is>
          <t>SPO-01780</t>
        </is>
      </c>
      <c r="C3331" t="inlineStr">
        <is>
          <t>SUP-01</t>
        </is>
      </c>
      <c r="D3331" t="inlineStr">
        <is>
          <t>ELEC</t>
        </is>
      </c>
      <c r="E3331" t="inlineStr">
        <is>
          <t>ELEC-05</t>
        </is>
      </c>
      <c r="F3331" s="17" t="n">
        <v>46062</v>
      </c>
      <c r="G3331" s="17" t="n">
        <v>46080</v>
      </c>
      <c r="H3331" s="18" t="n">
        <v>136</v>
      </c>
      <c r="I3331" s="19" t="n">
        <v>10.79</v>
      </c>
      <c r="J3331" s="19" t="n">
        <v>11.5</v>
      </c>
      <c r="K3331" s="20" t="n">
        <v>0</v>
      </c>
      <c r="L3331" s="20" t="n">
        <v>0</v>
      </c>
      <c r="M3331" s="18" t="n">
        <v>136</v>
      </c>
      <c r="N3331" s="18" t="n">
        <v>0</v>
      </c>
      <c r="O3331" s="18" t="n">
        <v>0</v>
      </c>
      <c r="P3331" s="17" t="n">
        <v>46082</v>
      </c>
      <c r="Q3331" s="17" t="n">
        <v>46082</v>
      </c>
      <c r="R3331" s="17" t="n">
        <v>46082</v>
      </c>
      <c r="S3331" s="19">
        <f>H3331*I3331</f>
        <v/>
      </c>
      <c r="T3331" s="19">
        <f>H3331*J3331</f>
        <v/>
      </c>
      <c r="U3331">
        <f>IF(AND(K3331=0,G3331&lt;=Assumptions!$C$6),1,0)</f>
        <v/>
      </c>
      <c r="V3331">
        <f>IF(U3331=1,IF(M3331&gt;0,IF(P3331&lt;=G3331+Assumptions!$C$7,1,0),0),0)</f>
        <v/>
      </c>
      <c r="W3331">
        <f>IF(AND(U3331=1,M3331&gt;=H3331*(1-Assumptions!$C$8)),1,0)</f>
        <v/>
      </c>
      <c r="X3331">
        <f>IF(AND(U3331=1,N3331&gt;=H3331*(1-Assumptions!$C$8)),1,0)</f>
        <v/>
      </c>
      <c r="Y3331">
        <f>IF(ISNUMBER(Q3331),1,0)</f>
        <v/>
      </c>
      <c r="Z3331">
        <f>IF(AND(K3331=0,L3331=0,Y3331=0),1,0)</f>
        <v/>
      </c>
      <c r="AA3331">
        <f>IF(AND(Z3331=1,G3331&lt;Assumptions!$C$6),1,0)</f>
        <v/>
      </c>
      <c r="AB3331">
        <f>IF(U3331=0,"",IF(Y3331=1,MAX(0,Q3331-G3331),IF(L3331=1,MAX(0,R3331-G3331),MAX(0,Assumptions!$C$6-G3331))))</f>
        <v/>
      </c>
      <c r="AC3331">
        <f>IF(Y3331=1,Q3331-F3331,"")</f>
        <v/>
      </c>
      <c r="AD3331">
        <f>IF(Y3331=1,AC3331^2,"")</f>
        <v/>
      </c>
      <c r="AE3331" s="19">
        <f>IF(Z3331=1,(H3331-M3331)*I3331,0)</f>
        <v/>
      </c>
      <c r="AF3331">
        <f>IF(G3331&lt;EDATE(Assumptions!$C$6,-12)+1,"prior_12m","last_12m")</f>
        <v/>
      </c>
      <c r="AG3331" s="21">
        <f>DATE(YEAR(G3331),MONTH(G3331),1)</f>
        <v/>
      </c>
    </row>
    <row r="3332">
      <c r="A3332" t="inlineStr">
        <is>
          <t>SPO-01781-1</t>
        </is>
      </c>
      <c r="B3332" t="inlineStr">
        <is>
          <t>SPO-01781</t>
        </is>
      </c>
      <c r="C3332" t="inlineStr">
        <is>
          <t>SUP-06</t>
        </is>
      </c>
      <c r="D3332" t="inlineStr">
        <is>
          <t>MRO</t>
        </is>
      </c>
      <c r="E3332" t="inlineStr">
        <is>
          <t>MRO-05</t>
        </is>
      </c>
      <c r="F3332" s="17" t="n">
        <v>46062</v>
      </c>
      <c r="G3332" s="17" t="n">
        <v>46070</v>
      </c>
      <c r="H3332" s="18" t="n">
        <v>47</v>
      </c>
      <c r="I3332" s="19" t="n">
        <v>36.26</v>
      </c>
      <c r="J3332" s="19" t="n">
        <v>36</v>
      </c>
      <c r="K3332" s="20" t="n">
        <v>0</v>
      </c>
      <c r="L3332" s="20" t="n">
        <v>0</v>
      </c>
      <c r="M3332" s="18" t="n">
        <v>47</v>
      </c>
      <c r="N3332" s="18" t="n">
        <v>47</v>
      </c>
      <c r="O3332" s="18" t="n">
        <v>0</v>
      </c>
      <c r="P3332" s="17" t="n">
        <v>46067</v>
      </c>
      <c r="Q3332" s="17" t="n">
        <v>46067</v>
      </c>
      <c r="R3332" s="17" t="n">
        <v>46067</v>
      </c>
      <c r="S3332" s="19">
        <f>H3332*I3332</f>
        <v/>
      </c>
      <c r="T3332" s="19">
        <f>H3332*J3332</f>
        <v/>
      </c>
      <c r="U3332">
        <f>IF(AND(K3332=0,G3332&lt;=Assumptions!$C$6),1,0)</f>
        <v/>
      </c>
      <c r="V3332">
        <f>IF(U3332=1,IF(M3332&gt;0,IF(P3332&lt;=G3332+Assumptions!$C$7,1,0),0),0)</f>
        <v/>
      </c>
      <c r="W3332">
        <f>IF(AND(U3332=1,M3332&gt;=H3332*(1-Assumptions!$C$8)),1,0)</f>
        <v/>
      </c>
      <c r="X3332">
        <f>IF(AND(U3332=1,N3332&gt;=H3332*(1-Assumptions!$C$8)),1,0)</f>
        <v/>
      </c>
      <c r="Y3332">
        <f>IF(ISNUMBER(Q3332),1,0)</f>
        <v/>
      </c>
      <c r="Z3332">
        <f>IF(AND(K3332=0,L3332=0,Y3332=0),1,0)</f>
        <v/>
      </c>
      <c r="AA3332">
        <f>IF(AND(Z3332=1,G3332&lt;Assumptions!$C$6),1,0)</f>
        <v/>
      </c>
      <c r="AB3332">
        <f>IF(U3332=0,"",IF(Y3332=1,MAX(0,Q3332-G3332),IF(L3332=1,MAX(0,R3332-G3332),MAX(0,Assumptions!$C$6-G3332))))</f>
        <v/>
      </c>
      <c r="AC3332">
        <f>IF(Y3332=1,Q3332-F3332,"")</f>
        <v/>
      </c>
      <c r="AD3332">
        <f>IF(Y3332=1,AC3332^2,"")</f>
        <v/>
      </c>
      <c r="AE3332" s="19">
        <f>IF(Z3332=1,(H3332-M3332)*I3332,0)</f>
        <v/>
      </c>
      <c r="AF3332">
        <f>IF(G3332&lt;EDATE(Assumptions!$C$6,-12)+1,"prior_12m","last_12m")</f>
        <v/>
      </c>
      <c r="AG3332" s="21">
        <f>DATE(YEAR(G3332),MONTH(G3332),1)</f>
        <v/>
      </c>
    </row>
    <row r="3333">
      <c r="A3333" t="inlineStr">
        <is>
          <t>SPO-01781-2</t>
        </is>
      </c>
      <c r="B3333" t="inlineStr">
        <is>
          <t>SPO-01781</t>
        </is>
      </c>
      <c r="C3333" t="inlineStr">
        <is>
          <t>SUP-06</t>
        </is>
      </c>
      <c r="D3333" t="inlineStr">
        <is>
          <t>MRO</t>
        </is>
      </c>
      <c r="E3333" t="inlineStr">
        <is>
          <t>MRO-01</t>
        </is>
      </c>
      <c r="F3333" s="17" t="n">
        <v>46062</v>
      </c>
      <c r="G3333" s="17" t="n">
        <v>46070</v>
      </c>
      <c r="H3333" s="18" t="n">
        <v>27</v>
      </c>
      <c r="I3333" s="19" t="n">
        <v>52.03</v>
      </c>
      <c r="J3333" s="19" t="n">
        <v>52</v>
      </c>
      <c r="K3333" s="20" t="n">
        <v>0</v>
      </c>
      <c r="L3333" s="20" t="n">
        <v>0</v>
      </c>
      <c r="M3333" s="18" t="n">
        <v>27</v>
      </c>
      <c r="N3333" s="18" t="n">
        <v>27</v>
      </c>
      <c r="O3333" s="18" t="n">
        <v>0</v>
      </c>
      <c r="P3333" s="17" t="n">
        <v>46069</v>
      </c>
      <c r="Q3333" s="17" t="n">
        <v>46069</v>
      </c>
      <c r="R3333" s="17" t="n">
        <v>46069</v>
      </c>
      <c r="S3333" s="19">
        <f>H3333*I3333</f>
        <v/>
      </c>
      <c r="T3333" s="19">
        <f>H3333*J3333</f>
        <v/>
      </c>
      <c r="U3333">
        <f>IF(AND(K3333=0,G3333&lt;=Assumptions!$C$6),1,0)</f>
        <v/>
      </c>
      <c r="V3333">
        <f>IF(U3333=1,IF(M3333&gt;0,IF(P3333&lt;=G3333+Assumptions!$C$7,1,0),0),0)</f>
        <v/>
      </c>
      <c r="W3333">
        <f>IF(AND(U3333=1,M3333&gt;=H3333*(1-Assumptions!$C$8)),1,0)</f>
        <v/>
      </c>
      <c r="X3333">
        <f>IF(AND(U3333=1,N3333&gt;=H3333*(1-Assumptions!$C$8)),1,0)</f>
        <v/>
      </c>
      <c r="Y3333">
        <f>IF(ISNUMBER(Q3333),1,0)</f>
        <v/>
      </c>
      <c r="Z3333">
        <f>IF(AND(K3333=0,L3333=0,Y3333=0),1,0)</f>
        <v/>
      </c>
      <c r="AA3333">
        <f>IF(AND(Z3333=1,G3333&lt;Assumptions!$C$6),1,0)</f>
        <v/>
      </c>
      <c r="AB3333">
        <f>IF(U3333=0,"",IF(Y3333=1,MAX(0,Q3333-G3333),IF(L3333=1,MAX(0,R3333-G3333),MAX(0,Assumptions!$C$6-G3333))))</f>
        <v/>
      </c>
      <c r="AC3333">
        <f>IF(Y3333=1,Q3333-F3333,"")</f>
        <v/>
      </c>
      <c r="AD3333">
        <f>IF(Y3333=1,AC3333^2,"")</f>
        <v/>
      </c>
      <c r="AE3333" s="19">
        <f>IF(Z3333=1,(H3333-M3333)*I3333,0)</f>
        <v/>
      </c>
      <c r="AF3333">
        <f>IF(G3333&lt;EDATE(Assumptions!$C$6,-12)+1,"prior_12m","last_12m")</f>
        <v/>
      </c>
      <c r="AG3333" s="21">
        <f>DATE(YEAR(G3333),MONTH(G3333),1)</f>
        <v/>
      </c>
    </row>
    <row r="3334">
      <c r="A3334" t="inlineStr">
        <is>
          <t>SPO-01782-1</t>
        </is>
      </c>
      <c r="B3334" t="inlineStr">
        <is>
          <t>SPO-01782</t>
        </is>
      </c>
      <c r="C3334" t="inlineStr">
        <is>
          <t>SUP-06</t>
        </is>
      </c>
      <c r="D3334" t="inlineStr">
        <is>
          <t>MRO</t>
        </is>
      </c>
      <c r="E3334" t="inlineStr">
        <is>
          <t>MRO-05</t>
        </is>
      </c>
      <c r="F3334" s="17" t="n">
        <v>46063</v>
      </c>
      <c r="G3334" s="17" t="n">
        <v>46071</v>
      </c>
      <c r="H3334" s="18" t="n">
        <v>54</v>
      </c>
      <c r="I3334" s="19" t="n">
        <v>36.5</v>
      </c>
      <c r="J3334" s="19" t="n">
        <v>36</v>
      </c>
      <c r="K3334" s="20" t="n">
        <v>0</v>
      </c>
      <c r="L3334" s="20" t="n">
        <v>0</v>
      </c>
      <c r="M3334" s="18" t="n">
        <v>54</v>
      </c>
      <c r="N3334" s="18" t="n">
        <v>54</v>
      </c>
      <c r="O3334" s="18" t="n">
        <v>0</v>
      </c>
      <c r="P3334" s="17" t="n">
        <v>46070</v>
      </c>
      <c r="Q3334" s="17" t="n">
        <v>46070</v>
      </c>
      <c r="R3334" s="17" t="n">
        <v>46070</v>
      </c>
      <c r="S3334" s="19">
        <f>H3334*I3334</f>
        <v/>
      </c>
      <c r="T3334" s="19">
        <f>H3334*J3334</f>
        <v/>
      </c>
      <c r="U3334">
        <f>IF(AND(K3334=0,G3334&lt;=Assumptions!$C$6),1,0)</f>
        <v/>
      </c>
      <c r="V3334">
        <f>IF(U3334=1,IF(M3334&gt;0,IF(P3334&lt;=G3334+Assumptions!$C$7,1,0),0),0)</f>
        <v/>
      </c>
      <c r="W3334">
        <f>IF(AND(U3334=1,M3334&gt;=H3334*(1-Assumptions!$C$8)),1,0)</f>
        <v/>
      </c>
      <c r="X3334">
        <f>IF(AND(U3334=1,N3334&gt;=H3334*(1-Assumptions!$C$8)),1,0)</f>
        <v/>
      </c>
      <c r="Y3334">
        <f>IF(ISNUMBER(Q3334),1,0)</f>
        <v/>
      </c>
      <c r="Z3334">
        <f>IF(AND(K3334=0,L3334=0,Y3334=0),1,0)</f>
        <v/>
      </c>
      <c r="AA3334">
        <f>IF(AND(Z3334=1,G3334&lt;Assumptions!$C$6),1,0)</f>
        <v/>
      </c>
      <c r="AB3334">
        <f>IF(U3334=0,"",IF(Y3334=1,MAX(0,Q3334-G3334),IF(L3334=1,MAX(0,R3334-G3334),MAX(0,Assumptions!$C$6-G3334))))</f>
        <v/>
      </c>
      <c r="AC3334">
        <f>IF(Y3334=1,Q3334-F3334,"")</f>
        <v/>
      </c>
      <c r="AD3334">
        <f>IF(Y3334=1,AC3334^2,"")</f>
        <v/>
      </c>
      <c r="AE3334" s="19">
        <f>IF(Z3334=1,(H3334-M3334)*I3334,0)</f>
        <v/>
      </c>
      <c r="AF3334">
        <f>IF(G3334&lt;EDATE(Assumptions!$C$6,-12)+1,"prior_12m","last_12m")</f>
        <v/>
      </c>
      <c r="AG3334" s="21">
        <f>DATE(YEAR(G3334),MONTH(G3334),1)</f>
        <v/>
      </c>
    </row>
    <row r="3335">
      <c r="A3335" t="inlineStr">
        <is>
          <t>SPO-01783-1</t>
        </is>
      </c>
      <c r="B3335" t="inlineStr">
        <is>
          <t>SPO-01783</t>
        </is>
      </c>
      <c r="C3335" t="inlineStr">
        <is>
          <t>SUP-01</t>
        </is>
      </c>
      <c r="D3335" t="inlineStr">
        <is>
          <t>ELEC</t>
        </is>
      </c>
      <c r="E3335" t="inlineStr">
        <is>
          <t>ELEC-01</t>
        </is>
      </c>
      <c r="F3335" s="17" t="n">
        <v>46063</v>
      </c>
      <c r="G3335" s="17" t="n">
        <v>46081</v>
      </c>
      <c r="H3335" s="18" t="n">
        <v>54</v>
      </c>
      <c r="I3335" s="19" t="n">
        <v>38.43</v>
      </c>
      <c r="J3335" s="19" t="n">
        <v>38</v>
      </c>
      <c r="K3335" s="20" t="n">
        <v>0</v>
      </c>
      <c r="L3335" s="20" t="n">
        <v>0</v>
      </c>
      <c r="M3335" s="18" t="n">
        <v>54</v>
      </c>
      <c r="N3335" s="18" t="n">
        <v>54</v>
      </c>
      <c r="O3335" s="18" t="n">
        <v>0</v>
      </c>
      <c r="P3335" s="17" t="n">
        <v>46077</v>
      </c>
      <c r="Q3335" s="17" t="n">
        <v>46077</v>
      </c>
      <c r="R3335" s="17" t="n">
        <v>46077</v>
      </c>
      <c r="S3335" s="19">
        <f>H3335*I3335</f>
        <v/>
      </c>
      <c r="T3335" s="19">
        <f>H3335*J3335</f>
        <v/>
      </c>
      <c r="U3335">
        <f>IF(AND(K3335=0,G3335&lt;=Assumptions!$C$6),1,0)</f>
        <v/>
      </c>
      <c r="V3335">
        <f>IF(U3335=1,IF(M3335&gt;0,IF(P3335&lt;=G3335+Assumptions!$C$7,1,0),0),0)</f>
        <v/>
      </c>
      <c r="W3335">
        <f>IF(AND(U3335=1,M3335&gt;=H3335*(1-Assumptions!$C$8)),1,0)</f>
        <v/>
      </c>
      <c r="X3335">
        <f>IF(AND(U3335=1,N3335&gt;=H3335*(1-Assumptions!$C$8)),1,0)</f>
        <v/>
      </c>
      <c r="Y3335">
        <f>IF(ISNUMBER(Q3335),1,0)</f>
        <v/>
      </c>
      <c r="Z3335">
        <f>IF(AND(K3335=0,L3335=0,Y3335=0),1,0)</f>
        <v/>
      </c>
      <c r="AA3335">
        <f>IF(AND(Z3335=1,G3335&lt;Assumptions!$C$6),1,0)</f>
        <v/>
      </c>
      <c r="AB3335">
        <f>IF(U3335=0,"",IF(Y3335=1,MAX(0,Q3335-G3335),IF(L3335=1,MAX(0,R3335-G3335),MAX(0,Assumptions!$C$6-G3335))))</f>
        <v/>
      </c>
      <c r="AC3335">
        <f>IF(Y3335=1,Q3335-F3335,"")</f>
        <v/>
      </c>
      <c r="AD3335">
        <f>IF(Y3335=1,AC3335^2,"")</f>
        <v/>
      </c>
      <c r="AE3335" s="19">
        <f>IF(Z3335=1,(H3335-M3335)*I3335,0)</f>
        <v/>
      </c>
      <c r="AF3335">
        <f>IF(G3335&lt;EDATE(Assumptions!$C$6,-12)+1,"prior_12m","last_12m")</f>
        <v/>
      </c>
      <c r="AG3335" s="21">
        <f>DATE(YEAR(G3335),MONTH(G3335),1)</f>
        <v/>
      </c>
    </row>
    <row r="3336">
      <c r="A3336" t="inlineStr">
        <is>
          <t>SPO-01784-1</t>
        </is>
      </c>
      <c r="B3336" t="inlineStr">
        <is>
          <t>SPO-01784</t>
        </is>
      </c>
      <c r="C3336" t="inlineStr">
        <is>
          <t>SUP-07</t>
        </is>
      </c>
      <c r="D3336" t="inlineStr">
        <is>
          <t>MRO</t>
        </is>
      </c>
      <c r="E3336" t="inlineStr">
        <is>
          <t>MRO-01</t>
        </is>
      </c>
      <c r="F3336" s="17" t="n">
        <v>46063</v>
      </c>
      <c r="G3336" s="17" t="n">
        <v>46073</v>
      </c>
      <c r="H3336" s="18" t="n">
        <v>16</v>
      </c>
      <c r="I3336" s="19" t="n">
        <v>54.01</v>
      </c>
      <c r="J3336" s="19" t="n">
        <v>52</v>
      </c>
      <c r="K3336" s="20" t="n">
        <v>0</v>
      </c>
      <c r="L3336" s="20" t="n">
        <v>0</v>
      </c>
      <c r="M3336" s="18" t="n">
        <v>16</v>
      </c>
      <c r="N3336" s="18" t="n">
        <v>11</v>
      </c>
      <c r="O3336" s="18" t="n">
        <v>0</v>
      </c>
      <c r="P3336" s="17" t="n">
        <v>46071</v>
      </c>
      <c r="Q3336" s="17" t="n">
        <v>46077</v>
      </c>
      <c r="R3336" s="17" t="n">
        <v>46077</v>
      </c>
      <c r="S3336" s="19">
        <f>H3336*I3336</f>
        <v/>
      </c>
      <c r="T3336" s="19">
        <f>H3336*J3336</f>
        <v/>
      </c>
      <c r="U3336">
        <f>IF(AND(K3336=0,G3336&lt;=Assumptions!$C$6),1,0)</f>
        <v/>
      </c>
      <c r="V3336">
        <f>IF(U3336=1,IF(M3336&gt;0,IF(P3336&lt;=G3336+Assumptions!$C$7,1,0),0),0)</f>
        <v/>
      </c>
      <c r="W3336">
        <f>IF(AND(U3336=1,M3336&gt;=H3336*(1-Assumptions!$C$8)),1,0)</f>
        <v/>
      </c>
      <c r="X3336">
        <f>IF(AND(U3336=1,N3336&gt;=H3336*(1-Assumptions!$C$8)),1,0)</f>
        <v/>
      </c>
      <c r="Y3336">
        <f>IF(ISNUMBER(Q3336),1,0)</f>
        <v/>
      </c>
      <c r="Z3336">
        <f>IF(AND(K3336=0,L3336=0,Y3336=0),1,0)</f>
        <v/>
      </c>
      <c r="AA3336">
        <f>IF(AND(Z3336=1,G3336&lt;Assumptions!$C$6),1,0)</f>
        <v/>
      </c>
      <c r="AB3336">
        <f>IF(U3336=0,"",IF(Y3336=1,MAX(0,Q3336-G3336),IF(L3336=1,MAX(0,R3336-G3336),MAX(0,Assumptions!$C$6-G3336))))</f>
        <v/>
      </c>
      <c r="AC3336">
        <f>IF(Y3336=1,Q3336-F3336,"")</f>
        <v/>
      </c>
      <c r="AD3336">
        <f>IF(Y3336=1,AC3336^2,"")</f>
        <v/>
      </c>
      <c r="AE3336" s="19">
        <f>IF(Z3336=1,(H3336-M3336)*I3336,0)</f>
        <v/>
      </c>
      <c r="AF3336">
        <f>IF(G3336&lt;EDATE(Assumptions!$C$6,-12)+1,"prior_12m","last_12m")</f>
        <v/>
      </c>
      <c r="AG3336" s="21">
        <f>DATE(YEAR(G3336),MONTH(G3336),1)</f>
        <v/>
      </c>
    </row>
    <row r="3337">
      <c r="A3337" t="inlineStr">
        <is>
          <t>SPO-01784-2</t>
        </is>
      </c>
      <c r="B3337" t="inlineStr">
        <is>
          <t>SPO-01784</t>
        </is>
      </c>
      <c r="C3337" t="inlineStr">
        <is>
          <t>SUP-07</t>
        </is>
      </c>
      <c r="D3337" t="inlineStr">
        <is>
          <t>MRO</t>
        </is>
      </c>
      <c r="E3337" t="inlineStr">
        <is>
          <t>MRO-07</t>
        </is>
      </c>
      <c r="F3337" s="17" t="n">
        <v>46063</v>
      </c>
      <c r="G3337" s="17" t="n">
        <v>46073</v>
      </c>
      <c r="H3337" s="18" t="n">
        <v>122</v>
      </c>
      <c r="I3337" s="19" t="n">
        <v>14.19</v>
      </c>
      <c r="J3337" s="19" t="n">
        <v>14</v>
      </c>
      <c r="K3337" s="20" t="n">
        <v>0</v>
      </c>
      <c r="L3337" s="20" t="n">
        <v>0</v>
      </c>
      <c r="M3337" s="18" t="n">
        <v>122</v>
      </c>
      <c r="N3337" s="18" t="n">
        <v>122</v>
      </c>
      <c r="O3337" s="18" t="n">
        <v>0</v>
      </c>
      <c r="P3337" s="17" t="n">
        <v>46070</v>
      </c>
      <c r="Q3337" s="17" t="n">
        <v>46070</v>
      </c>
      <c r="R3337" s="17" t="n">
        <v>46070</v>
      </c>
      <c r="S3337" s="19">
        <f>H3337*I3337</f>
        <v/>
      </c>
      <c r="T3337" s="19">
        <f>H3337*J3337</f>
        <v/>
      </c>
      <c r="U3337">
        <f>IF(AND(K3337=0,G3337&lt;=Assumptions!$C$6),1,0)</f>
        <v/>
      </c>
      <c r="V3337">
        <f>IF(U3337=1,IF(M3337&gt;0,IF(P3337&lt;=G3337+Assumptions!$C$7,1,0),0),0)</f>
        <v/>
      </c>
      <c r="W3337">
        <f>IF(AND(U3337=1,M3337&gt;=H3337*(1-Assumptions!$C$8)),1,0)</f>
        <v/>
      </c>
      <c r="X3337">
        <f>IF(AND(U3337=1,N3337&gt;=H3337*(1-Assumptions!$C$8)),1,0)</f>
        <v/>
      </c>
      <c r="Y3337">
        <f>IF(ISNUMBER(Q3337),1,0)</f>
        <v/>
      </c>
      <c r="Z3337">
        <f>IF(AND(K3337=0,L3337=0,Y3337=0),1,0)</f>
        <v/>
      </c>
      <c r="AA3337">
        <f>IF(AND(Z3337=1,G3337&lt;Assumptions!$C$6),1,0)</f>
        <v/>
      </c>
      <c r="AB3337">
        <f>IF(U3337=0,"",IF(Y3337=1,MAX(0,Q3337-G3337),IF(L3337=1,MAX(0,R3337-G3337),MAX(0,Assumptions!$C$6-G3337))))</f>
        <v/>
      </c>
      <c r="AC3337">
        <f>IF(Y3337=1,Q3337-F3337,"")</f>
        <v/>
      </c>
      <c r="AD3337">
        <f>IF(Y3337=1,AC3337^2,"")</f>
        <v/>
      </c>
      <c r="AE3337" s="19">
        <f>IF(Z3337=1,(H3337-M3337)*I3337,0)</f>
        <v/>
      </c>
      <c r="AF3337">
        <f>IF(G3337&lt;EDATE(Assumptions!$C$6,-12)+1,"prior_12m","last_12m")</f>
        <v/>
      </c>
      <c r="AG3337" s="21">
        <f>DATE(YEAR(G3337),MONTH(G3337),1)</f>
        <v/>
      </c>
    </row>
    <row r="3338">
      <c r="A3338" t="inlineStr">
        <is>
          <t>SPO-01785-1</t>
        </is>
      </c>
      <c r="B3338" t="inlineStr">
        <is>
          <t>SPO-01785</t>
        </is>
      </c>
      <c r="C3338" t="inlineStr">
        <is>
          <t>SUP-04</t>
        </is>
      </c>
      <c r="D3338" t="inlineStr">
        <is>
          <t>FLEET</t>
        </is>
      </c>
      <c r="E3338" t="inlineStr">
        <is>
          <t>FLEET-07</t>
        </is>
      </c>
      <c r="F3338" s="17" t="n">
        <v>46064</v>
      </c>
      <c r="G3338" s="17" t="n">
        <v>46077</v>
      </c>
      <c r="H3338" s="18" t="n">
        <v>8</v>
      </c>
      <c r="I3338" s="19" t="n">
        <v>116.04</v>
      </c>
      <c r="J3338" s="19" t="n">
        <v>118</v>
      </c>
      <c r="K3338" s="20" t="n">
        <v>0</v>
      </c>
      <c r="L3338" s="20" t="n">
        <v>0</v>
      </c>
      <c r="M3338" s="18" t="n">
        <v>8</v>
      </c>
      <c r="N3338" s="18" t="n">
        <v>8</v>
      </c>
      <c r="O3338" s="18" t="n">
        <v>0</v>
      </c>
      <c r="P3338" s="17" t="n">
        <v>46065</v>
      </c>
      <c r="Q3338" s="17" t="n">
        <v>46065</v>
      </c>
      <c r="R3338" s="17" t="n">
        <v>46065</v>
      </c>
      <c r="S3338" s="19">
        <f>H3338*I3338</f>
        <v/>
      </c>
      <c r="T3338" s="19">
        <f>H3338*J3338</f>
        <v/>
      </c>
      <c r="U3338">
        <f>IF(AND(K3338=0,G3338&lt;=Assumptions!$C$6),1,0)</f>
        <v/>
      </c>
      <c r="V3338">
        <f>IF(U3338=1,IF(M3338&gt;0,IF(P3338&lt;=G3338+Assumptions!$C$7,1,0),0),0)</f>
        <v/>
      </c>
      <c r="W3338">
        <f>IF(AND(U3338=1,M3338&gt;=H3338*(1-Assumptions!$C$8)),1,0)</f>
        <v/>
      </c>
      <c r="X3338">
        <f>IF(AND(U3338=1,N3338&gt;=H3338*(1-Assumptions!$C$8)),1,0)</f>
        <v/>
      </c>
      <c r="Y3338">
        <f>IF(ISNUMBER(Q3338),1,0)</f>
        <v/>
      </c>
      <c r="Z3338">
        <f>IF(AND(K3338=0,L3338=0,Y3338=0),1,0)</f>
        <v/>
      </c>
      <c r="AA3338">
        <f>IF(AND(Z3338=1,G3338&lt;Assumptions!$C$6),1,0)</f>
        <v/>
      </c>
      <c r="AB3338">
        <f>IF(U3338=0,"",IF(Y3338=1,MAX(0,Q3338-G3338),IF(L3338=1,MAX(0,R3338-G3338),MAX(0,Assumptions!$C$6-G3338))))</f>
        <v/>
      </c>
      <c r="AC3338">
        <f>IF(Y3338=1,Q3338-F3338,"")</f>
        <v/>
      </c>
      <c r="AD3338">
        <f>IF(Y3338=1,AC3338^2,"")</f>
        <v/>
      </c>
      <c r="AE3338" s="19">
        <f>IF(Z3338=1,(H3338-M3338)*I3338,0)</f>
        <v/>
      </c>
      <c r="AF3338">
        <f>IF(G3338&lt;EDATE(Assumptions!$C$6,-12)+1,"prior_12m","last_12m")</f>
        <v/>
      </c>
      <c r="AG3338" s="21">
        <f>DATE(YEAR(G3338),MONTH(G3338),1)</f>
        <v/>
      </c>
    </row>
    <row r="3339">
      <c r="A3339" t="inlineStr">
        <is>
          <t>SPO-01786-1</t>
        </is>
      </c>
      <c r="B3339" t="inlineStr">
        <is>
          <t>SPO-01786</t>
        </is>
      </c>
      <c r="C3339" t="inlineStr">
        <is>
          <t>SUP-01</t>
        </is>
      </c>
      <c r="D3339" t="inlineStr">
        <is>
          <t>ELEC</t>
        </is>
      </c>
      <c r="E3339" t="inlineStr">
        <is>
          <t>ELEC-04</t>
        </is>
      </c>
      <c r="F3339" s="17" t="n">
        <v>46064</v>
      </c>
      <c r="G3339" s="17" t="n">
        <v>46082</v>
      </c>
      <c r="H3339" s="18" t="n">
        <v>20</v>
      </c>
      <c r="I3339" s="19" t="n">
        <v>74.3</v>
      </c>
      <c r="J3339" s="19" t="n">
        <v>72</v>
      </c>
      <c r="K3339" s="20" t="n">
        <v>0</v>
      </c>
      <c r="L3339" s="20" t="n">
        <v>0</v>
      </c>
      <c r="M3339" s="18" t="n">
        <v>20</v>
      </c>
      <c r="N3339" s="18" t="n">
        <v>20</v>
      </c>
      <c r="O3339" s="18" t="n">
        <v>0</v>
      </c>
      <c r="P3339" s="17" t="n">
        <v>46081</v>
      </c>
      <c r="Q3339" s="17" t="n">
        <v>46081</v>
      </c>
      <c r="R3339" s="17" t="n">
        <v>46081</v>
      </c>
      <c r="S3339" s="19">
        <f>H3339*I3339</f>
        <v/>
      </c>
      <c r="T3339" s="19">
        <f>H3339*J3339</f>
        <v/>
      </c>
      <c r="U3339">
        <f>IF(AND(K3339=0,G3339&lt;=Assumptions!$C$6),1,0)</f>
        <v/>
      </c>
      <c r="V3339">
        <f>IF(U3339=1,IF(M3339&gt;0,IF(P3339&lt;=G3339+Assumptions!$C$7,1,0),0),0)</f>
        <v/>
      </c>
      <c r="W3339">
        <f>IF(AND(U3339=1,M3339&gt;=H3339*(1-Assumptions!$C$8)),1,0)</f>
        <v/>
      </c>
      <c r="X3339">
        <f>IF(AND(U3339=1,N3339&gt;=H3339*(1-Assumptions!$C$8)),1,0)</f>
        <v/>
      </c>
      <c r="Y3339">
        <f>IF(ISNUMBER(Q3339),1,0)</f>
        <v/>
      </c>
      <c r="Z3339">
        <f>IF(AND(K3339=0,L3339=0,Y3339=0),1,0)</f>
        <v/>
      </c>
      <c r="AA3339">
        <f>IF(AND(Z3339=1,G3339&lt;Assumptions!$C$6),1,0)</f>
        <v/>
      </c>
      <c r="AB3339">
        <f>IF(U3339=0,"",IF(Y3339=1,MAX(0,Q3339-G3339),IF(L3339=1,MAX(0,R3339-G3339),MAX(0,Assumptions!$C$6-G3339))))</f>
        <v/>
      </c>
      <c r="AC3339">
        <f>IF(Y3339=1,Q3339-F3339,"")</f>
        <v/>
      </c>
      <c r="AD3339">
        <f>IF(Y3339=1,AC3339^2,"")</f>
        <v/>
      </c>
      <c r="AE3339" s="19">
        <f>IF(Z3339=1,(H3339-M3339)*I3339,0)</f>
        <v/>
      </c>
      <c r="AF3339">
        <f>IF(G3339&lt;EDATE(Assumptions!$C$6,-12)+1,"prior_12m","last_12m")</f>
        <v/>
      </c>
      <c r="AG3339" s="21">
        <f>DATE(YEAR(G3339),MONTH(G3339),1)</f>
        <v/>
      </c>
    </row>
    <row r="3340">
      <c r="A3340" t="inlineStr">
        <is>
          <t>SPO-01787-1</t>
        </is>
      </c>
      <c r="B3340" t="inlineStr">
        <is>
          <t>SPO-01787</t>
        </is>
      </c>
      <c r="C3340" t="inlineStr">
        <is>
          <t>SUP-14</t>
        </is>
      </c>
      <c r="D3340" t="inlineStr">
        <is>
          <t>FLEET</t>
        </is>
      </c>
      <c r="E3340" t="inlineStr">
        <is>
          <t>FLEET-06</t>
        </is>
      </c>
      <c r="F3340" s="17" t="n">
        <v>46064</v>
      </c>
      <c r="G3340" s="17" t="n">
        <v>46078</v>
      </c>
      <c r="H3340" s="18" t="n">
        <v>45</v>
      </c>
      <c r="I3340" s="19" t="n">
        <v>33.24</v>
      </c>
      <c r="J3340" s="19" t="n">
        <v>33</v>
      </c>
      <c r="K3340" s="20" t="n">
        <v>0</v>
      </c>
      <c r="L3340" s="20" t="n">
        <v>0</v>
      </c>
      <c r="M3340" s="18" t="n">
        <v>45</v>
      </c>
      <c r="N3340" s="18" t="n">
        <v>45</v>
      </c>
      <c r="O3340" s="18" t="n">
        <v>0</v>
      </c>
      <c r="P3340" s="17" t="n">
        <v>46074</v>
      </c>
      <c r="Q3340" s="17" t="n">
        <v>46074</v>
      </c>
      <c r="R3340" s="17" t="n">
        <v>46074</v>
      </c>
      <c r="S3340" s="19">
        <f>H3340*I3340</f>
        <v/>
      </c>
      <c r="T3340" s="19">
        <f>H3340*J3340</f>
        <v/>
      </c>
      <c r="U3340">
        <f>IF(AND(K3340=0,G3340&lt;=Assumptions!$C$6),1,0)</f>
        <v/>
      </c>
      <c r="V3340">
        <f>IF(U3340=1,IF(M3340&gt;0,IF(P3340&lt;=G3340+Assumptions!$C$7,1,0),0),0)</f>
        <v/>
      </c>
      <c r="W3340">
        <f>IF(AND(U3340=1,M3340&gt;=H3340*(1-Assumptions!$C$8)),1,0)</f>
        <v/>
      </c>
      <c r="X3340">
        <f>IF(AND(U3340=1,N3340&gt;=H3340*(1-Assumptions!$C$8)),1,0)</f>
        <v/>
      </c>
      <c r="Y3340">
        <f>IF(ISNUMBER(Q3340),1,0)</f>
        <v/>
      </c>
      <c r="Z3340">
        <f>IF(AND(K3340=0,L3340=0,Y3340=0),1,0)</f>
        <v/>
      </c>
      <c r="AA3340">
        <f>IF(AND(Z3340=1,G3340&lt;Assumptions!$C$6),1,0)</f>
        <v/>
      </c>
      <c r="AB3340">
        <f>IF(U3340=0,"",IF(Y3340=1,MAX(0,Q3340-G3340),IF(L3340=1,MAX(0,R3340-G3340),MAX(0,Assumptions!$C$6-G3340))))</f>
        <v/>
      </c>
      <c r="AC3340">
        <f>IF(Y3340=1,Q3340-F3340,"")</f>
        <v/>
      </c>
      <c r="AD3340">
        <f>IF(Y3340=1,AC3340^2,"")</f>
        <v/>
      </c>
      <c r="AE3340" s="19">
        <f>IF(Z3340=1,(H3340-M3340)*I3340,0)</f>
        <v/>
      </c>
      <c r="AF3340">
        <f>IF(G3340&lt;EDATE(Assumptions!$C$6,-12)+1,"prior_12m","last_12m")</f>
        <v/>
      </c>
      <c r="AG3340" s="21">
        <f>DATE(YEAR(G3340),MONTH(G3340),1)</f>
        <v/>
      </c>
    </row>
    <row r="3341">
      <c r="A3341" t="inlineStr">
        <is>
          <t>SPO-01788-1</t>
        </is>
      </c>
      <c r="B3341" t="inlineStr">
        <is>
          <t>SPO-01788</t>
        </is>
      </c>
      <c r="C3341" t="inlineStr">
        <is>
          <t>SUP-08</t>
        </is>
      </c>
      <c r="D3341" t="inlineStr">
        <is>
          <t>MRO</t>
        </is>
      </c>
      <c r="E3341" t="inlineStr">
        <is>
          <t>MRO-06</t>
        </is>
      </c>
      <c r="F3341" s="17" t="n">
        <v>46064</v>
      </c>
      <c r="G3341" s="17" t="n">
        <v>46075</v>
      </c>
      <c r="H3341" s="18" t="n">
        <v>184</v>
      </c>
      <c r="I3341" s="19" t="n">
        <v>6.06</v>
      </c>
      <c r="J3341" s="19" t="n">
        <v>6.1</v>
      </c>
      <c r="K3341" s="20" t="n">
        <v>0</v>
      </c>
      <c r="L3341" s="20" t="n">
        <v>0</v>
      </c>
      <c r="M3341" s="18" t="n">
        <v>184</v>
      </c>
      <c r="N3341" s="18" t="n">
        <v>184</v>
      </c>
      <c r="O3341" s="18" t="n">
        <v>0</v>
      </c>
      <c r="P3341" s="17" t="n">
        <v>46074</v>
      </c>
      <c r="Q3341" s="17" t="n">
        <v>46074</v>
      </c>
      <c r="R3341" s="17" t="n">
        <v>46074</v>
      </c>
      <c r="S3341" s="19">
        <f>H3341*I3341</f>
        <v/>
      </c>
      <c r="T3341" s="19">
        <f>H3341*J3341</f>
        <v/>
      </c>
      <c r="U3341">
        <f>IF(AND(K3341=0,G3341&lt;=Assumptions!$C$6),1,0)</f>
        <v/>
      </c>
      <c r="V3341">
        <f>IF(U3341=1,IF(M3341&gt;0,IF(P3341&lt;=G3341+Assumptions!$C$7,1,0),0),0)</f>
        <v/>
      </c>
      <c r="W3341">
        <f>IF(AND(U3341=1,M3341&gt;=H3341*(1-Assumptions!$C$8)),1,0)</f>
        <v/>
      </c>
      <c r="X3341">
        <f>IF(AND(U3341=1,N3341&gt;=H3341*(1-Assumptions!$C$8)),1,0)</f>
        <v/>
      </c>
      <c r="Y3341">
        <f>IF(ISNUMBER(Q3341),1,0)</f>
        <v/>
      </c>
      <c r="Z3341">
        <f>IF(AND(K3341=0,L3341=0,Y3341=0),1,0)</f>
        <v/>
      </c>
      <c r="AA3341">
        <f>IF(AND(Z3341=1,G3341&lt;Assumptions!$C$6),1,0)</f>
        <v/>
      </c>
      <c r="AB3341">
        <f>IF(U3341=0,"",IF(Y3341=1,MAX(0,Q3341-G3341),IF(L3341=1,MAX(0,R3341-G3341),MAX(0,Assumptions!$C$6-G3341))))</f>
        <v/>
      </c>
      <c r="AC3341">
        <f>IF(Y3341=1,Q3341-F3341,"")</f>
        <v/>
      </c>
      <c r="AD3341">
        <f>IF(Y3341=1,AC3341^2,"")</f>
        <v/>
      </c>
      <c r="AE3341" s="19">
        <f>IF(Z3341=1,(H3341-M3341)*I3341,0)</f>
        <v/>
      </c>
      <c r="AF3341">
        <f>IF(G3341&lt;EDATE(Assumptions!$C$6,-12)+1,"prior_12m","last_12m")</f>
        <v/>
      </c>
      <c r="AG3341" s="21">
        <f>DATE(YEAR(G3341),MONTH(G3341),1)</f>
        <v/>
      </c>
    </row>
    <row r="3342">
      <c r="A3342" t="inlineStr">
        <is>
          <t>SPO-01788-2</t>
        </is>
      </c>
      <c r="B3342" t="inlineStr">
        <is>
          <t>SPO-01788</t>
        </is>
      </c>
      <c r="C3342" t="inlineStr">
        <is>
          <t>SUP-08</t>
        </is>
      </c>
      <c r="D3342" t="inlineStr">
        <is>
          <t>MRO</t>
        </is>
      </c>
      <c r="E3342" t="inlineStr">
        <is>
          <t>MRO-03</t>
        </is>
      </c>
      <c r="F3342" s="17" t="n">
        <v>46064</v>
      </c>
      <c r="G3342" s="17" t="n">
        <v>46075</v>
      </c>
      <c r="H3342" s="18" t="n">
        <v>232</v>
      </c>
      <c r="I3342" s="19" t="n">
        <v>8.890000000000001</v>
      </c>
      <c r="J3342" s="19" t="n">
        <v>8.9</v>
      </c>
      <c r="K3342" s="20" t="n">
        <v>0</v>
      </c>
      <c r="L3342" s="20" t="n">
        <v>0</v>
      </c>
      <c r="M3342" s="18" t="n">
        <v>232</v>
      </c>
      <c r="N3342" s="18" t="n">
        <v>232</v>
      </c>
      <c r="O3342" s="18" t="n">
        <v>0</v>
      </c>
      <c r="P3342" s="17" t="n">
        <v>46073</v>
      </c>
      <c r="Q3342" s="17" t="n">
        <v>46073</v>
      </c>
      <c r="R3342" s="17" t="n">
        <v>46073</v>
      </c>
      <c r="S3342" s="19">
        <f>H3342*I3342</f>
        <v/>
      </c>
      <c r="T3342" s="19">
        <f>H3342*J3342</f>
        <v/>
      </c>
      <c r="U3342">
        <f>IF(AND(K3342=0,G3342&lt;=Assumptions!$C$6),1,0)</f>
        <v/>
      </c>
      <c r="V3342">
        <f>IF(U3342=1,IF(M3342&gt;0,IF(P3342&lt;=G3342+Assumptions!$C$7,1,0),0),0)</f>
        <v/>
      </c>
      <c r="W3342">
        <f>IF(AND(U3342=1,M3342&gt;=H3342*(1-Assumptions!$C$8)),1,0)</f>
        <v/>
      </c>
      <c r="X3342">
        <f>IF(AND(U3342=1,N3342&gt;=H3342*(1-Assumptions!$C$8)),1,0)</f>
        <v/>
      </c>
      <c r="Y3342">
        <f>IF(ISNUMBER(Q3342),1,0)</f>
        <v/>
      </c>
      <c r="Z3342">
        <f>IF(AND(K3342=0,L3342=0,Y3342=0),1,0)</f>
        <v/>
      </c>
      <c r="AA3342">
        <f>IF(AND(Z3342=1,G3342&lt;Assumptions!$C$6),1,0)</f>
        <v/>
      </c>
      <c r="AB3342">
        <f>IF(U3342=0,"",IF(Y3342=1,MAX(0,Q3342-G3342),IF(L3342=1,MAX(0,R3342-G3342),MAX(0,Assumptions!$C$6-G3342))))</f>
        <v/>
      </c>
      <c r="AC3342">
        <f>IF(Y3342=1,Q3342-F3342,"")</f>
        <v/>
      </c>
      <c r="AD3342">
        <f>IF(Y3342=1,AC3342^2,"")</f>
        <v/>
      </c>
      <c r="AE3342" s="19">
        <f>IF(Z3342=1,(H3342-M3342)*I3342,0)</f>
        <v/>
      </c>
      <c r="AF3342">
        <f>IF(G3342&lt;EDATE(Assumptions!$C$6,-12)+1,"prior_12m","last_12m")</f>
        <v/>
      </c>
      <c r="AG3342" s="21">
        <f>DATE(YEAR(G3342),MONTH(G3342),1)</f>
        <v/>
      </c>
    </row>
    <row r="3343">
      <c r="A3343" t="inlineStr">
        <is>
          <t>SPO-01788-3</t>
        </is>
      </c>
      <c r="B3343" t="inlineStr">
        <is>
          <t>SPO-01788</t>
        </is>
      </c>
      <c r="C3343" t="inlineStr">
        <is>
          <t>SUP-08</t>
        </is>
      </c>
      <c r="D3343" t="inlineStr">
        <is>
          <t>MRO</t>
        </is>
      </c>
      <c r="E3343" t="inlineStr">
        <is>
          <t>MRO-07</t>
        </is>
      </c>
      <c r="F3343" s="17" t="n">
        <v>46064</v>
      </c>
      <c r="G3343" s="17" t="n">
        <v>46075</v>
      </c>
      <c r="H3343" s="18" t="n">
        <v>102</v>
      </c>
      <c r="I3343" s="19" t="n">
        <v>14.24</v>
      </c>
      <c r="J3343" s="19" t="n">
        <v>14</v>
      </c>
      <c r="K3343" s="20" t="n">
        <v>0</v>
      </c>
      <c r="L3343" s="20" t="n">
        <v>0</v>
      </c>
      <c r="M3343" s="18" t="n">
        <v>102</v>
      </c>
      <c r="N3343" s="18" t="n">
        <v>102</v>
      </c>
      <c r="O3343" s="18" t="n">
        <v>0</v>
      </c>
      <c r="P3343" s="17" t="n">
        <v>46073</v>
      </c>
      <c r="Q3343" s="17" t="n">
        <v>46073</v>
      </c>
      <c r="R3343" s="17" t="n">
        <v>46073</v>
      </c>
      <c r="S3343" s="19">
        <f>H3343*I3343</f>
        <v/>
      </c>
      <c r="T3343" s="19">
        <f>H3343*J3343</f>
        <v/>
      </c>
      <c r="U3343">
        <f>IF(AND(K3343=0,G3343&lt;=Assumptions!$C$6),1,0)</f>
        <v/>
      </c>
      <c r="V3343">
        <f>IF(U3343=1,IF(M3343&gt;0,IF(P3343&lt;=G3343+Assumptions!$C$7,1,0),0),0)</f>
        <v/>
      </c>
      <c r="W3343">
        <f>IF(AND(U3343=1,M3343&gt;=H3343*(1-Assumptions!$C$8)),1,0)</f>
        <v/>
      </c>
      <c r="X3343">
        <f>IF(AND(U3343=1,N3343&gt;=H3343*(1-Assumptions!$C$8)),1,0)</f>
        <v/>
      </c>
      <c r="Y3343">
        <f>IF(ISNUMBER(Q3343),1,0)</f>
        <v/>
      </c>
      <c r="Z3343">
        <f>IF(AND(K3343=0,L3343=0,Y3343=0),1,0)</f>
        <v/>
      </c>
      <c r="AA3343">
        <f>IF(AND(Z3343=1,G3343&lt;Assumptions!$C$6),1,0)</f>
        <v/>
      </c>
      <c r="AB3343">
        <f>IF(U3343=0,"",IF(Y3343=1,MAX(0,Q3343-G3343),IF(L3343=1,MAX(0,R3343-G3343),MAX(0,Assumptions!$C$6-G3343))))</f>
        <v/>
      </c>
      <c r="AC3343">
        <f>IF(Y3343=1,Q3343-F3343,"")</f>
        <v/>
      </c>
      <c r="AD3343">
        <f>IF(Y3343=1,AC3343^2,"")</f>
        <v/>
      </c>
      <c r="AE3343" s="19">
        <f>IF(Z3343=1,(H3343-M3343)*I3343,0)</f>
        <v/>
      </c>
      <c r="AF3343">
        <f>IF(G3343&lt;EDATE(Assumptions!$C$6,-12)+1,"prior_12m","last_12m")</f>
        <v/>
      </c>
      <c r="AG3343" s="21">
        <f>DATE(YEAR(G3343),MONTH(G3343),1)</f>
        <v/>
      </c>
    </row>
    <row r="3344">
      <c r="A3344" t="inlineStr">
        <is>
          <t>SPO-01789-1</t>
        </is>
      </c>
      <c r="B3344" t="inlineStr">
        <is>
          <t>SPO-01789</t>
        </is>
      </c>
      <c r="C3344" t="inlineStr">
        <is>
          <t>SUP-10</t>
        </is>
      </c>
      <c r="D3344" t="inlineStr">
        <is>
          <t>PPE</t>
        </is>
      </c>
      <c r="E3344" t="inlineStr">
        <is>
          <t>PPE-07</t>
        </is>
      </c>
      <c r="F3344" s="17" t="n">
        <v>46065</v>
      </c>
      <c r="G3344" s="17" t="n">
        <v>46078</v>
      </c>
      <c r="H3344" s="18" t="n">
        <v>81</v>
      </c>
      <c r="I3344" s="19" t="n">
        <v>31.3</v>
      </c>
      <c r="J3344" s="19" t="n">
        <v>31</v>
      </c>
      <c r="K3344" s="20" t="n">
        <v>0</v>
      </c>
      <c r="L3344" s="20" t="n">
        <v>0</v>
      </c>
      <c r="M3344" s="18" t="n">
        <v>81</v>
      </c>
      <c r="N3344" s="18" t="n">
        <v>81</v>
      </c>
      <c r="O3344" s="18" t="n">
        <v>0</v>
      </c>
      <c r="P3344" s="17" t="n">
        <v>46077</v>
      </c>
      <c r="Q3344" s="17" t="n">
        <v>46077</v>
      </c>
      <c r="R3344" s="17" t="n">
        <v>46077</v>
      </c>
      <c r="S3344" s="19">
        <f>H3344*I3344</f>
        <v/>
      </c>
      <c r="T3344" s="19">
        <f>H3344*J3344</f>
        <v/>
      </c>
      <c r="U3344">
        <f>IF(AND(K3344=0,G3344&lt;=Assumptions!$C$6),1,0)</f>
        <v/>
      </c>
      <c r="V3344">
        <f>IF(U3344=1,IF(M3344&gt;0,IF(P3344&lt;=G3344+Assumptions!$C$7,1,0),0),0)</f>
        <v/>
      </c>
      <c r="W3344">
        <f>IF(AND(U3344=1,M3344&gt;=H3344*(1-Assumptions!$C$8)),1,0)</f>
        <v/>
      </c>
      <c r="X3344">
        <f>IF(AND(U3344=1,N3344&gt;=H3344*(1-Assumptions!$C$8)),1,0)</f>
        <v/>
      </c>
      <c r="Y3344">
        <f>IF(ISNUMBER(Q3344),1,0)</f>
        <v/>
      </c>
      <c r="Z3344">
        <f>IF(AND(K3344=0,L3344=0,Y3344=0),1,0)</f>
        <v/>
      </c>
      <c r="AA3344">
        <f>IF(AND(Z3344=1,G3344&lt;Assumptions!$C$6),1,0)</f>
        <v/>
      </c>
      <c r="AB3344">
        <f>IF(U3344=0,"",IF(Y3344=1,MAX(0,Q3344-G3344),IF(L3344=1,MAX(0,R3344-G3344),MAX(0,Assumptions!$C$6-G3344))))</f>
        <v/>
      </c>
      <c r="AC3344">
        <f>IF(Y3344=1,Q3344-F3344,"")</f>
        <v/>
      </c>
      <c r="AD3344">
        <f>IF(Y3344=1,AC3344^2,"")</f>
        <v/>
      </c>
      <c r="AE3344" s="19">
        <f>IF(Z3344=1,(H3344-M3344)*I3344,0)</f>
        <v/>
      </c>
      <c r="AF3344">
        <f>IF(G3344&lt;EDATE(Assumptions!$C$6,-12)+1,"prior_12m","last_12m")</f>
        <v/>
      </c>
      <c r="AG3344" s="21">
        <f>DATE(YEAR(G3344),MONTH(G3344),1)</f>
        <v/>
      </c>
    </row>
    <row r="3345">
      <c r="A3345" t="inlineStr">
        <is>
          <t>SPO-01789-2</t>
        </is>
      </c>
      <c r="B3345" t="inlineStr">
        <is>
          <t>SPO-01789</t>
        </is>
      </c>
      <c r="C3345" t="inlineStr">
        <is>
          <t>SUP-10</t>
        </is>
      </c>
      <c r="D3345" t="inlineStr">
        <is>
          <t>PPE</t>
        </is>
      </c>
      <c r="E3345" t="inlineStr">
        <is>
          <t>PPE-01</t>
        </is>
      </c>
      <c r="F3345" s="17" t="n">
        <v>46065</v>
      </c>
      <c r="G3345" s="17" t="n">
        <v>46078</v>
      </c>
      <c r="H3345" s="18" t="n">
        <v>323</v>
      </c>
      <c r="I3345" s="19" t="n">
        <v>4.46</v>
      </c>
      <c r="J3345" s="19" t="n">
        <v>4.8</v>
      </c>
      <c r="K3345" s="20" t="n">
        <v>0</v>
      </c>
      <c r="L3345" s="20" t="n">
        <v>0</v>
      </c>
      <c r="M3345" s="18" t="n">
        <v>323</v>
      </c>
      <c r="N3345" s="18" t="n">
        <v>323</v>
      </c>
      <c r="O3345" s="18" t="n">
        <v>0</v>
      </c>
      <c r="P3345" s="17" t="n">
        <v>46078</v>
      </c>
      <c r="Q3345" s="17" t="n">
        <v>46078</v>
      </c>
      <c r="R3345" s="17" t="n">
        <v>46078</v>
      </c>
      <c r="S3345" s="19">
        <f>H3345*I3345</f>
        <v/>
      </c>
      <c r="T3345" s="19">
        <f>H3345*J3345</f>
        <v/>
      </c>
      <c r="U3345">
        <f>IF(AND(K3345=0,G3345&lt;=Assumptions!$C$6),1,0)</f>
        <v/>
      </c>
      <c r="V3345">
        <f>IF(U3345=1,IF(M3345&gt;0,IF(P3345&lt;=G3345+Assumptions!$C$7,1,0),0),0)</f>
        <v/>
      </c>
      <c r="W3345">
        <f>IF(AND(U3345=1,M3345&gt;=H3345*(1-Assumptions!$C$8)),1,0)</f>
        <v/>
      </c>
      <c r="X3345">
        <f>IF(AND(U3345=1,N3345&gt;=H3345*(1-Assumptions!$C$8)),1,0)</f>
        <v/>
      </c>
      <c r="Y3345">
        <f>IF(ISNUMBER(Q3345),1,0)</f>
        <v/>
      </c>
      <c r="Z3345">
        <f>IF(AND(K3345=0,L3345=0,Y3345=0),1,0)</f>
        <v/>
      </c>
      <c r="AA3345">
        <f>IF(AND(Z3345=1,G3345&lt;Assumptions!$C$6),1,0)</f>
        <v/>
      </c>
      <c r="AB3345">
        <f>IF(U3345=0,"",IF(Y3345=1,MAX(0,Q3345-G3345),IF(L3345=1,MAX(0,R3345-G3345),MAX(0,Assumptions!$C$6-G3345))))</f>
        <v/>
      </c>
      <c r="AC3345">
        <f>IF(Y3345=1,Q3345-F3345,"")</f>
        <v/>
      </c>
      <c r="AD3345">
        <f>IF(Y3345=1,AC3345^2,"")</f>
        <v/>
      </c>
      <c r="AE3345" s="19">
        <f>IF(Z3345=1,(H3345-M3345)*I3345,0)</f>
        <v/>
      </c>
      <c r="AF3345">
        <f>IF(G3345&lt;EDATE(Assumptions!$C$6,-12)+1,"prior_12m","last_12m")</f>
        <v/>
      </c>
      <c r="AG3345" s="21">
        <f>DATE(YEAR(G3345),MONTH(G3345),1)</f>
        <v/>
      </c>
    </row>
    <row r="3346">
      <c r="A3346" t="inlineStr">
        <is>
          <t>SPO-01789-3</t>
        </is>
      </c>
      <c r="B3346" t="inlineStr">
        <is>
          <t>SPO-01789</t>
        </is>
      </c>
      <c r="C3346" t="inlineStr">
        <is>
          <t>SUP-10</t>
        </is>
      </c>
      <c r="D3346" t="inlineStr">
        <is>
          <t>PPE</t>
        </is>
      </c>
      <c r="E3346" t="inlineStr">
        <is>
          <t>PPE-04</t>
        </is>
      </c>
      <c r="F3346" s="17" t="n">
        <v>46065</v>
      </c>
      <c r="G3346" s="17" t="n">
        <v>46078</v>
      </c>
      <c r="H3346" s="18" t="n">
        <v>47</v>
      </c>
      <c r="I3346" s="19" t="n">
        <v>24.8</v>
      </c>
      <c r="J3346" s="19" t="n">
        <v>26</v>
      </c>
      <c r="K3346" s="20" t="n">
        <v>0</v>
      </c>
      <c r="L3346" s="20" t="n">
        <v>0</v>
      </c>
      <c r="M3346" s="18" t="n">
        <v>47</v>
      </c>
      <c r="N3346" s="18" t="n">
        <v>47</v>
      </c>
      <c r="O3346" s="18" t="n">
        <v>0</v>
      </c>
      <c r="P3346" s="17" t="n">
        <v>46077</v>
      </c>
      <c r="Q3346" s="17" t="n">
        <v>46077</v>
      </c>
      <c r="R3346" s="17" t="n">
        <v>46077</v>
      </c>
      <c r="S3346" s="19">
        <f>H3346*I3346</f>
        <v/>
      </c>
      <c r="T3346" s="19">
        <f>H3346*J3346</f>
        <v/>
      </c>
      <c r="U3346">
        <f>IF(AND(K3346=0,G3346&lt;=Assumptions!$C$6),1,0)</f>
        <v/>
      </c>
      <c r="V3346">
        <f>IF(U3346=1,IF(M3346&gt;0,IF(P3346&lt;=G3346+Assumptions!$C$7,1,0),0),0)</f>
        <v/>
      </c>
      <c r="W3346">
        <f>IF(AND(U3346=1,M3346&gt;=H3346*(1-Assumptions!$C$8)),1,0)</f>
        <v/>
      </c>
      <c r="X3346">
        <f>IF(AND(U3346=1,N3346&gt;=H3346*(1-Assumptions!$C$8)),1,0)</f>
        <v/>
      </c>
      <c r="Y3346">
        <f>IF(ISNUMBER(Q3346),1,0)</f>
        <v/>
      </c>
      <c r="Z3346">
        <f>IF(AND(K3346=0,L3346=0,Y3346=0),1,0)</f>
        <v/>
      </c>
      <c r="AA3346">
        <f>IF(AND(Z3346=1,G3346&lt;Assumptions!$C$6),1,0)</f>
        <v/>
      </c>
      <c r="AB3346">
        <f>IF(U3346=0,"",IF(Y3346=1,MAX(0,Q3346-G3346),IF(L3346=1,MAX(0,R3346-G3346),MAX(0,Assumptions!$C$6-G3346))))</f>
        <v/>
      </c>
      <c r="AC3346">
        <f>IF(Y3346=1,Q3346-F3346,"")</f>
        <v/>
      </c>
      <c r="AD3346">
        <f>IF(Y3346=1,AC3346^2,"")</f>
        <v/>
      </c>
      <c r="AE3346" s="19">
        <f>IF(Z3346=1,(H3346-M3346)*I3346,0)</f>
        <v/>
      </c>
      <c r="AF3346">
        <f>IF(G3346&lt;EDATE(Assumptions!$C$6,-12)+1,"prior_12m","last_12m")</f>
        <v/>
      </c>
      <c r="AG3346" s="21">
        <f>DATE(YEAR(G3346),MONTH(G3346),1)</f>
        <v/>
      </c>
    </row>
    <row r="3347">
      <c r="A3347" t="inlineStr">
        <is>
          <t>SPO-01790-1</t>
        </is>
      </c>
      <c r="B3347" t="inlineStr">
        <is>
          <t>SPO-01790</t>
        </is>
      </c>
      <c r="C3347" t="inlineStr">
        <is>
          <t>SUP-01</t>
        </is>
      </c>
      <c r="D3347" t="inlineStr">
        <is>
          <t>ELEC</t>
        </is>
      </c>
      <c r="E3347" t="inlineStr">
        <is>
          <t>ELEC-07</t>
        </is>
      </c>
      <c r="F3347" s="17" t="n">
        <v>46066</v>
      </c>
      <c r="G3347" s="17" t="n">
        <v>46084</v>
      </c>
      <c r="H3347" s="18" t="n">
        <v>161</v>
      </c>
      <c r="I3347" s="19" t="n">
        <v>9.91</v>
      </c>
      <c r="J3347" s="19" t="n">
        <v>9.800000000000001</v>
      </c>
      <c r="K3347" s="20" t="n">
        <v>0</v>
      </c>
      <c r="L3347" s="20" t="n">
        <v>0</v>
      </c>
      <c r="M3347" s="18" t="n">
        <v>161</v>
      </c>
      <c r="N3347" s="18" t="n">
        <v>161</v>
      </c>
      <c r="O3347" s="18" t="n">
        <v>0</v>
      </c>
      <c r="P3347" s="17" t="n">
        <v>46074</v>
      </c>
      <c r="Q3347" s="17" t="n">
        <v>46074</v>
      </c>
      <c r="R3347" s="17" t="n">
        <v>46074</v>
      </c>
      <c r="S3347" s="19">
        <f>H3347*I3347</f>
        <v/>
      </c>
      <c r="T3347" s="19">
        <f>H3347*J3347</f>
        <v/>
      </c>
      <c r="U3347">
        <f>IF(AND(K3347=0,G3347&lt;=Assumptions!$C$6),1,0)</f>
        <v/>
      </c>
      <c r="V3347">
        <f>IF(U3347=1,IF(M3347&gt;0,IF(P3347&lt;=G3347+Assumptions!$C$7,1,0),0),0)</f>
        <v/>
      </c>
      <c r="W3347">
        <f>IF(AND(U3347=1,M3347&gt;=H3347*(1-Assumptions!$C$8)),1,0)</f>
        <v/>
      </c>
      <c r="X3347">
        <f>IF(AND(U3347=1,N3347&gt;=H3347*(1-Assumptions!$C$8)),1,0)</f>
        <v/>
      </c>
      <c r="Y3347">
        <f>IF(ISNUMBER(Q3347),1,0)</f>
        <v/>
      </c>
      <c r="Z3347">
        <f>IF(AND(K3347=0,L3347=0,Y3347=0),1,0)</f>
        <v/>
      </c>
      <c r="AA3347">
        <f>IF(AND(Z3347=1,G3347&lt;Assumptions!$C$6),1,0)</f>
        <v/>
      </c>
      <c r="AB3347">
        <f>IF(U3347=0,"",IF(Y3347=1,MAX(0,Q3347-G3347),IF(L3347=1,MAX(0,R3347-G3347),MAX(0,Assumptions!$C$6-G3347))))</f>
        <v/>
      </c>
      <c r="AC3347">
        <f>IF(Y3347=1,Q3347-F3347,"")</f>
        <v/>
      </c>
      <c r="AD3347">
        <f>IF(Y3347=1,AC3347^2,"")</f>
        <v/>
      </c>
      <c r="AE3347" s="19">
        <f>IF(Z3347=1,(H3347-M3347)*I3347,0)</f>
        <v/>
      </c>
      <c r="AF3347">
        <f>IF(G3347&lt;EDATE(Assumptions!$C$6,-12)+1,"prior_12m","last_12m")</f>
        <v/>
      </c>
      <c r="AG3347" s="21">
        <f>DATE(YEAR(G3347),MONTH(G3347),1)</f>
        <v/>
      </c>
    </row>
    <row r="3348">
      <c r="A3348" t="inlineStr">
        <is>
          <t>SPO-01790-2</t>
        </is>
      </c>
      <c r="B3348" t="inlineStr">
        <is>
          <t>SPO-01790</t>
        </is>
      </c>
      <c r="C3348" t="inlineStr">
        <is>
          <t>SUP-01</t>
        </is>
      </c>
      <c r="D3348" t="inlineStr">
        <is>
          <t>ELEC</t>
        </is>
      </c>
      <c r="E3348" t="inlineStr">
        <is>
          <t>ELEC-01</t>
        </is>
      </c>
      <c r="F3348" s="17" t="n">
        <v>46066</v>
      </c>
      <c r="G3348" s="17" t="n">
        <v>46084</v>
      </c>
      <c r="H3348" s="18" t="n">
        <v>90</v>
      </c>
      <c r="I3348" s="19" t="n">
        <v>38.81</v>
      </c>
      <c r="J3348" s="19" t="n">
        <v>38</v>
      </c>
      <c r="K3348" s="20" t="n">
        <v>0</v>
      </c>
      <c r="L3348" s="20" t="n">
        <v>0</v>
      </c>
      <c r="M3348" s="18" t="n">
        <v>90</v>
      </c>
      <c r="N3348" s="18" t="n">
        <v>90</v>
      </c>
      <c r="O3348" s="18" t="n">
        <v>0</v>
      </c>
      <c r="P3348" s="17" t="n">
        <v>46080</v>
      </c>
      <c r="Q3348" s="17" t="n">
        <v>46080</v>
      </c>
      <c r="R3348" s="17" t="n">
        <v>46080</v>
      </c>
      <c r="S3348" s="19">
        <f>H3348*I3348</f>
        <v/>
      </c>
      <c r="T3348" s="19">
        <f>H3348*J3348</f>
        <v/>
      </c>
      <c r="U3348">
        <f>IF(AND(K3348=0,G3348&lt;=Assumptions!$C$6),1,0)</f>
        <v/>
      </c>
      <c r="V3348">
        <f>IF(U3348=1,IF(M3348&gt;0,IF(P3348&lt;=G3348+Assumptions!$C$7,1,0),0),0)</f>
        <v/>
      </c>
      <c r="W3348">
        <f>IF(AND(U3348=1,M3348&gt;=H3348*(1-Assumptions!$C$8)),1,0)</f>
        <v/>
      </c>
      <c r="X3348">
        <f>IF(AND(U3348=1,N3348&gt;=H3348*(1-Assumptions!$C$8)),1,0)</f>
        <v/>
      </c>
      <c r="Y3348">
        <f>IF(ISNUMBER(Q3348),1,0)</f>
        <v/>
      </c>
      <c r="Z3348">
        <f>IF(AND(K3348=0,L3348=0,Y3348=0),1,0)</f>
        <v/>
      </c>
      <c r="AA3348">
        <f>IF(AND(Z3348=1,G3348&lt;Assumptions!$C$6),1,0)</f>
        <v/>
      </c>
      <c r="AB3348">
        <f>IF(U3348=0,"",IF(Y3348=1,MAX(0,Q3348-G3348),IF(L3348=1,MAX(0,R3348-G3348),MAX(0,Assumptions!$C$6-G3348))))</f>
        <v/>
      </c>
      <c r="AC3348">
        <f>IF(Y3348=1,Q3348-F3348,"")</f>
        <v/>
      </c>
      <c r="AD3348">
        <f>IF(Y3348=1,AC3348^2,"")</f>
        <v/>
      </c>
      <c r="AE3348" s="19">
        <f>IF(Z3348=1,(H3348-M3348)*I3348,0)</f>
        <v/>
      </c>
      <c r="AF3348">
        <f>IF(G3348&lt;EDATE(Assumptions!$C$6,-12)+1,"prior_12m","last_12m")</f>
        <v/>
      </c>
      <c r="AG3348" s="21">
        <f>DATE(YEAR(G3348),MONTH(G3348),1)</f>
        <v/>
      </c>
    </row>
    <row r="3349">
      <c r="A3349" t="inlineStr">
        <is>
          <t>SPO-01791-1</t>
        </is>
      </c>
      <c r="B3349" t="inlineStr">
        <is>
          <t>SPO-01791</t>
        </is>
      </c>
      <c r="C3349" t="inlineStr">
        <is>
          <t>SUP-14</t>
        </is>
      </c>
      <c r="D3349" t="inlineStr">
        <is>
          <t>FLEET</t>
        </is>
      </c>
      <c r="E3349" t="inlineStr">
        <is>
          <t>FLEET-07</t>
        </is>
      </c>
      <c r="F3349" s="17" t="n">
        <v>46066</v>
      </c>
      <c r="G3349" s="17" t="n">
        <v>46080</v>
      </c>
      <c r="H3349" s="18" t="n">
        <v>17</v>
      </c>
      <c r="I3349" s="19" t="n">
        <v>115.85</v>
      </c>
      <c r="J3349" s="19" t="n">
        <v>118</v>
      </c>
      <c r="K3349" s="20" t="n">
        <v>0</v>
      </c>
      <c r="L3349" s="20" t="n">
        <v>0</v>
      </c>
      <c r="M3349" s="18" t="n">
        <v>17</v>
      </c>
      <c r="N3349" s="18" t="n">
        <v>17</v>
      </c>
      <c r="O3349" s="18" t="n">
        <v>0</v>
      </c>
      <c r="P3349" s="17" t="n">
        <v>46072</v>
      </c>
      <c r="Q3349" s="17" t="n">
        <v>46072</v>
      </c>
      <c r="R3349" s="17" t="n">
        <v>46072</v>
      </c>
      <c r="S3349" s="19">
        <f>H3349*I3349</f>
        <v/>
      </c>
      <c r="T3349" s="19">
        <f>H3349*J3349</f>
        <v/>
      </c>
      <c r="U3349">
        <f>IF(AND(K3349=0,G3349&lt;=Assumptions!$C$6),1,0)</f>
        <v/>
      </c>
      <c r="V3349">
        <f>IF(U3349=1,IF(M3349&gt;0,IF(P3349&lt;=G3349+Assumptions!$C$7,1,0),0),0)</f>
        <v/>
      </c>
      <c r="W3349">
        <f>IF(AND(U3349=1,M3349&gt;=H3349*(1-Assumptions!$C$8)),1,0)</f>
        <v/>
      </c>
      <c r="X3349">
        <f>IF(AND(U3349=1,N3349&gt;=H3349*(1-Assumptions!$C$8)),1,0)</f>
        <v/>
      </c>
      <c r="Y3349">
        <f>IF(ISNUMBER(Q3349),1,0)</f>
        <v/>
      </c>
      <c r="Z3349">
        <f>IF(AND(K3349=0,L3349=0,Y3349=0),1,0)</f>
        <v/>
      </c>
      <c r="AA3349">
        <f>IF(AND(Z3349=1,G3349&lt;Assumptions!$C$6),1,0)</f>
        <v/>
      </c>
      <c r="AB3349">
        <f>IF(U3349=0,"",IF(Y3349=1,MAX(0,Q3349-G3349),IF(L3349=1,MAX(0,R3349-G3349),MAX(0,Assumptions!$C$6-G3349))))</f>
        <v/>
      </c>
      <c r="AC3349">
        <f>IF(Y3349=1,Q3349-F3349,"")</f>
        <v/>
      </c>
      <c r="AD3349">
        <f>IF(Y3349=1,AC3349^2,"")</f>
        <v/>
      </c>
      <c r="AE3349" s="19">
        <f>IF(Z3349=1,(H3349-M3349)*I3349,0)</f>
        <v/>
      </c>
      <c r="AF3349">
        <f>IF(G3349&lt;EDATE(Assumptions!$C$6,-12)+1,"prior_12m","last_12m")</f>
        <v/>
      </c>
      <c r="AG3349" s="21">
        <f>DATE(YEAR(G3349),MONTH(G3349),1)</f>
        <v/>
      </c>
    </row>
    <row r="3350">
      <c r="A3350" t="inlineStr">
        <is>
          <t>SPO-01791-2</t>
        </is>
      </c>
      <c r="B3350" t="inlineStr">
        <is>
          <t>SPO-01791</t>
        </is>
      </c>
      <c r="C3350" t="inlineStr">
        <is>
          <t>SUP-14</t>
        </is>
      </c>
      <c r="D3350" t="inlineStr">
        <is>
          <t>FLEET</t>
        </is>
      </c>
      <c r="E3350" t="inlineStr">
        <is>
          <t>FLEET-08</t>
        </is>
      </c>
      <c r="F3350" s="17" t="n">
        <v>46066</v>
      </c>
      <c r="G3350" s="17" t="n">
        <v>46080</v>
      </c>
      <c r="H3350" s="18" t="n">
        <v>200</v>
      </c>
      <c r="I3350" s="19" t="n">
        <v>6.76</v>
      </c>
      <c r="J3350" s="19" t="n">
        <v>6.4</v>
      </c>
      <c r="K3350" s="20" t="n">
        <v>0</v>
      </c>
      <c r="L3350" s="20" t="n">
        <v>0</v>
      </c>
      <c r="M3350" s="18" t="n">
        <v>200</v>
      </c>
      <c r="N3350" s="18" t="n">
        <v>200</v>
      </c>
      <c r="O3350" s="18" t="n">
        <v>0</v>
      </c>
      <c r="P3350" s="17" t="n">
        <v>46077</v>
      </c>
      <c r="Q3350" s="17" t="n">
        <v>46077</v>
      </c>
      <c r="R3350" s="17" t="n">
        <v>46077</v>
      </c>
      <c r="S3350" s="19">
        <f>H3350*I3350</f>
        <v/>
      </c>
      <c r="T3350" s="19">
        <f>H3350*J3350</f>
        <v/>
      </c>
      <c r="U3350">
        <f>IF(AND(K3350=0,G3350&lt;=Assumptions!$C$6),1,0)</f>
        <v/>
      </c>
      <c r="V3350">
        <f>IF(U3350=1,IF(M3350&gt;0,IF(P3350&lt;=G3350+Assumptions!$C$7,1,0),0),0)</f>
        <v/>
      </c>
      <c r="W3350">
        <f>IF(AND(U3350=1,M3350&gt;=H3350*(1-Assumptions!$C$8)),1,0)</f>
        <v/>
      </c>
      <c r="X3350">
        <f>IF(AND(U3350=1,N3350&gt;=H3350*(1-Assumptions!$C$8)),1,0)</f>
        <v/>
      </c>
      <c r="Y3350">
        <f>IF(ISNUMBER(Q3350),1,0)</f>
        <v/>
      </c>
      <c r="Z3350">
        <f>IF(AND(K3350=0,L3350=0,Y3350=0),1,0)</f>
        <v/>
      </c>
      <c r="AA3350">
        <f>IF(AND(Z3350=1,G3350&lt;Assumptions!$C$6),1,0)</f>
        <v/>
      </c>
      <c r="AB3350">
        <f>IF(U3350=0,"",IF(Y3350=1,MAX(0,Q3350-G3350),IF(L3350=1,MAX(0,R3350-G3350),MAX(0,Assumptions!$C$6-G3350))))</f>
        <v/>
      </c>
      <c r="AC3350">
        <f>IF(Y3350=1,Q3350-F3350,"")</f>
        <v/>
      </c>
      <c r="AD3350">
        <f>IF(Y3350=1,AC3350^2,"")</f>
        <v/>
      </c>
      <c r="AE3350" s="19">
        <f>IF(Z3350=1,(H3350-M3350)*I3350,0)</f>
        <v/>
      </c>
      <c r="AF3350">
        <f>IF(G3350&lt;EDATE(Assumptions!$C$6,-12)+1,"prior_12m","last_12m")</f>
        <v/>
      </c>
      <c r="AG3350" s="21">
        <f>DATE(YEAR(G3350),MONTH(G3350),1)</f>
        <v/>
      </c>
    </row>
    <row r="3351">
      <c r="A3351" t="inlineStr">
        <is>
          <t>SPO-01791-3</t>
        </is>
      </c>
      <c r="B3351" t="inlineStr">
        <is>
          <t>SPO-01791</t>
        </is>
      </c>
      <c r="C3351" t="inlineStr">
        <is>
          <t>SUP-14</t>
        </is>
      </c>
      <c r="D3351" t="inlineStr">
        <is>
          <t>FLEET</t>
        </is>
      </c>
      <c r="E3351" t="inlineStr">
        <is>
          <t>FLEET-05</t>
        </is>
      </c>
      <c r="F3351" s="17" t="n">
        <v>46066</v>
      </c>
      <c r="G3351" s="17" t="n">
        <v>46080</v>
      </c>
      <c r="H3351" s="18" t="n">
        <v>34</v>
      </c>
      <c r="I3351" s="19" t="n">
        <v>183.44</v>
      </c>
      <c r="J3351" s="19" t="n">
        <v>168</v>
      </c>
      <c r="K3351" s="20" t="n">
        <v>0</v>
      </c>
      <c r="L3351" s="20" t="n">
        <v>0</v>
      </c>
      <c r="M3351" s="18" t="n">
        <v>34</v>
      </c>
      <c r="N3351" s="18" t="n">
        <v>34</v>
      </c>
      <c r="O3351" s="18" t="n">
        <v>0</v>
      </c>
      <c r="P3351" s="17" t="n">
        <v>46076</v>
      </c>
      <c r="Q3351" s="17" t="n">
        <v>46076</v>
      </c>
      <c r="R3351" s="17" t="n">
        <v>46076</v>
      </c>
      <c r="S3351" s="19">
        <f>H3351*I3351</f>
        <v/>
      </c>
      <c r="T3351" s="19">
        <f>H3351*J3351</f>
        <v/>
      </c>
      <c r="U3351">
        <f>IF(AND(K3351=0,G3351&lt;=Assumptions!$C$6),1,0)</f>
        <v/>
      </c>
      <c r="V3351">
        <f>IF(U3351=1,IF(M3351&gt;0,IF(P3351&lt;=G3351+Assumptions!$C$7,1,0),0),0)</f>
        <v/>
      </c>
      <c r="W3351">
        <f>IF(AND(U3351=1,M3351&gt;=H3351*(1-Assumptions!$C$8)),1,0)</f>
        <v/>
      </c>
      <c r="X3351">
        <f>IF(AND(U3351=1,N3351&gt;=H3351*(1-Assumptions!$C$8)),1,0)</f>
        <v/>
      </c>
      <c r="Y3351">
        <f>IF(ISNUMBER(Q3351),1,0)</f>
        <v/>
      </c>
      <c r="Z3351">
        <f>IF(AND(K3351=0,L3351=0,Y3351=0),1,0)</f>
        <v/>
      </c>
      <c r="AA3351">
        <f>IF(AND(Z3351=1,G3351&lt;Assumptions!$C$6),1,0)</f>
        <v/>
      </c>
      <c r="AB3351">
        <f>IF(U3351=0,"",IF(Y3351=1,MAX(0,Q3351-G3351),IF(L3351=1,MAX(0,R3351-G3351),MAX(0,Assumptions!$C$6-G3351))))</f>
        <v/>
      </c>
      <c r="AC3351">
        <f>IF(Y3351=1,Q3351-F3351,"")</f>
        <v/>
      </c>
      <c r="AD3351">
        <f>IF(Y3351=1,AC3351^2,"")</f>
        <v/>
      </c>
      <c r="AE3351" s="19">
        <f>IF(Z3351=1,(H3351-M3351)*I3351,0)</f>
        <v/>
      </c>
      <c r="AF3351">
        <f>IF(G3351&lt;EDATE(Assumptions!$C$6,-12)+1,"prior_12m","last_12m")</f>
        <v/>
      </c>
      <c r="AG3351" s="21">
        <f>DATE(YEAR(G3351),MONTH(G3351),1)</f>
        <v/>
      </c>
    </row>
    <row r="3352">
      <c r="A3352" t="inlineStr">
        <is>
          <t>SPO-01792-1</t>
        </is>
      </c>
      <c r="B3352" t="inlineStr">
        <is>
          <t>SPO-01792</t>
        </is>
      </c>
      <c r="C3352" t="inlineStr">
        <is>
          <t>SUP-09</t>
        </is>
      </c>
      <c r="D3352" t="inlineStr">
        <is>
          <t>CHEM</t>
        </is>
      </c>
      <c r="E3352" t="inlineStr">
        <is>
          <t>CHEM-05</t>
        </is>
      </c>
      <c r="F3352" s="17" t="n">
        <v>46066</v>
      </c>
      <c r="G3352" s="17" t="n">
        <v>46080</v>
      </c>
      <c r="H3352" s="18" t="n">
        <v>3</v>
      </c>
      <c r="I3352" s="19" t="n">
        <v>970.64</v>
      </c>
      <c r="J3352" s="19" t="n">
        <v>930</v>
      </c>
      <c r="K3352" s="20" t="n">
        <v>0</v>
      </c>
      <c r="L3352" s="20" t="n">
        <v>0</v>
      </c>
      <c r="M3352" s="18" t="n">
        <v>3</v>
      </c>
      <c r="N3352" s="18" t="n">
        <v>3</v>
      </c>
      <c r="O3352" s="18" t="n">
        <v>0</v>
      </c>
      <c r="P3352" s="17" t="n">
        <v>46078</v>
      </c>
      <c r="Q3352" s="17" t="n">
        <v>46078</v>
      </c>
      <c r="R3352" s="17" t="n">
        <v>46078</v>
      </c>
      <c r="S3352" s="19">
        <f>H3352*I3352</f>
        <v/>
      </c>
      <c r="T3352" s="19">
        <f>H3352*J3352</f>
        <v/>
      </c>
      <c r="U3352">
        <f>IF(AND(K3352=0,G3352&lt;=Assumptions!$C$6),1,0)</f>
        <v/>
      </c>
      <c r="V3352">
        <f>IF(U3352=1,IF(M3352&gt;0,IF(P3352&lt;=G3352+Assumptions!$C$7,1,0),0),0)</f>
        <v/>
      </c>
      <c r="W3352">
        <f>IF(AND(U3352=1,M3352&gt;=H3352*(1-Assumptions!$C$8)),1,0)</f>
        <v/>
      </c>
      <c r="X3352">
        <f>IF(AND(U3352=1,N3352&gt;=H3352*(1-Assumptions!$C$8)),1,0)</f>
        <v/>
      </c>
      <c r="Y3352">
        <f>IF(ISNUMBER(Q3352),1,0)</f>
        <v/>
      </c>
      <c r="Z3352">
        <f>IF(AND(K3352=0,L3352=0,Y3352=0),1,0)</f>
        <v/>
      </c>
      <c r="AA3352">
        <f>IF(AND(Z3352=1,G3352&lt;Assumptions!$C$6),1,0)</f>
        <v/>
      </c>
      <c r="AB3352">
        <f>IF(U3352=0,"",IF(Y3352=1,MAX(0,Q3352-G3352),IF(L3352=1,MAX(0,R3352-G3352),MAX(0,Assumptions!$C$6-G3352))))</f>
        <v/>
      </c>
      <c r="AC3352">
        <f>IF(Y3352=1,Q3352-F3352,"")</f>
        <v/>
      </c>
      <c r="AD3352">
        <f>IF(Y3352=1,AC3352^2,"")</f>
        <v/>
      </c>
      <c r="AE3352" s="19">
        <f>IF(Z3352=1,(H3352-M3352)*I3352,0)</f>
        <v/>
      </c>
      <c r="AF3352">
        <f>IF(G3352&lt;EDATE(Assumptions!$C$6,-12)+1,"prior_12m","last_12m")</f>
        <v/>
      </c>
      <c r="AG3352" s="21">
        <f>DATE(YEAR(G3352),MONTH(G3352),1)</f>
        <v/>
      </c>
    </row>
    <row r="3353">
      <c r="A3353" t="inlineStr">
        <is>
          <t>SPO-01793-1</t>
        </is>
      </c>
      <c r="B3353" t="inlineStr">
        <is>
          <t>SPO-01793</t>
        </is>
      </c>
      <c r="C3353" t="inlineStr">
        <is>
          <t>SUP-12</t>
        </is>
      </c>
      <c r="D3353" t="inlineStr">
        <is>
          <t>IT</t>
        </is>
      </c>
      <c r="E3353" t="inlineStr">
        <is>
          <t>IT-08</t>
        </is>
      </c>
      <c r="F3353" s="17" t="n">
        <v>46066</v>
      </c>
      <c r="G3353" s="17" t="n">
        <v>46076</v>
      </c>
      <c r="H3353" s="18" t="n">
        <v>6</v>
      </c>
      <c r="I3353" s="19" t="n">
        <v>292.83</v>
      </c>
      <c r="J3353" s="19" t="n">
        <v>245</v>
      </c>
      <c r="K3353" s="20" t="n">
        <v>0</v>
      </c>
      <c r="L3353" s="20" t="n">
        <v>0</v>
      </c>
      <c r="M3353" s="18" t="n">
        <v>6</v>
      </c>
      <c r="N3353" s="18" t="n">
        <v>6</v>
      </c>
      <c r="O3353" s="18" t="n">
        <v>0</v>
      </c>
      <c r="P3353" s="17" t="n">
        <v>46074</v>
      </c>
      <c r="Q3353" s="17" t="n">
        <v>46074</v>
      </c>
      <c r="R3353" s="17" t="n">
        <v>46074</v>
      </c>
      <c r="S3353" s="19">
        <f>H3353*I3353</f>
        <v/>
      </c>
      <c r="T3353" s="19">
        <f>H3353*J3353</f>
        <v/>
      </c>
      <c r="U3353">
        <f>IF(AND(K3353=0,G3353&lt;=Assumptions!$C$6),1,0)</f>
        <v/>
      </c>
      <c r="V3353">
        <f>IF(U3353=1,IF(M3353&gt;0,IF(P3353&lt;=G3353+Assumptions!$C$7,1,0),0),0)</f>
        <v/>
      </c>
      <c r="W3353">
        <f>IF(AND(U3353=1,M3353&gt;=H3353*(1-Assumptions!$C$8)),1,0)</f>
        <v/>
      </c>
      <c r="X3353">
        <f>IF(AND(U3353=1,N3353&gt;=H3353*(1-Assumptions!$C$8)),1,0)</f>
        <v/>
      </c>
      <c r="Y3353">
        <f>IF(ISNUMBER(Q3353),1,0)</f>
        <v/>
      </c>
      <c r="Z3353">
        <f>IF(AND(K3353=0,L3353=0,Y3353=0),1,0)</f>
        <v/>
      </c>
      <c r="AA3353">
        <f>IF(AND(Z3353=1,G3353&lt;Assumptions!$C$6),1,0)</f>
        <v/>
      </c>
      <c r="AB3353">
        <f>IF(U3353=0,"",IF(Y3353=1,MAX(0,Q3353-G3353),IF(L3353=1,MAX(0,R3353-G3353),MAX(0,Assumptions!$C$6-G3353))))</f>
        <v/>
      </c>
      <c r="AC3353">
        <f>IF(Y3353=1,Q3353-F3353,"")</f>
        <v/>
      </c>
      <c r="AD3353">
        <f>IF(Y3353=1,AC3353^2,"")</f>
        <v/>
      </c>
      <c r="AE3353" s="19">
        <f>IF(Z3353=1,(H3353-M3353)*I3353,0)</f>
        <v/>
      </c>
      <c r="AF3353">
        <f>IF(G3353&lt;EDATE(Assumptions!$C$6,-12)+1,"prior_12m","last_12m")</f>
        <v/>
      </c>
      <c r="AG3353" s="21">
        <f>DATE(YEAR(G3353),MONTH(G3353),1)</f>
        <v/>
      </c>
    </row>
    <row r="3354">
      <c r="A3354" t="inlineStr">
        <is>
          <t>SPO-01793-2</t>
        </is>
      </c>
      <c r="B3354" t="inlineStr">
        <is>
          <t>SPO-01793</t>
        </is>
      </c>
      <c r="C3354" t="inlineStr">
        <is>
          <t>SUP-12</t>
        </is>
      </c>
      <c r="D3354" t="inlineStr">
        <is>
          <t>IT</t>
        </is>
      </c>
      <c r="E3354" t="inlineStr">
        <is>
          <t>IT-02</t>
        </is>
      </c>
      <c r="F3354" s="17" t="n">
        <v>46066</v>
      </c>
      <c r="G3354" s="17" t="n">
        <v>46076</v>
      </c>
      <c r="H3354" s="18" t="n">
        <v>12</v>
      </c>
      <c r="I3354" s="19" t="n">
        <v>178.32</v>
      </c>
      <c r="J3354" s="19" t="n">
        <v>162</v>
      </c>
      <c r="K3354" s="20" t="n">
        <v>0</v>
      </c>
      <c r="L3354" s="20" t="n">
        <v>0</v>
      </c>
      <c r="M3354" s="18" t="n">
        <v>12</v>
      </c>
      <c r="N3354" s="18" t="n">
        <v>12</v>
      </c>
      <c r="O3354" s="18" t="n">
        <v>0</v>
      </c>
      <c r="P3354" s="17" t="n">
        <v>46068</v>
      </c>
      <c r="Q3354" s="17" t="n">
        <v>46068</v>
      </c>
      <c r="R3354" s="17" t="n">
        <v>46068</v>
      </c>
      <c r="S3354" s="19">
        <f>H3354*I3354</f>
        <v/>
      </c>
      <c r="T3354" s="19">
        <f>H3354*J3354</f>
        <v/>
      </c>
      <c r="U3354">
        <f>IF(AND(K3354=0,G3354&lt;=Assumptions!$C$6),1,0)</f>
        <v/>
      </c>
      <c r="V3354">
        <f>IF(U3354=1,IF(M3354&gt;0,IF(P3354&lt;=G3354+Assumptions!$C$7,1,0),0),0)</f>
        <v/>
      </c>
      <c r="W3354">
        <f>IF(AND(U3354=1,M3354&gt;=H3354*(1-Assumptions!$C$8)),1,0)</f>
        <v/>
      </c>
      <c r="X3354">
        <f>IF(AND(U3354=1,N3354&gt;=H3354*(1-Assumptions!$C$8)),1,0)</f>
        <v/>
      </c>
      <c r="Y3354">
        <f>IF(ISNUMBER(Q3354),1,0)</f>
        <v/>
      </c>
      <c r="Z3354">
        <f>IF(AND(K3354=0,L3354=0,Y3354=0),1,0)</f>
        <v/>
      </c>
      <c r="AA3354">
        <f>IF(AND(Z3354=1,G3354&lt;Assumptions!$C$6),1,0)</f>
        <v/>
      </c>
      <c r="AB3354">
        <f>IF(U3354=0,"",IF(Y3354=1,MAX(0,Q3354-G3354),IF(L3354=1,MAX(0,R3354-G3354),MAX(0,Assumptions!$C$6-G3354))))</f>
        <v/>
      </c>
      <c r="AC3354">
        <f>IF(Y3354=1,Q3354-F3354,"")</f>
        <v/>
      </c>
      <c r="AD3354">
        <f>IF(Y3354=1,AC3354^2,"")</f>
        <v/>
      </c>
      <c r="AE3354" s="19">
        <f>IF(Z3354=1,(H3354-M3354)*I3354,0)</f>
        <v/>
      </c>
      <c r="AF3354">
        <f>IF(G3354&lt;EDATE(Assumptions!$C$6,-12)+1,"prior_12m","last_12m")</f>
        <v/>
      </c>
      <c r="AG3354" s="21">
        <f>DATE(YEAR(G3354),MONTH(G3354),1)</f>
        <v/>
      </c>
    </row>
    <row r="3355">
      <c r="A3355" t="inlineStr">
        <is>
          <t>SPO-01793-3</t>
        </is>
      </c>
      <c r="B3355" t="inlineStr">
        <is>
          <t>SPO-01793</t>
        </is>
      </c>
      <c r="C3355" t="inlineStr">
        <is>
          <t>SUP-12</t>
        </is>
      </c>
      <c r="D3355" t="inlineStr">
        <is>
          <t>IT</t>
        </is>
      </c>
      <c r="E3355" t="inlineStr">
        <is>
          <t>IT-06</t>
        </is>
      </c>
      <c r="F3355" s="17" t="n">
        <v>46066</v>
      </c>
      <c r="G3355" s="17" t="n">
        <v>46076</v>
      </c>
      <c r="H3355" s="18" t="n">
        <v>20</v>
      </c>
      <c r="I3355" s="19" t="n">
        <v>99.73</v>
      </c>
      <c r="J3355" s="19" t="n">
        <v>89</v>
      </c>
      <c r="K3355" s="20" t="n">
        <v>0</v>
      </c>
      <c r="L3355" s="20" t="n">
        <v>0</v>
      </c>
      <c r="M3355" s="18" t="n">
        <v>20</v>
      </c>
      <c r="N3355" s="18" t="n">
        <v>20</v>
      </c>
      <c r="O3355" s="18" t="n">
        <v>0</v>
      </c>
      <c r="P3355" s="17" t="n">
        <v>46073</v>
      </c>
      <c r="Q3355" s="17" t="n">
        <v>46073</v>
      </c>
      <c r="R3355" s="17" t="n">
        <v>46073</v>
      </c>
      <c r="S3355" s="19">
        <f>H3355*I3355</f>
        <v/>
      </c>
      <c r="T3355" s="19">
        <f>H3355*J3355</f>
        <v/>
      </c>
      <c r="U3355">
        <f>IF(AND(K3355=0,G3355&lt;=Assumptions!$C$6),1,0)</f>
        <v/>
      </c>
      <c r="V3355">
        <f>IF(U3355=1,IF(M3355&gt;0,IF(P3355&lt;=G3355+Assumptions!$C$7,1,0),0),0)</f>
        <v/>
      </c>
      <c r="W3355">
        <f>IF(AND(U3355=1,M3355&gt;=H3355*(1-Assumptions!$C$8)),1,0)</f>
        <v/>
      </c>
      <c r="X3355">
        <f>IF(AND(U3355=1,N3355&gt;=H3355*(1-Assumptions!$C$8)),1,0)</f>
        <v/>
      </c>
      <c r="Y3355">
        <f>IF(ISNUMBER(Q3355),1,0)</f>
        <v/>
      </c>
      <c r="Z3355">
        <f>IF(AND(K3355=0,L3355=0,Y3355=0),1,0)</f>
        <v/>
      </c>
      <c r="AA3355">
        <f>IF(AND(Z3355=1,G3355&lt;Assumptions!$C$6),1,0)</f>
        <v/>
      </c>
      <c r="AB3355">
        <f>IF(U3355=0,"",IF(Y3355=1,MAX(0,Q3355-G3355),IF(L3355=1,MAX(0,R3355-G3355),MAX(0,Assumptions!$C$6-G3355))))</f>
        <v/>
      </c>
      <c r="AC3355">
        <f>IF(Y3355=1,Q3355-F3355,"")</f>
        <v/>
      </c>
      <c r="AD3355">
        <f>IF(Y3355=1,AC3355^2,"")</f>
        <v/>
      </c>
      <c r="AE3355" s="19">
        <f>IF(Z3355=1,(H3355-M3355)*I3355,0)</f>
        <v/>
      </c>
      <c r="AF3355">
        <f>IF(G3355&lt;EDATE(Assumptions!$C$6,-12)+1,"prior_12m","last_12m")</f>
        <v/>
      </c>
      <c r="AG3355" s="21">
        <f>DATE(YEAR(G3355),MONTH(G3355),1)</f>
        <v/>
      </c>
    </row>
    <row r="3356">
      <c r="A3356" t="inlineStr">
        <is>
          <t>SPO-01794-1</t>
        </is>
      </c>
      <c r="B3356" t="inlineStr">
        <is>
          <t>SPO-01794</t>
        </is>
      </c>
      <c r="C3356" t="inlineStr">
        <is>
          <t>SUP-02</t>
        </is>
      </c>
      <c r="D3356" t="inlineStr">
        <is>
          <t>ELEC</t>
        </is>
      </c>
      <c r="E3356" t="inlineStr">
        <is>
          <t>ELEC-02</t>
        </is>
      </c>
      <c r="F3356" s="17" t="n">
        <v>46066</v>
      </c>
      <c r="G3356" s="17" t="n">
        <v>46082</v>
      </c>
      <c r="H3356" s="18" t="n">
        <v>288</v>
      </c>
      <c r="I3356" s="19" t="n">
        <v>4.25</v>
      </c>
      <c r="J3356" s="19" t="n">
        <v>4.2</v>
      </c>
      <c r="K3356" s="20" t="n">
        <v>0</v>
      </c>
      <c r="L3356" s="20" t="n">
        <v>0</v>
      </c>
      <c r="M3356" s="18" t="n">
        <v>288</v>
      </c>
      <c r="N3356" s="18" t="n">
        <v>288</v>
      </c>
      <c r="O3356" s="18" t="n">
        <v>0</v>
      </c>
      <c r="P3356" s="17" t="n">
        <v>46078</v>
      </c>
      <c r="Q3356" s="17" t="n">
        <v>46078</v>
      </c>
      <c r="R3356" s="17" t="n">
        <v>46078</v>
      </c>
      <c r="S3356" s="19">
        <f>H3356*I3356</f>
        <v/>
      </c>
      <c r="T3356" s="19">
        <f>H3356*J3356</f>
        <v/>
      </c>
      <c r="U3356">
        <f>IF(AND(K3356=0,G3356&lt;=Assumptions!$C$6),1,0)</f>
        <v/>
      </c>
      <c r="V3356">
        <f>IF(U3356=1,IF(M3356&gt;0,IF(P3356&lt;=G3356+Assumptions!$C$7,1,0),0),0)</f>
        <v/>
      </c>
      <c r="W3356">
        <f>IF(AND(U3356=1,M3356&gt;=H3356*(1-Assumptions!$C$8)),1,0)</f>
        <v/>
      </c>
      <c r="X3356">
        <f>IF(AND(U3356=1,N3356&gt;=H3356*(1-Assumptions!$C$8)),1,0)</f>
        <v/>
      </c>
      <c r="Y3356">
        <f>IF(ISNUMBER(Q3356),1,0)</f>
        <v/>
      </c>
      <c r="Z3356">
        <f>IF(AND(K3356=0,L3356=0,Y3356=0),1,0)</f>
        <v/>
      </c>
      <c r="AA3356">
        <f>IF(AND(Z3356=1,G3356&lt;Assumptions!$C$6),1,0)</f>
        <v/>
      </c>
      <c r="AB3356">
        <f>IF(U3356=0,"",IF(Y3356=1,MAX(0,Q3356-G3356),IF(L3356=1,MAX(0,R3356-G3356),MAX(0,Assumptions!$C$6-G3356))))</f>
        <v/>
      </c>
      <c r="AC3356">
        <f>IF(Y3356=1,Q3356-F3356,"")</f>
        <v/>
      </c>
      <c r="AD3356">
        <f>IF(Y3356=1,AC3356^2,"")</f>
        <v/>
      </c>
      <c r="AE3356" s="19">
        <f>IF(Z3356=1,(H3356-M3356)*I3356,0)</f>
        <v/>
      </c>
      <c r="AF3356">
        <f>IF(G3356&lt;EDATE(Assumptions!$C$6,-12)+1,"prior_12m","last_12m")</f>
        <v/>
      </c>
      <c r="AG3356" s="21">
        <f>DATE(YEAR(G3356),MONTH(G3356),1)</f>
        <v/>
      </c>
    </row>
    <row r="3357">
      <c r="A3357" t="inlineStr">
        <is>
          <t>SPO-01795-1</t>
        </is>
      </c>
      <c r="B3357" t="inlineStr">
        <is>
          <t>SPO-01795</t>
        </is>
      </c>
      <c r="C3357" t="inlineStr">
        <is>
          <t>SUP-06</t>
        </is>
      </c>
      <c r="D3357" t="inlineStr">
        <is>
          <t>MRO</t>
        </is>
      </c>
      <c r="E3357" t="inlineStr">
        <is>
          <t>MRO-05</t>
        </is>
      </c>
      <c r="F3357" s="17" t="n">
        <v>46067</v>
      </c>
      <c r="G3357" s="17" t="n">
        <v>46075</v>
      </c>
      <c r="H3357" s="18" t="n">
        <v>16</v>
      </c>
      <c r="I3357" s="19" t="n">
        <v>36.19</v>
      </c>
      <c r="J3357" s="19" t="n">
        <v>36</v>
      </c>
      <c r="K3357" s="20" t="n">
        <v>0</v>
      </c>
      <c r="L3357" s="20" t="n">
        <v>0</v>
      </c>
      <c r="M3357" s="18" t="n">
        <v>16</v>
      </c>
      <c r="N3357" s="18" t="n">
        <v>16</v>
      </c>
      <c r="O3357" s="18" t="n">
        <v>0</v>
      </c>
      <c r="P3357" s="17" t="n">
        <v>46073</v>
      </c>
      <c r="Q3357" s="17" t="n">
        <v>46073</v>
      </c>
      <c r="R3357" s="17" t="n">
        <v>46073</v>
      </c>
      <c r="S3357" s="19">
        <f>H3357*I3357</f>
        <v/>
      </c>
      <c r="T3357" s="19">
        <f>H3357*J3357</f>
        <v/>
      </c>
      <c r="U3357">
        <f>IF(AND(K3357=0,G3357&lt;=Assumptions!$C$6),1,0)</f>
        <v/>
      </c>
      <c r="V3357">
        <f>IF(U3357=1,IF(M3357&gt;0,IF(P3357&lt;=G3357+Assumptions!$C$7,1,0),0),0)</f>
        <v/>
      </c>
      <c r="W3357">
        <f>IF(AND(U3357=1,M3357&gt;=H3357*(1-Assumptions!$C$8)),1,0)</f>
        <v/>
      </c>
      <c r="X3357">
        <f>IF(AND(U3357=1,N3357&gt;=H3357*(1-Assumptions!$C$8)),1,0)</f>
        <v/>
      </c>
      <c r="Y3357">
        <f>IF(ISNUMBER(Q3357),1,0)</f>
        <v/>
      </c>
      <c r="Z3357">
        <f>IF(AND(K3357=0,L3357=0,Y3357=0),1,0)</f>
        <v/>
      </c>
      <c r="AA3357">
        <f>IF(AND(Z3357=1,G3357&lt;Assumptions!$C$6),1,0)</f>
        <v/>
      </c>
      <c r="AB3357">
        <f>IF(U3357=0,"",IF(Y3357=1,MAX(0,Q3357-G3357),IF(L3357=1,MAX(0,R3357-G3357),MAX(0,Assumptions!$C$6-G3357))))</f>
        <v/>
      </c>
      <c r="AC3357">
        <f>IF(Y3357=1,Q3357-F3357,"")</f>
        <v/>
      </c>
      <c r="AD3357">
        <f>IF(Y3357=1,AC3357^2,"")</f>
        <v/>
      </c>
      <c r="AE3357" s="19">
        <f>IF(Z3357=1,(H3357-M3357)*I3357,0)</f>
        <v/>
      </c>
      <c r="AF3357">
        <f>IF(G3357&lt;EDATE(Assumptions!$C$6,-12)+1,"prior_12m","last_12m")</f>
        <v/>
      </c>
      <c r="AG3357" s="21">
        <f>DATE(YEAR(G3357),MONTH(G3357),1)</f>
        <v/>
      </c>
    </row>
    <row r="3358">
      <c r="A3358" t="inlineStr">
        <is>
          <t>SPO-01796-1</t>
        </is>
      </c>
      <c r="B3358" t="inlineStr">
        <is>
          <t>SPO-01796</t>
        </is>
      </c>
      <c r="C3358" t="inlineStr">
        <is>
          <t>SUP-05</t>
        </is>
      </c>
      <c r="D3358" t="inlineStr">
        <is>
          <t>FLEET</t>
        </is>
      </c>
      <c r="E3358" t="inlineStr">
        <is>
          <t>FLEET-02</t>
        </is>
      </c>
      <c r="F3358" s="17" t="n">
        <v>46067</v>
      </c>
      <c r="G3358" s="17" t="n">
        <v>46081</v>
      </c>
      <c r="H3358" s="18" t="n">
        <v>188</v>
      </c>
      <c r="I3358" s="19" t="n">
        <v>7.46</v>
      </c>
      <c r="J3358" s="19" t="n">
        <v>7.5</v>
      </c>
      <c r="K3358" s="20" t="n">
        <v>0</v>
      </c>
      <c r="L3358" s="20" t="n">
        <v>0</v>
      </c>
      <c r="M3358" s="18" t="n">
        <v>188</v>
      </c>
      <c r="N3358" s="18" t="n">
        <v>188</v>
      </c>
      <c r="O3358" s="18" t="n">
        <v>0</v>
      </c>
      <c r="P3358" s="17" t="n">
        <v>46079</v>
      </c>
      <c r="Q3358" s="17" t="n">
        <v>46079</v>
      </c>
      <c r="R3358" s="17" t="n">
        <v>46079</v>
      </c>
      <c r="S3358" s="19">
        <f>H3358*I3358</f>
        <v/>
      </c>
      <c r="T3358" s="19">
        <f>H3358*J3358</f>
        <v/>
      </c>
      <c r="U3358">
        <f>IF(AND(K3358=0,G3358&lt;=Assumptions!$C$6),1,0)</f>
        <v/>
      </c>
      <c r="V3358">
        <f>IF(U3358=1,IF(M3358&gt;0,IF(P3358&lt;=G3358+Assumptions!$C$7,1,0),0),0)</f>
        <v/>
      </c>
      <c r="W3358">
        <f>IF(AND(U3358=1,M3358&gt;=H3358*(1-Assumptions!$C$8)),1,0)</f>
        <v/>
      </c>
      <c r="X3358">
        <f>IF(AND(U3358=1,N3358&gt;=H3358*(1-Assumptions!$C$8)),1,0)</f>
        <v/>
      </c>
      <c r="Y3358">
        <f>IF(ISNUMBER(Q3358),1,0)</f>
        <v/>
      </c>
      <c r="Z3358">
        <f>IF(AND(K3358=0,L3358=0,Y3358=0),1,0)</f>
        <v/>
      </c>
      <c r="AA3358">
        <f>IF(AND(Z3358=1,G3358&lt;Assumptions!$C$6),1,0)</f>
        <v/>
      </c>
      <c r="AB3358">
        <f>IF(U3358=0,"",IF(Y3358=1,MAX(0,Q3358-G3358),IF(L3358=1,MAX(0,R3358-G3358),MAX(0,Assumptions!$C$6-G3358))))</f>
        <v/>
      </c>
      <c r="AC3358">
        <f>IF(Y3358=1,Q3358-F3358,"")</f>
        <v/>
      </c>
      <c r="AD3358">
        <f>IF(Y3358=1,AC3358^2,"")</f>
        <v/>
      </c>
      <c r="AE3358" s="19">
        <f>IF(Z3358=1,(H3358-M3358)*I3358,0)</f>
        <v/>
      </c>
      <c r="AF3358">
        <f>IF(G3358&lt;EDATE(Assumptions!$C$6,-12)+1,"prior_12m","last_12m")</f>
        <v/>
      </c>
      <c r="AG3358" s="21">
        <f>DATE(YEAR(G3358),MONTH(G3358),1)</f>
        <v/>
      </c>
    </row>
    <row r="3359">
      <c r="A3359" t="inlineStr">
        <is>
          <t>SPO-01796-2</t>
        </is>
      </c>
      <c r="B3359" t="inlineStr">
        <is>
          <t>SPO-01796</t>
        </is>
      </c>
      <c r="C3359" t="inlineStr">
        <is>
          <t>SUP-05</t>
        </is>
      </c>
      <c r="D3359" t="inlineStr">
        <is>
          <t>FLEET</t>
        </is>
      </c>
      <c r="E3359" t="inlineStr">
        <is>
          <t>FLEET-08</t>
        </is>
      </c>
      <c r="F3359" s="17" t="n">
        <v>46067</v>
      </c>
      <c r="G3359" s="17" t="n">
        <v>46081</v>
      </c>
      <c r="H3359" s="18" t="n">
        <v>308</v>
      </c>
      <c r="I3359" s="19" t="n">
        <v>6.67</v>
      </c>
      <c r="J3359" s="19" t="n">
        <v>6.4</v>
      </c>
      <c r="K3359" s="20" t="n">
        <v>0</v>
      </c>
      <c r="L3359" s="20" t="n">
        <v>0</v>
      </c>
      <c r="M3359" s="18" t="n">
        <v>308</v>
      </c>
      <c r="N3359" s="18" t="n">
        <v>233</v>
      </c>
      <c r="O3359" s="18" t="n">
        <v>0</v>
      </c>
      <c r="P3359" s="17" t="n">
        <v>46080</v>
      </c>
      <c r="Q3359" s="17" t="n">
        <v>46098</v>
      </c>
      <c r="R3359" s="17" t="n">
        <v>46098</v>
      </c>
      <c r="S3359" s="19">
        <f>H3359*I3359</f>
        <v/>
      </c>
      <c r="T3359" s="19">
        <f>H3359*J3359</f>
        <v/>
      </c>
      <c r="U3359">
        <f>IF(AND(K3359=0,G3359&lt;=Assumptions!$C$6),1,0)</f>
        <v/>
      </c>
      <c r="V3359">
        <f>IF(U3359=1,IF(M3359&gt;0,IF(P3359&lt;=G3359+Assumptions!$C$7,1,0),0),0)</f>
        <v/>
      </c>
      <c r="W3359">
        <f>IF(AND(U3359=1,M3359&gt;=H3359*(1-Assumptions!$C$8)),1,0)</f>
        <v/>
      </c>
      <c r="X3359">
        <f>IF(AND(U3359=1,N3359&gt;=H3359*(1-Assumptions!$C$8)),1,0)</f>
        <v/>
      </c>
      <c r="Y3359">
        <f>IF(ISNUMBER(Q3359),1,0)</f>
        <v/>
      </c>
      <c r="Z3359">
        <f>IF(AND(K3359=0,L3359=0,Y3359=0),1,0)</f>
        <v/>
      </c>
      <c r="AA3359">
        <f>IF(AND(Z3359=1,G3359&lt;Assumptions!$C$6),1,0)</f>
        <v/>
      </c>
      <c r="AB3359">
        <f>IF(U3359=0,"",IF(Y3359=1,MAX(0,Q3359-G3359),IF(L3359=1,MAX(0,R3359-G3359),MAX(0,Assumptions!$C$6-G3359))))</f>
        <v/>
      </c>
      <c r="AC3359">
        <f>IF(Y3359=1,Q3359-F3359,"")</f>
        <v/>
      </c>
      <c r="AD3359">
        <f>IF(Y3359=1,AC3359^2,"")</f>
        <v/>
      </c>
      <c r="AE3359" s="19">
        <f>IF(Z3359=1,(H3359-M3359)*I3359,0)</f>
        <v/>
      </c>
      <c r="AF3359">
        <f>IF(G3359&lt;EDATE(Assumptions!$C$6,-12)+1,"prior_12m","last_12m")</f>
        <v/>
      </c>
      <c r="AG3359" s="21">
        <f>DATE(YEAR(G3359),MONTH(G3359),1)</f>
        <v/>
      </c>
    </row>
    <row r="3360">
      <c r="A3360" t="inlineStr">
        <is>
          <t>SPO-01797-1</t>
        </is>
      </c>
      <c r="B3360" t="inlineStr">
        <is>
          <t>SPO-01797</t>
        </is>
      </c>
      <c r="C3360" t="inlineStr">
        <is>
          <t>SUP-14</t>
        </is>
      </c>
      <c r="D3360" t="inlineStr">
        <is>
          <t>FLEET</t>
        </is>
      </c>
      <c r="E3360" t="inlineStr">
        <is>
          <t>FLEET-07</t>
        </is>
      </c>
      <c r="F3360" s="17" t="n">
        <v>46067</v>
      </c>
      <c r="G3360" s="17" t="n">
        <v>46081</v>
      </c>
      <c r="H3360" s="18" t="n">
        <v>17</v>
      </c>
      <c r="I3360" s="19" t="n">
        <v>120.21</v>
      </c>
      <c r="J3360" s="19" t="n">
        <v>118</v>
      </c>
      <c r="K3360" s="20" t="n">
        <v>0</v>
      </c>
      <c r="L3360" s="20" t="n">
        <v>0</v>
      </c>
      <c r="M3360" s="18" t="n">
        <v>17</v>
      </c>
      <c r="N3360" s="18" t="n">
        <v>0</v>
      </c>
      <c r="O3360" s="18" t="n">
        <v>0</v>
      </c>
      <c r="P3360" s="17" t="n">
        <v>46082</v>
      </c>
      <c r="Q3360" s="17" t="n">
        <v>46082</v>
      </c>
      <c r="R3360" s="17" t="n">
        <v>46082</v>
      </c>
      <c r="S3360" s="19">
        <f>H3360*I3360</f>
        <v/>
      </c>
      <c r="T3360" s="19">
        <f>H3360*J3360</f>
        <v/>
      </c>
      <c r="U3360">
        <f>IF(AND(K3360=0,G3360&lt;=Assumptions!$C$6),1,0)</f>
        <v/>
      </c>
      <c r="V3360">
        <f>IF(U3360=1,IF(M3360&gt;0,IF(P3360&lt;=G3360+Assumptions!$C$7,1,0),0),0)</f>
        <v/>
      </c>
      <c r="W3360">
        <f>IF(AND(U3360=1,M3360&gt;=H3360*(1-Assumptions!$C$8)),1,0)</f>
        <v/>
      </c>
      <c r="X3360">
        <f>IF(AND(U3360=1,N3360&gt;=H3360*(1-Assumptions!$C$8)),1,0)</f>
        <v/>
      </c>
      <c r="Y3360">
        <f>IF(ISNUMBER(Q3360),1,0)</f>
        <v/>
      </c>
      <c r="Z3360">
        <f>IF(AND(K3360=0,L3360=0,Y3360=0),1,0)</f>
        <v/>
      </c>
      <c r="AA3360">
        <f>IF(AND(Z3360=1,G3360&lt;Assumptions!$C$6),1,0)</f>
        <v/>
      </c>
      <c r="AB3360">
        <f>IF(U3360=0,"",IF(Y3360=1,MAX(0,Q3360-G3360),IF(L3360=1,MAX(0,R3360-G3360),MAX(0,Assumptions!$C$6-G3360))))</f>
        <v/>
      </c>
      <c r="AC3360">
        <f>IF(Y3360=1,Q3360-F3360,"")</f>
        <v/>
      </c>
      <c r="AD3360">
        <f>IF(Y3360=1,AC3360^2,"")</f>
        <v/>
      </c>
      <c r="AE3360" s="19">
        <f>IF(Z3360=1,(H3360-M3360)*I3360,0)</f>
        <v/>
      </c>
      <c r="AF3360">
        <f>IF(G3360&lt;EDATE(Assumptions!$C$6,-12)+1,"prior_12m","last_12m")</f>
        <v/>
      </c>
      <c r="AG3360" s="21">
        <f>DATE(YEAR(G3360),MONTH(G3360),1)</f>
        <v/>
      </c>
    </row>
    <row r="3361">
      <c r="A3361" t="inlineStr">
        <is>
          <t>SPO-01797-2</t>
        </is>
      </c>
      <c r="B3361" t="inlineStr">
        <is>
          <t>SPO-01797</t>
        </is>
      </c>
      <c r="C3361" t="inlineStr">
        <is>
          <t>SUP-14</t>
        </is>
      </c>
      <c r="D3361" t="inlineStr">
        <is>
          <t>FLEET</t>
        </is>
      </c>
      <c r="E3361" t="inlineStr">
        <is>
          <t>FLEET-04</t>
        </is>
      </c>
      <c r="F3361" s="17" t="n">
        <v>46067</v>
      </c>
      <c r="G3361" s="17" t="n">
        <v>46081</v>
      </c>
      <c r="H3361" s="18" t="n">
        <v>180</v>
      </c>
      <c r="I3361" s="19" t="n">
        <v>9.109999999999999</v>
      </c>
      <c r="J3361" s="19" t="n">
        <v>9</v>
      </c>
      <c r="K3361" s="20" t="n">
        <v>0</v>
      </c>
      <c r="L3361" s="20" t="n">
        <v>0</v>
      </c>
      <c r="M3361" s="18" t="n">
        <v>180</v>
      </c>
      <c r="N3361" s="18" t="n">
        <v>180</v>
      </c>
      <c r="O3361" s="18" t="n">
        <v>0</v>
      </c>
      <c r="P3361" s="17" t="n">
        <v>46077</v>
      </c>
      <c r="Q3361" s="17" t="n">
        <v>46077</v>
      </c>
      <c r="R3361" s="17" t="n">
        <v>46077</v>
      </c>
      <c r="S3361" s="19">
        <f>H3361*I3361</f>
        <v/>
      </c>
      <c r="T3361" s="19">
        <f>H3361*J3361</f>
        <v/>
      </c>
      <c r="U3361">
        <f>IF(AND(K3361=0,G3361&lt;=Assumptions!$C$6),1,0)</f>
        <v/>
      </c>
      <c r="V3361">
        <f>IF(U3361=1,IF(M3361&gt;0,IF(P3361&lt;=G3361+Assumptions!$C$7,1,0),0),0)</f>
        <v/>
      </c>
      <c r="W3361">
        <f>IF(AND(U3361=1,M3361&gt;=H3361*(1-Assumptions!$C$8)),1,0)</f>
        <v/>
      </c>
      <c r="X3361">
        <f>IF(AND(U3361=1,N3361&gt;=H3361*(1-Assumptions!$C$8)),1,0)</f>
        <v/>
      </c>
      <c r="Y3361">
        <f>IF(ISNUMBER(Q3361),1,0)</f>
        <v/>
      </c>
      <c r="Z3361">
        <f>IF(AND(K3361=0,L3361=0,Y3361=0),1,0)</f>
        <v/>
      </c>
      <c r="AA3361">
        <f>IF(AND(Z3361=1,G3361&lt;Assumptions!$C$6),1,0)</f>
        <v/>
      </c>
      <c r="AB3361">
        <f>IF(U3361=0,"",IF(Y3361=1,MAX(0,Q3361-G3361),IF(L3361=1,MAX(0,R3361-G3361),MAX(0,Assumptions!$C$6-G3361))))</f>
        <v/>
      </c>
      <c r="AC3361">
        <f>IF(Y3361=1,Q3361-F3361,"")</f>
        <v/>
      </c>
      <c r="AD3361">
        <f>IF(Y3361=1,AC3361^2,"")</f>
        <v/>
      </c>
      <c r="AE3361" s="19">
        <f>IF(Z3361=1,(H3361-M3361)*I3361,0)</f>
        <v/>
      </c>
      <c r="AF3361">
        <f>IF(G3361&lt;EDATE(Assumptions!$C$6,-12)+1,"prior_12m","last_12m")</f>
        <v/>
      </c>
      <c r="AG3361" s="21">
        <f>DATE(YEAR(G3361),MONTH(G3361),1)</f>
        <v/>
      </c>
    </row>
    <row r="3362">
      <c r="A3362" t="inlineStr">
        <is>
          <t>SPO-01798-1</t>
        </is>
      </c>
      <c r="B3362" t="inlineStr">
        <is>
          <t>SPO-01798</t>
        </is>
      </c>
      <c r="C3362" t="inlineStr">
        <is>
          <t>SUP-10</t>
        </is>
      </c>
      <c r="D3362" t="inlineStr">
        <is>
          <t>PPE</t>
        </is>
      </c>
      <c r="E3362" t="inlineStr">
        <is>
          <t>PPE-06</t>
        </is>
      </c>
      <c r="F3362" s="17" t="n">
        <v>46067</v>
      </c>
      <c r="G3362" s="17" t="n">
        <v>46080</v>
      </c>
      <c r="H3362" s="18" t="n">
        <v>34</v>
      </c>
      <c r="I3362" s="19" t="n">
        <v>112.61</v>
      </c>
      <c r="J3362" s="19" t="n">
        <v>115</v>
      </c>
      <c r="K3362" s="20" t="n">
        <v>0</v>
      </c>
      <c r="L3362" s="20" t="n">
        <v>0</v>
      </c>
      <c r="M3362" s="18" t="n">
        <v>34</v>
      </c>
      <c r="N3362" s="18" t="n">
        <v>34</v>
      </c>
      <c r="O3362" s="18" t="n">
        <v>0</v>
      </c>
      <c r="P3362" s="17" t="n">
        <v>46078</v>
      </c>
      <c r="Q3362" s="17" t="n">
        <v>46078</v>
      </c>
      <c r="R3362" s="17" t="n">
        <v>46078</v>
      </c>
      <c r="S3362" s="19">
        <f>H3362*I3362</f>
        <v/>
      </c>
      <c r="T3362" s="19">
        <f>H3362*J3362</f>
        <v/>
      </c>
      <c r="U3362">
        <f>IF(AND(K3362=0,G3362&lt;=Assumptions!$C$6),1,0)</f>
        <v/>
      </c>
      <c r="V3362">
        <f>IF(U3362=1,IF(M3362&gt;0,IF(P3362&lt;=G3362+Assumptions!$C$7,1,0),0),0)</f>
        <v/>
      </c>
      <c r="W3362">
        <f>IF(AND(U3362=1,M3362&gt;=H3362*(1-Assumptions!$C$8)),1,0)</f>
        <v/>
      </c>
      <c r="X3362">
        <f>IF(AND(U3362=1,N3362&gt;=H3362*(1-Assumptions!$C$8)),1,0)</f>
        <v/>
      </c>
      <c r="Y3362">
        <f>IF(ISNUMBER(Q3362),1,0)</f>
        <v/>
      </c>
      <c r="Z3362">
        <f>IF(AND(K3362=0,L3362=0,Y3362=0),1,0)</f>
        <v/>
      </c>
      <c r="AA3362">
        <f>IF(AND(Z3362=1,G3362&lt;Assumptions!$C$6),1,0)</f>
        <v/>
      </c>
      <c r="AB3362">
        <f>IF(U3362=0,"",IF(Y3362=1,MAX(0,Q3362-G3362),IF(L3362=1,MAX(0,R3362-G3362),MAX(0,Assumptions!$C$6-G3362))))</f>
        <v/>
      </c>
      <c r="AC3362">
        <f>IF(Y3362=1,Q3362-F3362,"")</f>
        <v/>
      </c>
      <c r="AD3362">
        <f>IF(Y3362=1,AC3362^2,"")</f>
        <v/>
      </c>
      <c r="AE3362" s="19">
        <f>IF(Z3362=1,(H3362-M3362)*I3362,0)</f>
        <v/>
      </c>
      <c r="AF3362">
        <f>IF(G3362&lt;EDATE(Assumptions!$C$6,-12)+1,"prior_12m","last_12m")</f>
        <v/>
      </c>
      <c r="AG3362" s="21">
        <f>DATE(YEAR(G3362),MONTH(G3362),1)</f>
        <v/>
      </c>
    </row>
    <row r="3363">
      <c r="A3363" t="inlineStr">
        <is>
          <t>SPO-01798-2</t>
        </is>
      </c>
      <c r="B3363" t="inlineStr">
        <is>
          <t>SPO-01798</t>
        </is>
      </c>
      <c r="C3363" t="inlineStr">
        <is>
          <t>SUP-10</t>
        </is>
      </c>
      <c r="D3363" t="inlineStr">
        <is>
          <t>PPE</t>
        </is>
      </c>
      <c r="E3363" t="inlineStr">
        <is>
          <t>PPE-04</t>
        </is>
      </c>
      <c r="F3363" s="17" t="n">
        <v>46067</v>
      </c>
      <c r="G3363" s="17" t="n">
        <v>46080</v>
      </c>
      <c r="H3363" s="18" t="n">
        <v>35</v>
      </c>
      <c r="I3363" s="19" t="n">
        <v>26.02</v>
      </c>
      <c r="J3363" s="19" t="n">
        <v>26</v>
      </c>
      <c r="K3363" s="20" t="n">
        <v>0</v>
      </c>
      <c r="L3363" s="20" t="n">
        <v>0</v>
      </c>
      <c r="M3363" s="18" t="n">
        <v>35</v>
      </c>
      <c r="N3363" s="18" t="n">
        <v>35</v>
      </c>
      <c r="O3363" s="18" t="n">
        <v>0</v>
      </c>
      <c r="P3363" s="17" t="n">
        <v>46075</v>
      </c>
      <c r="Q3363" s="17" t="n">
        <v>46075</v>
      </c>
      <c r="R3363" s="17" t="n">
        <v>46075</v>
      </c>
      <c r="S3363" s="19">
        <f>H3363*I3363</f>
        <v/>
      </c>
      <c r="T3363" s="19">
        <f>H3363*J3363</f>
        <v/>
      </c>
      <c r="U3363">
        <f>IF(AND(K3363=0,G3363&lt;=Assumptions!$C$6),1,0)</f>
        <v/>
      </c>
      <c r="V3363">
        <f>IF(U3363=1,IF(M3363&gt;0,IF(P3363&lt;=G3363+Assumptions!$C$7,1,0),0),0)</f>
        <v/>
      </c>
      <c r="W3363">
        <f>IF(AND(U3363=1,M3363&gt;=H3363*(1-Assumptions!$C$8)),1,0)</f>
        <v/>
      </c>
      <c r="X3363">
        <f>IF(AND(U3363=1,N3363&gt;=H3363*(1-Assumptions!$C$8)),1,0)</f>
        <v/>
      </c>
      <c r="Y3363">
        <f>IF(ISNUMBER(Q3363),1,0)</f>
        <v/>
      </c>
      <c r="Z3363">
        <f>IF(AND(K3363=0,L3363=0,Y3363=0),1,0)</f>
        <v/>
      </c>
      <c r="AA3363">
        <f>IF(AND(Z3363=1,G3363&lt;Assumptions!$C$6),1,0)</f>
        <v/>
      </c>
      <c r="AB3363">
        <f>IF(U3363=0,"",IF(Y3363=1,MAX(0,Q3363-G3363),IF(L3363=1,MAX(0,R3363-G3363),MAX(0,Assumptions!$C$6-G3363))))</f>
        <v/>
      </c>
      <c r="AC3363">
        <f>IF(Y3363=1,Q3363-F3363,"")</f>
        <v/>
      </c>
      <c r="AD3363">
        <f>IF(Y3363=1,AC3363^2,"")</f>
        <v/>
      </c>
      <c r="AE3363" s="19">
        <f>IF(Z3363=1,(H3363-M3363)*I3363,0)</f>
        <v/>
      </c>
      <c r="AF3363">
        <f>IF(G3363&lt;EDATE(Assumptions!$C$6,-12)+1,"prior_12m","last_12m")</f>
        <v/>
      </c>
      <c r="AG3363" s="21">
        <f>DATE(YEAR(G3363),MONTH(G3363),1)</f>
        <v/>
      </c>
    </row>
    <row r="3364">
      <c r="A3364" t="inlineStr">
        <is>
          <t>SPO-01799-1</t>
        </is>
      </c>
      <c r="B3364" t="inlineStr">
        <is>
          <t>SPO-01799</t>
        </is>
      </c>
      <c r="C3364" t="inlineStr">
        <is>
          <t>SUP-06</t>
        </is>
      </c>
      <c r="D3364" t="inlineStr">
        <is>
          <t>MRO</t>
        </is>
      </c>
      <c r="E3364" t="inlineStr">
        <is>
          <t>MRO-06</t>
        </is>
      </c>
      <c r="F3364" s="17" t="n">
        <v>46067</v>
      </c>
      <c r="G3364" s="17" t="n">
        <v>46075</v>
      </c>
      <c r="H3364" s="18" t="n">
        <v>199</v>
      </c>
      <c r="I3364" s="19" t="n">
        <v>6.23</v>
      </c>
      <c r="J3364" s="19" t="n">
        <v>6.1</v>
      </c>
      <c r="K3364" s="20" t="n">
        <v>0</v>
      </c>
      <c r="L3364" s="20" t="n">
        <v>0</v>
      </c>
      <c r="M3364" s="18" t="n">
        <v>199</v>
      </c>
      <c r="N3364" s="18" t="n">
        <v>199</v>
      </c>
      <c r="O3364" s="18" t="n">
        <v>0</v>
      </c>
      <c r="P3364" s="17" t="n">
        <v>46073</v>
      </c>
      <c r="Q3364" s="17" t="n">
        <v>46073</v>
      </c>
      <c r="R3364" s="17" t="n">
        <v>46073</v>
      </c>
      <c r="S3364" s="19">
        <f>H3364*I3364</f>
        <v/>
      </c>
      <c r="T3364" s="19">
        <f>H3364*J3364</f>
        <v/>
      </c>
      <c r="U3364">
        <f>IF(AND(K3364=0,G3364&lt;=Assumptions!$C$6),1,0)</f>
        <v/>
      </c>
      <c r="V3364">
        <f>IF(U3364=1,IF(M3364&gt;0,IF(P3364&lt;=G3364+Assumptions!$C$7,1,0),0),0)</f>
        <v/>
      </c>
      <c r="W3364">
        <f>IF(AND(U3364=1,M3364&gt;=H3364*(1-Assumptions!$C$8)),1,0)</f>
        <v/>
      </c>
      <c r="X3364">
        <f>IF(AND(U3364=1,N3364&gt;=H3364*(1-Assumptions!$C$8)),1,0)</f>
        <v/>
      </c>
      <c r="Y3364">
        <f>IF(ISNUMBER(Q3364),1,0)</f>
        <v/>
      </c>
      <c r="Z3364">
        <f>IF(AND(K3364=0,L3364=0,Y3364=0),1,0)</f>
        <v/>
      </c>
      <c r="AA3364">
        <f>IF(AND(Z3364=1,G3364&lt;Assumptions!$C$6),1,0)</f>
        <v/>
      </c>
      <c r="AB3364">
        <f>IF(U3364=0,"",IF(Y3364=1,MAX(0,Q3364-G3364),IF(L3364=1,MAX(0,R3364-G3364),MAX(0,Assumptions!$C$6-G3364))))</f>
        <v/>
      </c>
      <c r="AC3364">
        <f>IF(Y3364=1,Q3364-F3364,"")</f>
        <v/>
      </c>
      <c r="AD3364">
        <f>IF(Y3364=1,AC3364^2,"")</f>
        <v/>
      </c>
      <c r="AE3364" s="19">
        <f>IF(Z3364=1,(H3364-M3364)*I3364,0)</f>
        <v/>
      </c>
      <c r="AF3364">
        <f>IF(G3364&lt;EDATE(Assumptions!$C$6,-12)+1,"prior_12m","last_12m")</f>
        <v/>
      </c>
      <c r="AG3364" s="21">
        <f>DATE(YEAR(G3364),MONTH(G3364),1)</f>
        <v/>
      </c>
    </row>
    <row r="3365">
      <c r="A3365" t="inlineStr">
        <is>
          <t>SPO-01799-2</t>
        </is>
      </c>
      <c r="B3365" t="inlineStr">
        <is>
          <t>SPO-01799</t>
        </is>
      </c>
      <c r="C3365" t="inlineStr">
        <is>
          <t>SUP-06</t>
        </is>
      </c>
      <c r="D3365" t="inlineStr">
        <is>
          <t>MRO</t>
        </is>
      </c>
      <c r="E3365" t="inlineStr">
        <is>
          <t>MRO-04</t>
        </is>
      </c>
      <c r="F3365" s="17" t="n">
        <v>46067</v>
      </c>
      <c r="G3365" s="17" t="n">
        <v>46075</v>
      </c>
      <c r="H3365" s="18" t="n">
        <v>16</v>
      </c>
      <c r="I3365" s="19" t="n">
        <v>55.97</v>
      </c>
      <c r="J3365" s="19" t="n">
        <v>58</v>
      </c>
      <c r="K3365" s="20" t="n">
        <v>0</v>
      </c>
      <c r="L3365" s="20" t="n">
        <v>0</v>
      </c>
      <c r="M3365" s="18" t="n">
        <v>16</v>
      </c>
      <c r="N3365" s="18" t="n">
        <v>16</v>
      </c>
      <c r="O3365" s="18" t="n">
        <v>0</v>
      </c>
      <c r="P3365" s="17" t="n">
        <v>46074</v>
      </c>
      <c r="Q3365" s="17" t="n">
        <v>46074</v>
      </c>
      <c r="R3365" s="17" t="n">
        <v>46074</v>
      </c>
      <c r="S3365" s="19">
        <f>H3365*I3365</f>
        <v/>
      </c>
      <c r="T3365" s="19">
        <f>H3365*J3365</f>
        <v/>
      </c>
      <c r="U3365">
        <f>IF(AND(K3365=0,G3365&lt;=Assumptions!$C$6),1,0)</f>
        <v/>
      </c>
      <c r="V3365">
        <f>IF(U3365=1,IF(M3365&gt;0,IF(P3365&lt;=G3365+Assumptions!$C$7,1,0),0),0)</f>
        <v/>
      </c>
      <c r="W3365">
        <f>IF(AND(U3365=1,M3365&gt;=H3365*(1-Assumptions!$C$8)),1,0)</f>
        <v/>
      </c>
      <c r="X3365">
        <f>IF(AND(U3365=1,N3365&gt;=H3365*(1-Assumptions!$C$8)),1,0)</f>
        <v/>
      </c>
      <c r="Y3365">
        <f>IF(ISNUMBER(Q3365),1,0)</f>
        <v/>
      </c>
      <c r="Z3365">
        <f>IF(AND(K3365=0,L3365=0,Y3365=0),1,0)</f>
        <v/>
      </c>
      <c r="AA3365">
        <f>IF(AND(Z3365=1,G3365&lt;Assumptions!$C$6),1,0)</f>
        <v/>
      </c>
      <c r="AB3365">
        <f>IF(U3365=0,"",IF(Y3365=1,MAX(0,Q3365-G3365),IF(L3365=1,MAX(0,R3365-G3365),MAX(0,Assumptions!$C$6-G3365))))</f>
        <v/>
      </c>
      <c r="AC3365">
        <f>IF(Y3365=1,Q3365-F3365,"")</f>
        <v/>
      </c>
      <c r="AD3365">
        <f>IF(Y3365=1,AC3365^2,"")</f>
        <v/>
      </c>
      <c r="AE3365" s="19">
        <f>IF(Z3365=1,(H3365-M3365)*I3365,0)</f>
        <v/>
      </c>
      <c r="AF3365">
        <f>IF(G3365&lt;EDATE(Assumptions!$C$6,-12)+1,"prior_12m","last_12m")</f>
        <v/>
      </c>
      <c r="AG3365" s="21">
        <f>DATE(YEAR(G3365),MONTH(G3365),1)</f>
        <v/>
      </c>
    </row>
    <row r="3366">
      <c r="A3366" t="inlineStr">
        <is>
          <t>SPO-01799-3</t>
        </is>
      </c>
      <c r="B3366" t="inlineStr">
        <is>
          <t>SPO-01799</t>
        </is>
      </c>
      <c r="C3366" t="inlineStr">
        <is>
          <t>SUP-06</t>
        </is>
      </c>
      <c r="D3366" t="inlineStr">
        <is>
          <t>MRO</t>
        </is>
      </c>
      <c r="E3366" t="inlineStr">
        <is>
          <t>MRO-05</t>
        </is>
      </c>
      <c r="F3366" s="17" t="n">
        <v>46067</v>
      </c>
      <c r="G3366" s="17" t="n">
        <v>46075</v>
      </c>
      <c r="H3366" s="18" t="n">
        <v>44</v>
      </c>
      <c r="I3366" s="19" t="n">
        <v>34.44</v>
      </c>
      <c r="J3366" s="19" t="n">
        <v>36</v>
      </c>
      <c r="K3366" s="20" t="n">
        <v>0</v>
      </c>
      <c r="L3366" s="20" t="n">
        <v>0</v>
      </c>
      <c r="M3366" s="18" t="n">
        <v>44</v>
      </c>
      <c r="N3366" s="18" t="n">
        <v>44</v>
      </c>
      <c r="O3366" s="18" t="n">
        <v>0</v>
      </c>
      <c r="P3366" s="17" t="n">
        <v>46072</v>
      </c>
      <c r="Q3366" s="17" t="n">
        <v>46072</v>
      </c>
      <c r="R3366" s="17" t="n">
        <v>46072</v>
      </c>
      <c r="S3366" s="19">
        <f>H3366*I3366</f>
        <v/>
      </c>
      <c r="T3366" s="19">
        <f>H3366*J3366</f>
        <v/>
      </c>
      <c r="U3366">
        <f>IF(AND(K3366=0,G3366&lt;=Assumptions!$C$6),1,0)</f>
        <v/>
      </c>
      <c r="V3366">
        <f>IF(U3366=1,IF(M3366&gt;0,IF(P3366&lt;=G3366+Assumptions!$C$7,1,0),0),0)</f>
        <v/>
      </c>
      <c r="W3366">
        <f>IF(AND(U3366=1,M3366&gt;=H3366*(1-Assumptions!$C$8)),1,0)</f>
        <v/>
      </c>
      <c r="X3366">
        <f>IF(AND(U3366=1,N3366&gt;=H3366*(1-Assumptions!$C$8)),1,0)</f>
        <v/>
      </c>
      <c r="Y3366">
        <f>IF(ISNUMBER(Q3366),1,0)</f>
        <v/>
      </c>
      <c r="Z3366">
        <f>IF(AND(K3366=0,L3366=0,Y3366=0),1,0)</f>
        <v/>
      </c>
      <c r="AA3366">
        <f>IF(AND(Z3366=1,G3366&lt;Assumptions!$C$6),1,0)</f>
        <v/>
      </c>
      <c r="AB3366">
        <f>IF(U3366=0,"",IF(Y3366=1,MAX(0,Q3366-G3366),IF(L3366=1,MAX(0,R3366-G3366),MAX(0,Assumptions!$C$6-G3366))))</f>
        <v/>
      </c>
      <c r="AC3366">
        <f>IF(Y3366=1,Q3366-F3366,"")</f>
        <v/>
      </c>
      <c r="AD3366">
        <f>IF(Y3366=1,AC3366^2,"")</f>
        <v/>
      </c>
      <c r="AE3366" s="19">
        <f>IF(Z3366=1,(H3366-M3366)*I3366,0)</f>
        <v/>
      </c>
      <c r="AF3366">
        <f>IF(G3366&lt;EDATE(Assumptions!$C$6,-12)+1,"prior_12m","last_12m")</f>
        <v/>
      </c>
      <c r="AG3366" s="21">
        <f>DATE(YEAR(G3366),MONTH(G3366),1)</f>
        <v/>
      </c>
    </row>
    <row r="3367">
      <c r="A3367" t="inlineStr">
        <is>
          <t>SPO-01800-1</t>
        </is>
      </c>
      <c r="B3367" t="inlineStr">
        <is>
          <t>SPO-01800</t>
        </is>
      </c>
      <c r="C3367" t="inlineStr">
        <is>
          <t>SUP-02</t>
        </is>
      </c>
      <c r="D3367" t="inlineStr">
        <is>
          <t>ELEC</t>
        </is>
      </c>
      <c r="E3367" t="inlineStr">
        <is>
          <t>ELEC-07</t>
        </is>
      </c>
      <c r="F3367" s="17" t="n">
        <v>46068</v>
      </c>
      <c r="G3367" s="17" t="n">
        <v>46084</v>
      </c>
      <c r="H3367" s="18" t="n">
        <v>120</v>
      </c>
      <c r="I3367" s="19" t="n">
        <v>9.630000000000001</v>
      </c>
      <c r="J3367" s="19" t="n">
        <v>9.800000000000001</v>
      </c>
      <c r="K3367" s="20" t="n">
        <v>0</v>
      </c>
      <c r="L3367" s="20" t="n">
        <v>0</v>
      </c>
      <c r="M3367" s="18" t="n">
        <v>120</v>
      </c>
      <c r="N3367" s="18" t="n">
        <v>120</v>
      </c>
      <c r="O3367" s="18" t="n">
        <v>0</v>
      </c>
      <c r="P3367" s="17" t="n">
        <v>46083</v>
      </c>
      <c r="Q3367" s="17" t="n">
        <v>46083</v>
      </c>
      <c r="R3367" s="17" t="n">
        <v>46083</v>
      </c>
      <c r="S3367" s="19">
        <f>H3367*I3367</f>
        <v/>
      </c>
      <c r="T3367" s="19">
        <f>H3367*J3367</f>
        <v/>
      </c>
      <c r="U3367">
        <f>IF(AND(K3367=0,G3367&lt;=Assumptions!$C$6),1,0)</f>
        <v/>
      </c>
      <c r="V3367">
        <f>IF(U3367=1,IF(M3367&gt;0,IF(P3367&lt;=G3367+Assumptions!$C$7,1,0),0),0)</f>
        <v/>
      </c>
      <c r="W3367">
        <f>IF(AND(U3367=1,M3367&gt;=H3367*(1-Assumptions!$C$8)),1,0)</f>
        <v/>
      </c>
      <c r="X3367">
        <f>IF(AND(U3367=1,N3367&gt;=H3367*(1-Assumptions!$C$8)),1,0)</f>
        <v/>
      </c>
      <c r="Y3367">
        <f>IF(ISNUMBER(Q3367),1,0)</f>
        <v/>
      </c>
      <c r="Z3367">
        <f>IF(AND(K3367=0,L3367=0,Y3367=0),1,0)</f>
        <v/>
      </c>
      <c r="AA3367">
        <f>IF(AND(Z3367=1,G3367&lt;Assumptions!$C$6),1,0)</f>
        <v/>
      </c>
      <c r="AB3367">
        <f>IF(U3367=0,"",IF(Y3367=1,MAX(0,Q3367-G3367),IF(L3367=1,MAX(0,R3367-G3367),MAX(0,Assumptions!$C$6-G3367))))</f>
        <v/>
      </c>
      <c r="AC3367">
        <f>IF(Y3367=1,Q3367-F3367,"")</f>
        <v/>
      </c>
      <c r="AD3367">
        <f>IF(Y3367=1,AC3367^2,"")</f>
        <v/>
      </c>
      <c r="AE3367" s="19">
        <f>IF(Z3367=1,(H3367-M3367)*I3367,0)</f>
        <v/>
      </c>
      <c r="AF3367">
        <f>IF(G3367&lt;EDATE(Assumptions!$C$6,-12)+1,"prior_12m","last_12m")</f>
        <v/>
      </c>
      <c r="AG3367" s="21">
        <f>DATE(YEAR(G3367),MONTH(G3367),1)</f>
        <v/>
      </c>
    </row>
    <row r="3368">
      <c r="A3368" t="inlineStr">
        <is>
          <t>SPO-01801-1</t>
        </is>
      </c>
      <c r="B3368" t="inlineStr">
        <is>
          <t>SPO-01801</t>
        </is>
      </c>
      <c r="C3368" t="inlineStr">
        <is>
          <t>SUP-02</t>
        </is>
      </c>
      <c r="D3368" t="inlineStr">
        <is>
          <t>ELEC</t>
        </is>
      </c>
      <c r="E3368" t="inlineStr">
        <is>
          <t>ELEC-05</t>
        </is>
      </c>
      <c r="F3368" s="17" t="n">
        <v>46068</v>
      </c>
      <c r="G3368" s="17" t="n">
        <v>46084</v>
      </c>
      <c r="H3368" s="18" t="n">
        <v>76</v>
      </c>
      <c r="I3368" s="19" t="n">
        <v>11.11</v>
      </c>
      <c r="J3368" s="19" t="n">
        <v>11.5</v>
      </c>
      <c r="K3368" s="20" t="n">
        <v>0</v>
      </c>
      <c r="L3368" s="20" t="n">
        <v>0</v>
      </c>
      <c r="M3368" s="18" t="n">
        <v>76</v>
      </c>
      <c r="N3368" s="18" t="n">
        <v>76</v>
      </c>
      <c r="O3368" s="18" t="n">
        <v>0</v>
      </c>
      <c r="P3368" s="17" t="n">
        <v>46079</v>
      </c>
      <c r="Q3368" s="17" t="n">
        <v>46079</v>
      </c>
      <c r="R3368" s="17" t="n">
        <v>46079</v>
      </c>
      <c r="S3368" s="19">
        <f>H3368*I3368</f>
        <v/>
      </c>
      <c r="T3368" s="19">
        <f>H3368*J3368</f>
        <v/>
      </c>
      <c r="U3368">
        <f>IF(AND(K3368=0,G3368&lt;=Assumptions!$C$6),1,0)</f>
        <v/>
      </c>
      <c r="V3368">
        <f>IF(U3368=1,IF(M3368&gt;0,IF(P3368&lt;=G3368+Assumptions!$C$7,1,0),0),0)</f>
        <v/>
      </c>
      <c r="W3368">
        <f>IF(AND(U3368=1,M3368&gt;=H3368*(1-Assumptions!$C$8)),1,0)</f>
        <v/>
      </c>
      <c r="X3368">
        <f>IF(AND(U3368=1,N3368&gt;=H3368*(1-Assumptions!$C$8)),1,0)</f>
        <v/>
      </c>
      <c r="Y3368">
        <f>IF(ISNUMBER(Q3368),1,0)</f>
        <v/>
      </c>
      <c r="Z3368">
        <f>IF(AND(K3368=0,L3368=0,Y3368=0),1,0)</f>
        <v/>
      </c>
      <c r="AA3368">
        <f>IF(AND(Z3368=1,G3368&lt;Assumptions!$C$6),1,0)</f>
        <v/>
      </c>
      <c r="AB3368">
        <f>IF(U3368=0,"",IF(Y3368=1,MAX(0,Q3368-G3368),IF(L3368=1,MAX(0,R3368-G3368),MAX(0,Assumptions!$C$6-G3368))))</f>
        <v/>
      </c>
      <c r="AC3368">
        <f>IF(Y3368=1,Q3368-F3368,"")</f>
        <v/>
      </c>
      <c r="AD3368">
        <f>IF(Y3368=1,AC3368^2,"")</f>
        <v/>
      </c>
      <c r="AE3368" s="19">
        <f>IF(Z3368=1,(H3368-M3368)*I3368,0)</f>
        <v/>
      </c>
      <c r="AF3368">
        <f>IF(G3368&lt;EDATE(Assumptions!$C$6,-12)+1,"prior_12m","last_12m")</f>
        <v/>
      </c>
      <c r="AG3368" s="21">
        <f>DATE(YEAR(G3368),MONTH(G3368),1)</f>
        <v/>
      </c>
    </row>
    <row r="3369">
      <c r="A3369" t="inlineStr">
        <is>
          <t>SPO-01802-1</t>
        </is>
      </c>
      <c r="B3369" t="inlineStr">
        <is>
          <t>SPO-01802</t>
        </is>
      </c>
      <c r="C3369" t="inlineStr">
        <is>
          <t>SUP-06</t>
        </is>
      </c>
      <c r="D3369" t="inlineStr">
        <is>
          <t>MRO</t>
        </is>
      </c>
      <c r="E3369" t="inlineStr">
        <is>
          <t>MRO-08</t>
        </is>
      </c>
      <c r="F3369" s="17" t="n">
        <v>46068</v>
      </c>
      <c r="G3369" s="17" t="n">
        <v>46076</v>
      </c>
      <c r="H3369" s="18" t="n">
        <v>192</v>
      </c>
      <c r="I3369" s="19" t="n">
        <v>7.53</v>
      </c>
      <c r="J3369" s="19" t="n">
        <v>7.2</v>
      </c>
      <c r="K3369" s="20" t="n">
        <v>0</v>
      </c>
      <c r="L3369" s="20" t="n">
        <v>0</v>
      </c>
      <c r="M3369" s="18" t="n">
        <v>192</v>
      </c>
      <c r="N3369" s="18" t="n">
        <v>192</v>
      </c>
      <c r="O3369" s="18" t="n">
        <v>0</v>
      </c>
      <c r="P3369" s="17" t="n">
        <v>46073</v>
      </c>
      <c r="Q3369" s="17" t="n">
        <v>46073</v>
      </c>
      <c r="R3369" s="17" t="n">
        <v>46073</v>
      </c>
      <c r="S3369" s="19">
        <f>H3369*I3369</f>
        <v/>
      </c>
      <c r="T3369" s="19">
        <f>H3369*J3369</f>
        <v/>
      </c>
      <c r="U3369">
        <f>IF(AND(K3369=0,G3369&lt;=Assumptions!$C$6),1,0)</f>
        <v/>
      </c>
      <c r="V3369">
        <f>IF(U3369=1,IF(M3369&gt;0,IF(P3369&lt;=G3369+Assumptions!$C$7,1,0),0),0)</f>
        <v/>
      </c>
      <c r="W3369">
        <f>IF(AND(U3369=1,M3369&gt;=H3369*(1-Assumptions!$C$8)),1,0)</f>
        <v/>
      </c>
      <c r="X3369">
        <f>IF(AND(U3369=1,N3369&gt;=H3369*(1-Assumptions!$C$8)),1,0)</f>
        <v/>
      </c>
      <c r="Y3369">
        <f>IF(ISNUMBER(Q3369),1,0)</f>
        <v/>
      </c>
      <c r="Z3369">
        <f>IF(AND(K3369=0,L3369=0,Y3369=0),1,0)</f>
        <v/>
      </c>
      <c r="AA3369">
        <f>IF(AND(Z3369=1,G3369&lt;Assumptions!$C$6),1,0)</f>
        <v/>
      </c>
      <c r="AB3369">
        <f>IF(U3369=0,"",IF(Y3369=1,MAX(0,Q3369-G3369),IF(L3369=1,MAX(0,R3369-G3369),MAX(0,Assumptions!$C$6-G3369))))</f>
        <v/>
      </c>
      <c r="AC3369">
        <f>IF(Y3369=1,Q3369-F3369,"")</f>
        <v/>
      </c>
      <c r="AD3369">
        <f>IF(Y3369=1,AC3369^2,"")</f>
        <v/>
      </c>
      <c r="AE3369" s="19">
        <f>IF(Z3369=1,(H3369-M3369)*I3369,0)</f>
        <v/>
      </c>
      <c r="AF3369">
        <f>IF(G3369&lt;EDATE(Assumptions!$C$6,-12)+1,"prior_12m","last_12m")</f>
        <v/>
      </c>
      <c r="AG3369" s="21">
        <f>DATE(YEAR(G3369),MONTH(G3369),1)</f>
        <v/>
      </c>
    </row>
    <row r="3370">
      <c r="A3370" t="inlineStr">
        <is>
          <t>SPO-01803-1</t>
        </is>
      </c>
      <c r="B3370" t="inlineStr">
        <is>
          <t>SPO-01803</t>
        </is>
      </c>
      <c r="C3370" t="inlineStr">
        <is>
          <t>SUP-11</t>
        </is>
      </c>
      <c r="D3370" t="inlineStr">
        <is>
          <t>PPE</t>
        </is>
      </c>
      <c r="E3370" t="inlineStr">
        <is>
          <t>PPE-08</t>
        </is>
      </c>
      <c r="F3370" s="17" t="n">
        <v>46068</v>
      </c>
      <c r="G3370" s="17" t="n">
        <v>46080</v>
      </c>
      <c r="H3370" s="18" t="n">
        <v>42</v>
      </c>
      <c r="I3370" s="19" t="n">
        <v>65.33</v>
      </c>
      <c r="J3370" s="19" t="n">
        <v>64</v>
      </c>
      <c r="K3370" s="20" t="n">
        <v>0</v>
      </c>
      <c r="L3370" s="20" t="n">
        <v>0</v>
      </c>
      <c r="M3370" s="18" t="n">
        <v>42</v>
      </c>
      <c r="N3370" s="18" t="n">
        <v>42</v>
      </c>
      <c r="O3370" s="18" t="n">
        <v>0</v>
      </c>
      <c r="P3370" s="17" t="n">
        <v>46076</v>
      </c>
      <c r="Q3370" s="17" t="n">
        <v>46076</v>
      </c>
      <c r="R3370" s="17" t="n">
        <v>46076</v>
      </c>
      <c r="S3370" s="19">
        <f>H3370*I3370</f>
        <v/>
      </c>
      <c r="T3370" s="19">
        <f>H3370*J3370</f>
        <v/>
      </c>
      <c r="U3370">
        <f>IF(AND(K3370=0,G3370&lt;=Assumptions!$C$6),1,0)</f>
        <v/>
      </c>
      <c r="V3370">
        <f>IF(U3370=1,IF(M3370&gt;0,IF(P3370&lt;=G3370+Assumptions!$C$7,1,0),0),0)</f>
        <v/>
      </c>
      <c r="W3370">
        <f>IF(AND(U3370=1,M3370&gt;=H3370*(1-Assumptions!$C$8)),1,0)</f>
        <v/>
      </c>
      <c r="X3370">
        <f>IF(AND(U3370=1,N3370&gt;=H3370*(1-Assumptions!$C$8)),1,0)</f>
        <v/>
      </c>
      <c r="Y3370">
        <f>IF(ISNUMBER(Q3370),1,0)</f>
        <v/>
      </c>
      <c r="Z3370">
        <f>IF(AND(K3370=0,L3370=0,Y3370=0),1,0)</f>
        <v/>
      </c>
      <c r="AA3370">
        <f>IF(AND(Z3370=1,G3370&lt;Assumptions!$C$6),1,0)</f>
        <v/>
      </c>
      <c r="AB3370">
        <f>IF(U3370=0,"",IF(Y3370=1,MAX(0,Q3370-G3370),IF(L3370=1,MAX(0,R3370-G3370),MAX(0,Assumptions!$C$6-G3370))))</f>
        <v/>
      </c>
      <c r="AC3370">
        <f>IF(Y3370=1,Q3370-F3370,"")</f>
        <v/>
      </c>
      <c r="AD3370">
        <f>IF(Y3370=1,AC3370^2,"")</f>
        <v/>
      </c>
      <c r="AE3370" s="19">
        <f>IF(Z3370=1,(H3370-M3370)*I3370,0)</f>
        <v/>
      </c>
      <c r="AF3370">
        <f>IF(G3370&lt;EDATE(Assumptions!$C$6,-12)+1,"prior_12m","last_12m")</f>
        <v/>
      </c>
      <c r="AG3370" s="21">
        <f>DATE(YEAR(G3370),MONTH(G3370),1)</f>
        <v/>
      </c>
    </row>
    <row r="3371">
      <c r="A3371" t="inlineStr">
        <is>
          <t>SPO-01803-2</t>
        </is>
      </c>
      <c r="B3371" t="inlineStr">
        <is>
          <t>SPO-01803</t>
        </is>
      </c>
      <c r="C3371" t="inlineStr">
        <is>
          <t>SUP-11</t>
        </is>
      </c>
      <c r="D3371" t="inlineStr">
        <is>
          <t>PPE</t>
        </is>
      </c>
      <c r="E3371" t="inlineStr">
        <is>
          <t>PPE-02</t>
        </is>
      </c>
      <c r="F3371" s="17" t="n">
        <v>46068</v>
      </c>
      <c r="G3371" s="17" t="n">
        <v>46080</v>
      </c>
      <c r="H3371" s="18" t="n">
        <v>107</v>
      </c>
      <c r="I3371" s="19" t="n">
        <v>12.44</v>
      </c>
      <c r="J3371" s="19" t="n">
        <v>12.5</v>
      </c>
      <c r="K3371" s="20" t="n">
        <v>0</v>
      </c>
      <c r="L3371" s="20" t="n">
        <v>0</v>
      </c>
      <c r="M3371" s="18" t="n">
        <v>107</v>
      </c>
      <c r="N3371" s="18" t="n">
        <v>107</v>
      </c>
      <c r="O3371" s="18" t="n">
        <v>0</v>
      </c>
      <c r="P3371" s="17" t="n">
        <v>46079</v>
      </c>
      <c r="Q3371" s="17" t="n">
        <v>46079</v>
      </c>
      <c r="R3371" s="17" t="n">
        <v>46079</v>
      </c>
      <c r="S3371" s="19">
        <f>H3371*I3371</f>
        <v/>
      </c>
      <c r="T3371" s="19">
        <f>H3371*J3371</f>
        <v/>
      </c>
      <c r="U3371">
        <f>IF(AND(K3371=0,G3371&lt;=Assumptions!$C$6),1,0)</f>
        <v/>
      </c>
      <c r="V3371">
        <f>IF(U3371=1,IF(M3371&gt;0,IF(P3371&lt;=G3371+Assumptions!$C$7,1,0),0),0)</f>
        <v/>
      </c>
      <c r="W3371">
        <f>IF(AND(U3371=1,M3371&gt;=H3371*(1-Assumptions!$C$8)),1,0)</f>
        <v/>
      </c>
      <c r="X3371">
        <f>IF(AND(U3371=1,N3371&gt;=H3371*(1-Assumptions!$C$8)),1,0)</f>
        <v/>
      </c>
      <c r="Y3371">
        <f>IF(ISNUMBER(Q3371),1,0)</f>
        <v/>
      </c>
      <c r="Z3371">
        <f>IF(AND(K3371=0,L3371=0,Y3371=0),1,0)</f>
        <v/>
      </c>
      <c r="AA3371">
        <f>IF(AND(Z3371=1,G3371&lt;Assumptions!$C$6),1,0)</f>
        <v/>
      </c>
      <c r="AB3371">
        <f>IF(U3371=0,"",IF(Y3371=1,MAX(0,Q3371-G3371),IF(L3371=1,MAX(0,R3371-G3371),MAX(0,Assumptions!$C$6-G3371))))</f>
        <v/>
      </c>
      <c r="AC3371">
        <f>IF(Y3371=1,Q3371-F3371,"")</f>
        <v/>
      </c>
      <c r="AD3371">
        <f>IF(Y3371=1,AC3371^2,"")</f>
        <v/>
      </c>
      <c r="AE3371" s="19">
        <f>IF(Z3371=1,(H3371-M3371)*I3371,0)</f>
        <v/>
      </c>
      <c r="AF3371">
        <f>IF(G3371&lt;EDATE(Assumptions!$C$6,-12)+1,"prior_12m","last_12m")</f>
        <v/>
      </c>
      <c r="AG3371" s="21">
        <f>DATE(YEAR(G3371),MONTH(G3371),1)</f>
        <v/>
      </c>
    </row>
    <row r="3372">
      <c r="A3372" t="inlineStr">
        <is>
          <t>SPO-01803-3</t>
        </is>
      </c>
      <c r="B3372" t="inlineStr">
        <is>
          <t>SPO-01803</t>
        </is>
      </c>
      <c r="C3372" t="inlineStr">
        <is>
          <t>SUP-11</t>
        </is>
      </c>
      <c r="D3372" t="inlineStr">
        <is>
          <t>PPE</t>
        </is>
      </c>
      <c r="E3372" t="inlineStr">
        <is>
          <t>PPE-07</t>
        </is>
      </c>
      <c r="F3372" s="17" t="n">
        <v>46068</v>
      </c>
      <c r="G3372" s="17" t="n">
        <v>46080</v>
      </c>
      <c r="H3372" s="18" t="n">
        <v>106</v>
      </c>
      <c r="I3372" s="19" t="n">
        <v>32.02</v>
      </c>
      <c r="J3372" s="19" t="n">
        <v>31</v>
      </c>
      <c r="K3372" s="20" t="n">
        <v>0</v>
      </c>
      <c r="L3372" s="20" t="n">
        <v>0</v>
      </c>
      <c r="M3372" s="18" t="n">
        <v>106</v>
      </c>
      <c r="N3372" s="18" t="n">
        <v>106</v>
      </c>
      <c r="O3372" s="18" t="n">
        <v>0</v>
      </c>
      <c r="P3372" s="17" t="n">
        <v>46074</v>
      </c>
      <c r="Q3372" s="17" t="n">
        <v>46074</v>
      </c>
      <c r="R3372" s="17" t="n">
        <v>46074</v>
      </c>
      <c r="S3372" s="19">
        <f>H3372*I3372</f>
        <v/>
      </c>
      <c r="T3372" s="19">
        <f>H3372*J3372</f>
        <v/>
      </c>
      <c r="U3372">
        <f>IF(AND(K3372=0,G3372&lt;=Assumptions!$C$6),1,0)</f>
        <v/>
      </c>
      <c r="V3372">
        <f>IF(U3372=1,IF(M3372&gt;0,IF(P3372&lt;=G3372+Assumptions!$C$7,1,0),0),0)</f>
        <v/>
      </c>
      <c r="W3372">
        <f>IF(AND(U3372=1,M3372&gt;=H3372*(1-Assumptions!$C$8)),1,0)</f>
        <v/>
      </c>
      <c r="X3372">
        <f>IF(AND(U3372=1,N3372&gt;=H3372*(1-Assumptions!$C$8)),1,0)</f>
        <v/>
      </c>
      <c r="Y3372">
        <f>IF(ISNUMBER(Q3372),1,0)</f>
        <v/>
      </c>
      <c r="Z3372">
        <f>IF(AND(K3372=0,L3372=0,Y3372=0),1,0)</f>
        <v/>
      </c>
      <c r="AA3372">
        <f>IF(AND(Z3372=1,G3372&lt;Assumptions!$C$6),1,0)</f>
        <v/>
      </c>
      <c r="AB3372">
        <f>IF(U3372=0,"",IF(Y3372=1,MAX(0,Q3372-G3372),IF(L3372=1,MAX(0,R3372-G3372),MAX(0,Assumptions!$C$6-G3372))))</f>
        <v/>
      </c>
      <c r="AC3372">
        <f>IF(Y3372=1,Q3372-F3372,"")</f>
        <v/>
      </c>
      <c r="AD3372">
        <f>IF(Y3372=1,AC3372^2,"")</f>
        <v/>
      </c>
      <c r="AE3372" s="19">
        <f>IF(Z3372=1,(H3372-M3372)*I3372,0)</f>
        <v/>
      </c>
      <c r="AF3372">
        <f>IF(G3372&lt;EDATE(Assumptions!$C$6,-12)+1,"prior_12m","last_12m")</f>
        <v/>
      </c>
      <c r="AG3372" s="21">
        <f>DATE(YEAR(G3372),MONTH(G3372),1)</f>
        <v/>
      </c>
    </row>
    <row r="3373">
      <c r="A3373" t="inlineStr">
        <is>
          <t>SPO-01804-1</t>
        </is>
      </c>
      <c r="B3373" t="inlineStr">
        <is>
          <t>SPO-01804</t>
        </is>
      </c>
      <c r="C3373" t="inlineStr">
        <is>
          <t>SUP-12</t>
        </is>
      </c>
      <c r="D3373" t="inlineStr">
        <is>
          <t>IT</t>
        </is>
      </c>
      <c r="E3373" t="inlineStr">
        <is>
          <t>IT-02</t>
        </is>
      </c>
      <c r="F3373" s="17" t="n">
        <v>46068</v>
      </c>
      <c r="G3373" s="17" t="n">
        <v>46078</v>
      </c>
      <c r="H3373" s="18" t="n">
        <v>23</v>
      </c>
      <c r="I3373" s="19" t="n">
        <v>186.15</v>
      </c>
      <c r="J3373" s="19" t="n">
        <v>162</v>
      </c>
      <c r="K3373" s="20" t="n">
        <v>0</v>
      </c>
      <c r="L3373" s="20" t="n">
        <v>0</v>
      </c>
      <c r="M3373" s="18" t="n">
        <v>23</v>
      </c>
      <c r="N3373" s="18" t="n">
        <v>23</v>
      </c>
      <c r="O3373" s="18" t="n">
        <v>0</v>
      </c>
      <c r="P3373" s="17" t="n">
        <v>46077</v>
      </c>
      <c r="Q3373" s="17" t="n">
        <v>46077</v>
      </c>
      <c r="R3373" s="17" t="n">
        <v>46077</v>
      </c>
      <c r="S3373" s="19">
        <f>H3373*I3373</f>
        <v/>
      </c>
      <c r="T3373" s="19">
        <f>H3373*J3373</f>
        <v/>
      </c>
      <c r="U3373">
        <f>IF(AND(K3373=0,G3373&lt;=Assumptions!$C$6),1,0)</f>
        <v/>
      </c>
      <c r="V3373">
        <f>IF(U3373=1,IF(M3373&gt;0,IF(P3373&lt;=G3373+Assumptions!$C$7,1,0),0),0)</f>
        <v/>
      </c>
      <c r="W3373">
        <f>IF(AND(U3373=1,M3373&gt;=H3373*(1-Assumptions!$C$8)),1,0)</f>
        <v/>
      </c>
      <c r="X3373">
        <f>IF(AND(U3373=1,N3373&gt;=H3373*(1-Assumptions!$C$8)),1,0)</f>
        <v/>
      </c>
      <c r="Y3373">
        <f>IF(ISNUMBER(Q3373),1,0)</f>
        <v/>
      </c>
      <c r="Z3373">
        <f>IF(AND(K3373=0,L3373=0,Y3373=0),1,0)</f>
        <v/>
      </c>
      <c r="AA3373">
        <f>IF(AND(Z3373=1,G3373&lt;Assumptions!$C$6),1,0)</f>
        <v/>
      </c>
      <c r="AB3373">
        <f>IF(U3373=0,"",IF(Y3373=1,MAX(0,Q3373-G3373),IF(L3373=1,MAX(0,R3373-G3373),MAX(0,Assumptions!$C$6-G3373))))</f>
        <v/>
      </c>
      <c r="AC3373">
        <f>IF(Y3373=1,Q3373-F3373,"")</f>
        <v/>
      </c>
      <c r="AD3373">
        <f>IF(Y3373=1,AC3373^2,"")</f>
        <v/>
      </c>
      <c r="AE3373" s="19">
        <f>IF(Z3373=1,(H3373-M3373)*I3373,0)</f>
        <v/>
      </c>
      <c r="AF3373">
        <f>IF(G3373&lt;EDATE(Assumptions!$C$6,-12)+1,"prior_12m","last_12m")</f>
        <v/>
      </c>
      <c r="AG3373" s="21">
        <f>DATE(YEAR(G3373),MONTH(G3373),1)</f>
        <v/>
      </c>
    </row>
    <row r="3374">
      <c r="A3374" t="inlineStr">
        <is>
          <t>SPO-01805-1</t>
        </is>
      </c>
      <c r="B3374" t="inlineStr">
        <is>
          <t>SPO-01805</t>
        </is>
      </c>
      <c r="C3374" t="inlineStr">
        <is>
          <t>SUP-12</t>
        </is>
      </c>
      <c r="D3374" t="inlineStr">
        <is>
          <t>IT</t>
        </is>
      </c>
      <c r="E3374" t="inlineStr">
        <is>
          <t>IT-05</t>
        </is>
      </c>
      <c r="F3374" s="17" t="n">
        <v>46068</v>
      </c>
      <c r="G3374" s="17" t="n">
        <v>46078</v>
      </c>
      <c r="H3374" s="18" t="n">
        <v>4</v>
      </c>
      <c r="I3374" s="19" t="n">
        <v>729.99</v>
      </c>
      <c r="J3374" s="19" t="n">
        <v>640</v>
      </c>
      <c r="K3374" s="20" t="n">
        <v>0</v>
      </c>
      <c r="L3374" s="20" t="n">
        <v>0</v>
      </c>
      <c r="M3374" s="18" t="n">
        <v>4</v>
      </c>
      <c r="N3374" s="18" t="n">
        <v>4</v>
      </c>
      <c r="O3374" s="18" t="n">
        <v>0</v>
      </c>
      <c r="P3374" s="17" t="n">
        <v>46073</v>
      </c>
      <c r="Q3374" s="17" t="n">
        <v>46073</v>
      </c>
      <c r="R3374" s="17" t="n">
        <v>46073</v>
      </c>
      <c r="S3374" s="19">
        <f>H3374*I3374</f>
        <v/>
      </c>
      <c r="T3374" s="19">
        <f>H3374*J3374</f>
        <v/>
      </c>
      <c r="U3374">
        <f>IF(AND(K3374=0,G3374&lt;=Assumptions!$C$6),1,0)</f>
        <v/>
      </c>
      <c r="V3374">
        <f>IF(U3374=1,IF(M3374&gt;0,IF(P3374&lt;=G3374+Assumptions!$C$7,1,0),0),0)</f>
        <v/>
      </c>
      <c r="W3374">
        <f>IF(AND(U3374=1,M3374&gt;=H3374*(1-Assumptions!$C$8)),1,0)</f>
        <v/>
      </c>
      <c r="X3374">
        <f>IF(AND(U3374=1,N3374&gt;=H3374*(1-Assumptions!$C$8)),1,0)</f>
        <v/>
      </c>
      <c r="Y3374">
        <f>IF(ISNUMBER(Q3374),1,0)</f>
        <v/>
      </c>
      <c r="Z3374">
        <f>IF(AND(K3374=0,L3374=0,Y3374=0),1,0)</f>
        <v/>
      </c>
      <c r="AA3374">
        <f>IF(AND(Z3374=1,G3374&lt;Assumptions!$C$6),1,0)</f>
        <v/>
      </c>
      <c r="AB3374">
        <f>IF(U3374=0,"",IF(Y3374=1,MAX(0,Q3374-G3374),IF(L3374=1,MAX(0,R3374-G3374),MAX(0,Assumptions!$C$6-G3374))))</f>
        <v/>
      </c>
      <c r="AC3374">
        <f>IF(Y3374=1,Q3374-F3374,"")</f>
        <v/>
      </c>
      <c r="AD3374">
        <f>IF(Y3374=1,AC3374^2,"")</f>
        <v/>
      </c>
      <c r="AE3374" s="19">
        <f>IF(Z3374=1,(H3374-M3374)*I3374,0)</f>
        <v/>
      </c>
      <c r="AF3374">
        <f>IF(G3374&lt;EDATE(Assumptions!$C$6,-12)+1,"prior_12m","last_12m")</f>
        <v/>
      </c>
      <c r="AG3374" s="21">
        <f>DATE(YEAR(G3374),MONTH(G3374),1)</f>
        <v/>
      </c>
    </row>
    <row r="3375">
      <c r="A3375" t="inlineStr">
        <is>
          <t>SPO-01805-2</t>
        </is>
      </c>
      <c r="B3375" t="inlineStr">
        <is>
          <t>SPO-01805</t>
        </is>
      </c>
      <c r="C3375" t="inlineStr">
        <is>
          <t>SUP-12</t>
        </is>
      </c>
      <c r="D3375" t="inlineStr">
        <is>
          <t>IT</t>
        </is>
      </c>
      <c r="E3375" t="inlineStr">
        <is>
          <t>IT-04</t>
        </is>
      </c>
      <c r="F3375" s="17" t="n">
        <v>46068</v>
      </c>
      <c r="G3375" s="17" t="n">
        <v>46078</v>
      </c>
      <c r="H3375" s="18" t="n">
        <v>116</v>
      </c>
      <c r="I3375" s="19" t="n">
        <v>13.77</v>
      </c>
      <c r="J3375" s="19" t="n">
        <v>12</v>
      </c>
      <c r="K3375" s="20" t="n">
        <v>0</v>
      </c>
      <c r="L3375" s="20" t="n">
        <v>0</v>
      </c>
      <c r="M3375" s="18" t="n">
        <v>116</v>
      </c>
      <c r="N3375" s="18" t="n">
        <v>116</v>
      </c>
      <c r="O3375" s="18" t="n">
        <v>0</v>
      </c>
      <c r="P3375" s="17" t="n">
        <v>46075</v>
      </c>
      <c r="Q3375" s="17" t="n">
        <v>46075</v>
      </c>
      <c r="R3375" s="17" t="n">
        <v>46075</v>
      </c>
      <c r="S3375" s="19">
        <f>H3375*I3375</f>
        <v/>
      </c>
      <c r="T3375" s="19">
        <f>H3375*J3375</f>
        <v/>
      </c>
      <c r="U3375">
        <f>IF(AND(K3375=0,G3375&lt;=Assumptions!$C$6),1,0)</f>
        <v/>
      </c>
      <c r="V3375">
        <f>IF(U3375=1,IF(M3375&gt;0,IF(P3375&lt;=G3375+Assumptions!$C$7,1,0),0),0)</f>
        <v/>
      </c>
      <c r="W3375">
        <f>IF(AND(U3375=1,M3375&gt;=H3375*(1-Assumptions!$C$8)),1,0)</f>
        <v/>
      </c>
      <c r="X3375">
        <f>IF(AND(U3375=1,N3375&gt;=H3375*(1-Assumptions!$C$8)),1,0)</f>
        <v/>
      </c>
      <c r="Y3375">
        <f>IF(ISNUMBER(Q3375),1,0)</f>
        <v/>
      </c>
      <c r="Z3375">
        <f>IF(AND(K3375=0,L3375=0,Y3375=0),1,0)</f>
        <v/>
      </c>
      <c r="AA3375">
        <f>IF(AND(Z3375=1,G3375&lt;Assumptions!$C$6),1,0)</f>
        <v/>
      </c>
      <c r="AB3375">
        <f>IF(U3375=0,"",IF(Y3375=1,MAX(0,Q3375-G3375),IF(L3375=1,MAX(0,R3375-G3375),MAX(0,Assumptions!$C$6-G3375))))</f>
        <v/>
      </c>
      <c r="AC3375">
        <f>IF(Y3375=1,Q3375-F3375,"")</f>
        <v/>
      </c>
      <c r="AD3375">
        <f>IF(Y3375=1,AC3375^2,"")</f>
        <v/>
      </c>
      <c r="AE3375" s="19">
        <f>IF(Z3375=1,(H3375-M3375)*I3375,0)</f>
        <v/>
      </c>
      <c r="AF3375">
        <f>IF(G3375&lt;EDATE(Assumptions!$C$6,-12)+1,"prior_12m","last_12m")</f>
        <v/>
      </c>
      <c r="AG3375" s="21">
        <f>DATE(YEAR(G3375),MONTH(G3375),1)</f>
        <v/>
      </c>
    </row>
    <row r="3376">
      <c r="A3376" t="inlineStr">
        <is>
          <t>SPO-01805-3</t>
        </is>
      </c>
      <c r="B3376" t="inlineStr">
        <is>
          <t>SPO-01805</t>
        </is>
      </c>
      <c r="C3376" t="inlineStr">
        <is>
          <t>SUP-12</t>
        </is>
      </c>
      <c r="D3376" t="inlineStr">
        <is>
          <t>IT</t>
        </is>
      </c>
      <c r="E3376" t="inlineStr">
        <is>
          <t>IT-01</t>
        </is>
      </c>
      <c r="F3376" s="17" t="n">
        <v>46068</v>
      </c>
      <c r="G3376" s="17" t="n">
        <v>46078</v>
      </c>
      <c r="H3376" s="18" t="n">
        <v>9</v>
      </c>
      <c r="I3376" s="19" t="n">
        <v>204.92</v>
      </c>
      <c r="J3376" s="19" t="n">
        <v>189</v>
      </c>
      <c r="K3376" s="20" t="n">
        <v>0</v>
      </c>
      <c r="L3376" s="20" t="n">
        <v>0</v>
      </c>
      <c r="M3376" s="18" t="n">
        <v>9</v>
      </c>
      <c r="N3376" s="18" t="n">
        <v>9</v>
      </c>
      <c r="O3376" s="18" t="n">
        <v>0</v>
      </c>
      <c r="P3376" s="17" t="n">
        <v>46074</v>
      </c>
      <c r="Q3376" s="17" t="n">
        <v>46074</v>
      </c>
      <c r="R3376" s="17" t="n">
        <v>46074</v>
      </c>
      <c r="S3376" s="19">
        <f>H3376*I3376</f>
        <v/>
      </c>
      <c r="T3376" s="19">
        <f>H3376*J3376</f>
        <v/>
      </c>
      <c r="U3376">
        <f>IF(AND(K3376=0,G3376&lt;=Assumptions!$C$6),1,0)</f>
        <v/>
      </c>
      <c r="V3376">
        <f>IF(U3376=1,IF(M3376&gt;0,IF(P3376&lt;=G3376+Assumptions!$C$7,1,0),0),0)</f>
        <v/>
      </c>
      <c r="W3376">
        <f>IF(AND(U3376=1,M3376&gt;=H3376*(1-Assumptions!$C$8)),1,0)</f>
        <v/>
      </c>
      <c r="X3376">
        <f>IF(AND(U3376=1,N3376&gt;=H3376*(1-Assumptions!$C$8)),1,0)</f>
        <v/>
      </c>
      <c r="Y3376">
        <f>IF(ISNUMBER(Q3376),1,0)</f>
        <v/>
      </c>
      <c r="Z3376">
        <f>IF(AND(K3376=0,L3376=0,Y3376=0),1,0)</f>
        <v/>
      </c>
      <c r="AA3376">
        <f>IF(AND(Z3376=1,G3376&lt;Assumptions!$C$6),1,0)</f>
        <v/>
      </c>
      <c r="AB3376">
        <f>IF(U3376=0,"",IF(Y3376=1,MAX(0,Q3376-G3376),IF(L3376=1,MAX(0,R3376-G3376),MAX(0,Assumptions!$C$6-G3376))))</f>
        <v/>
      </c>
      <c r="AC3376">
        <f>IF(Y3376=1,Q3376-F3376,"")</f>
        <v/>
      </c>
      <c r="AD3376">
        <f>IF(Y3376=1,AC3376^2,"")</f>
        <v/>
      </c>
      <c r="AE3376" s="19">
        <f>IF(Z3376=1,(H3376-M3376)*I3376,0)</f>
        <v/>
      </c>
      <c r="AF3376">
        <f>IF(G3376&lt;EDATE(Assumptions!$C$6,-12)+1,"prior_12m","last_12m")</f>
        <v/>
      </c>
      <c r="AG3376" s="21">
        <f>DATE(YEAR(G3376),MONTH(G3376),1)</f>
        <v/>
      </c>
    </row>
    <row r="3377">
      <c r="A3377" t="inlineStr">
        <is>
          <t>SPO-01805-4</t>
        </is>
      </c>
      <c r="B3377" t="inlineStr">
        <is>
          <t>SPO-01805</t>
        </is>
      </c>
      <c r="C3377" t="inlineStr">
        <is>
          <t>SUP-12</t>
        </is>
      </c>
      <c r="D3377" t="inlineStr">
        <is>
          <t>IT</t>
        </is>
      </c>
      <c r="E3377" t="inlineStr">
        <is>
          <t>IT-06</t>
        </is>
      </c>
      <c r="F3377" s="17" t="n">
        <v>46068</v>
      </c>
      <c r="G3377" s="17" t="n">
        <v>46078</v>
      </c>
      <c r="H3377" s="18" t="n">
        <v>10</v>
      </c>
      <c r="I3377" s="19" t="n">
        <v>105.46</v>
      </c>
      <c r="J3377" s="19" t="n">
        <v>89</v>
      </c>
      <c r="K3377" s="20" t="n">
        <v>0</v>
      </c>
      <c r="L3377" s="20" t="n">
        <v>0</v>
      </c>
      <c r="M3377" s="18" t="n">
        <v>10</v>
      </c>
      <c r="N3377" s="18" t="n">
        <v>10</v>
      </c>
      <c r="O3377" s="18" t="n">
        <v>0</v>
      </c>
      <c r="P3377" s="17" t="n">
        <v>46075</v>
      </c>
      <c r="Q3377" s="17" t="n">
        <v>46075</v>
      </c>
      <c r="R3377" s="17" t="n">
        <v>46075</v>
      </c>
      <c r="S3377" s="19">
        <f>H3377*I3377</f>
        <v/>
      </c>
      <c r="T3377" s="19">
        <f>H3377*J3377</f>
        <v/>
      </c>
      <c r="U3377">
        <f>IF(AND(K3377=0,G3377&lt;=Assumptions!$C$6),1,0)</f>
        <v/>
      </c>
      <c r="V3377">
        <f>IF(U3377=1,IF(M3377&gt;0,IF(P3377&lt;=G3377+Assumptions!$C$7,1,0),0),0)</f>
        <v/>
      </c>
      <c r="W3377">
        <f>IF(AND(U3377=1,M3377&gt;=H3377*(1-Assumptions!$C$8)),1,0)</f>
        <v/>
      </c>
      <c r="X3377">
        <f>IF(AND(U3377=1,N3377&gt;=H3377*(1-Assumptions!$C$8)),1,0)</f>
        <v/>
      </c>
      <c r="Y3377">
        <f>IF(ISNUMBER(Q3377),1,0)</f>
        <v/>
      </c>
      <c r="Z3377">
        <f>IF(AND(K3377=0,L3377=0,Y3377=0),1,0)</f>
        <v/>
      </c>
      <c r="AA3377">
        <f>IF(AND(Z3377=1,G3377&lt;Assumptions!$C$6),1,0)</f>
        <v/>
      </c>
      <c r="AB3377">
        <f>IF(U3377=0,"",IF(Y3377=1,MAX(0,Q3377-G3377),IF(L3377=1,MAX(0,R3377-G3377),MAX(0,Assumptions!$C$6-G3377))))</f>
        <v/>
      </c>
      <c r="AC3377">
        <f>IF(Y3377=1,Q3377-F3377,"")</f>
        <v/>
      </c>
      <c r="AD3377">
        <f>IF(Y3377=1,AC3377^2,"")</f>
        <v/>
      </c>
      <c r="AE3377" s="19">
        <f>IF(Z3377=1,(H3377-M3377)*I3377,0)</f>
        <v/>
      </c>
      <c r="AF3377">
        <f>IF(G3377&lt;EDATE(Assumptions!$C$6,-12)+1,"prior_12m","last_12m")</f>
        <v/>
      </c>
      <c r="AG3377" s="21">
        <f>DATE(YEAR(G3377),MONTH(G3377),1)</f>
        <v/>
      </c>
    </row>
    <row r="3378">
      <c r="A3378" t="inlineStr">
        <is>
          <t>SPO-01806-1</t>
        </is>
      </c>
      <c r="B3378" t="inlineStr">
        <is>
          <t>SPO-01806</t>
        </is>
      </c>
      <c r="C3378" t="inlineStr">
        <is>
          <t>SUP-12</t>
        </is>
      </c>
      <c r="D3378" t="inlineStr">
        <is>
          <t>IT</t>
        </is>
      </c>
      <c r="E3378" t="inlineStr">
        <is>
          <t>IT-06</t>
        </is>
      </c>
      <c r="F3378" s="17" t="n">
        <v>46069</v>
      </c>
      <c r="G3378" s="17" t="n">
        <v>46079</v>
      </c>
      <c r="H3378" s="18" t="n">
        <v>13</v>
      </c>
      <c r="I3378" s="19" t="n">
        <v>95.34</v>
      </c>
      <c r="J3378" s="19" t="n">
        <v>89</v>
      </c>
      <c r="K3378" s="20" t="n">
        <v>0</v>
      </c>
      <c r="L3378" s="20" t="n">
        <v>0</v>
      </c>
      <c r="M3378" s="18" t="n">
        <v>13</v>
      </c>
      <c r="N3378" s="18" t="n">
        <v>13</v>
      </c>
      <c r="O3378" s="18" t="n">
        <v>0</v>
      </c>
      <c r="P3378" s="17" t="n">
        <v>46076</v>
      </c>
      <c r="Q3378" s="17" t="n">
        <v>46076</v>
      </c>
      <c r="R3378" s="17" t="n">
        <v>46076</v>
      </c>
      <c r="S3378" s="19">
        <f>H3378*I3378</f>
        <v/>
      </c>
      <c r="T3378" s="19">
        <f>H3378*J3378</f>
        <v/>
      </c>
      <c r="U3378">
        <f>IF(AND(K3378=0,G3378&lt;=Assumptions!$C$6),1,0)</f>
        <v/>
      </c>
      <c r="V3378">
        <f>IF(U3378=1,IF(M3378&gt;0,IF(P3378&lt;=G3378+Assumptions!$C$7,1,0),0),0)</f>
        <v/>
      </c>
      <c r="W3378">
        <f>IF(AND(U3378=1,M3378&gt;=H3378*(1-Assumptions!$C$8)),1,0)</f>
        <v/>
      </c>
      <c r="X3378">
        <f>IF(AND(U3378=1,N3378&gt;=H3378*(1-Assumptions!$C$8)),1,0)</f>
        <v/>
      </c>
      <c r="Y3378">
        <f>IF(ISNUMBER(Q3378),1,0)</f>
        <v/>
      </c>
      <c r="Z3378">
        <f>IF(AND(K3378=0,L3378=0,Y3378=0),1,0)</f>
        <v/>
      </c>
      <c r="AA3378">
        <f>IF(AND(Z3378=1,G3378&lt;Assumptions!$C$6),1,0)</f>
        <v/>
      </c>
      <c r="AB3378">
        <f>IF(U3378=0,"",IF(Y3378=1,MAX(0,Q3378-G3378),IF(L3378=1,MAX(0,R3378-G3378),MAX(0,Assumptions!$C$6-G3378))))</f>
        <v/>
      </c>
      <c r="AC3378">
        <f>IF(Y3378=1,Q3378-F3378,"")</f>
        <v/>
      </c>
      <c r="AD3378">
        <f>IF(Y3378=1,AC3378^2,"")</f>
        <v/>
      </c>
      <c r="AE3378" s="19">
        <f>IF(Z3378=1,(H3378-M3378)*I3378,0)</f>
        <v/>
      </c>
      <c r="AF3378">
        <f>IF(G3378&lt;EDATE(Assumptions!$C$6,-12)+1,"prior_12m","last_12m")</f>
        <v/>
      </c>
      <c r="AG3378" s="21">
        <f>DATE(YEAR(G3378),MONTH(G3378),1)</f>
        <v/>
      </c>
    </row>
    <row r="3379">
      <c r="A3379" t="inlineStr">
        <is>
          <t>SPO-01807-1</t>
        </is>
      </c>
      <c r="B3379" t="inlineStr">
        <is>
          <t>SPO-01807</t>
        </is>
      </c>
      <c r="C3379" t="inlineStr">
        <is>
          <t>SUP-01</t>
        </is>
      </c>
      <c r="D3379" t="inlineStr">
        <is>
          <t>ELEC</t>
        </is>
      </c>
      <c r="E3379" t="inlineStr">
        <is>
          <t>ELEC-03</t>
        </is>
      </c>
      <c r="F3379" s="17" t="n">
        <v>46069</v>
      </c>
      <c r="G3379" s="17" t="n">
        <v>46087</v>
      </c>
      <c r="H3379" s="18" t="n">
        <v>36</v>
      </c>
      <c r="I3379" s="19" t="n">
        <v>97.51000000000001</v>
      </c>
      <c r="J3379" s="19" t="n">
        <v>96</v>
      </c>
      <c r="K3379" s="20" t="n">
        <v>0</v>
      </c>
      <c r="L3379" s="20" t="n">
        <v>0</v>
      </c>
      <c r="M3379" s="18" t="n">
        <v>36</v>
      </c>
      <c r="N3379" s="18" t="n">
        <v>36</v>
      </c>
      <c r="O3379" s="18" t="n">
        <v>0</v>
      </c>
      <c r="P3379" s="17" t="n">
        <v>46078</v>
      </c>
      <c r="Q3379" s="17" t="n">
        <v>46078</v>
      </c>
      <c r="R3379" s="17" t="n">
        <v>46078</v>
      </c>
      <c r="S3379" s="19">
        <f>H3379*I3379</f>
        <v/>
      </c>
      <c r="T3379" s="19">
        <f>H3379*J3379</f>
        <v/>
      </c>
      <c r="U3379">
        <f>IF(AND(K3379=0,G3379&lt;=Assumptions!$C$6),1,0)</f>
        <v/>
      </c>
      <c r="V3379">
        <f>IF(U3379=1,IF(M3379&gt;0,IF(P3379&lt;=G3379+Assumptions!$C$7,1,0),0),0)</f>
        <v/>
      </c>
      <c r="W3379">
        <f>IF(AND(U3379=1,M3379&gt;=H3379*(1-Assumptions!$C$8)),1,0)</f>
        <v/>
      </c>
      <c r="X3379">
        <f>IF(AND(U3379=1,N3379&gt;=H3379*(1-Assumptions!$C$8)),1,0)</f>
        <v/>
      </c>
      <c r="Y3379">
        <f>IF(ISNUMBER(Q3379),1,0)</f>
        <v/>
      </c>
      <c r="Z3379">
        <f>IF(AND(K3379=0,L3379=0,Y3379=0),1,0)</f>
        <v/>
      </c>
      <c r="AA3379">
        <f>IF(AND(Z3379=1,G3379&lt;Assumptions!$C$6),1,0)</f>
        <v/>
      </c>
      <c r="AB3379">
        <f>IF(U3379=0,"",IF(Y3379=1,MAX(0,Q3379-G3379),IF(L3379=1,MAX(0,R3379-G3379),MAX(0,Assumptions!$C$6-G3379))))</f>
        <v/>
      </c>
      <c r="AC3379">
        <f>IF(Y3379=1,Q3379-F3379,"")</f>
        <v/>
      </c>
      <c r="AD3379">
        <f>IF(Y3379=1,AC3379^2,"")</f>
        <v/>
      </c>
      <c r="AE3379" s="19">
        <f>IF(Z3379=1,(H3379-M3379)*I3379,0)</f>
        <v/>
      </c>
      <c r="AF3379">
        <f>IF(G3379&lt;EDATE(Assumptions!$C$6,-12)+1,"prior_12m","last_12m")</f>
        <v/>
      </c>
      <c r="AG3379" s="21">
        <f>DATE(YEAR(G3379),MONTH(G3379),1)</f>
        <v/>
      </c>
    </row>
    <row r="3380">
      <c r="A3380" t="inlineStr">
        <is>
          <t>SPO-01808-1</t>
        </is>
      </c>
      <c r="B3380" t="inlineStr">
        <is>
          <t>SPO-01808</t>
        </is>
      </c>
      <c r="C3380" t="inlineStr">
        <is>
          <t>SUP-09</t>
        </is>
      </c>
      <c r="D3380" t="inlineStr">
        <is>
          <t>CHEM</t>
        </is>
      </c>
      <c r="E3380" t="inlineStr">
        <is>
          <t>CHEM-04</t>
        </is>
      </c>
      <c r="F3380" s="17" t="n">
        <v>46070</v>
      </c>
      <c r="G3380" s="17" t="n">
        <v>46084</v>
      </c>
      <c r="H3380" s="18" t="n">
        <v>1</v>
      </c>
      <c r="I3380" s="19" t="n">
        <v>850.92</v>
      </c>
      <c r="J3380" s="19" t="n">
        <v>820</v>
      </c>
      <c r="K3380" s="20" t="n">
        <v>0</v>
      </c>
      <c r="L3380" s="20" t="n">
        <v>0</v>
      </c>
      <c r="M3380" s="18" t="n">
        <v>1</v>
      </c>
      <c r="N3380" s="18" t="n">
        <v>1</v>
      </c>
      <c r="O3380" s="18" t="n">
        <v>0</v>
      </c>
      <c r="P3380" s="17" t="n">
        <v>46083</v>
      </c>
      <c r="Q3380" s="17" t="n">
        <v>46083</v>
      </c>
      <c r="R3380" s="17" t="n">
        <v>46083</v>
      </c>
      <c r="S3380" s="19">
        <f>H3380*I3380</f>
        <v/>
      </c>
      <c r="T3380" s="19">
        <f>H3380*J3380</f>
        <v/>
      </c>
      <c r="U3380">
        <f>IF(AND(K3380=0,G3380&lt;=Assumptions!$C$6),1,0)</f>
        <v/>
      </c>
      <c r="V3380">
        <f>IF(U3380=1,IF(M3380&gt;0,IF(P3380&lt;=G3380+Assumptions!$C$7,1,0),0),0)</f>
        <v/>
      </c>
      <c r="W3380">
        <f>IF(AND(U3380=1,M3380&gt;=H3380*(1-Assumptions!$C$8)),1,0)</f>
        <v/>
      </c>
      <c r="X3380">
        <f>IF(AND(U3380=1,N3380&gt;=H3380*(1-Assumptions!$C$8)),1,0)</f>
        <v/>
      </c>
      <c r="Y3380">
        <f>IF(ISNUMBER(Q3380),1,0)</f>
        <v/>
      </c>
      <c r="Z3380">
        <f>IF(AND(K3380=0,L3380=0,Y3380=0),1,0)</f>
        <v/>
      </c>
      <c r="AA3380">
        <f>IF(AND(Z3380=1,G3380&lt;Assumptions!$C$6),1,0)</f>
        <v/>
      </c>
      <c r="AB3380">
        <f>IF(U3380=0,"",IF(Y3380=1,MAX(0,Q3380-G3380),IF(L3380=1,MAX(0,R3380-G3380),MAX(0,Assumptions!$C$6-G3380))))</f>
        <v/>
      </c>
      <c r="AC3380">
        <f>IF(Y3380=1,Q3380-F3380,"")</f>
        <v/>
      </c>
      <c r="AD3380">
        <f>IF(Y3380=1,AC3380^2,"")</f>
        <v/>
      </c>
      <c r="AE3380" s="19">
        <f>IF(Z3380=1,(H3380-M3380)*I3380,0)</f>
        <v/>
      </c>
      <c r="AF3380">
        <f>IF(G3380&lt;EDATE(Assumptions!$C$6,-12)+1,"prior_12m","last_12m")</f>
        <v/>
      </c>
      <c r="AG3380" s="21">
        <f>DATE(YEAR(G3380),MONTH(G3380),1)</f>
        <v/>
      </c>
    </row>
    <row r="3381">
      <c r="A3381" t="inlineStr">
        <is>
          <t>SPO-01809-1</t>
        </is>
      </c>
      <c r="B3381" t="inlineStr">
        <is>
          <t>SPO-01809</t>
        </is>
      </c>
      <c r="C3381" t="inlineStr">
        <is>
          <t>SUP-05</t>
        </is>
      </c>
      <c r="D3381" t="inlineStr">
        <is>
          <t>FLEET</t>
        </is>
      </c>
      <c r="E3381" t="inlineStr">
        <is>
          <t>FLEET-06</t>
        </is>
      </c>
      <c r="F3381" s="17" t="n">
        <v>46070</v>
      </c>
      <c r="G3381" s="17" t="n">
        <v>46084</v>
      </c>
      <c r="H3381" s="18" t="n">
        <v>105</v>
      </c>
      <c r="I3381" s="19" t="n">
        <v>34.49</v>
      </c>
      <c r="J3381" s="19" t="n">
        <v>33</v>
      </c>
      <c r="K3381" s="20" t="n">
        <v>0</v>
      </c>
      <c r="L3381" s="20" t="n">
        <v>0</v>
      </c>
      <c r="M3381" s="18" t="n">
        <v>105</v>
      </c>
      <c r="N3381" s="18" t="n">
        <v>0</v>
      </c>
      <c r="O3381" s="18" t="n">
        <v>0</v>
      </c>
      <c r="P3381" s="17" t="n">
        <v>46085</v>
      </c>
      <c r="Q3381" s="17" t="n">
        <v>46085</v>
      </c>
      <c r="R3381" s="17" t="n">
        <v>46085</v>
      </c>
      <c r="S3381" s="19">
        <f>H3381*I3381</f>
        <v/>
      </c>
      <c r="T3381" s="19">
        <f>H3381*J3381</f>
        <v/>
      </c>
      <c r="U3381">
        <f>IF(AND(K3381=0,G3381&lt;=Assumptions!$C$6),1,0)</f>
        <v/>
      </c>
      <c r="V3381">
        <f>IF(U3381=1,IF(M3381&gt;0,IF(P3381&lt;=G3381+Assumptions!$C$7,1,0),0),0)</f>
        <v/>
      </c>
      <c r="W3381">
        <f>IF(AND(U3381=1,M3381&gt;=H3381*(1-Assumptions!$C$8)),1,0)</f>
        <v/>
      </c>
      <c r="X3381">
        <f>IF(AND(U3381=1,N3381&gt;=H3381*(1-Assumptions!$C$8)),1,0)</f>
        <v/>
      </c>
      <c r="Y3381">
        <f>IF(ISNUMBER(Q3381),1,0)</f>
        <v/>
      </c>
      <c r="Z3381">
        <f>IF(AND(K3381=0,L3381=0,Y3381=0),1,0)</f>
        <v/>
      </c>
      <c r="AA3381">
        <f>IF(AND(Z3381=1,G3381&lt;Assumptions!$C$6),1,0)</f>
        <v/>
      </c>
      <c r="AB3381">
        <f>IF(U3381=0,"",IF(Y3381=1,MAX(0,Q3381-G3381),IF(L3381=1,MAX(0,R3381-G3381),MAX(0,Assumptions!$C$6-G3381))))</f>
        <v/>
      </c>
      <c r="AC3381">
        <f>IF(Y3381=1,Q3381-F3381,"")</f>
        <v/>
      </c>
      <c r="AD3381">
        <f>IF(Y3381=1,AC3381^2,"")</f>
        <v/>
      </c>
      <c r="AE3381" s="19">
        <f>IF(Z3381=1,(H3381-M3381)*I3381,0)</f>
        <v/>
      </c>
      <c r="AF3381">
        <f>IF(G3381&lt;EDATE(Assumptions!$C$6,-12)+1,"prior_12m","last_12m")</f>
        <v/>
      </c>
      <c r="AG3381" s="21">
        <f>DATE(YEAR(G3381),MONTH(G3381),1)</f>
        <v/>
      </c>
    </row>
    <row r="3382">
      <c r="A3382" t="inlineStr">
        <is>
          <t>SPO-01810-1</t>
        </is>
      </c>
      <c r="B3382" t="inlineStr">
        <is>
          <t>SPO-01810</t>
        </is>
      </c>
      <c r="C3382" t="inlineStr">
        <is>
          <t>SUP-05</t>
        </is>
      </c>
      <c r="D3382" t="inlineStr">
        <is>
          <t>FLEET</t>
        </is>
      </c>
      <c r="E3382" t="inlineStr">
        <is>
          <t>FLEET-07</t>
        </is>
      </c>
      <c r="F3382" s="17" t="n">
        <v>46070</v>
      </c>
      <c r="G3382" s="17" t="n">
        <v>46084</v>
      </c>
      <c r="H3382" s="18" t="n">
        <v>8</v>
      </c>
      <c r="I3382" s="19" t="n">
        <v>118.45</v>
      </c>
      <c r="J3382" s="19" t="n">
        <v>118</v>
      </c>
      <c r="K3382" s="20" t="n">
        <v>0</v>
      </c>
      <c r="L3382" s="20" t="n">
        <v>0</v>
      </c>
      <c r="M3382" s="18" t="n">
        <v>8</v>
      </c>
      <c r="N3382" s="18" t="n">
        <v>8</v>
      </c>
      <c r="O3382" s="18" t="n">
        <v>0</v>
      </c>
      <c r="P3382" s="17" t="n">
        <v>46079</v>
      </c>
      <c r="Q3382" s="17" t="n">
        <v>46079</v>
      </c>
      <c r="R3382" s="17" t="n">
        <v>46079</v>
      </c>
      <c r="S3382" s="19">
        <f>H3382*I3382</f>
        <v/>
      </c>
      <c r="T3382" s="19">
        <f>H3382*J3382</f>
        <v/>
      </c>
      <c r="U3382">
        <f>IF(AND(K3382=0,G3382&lt;=Assumptions!$C$6),1,0)</f>
        <v/>
      </c>
      <c r="V3382">
        <f>IF(U3382=1,IF(M3382&gt;0,IF(P3382&lt;=G3382+Assumptions!$C$7,1,0),0),0)</f>
        <v/>
      </c>
      <c r="W3382">
        <f>IF(AND(U3382=1,M3382&gt;=H3382*(1-Assumptions!$C$8)),1,0)</f>
        <v/>
      </c>
      <c r="X3382">
        <f>IF(AND(U3382=1,N3382&gt;=H3382*(1-Assumptions!$C$8)),1,0)</f>
        <v/>
      </c>
      <c r="Y3382">
        <f>IF(ISNUMBER(Q3382),1,0)</f>
        <v/>
      </c>
      <c r="Z3382">
        <f>IF(AND(K3382=0,L3382=0,Y3382=0),1,0)</f>
        <v/>
      </c>
      <c r="AA3382">
        <f>IF(AND(Z3382=1,G3382&lt;Assumptions!$C$6),1,0)</f>
        <v/>
      </c>
      <c r="AB3382">
        <f>IF(U3382=0,"",IF(Y3382=1,MAX(0,Q3382-G3382),IF(L3382=1,MAX(0,R3382-G3382),MAX(0,Assumptions!$C$6-G3382))))</f>
        <v/>
      </c>
      <c r="AC3382">
        <f>IF(Y3382=1,Q3382-F3382,"")</f>
        <v/>
      </c>
      <c r="AD3382">
        <f>IF(Y3382=1,AC3382^2,"")</f>
        <v/>
      </c>
      <c r="AE3382" s="19">
        <f>IF(Z3382=1,(H3382-M3382)*I3382,0)</f>
        <v/>
      </c>
      <c r="AF3382">
        <f>IF(G3382&lt;EDATE(Assumptions!$C$6,-12)+1,"prior_12m","last_12m")</f>
        <v/>
      </c>
      <c r="AG3382" s="21">
        <f>DATE(YEAR(G3382),MONTH(G3382),1)</f>
        <v/>
      </c>
    </row>
    <row r="3383">
      <c r="A3383" t="inlineStr">
        <is>
          <t>SPO-01810-2</t>
        </is>
      </c>
      <c r="B3383" t="inlineStr">
        <is>
          <t>SPO-01810</t>
        </is>
      </c>
      <c r="C3383" t="inlineStr">
        <is>
          <t>SUP-05</t>
        </is>
      </c>
      <c r="D3383" t="inlineStr">
        <is>
          <t>FLEET</t>
        </is>
      </c>
      <c r="E3383" t="inlineStr">
        <is>
          <t>FLEET-08</t>
        </is>
      </c>
      <c r="F3383" s="17" t="n">
        <v>46070</v>
      </c>
      <c r="G3383" s="17" t="n">
        <v>46084</v>
      </c>
      <c r="H3383" s="18" t="n">
        <v>390</v>
      </c>
      <c r="I3383" s="19" t="n">
        <v>6.7</v>
      </c>
      <c r="J3383" s="19" t="n">
        <v>6.4</v>
      </c>
      <c r="K3383" s="20" t="n">
        <v>0</v>
      </c>
      <c r="L3383" s="20" t="n">
        <v>0</v>
      </c>
      <c r="M3383" s="18" t="n">
        <v>390</v>
      </c>
      <c r="N3383" s="18" t="n">
        <v>390</v>
      </c>
      <c r="O3383" s="18" t="n">
        <v>0</v>
      </c>
      <c r="P3383" s="17" t="n">
        <v>46083</v>
      </c>
      <c r="Q3383" s="17" t="n">
        <v>46083</v>
      </c>
      <c r="R3383" s="17" t="n">
        <v>46083</v>
      </c>
      <c r="S3383" s="19">
        <f>H3383*I3383</f>
        <v/>
      </c>
      <c r="T3383" s="19">
        <f>H3383*J3383</f>
        <v/>
      </c>
      <c r="U3383">
        <f>IF(AND(K3383=0,G3383&lt;=Assumptions!$C$6),1,0)</f>
        <v/>
      </c>
      <c r="V3383">
        <f>IF(U3383=1,IF(M3383&gt;0,IF(P3383&lt;=G3383+Assumptions!$C$7,1,0),0),0)</f>
        <v/>
      </c>
      <c r="W3383">
        <f>IF(AND(U3383=1,M3383&gt;=H3383*(1-Assumptions!$C$8)),1,0)</f>
        <v/>
      </c>
      <c r="X3383">
        <f>IF(AND(U3383=1,N3383&gt;=H3383*(1-Assumptions!$C$8)),1,0)</f>
        <v/>
      </c>
      <c r="Y3383">
        <f>IF(ISNUMBER(Q3383),1,0)</f>
        <v/>
      </c>
      <c r="Z3383">
        <f>IF(AND(K3383=0,L3383=0,Y3383=0),1,0)</f>
        <v/>
      </c>
      <c r="AA3383">
        <f>IF(AND(Z3383=1,G3383&lt;Assumptions!$C$6),1,0)</f>
        <v/>
      </c>
      <c r="AB3383">
        <f>IF(U3383=0,"",IF(Y3383=1,MAX(0,Q3383-G3383),IF(L3383=1,MAX(0,R3383-G3383),MAX(0,Assumptions!$C$6-G3383))))</f>
        <v/>
      </c>
      <c r="AC3383">
        <f>IF(Y3383=1,Q3383-F3383,"")</f>
        <v/>
      </c>
      <c r="AD3383">
        <f>IF(Y3383=1,AC3383^2,"")</f>
        <v/>
      </c>
      <c r="AE3383" s="19">
        <f>IF(Z3383=1,(H3383-M3383)*I3383,0)</f>
        <v/>
      </c>
      <c r="AF3383">
        <f>IF(G3383&lt;EDATE(Assumptions!$C$6,-12)+1,"prior_12m","last_12m")</f>
        <v/>
      </c>
      <c r="AG3383" s="21">
        <f>DATE(YEAR(G3383),MONTH(G3383),1)</f>
        <v/>
      </c>
    </row>
    <row r="3384">
      <c r="A3384" t="inlineStr">
        <is>
          <t>SPO-01811-1</t>
        </is>
      </c>
      <c r="B3384" t="inlineStr">
        <is>
          <t>SPO-01811</t>
        </is>
      </c>
      <c r="C3384" t="inlineStr">
        <is>
          <t>SUP-12</t>
        </is>
      </c>
      <c r="D3384" t="inlineStr">
        <is>
          <t>IT</t>
        </is>
      </c>
      <c r="E3384" t="inlineStr">
        <is>
          <t>IT-01</t>
        </is>
      </c>
      <c r="F3384" s="17" t="n">
        <v>46070</v>
      </c>
      <c r="G3384" s="17" t="n">
        <v>46080</v>
      </c>
      <c r="H3384" s="18" t="n">
        <v>9</v>
      </c>
      <c r="I3384" s="19" t="n">
        <v>214.76</v>
      </c>
      <c r="J3384" s="19" t="n">
        <v>189</v>
      </c>
      <c r="K3384" s="20" t="n">
        <v>0</v>
      </c>
      <c r="L3384" s="20" t="n">
        <v>0</v>
      </c>
      <c r="M3384" s="18" t="n">
        <v>9</v>
      </c>
      <c r="N3384" s="18" t="n">
        <v>9</v>
      </c>
      <c r="O3384" s="18" t="n">
        <v>0</v>
      </c>
      <c r="P3384" s="17" t="n">
        <v>46078</v>
      </c>
      <c r="Q3384" s="17" t="n">
        <v>46078</v>
      </c>
      <c r="R3384" s="17" t="n">
        <v>46078</v>
      </c>
      <c r="S3384" s="19">
        <f>H3384*I3384</f>
        <v/>
      </c>
      <c r="T3384" s="19">
        <f>H3384*J3384</f>
        <v/>
      </c>
      <c r="U3384">
        <f>IF(AND(K3384=0,G3384&lt;=Assumptions!$C$6),1,0)</f>
        <v/>
      </c>
      <c r="V3384">
        <f>IF(U3384=1,IF(M3384&gt;0,IF(P3384&lt;=G3384+Assumptions!$C$7,1,0),0),0)</f>
        <v/>
      </c>
      <c r="W3384">
        <f>IF(AND(U3384=1,M3384&gt;=H3384*(1-Assumptions!$C$8)),1,0)</f>
        <v/>
      </c>
      <c r="X3384">
        <f>IF(AND(U3384=1,N3384&gt;=H3384*(1-Assumptions!$C$8)),1,0)</f>
        <v/>
      </c>
      <c r="Y3384">
        <f>IF(ISNUMBER(Q3384),1,0)</f>
        <v/>
      </c>
      <c r="Z3384">
        <f>IF(AND(K3384=0,L3384=0,Y3384=0),1,0)</f>
        <v/>
      </c>
      <c r="AA3384">
        <f>IF(AND(Z3384=1,G3384&lt;Assumptions!$C$6),1,0)</f>
        <v/>
      </c>
      <c r="AB3384">
        <f>IF(U3384=0,"",IF(Y3384=1,MAX(0,Q3384-G3384),IF(L3384=1,MAX(0,R3384-G3384),MAX(0,Assumptions!$C$6-G3384))))</f>
        <v/>
      </c>
      <c r="AC3384">
        <f>IF(Y3384=1,Q3384-F3384,"")</f>
        <v/>
      </c>
      <c r="AD3384">
        <f>IF(Y3384=1,AC3384^2,"")</f>
        <v/>
      </c>
      <c r="AE3384" s="19">
        <f>IF(Z3384=1,(H3384-M3384)*I3384,0)</f>
        <v/>
      </c>
      <c r="AF3384">
        <f>IF(G3384&lt;EDATE(Assumptions!$C$6,-12)+1,"prior_12m","last_12m")</f>
        <v/>
      </c>
      <c r="AG3384" s="21">
        <f>DATE(YEAR(G3384),MONTH(G3384),1)</f>
        <v/>
      </c>
    </row>
    <row r="3385">
      <c r="A3385" t="inlineStr">
        <is>
          <t>SPO-01812-1</t>
        </is>
      </c>
      <c r="B3385" t="inlineStr">
        <is>
          <t>SPO-01812</t>
        </is>
      </c>
      <c r="C3385" t="inlineStr">
        <is>
          <t>SUP-05</t>
        </is>
      </c>
      <c r="D3385" t="inlineStr">
        <is>
          <t>FLEET</t>
        </is>
      </c>
      <c r="E3385" t="inlineStr">
        <is>
          <t>FLEET-04</t>
        </is>
      </c>
      <c r="F3385" s="17" t="n">
        <v>46071</v>
      </c>
      <c r="G3385" s="17" t="n">
        <v>46085</v>
      </c>
      <c r="H3385" s="18" t="n">
        <v>198</v>
      </c>
      <c r="I3385" s="19" t="n">
        <v>9.23</v>
      </c>
      <c r="J3385" s="19" t="n">
        <v>9</v>
      </c>
      <c r="K3385" s="20" t="n">
        <v>0</v>
      </c>
      <c r="L3385" s="20" t="n">
        <v>0</v>
      </c>
      <c r="M3385" s="18" t="n">
        <v>198</v>
      </c>
      <c r="N3385" s="18" t="n">
        <v>198</v>
      </c>
      <c r="O3385" s="18" t="n">
        <v>0</v>
      </c>
      <c r="P3385" s="17" t="n">
        <v>46082</v>
      </c>
      <c r="Q3385" s="17" t="n">
        <v>46082</v>
      </c>
      <c r="R3385" s="17" t="n">
        <v>46082</v>
      </c>
      <c r="S3385" s="19">
        <f>H3385*I3385</f>
        <v/>
      </c>
      <c r="T3385" s="19">
        <f>H3385*J3385</f>
        <v/>
      </c>
      <c r="U3385">
        <f>IF(AND(K3385=0,G3385&lt;=Assumptions!$C$6),1,0)</f>
        <v/>
      </c>
      <c r="V3385">
        <f>IF(U3385=1,IF(M3385&gt;0,IF(P3385&lt;=G3385+Assumptions!$C$7,1,0),0),0)</f>
        <v/>
      </c>
      <c r="W3385">
        <f>IF(AND(U3385=1,M3385&gt;=H3385*(1-Assumptions!$C$8)),1,0)</f>
        <v/>
      </c>
      <c r="X3385">
        <f>IF(AND(U3385=1,N3385&gt;=H3385*(1-Assumptions!$C$8)),1,0)</f>
        <v/>
      </c>
      <c r="Y3385">
        <f>IF(ISNUMBER(Q3385),1,0)</f>
        <v/>
      </c>
      <c r="Z3385">
        <f>IF(AND(K3385=0,L3385=0,Y3385=0),1,0)</f>
        <v/>
      </c>
      <c r="AA3385">
        <f>IF(AND(Z3385=1,G3385&lt;Assumptions!$C$6),1,0)</f>
        <v/>
      </c>
      <c r="AB3385">
        <f>IF(U3385=0,"",IF(Y3385=1,MAX(0,Q3385-G3385),IF(L3385=1,MAX(0,R3385-G3385),MAX(0,Assumptions!$C$6-G3385))))</f>
        <v/>
      </c>
      <c r="AC3385">
        <f>IF(Y3385=1,Q3385-F3385,"")</f>
        <v/>
      </c>
      <c r="AD3385">
        <f>IF(Y3385=1,AC3385^2,"")</f>
        <v/>
      </c>
      <c r="AE3385" s="19">
        <f>IF(Z3385=1,(H3385-M3385)*I3385,0)</f>
        <v/>
      </c>
      <c r="AF3385">
        <f>IF(G3385&lt;EDATE(Assumptions!$C$6,-12)+1,"prior_12m","last_12m")</f>
        <v/>
      </c>
      <c r="AG3385" s="21">
        <f>DATE(YEAR(G3385),MONTH(G3385),1)</f>
        <v/>
      </c>
    </row>
    <row r="3386">
      <c r="A3386" t="inlineStr">
        <is>
          <t>SPO-01813-1</t>
        </is>
      </c>
      <c r="B3386" t="inlineStr">
        <is>
          <t>SPO-01813</t>
        </is>
      </c>
      <c r="C3386" t="inlineStr">
        <is>
          <t>SUP-02</t>
        </is>
      </c>
      <c r="D3386" t="inlineStr">
        <is>
          <t>ELEC</t>
        </is>
      </c>
      <c r="E3386" t="inlineStr">
        <is>
          <t>ELEC-07</t>
        </is>
      </c>
      <c r="F3386" s="17" t="n">
        <v>46071</v>
      </c>
      <c r="G3386" s="17" t="n">
        <v>46087</v>
      </c>
      <c r="H3386" s="18" t="n">
        <v>431</v>
      </c>
      <c r="I3386" s="19" t="n">
        <v>9.470000000000001</v>
      </c>
      <c r="J3386" s="19" t="n">
        <v>9.800000000000001</v>
      </c>
      <c r="K3386" s="20" t="n">
        <v>0</v>
      </c>
      <c r="L3386" s="20" t="n">
        <v>0</v>
      </c>
      <c r="M3386" s="18" t="n">
        <v>431</v>
      </c>
      <c r="N3386" s="18" t="n">
        <v>431</v>
      </c>
      <c r="O3386" s="18" t="n">
        <v>0</v>
      </c>
      <c r="P3386" s="17" t="n">
        <v>46087</v>
      </c>
      <c r="Q3386" s="17" t="n">
        <v>46087</v>
      </c>
      <c r="R3386" s="17" t="n">
        <v>46087</v>
      </c>
      <c r="S3386" s="19">
        <f>H3386*I3386</f>
        <v/>
      </c>
      <c r="T3386" s="19">
        <f>H3386*J3386</f>
        <v/>
      </c>
      <c r="U3386">
        <f>IF(AND(K3386=0,G3386&lt;=Assumptions!$C$6),1,0)</f>
        <v/>
      </c>
      <c r="V3386">
        <f>IF(U3386=1,IF(M3386&gt;0,IF(P3386&lt;=G3386+Assumptions!$C$7,1,0),0),0)</f>
        <v/>
      </c>
      <c r="W3386">
        <f>IF(AND(U3386=1,M3386&gt;=H3386*(1-Assumptions!$C$8)),1,0)</f>
        <v/>
      </c>
      <c r="X3386">
        <f>IF(AND(U3386=1,N3386&gt;=H3386*(1-Assumptions!$C$8)),1,0)</f>
        <v/>
      </c>
      <c r="Y3386">
        <f>IF(ISNUMBER(Q3386),1,0)</f>
        <v/>
      </c>
      <c r="Z3386">
        <f>IF(AND(K3386=0,L3386=0,Y3386=0),1,0)</f>
        <v/>
      </c>
      <c r="AA3386">
        <f>IF(AND(Z3386=1,G3386&lt;Assumptions!$C$6),1,0)</f>
        <v/>
      </c>
      <c r="AB3386">
        <f>IF(U3386=0,"",IF(Y3386=1,MAX(0,Q3386-G3386),IF(L3386=1,MAX(0,R3386-G3386),MAX(0,Assumptions!$C$6-G3386))))</f>
        <v/>
      </c>
      <c r="AC3386">
        <f>IF(Y3386=1,Q3386-F3386,"")</f>
        <v/>
      </c>
      <c r="AD3386">
        <f>IF(Y3386=1,AC3386^2,"")</f>
        <v/>
      </c>
      <c r="AE3386" s="19">
        <f>IF(Z3386=1,(H3386-M3386)*I3386,0)</f>
        <v/>
      </c>
      <c r="AF3386">
        <f>IF(G3386&lt;EDATE(Assumptions!$C$6,-12)+1,"prior_12m","last_12m")</f>
        <v/>
      </c>
      <c r="AG3386" s="21">
        <f>DATE(YEAR(G3386),MONTH(G3386),1)</f>
        <v/>
      </c>
    </row>
    <row r="3387">
      <c r="A3387" t="inlineStr">
        <is>
          <t>SPO-01813-2</t>
        </is>
      </c>
      <c r="B3387" t="inlineStr">
        <is>
          <t>SPO-01813</t>
        </is>
      </c>
      <c r="C3387" t="inlineStr">
        <is>
          <t>SUP-02</t>
        </is>
      </c>
      <c r="D3387" t="inlineStr">
        <is>
          <t>ELEC</t>
        </is>
      </c>
      <c r="E3387" t="inlineStr">
        <is>
          <t>ELEC-06</t>
        </is>
      </c>
      <c r="F3387" s="17" t="n">
        <v>46071</v>
      </c>
      <c r="G3387" s="17" t="n">
        <v>46087</v>
      </c>
      <c r="H3387" s="18" t="n">
        <v>9</v>
      </c>
      <c r="I3387" s="19" t="n">
        <v>139.64</v>
      </c>
      <c r="J3387" s="19" t="n">
        <v>145</v>
      </c>
      <c r="K3387" s="20" t="n">
        <v>0</v>
      </c>
      <c r="L3387" s="20" t="n">
        <v>0</v>
      </c>
      <c r="M3387" s="18" t="n">
        <v>9</v>
      </c>
      <c r="N3387" s="18" t="n">
        <v>9</v>
      </c>
      <c r="O3387" s="18" t="n">
        <v>0</v>
      </c>
      <c r="P3387" s="17" t="n">
        <v>46085</v>
      </c>
      <c r="Q3387" s="17" t="n">
        <v>46085</v>
      </c>
      <c r="R3387" s="17" t="n">
        <v>46085</v>
      </c>
      <c r="S3387" s="19">
        <f>H3387*I3387</f>
        <v/>
      </c>
      <c r="T3387" s="19">
        <f>H3387*J3387</f>
        <v/>
      </c>
      <c r="U3387">
        <f>IF(AND(K3387=0,G3387&lt;=Assumptions!$C$6),1,0)</f>
        <v/>
      </c>
      <c r="V3387">
        <f>IF(U3387=1,IF(M3387&gt;0,IF(P3387&lt;=G3387+Assumptions!$C$7,1,0),0),0)</f>
        <v/>
      </c>
      <c r="W3387">
        <f>IF(AND(U3387=1,M3387&gt;=H3387*(1-Assumptions!$C$8)),1,0)</f>
        <v/>
      </c>
      <c r="X3387">
        <f>IF(AND(U3387=1,N3387&gt;=H3387*(1-Assumptions!$C$8)),1,0)</f>
        <v/>
      </c>
      <c r="Y3387">
        <f>IF(ISNUMBER(Q3387),1,0)</f>
        <v/>
      </c>
      <c r="Z3387">
        <f>IF(AND(K3387=0,L3387=0,Y3387=0),1,0)</f>
        <v/>
      </c>
      <c r="AA3387">
        <f>IF(AND(Z3387=1,G3387&lt;Assumptions!$C$6),1,0)</f>
        <v/>
      </c>
      <c r="AB3387">
        <f>IF(U3387=0,"",IF(Y3387=1,MAX(0,Q3387-G3387),IF(L3387=1,MAX(0,R3387-G3387),MAX(0,Assumptions!$C$6-G3387))))</f>
        <v/>
      </c>
      <c r="AC3387">
        <f>IF(Y3387=1,Q3387-F3387,"")</f>
        <v/>
      </c>
      <c r="AD3387">
        <f>IF(Y3387=1,AC3387^2,"")</f>
        <v/>
      </c>
      <c r="AE3387" s="19">
        <f>IF(Z3387=1,(H3387-M3387)*I3387,0)</f>
        <v/>
      </c>
      <c r="AF3387">
        <f>IF(G3387&lt;EDATE(Assumptions!$C$6,-12)+1,"prior_12m","last_12m")</f>
        <v/>
      </c>
      <c r="AG3387" s="21">
        <f>DATE(YEAR(G3387),MONTH(G3387),1)</f>
        <v/>
      </c>
    </row>
    <row r="3388">
      <c r="A3388" t="inlineStr">
        <is>
          <t>SPO-01813-3</t>
        </is>
      </c>
      <c r="B3388" t="inlineStr">
        <is>
          <t>SPO-01813</t>
        </is>
      </c>
      <c r="C3388" t="inlineStr">
        <is>
          <t>SUP-02</t>
        </is>
      </c>
      <c r="D3388" t="inlineStr">
        <is>
          <t>ELEC</t>
        </is>
      </c>
      <c r="E3388" t="inlineStr">
        <is>
          <t>ELEC-03</t>
        </is>
      </c>
      <c r="F3388" s="17" t="n">
        <v>46071</v>
      </c>
      <c r="G3388" s="17" t="n">
        <v>46087</v>
      </c>
      <c r="H3388" s="18" t="n">
        <v>17</v>
      </c>
      <c r="I3388" s="19" t="n">
        <v>100.26</v>
      </c>
      <c r="J3388" s="19" t="n">
        <v>96</v>
      </c>
      <c r="K3388" s="20" t="n">
        <v>0</v>
      </c>
      <c r="L3388" s="20" t="n">
        <v>0</v>
      </c>
      <c r="M3388" s="18" t="n">
        <v>17</v>
      </c>
      <c r="N3388" s="18" t="n">
        <v>17</v>
      </c>
      <c r="O3388" s="18" t="n">
        <v>0</v>
      </c>
      <c r="P3388" s="17" t="n">
        <v>46083</v>
      </c>
      <c r="Q3388" s="17" t="n">
        <v>46083</v>
      </c>
      <c r="R3388" s="17" t="n">
        <v>46083</v>
      </c>
      <c r="S3388" s="19">
        <f>H3388*I3388</f>
        <v/>
      </c>
      <c r="T3388" s="19">
        <f>H3388*J3388</f>
        <v/>
      </c>
      <c r="U3388">
        <f>IF(AND(K3388=0,G3388&lt;=Assumptions!$C$6),1,0)</f>
        <v/>
      </c>
      <c r="V3388">
        <f>IF(U3388=1,IF(M3388&gt;0,IF(P3388&lt;=G3388+Assumptions!$C$7,1,0),0),0)</f>
        <v/>
      </c>
      <c r="W3388">
        <f>IF(AND(U3388=1,M3388&gt;=H3388*(1-Assumptions!$C$8)),1,0)</f>
        <v/>
      </c>
      <c r="X3388">
        <f>IF(AND(U3388=1,N3388&gt;=H3388*(1-Assumptions!$C$8)),1,0)</f>
        <v/>
      </c>
      <c r="Y3388">
        <f>IF(ISNUMBER(Q3388),1,0)</f>
        <v/>
      </c>
      <c r="Z3388">
        <f>IF(AND(K3388=0,L3388=0,Y3388=0),1,0)</f>
        <v/>
      </c>
      <c r="AA3388">
        <f>IF(AND(Z3388=1,G3388&lt;Assumptions!$C$6),1,0)</f>
        <v/>
      </c>
      <c r="AB3388">
        <f>IF(U3388=0,"",IF(Y3388=1,MAX(0,Q3388-G3388),IF(L3388=1,MAX(0,R3388-G3388),MAX(0,Assumptions!$C$6-G3388))))</f>
        <v/>
      </c>
      <c r="AC3388">
        <f>IF(Y3388=1,Q3388-F3388,"")</f>
        <v/>
      </c>
      <c r="AD3388">
        <f>IF(Y3388=1,AC3388^2,"")</f>
        <v/>
      </c>
      <c r="AE3388" s="19">
        <f>IF(Z3388=1,(H3388-M3388)*I3388,0)</f>
        <v/>
      </c>
      <c r="AF3388">
        <f>IF(G3388&lt;EDATE(Assumptions!$C$6,-12)+1,"prior_12m","last_12m")</f>
        <v/>
      </c>
      <c r="AG3388" s="21">
        <f>DATE(YEAR(G3388),MONTH(G3388),1)</f>
        <v/>
      </c>
    </row>
    <row r="3389">
      <c r="A3389" t="inlineStr">
        <is>
          <t>SPO-01813-4</t>
        </is>
      </c>
      <c r="B3389" t="inlineStr">
        <is>
          <t>SPO-01813</t>
        </is>
      </c>
      <c r="C3389" t="inlineStr">
        <is>
          <t>SUP-02</t>
        </is>
      </c>
      <c r="D3389" t="inlineStr">
        <is>
          <t>ELEC</t>
        </is>
      </c>
      <c r="E3389" t="inlineStr">
        <is>
          <t>ELEC-05</t>
        </is>
      </c>
      <c r="F3389" s="17" t="n">
        <v>46071</v>
      </c>
      <c r="G3389" s="17" t="n">
        <v>46087</v>
      </c>
      <c r="H3389" s="18" t="n">
        <v>146</v>
      </c>
      <c r="I3389" s="19" t="n">
        <v>11.37</v>
      </c>
      <c r="J3389" s="19" t="n">
        <v>11.5</v>
      </c>
      <c r="K3389" s="20" t="n">
        <v>0</v>
      </c>
      <c r="L3389" s="20" t="n">
        <v>0</v>
      </c>
      <c r="M3389" s="18" t="n">
        <v>146</v>
      </c>
      <c r="N3389" s="18" t="n">
        <v>146</v>
      </c>
      <c r="O3389" s="18" t="n">
        <v>0</v>
      </c>
      <c r="P3389" s="17" t="n">
        <v>46083</v>
      </c>
      <c r="Q3389" s="17" t="n">
        <v>46083</v>
      </c>
      <c r="R3389" s="17" t="n">
        <v>46083</v>
      </c>
      <c r="S3389" s="19">
        <f>H3389*I3389</f>
        <v/>
      </c>
      <c r="T3389" s="19">
        <f>H3389*J3389</f>
        <v/>
      </c>
      <c r="U3389">
        <f>IF(AND(K3389=0,G3389&lt;=Assumptions!$C$6),1,0)</f>
        <v/>
      </c>
      <c r="V3389">
        <f>IF(U3389=1,IF(M3389&gt;0,IF(P3389&lt;=G3389+Assumptions!$C$7,1,0),0),0)</f>
        <v/>
      </c>
      <c r="W3389">
        <f>IF(AND(U3389=1,M3389&gt;=H3389*(1-Assumptions!$C$8)),1,0)</f>
        <v/>
      </c>
      <c r="X3389">
        <f>IF(AND(U3389=1,N3389&gt;=H3389*(1-Assumptions!$C$8)),1,0)</f>
        <v/>
      </c>
      <c r="Y3389">
        <f>IF(ISNUMBER(Q3389),1,0)</f>
        <v/>
      </c>
      <c r="Z3389">
        <f>IF(AND(K3389=0,L3389=0,Y3389=0),1,0)</f>
        <v/>
      </c>
      <c r="AA3389">
        <f>IF(AND(Z3389=1,G3389&lt;Assumptions!$C$6),1,0)</f>
        <v/>
      </c>
      <c r="AB3389">
        <f>IF(U3389=0,"",IF(Y3389=1,MAX(0,Q3389-G3389),IF(L3389=1,MAX(0,R3389-G3389),MAX(0,Assumptions!$C$6-G3389))))</f>
        <v/>
      </c>
      <c r="AC3389">
        <f>IF(Y3389=1,Q3389-F3389,"")</f>
        <v/>
      </c>
      <c r="AD3389">
        <f>IF(Y3389=1,AC3389^2,"")</f>
        <v/>
      </c>
      <c r="AE3389" s="19">
        <f>IF(Z3389=1,(H3389-M3389)*I3389,0)</f>
        <v/>
      </c>
      <c r="AF3389">
        <f>IF(G3389&lt;EDATE(Assumptions!$C$6,-12)+1,"prior_12m","last_12m")</f>
        <v/>
      </c>
      <c r="AG3389" s="21">
        <f>DATE(YEAR(G3389),MONTH(G3389),1)</f>
        <v/>
      </c>
    </row>
    <row r="3390">
      <c r="A3390" t="inlineStr">
        <is>
          <t>SPO-01814-1</t>
        </is>
      </c>
      <c r="B3390" t="inlineStr">
        <is>
          <t>SPO-01814</t>
        </is>
      </c>
      <c r="C3390" t="inlineStr">
        <is>
          <t>SUP-07</t>
        </is>
      </c>
      <c r="D3390" t="inlineStr">
        <is>
          <t>MRO</t>
        </is>
      </c>
      <c r="E3390" t="inlineStr">
        <is>
          <t>MRO-08</t>
        </is>
      </c>
      <c r="F3390" s="17" t="n">
        <v>46071</v>
      </c>
      <c r="G3390" s="17" t="n">
        <v>46081</v>
      </c>
      <c r="H3390" s="18" t="n">
        <v>368</v>
      </c>
      <c r="I3390" s="19" t="n">
        <v>7.42</v>
      </c>
      <c r="J3390" s="19" t="n">
        <v>7.2</v>
      </c>
      <c r="K3390" s="20" t="n">
        <v>0</v>
      </c>
      <c r="L3390" s="20" t="n">
        <v>0</v>
      </c>
      <c r="M3390" s="18" t="n">
        <v>368</v>
      </c>
      <c r="N3390" s="18" t="n">
        <v>283</v>
      </c>
      <c r="O3390" s="18" t="n">
        <v>0</v>
      </c>
      <c r="P3390" s="17" t="n">
        <v>46079</v>
      </c>
      <c r="Q3390" s="17" t="n">
        <v>46089</v>
      </c>
      <c r="R3390" s="17" t="n">
        <v>46089</v>
      </c>
      <c r="S3390" s="19">
        <f>H3390*I3390</f>
        <v/>
      </c>
      <c r="T3390" s="19">
        <f>H3390*J3390</f>
        <v/>
      </c>
      <c r="U3390">
        <f>IF(AND(K3390=0,G3390&lt;=Assumptions!$C$6),1,0)</f>
        <v/>
      </c>
      <c r="V3390">
        <f>IF(U3390=1,IF(M3390&gt;0,IF(P3390&lt;=G3390+Assumptions!$C$7,1,0),0),0)</f>
        <v/>
      </c>
      <c r="W3390">
        <f>IF(AND(U3390=1,M3390&gt;=H3390*(1-Assumptions!$C$8)),1,0)</f>
        <v/>
      </c>
      <c r="X3390">
        <f>IF(AND(U3390=1,N3390&gt;=H3390*(1-Assumptions!$C$8)),1,0)</f>
        <v/>
      </c>
      <c r="Y3390">
        <f>IF(ISNUMBER(Q3390),1,0)</f>
        <v/>
      </c>
      <c r="Z3390">
        <f>IF(AND(K3390=0,L3390=0,Y3390=0),1,0)</f>
        <v/>
      </c>
      <c r="AA3390">
        <f>IF(AND(Z3390=1,G3390&lt;Assumptions!$C$6),1,0)</f>
        <v/>
      </c>
      <c r="AB3390">
        <f>IF(U3390=0,"",IF(Y3390=1,MAX(0,Q3390-G3390),IF(L3390=1,MAX(0,R3390-G3390),MAX(0,Assumptions!$C$6-G3390))))</f>
        <v/>
      </c>
      <c r="AC3390">
        <f>IF(Y3390=1,Q3390-F3390,"")</f>
        <v/>
      </c>
      <c r="AD3390">
        <f>IF(Y3390=1,AC3390^2,"")</f>
        <v/>
      </c>
      <c r="AE3390" s="19">
        <f>IF(Z3390=1,(H3390-M3390)*I3390,0)</f>
        <v/>
      </c>
      <c r="AF3390">
        <f>IF(G3390&lt;EDATE(Assumptions!$C$6,-12)+1,"prior_12m","last_12m")</f>
        <v/>
      </c>
      <c r="AG3390" s="21">
        <f>DATE(YEAR(G3390),MONTH(G3390),1)</f>
        <v/>
      </c>
    </row>
    <row r="3391">
      <c r="A3391" t="inlineStr">
        <is>
          <t>SPO-01814-2</t>
        </is>
      </c>
      <c r="B3391" t="inlineStr">
        <is>
          <t>SPO-01814</t>
        </is>
      </c>
      <c r="C3391" t="inlineStr">
        <is>
          <t>SUP-07</t>
        </is>
      </c>
      <c r="D3391" t="inlineStr">
        <is>
          <t>MRO</t>
        </is>
      </c>
      <c r="E3391" t="inlineStr">
        <is>
          <t>MRO-04</t>
        </is>
      </c>
      <c r="F3391" s="17" t="n">
        <v>46071</v>
      </c>
      <c r="G3391" s="17" t="n">
        <v>46081</v>
      </c>
      <c r="H3391" s="18" t="n">
        <v>24</v>
      </c>
      <c r="I3391" s="19" t="n">
        <v>55.64</v>
      </c>
      <c r="J3391" s="19" t="n">
        <v>58</v>
      </c>
      <c r="K3391" s="20" t="n">
        <v>0</v>
      </c>
      <c r="L3391" s="20" t="n">
        <v>0</v>
      </c>
      <c r="M3391" s="18" t="n">
        <v>24</v>
      </c>
      <c r="N3391" s="18" t="n">
        <v>24</v>
      </c>
      <c r="O3391" s="18" t="n">
        <v>0</v>
      </c>
      <c r="P3391" s="17" t="n">
        <v>46077</v>
      </c>
      <c r="Q3391" s="17" t="n">
        <v>46077</v>
      </c>
      <c r="R3391" s="17" t="n">
        <v>46077</v>
      </c>
      <c r="S3391" s="19">
        <f>H3391*I3391</f>
        <v/>
      </c>
      <c r="T3391" s="19">
        <f>H3391*J3391</f>
        <v/>
      </c>
      <c r="U3391">
        <f>IF(AND(K3391=0,G3391&lt;=Assumptions!$C$6),1,0)</f>
        <v/>
      </c>
      <c r="V3391">
        <f>IF(U3391=1,IF(M3391&gt;0,IF(P3391&lt;=G3391+Assumptions!$C$7,1,0),0),0)</f>
        <v/>
      </c>
      <c r="W3391">
        <f>IF(AND(U3391=1,M3391&gt;=H3391*(1-Assumptions!$C$8)),1,0)</f>
        <v/>
      </c>
      <c r="X3391">
        <f>IF(AND(U3391=1,N3391&gt;=H3391*(1-Assumptions!$C$8)),1,0)</f>
        <v/>
      </c>
      <c r="Y3391">
        <f>IF(ISNUMBER(Q3391),1,0)</f>
        <v/>
      </c>
      <c r="Z3391">
        <f>IF(AND(K3391=0,L3391=0,Y3391=0),1,0)</f>
        <v/>
      </c>
      <c r="AA3391">
        <f>IF(AND(Z3391=1,G3391&lt;Assumptions!$C$6),1,0)</f>
        <v/>
      </c>
      <c r="AB3391">
        <f>IF(U3391=0,"",IF(Y3391=1,MAX(0,Q3391-G3391),IF(L3391=1,MAX(0,R3391-G3391),MAX(0,Assumptions!$C$6-G3391))))</f>
        <v/>
      </c>
      <c r="AC3391">
        <f>IF(Y3391=1,Q3391-F3391,"")</f>
        <v/>
      </c>
      <c r="AD3391">
        <f>IF(Y3391=1,AC3391^2,"")</f>
        <v/>
      </c>
      <c r="AE3391" s="19">
        <f>IF(Z3391=1,(H3391-M3391)*I3391,0)</f>
        <v/>
      </c>
      <c r="AF3391">
        <f>IF(G3391&lt;EDATE(Assumptions!$C$6,-12)+1,"prior_12m","last_12m")</f>
        <v/>
      </c>
      <c r="AG3391" s="21">
        <f>DATE(YEAR(G3391),MONTH(G3391),1)</f>
        <v/>
      </c>
    </row>
    <row r="3392">
      <c r="A3392" t="inlineStr">
        <is>
          <t>SPO-01814-3</t>
        </is>
      </c>
      <c r="B3392" t="inlineStr">
        <is>
          <t>SPO-01814</t>
        </is>
      </c>
      <c r="C3392" t="inlineStr">
        <is>
          <t>SUP-07</t>
        </is>
      </c>
      <c r="D3392" t="inlineStr">
        <is>
          <t>MRO</t>
        </is>
      </c>
      <c r="E3392" t="inlineStr">
        <is>
          <t>MRO-06</t>
        </is>
      </c>
      <c r="F3392" s="17" t="n">
        <v>46071</v>
      </c>
      <c r="G3392" s="17" t="n">
        <v>46081</v>
      </c>
      <c r="H3392" s="18" t="n">
        <v>126</v>
      </c>
      <c r="I3392" s="19" t="n">
        <v>6.15</v>
      </c>
      <c r="J3392" s="19" t="n">
        <v>6.1</v>
      </c>
      <c r="K3392" s="20" t="n">
        <v>0</v>
      </c>
      <c r="L3392" s="20" t="n">
        <v>0</v>
      </c>
      <c r="M3392" s="18" t="n">
        <v>126</v>
      </c>
      <c r="N3392" s="18" t="n">
        <v>126</v>
      </c>
      <c r="O3392" s="18" t="n">
        <v>0</v>
      </c>
      <c r="P3392" s="17" t="n">
        <v>46077</v>
      </c>
      <c r="Q3392" s="17" t="n">
        <v>46077</v>
      </c>
      <c r="R3392" s="17" t="n">
        <v>46077</v>
      </c>
      <c r="S3392" s="19">
        <f>H3392*I3392</f>
        <v/>
      </c>
      <c r="T3392" s="19">
        <f>H3392*J3392</f>
        <v/>
      </c>
      <c r="U3392">
        <f>IF(AND(K3392=0,G3392&lt;=Assumptions!$C$6),1,0)</f>
        <v/>
      </c>
      <c r="V3392">
        <f>IF(U3392=1,IF(M3392&gt;0,IF(P3392&lt;=G3392+Assumptions!$C$7,1,0),0),0)</f>
        <v/>
      </c>
      <c r="W3392">
        <f>IF(AND(U3392=1,M3392&gt;=H3392*(1-Assumptions!$C$8)),1,0)</f>
        <v/>
      </c>
      <c r="X3392">
        <f>IF(AND(U3392=1,N3392&gt;=H3392*(1-Assumptions!$C$8)),1,0)</f>
        <v/>
      </c>
      <c r="Y3392">
        <f>IF(ISNUMBER(Q3392),1,0)</f>
        <v/>
      </c>
      <c r="Z3392">
        <f>IF(AND(K3392=0,L3392=0,Y3392=0),1,0)</f>
        <v/>
      </c>
      <c r="AA3392">
        <f>IF(AND(Z3392=1,G3392&lt;Assumptions!$C$6),1,0)</f>
        <v/>
      </c>
      <c r="AB3392">
        <f>IF(U3392=0,"",IF(Y3392=1,MAX(0,Q3392-G3392),IF(L3392=1,MAX(0,R3392-G3392),MAX(0,Assumptions!$C$6-G3392))))</f>
        <v/>
      </c>
      <c r="AC3392">
        <f>IF(Y3392=1,Q3392-F3392,"")</f>
        <v/>
      </c>
      <c r="AD3392">
        <f>IF(Y3392=1,AC3392^2,"")</f>
        <v/>
      </c>
      <c r="AE3392" s="19">
        <f>IF(Z3392=1,(H3392-M3392)*I3392,0)</f>
        <v/>
      </c>
      <c r="AF3392">
        <f>IF(G3392&lt;EDATE(Assumptions!$C$6,-12)+1,"prior_12m","last_12m")</f>
        <v/>
      </c>
      <c r="AG3392" s="21">
        <f>DATE(YEAR(G3392),MONTH(G3392),1)</f>
        <v/>
      </c>
    </row>
    <row r="3393">
      <c r="A3393" t="inlineStr">
        <is>
          <t>SPO-01815-1</t>
        </is>
      </c>
      <c r="B3393" t="inlineStr">
        <is>
          <t>SPO-01815</t>
        </is>
      </c>
      <c r="C3393" t="inlineStr">
        <is>
          <t>SUP-02</t>
        </is>
      </c>
      <c r="D3393" t="inlineStr">
        <is>
          <t>ELEC</t>
        </is>
      </c>
      <c r="E3393" t="inlineStr">
        <is>
          <t>ELEC-07</t>
        </is>
      </c>
      <c r="F3393" s="17" t="n">
        <v>46071</v>
      </c>
      <c r="G3393" s="17" t="n">
        <v>46087</v>
      </c>
      <c r="H3393" s="18" t="n">
        <v>119</v>
      </c>
      <c r="I3393" s="19" t="n">
        <v>10.1</v>
      </c>
      <c r="J3393" s="19" t="n">
        <v>9.800000000000001</v>
      </c>
      <c r="K3393" s="20" t="n">
        <v>0</v>
      </c>
      <c r="L3393" s="20" t="n">
        <v>0</v>
      </c>
      <c r="M3393" s="18" t="n">
        <v>119</v>
      </c>
      <c r="N3393" s="18" t="n">
        <v>119</v>
      </c>
      <c r="O3393" s="18" t="n">
        <v>0</v>
      </c>
      <c r="P3393" s="17" t="n">
        <v>46080</v>
      </c>
      <c r="Q3393" s="17" t="n">
        <v>46080</v>
      </c>
      <c r="R3393" s="17" t="n">
        <v>46080</v>
      </c>
      <c r="S3393" s="19">
        <f>H3393*I3393</f>
        <v/>
      </c>
      <c r="T3393" s="19">
        <f>H3393*J3393</f>
        <v/>
      </c>
      <c r="U3393">
        <f>IF(AND(K3393=0,G3393&lt;=Assumptions!$C$6),1,0)</f>
        <v/>
      </c>
      <c r="V3393">
        <f>IF(U3393=1,IF(M3393&gt;0,IF(P3393&lt;=G3393+Assumptions!$C$7,1,0),0),0)</f>
        <v/>
      </c>
      <c r="W3393">
        <f>IF(AND(U3393=1,M3393&gt;=H3393*(1-Assumptions!$C$8)),1,0)</f>
        <v/>
      </c>
      <c r="X3393">
        <f>IF(AND(U3393=1,N3393&gt;=H3393*(1-Assumptions!$C$8)),1,0)</f>
        <v/>
      </c>
      <c r="Y3393">
        <f>IF(ISNUMBER(Q3393),1,0)</f>
        <v/>
      </c>
      <c r="Z3393">
        <f>IF(AND(K3393=0,L3393=0,Y3393=0),1,0)</f>
        <v/>
      </c>
      <c r="AA3393">
        <f>IF(AND(Z3393=1,G3393&lt;Assumptions!$C$6),1,0)</f>
        <v/>
      </c>
      <c r="AB3393">
        <f>IF(U3393=0,"",IF(Y3393=1,MAX(0,Q3393-G3393),IF(L3393=1,MAX(0,R3393-G3393),MAX(0,Assumptions!$C$6-G3393))))</f>
        <v/>
      </c>
      <c r="AC3393">
        <f>IF(Y3393=1,Q3393-F3393,"")</f>
        <v/>
      </c>
      <c r="AD3393">
        <f>IF(Y3393=1,AC3393^2,"")</f>
        <v/>
      </c>
      <c r="AE3393" s="19">
        <f>IF(Z3393=1,(H3393-M3393)*I3393,0)</f>
        <v/>
      </c>
      <c r="AF3393">
        <f>IF(G3393&lt;EDATE(Assumptions!$C$6,-12)+1,"prior_12m","last_12m")</f>
        <v/>
      </c>
      <c r="AG3393" s="21">
        <f>DATE(YEAR(G3393),MONTH(G3393),1)</f>
        <v/>
      </c>
    </row>
    <row r="3394">
      <c r="A3394" t="inlineStr">
        <is>
          <t>SPO-01815-2</t>
        </is>
      </c>
      <c r="B3394" t="inlineStr">
        <is>
          <t>SPO-01815</t>
        </is>
      </c>
      <c r="C3394" t="inlineStr">
        <is>
          <t>SUP-02</t>
        </is>
      </c>
      <c r="D3394" t="inlineStr">
        <is>
          <t>ELEC</t>
        </is>
      </c>
      <c r="E3394" t="inlineStr">
        <is>
          <t>ELEC-01</t>
        </is>
      </c>
      <c r="F3394" s="17" t="n">
        <v>46071</v>
      </c>
      <c r="G3394" s="17" t="n">
        <v>46087</v>
      </c>
      <c r="H3394" s="18" t="n">
        <v>49</v>
      </c>
      <c r="I3394" s="19" t="n">
        <v>37.06</v>
      </c>
      <c r="J3394" s="19" t="n">
        <v>38</v>
      </c>
      <c r="K3394" s="20" t="n">
        <v>0</v>
      </c>
      <c r="L3394" s="20" t="n">
        <v>0</v>
      </c>
      <c r="M3394" s="18" t="n">
        <v>49</v>
      </c>
      <c r="N3394" s="18" t="n">
        <v>49</v>
      </c>
      <c r="O3394" s="18" t="n">
        <v>0</v>
      </c>
      <c r="P3394" s="17" t="n">
        <v>46084</v>
      </c>
      <c r="Q3394" s="17" t="n">
        <v>46084</v>
      </c>
      <c r="R3394" s="17" t="n">
        <v>46084</v>
      </c>
      <c r="S3394" s="19">
        <f>H3394*I3394</f>
        <v/>
      </c>
      <c r="T3394" s="19">
        <f>H3394*J3394</f>
        <v/>
      </c>
      <c r="U3394">
        <f>IF(AND(K3394=0,G3394&lt;=Assumptions!$C$6),1,0)</f>
        <v/>
      </c>
      <c r="V3394">
        <f>IF(U3394=1,IF(M3394&gt;0,IF(P3394&lt;=G3394+Assumptions!$C$7,1,0),0),0)</f>
        <v/>
      </c>
      <c r="W3394">
        <f>IF(AND(U3394=1,M3394&gt;=H3394*(1-Assumptions!$C$8)),1,0)</f>
        <v/>
      </c>
      <c r="X3394">
        <f>IF(AND(U3394=1,N3394&gt;=H3394*(1-Assumptions!$C$8)),1,0)</f>
        <v/>
      </c>
      <c r="Y3394">
        <f>IF(ISNUMBER(Q3394),1,0)</f>
        <v/>
      </c>
      <c r="Z3394">
        <f>IF(AND(K3394=0,L3394=0,Y3394=0),1,0)</f>
        <v/>
      </c>
      <c r="AA3394">
        <f>IF(AND(Z3394=1,G3394&lt;Assumptions!$C$6),1,0)</f>
        <v/>
      </c>
      <c r="AB3394">
        <f>IF(U3394=0,"",IF(Y3394=1,MAX(0,Q3394-G3394),IF(L3394=1,MAX(0,R3394-G3394),MAX(0,Assumptions!$C$6-G3394))))</f>
        <v/>
      </c>
      <c r="AC3394">
        <f>IF(Y3394=1,Q3394-F3394,"")</f>
        <v/>
      </c>
      <c r="AD3394">
        <f>IF(Y3394=1,AC3394^2,"")</f>
        <v/>
      </c>
      <c r="AE3394" s="19">
        <f>IF(Z3394=1,(H3394-M3394)*I3394,0)</f>
        <v/>
      </c>
      <c r="AF3394">
        <f>IF(G3394&lt;EDATE(Assumptions!$C$6,-12)+1,"prior_12m","last_12m")</f>
        <v/>
      </c>
      <c r="AG3394" s="21">
        <f>DATE(YEAR(G3394),MONTH(G3394),1)</f>
        <v/>
      </c>
    </row>
    <row r="3395">
      <c r="A3395" t="inlineStr">
        <is>
          <t>SPO-01815-3</t>
        </is>
      </c>
      <c r="B3395" t="inlineStr">
        <is>
          <t>SPO-01815</t>
        </is>
      </c>
      <c r="C3395" t="inlineStr">
        <is>
          <t>SUP-02</t>
        </is>
      </c>
      <c r="D3395" t="inlineStr">
        <is>
          <t>ELEC</t>
        </is>
      </c>
      <c r="E3395" t="inlineStr">
        <is>
          <t>ELEC-02</t>
        </is>
      </c>
      <c r="F3395" s="17" t="n">
        <v>46071</v>
      </c>
      <c r="G3395" s="17" t="n">
        <v>46087</v>
      </c>
      <c r="H3395" s="18" t="n">
        <v>344</v>
      </c>
      <c r="I3395" s="19" t="n">
        <v>4.25</v>
      </c>
      <c r="J3395" s="19" t="n">
        <v>4.2</v>
      </c>
      <c r="K3395" s="20" t="n">
        <v>0</v>
      </c>
      <c r="L3395" s="20" t="n">
        <v>0</v>
      </c>
      <c r="M3395" s="18" t="n">
        <v>344</v>
      </c>
      <c r="N3395" s="18" t="n">
        <v>344</v>
      </c>
      <c r="O3395" s="18" t="n">
        <v>0</v>
      </c>
      <c r="P3395" s="17" t="n">
        <v>46083</v>
      </c>
      <c r="Q3395" s="17" t="n">
        <v>46083</v>
      </c>
      <c r="R3395" s="17" t="n">
        <v>46083</v>
      </c>
      <c r="S3395" s="19">
        <f>H3395*I3395</f>
        <v/>
      </c>
      <c r="T3395" s="19">
        <f>H3395*J3395</f>
        <v/>
      </c>
      <c r="U3395">
        <f>IF(AND(K3395=0,G3395&lt;=Assumptions!$C$6),1,0)</f>
        <v/>
      </c>
      <c r="V3395">
        <f>IF(U3395=1,IF(M3395&gt;0,IF(P3395&lt;=G3395+Assumptions!$C$7,1,0),0),0)</f>
        <v/>
      </c>
      <c r="W3395">
        <f>IF(AND(U3395=1,M3395&gt;=H3395*(1-Assumptions!$C$8)),1,0)</f>
        <v/>
      </c>
      <c r="X3395">
        <f>IF(AND(U3395=1,N3395&gt;=H3395*(1-Assumptions!$C$8)),1,0)</f>
        <v/>
      </c>
      <c r="Y3395">
        <f>IF(ISNUMBER(Q3395),1,0)</f>
        <v/>
      </c>
      <c r="Z3395">
        <f>IF(AND(K3395=0,L3395=0,Y3395=0),1,0)</f>
        <v/>
      </c>
      <c r="AA3395">
        <f>IF(AND(Z3395=1,G3395&lt;Assumptions!$C$6),1,0)</f>
        <v/>
      </c>
      <c r="AB3395">
        <f>IF(U3395=0,"",IF(Y3395=1,MAX(0,Q3395-G3395),IF(L3395=1,MAX(0,R3395-G3395),MAX(0,Assumptions!$C$6-G3395))))</f>
        <v/>
      </c>
      <c r="AC3395">
        <f>IF(Y3395=1,Q3395-F3395,"")</f>
        <v/>
      </c>
      <c r="AD3395">
        <f>IF(Y3395=1,AC3395^2,"")</f>
        <v/>
      </c>
      <c r="AE3395" s="19">
        <f>IF(Z3395=1,(H3395-M3395)*I3395,0)</f>
        <v/>
      </c>
      <c r="AF3395">
        <f>IF(G3395&lt;EDATE(Assumptions!$C$6,-12)+1,"prior_12m","last_12m")</f>
        <v/>
      </c>
      <c r="AG3395" s="21">
        <f>DATE(YEAR(G3395),MONTH(G3395),1)</f>
        <v/>
      </c>
    </row>
    <row r="3396">
      <c r="A3396" t="inlineStr">
        <is>
          <t>SPO-01816-1</t>
        </is>
      </c>
      <c r="B3396" t="inlineStr">
        <is>
          <t>SPO-01816</t>
        </is>
      </c>
      <c r="C3396" t="inlineStr">
        <is>
          <t>SUP-01</t>
        </is>
      </c>
      <c r="D3396" t="inlineStr">
        <is>
          <t>ELEC</t>
        </is>
      </c>
      <c r="E3396" t="inlineStr">
        <is>
          <t>ELEC-01</t>
        </is>
      </c>
      <c r="F3396" s="17" t="n">
        <v>46072</v>
      </c>
      <c r="G3396" s="17" t="n">
        <v>46090</v>
      </c>
      <c r="H3396" s="18" t="n">
        <v>80</v>
      </c>
      <c r="I3396" s="19" t="n">
        <v>37.46</v>
      </c>
      <c r="J3396" s="19" t="n">
        <v>38</v>
      </c>
      <c r="K3396" s="20" t="n">
        <v>0</v>
      </c>
      <c r="L3396" s="20" t="n">
        <v>0</v>
      </c>
      <c r="M3396" s="18" t="n">
        <v>80</v>
      </c>
      <c r="N3396" s="18" t="n">
        <v>80</v>
      </c>
      <c r="O3396" s="18" t="n">
        <v>0</v>
      </c>
      <c r="P3396" s="17" t="n">
        <v>46086</v>
      </c>
      <c r="Q3396" s="17" t="n">
        <v>46086</v>
      </c>
      <c r="R3396" s="17" t="n">
        <v>46086</v>
      </c>
      <c r="S3396" s="19">
        <f>H3396*I3396</f>
        <v/>
      </c>
      <c r="T3396" s="19">
        <f>H3396*J3396</f>
        <v/>
      </c>
      <c r="U3396">
        <f>IF(AND(K3396=0,G3396&lt;=Assumptions!$C$6),1,0)</f>
        <v/>
      </c>
      <c r="V3396">
        <f>IF(U3396=1,IF(M3396&gt;0,IF(P3396&lt;=G3396+Assumptions!$C$7,1,0),0),0)</f>
        <v/>
      </c>
      <c r="W3396">
        <f>IF(AND(U3396=1,M3396&gt;=H3396*(1-Assumptions!$C$8)),1,0)</f>
        <v/>
      </c>
      <c r="X3396">
        <f>IF(AND(U3396=1,N3396&gt;=H3396*(1-Assumptions!$C$8)),1,0)</f>
        <v/>
      </c>
      <c r="Y3396">
        <f>IF(ISNUMBER(Q3396),1,0)</f>
        <v/>
      </c>
      <c r="Z3396">
        <f>IF(AND(K3396=0,L3396=0,Y3396=0),1,0)</f>
        <v/>
      </c>
      <c r="AA3396">
        <f>IF(AND(Z3396=1,G3396&lt;Assumptions!$C$6),1,0)</f>
        <v/>
      </c>
      <c r="AB3396">
        <f>IF(U3396=0,"",IF(Y3396=1,MAX(0,Q3396-G3396),IF(L3396=1,MAX(0,R3396-G3396),MAX(0,Assumptions!$C$6-G3396))))</f>
        <v/>
      </c>
      <c r="AC3396">
        <f>IF(Y3396=1,Q3396-F3396,"")</f>
        <v/>
      </c>
      <c r="AD3396">
        <f>IF(Y3396=1,AC3396^2,"")</f>
        <v/>
      </c>
      <c r="AE3396" s="19">
        <f>IF(Z3396=1,(H3396-M3396)*I3396,0)</f>
        <v/>
      </c>
      <c r="AF3396">
        <f>IF(G3396&lt;EDATE(Assumptions!$C$6,-12)+1,"prior_12m","last_12m")</f>
        <v/>
      </c>
      <c r="AG3396" s="21">
        <f>DATE(YEAR(G3396),MONTH(G3396),1)</f>
        <v/>
      </c>
    </row>
    <row r="3397">
      <c r="A3397" t="inlineStr">
        <is>
          <t>SPO-01816-2</t>
        </is>
      </c>
      <c r="B3397" t="inlineStr">
        <is>
          <t>SPO-01816</t>
        </is>
      </c>
      <c r="C3397" t="inlineStr">
        <is>
          <t>SUP-01</t>
        </is>
      </c>
      <c r="D3397" t="inlineStr">
        <is>
          <t>ELEC</t>
        </is>
      </c>
      <c r="E3397" t="inlineStr">
        <is>
          <t>ELEC-02</t>
        </is>
      </c>
      <c r="F3397" s="17" t="n">
        <v>46072</v>
      </c>
      <c r="G3397" s="17" t="n">
        <v>46090</v>
      </c>
      <c r="H3397" s="18" t="n">
        <v>477</v>
      </c>
      <c r="I3397" s="19" t="n">
        <v>4.22</v>
      </c>
      <c r="J3397" s="19" t="n">
        <v>4.2</v>
      </c>
      <c r="K3397" s="20" t="n">
        <v>0</v>
      </c>
      <c r="L3397" s="20" t="n">
        <v>0</v>
      </c>
      <c r="M3397" s="18" t="n">
        <v>477</v>
      </c>
      <c r="N3397" s="18" t="n">
        <v>0</v>
      </c>
      <c r="O3397" s="18" t="n">
        <v>0</v>
      </c>
      <c r="P3397" s="17" t="n">
        <v>46091</v>
      </c>
      <c r="Q3397" s="17" t="n">
        <v>46091</v>
      </c>
      <c r="R3397" s="17" t="n">
        <v>46091</v>
      </c>
      <c r="S3397" s="19">
        <f>H3397*I3397</f>
        <v/>
      </c>
      <c r="T3397" s="19">
        <f>H3397*J3397</f>
        <v/>
      </c>
      <c r="U3397">
        <f>IF(AND(K3397=0,G3397&lt;=Assumptions!$C$6),1,0)</f>
        <v/>
      </c>
      <c r="V3397">
        <f>IF(U3397=1,IF(M3397&gt;0,IF(P3397&lt;=G3397+Assumptions!$C$7,1,0),0),0)</f>
        <v/>
      </c>
      <c r="W3397">
        <f>IF(AND(U3397=1,M3397&gt;=H3397*(1-Assumptions!$C$8)),1,0)</f>
        <v/>
      </c>
      <c r="X3397">
        <f>IF(AND(U3397=1,N3397&gt;=H3397*(1-Assumptions!$C$8)),1,0)</f>
        <v/>
      </c>
      <c r="Y3397">
        <f>IF(ISNUMBER(Q3397),1,0)</f>
        <v/>
      </c>
      <c r="Z3397">
        <f>IF(AND(K3397=0,L3397=0,Y3397=0),1,0)</f>
        <v/>
      </c>
      <c r="AA3397">
        <f>IF(AND(Z3397=1,G3397&lt;Assumptions!$C$6),1,0)</f>
        <v/>
      </c>
      <c r="AB3397">
        <f>IF(U3397=0,"",IF(Y3397=1,MAX(0,Q3397-G3397),IF(L3397=1,MAX(0,R3397-G3397),MAX(0,Assumptions!$C$6-G3397))))</f>
        <v/>
      </c>
      <c r="AC3397">
        <f>IF(Y3397=1,Q3397-F3397,"")</f>
        <v/>
      </c>
      <c r="AD3397">
        <f>IF(Y3397=1,AC3397^2,"")</f>
        <v/>
      </c>
      <c r="AE3397" s="19">
        <f>IF(Z3397=1,(H3397-M3397)*I3397,0)</f>
        <v/>
      </c>
      <c r="AF3397">
        <f>IF(G3397&lt;EDATE(Assumptions!$C$6,-12)+1,"prior_12m","last_12m")</f>
        <v/>
      </c>
      <c r="AG3397" s="21">
        <f>DATE(YEAR(G3397),MONTH(G3397),1)</f>
        <v/>
      </c>
    </row>
    <row r="3398">
      <c r="A3398" t="inlineStr">
        <is>
          <t>SPO-01817-1</t>
        </is>
      </c>
      <c r="B3398" t="inlineStr">
        <is>
          <t>SPO-01817</t>
        </is>
      </c>
      <c r="C3398" t="inlineStr">
        <is>
          <t>SUP-12</t>
        </is>
      </c>
      <c r="D3398" t="inlineStr">
        <is>
          <t>IT</t>
        </is>
      </c>
      <c r="E3398" t="inlineStr">
        <is>
          <t>IT-01</t>
        </is>
      </c>
      <c r="F3398" s="17" t="n">
        <v>46072</v>
      </c>
      <c r="G3398" s="17" t="n">
        <v>46082</v>
      </c>
      <c r="H3398" s="18" t="n">
        <v>8</v>
      </c>
      <c r="I3398" s="19" t="n">
        <v>206.8</v>
      </c>
      <c r="J3398" s="19" t="n">
        <v>189</v>
      </c>
      <c r="K3398" s="20" t="n">
        <v>0</v>
      </c>
      <c r="L3398" s="20" t="n">
        <v>0</v>
      </c>
      <c r="M3398" s="18" t="n">
        <v>8</v>
      </c>
      <c r="N3398" s="18" t="n">
        <v>8</v>
      </c>
      <c r="O3398" s="18" t="n">
        <v>0</v>
      </c>
      <c r="P3398" s="17" t="n">
        <v>46081</v>
      </c>
      <c r="Q3398" s="17" t="n">
        <v>46081</v>
      </c>
      <c r="R3398" s="17" t="n">
        <v>46081</v>
      </c>
      <c r="S3398" s="19">
        <f>H3398*I3398</f>
        <v/>
      </c>
      <c r="T3398" s="19">
        <f>H3398*J3398</f>
        <v/>
      </c>
      <c r="U3398">
        <f>IF(AND(K3398=0,G3398&lt;=Assumptions!$C$6),1,0)</f>
        <v/>
      </c>
      <c r="V3398">
        <f>IF(U3398=1,IF(M3398&gt;0,IF(P3398&lt;=G3398+Assumptions!$C$7,1,0),0),0)</f>
        <v/>
      </c>
      <c r="W3398">
        <f>IF(AND(U3398=1,M3398&gt;=H3398*(1-Assumptions!$C$8)),1,0)</f>
        <v/>
      </c>
      <c r="X3398">
        <f>IF(AND(U3398=1,N3398&gt;=H3398*(1-Assumptions!$C$8)),1,0)</f>
        <v/>
      </c>
      <c r="Y3398">
        <f>IF(ISNUMBER(Q3398),1,0)</f>
        <v/>
      </c>
      <c r="Z3398">
        <f>IF(AND(K3398=0,L3398=0,Y3398=0),1,0)</f>
        <v/>
      </c>
      <c r="AA3398">
        <f>IF(AND(Z3398=1,G3398&lt;Assumptions!$C$6),1,0)</f>
        <v/>
      </c>
      <c r="AB3398">
        <f>IF(U3398=0,"",IF(Y3398=1,MAX(0,Q3398-G3398),IF(L3398=1,MAX(0,R3398-G3398),MAX(0,Assumptions!$C$6-G3398))))</f>
        <v/>
      </c>
      <c r="AC3398">
        <f>IF(Y3398=1,Q3398-F3398,"")</f>
        <v/>
      </c>
      <c r="AD3398">
        <f>IF(Y3398=1,AC3398^2,"")</f>
        <v/>
      </c>
      <c r="AE3398" s="19">
        <f>IF(Z3398=1,(H3398-M3398)*I3398,0)</f>
        <v/>
      </c>
      <c r="AF3398">
        <f>IF(G3398&lt;EDATE(Assumptions!$C$6,-12)+1,"prior_12m","last_12m")</f>
        <v/>
      </c>
      <c r="AG3398" s="21">
        <f>DATE(YEAR(G3398),MONTH(G3398),1)</f>
        <v/>
      </c>
    </row>
    <row r="3399">
      <c r="A3399" t="inlineStr">
        <is>
          <t>SPO-01817-2</t>
        </is>
      </c>
      <c r="B3399" t="inlineStr">
        <is>
          <t>SPO-01817</t>
        </is>
      </c>
      <c r="C3399" t="inlineStr">
        <is>
          <t>SUP-12</t>
        </is>
      </c>
      <c r="D3399" t="inlineStr">
        <is>
          <t>IT</t>
        </is>
      </c>
      <c r="E3399" t="inlineStr">
        <is>
          <t>IT-03</t>
        </is>
      </c>
      <c r="F3399" s="17" t="n">
        <v>46072</v>
      </c>
      <c r="G3399" s="17" t="n">
        <v>46082</v>
      </c>
      <c r="H3399" s="18" t="n">
        <v>14</v>
      </c>
      <c r="I3399" s="19" t="n">
        <v>41.62</v>
      </c>
      <c r="J3399" s="19" t="n">
        <v>38</v>
      </c>
      <c r="K3399" s="20" t="n">
        <v>0</v>
      </c>
      <c r="L3399" s="20" t="n">
        <v>0</v>
      </c>
      <c r="M3399" s="18" t="n">
        <v>14</v>
      </c>
      <c r="N3399" s="18" t="n">
        <v>14</v>
      </c>
      <c r="O3399" s="18" t="n">
        <v>0</v>
      </c>
      <c r="P3399" s="17" t="n">
        <v>46080</v>
      </c>
      <c r="Q3399" s="17" t="n">
        <v>46080</v>
      </c>
      <c r="R3399" s="17" t="n">
        <v>46080</v>
      </c>
      <c r="S3399" s="19">
        <f>H3399*I3399</f>
        <v/>
      </c>
      <c r="T3399" s="19">
        <f>H3399*J3399</f>
        <v/>
      </c>
      <c r="U3399">
        <f>IF(AND(K3399=0,G3399&lt;=Assumptions!$C$6),1,0)</f>
        <v/>
      </c>
      <c r="V3399">
        <f>IF(U3399=1,IF(M3399&gt;0,IF(P3399&lt;=G3399+Assumptions!$C$7,1,0),0),0)</f>
        <v/>
      </c>
      <c r="W3399">
        <f>IF(AND(U3399=1,M3399&gt;=H3399*(1-Assumptions!$C$8)),1,0)</f>
        <v/>
      </c>
      <c r="X3399">
        <f>IF(AND(U3399=1,N3399&gt;=H3399*(1-Assumptions!$C$8)),1,0)</f>
        <v/>
      </c>
      <c r="Y3399">
        <f>IF(ISNUMBER(Q3399),1,0)</f>
        <v/>
      </c>
      <c r="Z3399">
        <f>IF(AND(K3399=0,L3399=0,Y3399=0),1,0)</f>
        <v/>
      </c>
      <c r="AA3399">
        <f>IF(AND(Z3399=1,G3399&lt;Assumptions!$C$6),1,0)</f>
        <v/>
      </c>
      <c r="AB3399">
        <f>IF(U3399=0,"",IF(Y3399=1,MAX(0,Q3399-G3399),IF(L3399=1,MAX(0,R3399-G3399),MAX(0,Assumptions!$C$6-G3399))))</f>
        <v/>
      </c>
      <c r="AC3399">
        <f>IF(Y3399=1,Q3399-F3399,"")</f>
        <v/>
      </c>
      <c r="AD3399">
        <f>IF(Y3399=1,AC3399^2,"")</f>
        <v/>
      </c>
      <c r="AE3399" s="19">
        <f>IF(Z3399=1,(H3399-M3399)*I3399,0)</f>
        <v/>
      </c>
      <c r="AF3399">
        <f>IF(G3399&lt;EDATE(Assumptions!$C$6,-12)+1,"prior_12m","last_12m")</f>
        <v/>
      </c>
      <c r="AG3399" s="21">
        <f>DATE(YEAR(G3399),MONTH(G3399),1)</f>
        <v/>
      </c>
    </row>
    <row r="3400">
      <c r="A3400" t="inlineStr">
        <is>
          <t>SPO-01818-1</t>
        </is>
      </c>
      <c r="B3400" t="inlineStr">
        <is>
          <t>SPO-01818</t>
        </is>
      </c>
      <c r="C3400" t="inlineStr">
        <is>
          <t>SUP-05</t>
        </is>
      </c>
      <c r="D3400" t="inlineStr">
        <is>
          <t>FLEET</t>
        </is>
      </c>
      <c r="E3400" t="inlineStr">
        <is>
          <t>FLEET-01</t>
        </is>
      </c>
      <c r="F3400" s="17" t="n">
        <v>46072</v>
      </c>
      <c r="G3400" s="17" t="n">
        <v>46086</v>
      </c>
      <c r="H3400" s="18" t="n">
        <v>40</v>
      </c>
      <c r="I3400" s="19" t="n">
        <v>65.90000000000001</v>
      </c>
      <c r="J3400" s="19" t="n">
        <v>64</v>
      </c>
      <c r="K3400" s="20" t="n">
        <v>0</v>
      </c>
      <c r="L3400" s="20" t="n">
        <v>0</v>
      </c>
      <c r="M3400" s="18" t="n">
        <v>40</v>
      </c>
      <c r="N3400" s="18" t="n">
        <v>40</v>
      </c>
      <c r="O3400" s="18" t="n">
        <v>0</v>
      </c>
      <c r="P3400" s="17" t="n">
        <v>46080</v>
      </c>
      <c r="Q3400" s="17" t="n">
        <v>46080</v>
      </c>
      <c r="R3400" s="17" t="n">
        <v>46080</v>
      </c>
      <c r="S3400" s="19">
        <f>H3400*I3400</f>
        <v/>
      </c>
      <c r="T3400" s="19">
        <f>H3400*J3400</f>
        <v/>
      </c>
      <c r="U3400">
        <f>IF(AND(K3400=0,G3400&lt;=Assumptions!$C$6),1,0)</f>
        <v/>
      </c>
      <c r="V3400">
        <f>IF(U3400=1,IF(M3400&gt;0,IF(P3400&lt;=G3400+Assumptions!$C$7,1,0),0),0)</f>
        <v/>
      </c>
      <c r="W3400">
        <f>IF(AND(U3400=1,M3400&gt;=H3400*(1-Assumptions!$C$8)),1,0)</f>
        <v/>
      </c>
      <c r="X3400">
        <f>IF(AND(U3400=1,N3400&gt;=H3400*(1-Assumptions!$C$8)),1,0)</f>
        <v/>
      </c>
      <c r="Y3400">
        <f>IF(ISNUMBER(Q3400),1,0)</f>
        <v/>
      </c>
      <c r="Z3400">
        <f>IF(AND(K3400=0,L3400=0,Y3400=0),1,0)</f>
        <v/>
      </c>
      <c r="AA3400">
        <f>IF(AND(Z3400=1,G3400&lt;Assumptions!$C$6),1,0)</f>
        <v/>
      </c>
      <c r="AB3400">
        <f>IF(U3400=0,"",IF(Y3400=1,MAX(0,Q3400-G3400),IF(L3400=1,MAX(0,R3400-G3400),MAX(0,Assumptions!$C$6-G3400))))</f>
        <v/>
      </c>
      <c r="AC3400">
        <f>IF(Y3400=1,Q3400-F3400,"")</f>
        <v/>
      </c>
      <c r="AD3400">
        <f>IF(Y3400=1,AC3400^2,"")</f>
        <v/>
      </c>
      <c r="AE3400" s="19">
        <f>IF(Z3400=1,(H3400-M3400)*I3400,0)</f>
        <v/>
      </c>
      <c r="AF3400">
        <f>IF(G3400&lt;EDATE(Assumptions!$C$6,-12)+1,"prior_12m","last_12m")</f>
        <v/>
      </c>
      <c r="AG3400" s="21">
        <f>DATE(YEAR(G3400),MONTH(G3400),1)</f>
        <v/>
      </c>
    </row>
    <row r="3401">
      <c r="A3401" t="inlineStr">
        <is>
          <t>SPO-01818-2</t>
        </is>
      </c>
      <c r="B3401" t="inlineStr">
        <is>
          <t>SPO-01818</t>
        </is>
      </c>
      <c r="C3401" t="inlineStr">
        <is>
          <t>SUP-05</t>
        </is>
      </c>
      <c r="D3401" t="inlineStr">
        <is>
          <t>FLEET</t>
        </is>
      </c>
      <c r="E3401" t="inlineStr">
        <is>
          <t>FLEET-08</t>
        </is>
      </c>
      <c r="F3401" s="17" t="n">
        <v>46072</v>
      </c>
      <c r="G3401" s="17" t="n">
        <v>46086</v>
      </c>
      <c r="H3401" s="18" t="n">
        <v>436</v>
      </c>
      <c r="I3401" s="19" t="n">
        <v>6.78</v>
      </c>
      <c r="J3401" s="19" t="n">
        <v>6.4</v>
      </c>
      <c r="K3401" s="20" t="n">
        <v>0</v>
      </c>
      <c r="L3401" s="20" t="n">
        <v>0</v>
      </c>
      <c r="M3401" s="18" t="n">
        <v>436</v>
      </c>
      <c r="N3401" s="18" t="n">
        <v>436</v>
      </c>
      <c r="O3401" s="18" t="n">
        <v>0</v>
      </c>
      <c r="P3401" s="17" t="n">
        <v>46084</v>
      </c>
      <c r="Q3401" s="17" t="n">
        <v>46084</v>
      </c>
      <c r="R3401" s="17" t="n">
        <v>46084</v>
      </c>
      <c r="S3401" s="19">
        <f>H3401*I3401</f>
        <v/>
      </c>
      <c r="T3401" s="19">
        <f>H3401*J3401</f>
        <v/>
      </c>
      <c r="U3401">
        <f>IF(AND(K3401=0,G3401&lt;=Assumptions!$C$6),1,0)</f>
        <v/>
      </c>
      <c r="V3401">
        <f>IF(U3401=1,IF(M3401&gt;0,IF(P3401&lt;=G3401+Assumptions!$C$7,1,0),0),0)</f>
        <v/>
      </c>
      <c r="W3401">
        <f>IF(AND(U3401=1,M3401&gt;=H3401*(1-Assumptions!$C$8)),1,0)</f>
        <v/>
      </c>
      <c r="X3401">
        <f>IF(AND(U3401=1,N3401&gt;=H3401*(1-Assumptions!$C$8)),1,0)</f>
        <v/>
      </c>
      <c r="Y3401">
        <f>IF(ISNUMBER(Q3401),1,0)</f>
        <v/>
      </c>
      <c r="Z3401">
        <f>IF(AND(K3401=0,L3401=0,Y3401=0),1,0)</f>
        <v/>
      </c>
      <c r="AA3401">
        <f>IF(AND(Z3401=1,G3401&lt;Assumptions!$C$6),1,0)</f>
        <v/>
      </c>
      <c r="AB3401">
        <f>IF(U3401=0,"",IF(Y3401=1,MAX(0,Q3401-G3401),IF(L3401=1,MAX(0,R3401-G3401),MAX(0,Assumptions!$C$6-G3401))))</f>
        <v/>
      </c>
      <c r="AC3401">
        <f>IF(Y3401=1,Q3401-F3401,"")</f>
        <v/>
      </c>
      <c r="AD3401">
        <f>IF(Y3401=1,AC3401^2,"")</f>
        <v/>
      </c>
      <c r="AE3401" s="19">
        <f>IF(Z3401=1,(H3401-M3401)*I3401,0)</f>
        <v/>
      </c>
      <c r="AF3401">
        <f>IF(G3401&lt;EDATE(Assumptions!$C$6,-12)+1,"prior_12m","last_12m")</f>
        <v/>
      </c>
      <c r="AG3401" s="21">
        <f>DATE(YEAR(G3401),MONTH(G3401),1)</f>
        <v/>
      </c>
    </row>
    <row r="3402">
      <c r="A3402" t="inlineStr">
        <is>
          <t>SPO-01819-1</t>
        </is>
      </c>
      <c r="B3402" t="inlineStr">
        <is>
          <t>SPO-01819</t>
        </is>
      </c>
      <c r="C3402" t="inlineStr">
        <is>
          <t>SUP-07</t>
        </is>
      </c>
      <c r="D3402" t="inlineStr">
        <is>
          <t>MRO</t>
        </is>
      </c>
      <c r="E3402" t="inlineStr">
        <is>
          <t>MRO-07</t>
        </is>
      </c>
      <c r="F3402" s="17" t="n">
        <v>46072</v>
      </c>
      <c r="G3402" s="17" t="n">
        <v>46082</v>
      </c>
      <c r="H3402" s="18" t="n">
        <v>250</v>
      </c>
      <c r="I3402" s="19" t="n">
        <v>13.57</v>
      </c>
      <c r="J3402" s="19" t="n">
        <v>14</v>
      </c>
      <c r="K3402" s="20" t="n">
        <v>0</v>
      </c>
      <c r="L3402" s="20" t="n">
        <v>0</v>
      </c>
      <c r="M3402" s="18" t="n">
        <v>250</v>
      </c>
      <c r="N3402" s="18" t="n">
        <v>250</v>
      </c>
      <c r="O3402" s="18" t="n">
        <v>0</v>
      </c>
      <c r="P3402" s="17" t="n">
        <v>46080</v>
      </c>
      <c r="Q3402" s="17" t="n">
        <v>46080</v>
      </c>
      <c r="R3402" s="17" t="n">
        <v>46080</v>
      </c>
      <c r="S3402" s="19">
        <f>H3402*I3402</f>
        <v/>
      </c>
      <c r="T3402" s="19">
        <f>H3402*J3402</f>
        <v/>
      </c>
      <c r="U3402">
        <f>IF(AND(K3402=0,G3402&lt;=Assumptions!$C$6),1,0)</f>
        <v/>
      </c>
      <c r="V3402">
        <f>IF(U3402=1,IF(M3402&gt;0,IF(P3402&lt;=G3402+Assumptions!$C$7,1,0),0),0)</f>
        <v/>
      </c>
      <c r="W3402">
        <f>IF(AND(U3402=1,M3402&gt;=H3402*(1-Assumptions!$C$8)),1,0)</f>
        <v/>
      </c>
      <c r="X3402">
        <f>IF(AND(U3402=1,N3402&gt;=H3402*(1-Assumptions!$C$8)),1,0)</f>
        <v/>
      </c>
      <c r="Y3402">
        <f>IF(ISNUMBER(Q3402),1,0)</f>
        <v/>
      </c>
      <c r="Z3402">
        <f>IF(AND(K3402=0,L3402=0,Y3402=0),1,0)</f>
        <v/>
      </c>
      <c r="AA3402">
        <f>IF(AND(Z3402=1,G3402&lt;Assumptions!$C$6),1,0)</f>
        <v/>
      </c>
      <c r="AB3402">
        <f>IF(U3402=0,"",IF(Y3402=1,MAX(0,Q3402-G3402),IF(L3402=1,MAX(0,R3402-G3402),MAX(0,Assumptions!$C$6-G3402))))</f>
        <v/>
      </c>
      <c r="AC3402">
        <f>IF(Y3402=1,Q3402-F3402,"")</f>
        <v/>
      </c>
      <c r="AD3402">
        <f>IF(Y3402=1,AC3402^2,"")</f>
        <v/>
      </c>
      <c r="AE3402" s="19">
        <f>IF(Z3402=1,(H3402-M3402)*I3402,0)</f>
        <v/>
      </c>
      <c r="AF3402">
        <f>IF(G3402&lt;EDATE(Assumptions!$C$6,-12)+1,"prior_12m","last_12m")</f>
        <v/>
      </c>
      <c r="AG3402" s="21">
        <f>DATE(YEAR(G3402),MONTH(G3402),1)</f>
        <v/>
      </c>
    </row>
    <row r="3403">
      <c r="A3403" t="inlineStr">
        <is>
          <t>SPO-01819-2</t>
        </is>
      </c>
      <c r="B3403" t="inlineStr">
        <is>
          <t>SPO-01819</t>
        </is>
      </c>
      <c r="C3403" t="inlineStr">
        <is>
          <t>SUP-07</t>
        </is>
      </c>
      <c r="D3403" t="inlineStr">
        <is>
          <t>MRO</t>
        </is>
      </c>
      <c r="E3403" t="inlineStr">
        <is>
          <t>MRO-04</t>
        </is>
      </c>
      <c r="F3403" s="17" t="n">
        <v>46072</v>
      </c>
      <c r="G3403" s="17" t="n">
        <v>46082</v>
      </c>
      <c r="H3403" s="18" t="n">
        <v>33</v>
      </c>
      <c r="I3403" s="19" t="n">
        <v>56.83</v>
      </c>
      <c r="J3403" s="19" t="n">
        <v>58</v>
      </c>
      <c r="K3403" s="20" t="n">
        <v>0</v>
      </c>
      <c r="L3403" s="20" t="n">
        <v>0</v>
      </c>
      <c r="M3403" s="18" t="n">
        <v>33</v>
      </c>
      <c r="N3403" s="18" t="n">
        <v>33</v>
      </c>
      <c r="O3403" s="18" t="n">
        <v>0</v>
      </c>
      <c r="P3403" s="17" t="n">
        <v>46081</v>
      </c>
      <c r="Q3403" s="17" t="n">
        <v>46081</v>
      </c>
      <c r="R3403" s="17" t="n">
        <v>46081</v>
      </c>
      <c r="S3403" s="19">
        <f>H3403*I3403</f>
        <v/>
      </c>
      <c r="T3403" s="19">
        <f>H3403*J3403</f>
        <v/>
      </c>
      <c r="U3403">
        <f>IF(AND(K3403=0,G3403&lt;=Assumptions!$C$6),1,0)</f>
        <v/>
      </c>
      <c r="V3403">
        <f>IF(U3403=1,IF(M3403&gt;0,IF(P3403&lt;=G3403+Assumptions!$C$7,1,0),0),0)</f>
        <v/>
      </c>
      <c r="W3403">
        <f>IF(AND(U3403=1,M3403&gt;=H3403*(1-Assumptions!$C$8)),1,0)</f>
        <v/>
      </c>
      <c r="X3403">
        <f>IF(AND(U3403=1,N3403&gt;=H3403*(1-Assumptions!$C$8)),1,0)</f>
        <v/>
      </c>
      <c r="Y3403">
        <f>IF(ISNUMBER(Q3403),1,0)</f>
        <v/>
      </c>
      <c r="Z3403">
        <f>IF(AND(K3403=0,L3403=0,Y3403=0),1,0)</f>
        <v/>
      </c>
      <c r="AA3403">
        <f>IF(AND(Z3403=1,G3403&lt;Assumptions!$C$6),1,0)</f>
        <v/>
      </c>
      <c r="AB3403">
        <f>IF(U3403=0,"",IF(Y3403=1,MAX(0,Q3403-G3403),IF(L3403=1,MAX(0,R3403-G3403),MAX(0,Assumptions!$C$6-G3403))))</f>
        <v/>
      </c>
      <c r="AC3403">
        <f>IF(Y3403=1,Q3403-F3403,"")</f>
        <v/>
      </c>
      <c r="AD3403">
        <f>IF(Y3403=1,AC3403^2,"")</f>
        <v/>
      </c>
      <c r="AE3403" s="19">
        <f>IF(Z3403=1,(H3403-M3403)*I3403,0)</f>
        <v/>
      </c>
      <c r="AF3403">
        <f>IF(G3403&lt;EDATE(Assumptions!$C$6,-12)+1,"prior_12m","last_12m")</f>
        <v/>
      </c>
      <c r="AG3403" s="21">
        <f>DATE(YEAR(G3403),MONTH(G3403),1)</f>
        <v/>
      </c>
    </row>
    <row r="3404">
      <c r="A3404" t="inlineStr">
        <is>
          <t>SPO-01819-3</t>
        </is>
      </c>
      <c r="B3404" t="inlineStr">
        <is>
          <t>SPO-01819</t>
        </is>
      </c>
      <c r="C3404" t="inlineStr">
        <is>
          <t>SUP-07</t>
        </is>
      </c>
      <c r="D3404" t="inlineStr">
        <is>
          <t>MRO</t>
        </is>
      </c>
      <c r="E3404" t="inlineStr">
        <is>
          <t>MRO-03</t>
        </is>
      </c>
      <c r="F3404" s="17" t="n">
        <v>46072</v>
      </c>
      <c r="G3404" s="17" t="n">
        <v>46082</v>
      </c>
      <c r="H3404" s="18" t="n">
        <v>188</v>
      </c>
      <c r="I3404" s="19" t="n">
        <v>9.19</v>
      </c>
      <c r="J3404" s="19" t="n">
        <v>8.9</v>
      </c>
      <c r="K3404" s="20" t="n">
        <v>0</v>
      </c>
      <c r="L3404" s="20" t="n">
        <v>0</v>
      </c>
      <c r="M3404" s="18" t="n">
        <v>188</v>
      </c>
      <c r="N3404" s="18" t="n">
        <v>188</v>
      </c>
      <c r="O3404" s="18" t="n">
        <v>0</v>
      </c>
      <c r="P3404" s="17" t="n">
        <v>46081</v>
      </c>
      <c r="Q3404" s="17" t="n">
        <v>46081</v>
      </c>
      <c r="R3404" s="17" t="n">
        <v>46081</v>
      </c>
      <c r="S3404" s="19">
        <f>H3404*I3404</f>
        <v/>
      </c>
      <c r="T3404" s="19">
        <f>H3404*J3404</f>
        <v/>
      </c>
      <c r="U3404">
        <f>IF(AND(K3404=0,G3404&lt;=Assumptions!$C$6),1,0)</f>
        <v/>
      </c>
      <c r="V3404">
        <f>IF(U3404=1,IF(M3404&gt;0,IF(P3404&lt;=G3404+Assumptions!$C$7,1,0),0),0)</f>
        <v/>
      </c>
      <c r="W3404">
        <f>IF(AND(U3404=1,M3404&gt;=H3404*(1-Assumptions!$C$8)),1,0)</f>
        <v/>
      </c>
      <c r="X3404">
        <f>IF(AND(U3404=1,N3404&gt;=H3404*(1-Assumptions!$C$8)),1,0)</f>
        <v/>
      </c>
      <c r="Y3404">
        <f>IF(ISNUMBER(Q3404),1,0)</f>
        <v/>
      </c>
      <c r="Z3404">
        <f>IF(AND(K3404=0,L3404=0,Y3404=0),1,0)</f>
        <v/>
      </c>
      <c r="AA3404">
        <f>IF(AND(Z3404=1,G3404&lt;Assumptions!$C$6),1,0)</f>
        <v/>
      </c>
      <c r="AB3404">
        <f>IF(U3404=0,"",IF(Y3404=1,MAX(0,Q3404-G3404),IF(L3404=1,MAX(0,R3404-G3404),MAX(0,Assumptions!$C$6-G3404))))</f>
        <v/>
      </c>
      <c r="AC3404">
        <f>IF(Y3404=1,Q3404-F3404,"")</f>
        <v/>
      </c>
      <c r="AD3404">
        <f>IF(Y3404=1,AC3404^2,"")</f>
        <v/>
      </c>
      <c r="AE3404" s="19">
        <f>IF(Z3404=1,(H3404-M3404)*I3404,0)</f>
        <v/>
      </c>
      <c r="AF3404">
        <f>IF(G3404&lt;EDATE(Assumptions!$C$6,-12)+1,"prior_12m","last_12m")</f>
        <v/>
      </c>
      <c r="AG3404" s="21">
        <f>DATE(YEAR(G3404),MONTH(G3404),1)</f>
        <v/>
      </c>
    </row>
    <row r="3405">
      <c r="A3405" t="inlineStr">
        <is>
          <t>SPO-01820-1</t>
        </is>
      </c>
      <c r="B3405" t="inlineStr">
        <is>
          <t>SPO-01820</t>
        </is>
      </c>
      <c r="C3405" t="inlineStr">
        <is>
          <t>SUP-04</t>
        </is>
      </c>
      <c r="D3405" t="inlineStr">
        <is>
          <t>FLEET</t>
        </is>
      </c>
      <c r="E3405" t="inlineStr">
        <is>
          <t>FLEET-06</t>
        </is>
      </c>
      <c r="F3405" s="17" t="n">
        <v>46072</v>
      </c>
      <c r="G3405" s="17" t="n">
        <v>46085</v>
      </c>
      <c r="H3405" s="18" t="n">
        <v>27</v>
      </c>
      <c r="I3405" s="19" t="n">
        <v>31.01</v>
      </c>
      <c r="J3405" s="19" t="n">
        <v>33</v>
      </c>
      <c r="K3405" s="20" t="n">
        <v>0</v>
      </c>
      <c r="L3405" s="20" t="n">
        <v>0</v>
      </c>
      <c r="M3405" s="18" t="n">
        <v>27</v>
      </c>
      <c r="N3405" s="18" t="n">
        <v>0</v>
      </c>
      <c r="O3405" s="18" t="n">
        <v>0</v>
      </c>
      <c r="P3405" s="17" t="n">
        <v>46087</v>
      </c>
      <c r="Q3405" s="17" t="n">
        <v>46087</v>
      </c>
      <c r="R3405" s="17" t="n">
        <v>46087</v>
      </c>
      <c r="S3405" s="19">
        <f>H3405*I3405</f>
        <v/>
      </c>
      <c r="T3405" s="19">
        <f>H3405*J3405</f>
        <v/>
      </c>
      <c r="U3405">
        <f>IF(AND(K3405=0,G3405&lt;=Assumptions!$C$6),1,0)</f>
        <v/>
      </c>
      <c r="V3405">
        <f>IF(U3405=1,IF(M3405&gt;0,IF(P3405&lt;=G3405+Assumptions!$C$7,1,0),0),0)</f>
        <v/>
      </c>
      <c r="W3405">
        <f>IF(AND(U3405=1,M3405&gt;=H3405*(1-Assumptions!$C$8)),1,0)</f>
        <v/>
      </c>
      <c r="X3405">
        <f>IF(AND(U3405=1,N3405&gt;=H3405*(1-Assumptions!$C$8)),1,0)</f>
        <v/>
      </c>
      <c r="Y3405">
        <f>IF(ISNUMBER(Q3405),1,0)</f>
        <v/>
      </c>
      <c r="Z3405">
        <f>IF(AND(K3405=0,L3405=0,Y3405=0),1,0)</f>
        <v/>
      </c>
      <c r="AA3405">
        <f>IF(AND(Z3405=1,G3405&lt;Assumptions!$C$6),1,0)</f>
        <v/>
      </c>
      <c r="AB3405">
        <f>IF(U3405=0,"",IF(Y3405=1,MAX(0,Q3405-G3405),IF(L3405=1,MAX(0,R3405-G3405),MAX(0,Assumptions!$C$6-G3405))))</f>
        <v/>
      </c>
      <c r="AC3405">
        <f>IF(Y3405=1,Q3405-F3405,"")</f>
        <v/>
      </c>
      <c r="AD3405">
        <f>IF(Y3405=1,AC3405^2,"")</f>
        <v/>
      </c>
      <c r="AE3405" s="19">
        <f>IF(Z3405=1,(H3405-M3405)*I3405,0)</f>
        <v/>
      </c>
      <c r="AF3405">
        <f>IF(G3405&lt;EDATE(Assumptions!$C$6,-12)+1,"prior_12m","last_12m")</f>
        <v/>
      </c>
      <c r="AG3405" s="21">
        <f>DATE(YEAR(G3405),MONTH(G3405),1)</f>
        <v/>
      </c>
    </row>
    <row r="3406">
      <c r="A3406" t="inlineStr">
        <is>
          <t>SPO-01820-2</t>
        </is>
      </c>
      <c r="B3406" t="inlineStr">
        <is>
          <t>SPO-01820</t>
        </is>
      </c>
      <c r="C3406" t="inlineStr">
        <is>
          <t>SUP-04</t>
        </is>
      </c>
      <c r="D3406" t="inlineStr">
        <is>
          <t>FLEET</t>
        </is>
      </c>
      <c r="E3406" t="inlineStr">
        <is>
          <t>FLEET-01</t>
        </is>
      </c>
      <c r="F3406" s="17" t="n">
        <v>46072</v>
      </c>
      <c r="G3406" s="17" t="n">
        <v>46085</v>
      </c>
      <c r="H3406" s="18" t="n">
        <v>33</v>
      </c>
      <c r="I3406" s="19" t="n">
        <v>63.67</v>
      </c>
      <c r="J3406" s="19" t="n">
        <v>64</v>
      </c>
      <c r="K3406" s="20" t="n">
        <v>0</v>
      </c>
      <c r="L3406" s="20" t="n">
        <v>0</v>
      </c>
      <c r="M3406" s="18" t="n">
        <v>33</v>
      </c>
      <c r="N3406" s="18" t="n">
        <v>33</v>
      </c>
      <c r="O3406" s="18" t="n">
        <v>0</v>
      </c>
      <c r="P3406" s="17" t="n">
        <v>46073</v>
      </c>
      <c r="Q3406" s="17" t="n">
        <v>46073</v>
      </c>
      <c r="R3406" s="17" t="n">
        <v>46073</v>
      </c>
      <c r="S3406" s="19">
        <f>H3406*I3406</f>
        <v/>
      </c>
      <c r="T3406" s="19">
        <f>H3406*J3406</f>
        <v/>
      </c>
      <c r="U3406">
        <f>IF(AND(K3406=0,G3406&lt;=Assumptions!$C$6),1,0)</f>
        <v/>
      </c>
      <c r="V3406">
        <f>IF(U3406=1,IF(M3406&gt;0,IF(P3406&lt;=G3406+Assumptions!$C$7,1,0),0),0)</f>
        <v/>
      </c>
      <c r="W3406">
        <f>IF(AND(U3406=1,M3406&gt;=H3406*(1-Assumptions!$C$8)),1,0)</f>
        <v/>
      </c>
      <c r="X3406">
        <f>IF(AND(U3406=1,N3406&gt;=H3406*(1-Assumptions!$C$8)),1,0)</f>
        <v/>
      </c>
      <c r="Y3406">
        <f>IF(ISNUMBER(Q3406),1,0)</f>
        <v/>
      </c>
      <c r="Z3406">
        <f>IF(AND(K3406=0,L3406=0,Y3406=0),1,0)</f>
        <v/>
      </c>
      <c r="AA3406">
        <f>IF(AND(Z3406=1,G3406&lt;Assumptions!$C$6),1,0)</f>
        <v/>
      </c>
      <c r="AB3406">
        <f>IF(U3406=0,"",IF(Y3406=1,MAX(0,Q3406-G3406),IF(L3406=1,MAX(0,R3406-G3406),MAX(0,Assumptions!$C$6-G3406))))</f>
        <v/>
      </c>
      <c r="AC3406">
        <f>IF(Y3406=1,Q3406-F3406,"")</f>
        <v/>
      </c>
      <c r="AD3406">
        <f>IF(Y3406=1,AC3406^2,"")</f>
        <v/>
      </c>
      <c r="AE3406" s="19">
        <f>IF(Z3406=1,(H3406-M3406)*I3406,0)</f>
        <v/>
      </c>
      <c r="AF3406">
        <f>IF(G3406&lt;EDATE(Assumptions!$C$6,-12)+1,"prior_12m","last_12m")</f>
        <v/>
      </c>
      <c r="AG3406" s="21">
        <f>DATE(YEAR(G3406),MONTH(G3406),1)</f>
        <v/>
      </c>
    </row>
    <row r="3407">
      <c r="A3407" t="inlineStr">
        <is>
          <t>SPO-01821-1</t>
        </is>
      </c>
      <c r="B3407" t="inlineStr">
        <is>
          <t>SPO-01821</t>
        </is>
      </c>
      <c r="C3407" t="inlineStr">
        <is>
          <t>SUP-02</t>
        </is>
      </c>
      <c r="D3407" t="inlineStr">
        <is>
          <t>ELEC</t>
        </is>
      </c>
      <c r="E3407" t="inlineStr">
        <is>
          <t>ELEC-07</t>
        </is>
      </c>
      <c r="F3407" s="17" t="n">
        <v>46072</v>
      </c>
      <c r="G3407" s="17" t="n">
        <v>46088</v>
      </c>
      <c r="H3407" s="18" t="n">
        <v>104</v>
      </c>
      <c r="I3407" s="19" t="n">
        <v>9.16</v>
      </c>
      <c r="J3407" s="19" t="n">
        <v>9.800000000000001</v>
      </c>
      <c r="K3407" s="20" t="n">
        <v>0</v>
      </c>
      <c r="L3407" s="20" t="n">
        <v>0</v>
      </c>
      <c r="M3407" s="18" t="n">
        <v>104</v>
      </c>
      <c r="N3407" s="18" t="n">
        <v>104</v>
      </c>
      <c r="O3407" s="18" t="n">
        <v>0</v>
      </c>
      <c r="P3407" s="17" t="n">
        <v>46086</v>
      </c>
      <c r="Q3407" s="17" t="n">
        <v>46086</v>
      </c>
      <c r="R3407" s="17" t="n">
        <v>46086</v>
      </c>
      <c r="S3407" s="19">
        <f>H3407*I3407</f>
        <v/>
      </c>
      <c r="T3407" s="19">
        <f>H3407*J3407</f>
        <v/>
      </c>
      <c r="U3407">
        <f>IF(AND(K3407=0,G3407&lt;=Assumptions!$C$6),1,0)</f>
        <v/>
      </c>
      <c r="V3407">
        <f>IF(U3407=1,IF(M3407&gt;0,IF(P3407&lt;=G3407+Assumptions!$C$7,1,0),0),0)</f>
        <v/>
      </c>
      <c r="W3407">
        <f>IF(AND(U3407=1,M3407&gt;=H3407*(1-Assumptions!$C$8)),1,0)</f>
        <v/>
      </c>
      <c r="X3407">
        <f>IF(AND(U3407=1,N3407&gt;=H3407*(1-Assumptions!$C$8)),1,0)</f>
        <v/>
      </c>
      <c r="Y3407">
        <f>IF(ISNUMBER(Q3407),1,0)</f>
        <v/>
      </c>
      <c r="Z3407">
        <f>IF(AND(K3407=0,L3407=0,Y3407=0),1,0)</f>
        <v/>
      </c>
      <c r="AA3407">
        <f>IF(AND(Z3407=1,G3407&lt;Assumptions!$C$6),1,0)</f>
        <v/>
      </c>
      <c r="AB3407">
        <f>IF(U3407=0,"",IF(Y3407=1,MAX(0,Q3407-G3407),IF(L3407=1,MAX(0,R3407-G3407),MAX(0,Assumptions!$C$6-G3407))))</f>
        <v/>
      </c>
      <c r="AC3407">
        <f>IF(Y3407=1,Q3407-F3407,"")</f>
        <v/>
      </c>
      <c r="AD3407">
        <f>IF(Y3407=1,AC3407^2,"")</f>
        <v/>
      </c>
      <c r="AE3407" s="19">
        <f>IF(Z3407=1,(H3407-M3407)*I3407,0)</f>
        <v/>
      </c>
      <c r="AF3407">
        <f>IF(G3407&lt;EDATE(Assumptions!$C$6,-12)+1,"prior_12m","last_12m")</f>
        <v/>
      </c>
      <c r="AG3407" s="21">
        <f>DATE(YEAR(G3407),MONTH(G3407),1)</f>
        <v/>
      </c>
    </row>
    <row r="3408">
      <c r="A3408" t="inlineStr">
        <is>
          <t>SPO-01821-2</t>
        </is>
      </c>
      <c r="B3408" t="inlineStr">
        <is>
          <t>SPO-01821</t>
        </is>
      </c>
      <c r="C3408" t="inlineStr">
        <is>
          <t>SUP-02</t>
        </is>
      </c>
      <c r="D3408" t="inlineStr">
        <is>
          <t>ELEC</t>
        </is>
      </c>
      <c r="E3408" t="inlineStr">
        <is>
          <t>ELEC-08</t>
        </is>
      </c>
      <c r="F3408" s="17" t="n">
        <v>46072</v>
      </c>
      <c r="G3408" s="17" t="n">
        <v>46088</v>
      </c>
      <c r="H3408" s="18" t="n">
        <v>49</v>
      </c>
      <c r="I3408" s="19" t="n">
        <v>18.97</v>
      </c>
      <c r="J3408" s="19" t="n">
        <v>18</v>
      </c>
      <c r="K3408" s="20" t="n">
        <v>0</v>
      </c>
      <c r="L3408" s="20" t="n">
        <v>0</v>
      </c>
      <c r="M3408" s="18" t="n">
        <v>49</v>
      </c>
      <c r="N3408" s="18" t="n">
        <v>49</v>
      </c>
      <c r="O3408" s="18" t="n">
        <v>0</v>
      </c>
      <c r="P3408" s="17" t="n">
        <v>46084</v>
      </c>
      <c r="Q3408" s="17" t="n">
        <v>46084</v>
      </c>
      <c r="R3408" s="17" t="n">
        <v>46084</v>
      </c>
      <c r="S3408" s="19">
        <f>H3408*I3408</f>
        <v/>
      </c>
      <c r="T3408" s="19">
        <f>H3408*J3408</f>
        <v/>
      </c>
      <c r="U3408">
        <f>IF(AND(K3408=0,G3408&lt;=Assumptions!$C$6),1,0)</f>
        <v/>
      </c>
      <c r="V3408">
        <f>IF(U3408=1,IF(M3408&gt;0,IF(P3408&lt;=G3408+Assumptions!$C$7,1,0),0),0)</f>
        <v/>
      </c>
      <c r="W3408">
        <f>IF(AND(U3408=1,M3408&gt;=H3408*(1-Assumptions!$C$8)),1,0)</f>
        <v/>
      </c>
      <c r="X3408">
        <f>IF(AND(U3408=1,N3408&gt;=H3408*(1-Assumptions!$C$8)),1,0)</f>
        <v/>
      </c>
      <c r="Y3408">
        <f>IF(ISNUMBER(Q3408),1,0)</f>
        <v/>
      </c>
      <c r="Z3408">
        <f>IF(AND(K3408=0,L3408=0,Y3408=0),1,0)</f>
        <v/>
      </c>
      <c r="AA3408">
        <f>IF(AND(Z3408=1,G3408&lt;Assumptions!$C$6),1,0)</f>
        <v/>
      </c>
      <c r="AB3408">
        <f>IF(U3408=0,"",IF(Y3408=1,MAX(0,Q3408-G3408),IF(L3408=1,MAX(0,R3408-G3408),MAX(0,Assumptions!$C$6-G3408))))</f>
        <v/>
      </c>
      <c r="AC3408">
        <f>IF(Y3408=1,Q3408-F3408,"")</f>
        <v/>
      </c>
      <c r="AD3408">
        <f>IF(Y3408=1,AC3408^2,"")</f>
        <v/>
      </c>
      <c r="AE3408" s="19">
        <f>IF(Z3408=1,(H3408-M3408)*I3408,0)</f>
        <v/>
      </c>
      <c r="AF3408">
        <f>IF(G3408&lt;EDATE(Assumptions!$C$6,-12)+1,"prior_12m","last_12m")</f>
        <v/>
      </c>
      <c r="AG3408" s="21">
        <f>DATE(YEAR(G3408),MONTH(G3408),1)</f>
        <v/>
      </c>
    </row>
    <row r="3409">
      <c r="A3409" t="inlineStr">
        <is>
          <t>SPO-01822-1</t>
        </is>
      </c>
      <c r="B3409" t="inlineStr">
        <is>
          <t>SPO-01822</t>
        </is>
      </c>
      <c r="C3409" t="inlineStr">
        <is>
          <t>SUP-07</t>
        </is>
      </c>
      <c r="D3409" t="inlineStr">
        <is>
          <t>MRO</t>
        </is>
      </c>
      <c r="E3409" t="inlineStr">
        <is>
          <t>MRO-07</t>
        </is>
      </c>
      <c r="F3409" s="17" t="n">
        <v>46073</v>
      </c>
      <c r="G3409" s="17" t="n">
        <v>46083</v>
      </c>
      <c r="H3409" s="18" t="n">
        <v>128</v>
      </c>
      <c r="I3409" s="19" t="n">
        <v>13.99</v>
      </c>
      <c r="J3409" s="19" t="n">
        <v>14</v>
      </c>
      <c r="K3409" s="20" t="n">
        <v>0</v>
      </c>
      <c r="L3409" s="20" t="n">
        <v>0</v>
      </c>
      <c r="M3409" s="18" t="n">
        <v>128</v>
      </c>
      <c r="N3409" s="18" t="n">
        <v>128</v>
      </c>
      <c r="O3409" s="18" t="n">
        <v>0</v>
      </c>
      <c r="P3409" s="17" t="n">
        <v>46082</v>
      </c>
      <c r="Q3409" s="17" t="n">
        <v>46082</v>
      </c>
      <c r="R3409" s="17" t="n">
        <v>46082</v>
      </c>
      <c r="S3409" s="19">
        <f>H3409*I3409</f>
        <v/>
      </c>
      <c r="T3409" s="19">
        <f>H3409*J3409</f>
        <v/>
      </c>
      <c r="U3409">
        <f>IF(AND(K3409=0,G3409&lt;=Assumptions!$C$6),1,0)</f>
        <v/>
      </c>
      <c r="V3409">
        <f>IF(U3409=1,IF(M3409&gt;0,IF(P3409&lt;=G3409+Assumptions!$C$7,1,0),0),0)</f>
        <v/>
      </c>
      <c r="W3409">
        <f>IF(AND(U3409=1,M3409&gt;=H3409*(1-Assumptions!$C$8)),1,0)</f>
        <v/>
      </c>
      <c r="X3409">
        <f>IF(AND(U3409=1,N3409&gt;=H3409*(1-Assumptions!$C$8)),1,0)</f>
        <v/>
      </c>
      <c r="Y3409">
        <f>IF(ISNUMBER(Q3409),1,0)</f>
        <v/>
      </c>
      <c r="Z3409">
        <f>IF(AND(K3409=0,L3409=0,Y3409=0),1,0)</f>
        <v/>
      </c>
      <c r="AA3409">
        <f>IF(AND(Z3409=1,G3409&lt;Assumptions!$C$6),1,0)</f>
        <v/>
      </c>
      <c r="AB3409">
        <f>IF(U3409=0,"",IF(Y3409=1,MAX(0,Q3409-G3409),IF(L3409=1,MAX(0,R3409-G3409),MAX(0,Assumptions!$C$6-G3409))))</f>
        <v/>
      </c>
      <c r="AC3409">
        <f>IF(Y3409=1,Q3409-F3409,"")</f>
        <v/>
      </c>
      <c r="AD3409">
        <f>IF(Y3409=1,AC3409^2,"")</f>
        <v/>
      </c>
      <c r="AE3409" s="19">
        <f>IF(Z3409=1,(H3409-M3409)*I3409,0)</f>
        <v/>
      </c>
      <c r="AF3409">
        <f>IF(G3409&lt;EDATE(Assumptions!$C$6,-12)+1,"prior_12m","last_12m")</f>
        <v/>
      </c>
      <c r="AG3409" s="21">
        <f>DATE(YEAR(G3409),MONTH(G3409),1)</f>
        <v/>
      </c>
    </row>
    <row r="3410">
      <c r="A3410" t="inlineStr">
        <is>
          <t>SPO-01822-2</t>
        </is>
      </c>
      <c r="B3410" t="inlineStr">
        <is>
          <t>SPO-01822</t>
        </is>
      </c>
      <c r="C3410" t="inlineStr">
        <is>
          <t>SUP-07</t>
        </is>
      </c>
      <c r="D3410" t="inlineStr">
        <is>
          <t>MRO</t>
        </is>
      </c>
      <c r="E3410" t="inlineStr">
        <is>
          <t>MRO-04</t>
        </is>
      </c>
      <c r="F3410" s="17" t="n">
        <v>46073</v>
      </c>
      <c r="G3410" s="17" t="n">
        <v>46083</v>
      </c>
      <c r="H3410" s="18" t="n">
        <v>37</v>
      </c>
      <c r="I3410" s="19" t="n">
        <v>55.38</v>
      </c>
      <c r="J3410" s="19" t="n">
        <v>58</v>
      </c>
      <c r="K3410" s="20" t="n">
        <v>0</v>
      </c>
      <c r="L3410" s="20" t="n">
        <v>0</v>
      </c>
      <c r="M3410" s="18" t="n">
        <v>37</v>
      </c>
      <c r="N3410" s="18" t="n">
        <v>37</v>
      </c>
      <c r="O3410" s="18" t="n">
        <v>0</v>
      </c>
      <c r="P3410" s="17" t="n">
        <v>46079</v>
      </c>
      <c r="Q3410" s="17" t="n">
        <v>46079</v>
      </c>
      <c r="R3410" s="17" t="n">
        <v>46079</v>
      </c>
      <c r="S3410" s="19">
        <f>H3410*I3410</f>
        <v/>
      </c>
      <c r="T3410" s="19">
        <f>H3410*J3410</f>
        <v/>
      </c>
      <c r="U3410">
        <f>IF(AND(K3410=0,G3410&lt;=Assumptions!$C$6),1,0)</f>
        <v/>
      </c>
      <c r="V3410">
        <f>IF(U3410=1,IF(M3410&gt;0,IF(P3410&lt;=G3410+Assumptions!$C$7,1,0),0),0)</f>
        <v/>
      </c>
      <c r="W3410">
        <f>IF(AND(U3410=1,M3410&gt;=H3410*(1-Assumptions!$C$8)),1,0)</f>
        <v/>
      </c>
      <c r="X3410">
        <f>IF(AND(U3410=1,N3410&gt;=H3410*(1-Assumptions!$C$8)),1,0)</f>
        <v/>
      </c>
      <c r="Y3410">
        <f>IF(ISNUMBER(Q3410),1,0)</f>
        <v/>
      </c>
      <c r="Z3410">
        <f>IF(AND(K3410=0,L3410=0,Y3410=0),1,0)</f>
        <v/>
      </c>
      <c r="AA3410">
        <f>IF(AND(Z3410=1,G3410&lt;Assumptions!$C$6),1,0)</f>
        <v/>
      </c>
      <c r="AB3410">
        <f>IF(U3410=0,"",IF(Y3410=1,MAX(0,Q3410-G3410),IF(L3410=1,MAX(0,R3410-G3410),MAX(0,Assumptions!$C$6-G3410))))</f>
        <v/>
      </c>
      <c r="AC3410">
        <f>IF(Y3410=1,Q3410-F3410,"")</f>
        <v/>
      </c>
      <c r="AD3410">
        <f>IF(Y3410=1,AC3410^2,"")</f>
        <v/>
      </c>
      <c r="AE3410" s="19">
        <f>IF(Z3410=1,(H3410-M3410)*I3410,0)</f>
        <v/>
      </c>
      <c r="AF3410">
        <f>IF(G3410&lt;EDATE(Assumptions!$C$6,-12)+1,"prior_12m","last_12m")</f>
        <v/>
      </c>
      <c r="AG3410" s="21">
        <f>DATE(YEAR(G3410),MONTH(G3410),1)</f>
        <v/>
      </c>
    </row>
    <row r="3411">
      <c r="A3411" t="inlineStr">
        <is>
          <t>SPO-01823-1</t>
        </is>
      </c>
      <c r="B3411" t="inlineStr">
        <is>
          <t>SPO-01823</t>
        </is>
      </c>
      <c r="C3411" t="inlineStr">
        <is>
          <t>SUP-08</t>
        </is>
      </c>
      <c r="D3411" t="inlineStr">
        <is>
          <t>PPE</t>
        </is>
      </c>
      <c r="E3411" t="inlineStr">
        <is>
          <t>PPE-04</t>
        </is>
      </c>
      <c r="F3411" s="17" t="n">
        <v>46073</v>
      </c>
      <c r="G3411" s="17" t="n">
        <v>46084</v>
      </c>
      <c r="H3411" s="18" t="n">
        <v>34</v>
      </c>
      <c r="I3411" s="19" t="n">
        <v>26.04</v>
      </c>
      <c r="J3411" s="19" t="n">
        <v>26</v>
      </c>
      <c r="K3411" s="20" t="n">
        <v>0</v>
      </c>
      <c r="L3411" s="20" t="n">
        <v>0</v>
      </c>
      <c r="M3411" s="18" t="n">
        <v>34</v>
      </c>
      <c r="N3411" s="18" t="n">
        <v>34</v>
      </c>
      <c r="O3411" s="18" t="n">
        <v>0</v>
      </c>
      <c r="P3411" s="17" t="n">
        <v>46082</v>
      </c>
      <c r="Q3411" s="17" t="n">
        <v>46082</v>
      </c>
      <c r="R3411" s="17" t="n">
        <v>46082</v>
      </c>
      <c r="S3411" s="19">
        <f>H3411*I3411</f>
        <v/>
      </c>
      <c r="T3411" s="19">
        <f>H3411*J3411</f>
        <v/>
      </c>
      <c r="U3411">
        <f>IF(AND(K3411=0,G3411&lt;=Assumptions!$C$6),1,0)</f>
        <v/>
      </c>
      <c r="V3411">
        <f>IF(U3411=1,IF(M3411&gt;0,IF(P3411&lt;=G3411+Assumptions!$C$7,1,0),0),0)</f>
        <v/>
      </c>
      <c r="W3411">
        <f>IF(AND(U3411=1,M3411&gt;=H3411*(1-Assumptions!$C$8)),1,0)</f>
        <v/>
      </c>
      <c r="X3411">
        <f>IF(AND(U3411=1,N3411&gt;=H3411*(1-Assumptions!$C$8)),1,0)</f>
        <v/>
      </c>
      <c r="Y3411">
        <f>IF(ISNUMBER(Q3411),1,0)</f>
        <v/>
      </c>
      <c r="Z3411">
        <f>IF(AND(K3411=0,L3411=0,Y3411=0),1,0)</f>
        <v/>
      </c>
      <c r="AA3411">
        <f>IF(AND(Z3411=1,G3411&lt;Assumptions!$C$6),1,0)</f>
        <v/>
      </c>
      <c r="AB3411">
        <f>IF(U3411=0,"",IF(Y3411=1,MAX(0,Q3411-G3411),IF(L3411=1,MAX(0,R3411-G3411),MAX(0,Assumptions!$C$6-G3411))))</f>
        <v/>
      </c>
      <c r="AC3411">
        <f>IF(Y3411=1,Q3411-F3411,"")</f>
        <v/>
      </c>
      <c r="AD3411">
        <f>IF(Y3411=1,AC3411^2,"")</f>
        <v/>
      </c>
      <c r="AE3411" s="19">
        <f>IF(Z3411=1,(H3411-M3411)*I3411,0)</f>
        <v/>
      </c>
      <c r="AF3411">
        <f>IF(G3411&lt;EDATE(Assumptions!$C$6,-12)+1,"prior_12m","last_12m")</f>
        <v/>
      </c>
      <c r="AG3411" s="21">
        <f>DATE(YEAR(G3411),MONTH(G3411),1)</f>
        <v/>
      </c>
    </row>
    <row r="3412">
      <c r="A3412" t="inlineStr">
        <is>
          <t>SPO-01823-2</t>
        </is>
      </c>
      <c r="B3412" t="inlineStr">
        <is>
          <t>SPO-01823</t>
        </is>
      </c>
      <c r="C3412" t="inlineStr">
        <is>
          <t>SUP-08</t>
        </is>
      </c>
      <c r="D3412" t="inlineStr">
        <is>
          <t>PPE</t>
        </is>
      </c>
      <c r="E3412" t="inlineStr">
        <is>
          <t>PPE-03</t>
        </is>
      </c>
      <c r="F3412" s="17" t="n">
        <v>46073</v>
      </c>
      <c r="G3412" s="17" t="n">
        <v>46084</v>
      </c>
      <c r="H3412" s="18" t="n">
        <v>116</v>
      </c>
      <c r="I3412" s="19" t="n">
        <v>21.88</v>
      </c>
      <c r="J3412" s="19" t="n">
        <v>21</v>
      </c>
      <c r="K3412" s="20" t="n">
        <v>0</v>
      </c>
      <c r="L3412" s="20" t="n">
        <v>0</v>
      </c>
      <c r="M3412" s="18" t="n">
        <v>116</v>
      </c>
      <c r="N3412" s="18" t="n">
        <v>116</v>
      </c>
      <c r="O3412" s="18" t="n">
        <v>0</v>
      </c>
      <c r="P3412" s="17" t="n">
        <v>46082</v>
      </c>
      <c r="Q3412" s="17" t="n">
        <v>46082</v>
      </c>
      <c r="R3412" s="17" t="n">
        <v>46082</v>
      </c>
      <c r="S3412" s="19">
        <f>H3412*I3412</f>
        <v/>
      </c>
      <c r="T3412" s="19">
        <f>H3412*J3412</f>
        <v/>
      </c>
      <c r="U3412">
        <f>IF(AND(K3412=0,G3412&lt;=Assumptions!$C$6),1,0)</f>
        <v/>
      </c>
      <c r="V3412">
        <f>IF(U3412=1,IF(M3412&gt;0,IF(P3412&lt;=G3412+Assumptions!$C$7,1,0),0),0)</f>
        <v/>
      </c>
      <c r="W3412">
        <f>IF(AND(U3412=1,M3412&gt;=H3412*(1-Assumptions!$C$8)),1,0)</f>
        <v/>
      </c>
      <c r="X3412">
        <f>IF(AND(U3412=1,N3412&gt;=H3412*(1-Assumptions!$C$8)),1,0)</f>
        <v/>
      </c>
      <c r="Y3412">
        <f>IF(ISNUMBER(Q3412),1,0)</f>
        <v/>
      </c>
      <c r="Z3412">
        <f>IF(AND(K3412=0,L3412=0,Y3412=0),1,0)</f>
        <v/>
      </c>
      <c r="AA3412">
        <f>IF(AND(Z3412=1,G3412&lt;Assumptions!$C$6),1,0)</f>
        <v/>
      </c>
      <c r="AB3412">
        <f>IF(U3412=0,"",IF(Y3412=1,MAX(0,Q3412-G3412),IF(L3412=1,MAX(0,R3412-G3412),MAX(0,Assumptions!$C$6-G3412))))</f>
        <v/>
      </c>
      <c r="AC3412">
        <f>IF(Y3412=1,Q3412-F3412,"")</f>
        <v/>
      </c>
      <c r="AD3412">
        <f>IF(Y3412=1,AC3412^2,"")</f>
        <v/>
      </c>
      <c r="AE3412" s="19">
        <f>IF(Z3412=1,(H3412-M3412)*I3412,0)</f>
        <v/>
      </c>
      <c r="AF3412">
        <f>IF(G3412&lt;EDATE(Assumptions!$C$6,-12)+1,"prior_12m","last_12m")</f>
        <v/>
      </c>
      <c r="AG3412" s="21">
        <f>DATE(YEAR(G3412),MONTH(G3412),1)</f>
        <v/>
      </c>
    </row>
    <row r="3413">
      <c r="A3413" t="inlineStr">
        <is>
          <t>SPO-01824-1</t>
        </is>
      </c>
      <c r="B3413" t="inlineStr">
        <is>
          <t>SPO-01824</t>
        </is>
      </c>
      <c r="C3413" t="inlineStr">
        <is>
          <t>SUP-09</t>
        </is>
      </c>
      <c r="D3413" t="inlineStr">
        <is>
          <t>CHEM</t>
        </is>
      </c>
      <c r="E3413" t="inlineStr">
        <is>
          <t>CHEM-02</t>
        </is>
      </c>
      <c r="F3413" s="17" t="n">
        <v>46073</v>
      </c>
      <c r="G3413" s="17" t="n">
        <v>46087</v>
      </c>
      <c r="H3413" s="18" t="n">
        <v>3</v>
      </c>
      <c r="I3413" s="19" t="n">
        <v>429.33</v>
      </c>
      <c r="J3413" s="19" t="n">
        <v>410</v>
      </c>
      <c r="K3413" s="20" t="n">
        <v>0</v>
      </c>
      <c r="L3413" s="20" t="n">
        <v>0</v>
      </c>
      <c r="M3413" s="18" t="n">
        <v>3</v>
      </c>
      <c r="N3413" s="18" t="n">
        <v>3</v>
      </c>
      <c r="O3413" s="18" t="n">
        <v>0</v>
      </c>
      <c r="P3413" s="17" t="n">
        <v>46086</v>
      </c>
      <c r="Q3413" s="17" t="n">
        <v>46086</v>
      </c>
      <c r="R3413" s="17" t="n">
        <v>46086</v>
      </c>
      <c r="S3413" s="19">
        <f>H3413*I3413</f>
        <v/>
      </c>
      <c r="T3413" s="19">
        <f>H3413*J3413</f>
        <v/>
      </c>
      <c r="U3413">
        <f>IF(AND(K3413=0,G3413&lt;=Assumptions!$C$6),1,0)</f>
        <v/>
      </c>
      <c r="V3413">
        <f>IF(U3413=1,IF(M3413&gt;0,IF(P3413&lt;=G3413+Assumptions!$C$7,1,0),0),0)</f>
        <v/>
      </c>
      <c r="W3413">
        <f>IF(AND(U3413=1,M3413&gt;=H3413*(1-Assumptions!$C$8)),1,0)</f>
        <v/>
      </c>
      <c r="X3413">
        <f>IF(AND(U3413=1,N3413&gt;=H3413*(1-Assumptions!$C$8)),1,0)</f>
        <v/>
      </c>
      <c r="Y3413">
        <f>IF(ISNUMBER(Q3413),1,0)</f>
        <v/>
      </c>
      <c r="Z3413">
        <f>IF(AND(K3413=0,L3413=0,Y3413=0),1,0)</f>
        <v/>
      </c>
      <c r="AA3413">
        <f>IF(AND(Z3413=1,G3413&lt;Assumptions!$C$6),1,0)</f>
        <v/>
      </c>
      <c r="AB3413">
        <f>IF(U3413=0,"",IF(Y3413=1,MAX(0,Q3413-G3413),IF(L3413=1,MAX(0,R3413-G3413),MAX(0,Assumptions!$C$6-G3413))))</f>
        <v/>
      </c>
      <c r="AC3413">
        <f>IF(Y3413=1,Q3413-F3413,"")</f>
        <v/>
      </c>
      <c r="AD3413">
        <f>IF(Y3413=1,AC3413^2,"")</f>
        <v/>
      </c>
      <c r="AE3413" s="19">
        <f>IF(Z3413=1,(H3413-M3413)*I3413,0)</f>
        <v/>
      </c>
      <c r="AF3413">
        <f>IF(G3413&lt;EDATE(Assumptions!$C$6,-12)+1,"prior_12m","last_12m")</f>
        <v/>
      </c>
      <c r="AG3413" s="21">
        <f>DATE(YEAR(G3413),MONTH(G3413),1)</f>
        <v/>
      </c>
    </row>
    <row r="3414">
      <c r="A3414" t="inlineStr">
        <is>
          <t>SPO-01824-2</t>
        </is>
      </c>
      <c r="B3414" t="inlineStr">
        <is>
          <t>SPO-01824</t>
        </is>
      </c>
      <c r="C3414" t="inlineStr">
        <is>
          <t>SUP-09</t>
        </is>
      </c>
      <c r="D3414" t="inlineStr">
        <is>
          <t>CHEM</t>
        </is>
      </c>
      <c r="E3414" t="inlineStr">
        <is>
          <t>CHEM-01</t>
        </is>
      </c>
      <c r="F3414" s="17" t="n">
        <v>46073</v>
      </c>
      <c r="G3414" s="17" t="n">
        <v>46087</v>
      </c>
      <c r="H3414" s="18" t="n">
        <v>2</v>
      </c>
      <c r="I3414" s="19" t="n">
        <v>673.4400000000001</v>
      </c>
      <c r="J3414" s="19" t="n">
        <v>640</v>
      </c>
      <c r="K3414" s="20" t="n">
        <v>0</v>
      </c>
      <c r="L3414" s="20" t="n">
        <v>0</v>
      </c>
      <c r="M3414" s="18" t="n">
        <v>2</v>
      </c>
      <c r="N3414" s="18" t="n">
        <v>2</v>
      </c>
      <c r="O3414" s="18" t="n">
        <v>0</v>
      </c>
      <c r="P3414" s="17" t="n">
        <v>46080</v>
      </c>
      <c r="Q3414" s="17" t="n">
        <v>46080</v>
      </c>
      <c r="R3414" s="17" t="n">
        <v>46080</v>
      </c>
      <c r="S3414" s="19">
        <f>H3414*I3414</f>
        <v/>
      </c>
      <c r="T3414" s="19">
        <f>H3414*J3414</f>
        <v/>
      </c>
      <c r="U3414">
        <f>IF(AND(K3414=0,G3414&lt;=Assumptions!$C$6),1,0)</f>
        <v/>
      </c>
      <c r="V3414">
        <f>IF(U3414=1,IF(M3414&gt;0,IF(P3414&lt;=G3414+Assumptions!$C$7,1,0),0),0)</f>
        <v/>
      </c>
      <c r="W3414">
        <f>IF(AND(U3414=1,M3414&gt;=H3414*(1-Assumptions!$C$8)),1,0)</f>
        <v/>
      </c>
      <c r="X3414">
        <f>IF(AND(U3414=1,N3414&gt;=H3414*(1-Assumptions!$C$8)),1,0)</f>
        <v/>
      </c>
      <c r="Y3414">
        <f>IF(ISNUMBER(Q3414),1,0)</f>
        <v/>
      </c>
      <c r="Z3414">
        <f>IF(AND(K3414=0,L3414=0,Y3414=0),1,0)</f>
        <v/>
      </c>
      <c r="AA3414">
        <f>IF(AND(Z3414=1,G3414&lt;Assumptions!$C$6),1,0)</f>
        <v/>
      </c>
      <c r="AB3414">
        <f>IF(U3414=0,"",IF(Y3414=1,MAX(0,Q3414-G3414),IF(L3414=1,MAX(0,R3414-G3414),MAX(0,Assumptions!$C$6-G3414))))</f>
        <v/>
      </c>
      <c r="AC3414">
        <f>IF(Y3414=1,Q3414-F3414,"")</f>
        <v/>
      </c>
      <c r="AD3414">
        <f>IF(Y3414=1,AC3414^2,"")</f>
        <v/>
      </c>
      <c r="AE3414" s="19">
        <f>IF(Z3414=1,(H3414-M3414)*I3414,0)</f>
        <v/>
      </c>
      <c r="AF3414">
        <f>IF(G3414&lt;EDATE(Assumptions!$C$6,-12)+1,"prior_12m","last_12m")</f>
        <v/>
      </c>
      <c r="AG3414" s="21">
        <f>DATE(YEAR(G3414),MONTH(G3414),1)</f>
        <v/>
      </c>
    </row>
    <row r="3415">
      <c r="A3415" t="inlineStr">
        <is>
          <t>SPO-01825-1</t>
        </is>
      </c>
      <c r="B3415" t="inlineStr">
        <is>
          <t>SPO-01825</t>
        </is>
      </c>
      <c r="C3415" t="inlineStr">
        <is>
          <t>SUP-04</t>
        </is>
      </c>
      <c r="D3415" t="inlineStr">
        <is>
          <t>FLEET</t>
        </is>
      </c>
      <c r="E3415" t="inlineStr">
        <is>
          <t>FLEET-08</t>
        </is>
      </c>
      <c r="F3415" s="17" t="n">
        <v>46073</v>
      </c>
      <c r="G3415" s="17" t="n">
        <v>46086</v>
      </c>
      <c r="H3415" s="18" t="n">
        <v>266</v>
      </c>
      <c r="I3415" s="19" t="n">
        <v>6.28</v>
      </c>
      <c r="J3415" s="19" t="n">
        <v>6.4</v>
      </c>
      <c r="K3415" s="20" t="n">
        <v>0</v>
      </c>
      <c r="L3415" s="20" t="n">
        <v>0</v>
      </c>
      <c r="M3415" s="18" t="n">
        <v>266</v>
      </c>
      <c r="N3415" s="18" t="n">
        <v>123</v>
      </c>
      <c r="O3415" s="18" t="n">
        <v>0</v>
      </c>
      <c r="P3415" s="17" t="n">
        <v>46084</v>
      </c>
      <c r="Q3415" s="17" t="n">
        <v>46089</v>
      </c>
      <c r="R3415" s="17" t="n">
        <v>46089</v>
      </c>
      <c r="S3415" s="19">
        <f>H3415*I3415</f>
        <v/>
      </c>
      <c r="T3415" s="19">
        <f>H3415*J3415</f>
        <v/>
      </c>
      <c r="U3415">
        <f>IF(AND(K3415=0,G3415&lt;=Assumptions!$C$6),1,0)</f>
        <v/>
      </c>
      <c r="V3415">
        <f>IF(U3415=1,IF(M3415&gt;0,IF(P3415&lt;=G3415+Assumptions!$C$7,1,0),0),0)</f>
        <v/>
      </c>
      <c r="W3415">
        <f>IF(AND(U3415=1,M3415&gt;=H3415*(1-Assumptions!$C$8)),1,0)</f>
        <v/>
      </c>
      <c r="X3415">
        <f>IF(AND(U3415=1,N3415&gt;=H3415*(1-Assumptions!$C$8)),1,0)</f>
        <v/>
      </c>
      <c r="Y3415">
        <f>IF(ISNUMBER(Q3415),1,0)</f>
        <v/>
      </c>
      <c r="Z3415">
        <f>IF(AND(K3415=0,L3415=0,Y3415=0),1,0)</f>
        <v/>
      </c>
      <c r="AA3415">
        <f>IF(AND(Z3415=1,G3415&lt;Assumptions!$C$6),1,0)</f>
        <v/>
      </c>
      <c r="AB3415">
        <f>IF(U3415=0,"",IF(Y3415=1,MAX(0,Q3415-G3415),IF(L3415=1,MAX(0,R3415-G3415),MAX(0,Assumptions!$C$6-G3415))))</f>
        <v/>
      </c>
      <c r="AC3415">
        <f>IF(Y3415=1,Q3415-F3415,"")</f>
        <v/>
      </c>
      <c r="AD3415">
        <f>IF(Y3415=1,AC3415^2,"")</f>
        <v/>
      </c>
      <c r="AE3415" s="19">
        <f>IF(Z3415=1,(H3415-M3415)*I3415,0)</f>
        <v/>
      </c>
      <c r="AF3415">
        <f>IF(G3415&lt;EDATE(Assumptions!$C$6,-12)+1,"prior_12m","last_12m")</f>
        <v/>
      </c>
      <c r="AG3415" s="21">
        <f>DATE(YEAR(G3415),MONTH(G3415),1)</f>
        <v/>
      </c>
    </row>
    <row r="3416">
      <c r="A3416" t="inlineStr">
        <is>
          <t>SPO-01825-2</t>
        </is>
      </c>
      <c r="B3416" t="inlineStr">
        <is>
          <t>SPO-01825</t>
        </is>
      </c>
      <c r="C3416" t="inlineStr">
        <is>
          <t>SUP-04</t>
        </is>
      </c>
      <c r="D3416" t="inlineStr">
        <is>
          <t>FLEET</t>
        </is>
      </c>
      <c r="E3416" t="inlineStr">
        <is>
          <t>FLEET-04</t>
        </is>
      </c>
      <c r="F3416" s="17" t="n">
        <v>46073</v>
      </c>
      <c r="G3416" s="17" t="n">
        <v>46086</v>
      </c>
      <c r="H3416" s="18" t="n">
        <v>145</v>
      </c>
      <c r="I3416" s="19" t="n">
        <v>8.66</v>
      </c>
      <c r="J3416" s="19" t="n">
        <v>9</v>
      </c>
      <c r="K3416" s="20" t="n">
        <v>0</v>
      </c>
      <c r="L3416" s="20" t="n">
        <v>0</v>
      </c>
      <c r="M3416" s="18" t="n">
        <v>145</v>
      </c>
      <c r="N3416" s="18" t="n">
        <v>0</v>
      </c>
      <c r="O3416" s="18" t="n">
        <v>0</v>
      </c>
      <c r="P3416" s="17" t="n">
        <v>46089</v>
      </c>
      <c r="Q3416" s="17" t="n">
        <v>46089</v>
      </c>
      <c r="R3416" s="17" t="n">
        <v>46089</v>
      </c>
      <c r="S3416" s="19">
        <f>H3416*I3416</f>
        <v/>
      </c>
      <c r="T3416" s="19">
        <f>H3416*J3416</f>
        <v/>
      </c>
      <c r="U3416">
        <f>IF(AND(K3416=0,G3416&lt;=Assumptions!$C$6),1,0)</f>
        <v/>
      </c>
      <c r="V3416">
        <f>IF(U3416=1,IF(M3416&gt;0,IF(P3416&lt;=G3416+Assumptions!$C$7,1,0),0),0)</f>
        <v/>
      </c>
      <c r="W3416">
        <f>IF(AND(U3416=1,M3416&gt;=H3416*(1-Assumptions!$C$8)),1,0)</f>
        <v/>
      </c>
      <c r="X3416">
        <f>IF(AND(U3416=1,N3416&gt;=H3416*(1-Assumptions!$C$8)),1,0)</f>
        <v/>
      </c>
      <c r="Y3416">
        <f>IF(ISNUMBER(Q3416),1,0)</f>
        <v/>
      </c>
      <c r="Z3416">
        <f>IF(AND(K3416=0,L3416=0,Y3416=0),1,0)</f>
        <v/>
      </c>
      <c r="AA3416">
        <f>IF(AND(Z3416=1,G3416&lt;Assumptions!$C$6),1,0)</f>
        <v/>
      </c>
      <c r="AB3416">
        <f>IF(U3416=0,"",IF(Y3416=1,MAX(0,Q3416-G3416),IF(L3416=1,MAX(0,R3416-G3416),MAX(0,Assumptions!$C$6-G3416))))</f>
        <v/>
      </c>
      <c r="AC3416">
        <f>IF(Y3416=1,Q3416-F3416,"")</f>
        <v/>
      </c>
      <c r="AD3416">
        <f>IF(Y3416=1,AC3416^2,"")</f>
        <v/>
      </c>
      <c r="AE3416" s="19">
        <f>IF(Z3416=1,(H3416-M3416)*I3416,0)</f>
        <v/>
      </c>
      <c r="AF3416">
        <f>IF(G3416&lt;EDATE(Assumptions!$C$6,-12)+1,"prior_12m","last_12m")</f>
        <v/>
      </c>
      <c r="AG3416" s="21">
        <f>DATE(YEAR(G3416),MONTH(G3416),1)</f>
        <v/>
      </c>
    </row>
    <row r="3417">
      <c r="A3417" t="inlineStr">
        <is>
          <t>SPO-01826-1</t>
        </is>
      </c>
      <c r="B3417" t="inlineStr">
        <is>
          <t>SPO-01826</t>
        </is>
      </c>
      <c r="C3417" t="inlineStr">
        <is>
          <t>SUP-12</t>
        </is>
      </c>
      <c r="D3417" t="inlineStr">
        <is>
          <t>IT</t>
        </is>
      </c>
      <c r="E3417" t="inlineStr">
        <is>
          <t>IT-06</t>
        </is>
      </c>
      <c r="F3417" s="17" t="n">
        <v>46073</v>
      </c>
      <c r="G3417" s="17" t="n">
        <v>46083</v>
      </c>
      <c r="H3417" s="18" t="n">
        <v>24</v>
      </c>
      <c r="I3417" s="19" t="n">
        <v>99.42</v>
      </c>
      <c r="J3417" s="19" t="n">
        <v>89</v>
      </c>
      <c r="K3417" s="20" t="n">
        <v>0</v>
      </c>
      <c r="L3417" s="20" t="n">
        <v>0</v>
      </c>
      <c r="M3417" s="18" t="n">
        <v>24</v>
      </c>
      <c r="N3417" s="18" t="n">
        <v>24</v>
      </c>
      <c r="O3417" s="18" t="n">
        <v>0</v>
      </c>
      <c r="P3417" s="17" t="n">
        <v>46083</v>
      </c>
      <c r="Q3417" s="17" t="n">
        <v>46083</v>
      </c>
      <c r="R3417" s="17" t="n">
        <v>46083</v>
      </c>
      <c r="S3417" s="19">
        <f>H3417*I3417</f>
        <v/>
      </c>
      <c r="T3417" s="19">
        <f>H3417*J3417</f>
        <v/>
      </c>
      <c r="U3417">
        <f>IF(AND(K3417=0,G3417&lt;=Assumptions!$C$6),1,0)</f>
        <v/>
      </c>
      <c r="V3417">
        <f>IF(U3417=1,IF(M3417&gt;0,IF(P3417&lt;=G3417+Assumptions!$C$7,1,0),0),0)</f>
        <v/>
      </c>
      <c r="W3417">
        <f>IF(AND(U3417=1,M3417&gt;=H3417*(1-Assumptions!$C$8)),1,0)</f>
        <v/>
      </c>
      <c r="X3417">
        <f>IF(AND(U3417=1,N3417&gt;=H3417*(1-Assumptions!$C$8)),1,0)</f>
        <v/>
      </c>
      <c r="Y3417">
        <f>IF(ISNUMBER(Q3417),1,0)</f>
        <v/>
      </c>
      <c r="Z3417">
        <f>IF(AND(K3417=0,L3417=0,Y3417=0),1,0)</f>
        <v/>
      </c>
      <c r="AA3417">
        <f>IF(AND(Z3417=1,G3417&lt;Assumptions!$C$6),1,0)</f>
        <v/>
      </c>
      <c r="AB3417">
        <f>IF(U3417=0,"",IF(Y3417=1,MAX(0,Q3417-G3417),IF(L3417=1,MAX(0,R3417-G3417),MAX(0,Assumptions!$C$6-G3417))))</f>
        <v/>
      </c>
      <c r="AC3417">
        <f>IF(Y3417=1,Q3417-F3417,"")</f>
        <v/>
      </c>
      <c r="AD3417">
        <f>IF(Y3417=1,AC3417^2,"")</f>
        <v/>
      </c>
      <c r="AE3417" s="19">
        <f>IF(Z3417=1,(H3417-M3417)*I3417,0)</f>
        <v/>
      </c>
      <c r="AF3417">
        <f>IF(G3417&lt;EDATE(Assumptions!$C$6,-12)+1,"prior_12m","last_12m")</f>
        <v/>
      </c>
      <c r="AG3417" s="21">
        <f>DATE(YEAR(G3417),MONTH(G3417),1)</f>
        <v/>
      </c>
    </row>
    <row r="3418">
      <c r="A3418" t="inlineStr">
        <is>
          <t>SPO-01826-2</t>
        </is>
      </c>
      <c r="B3418" t="inlineStr">
        <is>
          <t>SPO-01826</t>
        </is>
      </c>
      <c r="C3418" t="inlineStr">
        <is>
          <t>SUP-12</t>
        </is>
      </c>
      <c r="D3418" t="inlineStr">
        <is>
          <t>IT</t>
        </is>
      </c>
      <c r="E3418" t="inlineStr">
        <is>
          <t>IT-05</t>
        </is>
      </c>
      <c r="F3418" s="17" t="n">
        <v>46073</v>
      </c>
      <c r="G3418" s="17" t="n">
        <v>46083</v>
      </c>
      <c r="H3418" s="18" t="n">
        <v>2</v>
      </c>
      <c r="I3418" s="19" t="n">
        <v>746</v>
      </c>
      <c r="J3418" s="19" t="n">
        <v>640</v>
      </c>
      <c r="K3418" s="20" t="n">
        <v>0</v>
      </c>
      <c r="L3418" s="20" t="n">
        <v>0</v>
      </c>
      <c r="M3418" s="18" t="n">
        <v>2</v>
      </c>
      <c r="N3418" s="18" t="n">
        <v>2</v>
      </c>
      <c r="O3418" s="18" t="n">
        <v>0</v>
      </c>
      <c r="P3418" s="17" t="n">
        <v>46083</v>
      </c>
      <c r="Q3418" s="17" t="n">
        <v>46083</v>
      </c>
      <c r="R3418" s="17" t="n">
        <v>46083</v>
      </c>
      <c r="S3418" s="19">
        <f>H3418*I3418</f>
        <v/>
      </c>
      <c r="T3418" s="19">
        <f>H3418*J3418</f>
        <v/>
      </c>
      <c r="U3418">
        <f>IF(AND(K3418=0,G3418&lt;=Assumptions!$C$6),1,0)</f>
        <v/>
      </c>
      <c r="V3418">
        <f>IF(U3418=1,IF(M3418&gt;0,IF(P3418&lt;=G3418+Assumptions!$C$7,1,0),0),0)</f>
        <v/>
      </c>
      <c r="W3418">
        <f>IF(AND(U3418=1,M3418&gt;=H3418*(1-Assumptions!$C$8)),1,0)</f>
        <v/>
      </c>
      <c r="X3418">
        <f>IF(AND(U3418=1,N3418&gt;=H3418*(1-Assumptions!$C$8)),1,0)</f>
        <v/>
      </c>
      <c r="Y3418">
        <f>IF(ISNUMBER(Q3418),1,0)</f>
        <v/>
      </c>
      <c r="Z3418">
        <f>IF(AND(K3418=0,L3418=0,Y3418=0),1,0)</f>
        <v/>
      </c>
      <c r="AA3418">
        <f>IF(AND(Z3418=1,G3418&lt;Assumptions!$C$6),1,0)</f>
        <v/>
      </c>
      <c r="AB3418">
        <f>IF(U3418=0,"",IF(Y3418=1,MAX(0,Q3418-G3418),IF(L3418=1,MAX(0,R3418-G3418),MAX(0,Assumptions!$C$6-G3418))))</f>
        <v/>
      </c>
      <c r="AC3418">
        <f>IF(Y3418=1,Q3418-F3418,"")</f>
        <v/>
      </c>
      <c r="AD3418">
        <f>IF(Y3418=1,AC3418^2,"")</f>
        <v/>
      </c>
      <c r="AE3418" s="19">
        <f>IF(Z3418=1,(H3418-M3418)*I3418,0)</f>
        <v/>
      </c>
      <c r="AF3418">
        <f>IF(G3418&lt;EDATE(Assumptions!$C$6,-12)+1,"prior_12m","last_12m")</f>
        <v/>
      </c>
      <c r="AG3418" s="21">
        <f>DATE(YEAR(G3418),MONTH(G3418),1)</f>
        <v/>
      </c>
    </row>
    <row r="3419">
      <c r="A3419" t="inlineStr">
        <is>
          <t>SPO-01826-3</t>
        </is>
      </c>
      <c r="B3419" t="inlineStr">
        <is>
          <t>SPO-01826</t>
        </is>
      </c>
      <c r="C3419" t="inlineStr">
        <is>
          <t>SUP-12</t>
        </is>
      </c>
      <c r="D3419" t="inlineStr">
        <is>
          <t>IT</t>
        </is>
      </c>
      <c r="E3419" t="inlineStr">
        <is>
          <t>IT-03</t>
        </is>
      </c>
      <c r="F3419" s="17" t="n">
        <v>46073</v>
      </c>
      <c r="G3419" s="17" t="n">
        <v>46083</v>
      </c>
      <c r="H3419" s="18" t="n">
        <v>53</v>
      </c>
      <c r="I3419" s="19" t="n">
        <v>40.49</v>
      </c>
      <c r="J3419" s="19" t="n">
        <v>38</v>
      </c>
      <c r="K3419" s="20" t="n">
        <v>0</v>
      </c>
      <c r="L3419" s="20" t="n">
        <v>0</v>
      </c>
      <c r="M3419" s="18" t="n">
        <v>53</v>
      </c>
      <c r="N3419" s="18" t="n">
        <v>0</v>
      </c>
      <c r="O3419" s="18" t="n">
        <v>0</v>
      </c>
      <c r="P3419" s="17" t="n">
        <v>46086</v>
      </c>
      <c r="Q3419" s="17" t="n">
        <v>46086</v>
      </c>
      <c r="R3419" s="17" t="n">
        <v>46086</v>
      </c>
      <c r="S3419" s="19">
        <f>H3419*I3419</f>
        <v/>
      </c>
      <c r="T3419" s="19">
        <f>H3419*J3419</f>
        <v/>
      </c>
      <c r="U3419">
        <f>IF(AND(K3419=0,G3419&lt;=Assumptions!$C$6),1,0)</f>
        <v/>
      </c>
      <c r="V3419">
        <f>IF(U3419=1,IF(M3419&gt;0,IF(P3419&lt;=G3419+Assumptions!$C$7,1,0),0),0)</f>
        <v/>
      </c>
      <c r="W3419">
        <f>IF(AND(U3419=1,M3419&gt;=H3419*(1-Assumptions!$C$8)),1,0)</f>
        <v/>
      </c>
      <c r="X3419">
        <f>IF(AND(U3419=1,N3419&gt;=H3419*(1-Assumptions!$C$8)),1,0)</f>
        <v/>
      </c>
      <c r="Y3419">
        <f>IF(ISNUMBER(Q3419),1,0)</f>
        <v/>
      </c>
      <c r="Z3419">
        <f>IF(AND(K3419=0,L3419=0,Y3419=0),1,0)</f>
        <v/>
      </c>
      <c r="AA3419">
        <f>IF(AND(Z3419=1,G3419&lt;Assumptions!$C$6),1,0)</f>
        <v/>
      </c>
      <c r="AB3419">
        <f>IF(U3419=0,"",IF(Y3419=1,MAX(0,Q3419-G3419),IF(L3419=1,MAX(0,R3419-G3419),MAX(0,Assumptions!$C$6-G3419))))</f>
        <v/>
      </c>
      <c r="AC3419">
        <f>IF(Y3419=1,Q3419-F3419,"")</f>
        <v/>
      </c>
      <c r="AD3419">
        <f>IF(Y3419=1,AC3419^2,"")</f>
        <v/>
      </c>
      <c r="AE3419" s="19">
        <f>IF(Z3419=1,(H3419-M3419)*I3419,0)</f>
        <v/>
      </c>
      <c r="AF3419">
        <f>IF(G3419&lt;EDATE(Assumptions!$C$6,-12)+1,"prior_12m","last_12m")</f>
        <v/>
      </c>
      <c r="AG3419" s="21">
        <f>DATE(YEAR(G3419),MONTH(G3419),1)</f>
        <v/>
      </c>
    </row>
    <row r="3420">
      <c r="A3420" t="inlineStr">
        <is>
          <t>SPO-01827-1</t>
        </is>
      </c>
      <c r="B3420" t="inlineStr">
        <is>
          <t>SPO-01827</t>
        </is>
      </c>
      <c r="C3420" t="inlineStr">
        <is>
          <t>SUP-12</t>
        </is>
      </c>
      <c r="D3420" t="inlineStr">
        <is>
          <t>IT</t>
        </is>
      </c>
      <c r="E3420" t="inlineStr">
        <is>
          <t>IT-04</t>
        </is>
      </c>
      <c r="F3420" s="17" t="n">
        <v>46074</v>
      </c>
      <c r="G3420" s="17" t="n">
        <v>46084</v>
      </c>
      <c r="H3420" s="18" t="n">
        <v>105</v>
      </c>
      <c r="I3420" s="19" t="n">
        <v>13.53</v>
      </c>
      <c r="J3420" s="19" t="n">
        <v>12</v>
      </c>
      <c r="K3420" s="20" t="n">
        <v>0</v>
      </c>
      <c r="L3420" s="20" t="n">
        <v>0</v>
      </c>
      <c r="M3420" s="18" t="n">
        <v>105</v>
      </c>
      <c r="N3420" s="18" t="n">
        <v>105</v>
      </c>
      <c r="O3420" s="18" t="n">
        <v>0</v>
      </c>
      <c r="P3420" s="17" t="n">
        <v>46078</v>
      </c>
      <c r="Q3420" s="17" t="n">
        <v>46078</v>
      </c>
      <c r="R3420" s="17" t="n">
        <v>46078</v>
      </c>
      <c r="S3420" s="19">
        <f>H3420*I3420</f>
        <v/>
      </c>
      <c r="T3420" s="19">
        <f>H3420*J3420</f>
        <v/>
      </c>
      <c r="U3420">
        <f>IF(AND(K3420=0,G3420&lt;=Assumptions!$C$6),1,0)</f>
        <v/>
      </c>
      <c r="V3420">
        <f>IF(U3420=1,IF(M3420&gt;0,IF(P3420&lt;=G3420+Assumptions!$C$7,1,0),0),0)</f>
        <v/>
      </c>
      <c r="W3420">
        <f>IF(AND(U3420=1,M3420&gt;=H3420*(1-Assumptions!$C$8)),1,0)</f>
        <v/>
      </c>
      <c r="X3420">
        <f>IF(AND(U3420=1,N3420&gt;=H3420*(1-Assumptions!$C$8)),1,0)</f>
        <v/>
      </c>
      <c r="Y3420">
        <f>IF(ISNUMBER(Q3420),1,0)</f>
        <v/>
      </c>
      <c r="Z3420">
        <f>IF(AND(K3420=0,L3420=0,Y3420=0),1,0)</f>
        <v/>
      </c>
      <c r="AA3420">
        <f>IF(AND(Z3420=1,G3420&lt;Assumptions!$C$6),1,0)</f>
        <v/>
      </c>
      <c r="AB3420">
        <f>IF(U3420=0,"",IF(Y3420=1,MAX(0,Q3420-G3420),IF(L3420=1,MAX(0,R3420-G3420),MAX(0,Assumptions!$C$6-G3420))))</f>
        <v/>
      </c>
      <c r="AC3420">
        <f>IF(Y3420=1,Q3420-F3420,"")</f>
        <v/>
      </c>
      <c r="AD3420">
        <f>IF(Y3420=1,AC3420^2,"")</f>
        <v/>
      </c>
      <c r="AE3420" s="19">
        <f>IF(Z3420=1,(H3420-M3420)*I3420,0)</f>
        <v/>
      </c>
      <c r="AF3420">
        <f>IF(G3420&lt;EDATE(Assumptions!$C$6,-12)+1,"prior_12m","last_12m")</f>
        <v/>
      </c>
      <c r="AG3420" s="21">
        <f>DATE(YEAR(G3420),MONTH(G3420),1)</f>
        <v/>
      </c>
    </row>
    <row r="3421">
      <c r="A3421" t="inlineStr">
        <is>
          <t>SPO-01828-1</t>
        </is>
      </c>
      <c r="B3421" t="inlineStr">
        <is>
          <t>SPO-01828</t>
        </is>
      </c>
      <c r="C3421" t="inlineStr">
        <is>
          <t>SUP-02</t>
        </is>
      </c>
      <c r="D3421" t="inlineStr">
        <is>
          <t>ELEC</t>
        </is>
      </c>
      <c r="E3421" t="inlineStr">
        <is>
          <t>ELEC-07</t>
        </is>
      </c>
      <c r="F3421" s="17" t="n">
        <v>46074</v>
      </c>
      <c r="G3421" s="17" t="n">
        <v>46090</v>
      </c>
      <c r="H3421" s="18" t="n">
        <v>160</v>
      </c>
      <c r="I3421" s="19" t="n">
        <v>9.41</v>
      </c>
      <c r="J3421" s="19" t="n">
        <v>9.800000000000001</v>
      </c>
      <c r="K3421" s="20" t="n">
        <v>0</v>
      </c>
      <c r="L3421" s="20" t="n">
        <v>0</v>
      </c>
      <c r="M3421" s="18" t="n">
        <v>160</v>
      </c>
      <c r="N3421" s="18" t="n">
        <v>160</v>
      </c>
      <c r="O3421" s="18" t="n">
        <v>0</v>
      </c>
      <c r="P3421" s="17" t="n">
        <v>46089</v>
      </c>
      <c r="Q3421" s="17" t="n">
        <v>46089</v>
      </c>
      <c r="R3421" s="17" t="n">
        <v>46089</v>
      </c>
      <c r="S3421" s="19">
        <f>H3421*I3421</f>
        <v/>
      </c>
      <c r="T3421" s="19">
        <f>H3421*J3421</f>
        <v/>
      </c>
      <c r="U3421">
        <f>IF(AND(K3421=0,G3421&lt;=Assumptions!$C$6),1,0)</f>
        <v/>
      </c>
      <c r="V3421">
        <f>IF(U3421=1,IF(M3421&gt;0,IF(P3421&lt;=G3421+Assumptions!$C$7,1,0),0),0)</f>
        <v/>
      </c>
      <c r="W3421">
        <f>IF(AND(U3421=1,M3421&gt;=H3421*(1-Assumptions!$C$8)),1,0)</f>
        <v/>
      </c>
      <c r="X3421">
        <f>IF(AND(U3421=1,N3421&gt;=H3421*(1-Assumptions!$C$8)),1,0)</f>
        <v/>
      </c>
      <c r="Y3421">
        <f>IF(ISNUMBER(Q3421),1,0)</f>
        <v/>
      </c>
      <c r="Z3421">
        <f>IF(AND(K3421=0,L3421=0,Y3421=0),1,0)</f>
        <v/>
      </c>
      <c r="AA3421">
        <f>IF(AND(Z3421=1,G3421&lt;Assumptions!$C$6),1,0)</f>
        <v/>
      </c>
      <c r="AB3421">
        <f>IF(U3421=0,"",IF(Y3421=1,MAX(0,Q3421-G3421),IF(L3421=1,MAX(0,R3421-G3421),MAX(0,Assumptions!$C$6-G3421))))</f>
        <v/>
      </c>
      <c r="AC3421">
        <f>IF(Y3421=1,Q3421-F3421,"")</f>
        <v/>
      </c>
      <c r="AD3421">
        <f>IF(Y3421=1,AC3421^2,"")</f>
        <v/>
      </c>
      <c r="AE3421" s="19">
        <f>IF(Z3421=1,(H3421-M3421)*I3421,0)</f>
        <v/>
      </c>
      <c r="AF3421">
        <f>IF(G3421&lt;EDATE(Assumptions!$C$6,-12)+1,"prior_12m","last_12m")</f>
        <v/>
      </c>
      <c r="AG3421" s="21">
        <f>DATE(YEAR(G3421),MONTH(G3421),1)</f>
        <v/>
      </c>
    </row>
    <row r="3422">
      <c r="A3422" t="inlineStr">
        <is>
          <t>SPO-01829-1</t>
        </is>
      </c>
      <c r="B3422" t="inlineStr">
        <is>
          <t>SPO-01829</t>
        </is>
      </c>
      <c r="C3422" t="inlineStr">
        <is>
          <t>SUP-06</t>
        </is>
      </c>
      <c r="D3422" t="inlineStr">
        <is>
          <t>MRO</t>
        </is>
      </c>
      <c r="E3422" t="inlineStr">
        <is>
          <t>MRO-04</t>
        </is>
      </c>
      <c r="F3422" s="17" t="n">
        <v>46075</v>
      </c>
      <c r="G3422" s="17" t="n">
        <v>46083</v>
      </c>
      <c r="H3422" s="18" t="n">
        <v>18</v>
      </c>
      <c r="I3422" s="19" t="n">
        <v>59.01</v>
      </c>
      <c r="J3422" s="19" t="n">
        <v>58</v>
      </c>
      <c r="K3422" s="20" t="n">
        <v>0</v>
      </c>
      <c r="L3422" s="20" t="n">
        <v>0</v>
      </c>
      <c r="M3422" s="18" t="n">
        <v>18</v>
      </c>
      <c r="N3422" s="18" t="n">
        <v>18</v>
      </c>
      <c r="O3422" s="18" t="n">
        <v>0</v>
      </c>
      <c r="P3422" s="17" t="n">
        <v>46081</v>
      </c>
      <c r="Q3422" s="17" t="n">
        <v>46081</v>
      </c>
      <c r="R3422" s="17" t="n">
        <v>46081</v>
      </c>
      <c r="S3422" s="19">
        <f>H3422*I3422</f>
        <v/>
      </c>
      <c r="T3422" s="19">
        <f>H3422*J3422</f>
        <v/>
      </c>
      <c r="U3422">
        <f>IF(AND(K3422=0,G3422&lt;=Assumptions!$C$6),1,0)</f>
        <v/>
      </c>
      <c r="V3422">
        <f>IF(U3422=1,IF(M3422&gt;0,IF(P3422&lt;=G3422+Assumptions!$C$7,1,0),0),0)</f>
        <v/>
      </c>
      <c r="W3422">
        <f>IF(AND(U3422=1,M3422&gt;=H3422*(1-Assumptions!$C$8)),1,0)</f>
        <v/>
      </c>
      <c r="X3422">
        <f>IF(AND(U3422=1,N3422&gt;=H3422*(1-Assumptions!$C$8)),1,0)</f>
        <v/>
      </c>
      <c r="Y3422">
        <f>IF(ISNUMBER(Q3422),1,0)</f>
        <v/>
      </c>
      <c r="Z3422">
        <f>IF(AND(K3422=0,L3422=0,Y3422=0),1,0)</f>
        <v/>
      </c>
      <c r="AA3422">
        <f>IF(AND(Z3422=1,G3422&lt;Assumptions!$C$6),1,0)</f>
        <v/>
      </c>
      <c r="AB3422">
        <f>IF(U3422=0,"",IF(Y3422=1,MAX(0,Q3422-G3422),IF(L3422=1,MAX(0,R3422-G3422),MAX(0,Assumptions!$C$6-G3422))))</f>
        <v/>
      </c>
      <c r="AC3422">
        <f>IF(Y3422=1,Q3422-F3422,"")</f>
        <v/>
      </c>
      <c r="AD3422">
        <f>IF(Y3422=1,AC3422^2,"")</f>
        <v/>
      </c>
      <c r="AE3422" s="19">
        <f>IF(Z3422=1,(H3422-M3422)*I3422,0)</f>
        <v/>
      </c>
      <c r="AF3422">
        <f>IF(G3422&lt;EDATE(Assumptions!$C$6,-12)+1,"prior_12m","last_12m")</f>
        <v/>
      </c>
      <c r="AG3422" s="21">
        <f>DATE(YEAR(G3422),MONTH(G3422),1)</f>
        <v/>
      </c>
    </row>
    <row r="3423">
      <c r="A3423" t="inlineStr">
        <is>
          <t>SPO-01830-1</t>
        </is>
      </c>
      <c r="B3423" t="inlineStr">
        <is>
          <t>SPO-01830</t>
        </is>
      </c>
      <c r="C3423" t="inlineStr">
        <is>
          <t>SUP-01</t>
        </is>
      </c>
      <c r="D3423" t="inlineStr">
        <is>
          <t>ELEC</t>
        </is>
      </c>
      <c r="E3423" t="inlineStr">
        <is>
          <t>ELEC-03</t>
        </is>
      </c>
      <c r="F3423" s="17" t="n">
        <v>46076</v>
      </c>
      <c r="G3423" s="17" t="n">
        <v>46094</v>
      </c>
      <c r="H3423" s="18" t="n">
        <v>19</v>
      </c>
      <c r="I3423" s="19" t="n">
        <v>99.62</v>
      </c>
      <c r="J3423" s="19" t="n">
        <v>96</v>
      </c>
      <c r="K3423" s="20" t="n">
        <v>0</v>
      </c>
      <c r="L3423" s="20" t="n">
        <v>0</v>
      </c>
      <c r="M3423" s="18" t="n">
        <v>19</v>
      </c>
      <c r="N3423" s="18" t="n">
        <v>0</v>
      </c>
      <c r="O3423" s="18" t="n">
        <v>0</v>
      </c>
      <c r="P3423" s="17" t="n">
        <v>46097</v>
      </c>
      <c r="Q3423" s="17" t="n">
        <v>46097</v>
      </c>
      <c r="R3423" s="17" t="n">
        <v>46097</v>
      </c>
      <c r="S3423" s="19">
        <f>H3423*I3423</f>
        <v/>
      </c>
      <c r="T3423" s="19">
        <f>H3423*J3423</f>
        <v/>
      </c>
      <c r="U3423">
        <f>IF(AND(K3423=0,G3423&lt;=Assumptions!$C$6),1,0)</f>
        <v/>
      </c>
      <c r="V3423">
        <f>IF(U3423=1,IF(M3423&gt;0,IF(P3423&lt;=G3423+Assumptions!$C$7,1,0),0),0)</f>
        <v/>
      </c>
      <c r="W3423">
        <f>IF(AND(U3423=1,M3423&gt;=H3423*(1-Assumptions!$C$8)),1,0)</f>
        <v/>
      </c>
      <c r="X3423">
        <f>IF(AND(U3423=1,N3423&gt;=H3423*(1-Assumptions!$C$8)),1,0)</f>
        <v/>
      </c>
      <c r="Y3423">
        <f>IF(ISNUMBER(Q3423),1,0)</f>
        <v/>
      </c>
      <c r="Z3423">
        <f>IF(AND(K3423=0,L3423=0,Y3423=0),1,0)</f>
        <v/>
      </c>
      <c r="AA3423">
        <f>IF(AND(Z3423=1,G3423&lt;Assumptions!$C$6),1,0)</f>
        <v/>
      </c>
      <c r="AB3423">
        <f>IF(U3423=0,"",IF(Y3423=1,MAX(0,Q3423-G3423),IF(L3423=1,MAX(0,R3423-G3423),MAX(0,Assumptions!$C$6-G3423))))</f>
        <v/>
      </c>
      <c r="AC3423">
        <f>IF(Y3423=1,Q3423-F3423,"")</f>
        <v/>
      </c>
      <c r="AD3423">
        <f>IF(Y3423=1,AC3423^2,"")</f>
        <v/>
      </c>
      <c r="AE3423" s="19">
        <f>IF(Z3423=1,(H3423-M3423)*I3423,0)</f>
        <v/>
      </c>
      <c r="AF3423">
        <f>IF(G3423&lt;EDATE(Assumptions!$C$6,-12)+1,"prior_12m","last_12m")</f>
        <v/>
      </c>
      <c r="AG3423" s="21">
        <f>DATE(YEAR(G3423),MONTH(G3423),1)</f>
        <v/>
      </c>
    </row>
    <row r="3424">
      <c r="A3424" t="inlineStr">
        <is>
          <t>SPO-01830-2</t>
        </is>
      </c>
      <c r="B3424" t="inlineStr">
        <is>
          <t>SPO-01830</t>
        </is>
      </c>
      <c r="C3424" t="inlineStr">
        <is>
          <t>SUP-01</t>
        </is>
      </c>
      <c r="D3424" t="inlineStr">
        <is>
          <t>ELEC</t>
        </is>
      </c>
      <c r="E3424" t="inlineStr">
        <is>
          <t>ELEC-04</t>
        </is>
      </c>
      <c r="F3424" s="17" t="n">
        <v>46076</v>
      </c>
      <c r="G3424" s="17" t="n">
        <v>46094</v>
      </c>
      <c r="H3424" s="18" t="n">
        <v>39</v>
      </c>
      <c r="I3424" s="19" t="n">
        <v>70.40000000000001</v>
      </c>
      <c r="J3424" s="19" t="n">
        <v>72</v>
      </c>
      <c r="K3424" s="20" t="n">
        <v>0</v>
      </c>
      <c r="L3424" s="20" t="n">
        <v>0</v>
      </c>
      <c r="M3424" s="18" t="n">
        <v>39</v>
      </c>
      <c r="N3424" s="18" t="n">
        <v>20</v>
      </c>
      <c r="O3424" s="18" t="n">
        <v>0</v>
      </c>
      <c r="P3424" s="17" t="n">
        <v>46091</v>
      </c>
      <c r="Q3424" s="17" t="n">
        <v>46105</v>
      </c>
      <c r="R3424" s="17" t="n">
        <v>46105</v>
      </c>
      <c r="S3424" s="19">
        <f>H3424*I3424</f>
        <v/>
      </c>
      <c r="T3424" s="19">
        <f>H3424*J3424</f>
        <v/>
      </c>
      <c r="U3424">
        <f>IF(AND(K3424=0,G3424&lt;=Assumptions!$C$6),1,0)</f>
        <v/>
      </c>
      <c r="V3424">
        <f>IF(U3424=1,IF(M3424&gt;0,IF(P3424&lt;=G3424+Assumptions!$C$7,1,0),0),0)</f>
        <v/>
      </c>
      <c r="W3424">
        <f>IF(AND(U3424=1,M3424&gt;=H3424*(1-Assumptions!$C$8)),1,0)</f>
        <v/>
      </c>
      <c r="X3424">
        <f>IF(AND(U3424=1,N3424&gt;=H3424*(1-Assumptions!$C$8)),1,0)</f>
        <v/>
      </c>
      <c r="Y3424">
        <f>IF(ISNUMBER(Q3424),1,0)</f>
        <v/>
      </c>
      <c r="Z3424">
        <f>IF(AND(K3424=0,L3424=0,Y3424=0),1,0)</f>
        <v/>
      </c>
      <c r="AA3424">
        <f>IF(AND(Z3424=1,G3424&lt;Assumptions!$C$6),1,0)</f>
        <v/>
      </c>
      <c r="AB3424">
        <f>IF(U3424=0,"",IF(Y3424=1,MAX(0,Q3424-G3424),IF(L3424=1,MAX(0,R3424-G3424),MAX(0,Assumptions!$C$6-G3424))))</f>
        <v/>
      </c>
      <c r="AC3424">
        <f>IF(Y3424=1,Q3424-F3424,"")</f>
        <v/>
      </c>
      <c r="AD3424">
        <f>IF(Y3424=1,AC3424^2,"")</f>
        <v/>
      </c>
      <c r="AE3424" s="19">
        <f>IF(Z3424=1,(H3424-M3424)*I3424,0)</f>
        <v/>
      </c>
      <c r="AF3424">
        <f>IF(G3424&lt;EDATE(Assumptions!$C$6,-12)+1,"prior_12m","last_12m")</f>
        <v/>
      </c>
      <c r="AG3424" s="21">
        <f>DATE(YEAR(G3424),MONTH(G3424),1)</f>
        <v/>
      </c>
    </row>
    <row r="3425">
      <c r="A3425" t="inlineStr">
        <is>
          <t>SPO-01830-3</t>
        </is>
      </c>
      <c r="B3425" t="inlineStr">
        <is>
          <t>SPO-01830</t>
        </is>
      </c>
      <c r="C3425" t="inlineStr">
        <is>
          <t>SUP-01</t>
        </is>
      </c>
      <c r="D3425" t="inlineStr">
        <is>
          <t>ELEC</t>
        </is>
      </c>
      <c r="E3425" t="inlineStr">
        <is>
          <t>ELEC-02</t>
        </is>
      </c>
      <c r="F3425" s="17" t="n">
        <v>46076</v>
      </c>
      <c r="G3425" s="17" t="n">
        <v>46094</v>
      </c>
      <c r="H3425" s="18" t="n">
        <v>615</v>
      </c>
      <c r="I3425" s="19" t="n">
        <v>4.19</v>
      </c>
      <c r="J3425" s="19" t="n">
        <v>4.2</v>
      </c>
      <c r="K3425" s="20" t="n">
        <v>0</v>
      </c>
      <c r="L3425" s="20" t="n">
        <v>0</v>
      </c>
      <c r="M3425" s="18" t="n">
        <v>615</v>
      </c>
      <c r="N3425" s="18" t="n">
        <v>615</v>
      </c>
      <c r="O3425" s="18" t="n">
        <v>0</v>
      </c>
      <c r="P3425" s="17" t="n">
        <v>46090</v>
      </c>
      <c r="Q3425" s="17" t="n">
        <v>46090</v>
      </c>
      <c r="R3425" s="17" t="n">
        <v>46090</v>
      </c>
      <c r="S3425" s="19">
        <f>H3425*I3425</f>
        <v/>
      </c>
      <c r="T3425" s="19">
        <f>H3425*J3425</f>
        <v/>
      </c>
      <c r="U3425">
        <f>IF(AND(K3425=0,G3425&lt;=Assumptions!$C$6),1,0)</f>
        <v/>
      </c>
      <c r="V3425">
        <f>IF(U3425=1,IF(M3425&gt;0,IF(P3425&lt;=G3425+Assumptions!$C$7,1,0),0),0)</f>
        <v/>
      </c>
      <c r="W3425">
        <f>IF(AND(U3425=1,M3425&gt;=H3425*(1-Assumptions!$C$8)),1,0)</f>
        <v/>
      </c>
      <c r="X3425">
        <f>IF(AND(U3425=1,N3425&gt;=H3425*(1-Assumptions!$C$8)),1,0)</f>
        <v/>
      </c>
      <c r="Y3425">
        <f>IF(ISNUMBER(Q3425),1,0)</f>
        <v/>
      </c>
      <c r="Z3425">
        <f>IF(AND(K3425=0,L3425=0,Y3425=0),1,0)</f>
        <v/>
      </c>
      <c r="AA3425">
        <f>IF(AND(Z3425=1,G3425&lt;Assumptions!$C$6),1,0)</f>
        <v/>
      </c>
      <c r="AB3425">
        <f>IF(U3425=0,"",IF(Y3425=1,MAX(0,Q3425-G3425),IF(L3425=1,MAX(0,R3425-G3425),MAX(0,Assumptions!$C$6-G3425))))</f>
        <v/>
      </c>
      <c r="AC3425">
        <f>IF(Y3425=1,Q3425-F3425,"")</f>
        <v/>
      </c>
      <c r="AD3425">
        <f>IF(Y3425=1,AC3425^2,"")</f>
        <v/>
      </c>
      <c r="AE3425" s="19">
        <f>IF(Z3425=1,(H3425-M3425)*I3425,0)</f>
        <v/>
      </c>
      <c r="AF3425">
        <f>IF(G3425&lt;EDATE(Assumptions!$C$6,-12)+1,"prior_12m","last_12m")</f>
        <v/>
      </c>
      <c r="AG3425" s="21">
        <f>DATE(YEAR(G3425),MONTH(G3425),1)</f>
        <v/>
      </c>
    </row>
    <row r="3426">
      <c r="A3426" t="inlineStr">
        <is>
          <t>SPO-01831-1</t>
        </is>
      </c>
      <c r="B3426" t="inlineStr">
        <is>
          <t>SPO-01831</t>
        </is>
      </c>
      <c r="C3426" t="inlineStr">
        <is>
          <t>SUP-08</t>
        </is>
      </c>
      <c r="D3426" t="inlineStr">
        <is>
          <t>PPE</t>
        </is>
      </c>
      <c r="E3426" t="inlineStr">
        <is>
          <t>PPE-02</t>
        </is>
      </c>
      <c r="F3426" s="17" t="n">
        <v>46076</v>
      </c>
      <c r="G3426" s="17" t="n">
        <v>46087</v>
      </c>
      <c r="H3426" s="18" t="n">
        <v>89</v>
      </c>
      <c r="I3426" s="19" t="n">
        <v>13.01</v>
      </c>
      <c r="J3426" s="19" t="n">
        <v>12.5</v>
      </c>
      <c r="K3426" s="20" t="n">
        <v>0</v>
      </c>
      <c r="L3426" s="20" t="n">
        <v>0</v>
      </c>
      <c r="M3426" s="18" t="n">
        <v>89</v>
      </c>
      <c r="N3426" s="18" t="n">
        <v>89</v>
      </c>
      <c r="O3426" s="18" t="n">
        <v>0</v>
      </c>
      <c r="P3426" s="17" t="n">
        <v>46085</v>
      </c>
      <c r="Q3426" s="17" t="n">
        <v>46085</v>
      </c>
      <c r="R3426" s="17" t="n">
        <v>46085</v>
      </c>
      <c r="S3426" s="19">
        <f>H3426*I3426</f>
        <v/>
      </c>
      <c r="T3426" s="19">
        <f>H3426*J3426</f>
        <v/>
      </c>
      <c r="U3426">
        <f>IF(AND(K3426=0,G3426&lt;=Assumptions!$C$6),1,0)</f>
        <v/>
      </c>
      <c r="V3426">
        <f>IF(U3426=1,IF(M3426&gt;0,IF(P3426&lt;=G3426+Assumptions!$C$7,1,0),0),0)</f>
        <v/>
      </c>
      <c r="W3426">
        <f>IF(AND(U3426=1,M3426&gt;=H3426*(1-Assumptions!$C$8)),1,0)</f>
        <v/>
      </c>
      <c r="X3426">
        <f>IF(AND(U3426=1,N3426&gt;=H3426*(1-Assumptions!$C$8)),1,0)</f>
        <v/>
      </c>
      <c r="Y3426">
        <f>IF(ISNUMBER(Q3426),1,0)</f>
        <v/>
      </c>
      <c r="Z3426">
        <f>IF(AND(K3426=0,L3426=0,Y3426=0),1,0)</f>
        <v/>
      </c>
      <c r="AA3426">
        <f>IF(AND(Z3426=1,G3426&lt;Assumptions!$C$6),1,0)</f>
        <v/>
      </c>
      <c r="AB3426">
        <f>IF(U3426=0,"",IF(Y3426=1,MAX(0,Q3426-G3426),IF(L3426=1,MAX(0,R3426-G3426),MAX(0,Assumptions!$C$6-G3426))))</f>
        <v/>
      </c>
      <c r="AC3426">
        <f>IF(Y3426=1,Q3426-F3426,"")</f>
        <v/>
      </c>
      <c r="AD3426">
        <f>IF(Y3426=1,AC3426^2,"")</f>
        <v/>
      </c>
      <c r="AE3426" s="19">
        <f>IF(Z3426=1,(H3426-M3426)*I3426,0)</f>
        <v/>
      </c>
      <c r="AF3426">
        <f>IF(G3426&lt;EDATE(Assumptions!$C$6,-12)+1,"prior_12m","last_12m")</f>
        <v/>
      </c>
      <c r="AG3426" s="21">
        <f>DATE(YEAR(G3426),MONTH(G3426),1)</f>
        <v/>
      </c>
    </row>
    <row r="3427">
      <c r="A3427" t="inlineStr">
        <is>
          <t>SPO-01831-2</t>
        </is>
      </c>
      <c r="B3427" t="inlineStr">
        <is>
          <t>SPO-01831</t>
        </is>
      </c>
      <c r="C3427" t="inlineStr">
        <is>
          <t>SUP-08</t>
        </is>
      </c>
      <c r="D3427" t="inlineStr">
        <is>
          <t>PPE</t>
        </is>
      </c>
      <c r="E3427" t="inlineStr">
        <is>
          <t>PPE-03</t>
        </is>
      </c>
      <c r="F3427" s="17" t="n">
        <v>46076</v>
      </c>
      <c r="G3427" s="17" t="n">
        <v>46087</v>
      </c>
      <c r="H3427" s="18" t="n">
        <v>72</v>
      </c>
      <c r="I3427" s="19" t="n">
        <v>21.59</v>
      </c>
      <c r="J3427" s="19" t="n">
        <v>21</v>
      </c>
      <c r="K3427" s="20" t="n">
        <v>0</v>
      </c>
      <c r="L3427" s="20" t="n">
        <v>0</v>
      </c>
      <c r="M3427" s="18" t="n">
        <v>72</v>
      </c>
      <c r="N3427" s="18" t="n">
        <v>72</v>
      </c>
      <c r="O3427" s="18" t="n">
        <v>0</v>
      </c>
      <c r="P3427" s="17" t="n">
        <v>46087</v>
      </c>
      <c r="Q3427" s="17" t="n">
        <v>46087</v>
      </c>
      <c r="R3427" s="17" t="n">
        <v>46087</v>
      </c>
      <c r="S3427" s="19">
        <f>H3427*I3427</f>
        <v/>
      </c>
      <c r="T3427" s="19">
        <f>H3427*J3427</f>
        <v/>
      </c>
      <c r="U3427">
        <f>IF(AND(K3427=0,G3427&lt;=Assumptions!$C$6),1,0)</f>
        <v/>
      </c>
      <c r="V3427">
        <f>IF(U3427=1,IF(M3427&gt;0,IF(P3427&lt;=G3427+Assumptions!$C$7,1,0),0),0)</f>
        <v/>
      </c>
      <c r="W3427">
        <f>IF(AND(U3427=1,M3427&gt;=H3427*(1-Assumptions!$C$8)),1,0)</f>
        <v/>
      </c>
      <c r="X3427">
        <f>IF(AND(U3427=1,N3427&gt;=H3427*(1-Assumptions!$C$8)),1,0)</f>
        <v/>
      </c>
      <c r="Y3427">
        <f>IF(ISNUMBER(Q3427),1,0)</f>
        <v/>
      </c>
      <c r="Z3427">
        <f>IF(AND(K3427=0,L3427=0,Y3427=0),1,0)</f>
        <v/>
      </c>
      <c r="AA3427">
        <f>IF(AND(Z3427=1,G3427&lt;Assumptions!$C$6),1,0)</f>
        <v/>
      </c>
      <c r="AB3427">
        <f>IF(U3427=0,"",IF(Y3427=1,MAX(0,Q3427-G3427),IF(L3427=1,MAX(0,R3427-G3427),MAX(0,Assumptions!$C$6-G3427))))</f>
        <v/>
      </c>
      <c r="AC3427">
        <f>IF(Y3427=1,Q3427-F3427,"")</f>
        <v/>
      </c>
      <c r="AD3427">
        <f>IF(Y3427=1,AC3427^2,"")</f>
        <v/>
      </c>
      <c r="AE3427" s="19">
        <f>IF(Z3427=1,(H3427-M3427)*I3427,0)</f>
        <v/>
      </c>
      <c r="AF3427">
        <f>IF(G3427&lt;EDATE(Assumptions!$C$6,-12)+1,"prior_12m","last_12m")</f>
        <v/>
      </c>
      <c r="AG3427" s="21">
        <f>DATE(YEAR(G3427),MONTH(G3427),1)</f>
        <v/>
      </c>
    </row>
    <row r="3428">
      <c r="A3428" t="inlineStr">
        <is>
          <t>SPO-01832-1</t>
        </is>
      </c>
      <c r="B3428" t="inlineStr">
        <is>
          <t>SPO-01832</t>
        </is>
      </c>
      <c r="C3428" t="inlineStr">
        <is>
          <t>SUP-06</t>
        </is>
      </c>
      <c r="D3428" t="inlineStr">
        <is>
          <t>MRO</t>
        </is>
      </c>
      <c r="E3428" t="inlineStr">
        <is>
          <t>MRO-07</t>
        </is>
      </c>
      <c r="F3428" s="17" t="n">
        <v>46076</v>
      </c>
      <c r="G3428" s="17" t="n">
        <v>46084</v>
      </c>
      <c r="H3428" s="18" t="n">
        <v>231</v>
      </c>
      <c r="I3428" s="19" t="n">
        <v>14.21</v>
      </c>
      <c r="J3428" s="19" t="n">
        <v>14</v>
      </c>
      <c r="K3428" s="20" t="n">
        <v>0</v>
      </c>
      <c r="L3428" s="20" t="n">
        <v>0</v>
      </c>
      <c r="M3428" s="18" t="n">
        <v>231</v>
      </c>
      <c r="N3428" s="18" t="n">
        <v>231</v>
      </c>
      <c r="O3428" s="18" t="n">
        <v>0</v>
      </c>
      <c r="P3428" s="17" t="n">
        <v>46082</v>
      </c>
      <c r="Q3428" s="17" t="n">
        <v>46082</v>
      </c>
      <c r="R3428" s="17" t="n">
        <v>46082</v>
      </c>
      <c r="S3428" s="19">
        <f>H3428*I3428</f>
        <v/>
      </c>
      <c r="T3428" s="19">
        <f>H3428*J3428</f>
        <v/>
      </c>
      <c r="U3428">
        <f>IF(AND(K3428=0,G3428&lt;=Assumptions!$C$6),1,0)</f>
        <v/>
      </c>
      <c r="V3428">
        <f>IF(U3428=1,IF(M3428&gt;0,IF(P3428&lt;=G3428+Assumptions!$C$7,1,0),0),0)</f>
        <v/>
      </c>
      <c r="W3428">
        <f>IF(AND(U3428=1,M3428&gt;=H3428*(1-Assumptions!$C$8)),1,0)</f>
        <v/>
      </c>
      <c r="X3428">
        <f>IF(AND(U3428=1,N3428&gt;=H3428*(1-Assumptions!$C$8)),1,0)</f>
        <v/>
      </c>
      <c r="Y3428">
        <f>IF(ISNUMBER(Q3428),1,0)</f>
        <v/>
      </c>
      <c r="Z3428">
        <f>IF(AND(K3428=0,L3428=0,Y3428=0),1,0)</f>
        <v/>
      </c>
      <c r="AA3428">
        <f>IF(AND(Z3428=1,G3428&lt;Assumptions!$C$6),1,0)</f>
        <v/>
      </c>
      <c r="AB3428">
        <f>IF(U3428=0,"",IF(Y3428=1,MAX(0,Q3428-G3428),IF(L3428=1,MAX(0,R3428-G3428),MAX(0,Assumptions!$C$6-G3428))))</f>
        <v/>
      </c>
      <c r="AC3428">
        <f>IF(Y3428=1,Q3428-F3428,"")</f>
        <v/>
      </c>
      <c r="AD3428">
        <f>IF(Y3428=1,AC3428^2,"")</f>
        <v/>
      </c>
      <c r="AE3428" s="19">
        <f>IF(Z3428=1,(H3428-M3428)*I3428,0)</f>
        <v/>
      </c>
      <c r="AF3428">
        <f>IF(G3428&lt;EDATE(Assumptions!$C$6,-12)+1,"prior_12m","last_12m")</f>
        <v/>
      </c>
      <c r="AG3428" s="21">
        <f>DATE(YEAR(G3428),MONTH(G3428),1)</f>
        <v/>
      </c>
    </row>
    <row r="3429">
      <c r="A3429" t="inlineStr">
        <is>
          <t>SPO-01833-1</t>
        </is>
      </c>
      <c r="B3429" t="inlineStr">
        <is>
          <t>SPO-01833</t>
        </is>
      </c>
      <c r="C3429" t="inlineStr">
        <is>
          <t>SUP-01</t>
        </is>
      </c>
      <c r="D3429" t="inlineStr">
        <is>
          <t>ELEC</t>
        </is>
      </c>
      <c r="E3429" t="inlineStr">
        <is>
          <t>ELEC-03</t>
        </is>
      </c>
      <c r="F3429" s="17" t="n">
        <v>46077</v>
      </c>
      <c r="G3429" s="17" t="n">
        <v>46095</v>
      </c>
      <c r="H3429" s="18" t="n">
        <v>46</v>
      </c>
      <c r="I3429" s="19" t="n">
        <v>94.06999999999999</v>
      </c>
      <c r="J3429" s="19" t="n">
        <v>96</v>
      </c>
      <c r="K3429" s="20" t="n">
        <v>0</v>
      </c>
      <c r="L3429" s="20" t="n">
        <v>0</v>
      </c>
      <c r="M3429" s="18" t="n">
        <v>46</v>
      </c>
      <c r="N3429" s="18" t="n">
        <v>0</v>
      </c>
      <c r="O3429" s="18" t="n">
        <v>0</v>
      </c>
      <c r="P3429" s="17" t="n">
        <v>46099</v>
      </c>
      <c r="Q3429" s="17" t="n">
        <v>46099</v>
      </c>
      <c r="R3429" s="17" t="n">
        <v>46099</v>
      </c>
      <c r="S3429" s="19">
        <f>H3429*I3429</f>
        <v/>
      </c>
      <c r="T3429" s="19">
        <f>H3429*J3429</f>
        <v/>
      </c>
      <c r="U3429">
        <f>IF(AND(K3429=0,G3429&lt;=Assumptions!$C$6),1,0)</f>
        <v/>
      </c>
      <c r="V3429">
        <f>IF(U3429=1,IF(M3429&gt;0,IF(P3429&lt;=G3429+Assumptions!$C$7,1,0),0),0)</f>
        <v/>
      </c>
      <c r="W3429">
        <f>IF(AND(U3429=1,M3429&gt;=H3429*(1-Assumptions!$C$8)),1,0)</f>
        <v/>
      </c>
      <c r="X3429">
        <f>IF(AND(U3429=1,N3429&gt;=H3429*(1-Assumptions!$C$8)),1,0)</f>
        <v/>
      </c>
      <c r="Y3429">
        <f>IF(ISNUMBER(Q3429),1,0)</f>
        <v/>
      </c>
      <c r="Z3429">
        <f>IF(AND(K3429=0,L3429=0,Y3429=0),1,0)</f>
        <v/>
      </c>
      <c r="AA3429">
        <f>IF(AND(Z3429=1,G3429&lt;Assumptions!$C$6),1,0)</f>
        <v/>
      </c>
      <c r="AB3429">
        <f>IF(U3429=0,"",IF(Y3429=1,MAX(0,Q3429-G3429),IF(L3429=1,MAX(0,R3429-G3429),MAX(0,Assumptions!$C$6-G3429))))</f>
        <v/>
      </c>
      <c r="AC3429">
        <f>IF(Y3429=1,Q3429-F3429,"")</f>
        <v/>
      </c>
      <c r="AD3429">
        <f>IF(Y3429=1,AC3429^2,"")</f>
        <v/>
      </c>
      <c r="AE3429" s="19">
        <f>IF(Z3429=1,(H3429-M3429)*I3429,0)</f>
        <v/>
      </c>
      <c r="AF3429">
        <f>IF(G3429&lt;EDATE(Assumptions!$C$6,-12)+1,"prior_12m","last_12m")</f>
        <v/>
      </c>
      <c r="AG3429" s="21">
        <f>DATE(YEAR(G3429),MONTH(G3429),1)</f>
        <v/>
      </c>
    </row>
    <row r="3430">
      <c r="A3430" t="inlineStr">
        <is>
          <t>SPO-01833-2</t>
        </is>
      </c>
      <c r="B3430" t="inlineStr">
        <is>
          <t>SPO-01833</t>
        </is>
      </c>
      <c r="C3430" t="inlineStr">
        <is>
          <t>SUP-01</t>
        </is>
      </c>
      <c r="D3430" t="inlineStr">
        <is>
          <t>ELEC</t>
        </is>
      </c>
      <c r="E3430" t="inlineStr">
        <is>
          <t>ELEC-08</t>
        </is>
      </c>
      <c r="F3430" s="17" t="n">
        <v>46077</v>
      </c>
      <c r="G3430" s="17" t="n">
        <v>46095</v>
      </c>
      <c r="H3430" s="18" t="n">
        <v>129</v>
      </c>
      <c r="I3430" s="19" t="n">
        <v>18.21</v>
      </c>
      <c r="J3430" s="19" t="n">
        <v>18</v>
      </c>
      <c r="K3430" s="20" t="n">
        <v>0</v>
      </c>
      <c r="L3430" s="20" t="n">
        <v>0</v>
      </c>
      <c r="M3430" s="18" t="n">
        <v>129</v>
      </c>
      <c r="N3430" s="18" t="n">
        <v>129</v>
      </c>
      <c r="O3430" s="18" t="n">
        <v>0</v>
      </c>
      <c r="P3430" s="17" t="n">
        <v>46092</v>
      </c>
      <c r="Q3430" s="17" t="n">
        <v>46092</v>
      </c>
      <c r="R3430" s="17" t="n">
        <v>46092</v>
      </c>
      <c r="S3430" s="19">
        <f>H3430*I3430</f>
        <v/>
      </c>
      <c r="T3430" s="19">
        <f>H3430*J3430</f>
        <v/>
      </c>
      <c r="U3430">
        <f>IF(AND(K3430=0,G3430&lt;=Assumptions!$C$6),1,0)</f>
        <v/>
      </c>
      <c r="V3430">
        <f>IF(U3430=1,IF(M3430&gt;0,IF(P3430&lt;=G3430+Assumptions!$C$7,1,0),0),0)</f>
        <v/>
      </c>
      <c r="W3430">
        <f>IF(AND(U3430=1,M3430&gt;=H3430*(1-Assumptions!$C$8)),1,0)</f>
        <v/>
      </c>
      <c r="X3430">
        <f>IF(AND(U3430=1,N3430&gt;=H3430*(1-Assumptions!$C$8)),1,0)</f>
        <v/>
      </c>
      <c r="Y3430">
        <f>IF(ISNUMBER(Q3430),1,0)</f>
        <v/>
      </c>
      <c r="Z3430">
        <f>IF(AND(K3430=0,L3430=0,Y3430=0),1,0)</f>
        <v/>
      </c>
      <c r="AA3430">
        <f>IF(AND(Z3430=1,G3430&lt;Assumptions!$C$6),1,0)</f>
        <v/>
      </c>
      <c r="AB3430">
        <f>IF(U3430=0,"",IF(Y3430=1,MAX(0,Q3430-G3430),IF(L3430=1,MAX(0,R3430-G3430),MAX(0,Assumptions!$C$6-G3430))))</f>
        <v/>
      </c>
      <c r="AC3430">
        <f>IF(Y3430=1,Q3430-F3430,"")</f>
        <v/>
      </c>
      <c r="AD3430">
        <f>IF(Y3430=1,AC3430^2,"")</f>
        <v/>
      </c>
      <c r="AE3430" s="19">
        <f>IF(Z3430=1,(H3430-M3430)*I3430,0)</f>
        <v/>
      </c>
      <c r="AF3430">
        <f>IF(G3430&lt;EDATE(Assumptions!$C$6,-12)+1,"prior_12m","last_12m")</f>
        <v/>
      </c>
      <c r="AG3430" s="21">
        <f>DATE(YEAR(G3430),MONTH(G3430),1)</f>
        <v/>
      </c>
    </row>
    <row r="3431">
      <c r="A3431" t="inlineStr">
        <is>
          <t>SPO-01834-1</t>
        </is>
      </c>
      <c r="B3431" t="inlineStr">
        <is>
          <t>SPO-01834</t>
        </is>
      </c>
      <c r="C3431" t="inlineStr">
        <is>
          <t>SUP-08</t>
        </is>
      </c>
      <c r="D3431" t="inlineStr">
        <is>
          <t>PPE</t>
        </is>
      </c>
      <c r="E3431" t="inlineStr">
        <is>
          <t>PPE-08</t>
        </is>
      </c>
      <c r="F3431" s="17" t="n">
        <v>46078</v>
      </c>
      <c r="G3431" s="17" t="n">
        <v>46089</v>
      </c>
      <c r="H3431" s="18" t="n">
        <v>22</v>
      </c>
      <c r="I3431" s="19" t="n">
        <v>64.09</v>
      </c>
      <c r="J3431" s="19" t="n">
        <v>64</v>
      </c>
      <c r="K3431" s="20" t="n">
        <v>0</v>
      </c>
      <c r="L3431" s="20" t="n">
        <v>0</v>
      </c>
      <c r="M3431" s="18" t="n">
        <v>22</v>
      </c>
      <c r="N3431" s="18" t="n">
        <v>22</v>
      </c>
      <c r="O3431" s="18" t="n">
        <v>0</v>
      </c>
      <c r="P3431" s="17" t="n">
        <v>46084</v>
      </c>
      <c r="Q3431" s="17" t="n">
        <v>46084</v>
      </c>
      <c r="R3431" s="17" t="n">
        <v>46084</v>
      </c>
      <c r="S3431" s="19">
        <f>H3431*I3431</f>
        <v/>
      </c>
      <c r="T3431" s="19">
        <f>H3431*J3431</f>
        <v/>
      </c>
      <c r="U3431">
        <f>IF(AND(K3431=0,G3431&lt;=Assumptions!$C$6),1,0)</f>
        <v/>
      </c>
      <c r="V3431">
        <f>IF(U3431=1,IF(M3431&gt;0,IF(P3431&lt;=G3431+Assumptions!$C$7,1,0),0),0)</f>
        <v/>
      </c>
      <c r="W3431">
        <f>IF(AND(U3431=1,M3431&gt;=H3431*(1-Assumptions!$C$8)),1,0)</f>
        <v/>
      </c>
      <c r="X3431">
        <f>IF(AND(U3431=1,N3431&gt;=H3431*(1-Assumptions!$C$8)),1,0)</f>
        <v/>
      </c>
      <c r="Y3431">
        <f>IF(ISNUMBER(Q3431),1,0)</f>
        <v/>
      </c>
      <c r="Z3431">
        <f>IF(AND(K3431=0,L3431=0,Y3431=0),1,0)</f>
        <v/>
      </c>
      <c r="AA3431">
        <f>IF(AND(Z3431=1,G3431&lt;Assumptions!$C$6),1,0)</f>
        <v/>
      </c>
      <c r="AB3431">
        <f>IF(U3431=0,"",IF(Y3431=1,MAX(0,Q3431-G3431),IF(L3431=1,MAX(0,R3431-G3431),MAX(0,Assumptions!$C$6-G3431))))</f>
        <v/>
      </c>
      <c r="AC3431">
        <f>IF(Y3431=1,Q3431-F3431,"")</f>
        <v/>
      </c>
      <c r="AD3431">
        <f>IF(Y3431=1,AC3431^2,"")</f>
        <v/>
      </c>
      <c r="AE3431" s="19">
        <f>IF(Z3431=1,(H3431-M3431)*I3431,0)</f>
        <v/>
      </c>
      <c r="AF3431">
        <f>IF(G3431&lt;EDATE(Assumptions!$C$6,-12)+1,"prior_12m","last_12m")</f>
        <v/>
      </c>
      <c r="AG3431" s="21">
        <f>DATE(YEAR(G3431),MONTH(G3431),1)</f>
        <v/>
      </c>
    </row>
    <row r="3432">
      <c r="A3432" t="inlineStr">
        <is>
          <t>SPO-01834-2</t>
        </is>
      </c>
      <c r="B3432" t="inlineStr">
        <is>
          <t>SPO-01834</t>
        </is>
      </c>
      <c r="C3432" t="inlineStr">
        <is>
          <t>SUP-08</t>
        </is>
      </c>
      <c r="D3432" t="inlineStr">
        <is>
          <t>PPE</t>
        </is>
      </c>
      <c r="E3432" t="inlineStr">
        <is>
          <t>PPE-07</t>
        </is>
      </c>
      <c r="F3432" s="17" t="n">
        <v>46078</v>
      </c>
      <c r="G3432" s="17" t="n">
        <v>46089</v>
      </c>
      <c r="H3432" s="18" t="n">
        <v>70</v>
      </c>
      <c r="I3432" s="19" t="n">
        <v>30.75</v>
      </c>
      <c r="J3432" s="19" t="n">
        <v>31</v>
      </c>
      <c r="K3432" s="20" t="n">
        <v>0</v>
      </c>
      <c r="L3432" s="20" t="n">
        <v>0</v>
      </c>
      <c r="M3432" s="18" t="n">
        <v>70</v>
      </c>
      <c r="N3432" s="18" t="n">
        <v>70</v>
      </c>
      <c r="O3432" s="18" t="n">
        <v>0</v>
      </c>
      <c r="P3432" s="17" t="n">
        <v>46087</v>
      </c>
      <c r="Q3432" s="17" t="n">
        <v>46087</v>
      </c>
      <c r="R3432" s="17" t="n">
        <v>46087</v>
      </c>
      <c r="S3432" s="19">
        <f>H3432*I3432</f>
        <v/>
      </c>
      <c r="T3432" s="19">
        <f>H3432*J3432</f>
        <v/>
      </c>
      <c r="U3432">
        <f>IF(AND(K3432=0,G3432&lt;=Assumptions!$C$6),1,0)</f>
        <v/>
      </c>
      <c r="V3432">
        <f>IF(U3432=1,IF(M3432&gt;0,IF(P3432&lt;=G3432+Assumptions!$C$7,1,0),0),0)</f>
        <v/>
      </c>
      <c r="W3432">
        <f>IF(AND(U3432=1,M3432&gt;=H3432*(1-Assumptions!$C$8)),1,0)</f>
        <v/>
      </c>
      <c r="X3432">
        <f>IF(AND(U3432=1,N3432&gt;=H3432*(1-Assumptions!$C$8)),1,0)</f>
        <v/>
      </c>
      <c r="Y3432">
        <f>IF(ISNUMBER(Q3432),1,0)</f>
        <v/>
      </c>
      <c r="Z3432">
        <f>IF(AND(K3432=0,L3432=0,Y3432=0),1,0)</f>
        <v/>
      </c>
      <c r="AA3432">
        <f>IF(AND(Z3432=1,G3432&lt;Assumptions!$C$6),1,0)</f>
        <v/>
      </c>
      <c r="AB3432">
        <f>IF(U3432=0,"",IF(Y3432=1,MAX(0,Q3432-G3432),IF(L3432=1,MAX(0,R3432-G3432),MAX(0,Assumptions!$C$6-G3432))))</f>
        <v/>
      </c>
      <c r="AC3432">
        <f>IF(Y3432=1,Q3432-F3432,"")</f>
        <v/>
      </c>
      <c r="AD3432">
        <f>IF(Y3432=1,AC3432^2,"")</f>
        <v/>
      </c>
      <c r="AE3432" s="19">
        <f>IF(Z3432=1,(H3432-M3432)*I3432,0)</f>
        <v/>
      </c>
      <c r="AF3432">
        <f>IF(G3432&lt;EDATE(Assumptions!$C$6,-12)+1,"prior_12m","last_12m")</f>
        <v/>
      </c>
      <c r="AG3432" s="21">
        <f>DATE(YEAR(G3432),MONTH(G3432),1)</f>
        <v/>
      </c>
    </row>
    <row r="3433">
      <c r="A3433" t="inlineStr">
        <is>
          <t>SPO-01835-1</t>
        </is>
      </c>
      <c r="B3433" t="inlineStr">
        <is>
          <t>SPO-01835</t>
        </is>
      </c>
      <c r="C3433" t="inlineStr">
        <is>
          <t>SUP-06</t>
        </is>
      </c>
      <c r="D3433" t="inlineStr">
        <is>
          <t>MRO</t>
        </is>
      </c>
      <c r="E3433" t="inlineStr">
        <is>
          <t>MRO-05</t>
        </is>
      </c>
      <c r="F3433" s="17" t="n">
        <v>46078</v>
      </c>
      <c r="G3433" s="17" t="n">
        <v>46086</v>
      </c>
      <c r="H3433" s="18" t="n">
        <v>51</v>
      </c>
      <c r="I3433" s="19" t="n">
        <v>37.07</v>
      </c>
      <c r="J3433" s="19" t="n">
        <v>36</v>
      </c>
      <c r="K3433" s="20" t="n">
        <v>0</v>
      </c>
      <c r="L3433" s="20" t="n">
        <v>0</v>
      </c>
      <c r="M3433" s="18" t="n">
        <v>51</v>
      </c>
      <c r="N3433" s="18" t="n">
        <v>51</v>
      </c>
      <c r="O3433" s="18" t="n">
        <v>0</v>
      </c>
      <c r="P3433" s="17" t="n">
        <v>46085</v>
      </c>
      <c r="Q3433" s="17" t="n">
        <v>46085</v>
      </c>
      <c r="R3433" s="17" t="n">
        <v>46085</v>
      </c>
      <c r="S3433" s="19">
        <f>H3433*I3433</f>
        <v/>
      </c>
      <c r="T3433" s="19">
        <f>H3433*J3433</f>
        <v/>
      </c>
      <c r="U3433">
        <f>IF(AND(K3433=0,G3433&lt;=Assumptions!$C$6),1,0)</f>
        <v/>
      </c>
      <c r="V3433">
        <f>IF(U3433=1,IF(M3433&gt;0,IF(P3433&lt;=G3433+Assumptions!$C$7,1,0),0),0)</f>
        <v/>
      </c>
      <c r="W3433">
        <f>IF(AND(U3433=1,M3433&gt;=H3433*(1-Assumptions!$C$8)),1,0)</f>
        <v/>
      </c>
      <c r="X3433">
        <f>IF(AND(U3433=1,N3433&gt;=H3433*(1-Assumptions!$C$8)),1,0)</f>
        <v/>
      </c>
      <c r="Y3433">
        <f>IF(ISNUMBER(Q3433),1,0)</f>
        <v/>
      </c>
      <c r="Z3433">
        <f>IF(AND(K3433=0,L3433=0,Y3433=0),1,0)</f>
        <v/>
      </c>
      <c r="AA3433">
        <f>IF(AND(Z3433=1,G3433&lt;Assumptions!$C$6),1,0)</f>
        <v/>
      </c>
      <c r="AB3433">
        <f>IF(U3433=0,"",IF(Y3433=1,MAX(0,Q3433-G3433),IF(L3433=1,MAX(0,R3433-G3433),MAX(0,Assumptions!$C$6-G3433))))</f>
        <v/>
      </c>
      <c r="AC3433">
        <f>IF(Y3433=1,Q3433-F3433,"")</f>
        <v/>
      </c>
      <c r="AD3433">
        <f>IF(Y3433=1,AC3433^2,"")</f>
        <v/>
      </c>
      <c r="AE3433" s="19">
        <f>IF(Z3433=1,(H3433-M3433)*I3433,0)</f>
        <v/>
      </c>
      <c r="AF3433">
        <f>IF(G3433&lt;EDATE(Assumptions!$C$6,-12)+1,"prior_12m","last_12m")</f>
        <v/>
      </c>
      <c r="AG3433" s="21">
        <f>DATE(YEAR(G3433),MONTH(G3433),1)</f>
        <v/>
      </c>
    </row>
    <row r="3434">
      <c r="A3434" t="inlineStr">
        <is>
          <t>SPO-01836-1</t>
        </is>
      </c>
      <c r="B3434" t="inlineStr">
        <is>
          <t>SPO-01836</t>
        </is>
      </c>
      <c r="C3434" t="inlineStr">
        <is>
          <t>SUP-14</t>
        </is>
      </c>
      <c r="D3434" t="inlineStr">
        <is>
          <t>FLEET</t>
        </is>
      </c>
      <c r="E3434" t="inlineStr">
        <is>
          <t>FLEET-02</t>
        </is>
      </c>
      <c r="F3434" s="17" t="n">
        <v>46078</v>
      </c>
      <c r="G3434" s="17" t="n">
        <v>46092</v>
      </c>
      <c r="H3434" s="18" t="n">
        <v>146</v>
      </c>
      <c r="I3434" s="19" t="n">
        <v>7.63</v>
      </c>
      <c r="J3434" s="19" t="n">
        <v>7.5</v>
      </c>
      <c r="K3434" s="20" t="n">
        <v>0</v>
      </c>
      <c r="L3434" s="20" t="n">
        <v>0</v>
      </c>
      <c r="M3434" s="18" t="n">
        <v>146</v>
      </c>
      <c r="N3434" s="18" t="n">
        <v>146</v>
      </c>
      <c r="O3434" s="18" t="n">
        <v>0</v>
      </c>
      <c r="P3434" s="17" t="n">
        <v>46089</v>
      </c>
      <c r="Q3434" s="17" t="n">
        <v>46089</v>
      </c>
      <c r="R3434" s="17" t="n">
        <v>46089</v>
      </c>
      <c r="S3434" s="19">
        <f>H3434*I3434</f>
        <v/>
      </c>
      <c r="T3434" s="19">
        <f>H3434*J3434</f>
        <v/>
      </c>
      <c r="U3434">
        <f>IF(AND(K3434=0,G3434&lt;=Assumptions!$C$6),1,0)</f>
        <v/>
      </c>
      <c r="V3434">
        <f>IF(U3434=1,IF(M3434&gt;0,IF(P3434&lt;=G3434+Assumptions!$C$7,1,0),0),0)</f>
        <v/>
      </c>
      <c r="W3434">
        <f>IF(AND(U3434=1,M3434&gt;=H3434*(1-Assumptions!$C$8)),1,0)</f>
        <v/>
      </c>
      <c r="X3434">
        <f>IF(AND(U3434=1,N3434&gt;=H3434*(1-Assumptions!$C$8)),1,0)</f>
        <v/>
      </c>
      <c r="Y3434">
        <f>IF(ISNUMBER(Q3434),1,0)</f>
        <v/>
      </c>
      <c r="Z3434">
        <f>IF(AND(K3434=0,L3434=0,Y3434=0),1,0)</f>
        <v/>
      </c>
      <c r="AA3434">
        <f>IF(AND(Z3434=1,G3434&lt;Assumptions!$C$6),1,0)</f>
        <v/>
      </c>
      <c r="AB3434">
        <f>IF(U3434=0,"",IF(Y3434=1,MAX(0,Q3434-G3434),IF(L3434=1,MAX(0,R3434-G3434),MAX(0,Assumptions!$C$6-G3434))))</f>
        <v/>
      </c>
      <c r="AC3434">
        <f>IF(Y3434=1,Q3434-F3434,"")</f>
        <v/>
      </c>
      <c r="AD3434">
        <f>IF(Y3434=1,AC3434^2,"")</f>
        <v/>
      </c>
      <c r="AE3434" s="19">
        <f>IF(Z3434=1,(H3434-M3434)*I3434,0)</f>
        <v/>
      </c>
      <c r="AF3434">
        <f>IF(G3434&lt;EDATE(Assumptions!$C$6,-12)+1,"prior_12m","last_12m")</f>
        <v/>
      </c>
      <c r="AG3434" s="21">
        <f>DATE(YEAR(G3434),MONTH(G3434),1)</f>
        <v/>
      </c>
    </row>
    <row r="3435">
      <c r="A3435" t="inlineStr">
        <is>
          <t>SPO-01836-2</t>
        </is>
      </c>
      <c r="B3435" t="inlineStr">
        <is>
          <t>SPO-01836</t>
        </is>
      </c>
      <c r="C3435" t="inlineStr">
        <is>
          <t>SUP-14</t>
        </is>
      </c>
      <c r="D3435" t="inlineStr">
        <is>
          <t>FLEET</t>
        </is>
      </c>
      <c r="E3435" t="inlineStr">
        <is>
          <t>FLEET-06</t>
        </is>
      </c>
      <c r="F3435" s="17" t="n">
        <v>46078</v>
      </c>
      <c r="G3435" s="17" t="n">
        <v>46092</v>
      </c>
      <c r="H3435" s="18" t="n">
        <v>48</v>
      </c>
      <c r="I3435" s="19" t="n">
        <v>33.04</v>
      </c>
      <c r="J3435" s="19" t="n">
        <v>33</v>
      </c>
      <c r="K3435" s="20" t="n">
        <v>0</v>
      </c>
      <c r="L3435" s="20" t="n">
        <v>0</v>
      </c>
      <c r="M3435" s="18" t="n">
        <v>48</v>
      </c>
      <c r="N3435" s="18" t="n">
        <v>48</v>
      </c>
      <c r="O3435" s="18" t="n">
        <v>0</v>
      </c>
      <c r="P3435" s="17" t="n">
        <v>46091</v>
      </c>
      <c r="Q3435" s="17" t="n">
        <v>46091</v>
      </c>
      <c r="R3435" s="17" t="n">
        <v>46091</v>
      </c>
      <c r="S3435" s="19">
        <f>H3435*I3435</f>
        <v/>
      </c>
      <c r="T3435" s="19">
        <f>H3435*J3435</f>
        <v/>
      </c>
      <c r="U3435">
        <f>IF(AND(K3435=0,G3435&lt;=Assumptions!$C$6),1,0)</f>
        <v/>
      </c>
      <c r="V3435">
        <f>IF(U3435=1,IF(M3435&gt;0,IF(P3435&lt;=G3435+Assumptions!$C$7,1,0),0),0)</f>
        <v/>
      </c>
      <c r="W3435">
        <f>IF(AND(U3435=1,M3435&gt;=H3435*(1-Assumptions!$C$8)),1,0)</f>
        <v/>
      </c>
      <c r="X3435">
        <f>IF(AND(U3435=1,N3435&gt;=H3435*(1-Assumptions!$C$8)),1,0)</f>
        <v/>
      </c>
      <c r="Y3435">
        <f>IF(ISNUMBER(Q3435),1,0)</f>
        <v/>
      </c>
      <c r="Z3435">
        <f>IF(AND(K3435=0,L3435=0,Y3435=0),1,0)</f>
        <v/>
      </c>
      <c r="AA3435">
        <f>IF(AND(Z3435=1,G3435&lt;Assumptions!$C$6),1,0)</f>
        <v/>
      </c>
      <c r="AB3435">
        <f>IF(U3435=0,"",IF(Y3435=1,MAX(0,Q3435-G3435),IF(L3435=1,MAX(0,R3435-G3435),MAX(0,Assumptions!$C$6-G3435))))</f>
        <v/>
      </c>
      <c r="AC3435">
        <f>IF(Y3435=1,Q3435-F3435,"")</f>
        <v/>
      </c>
      <c r="AD3435">
        <f>IF(Y3435=1,AC3435^2,"")</f>
        <v/>
      </c>
      <c r="AE3435" s="19">
        <f>IF(Z3435=1,(H3435-M3435)*I3435,0)</f>
        <v/>
      </c>
      <c r="AF3435">
        <f>IF(G3435&lt;EDATE(Assumptions!$C$6,-12)+1,"prior_12m","last_12m")</f>
        <v/>
      </c>
      <c r="AG3435" s="21">
        <f>DATE(YEAR(G3435),MONTH(G3435),1)</f>
        <v/>
      </c>
    </row>
    <row r="3436">
      <c r="A3436" t="inlineStr">
        <is>
          <t>SPO-01837-1</t>
        </is>
      </c>
      <c r="B3436" t="inlineStr">
        <is>
          <t>SPO-01837</t>
        </is>
      </c>
      <c r="C3436" t="inlineStr">
        <is>
          <t>SUP-12</t>
        </is>
      </c>
      <c r="D3436" t="inlineStr">
        <is>
          <t>IT</t>
        </is>
      </c>
      <c r="E3436" t="inlineStr">
        <is>
          <t>IT-01</t>
        </is>
      </c>
      <c r="F3436" s="17" t="n">
        <v>46078</v>
      </c>
      <c r="G3436" s="17" t="n">
        <v>46088</v>
      </c>
      <c r="H3436" s="18" t="n">
        <v>8</v>
      </c>
      <c r="I3436" s="19" t="n">
        <v>217.15</v>
      </c>
      <c r="J3436" s="19" t="n">
        <v>189</v>
      </c>
      <c r="K3436" s="20" t="n">
        <v>0</v>
      </c>
      <c r="L3436" s="20" t="n">
        <v>0</v>
      </c>
      <c r="M3436" s="18" t="n">
        <v>8</v>
      </c>
      <c r="N3436" s="18" t="n">
        <v>8</v>
      </c>
      <c r="O3436" s="18" t="n">
        <v>0</v>
      </c>
      <c r="P3436" s="17" t="n">
        <v>46084</v>
      </c>
      <c r="Q3436" s="17" t="n">
        <v>46084</v>
      </c>
      <c r="R3436" s="17" t="n">
        <v>46084</v>
      </c>
      <c r="S3436" s="19">
        <f>H3436*I3436</f>
        <v/>
      </c>
      <c r="T3436" s="19">
        <f>H3436*J3436</f>
        <v/>
      </c>
      <c r="U3436">
        <f>IF(AND(K3436=0,G3436&lt;=Assumptions!$C$6),1,0)</f>
        <v/>
      </c>
      <c r="V3436">
        <f>IF(U3436=1,IF(M3436&gt;0,IF(P3436&lt;=G3436+Assumptions!$C$7,1,0),0),0)</f>
        <v/>
      </c>
      <c r="W3436">
        <f>IF(AND(U3436=1,M3436&gt;=H3436*(1-Assumptions!$C$8)),1,0)</f>
        <v/>
      </c>
      <c r="X3436">
        <f>IF(AND(U3436=1,N3436&gt;=H3436*(1-Assumptions!$C$8)),1,0)</f>
        <v/>
      </c>
      <c r="Y3436">
        <f>IF(ISNUMBER(Q3436),1,0)</f>
        <v/>
      </c>
      <c r="Z3436">
        <f>IF(AND(K3436=0,L3436=0,Y3436=0),1,0)</f>
        <v/>
      </c>
      <c r="AA3436">
        <f>IF(AND(Z3436=1,G3436&lt;Assumptions!$C$6),1,0)</f>
        <v/>
      </c>
      <c r="AB3436">
        <f>IF(U3436=0,"",IF(Y3436=1,MAX(0,Q3436-G3436),IF(L3436=1,MAX(0,R3436-G3436),MAX(0,Assumptions!$C$6-G3436))))</f>
        <v/>
      </c>
      <c r="AC3436">
        <f>IF(Y3436=1,Q3436-F3436,"")</f>
        <v/>
      </c>
      <c r="AD3436">
        <f>IF(Y3436=1,AC3436^2,"")</f>
        <v/>
      </c>
      <c r="AE3436" s="19">
        <f>IF(Z3436=1,(H3436-M3436)*I3436,0)</f>
        <v/>
      </c>
      <c r="AF3436">
        <f>IF(G3436&lt;EDATE(Assumptions!$C$6,-12)+1,"prior_12m","last_12m")</f>
        <v/>
      </c>
      <c r="AG3436" s="21">
        <f>DATE(YEAR(G3436),MONTH(G3436),1)</f>
        <v/>
      </c>
    </row>
    <row r="3437">
      <c r="A3437" t="inlineStr">
        <is>
          <t>SPO-01837-2</t>
        </is>
      </c>
      <c r="B3437" t="inlineStr">
        <is>
          <t>SPO-01837</t>
        </is>
      </c>
      <c r="C3437" t="inlineStr">
        <is>
          <t>SUP-12</t>
        </is>
      </c>
      <c r="D3437" t="inlineStr">
        <is>
          <t>IT</t>
        </is>
      </c>
      <c r="E3437" t="inlineStr">
        <is>
          <t>IT-08</t>
        </is>
      </c>
      <c r="F3437" s="17" t="n">
        <v>46078</v>
      </c>
      <c r="G3437" s="17" t="n">
        <v>46088</v>
      </c>
      <c r="H3437" s="18" t="n">
        <v>7</v>
      </c>
      <c r="I3437" s="19" t="n">
        <v>283.24</v>
      </c>
      <c r="J3437" s="19" t="n">
        <v>245</v>
      </c>
      <c r="K3437" s="20" t="n">
        <v>0</v>
      </c>
      <c r="L3437" s="20" t="n">
        <v>0</v>
      </c>
      <c r="M3437" s="18" t="n">
        <v>7</v>
      </c>
      <c r="N3437" s="18" t="n">
        <v>7</v>
      </c>
      <c r="O3437" s="18" t="n">
        <v>0</v>
      </c>
      <c r="P3437" s="17" t="n">
        <v>46084</v>
      </c>
      <c r="Q3437" s="17" t="n">
        <v>46084</v>
      </c>
      <c r="R3437" s="17" t="n">
        <v>46084</v>
      </c>
      <c r="S3437" s="19">
        <f>H3437*I3437</f>
        <v/>
      </c>
      <c r="T3437" s="19">
        <f>H3437*J3437</f>
        <v/>
      </c>
      <c r="U3437">
        <f>IF(AND(K3437=0,G3437&lt;=Assumptions!$C$6),1,0)</f>
        <v/>
      </c>
      <c r="V3437">
        <f>IF(U3437=1,IF(M3437&gt;0,IF(P3437&lt;=G3437+Assumptions!$C$7,1,0),0),0)</f>
        <v/>
      </c>
      <c r="W3437">
        <f>IF(AND(U3437=1,M3437&gt;=H3437*(1-Assumptions!$C$8)),1,0)</f>
        <v/>
      </c>
      <c r="X3437">
        <f>IF(AND(U3437=1,N3437&gt;=H3437*(1-Assumptions!$C$8)),1,0)</f>
        <v/>
      </c>
      <c r="Y3437">
        <f>IF(ISNUMBER(Q3437),1,0)</f>
        <v/>
      </c>
      <c r="Z3437">
        <f>IF(AND(K3437=0,L3437=0,Y3437=0),1,0)</f>
        <v/>
      </c>
      <c r="AA3437">
        <f>IF(AND(Z3437=1,G3437&lt;Assumptions!$C$6),1,0)</f>
        <v/>
      </c>
      <c r="AB3437">
        <f>IF(U3437=0,"",IF(Y3437=1,MAX(0,Q3437-G3437),IF(L3437=1,MAX(0,R3437-G3437),MAX(0,Assumptions!$C$6-G3437))))</f>
        <v/>
      </c>
      <c r="AC3437">
        <f>IF(Y3437=1,Q3437-F3437,"")</f>
        <v/>
      </c>
      <c r="AD3437">
        <f>IF(Y3437=1,AC3437^2,"")</f>
        <v/>
      </c>
      <c r="AE3437" s="19">
        <f>IF(Z3437=1,(H3437-M3437)*I3437,0)</f>
        <v/>
      </c>
      <c r="AF3437">
        <f>IF(G3437&lt;EDATE(Assumptions!$C$6,-12)+1,"prior_12m","last_12m")</f>
        <v/>
      </c>
      <c r="AG3437" s="21">
        <f>DATE(YEAR(G3437),MONTH(G3437),1)</f>
        <v/>
      </c>
    </row>
    <row r="3438">
      <c r="A3438" t="inlineStr">
        <is>
          <t>SPO-01837-3</t>
        </is>
      </c>
      <c r="B3438" t="inlineStr">
        <is>
          <t>SPO-01837</t>
        </is>
      </c>
      <c r="C3438" t="inlineStr">
        <is>
          <t>SUP-12</t>
        </is>
      </c>
      <c r="D3438" t="inlineStr">
        <is>
          <t>IT</t>
        </is>
      </c>
      <c r="E3438" t="inlineStr">
        <is>
          <t>IT-04</t>
        </is>
      </c>
      <c r="F3438" s="17" t="n">
        <v>46078</v>
      </c>
      <c r="G3438" s="17" t="n">
        <v>46088</v>
      </c>
      <c r="H3438" s="18" t="n">
        <v>134</v>
      </c>
      <c r="I3438" s="19" t="n">
        <v>13.75</v>
      </c>
      <c r="J3438" s="19" t="n">
        <v>12</v>
      </c>
      <c r="K3438" s="20" t="n">
        <v>0</v>
      </c>
      <c r="L3438" s="20" t="n">
        <v>0</v>
      </c>
      <c r="M3438" s="18" t="n">
        <v>134</v>
      </c>
      <c r="N3438" s="18" t="n">
        <v>134</v>
      </c>
      <c r="O3438" s="18" t="n">
        <v>0</v>
      </c>
      <c r="P3438" s="17" t="n">
        <v>46088</v>
      </c>
      <c r="Q3438" s="17" t="n">
        <v>46088</v>
      </c>
      <c r="R3438" s="17" t="n">
        <v>46088</v>
      </c>
      <c r="S3438" s="19">
        <f>H3438*I3438</f>
        <v/>
      </c>
      <c r="T3438" s="19">
        <f>H3438*J3438</f>
        <v/>
      </c>
      <c r="U3438">
        <f>IF(AND(K3438=0,G3438&lt;=Assumptions!$C$6),1,0)</f>
        <v/>
      </c>
      <c r="V3438">
        <f>IF(U3438=1,IF(M3438&gt;0,IF(P3438&lt;=G3438+Assumptions!$C$7,1,0),0),0)</f>
        <v/>
      </c>
      <c r="W3438">
        <f>IF(AND(U3438=1,M3438&gt;=H3438*(1-Assumptions!$C$8)),1,0)</f>
        <v/>
      </c>
      <c r="X3438">
        <f>IF(AND(U3438=1,N3438&gt;=H3438*(1-Assumptions!$C$8)),1,0)</f>
        <v/>
      </c>
      <c r="Y3438">
        <f>IF(ISNUMBER(Q3438),1,0)</f>
        <v/>
      </c>
      <c r="Z3438">
        <f>IF(AND(K3438=0,L3438=0,Y3438=0),1,0)</f>
        <v/>
      </c>
      <c r="AA3438">
        <f>IF(AND(Z3438=1,G3438&lt;Assumptions!$C$6),1,0)</f>
        <v/>
      </c>
      <c r="AB3438">
        <f>IF(U3438=0,"",IF(Y3438=1,MAX(0,Q3438-G3438),IF(L3438=1,MAX(0,R3438-G3438),MAX(0,Assumptions!$C$6-G3438))))</f>
        <v/>
      </c>
      <c r="AC3438">
        <f>IF(Y3438=1,Q3438-F3438,"")</f>
        <v/>
      </c>
      <c r="AD3438">
        <f>IF(Y3438=1,AC3438^2,"")</f>
        <v/>
      </c>
      <c r="AE3438" s="19">
        <f>IF(Z3438=1,(H3438-M3438)*I3438,0)</f>
        <v/>
      </c>
      <c r="AF3438">
        <f>IF(G3438&lt;EDATE(Assumptions!$C$6,-12)+1,"prior_12m","last_12m")</f>
        <v/>
      </c>
      <c r="AG3438" s="21">
        <f>DATE(YEAR(G3438),MONTH(G3438),1)</f>
        <v/>
      </c>
    </row>
    <row r="3439">
      <c r="A3439" t="inlineStr">
        <is>
          <t>SPO-01838-1</t>
        </is>
      </c>
      <c r="B3439" t="inlineStr">
        <is>
          <t>SPO-01838</t>
        </is>
      </c>
      <c r="C3439" t="inlineStr">
        <is>
          <t>SUP-01</t>
        </is>
      </c>
      <c r="D3439" t="inlineStr">
        <is>
          <t>ELEC</t>
        </is>
      </c>
      <c r="E3439" t="inlineStr">
        <is>
          <t>ELEC-01</t>
        </is>
      </c>
      <c r="F3439" s="17" t="n">
        <v>46078</v>
      </c>
      <c r="G3439" s="17" t="n">
        <v>46096</v>
      </c>
      <c r="H3439" s="18" t="n">
        <v>69</v>
      </c>
      <c r="I3439" s="19" t="n">
        <v>38.1</v>
      </c>
      <c r="J3439" s="19" t="n">
        <v>38</v>
      </c>
      <c r="K3439" s="20" t="n">
        <v>0</v>
      </c>
      <c r="L3439" s="20" t="n">
        <v>0</v>
      </c>
      <c r="M3439" s="18" t="n">
        <v>69</v>
      </c>
      <c r="N3439" s="18" t="n">
        <v>0</v>
      </c>
      <c r="O3439" s="18" t="n">
        <v>0</v>
      </c>
      <c r="P3439" s="17" t="n">
        <v>46097</v>
      </c>
      <c r="Q3439" s="17" t="n">
        <v>46097</v>
      </c>
      <c r="R3439" s="17" t="n">
        <v>46097</v>
      </c>
      <c r="S3439" s="19">
        <f>H3439*I3439</f>
        <v/>
      </c>
      <c r="T3439" s="19">
        <f>H3439*J3439</f>
        <v/>
      </c>
      <c r="U3439">
        <f>IF(AND(K3439=0,G3439&lt;=Assumptions!$C$6),1,0)</f>
        <v/>
      </c>
      <c r="V3439">
        <f>IF(U3439=1,IF(M3439&gt;0,IF(P3439&lt;=G3439+Assumptions!$C$7,1,0),0),0)</f>
        <v/>
      </c>
      <c r="W3439">
        <f>IF(AND(U3439=1,M3439&gt;=H3439*(1-Assumptions!$C$8)),1,0)</f>
        <v/>
      </c>
      <c r="X3439">
        <f>IF(AND(U3439=1,N3439&gt;=H3439*(1-Assumptions!$C$8)),1,0)</f>
        <v/>
      </c>
      <c r="Y3439">
        <f>IF(ISNUMBER(Q3439),1,0)</f>
        <v/>
      </c>
      <c r="Z3439">
        <f>IF(AND(K3439=0,L3439=0,Y3439=0),1,0)</f>
        <v/>
      </c>
      <c r="AA3439">
        <f>IF(AND(Z3439=1,G3439&lt;Assumptions!$C$6),1,0)</f>
        <v/>
      </c>
      <c r="AB3439">
        <f>IF(U3439=0,"",IF(Y3439=1,MAX(0,Q3439-G3439),IF(L3439=1,MAX(0,R3439-G3439),MAX(0,Assumptions!$C$6-G3439))))</f>
        <v/>
      </c>
      <c r="AC3439">
        <f>IF(Y3439=1,Q3439-F3439,"")</f>
        <v/>
      </c>
      <c r="AD3439">
        <f>IF(Y3439=1,AC3439^2,"")</f>
        <v/>
      </c>
      <c r="AE3439" s="19">
        <f>IF(Z3439=1,(H3439-M3439)*I3439,0)</f>
        <v/>
      </c>
      <c r="AF3439">
        <f>IF(G3439&lt;EDATE(Assumptions!$C$6,-12)+1,"prior_12m","last_12m")</f>
        <v/>
      </c>
      <c r="AG3439" s="21">
        <f>DATE(YEAR(G3439),MONTH(G3439),1)</f>
        <v/>
      </c>
    </row>
    <row r="3440">
      <c r="A3440" t="inlineStr">
        <is>
          <t>SPO-01839-1</t>
        </is>
      </c>
      <c r="B3440" t="inlineStr">
        <is>
          <t>SPO-01839</t>
        </is>
      </c>
      <c r="C3440" t="inlineStr">
        <is>
          <t>SUP-12</t>
        </is>
      </c>
      <c r="D3440" t="inlineStr">
        <is>
          <t>IT</t>
        </is>
      </c>
      <c r="E3440" t="inlineStr">
        <is>
          <t>IT-08</t>
        </is>
      </c>
      <c r="F3440" s="17" t="n">
        <v>46078</v>
      </c>
      <c r="G3440" s="17" t="n">
        <v>46088</v>
      </c>
      <c r="H3440" s="18" t="n">
        <v>8</v>
      </c>
      <c r="I3440" s="19" t="n">
        <v>286.45</v>
      </c>
      <c r="J3440" s="19" t="n">
        <v>245</v>
      </c>
      <c r="K3440" s="20" t="n">
        <v>0</v>
      </c>
      <c r="L3440" s="20" t="n">
        <v>0</v>
      </c>
      <c r="M3440" s="18" t="n">
        <v>8</v>
      </c>
      <c r="N3440" s="18" t="n">
        <v>8</v>
      </c>
      <c r="O3440" s="18" t="n">
        <v>0</v>
      </c>
      <c r="P3440" s="17" t="n">
        <v>46084</v>
      </c>
      <c r="Q3440" s="17" t="n">
        <v>46084</v>
      </c>
      <c r="R3440" s="17" t="n">
        <v>46084</v>
      </c>
      <c r="S3440" s="19">
        <f>H3440*I3440</f>
        <v/>
      </c>
      <c r="T3440" s="19">
        <f>H3440*J3440</f>
        <v/>
      </c>
      <c r="U3440">
        <f>IF(AND(K3440=0,G3440&lt;=Assumptions!$C$6),1,0)</f>
        <v/>
      </c>
      <c r="V3440">
        <f>IF(U3440=1,IF(M3440&gt;0,IF(P3440&lt;=G3440+Assumptions!$C$7,1,0),0),0)</f>
        <v/>
      </c>
      <c r="W3440">
        <f>IF(AND(U3440=1,M3440&gt;=H3440*(1-Assumptions!$C$8)),1,0)</f>
        <v/>
      </c>
      <c r="X3440">
        <f>IF(AND(U3440=1,N3440&gt;=H3440*(1-Assumptions!$C$8)),1,0)</f>
        <v/>
      </c>
      <c r="Y3440">
        <f>IF(ISNUMBER(Q3440),1,0)</f>
        <v/>
      </c>
      <c r="Z3440">
        <f>IF(AND(K3440=0,L3440=0,Y3440=0),1,0)</f>
        <v/>
      </c>
      <c r="AA3440">
        <f>IF(AND(Z3440=1,G3440&lt;Assumptions!$C$6),1,0)</f>
        <v/>
      </c>
      <c r="AB3440">
        <f>IF(U3440=0,"",IF(Y3440=1,MAX(0,Q3440-G3440),IF(L3440=1,MAX(0,R3440-G3440),MAX(0,Assumptions!$C$6-G3440))))</f>
        <v/>
      </c>
      <c r="AC3440">
        <f>IF(Y3440=1,Q3440-F3440,"")</f>
        <v/>
      </c>
      <c r="AD3440">
        <f>IF(Y3440=1,AC3440^2,"")</f>
        <v/>
      </c>
      <c r="AE3440" s="19">
        <f>IF(Z3440=1,(H3440-M3440)*I3440,0)</f>
        <v/>
      </c>
      <c r="AF3440">
        <f>IF(G3440&lt;EDATE(Assumptions!$C$6,-12)+1,"prior_12m","last_12m")</f>
        <v/>
      </c>
      <c r="AG3440" s="21">
        <f>DATE(YEAR(G3440),MONTH(G3440),1)</f>
        <v/>
      </c>
    </row>
    <row r="3441">
      <c r="A3441" t="inlineStr">
        <is>
          <t>SPO-01839-2</t>
        </is>
      </c>
      <c r="B3441" t="inlineStr">
        <is>
          <t>SPO-01839</t>
        </is>
      </c>
      <c r="C3441" t="inlineStr">
        <is>
          <t>SUP-12</t>
        </is>
      </c>
      <c r="D3441" t="inlineStr">
        <is>
          <t>IT</t>
        </is>
      </c>
      <c r="E3441" t="inlineStr">
        <is>
          <t>IT-04</t>
        </is>
      </c>
      <c r="F3441" s="17" t="n">
        <v>46078</v>
      </c>
      <c r="G3441" s="17" t="n">
        <v>46088</v>
      </c>
      <c r="H3441" s="18" t="n">
        <v>233</v>
      </c>
      <c r="I3441" s="19" t="n">
        <v>13.32</v>
      </c>
      <c r="J3441" s="19" t="n">
        <v>12</v>
      </c>
      <c r="K3441" s="20" t="n">
        <v>0</v>
      </c>
      <c r="L3441" s="20" t="n">
        <v>0</v>
      </c>
      <c r="M3441" s="18" t="n">
        <v>233</v>
      </c>
      <c r="N3441" s="18" t="n">
        <v>233</v>
      </c>
      <c r="O3441" s="18" t="n">
        <v>0</v>
      </c>
      <c r="P3441" s="17" t="n">
        <v>46084</v>
      </c>
      <c r="Q3441" s="17" t="n">
        <v>46084</v>
      </c>
      <c r="R3441" s="17" t="n">
        <v>46084</v>
      </c>
      <c r="S3441" s="19">
        <f>H3441*I3441</f>
        <v/>
      </c>
      <c r="T3441" s="19">
        <f>H3441*J3441</f>
        <v/>
      </c>
      <c r="U3441">
        <f>IF(AND(K3441=0,G3441&lt;=Assumptions!$C$6),1,0)</f>
        <v/>
      </c>
      <c r="V3441">
        <f>IF(U3441=1,IF(M3441&gt;0,IF(P3441&lt;=G3441+Assumptions!$C$7,1,0),0),0)</f>
        <v/>
      </c>
      <c r="W3441">
        <f>IF(AND(U3441=1,M3441&gt;=H3441*(1-Assumptions!$C$8)),1,0)</f>
        <v/>
      </c>
      <c r="X3441">
        <f>IF(AND(U3441=1,N3441&gt;=H3441*(1-Assumptions!$C$8)),1,0)</f>
        <v/>
      </c>
      <c r="Y3441">
        <f>IF(ISNUMBER(Q3441),1,0)</f>
        <v/>
      </c>
      <c r="Z3441">
        <f>IF(AND(K3441=0,L3441=0,Y3441=0),1,0)</f>
        <v/>
      </c>
      <c r="AA3441">
        <f>IF(AND(Z3441=1,G3441&lt;Assumptions!$C$6),1,0)</f>
        <v/>
      </c>
      <c r="AB3441">
        <f>IF(U3441=0,"",IF(Y3441=1,MAX(0,Q3441-G3441),IF(L3441=1,MAX(0,R3441-G3441),MAX(0,Assumptions!$C$6-G3441))))</f>
        <v/>
      </c>
      <c r="AC3441">
        <f>IF(Y3441=1,Q3441-F3441,"")</f>
        <v/>
      </c>
      <c r="AD3441">
        <f>IF(Y3441=1,AC3441^2,"")</f>
        <v/>
      </c>
      <c r="AE3441" s="19">
        <f>IF(Z3441=1,(H3441-M3441)*I3441,0)</f>
        <v/>
      </c>
      <c r="AF3441">
        <f>IF(G3441&lt;EDATE(Assumptions!$C$6,-12)+1,"prior_12m","last_12m")</f>
        <v/>
      </c>
      <c r="AG3441" s="21">
        <f>DATE(YEAR(G3441),MONTH(G3441),1)</f>
        <v/>
      </c>
    </row>
    <row r="3442">
      <c r="A3442" t="inlineStr">
        <is>
          <t>SPO-01840-1</t>
        </is>
      </c>
      <c r="B3442" t="inlineStr">
        <is>
          <t>SPO-01840</t>
        </is>
      </c>
      <c r="C3442" t="inlineStr">
        <is>
          <t>SUP-12</t>
        </is>
      </c>
      <c r="D3442" t="inlineStr">
        <is>
          <t>IT</t>
        </is>
      </c>
      <c r="E3442" t="inlineStr">
        <is>
          <t>IT-04</t>
        </is>
      </c>
      <c r="F3442" s="17" t="n">
        <v>46078</v>
      </c>
      <c r="G3442" s="17" t="n">
        <v>46088</v>
      </c>
      <c r="H3442" s="18" t="n">
        <v>99</v>
      </c>
      <c r="I3442" s="19" t="n">
        <v>14.02</v>
      </c>
      <c r="J3442" s="19" t="n">
        <v>12</v>
      </c>
      <c r="K3442" s="20" t="n">
        <v>0</v>
      </c>
      <c r="L3442" s="20" t="n">
        <v>0</v>
      </c>
      <c r="M3442" s="18" t="n">
        <v>99</v>
      </c>
      <c r="N3442" s="18" t="n">
        <v>99</v>
      </c>
      <c r="O3442" s="18" t="n">
        <v>0</v>
      </c>
      <c r="P3442" s="17" t="n">
        <v>46085</v>
      </c>
      <c r="Q3442" s="17" t="n">
        <v>46085</v>
      </c>
      <c r="R3442" s="17" t="n">
        <v>46085</v>
      </c>
      <c r="S3442" s="19">
        <f>H3442*I3442</f>
        <v/>
      </c>
      <c r="T3442" s="19">
        <f>H3442*J3442</f>
        <v/>
      </c>
      <c r="U3442">
        <f>IF(AND(K3442=0,G3442&lt;=Assumptions!$C$6),1,0)</f>
        <v/>
      </c>
      <c r="V3442">
        <f>IF(U3442=1,IF(M3442&gt;0,IF(P3442&lt;=G3442+Assumptions!$C$7,1,0),0),0)</f>
        <v/>
      </c>
      <c r="W3442">
        <f>IF(AND(U3442=1,M3442&gt;=H3442*(1-Assumptions!$C$8)),1,0)</f>
        <v/>
      </c>
      <c r="X3442">
        <f>IF(AND(U3442=1,N3442&gt;=H3442*(1-Assumptions!$C$8)),1,0)</f>
        <v/>
      </c>
      <c r="Y3442">
        <f>IF(ISNUMBER(Q3442),1,0)</f>
        <v/>
      </c>
      <c r="Z3442">
        <f>IF(AND(K3442=0,L3442=0,Y3442=0),1,0)</f>
        <v/>
      </c>
      <c r="AA3442">
        <f>IF(AND(Z3442=1,G3442&lt;Assumptions!$C$6),1,0)</f>
        <v/>
      </c>
      <c r="AB3442">
        <f>IF(U3442=0,"",IF(Y3442=1,MAX(0,Q3442-G3442),IF(L3442=1,MAX(0,R3442-G3442),MAX(0,Assumptions!$C$6-G3442))))</f>
        <v/>
      </c>
      <c r="AC3442">
        <f>IF(Y3442=1,Q3442-F3442,"")</f>
        <v/>
      </c>
      <c r="AD3442">
        <f>IF(Y3442=1,AC3442^2,"")</f>
        <v/>
      </c>
      <c r="AE3442" s="19">
        <f>IF(Z3442=1,(H3442-M3442)*I3442,0)</f>
        <v/>
      </c>
      <c r="AF3442">
        <f>IF(G3442&lt;EDATE(Assumptions!$C$6,-12)+1,"prior_12m","last_12m")</f>
        <v/>
      </c>
      <c r="AG3442" s="21">
        <f>DATE(YEAR(G3442),MONTH(G3442),1)</f>
        <v/>
      </c>
    </row>
    <row r="3443">
      <c r="A3443" t="inlineStr">
        <is>
          <t>SPO-01841-1</t>
        </is>
      </c>
      <c r="B3443" t="inlineStr">
        <is>
          <t>SPO-01841</t>
        </is>
      </c>
      <c r="C3443" t="inlineStr">
        <is>
          <t>SUP-12</t>
        </is>
      </c>
      <c r="D3443" t="inlineStr">
        <is>
          <t>IT</t>
        </is>
      </c>
      <c r="E3443" t="inlineStr">
        <is>
          <t>IT-06</t>
        </is>
      </c>
      <c r="F3443" s="17" t="n">
        <v>46079</v>
      </c>
      <c r="G3443" s="17" t="n">
        <v>46089</v>
      </c>
      <c r="H3443" s="18" t="n">
        <v>18</v>
      </c>
      <c r="I3443" s="19" t="n">
        <v>100.37</v>
      </c>
      <c r="J3443" s="19" t="n">
        <v>89</v>
      </c>
      <c r="K3443" s="20" t="n">
        <v>0</v>
      </c>
      <c r="L3443" s="20" t="n">
        <v>0</v>
      </c>
      <c r="M3443" s="18" t="n">
        <v>18</v>
      </c>
      <c r="N3443" s="18" t="n">
        <v>18</v>
      </c>
      <c r="O3443" s="18" t="n">
        <v>0</v>
      </c>
      <c r="P3443" s="17" t="n">
        <v>46086</v>
      </c>
      <c r="Q3443" s="17" t="n">
        <v>46086</v>
      </c>
      <c r="R3443" s="17" t="n">
        <v>46086</v>
      </c>
      <c r="S3443" s="19">
        <f>H3443*I3443</f>
        <v/>
      </c>
      <c r="T3443" s="19">
        <f>H3443*J3443</f>
        <v/>
      </c>
      <c r="U3443">
        <f>IF(AND(K3443=0,G3443&lt;=Assumptions!$C$6),1,0)</f>
        <v/>
      </c>
      <c r="V3443">
        <f>IF(U3443=1,IF(M3443&gt;0,IF(P3443&lt;=G3443+Assumptions!$C$7,1,0),0),0)</f>
        <v/>
      </c>
      <c r="W3443">
        <f>IF(AND(U3443=1,M3443&gt;=H3443*(1-Assumptions!$C$8)),1,0)</f>
        <v/>
      </c>
      <c r="X3443">
        <f>IF(AND(U3443=1,N3443&gt;=H3443*(1-Assumptions!$C$8)),1,0)</f>
        <v/>
      </c>
      <c r="Y3443">
        <f>IF(ISNUMBER(Q3443),1,0)</f>
        <v/>
      </c>
      <c r="Z3443">
        <f>IF(AND(K3443=0,L3443=0,Y3443=0),1,0)</f>
        <v/>
      </c>
      <c r="AA3443">
        <f>IF(AND(Z3443=1,G3443&lt;Assumptions!$C$6),1,0)</f>
        <v/>
      </c>
      <c r="AB3443">
        <f>IF(U3443=0,"",IF(Y3443=1,MAX(0,Q3443-G3443),IF(L3443=1,MAX(0,R3443-G3443),MAX(0,Assumptions!$C$6-G3443))))</f>
        <v/>
      </c>
      <c r="AC3443">
        <f>IF(Y3443=1,Q3443-F3443,"")</f>
        <v/>
      </c>
      <c r="AD3443">
        <f>IF(Y3443=1,AC3443^2,"")</f>
        <v/>
      </c>
      <c r="AE3443" s="19">
        <f>IF(Z3443=1,(H3443-M3443)*I3443,0)</f>
        <v/>
      </c>
      <c r="AF3443">
        <f>IF(G3443&lt;EDATE(Assumptions!$C$6,-12)+1,"prior_12m","last_12m")</f>
        <v/>
      </c>
      <c r="AG3443" s="21">
        <f>DATE(YEAR(G3443),MONTH(G3443),1)</f>
        <v/>
      </c>
    </row>
    <row r="3444">
      <c r="A3444" t="inlineStr">
        <is>
          <t>SPO-01842-1</t>
        </is>
      </c>
      <c r="B3444" t="inlineStr">
        <is>
          <t>SPO-01842</t>
        </is>
      </c>
      <c r="C3444" t="inlineStr">
        <is>
          <t>SUP-10</t>
        </is>
      </c>
      <c r="D3444" t="inlineStr">
        <is>
          <t>PPE</t>
        </is>
      </c>
      <c r="E3444" t="inlineStr">
        <is>
          <t>PPE-01</t>
        </is>
      </c>
      <c r="F3444" s="17" t="n">
        <v>46080</v>
      </c>
      <c r="G3444" s="17" t="n">
        <v>46093</v>
      </c>
      <c r="H3444" s="18" t="n">
        <v>385</v>
      </c>
      <c r="I3444" s="19" t="n">
        <v>4.56</v>
      </c>
      <c r="J3444" s="19" t="n">
        <v>4.8</v>
      </c>
      <c r="K3444" s="20" t="n">
        <v>0</v>
      </c>
      <c r="L3444" s="20" t="n">
        <v>0</v>
      </c>
      <c r="M3444" s="18" t="n">
        <v>385</v>
      </c>
      <c r="N3444" s="18" t="n">
        <v>385</v>
      </c>
      <c r="O3444" s="18" t="n">
        <v>84</v>
      </c>
      <c r="P3444" s="17" t="n">
        <v>46088</v>
      </c>
      <c r="Q3444" s="17" t="n">
        <v>46088</v>
      </c>
      <c r="R3444" s="17" t="n">
        <v>46088</v>
      </c>
      <c r="S3444" s="19">
        <f>H3444*I3444</f>
        <v/>
      </c>
      <c r="T3444" s="19">
        <f>H3444*J3444</f>
        <v/>
      </c>
      <c r="U3444">
        <f>IF(AND(K3444=0,G3444&lt;=Assumptions!$C$6),1,0)</f>
        <v/>
      </c>
      <c r="V3444">
        <f>IF(U3444=1,IF(M3444&gt;0,IF(P3444&lt;=G3444+Assumptions!$C$7,1,0),0),0)</f>
        <v/>
      </c>
      <c r="W3444">
        <f>IF(AND(U3444=1,M3444&gt;=H3444*(1-Assumptions!$C$8)),1,0)</f>
        <v/>
      </c>
      <c r="X3444">
        <f>IF(AND(U3444=1,N3444&gt;=H3444*(1-Assumptions!$C$8)),1,0)</f>
        <v/>
      </c>
      <c r="Y3444">
        <f>IF(ISNUMBER(Q3444),1,0)</f>
        <v/>
      </c>
      <c r="Z3444">
        <f>IF(AND(K3444=0,L3444=0,Y3444=0),1,0)</f>
        <v/>
      </c>
      <c r="AA3444">
        <f>IF(AND(Z3444=1,G3444&lt;Assumptions!$C$6),1,0)</f>
        <v/>
      </c>
      <c r="AB3444">
        <f>IF(U3444=0,"",IF(Y3444=1,MAX(0,Q3444-G3444),IF(L3444=1,MAX(0,R3444-G3444),MAX(0,Assumptions!$C$6-G3444))))</f>
        <v/>
      </c>
      <c r="AC3444">
        <f>IF(Y3444=1,Q3444-F3444,"")</f>
        <v/>
      </c>
      <c r="AD3444">
        <f>IF(Y3444=1,AC3444^2,"")</f>
        <v/>
      </c>
      <c r="AE3444" s="19">
        <f>IF(Z3444=1,(H3444-M3444)*I3444,0)</f>
        <v/>
      </c>
      <c r="AF3444">
        <f>IF(G3444&lt;EDATE(Assumptions!$C$6,-12)+1,"prior_12m","last_12m")</f>
        <v/>
      </c>
      <c r="AG3444" s="21">
        <f>DATE(YEAR(G3444),MONTH(G3444),1)</f>
        <v/>
      </c>
    </row>
    <row r="3445">
      <c r="A3445" t="inlineStr">
        <is>
          <t>SPO-01842-2</t>
        </is>
      </c>
      <c r="B3445" t="inlineStr">
        <is>
          <t>SPO-01842</t>
        </is>
      </c>
      <c r="C3445" t="inlineStr">
        <is>
          <t>SUP-10</t>
        </is>
      </c>
      <c r="D3445" t="inlineStr">
        <is>
          <t>PPE</t>
        </is>
      </c>
      <c r="E3445" t="inlineStr">
        <is>
          <t>PPE-08</t>
        </is>
      </c>
      <c r="F3445" s="17" t="n">
        <v>46080</v>
      </c>
      <c r="G3445" s="17" t="n">
        <v>46093</v>
      </c>
      <c r="H3445" s="18" t="n">
        <v>25</v>
      </c>
      <c r="I3445" s="19" t="n">
        <v>60.42</v>
      </c>
      <c r="J3445" s="19" t="n">
        <v>64</v>
      </c>
      <c r="K3445" s="20" t="n">
        <v>0</v>
      </c>
      <c r="L3445" s="20" t="n">
        <v>0</v>
      </c>
      <c r="M3445" s="18" t="n">
        <v>25</v>
      </c>
      <c r="N3445" s="18" t="n">
        <v>25</v>
      </c>
      <c r="O3445" s="18" t="n">
        <v>0</v>
      </c>
      <c r="P3445" s="17" t="n">
        <v>46091</v>
      </c>
      <c r="Q3445" s="17" t="n">
        <v>46091</v>
      </c>
      <c r="R3445" s="17" t="n">
        <v>46091</v>
      </c>
      <c r="S3445" s="19">
        <f>H3445*I3445</f>
        <v/>
      </c>
      <c r="T3445" s="19">
        <f>H3445*J3445</f>
        <v/>
      </c>
      <c r="U3445">
        <f>IF(AND(K3445=0,G3445&lt;=Assumptions!$C$6),1,0)</f>
        <v/>
      </c>
      <c r="V3445">
        <f>IF(U3445=1,IF(M3445&gt;0,IF(P3445&lt;=G3445+Assumptions!$C$7,1,0),0),0)</f>
        <v/>
      </c>
      <c r="W3445">
        <f>IF(AND(U3445=1,M3445&gt;=H3445*(1-Assumptions!$C$8)),1,0)</f>
        <v/>
      </c>
      <c r="X3445">
        <f>IF(AND(U3445=1,N3445&gt;=H3445*(1-Assumptions!$C$8)),1,0)</f>
        <v/>
      </c>
      <c r="Y3445">
        <f>IF(ISNUMBER(Q3445),1,0)</f>
        <v/>
      </c>
      <c r="Z3445">
        <f>IF(AND(K3445=0,L3445=0,Y3445=0),1,0)</f>
        <v/>
      </c>
      <c r="AA3445">
        <f>IF(AND(Z3445=1,G3445&lt;Assumptions!$C$6),1,0)</f>
        <v/>
      </c>
      <c r="AB3445">
        <f>IF(U3445=0,"",IF(Y3445=1,MAX(0,Q3445-G3445),IF(L3445=1,MAX(0,R3445-G3445),MAX(0,Assumptions!$C$6-G3445))))</f>
        <v/>
      </c>
      <c r="AC3445">
        <f>IF(Y3445=1,Q3445-F3445,"")</f>
        <v/>
      </c>
      <c r="AD3445">
        <f>IF(Y3445=1,AC3445^2,"")</f>
        <v/>
      </c>
      <c r="AE3445" s="19">
        <f>IF(Z3445=1,(H3445-M3445)*I3445,0)</f>
        <v/>
      </c>
      <c r="AF3445">
        <f>IF(G3445&lt;EDATE(Assumptions!$C$6,-12)+1,"prior_12m","last_12m")</f>
        <v/>
      </c>
      <c r="AG3445" s="21">
        <f>DATE(YEAR(G3445),MONTH(G3445),1)</f>
        <v/>
      </c>
    </row>
    <row r="3446">
      <c r="A3446" t="inlineStr">
        <is>
          <t>SPO-01842-3</t>
        </is>
      </c>
      <c r="B3446" t="inlineStr">
        <is>
          <t>SPO-01842</t>
        </is>
      </c>
      <c r="C3446" t="inlineStr">
        <is>
          <t>SUP-10</t>
        </is>
      </c>
      <c r="D3446" t="inlineStr">
        <is>
          <t>PPE</t>
        </is>
      </c>
      <c r="E3446" t="inlineStr">
        <is>
          <t>PPE-02</t>
        </is>
      </c>
      <c r="F3446" s="17" t="n">
        <v>46080</v>
      </c>
      <c r="G3446" s="17" t="n">
        <v>46093</v>
      </c>
      <c r="H3446" s="18" t="n">
        <v>81</v>
      </c>
      <c r="I3446" s="19" t="n">
        <v>11.75</v>
      </c>
      <c r="J3446" s="19" t="n">
        <v>12.5</v>
      </c>
      <c r="K3446" s="20" t="n">
        <v>0</v>
      </c>
      <c r="L3446" s="20" t="n">
        <v>0</v>
      </c>
      <c r="M3446" s="18" t="n">
        <v>81</v>
      </c>
      <c r="N3446" s="18" t="n">
        <v>81</v>
      </c>
      <c r="O3446" s="18" t="n">
        <v>0</v>
      </c>
      <c r="P3446" s="17" t="n">
        <v>46092</v>
      </c>
      <c r="Q3446" s="17" t="n">
        <v>46092</v>
      </c>
      <c r="R3446" s="17" t="n">
        <v>46092</v>
      </c>
      <c r="S3446" s="19">
        <f>H3446*I3446</f>
        <v/>
      </c>
      <c r="T3446" s="19">
        <f>H3446*J3446</f>
        <v/>
      </c>
      <c r="U3446">
        <f>IF(AND(K3446=0,G3446&lt;=Assumptions!$C$6),1,0)</f>
        <v/>
      </c>
      <c r="V3446">
        <f>IF(U3446=1,IF(M3446&gt;0,IF(P3446&lt;=G3446+Assumptions!$C$7,1,0),0),0)</f>
        <v/>
      </c>
      <c r="W3446">
        <f>IF(AND(U3446=1,M3446&gt;=H3446*(1-Assumptions!$C$8)),1,0)</f>
        <v/>
      </c>
      <c r="X3446">
        <f>IF(AND(U3446=1,N3446&gt;=H3446*(1-Assumptions!$C$8)),1,0)</f>
        <v/>
      </c>
      <c r="Y3446">
        <f>IF(ISNUMBER(Q3446),1,0)</f>
        <v/>
      </c>
      <c r="Z3446">
        <f>IF(AND(K3446=0,L3446=0,Y3446=0),1,0)</f>
        <v/>
      </c>
      <c r="AA3446">
        <f>IF(AND(Z3446=1,G3446&lt;Assumptions!$C$6),1,0)</f>
        <v/>
      </c>
      <c r="AB3446">
        <f>IF(U3446=0,"",IF(Y3446=1,MAX(0,Q3446-G3446),IF(L3446=1,MAX(0,R3446-G3446),MAX(0,Assumptions!$C$6-G3446))))</f>
        <v/>
      </c>
      <c r="AC3446">
        <f>IF(Y3446=1,Q3446-F3446,"")</f>
        <v/>
      </c>
      <c r="AD3446">
        <f>IF(Y3446=1,AC3446^2,"")</f>
        <v/>
      </c>
      <c r="AE3446" s="19">
        <f>IF(Z3446=1,(H3446-M3446)*I3446,0)</f>
        <v/>
      </c>
      <c r="AF3446">
        <f>IF(G3446&lt;EDATE(Assumptions!$C$6,-12)+1,"prior_12m","last_12m")</f>
        <v/>
      </c>
      <c r="AG3446" s="21">
        <f>DATE(YEAR(G3446),MONTH(G3446),1)</f>
        <v/>
      </c>
    </row>
    <row r="3447">
      <c r="A3447" t="inlineStr">
        <is>
          <t>SPO-01842-4</t>
        </is>
      </c>
      <c r="B3447" t="inlineStr">
        <is>
          <t>SPO-01842</t>
        </is>
      </c>
      <c r="C3447" t="inlineStr">
        <is>
          <t>SUP-10</t>
        </is>
      </c>
      <c r="D3447" t="inlineStr">
        <is>
          <t>PPE</t>
        </is>
      </c>
      <c r="E3447" t="inlineStr">
        <is>
          <t>PPE-03</t>
        </is>
      </c>
      <c r="F3447" s="17" t="n">
        <v>46080</v>
      </c>
      <c r="G3447" s="17" t="n">
        <v>46093</v>
      </c>
      <c r="H3447" s="18" t="n">
        <v>107</v>
      </c>
      <c r="I3447" s="19" t="n">
        <v>20.66</v>
      </c>
      <c r="J3447" s="19" t="n">
        <v>21</v>
      </c>
      <c r="K3447" s="20" t="n">
        <v>0</v>
      </c>
      <c r="L3447" s="20" t="n">
        <v>0</v>
      </c>
      <c r="M3447" s="18" t="n">
        <v>107</v>
      </c>
      <c r="N3447" s="18" t="n">
        <v>0</v>
      </c>
      <c r="O3447" s="18" t="n">
        <v>0</v>
      </c>
      <c r="P3447" s="17" t="n">
        <v>46094</v>
      </c>
      <c r="Q3447" s="17" t="n">
        <v>46094</v>
      </c>
      <c r="R3447" s="17" t="n">
        <v>46094</v>
      </c>
      <c r="S3447" s="19">
        <f>H3447*I3447</f>
        <v/>
      </c>
      <c r="T3447" s="19">
        <f>H3447*J3447</f>
        <v/>
      </c>
      <c r="U3447">
        <f>IF(AND(K3447=0,G3447&lt;=Assumptions!$C$6),1,0)</f>
        <v/>
      </c>
      <c r="V3447">
        <f>IF(U3447=1,IF(M3447&gt;0,IF(P3447&lt;=G3447+Assumptions!$C$7,1,0),0),0)</f>
        <v/>
      </c>
      <c r="W3447">
        <f>IF(AND(U3447=1,M3447&gt;=H3447*(1-Assumptions!$C$8)),1,0)</f>
        <v/>
      </c>
      <c r="X3447">
        <f>IF(AND(U3447=1,N3447&gt;=H3447*(1-Assumptions!$C$8)),1,0)</f>
        <v/>
      </c>
      <c r="Y3447">
        <f>IF(ISNUMBER(Q3447),1,0)</f>
        <v/>
      </c>
      <c r="Z3447">
        <f>IF(AND(K3447=0,L3447=0,Y3447=0),1,0)</f>
        <v/>
      </c>
      <c r="AA3447">
        <f>IF(AND(Z3447=1,G3447&lt;Assumptions!$C$6),1,0)</f>
        <v/>
      </c>
      <c r="AB3447">
        <f>IF(U3447=0,"",IF(Y3447=1,MAX(0,Q3447-G3447),IF(L3447=1,MAX(0,R3447-G3447),MAX(0,Assumptions!$C$6-G3447))))</f>
        <v/>
      </c>
      <c r="AC3447">
        <f>IF(Y3447=1,Q3447-F3447,"")</f>
        <v/>
      </c>
      <c r="AD3447">
        <f>IF(Y3447=1,AC3447^2,"")</f>
        <v/>
      </c>
      <c r="AE3447" s="19">
        <f>IF(Z3447=1,(H3447-M3447)*I3447,0)</f>
        <v/>
      </c>
      <c r="AF3447">
        <f>IF(G3447&lt;EDATE(Assumptions!$C$6,-12)+1,"prior_12m","last_12m")</f>
        <v/>
      </c>
      <c r="AG3447" s="21">
        <f>DATE(YEAR(G3447),MONTH(G3447),1)</f>
        <v/>
      </c>
    </row>
    <row r="3448">
      <c r="A3448" t="inlineStr">
        <is>
          <t>SPO-01843-1</t>
        </is>
      </c>
      <c r="B3448" t="inlineStr">
        <is>
          <t>SPO-01843</t>
        </is>
      </c>
      <c r="C3448" t="inlineStr">
        <is>
          <t>SUP-11</t>
        </is>
      </c>
      <c r="D3448" t="inlineStr">
        <is>
          <t>PPE</t>
        </is>
      </c>
      <c r="E3448" t="inlineStr">
        <is>
          <t>PPE-01</t>
        </is>
      </c>
      <c r="F3448" s="17" t="n">
        <v>46080</v>
      </c>
      <c r="G3448" s="17" t="n">
        <v>46092</v>
      </c>
      <c r="H3448" s="18" t="n">
        <v>455</v>
      </c>
      <c r="I3448" s="19" t="n">
        <v>4.57</v>
      </c>
      <c r="J3448" s="19" t="n">
        <v>4.8</v>
      </c>
      <c r="K3448" s="20" t="n">
        <v>0</v>
      </c>
      <c r="L3448" s="20" t="n">
        <v>0</v>
      </c>
      <c r="M3448" s="18" t="n">
        <v>455</v>
      </c>
      <c r="N3448" s="18" t="n">
        <v>279</v>
      </c>
      <c r="O3448" s="18" t="n">
        <v>0</v>
      </c>
      <c r="P3448" s="17" t="n">
        <v>46089</v>
      </c>
      <c r="Q3448" s="17" t="n">
        <v>46102</v>
      </c>
      <c r="R3448" s="17" t="n">
        <v>46102</v>
      </c>
      <c r="S3448" s="19">
        <f>H3448*I3448</f>
        <v/>
      </c>
      <c r="T3448" s="19">
        <f>H3448*J3448</f>
        <v/>
      </c>
      <c r="U3448">
        <f>IF(AND(K3448=0,G3448&lt;=Assumptions!$C$6),1,0)</f>
        <v/>
      </c>
      <c r="V3448">
        <f>IF(U3448=1,IF(M3448&gt;0,IF(P3448&lt;=G3448+Assumptions!$C$7,1,0),0),0)</f>
        <v/>
      </c>
      <c r="W3448">
        <f>IF(AND(U3448=1,M3448&gt;=H3448*(1-Assumptions!$C$8)),1,0)</f>
        <v/>
      </c>
      <c r="X3448">
        <f>IF(AND(U3448=1,N3448&gt;=H3448*(1-Assumptions!$C$8)),1,0)</f>
        <v/>
      </c>
      <c r="Y3448">
        <f>IF(ISNUMBER(Q3448),1,0)</f>
        <v/>
      </c>
      <c r="Z3448">
        <f>IF(AND(K3448=0,L3448=0,Y3448=0),1,0)</f>
        <v/>
      </c>
      <c r="AA3448">
        <f>IF(AND(Z3448=1,G3448&lt;Assumptions!$C$6),1,0)</f>
        <v/>
      </c>
      <c r="AB3448">
        <f>IF(U3448=0,"",IF(Y3448=1,MAX(0,Q3448-G3448),IF(L3448=1,MAX(0,R3448-G3448),MAX(0,Assumptions!$C$6-G3448))))</f>
        <v/>
      </c>
      <c r="AC3448">
        <f>IF(Y3448=1,Q3448-F3448,"")</f>
        <v/>
      </c>
      <c r="AD3448">
        <f>IF(Y3448=1,AC3448^2,"")</f>
        <v/>
      </c>
      <c r="AE3448" s="19">
        <f>IF(Z3448=1,(H3448-M3448)*I3448,0)</f>
        <v/>
      </c>
      <c r="AF3448">
        <f>IF(G3448&lt;EDATE(Assumptions!$C$6,-12)+1,"prior_12m","last_12m")</f>
        <v/>
      </c>
      <c r="AG3448" s="21">
        <f>DATE(YEAR(G3448),MONTH(G3448),1)</f>
        <v/>
      </c>
    </row>
    <row r="3449">
      <c r="A3449" t="inlineStr">
        <is>
          <t>SPO-01843-2</t>
        </is>
      </c>
      <c r="B3449" t="inlineStr">
        <is>
          <t>SPO-01843</t>
        </is>
      </c>
      <c r="C3449" t="inlineStr">
        <is>
          <t>SUP-11</t>
        </is>
      </c>
      <c r="D3449" t="inlineStr">
        <is>
          <t>PPE</t>
        </is>
      </c>
      <c r="E3449" t="inlineStr">
        <is>
          <t>PPE-03</t>
        </is>
      </c>
      <c r="F3449" s="17" t="n">
        <v>46080</v>
      </c>
      <c r="G3449" s="17" t="n">
        <v>46092</v>
      </c>
      <c r="H3449" s="18" t="n">
        <v>80</v>
      </c>
      <c r="I3449" s="19" t="n">
        <v>21.03</v>
      </c>
      <c r="J3449" s="19" t="n">
        <v>21</v>
      </c>
      <c r="K3449" s="20" t="n">
        <v>0</v>
      </c>
      <c r="L3449" s="20" t="n">
        <v>0</v>
      </c>
      <c r="M3449" s="18" t="n">
        <v>80</v>
      </c>
      <c r="N3449" s="18" t="n">
        <v>80</v>
      </c>
      <c r="O3449" s="18" t="n">
        <v>0</v>
      </c>
      <c r="P3449" s="17" t="n">
        <v>46089</v>
      </c>
      <c r="Q3449" s="17" t="n">
        <v>46089</v>
      </c>
      <c r="R3449" s="17" t="n">
        <v>46089</v>
      </c>
      <c r="S3449" s="19">
        <f>H3449*I3449</f>
        <v/>
      </c>
      <c r="T3449" s="19">
        <f>H3449*J3449</f>
        <v/>
      </c>
      <c r="U3449">
        <f>IF(AND(K3449=0,G3449&lt;=Assumptions!$C$6),1,0)</f>
        <v/>
      </c>
      <c r="V3449">
        <f>IF(U3449=1,IF(M3449&gt;0,IF(P3449&lt;=G3449+Assumptions!$C$7,1,0),0),0)</f>
        <v/>
      </c>
      <c r="W3449">
        <f>IF(AND(U3449=1,M3449&gt;=H3449*(1-Assumptions!$C$8)),1,0)</f>
        <v/>
      </c>
      <c r="X3449">
        <f>IF(AND(U3449=1,N3449&gt;=H3449*(1-Assumptions!$C$8)),1,0)</f>
        <v/>
      </c>
      <c r="Y3449">
        <f>IF(ISNUMBER(Q3449),1,0)</f>
        <v/>
      </c>
      <c r="Z3449">
        <f>IF(AND(K3449=0,L3449=0,Y3449=0),1,0)</f>
        <v/>
      </c>
      <c r="AA3449">
        <f>IF(AND(Z3449=1,G3449&lt;Assumptions!$C$6),1,0)</f>
        <v/>
      </c>
      <c r="AB3449">
        <f>IF(U3449=0,"",IF(Y3449=1,MAX(0,Q3449-G3449),IF(L3449=1,MAX(0,R3449-G3449),MAX(0,Assumptions!$C$6-G3449))))</f>
        <v/>
      </c>
      <c r="AC3449">
        <f>IF(Y3449=1,Q3449-F3449,"")</f>
        <v/>
      </c>
      <c r="AD3449">
        <f>IF(Y3449=1,AC3449^2,"")</f>
        <v/>
      </c>
      <c r="AE3449" s="19">
        <f>IF(Z3449=1,(H3449-M3449)*I3449,0)</f>
        <v/>
      </c>
      <c r="AF3449">
        <f>IF(G3449&lt;EDATE(Assumptions!$C$6,-12)+1,"prior_12m","last_12m")</f>
        <v/>
      </c>
      <c r="AG3449" s="21">
        <f>DATE(YEAR(G3449),MONTH(G3449),1)</f>
        <v/>
      </c>
    </row>
    <row r="3450">
      <c r="A3450" t="inlineStr">
        <is>
          <t>SPO-01843-3</t>
        </is>
      </c>
      <c r="B3450" t="inlineStr">
        <is>
          <t>SPO-01843</t>
        </is>
      </c>
      <c r="C3450" t="inlineStr">
        <is>
          <t>SUP-11</t>
        </is>
      </c>
      <c r="D3450" t="inlineStr">
        <is>
          <t>PPE</t>
        </is>
      </c>
      <c r="E3450" t="inlineStr">
        <is>
          <t>PPE-04</t>
        </is>
      </c>
      <c r="F3450" s="17" t="n">
        <v>46080</v>
      </c>
      <c r="G3450" s="17" t="n">
        <v>46092</v>
      </c>
      <c r="H3450" s="18" t="n">
        <v>83</v>
      </c>
      <c r="I3450" s="19" t="n">
        <v>25.55</v>
      </c>
      <c r="J3450" s="19" t="n">
        <v>26</v>
      </c>
      <c r="K3450" s="20" t="n">
        <v>0</v>
      </c>
      <c r="L3450" s="20" t="n">
        <v>0</v>
      </c>
      <c r="M3450" s="18" t="n">
        <v>83</v>
      </c>
      <c r="N3450" s="18" t="n">
        <v>83</v>
      </c>
      <c r="O3450" s="18" t="n">
        <v>0</v>
      </c>
      <c r="P3450" s="17" t="n">
        <v>46091</v>
      </c>
      <c r="Q3450" s="17" t="n">
        <v>46091</v>
      </c>
      <c r="R3450" s="17" t="n">
        <v>46091</v>
      </c>
      <c r="S3450" s="19">
        <f>H3450*I3450</f>
        <v/>
      </c>
      <c r="T3450" s="19">
        <f>H3450*J3450</f>
        <v/>
      </c>
      <c r="U3450">
        <f>IF(AND(K3450=0,G3450&lt;=Assumptions!$C$6),1,0)</f>
        <v/>
      </c>
      <c r="V3450">
        <f>IF(U3450=1,IF(M3450&gt;0,IF(P3450&lt;=G3450+Assumptions!$C$7,1,0),0),0)</f>
        <v/>
      </c>
      <c r="W3450">
        <f>IF(AND(U3450=1,M3450&gt;=H3450*(1-Assumptions!$C$8)),1,0)</f>
        <v/>
      </c>
      <c r="X3450">
        <f>IF(AND(U3450=1,N3450&gt;=H3450*(1-Assumptions!$C$8)),1,0)</f>
        <v/>
      </c>
      <c r="Y3450">
        <f>IF(ISNUMBER(Q3450),1,0)</f>
        <v/>
      </c>
      <c r="Z3450">
        <f>IF(AND(K3450=0,L3450=0,Y3450=0),1,0)</f>
        <v/>
      </c>
      <c r="AA3450">
        <f>IF(AND(Z3450=1,G3450&lt;Assumptions!$C$6),1,0)</f>
        <v/>
      </c>
      <c r="AB3450">
        <f>IF(U3450=0,"",IF(Y3450=1,MAX(0,Q3450-G3450),IF(L3450=1,MAX(0,R3450-G3450),MAX(0,Assumptions!$C$6-G3450))))</f>
        <v/>
      </c>
      <c r="AC3450">
        <f>IF(Y3450=1,Q3450-F3450,"")</f>
        <v/>
      </c>
      <c r="AD3450">
        <f>IF(Y3450=1,AC3450^2,"")</f>
        <v/>
      </c>
      <c r="AE3450" s="19">
        <f>IF(Z3450=1,(H3450-M3450)*I3450,0)</f>
        <v/>
      </c>
      <c r="AF3450">
        <f>IF(G3450&lt;EDATE(Assumptions!$C$6,-12)+1,"prior_12m","last_12m")</f>
        <v/>
      </c>
      <c r="AG3450" s="21">
        <f>DATE(YEAR(G3450),MONTH(G3450),1)</f>
        <v/>
      </c>
    </row>
    <row r="3451">
      <c r="A3451" t="inlineStr">
        <is>
          <t>SPO-01843-4</t>
        </is>
      </c>
      <c r="B3451" t="inlineStr">
        <is>
          <t>SPO-01843</t>
        </is>
      </c>
      <c r="C3451" t="inlineStr">
        <is>
          <t>SUP-11</t>
        </is>
      </c>
      <c r="D3451" t="inlineStr">
        <is>
          <t>PPE</t>
        </is>
      </c>
      <c r="E3451" t="inlineStr">
        <is>
          <t>PPE-05</t>
        </is>
      </c>
      <c r="F3451" s="17" t="n">
        <v>46080</v>
      </c>
      <c r="G3451" s="17" t="n">
        <v>46092</v>
      </c>
      <c r="H3451" s="18" t="n">
        <v>109</v>
      </c>
      <c r="I3451" s="19" t="n">
        <v>11.47</v>
      </c>
      <c r="J3451" s="19" t="n">
        <v>11</v>
      </c>
      <c r="K3451" s="20" t="n">
        <v>0</v>
      </c>
      <c r="L3451" s="20" t="n">
        <v>0</v>
      </c>
      <c r="M3451" s="18" t="n">
        <v>109</v>
      </c>
      <c r="N3451" s="18" t="n">
        <v>109</v>
      </c>
      <c r="O3451" s="18" t="n">
        <v>0</v>
      </c>
      <c r="P3451" s="17" t="n">
        <v>46090</v>
      </c>
      <c r="Q3451" s="17" t="n">
        <v>46090</v>
      </c>
      <c r="R3451" s="17" t="n">
        <v>46090</v>
      </c>
      <c r="S3451" s="19">
        <f>H3451*I3451</f>
        <v/>
      </c>
      <c r="T3451" s="19">
        <f>H3451*J3451</f>
        <v/>
      </c>
      <c r="U3451">
        <f>IF(AND(K3451=0,G3451&lt;=Assumptions!$C$6),1,0)</f>
        <v/>
      </c>
      <c r="V3451">
        <f>IF(U3451=1,IF(M3451&gt;0,IF(P3451&lt;=G3451+Assumptions!$C$7,1,0),0),0)</f>
        <v/>
      </c>
      <c r="W3451">
        <f>IF(AND(U3451=1,M3451&gt;=H3451*(1-Assumptions!$C$8)),1,0)</f>
        <v/>
      </c>
      <c r="X3451">
        <f>IF(AND(U3451=1,N3451&gt;=H3451*(1-Assumptions!$C$8)),1,0)</f>
        <v/>
      </c>
      <c r="Y3451">
        <f>IF(ISNUMBER(Q3451),1,0)</f>
        <v/>
      </c>
      <c r="Z3451">
        <f>IF(AND(K3451=0,L3451=0,Y3451=0),1,0)</f>
        <v/>
      </c>
      <c r="AA3451">
        <f>IF(AND(Z3451=1,G3451&lt;Assumptions!$C$6),1,0)</f>
        <v/>
      </c>
      <c r="AB3451">
        <f>IF(U3451=0,"",IF(Y3451=1,MAX(0,Q3451-G3451),IF(L3451=1,MAX(0,R3451-G3451),MAX(0,Assumptions!$C$6-G3451))))</f>
        <v/>
      </c>
      <c r="AC3451">
        <f>IF(Y3451=1,Q3451-F3451,"")</f>
        <v/>
      </c>
      <c r="AD3451">
        <f>IF(Y3451=1,AC3451^2,"")</f>
        <v/>
      </c>
      <c r="AE3451" s="19">
        <f>IF(Z3451=1,(H3451-M3451)*I3451,0)</f>
        <v/>
      </c>
      <c r="AF3451">
        <f>IF(G3451&lt;EDATE(Assumptions!$C$6,-12)+1,"prior_12m","last_12m")</f>
        <v/>
      </c>
      <c r="AG3451" s="21">
        <f>DATE(YEAR(G3451),MONTH(G3451),1)</f>
        <v/>
      </c>
    </row>
    <row r="3452">
      <c r="A3452" t="inlineStr">
        <is>
          <t>SPO-01844-1</t>
        </is>
      </c>
      <c r="B3452" t="inlineStr">
        <is>
          <t>SPO-01844</t>
        </is>
      </c>
      <c r="C3452" t="inlineStr">
        <is>
          <t>SUP-12</t>
        </is>
      </c>
      <c r="D3452" t="inlineStr">
        <is>
          <t>IT</t>
        </is>
      </c>
      <c r="E3452" t="inlineStr">
        <is>
          <t>IT-07</t>
        </is>
      </c>
      <c r="F3452" s="17" t="n">
        <v>46080</v>
      </c>
      <c r="G3452" s="17" t="n">
        <v>46090</v>
      </c>
      <c r="H3452" s="18" t="n">
        <v>15</v>
      </c>
      <c r="I3452" s="19" t="n">
        <v>87.22</v>
      </c>
      <c r="J3452" s="19" t="n">
        <v>74</v>
      </c>
      <c r="K3452" s="20" t="n">
        <v>0</v>
      </c>
      <c r="L3452" s="20" t="n">
        <v>0</v>
      </c>
      <c r="M3452" s="18" t="n">
        <v>15</v>
      </c>
      <c r="N3452" s="18" t="n">
        <v>15</v>
      </c>
      <c r="O3452" s="18" t="n">
        <v>0</v>
      </c>
      <c r="P3452" s="17" t="n">
        <v>46085</v>
      </c>
      <c r="Q3452" s="17" t="n">
        <v>46085</v>
      </c>
      <c r="R3452" s="17" t="n">
        <v>46085</v>
      </c>
      <c r="S3452" s="19">
        <f>H3452*I3452</f>
        <v/>
      </c>
      <c r="T3452" s="19">
        <f>H3452*J3452</f>
        <v/>
      </c>
      <c r="U3452">
        <f>IF(AND(K3452=0,G3452&lt;=Assumptions!$C$6),1,0)</f>
        <v/>
      </c>
      <c r="V3452">
        <f>IF(U3452=1,IF(M3452&gt;0,IF(P3452&lt;=G3452+Assumptions!$C$7,1,0),0),0)</f>
        <v/>
      </c>
      <c r="W3452">
        <f>IF(AND(U3452=1,M3452&gt;=H3452*(1-Assumptions!$C$8)),1,0)</f>
        <v/>
      </c>
      <c r="X3452">
        <f>IF(AND(U3452=1,N3452&gt;=H3452*(1-Assumptions!$C$8)),1,0)</f>
        <v/>
      </c>
      <c r="Y3452">
        <f>IF(ISNUMBER(Q3452),1,0)</f>
        <v/>
      </c>
      <c r="Z3452">
        <f>IF(AND(K3452=0,L3452=0,Y3452=0),1,0)</f>
        <v/>
      </c>
      <c r="AA3452">
        <f>IF(AND(Z3452=1,G3452&lt;Assumptions!$C$6),1,0)</f>
        <v/>
      </c>
      <c r="AB3452">
        <f>IF(U3452=0,"",IF(Y3452=1,MAX(0,Q3452-G3452),IF(L3452=1,MAX(0,R3452-G3452),MAX(0,Assumptions!$C$6-G3452))))</f>
        <v/>
      </c>
      <c r="AC3452">
        <f>IF(Y3452=1,Q3452-F3452,"")</f>
        <v/>
      </c>
      <c r="AD3452">
        <f>IF(Y3452=1,AC3452^2,"")</f>
        <v/>
      </c>
      <c r="AE3452" s="19">
        <f>IF(Z3452=1,(H3452-M3452)*I3452,0)</f>
        <v/>
      </c>
      <c r="AF3452">
        <f>IF(G3452&lt;EDATE(Assumptions!$C$6,-12)+1,"prior_12m","last_12m")</f>
        <v/>
      </c>
      <c r="AG3452" s="21">
        <f>DATE(YEAR(G3452),MONTH(G3452),1)</f>
        <v/>
      </c>
    </row>
    <row r="3453">
      <c r="A3453" t="inlineStr">
        <is>
          <t>SPO-01844-2</t>
        </is>
      </c>
      <c r="B3453" t="inlineStr">
        <is>
          <t>SPO-01844</t>
        </is>
      </c>
      <c r="C3453" t="inlineStr">
        <is>
          <t>SUP-12</t>
        </is>
      </c>
      <c r="D3453" t="inlineStr">
        <is>
          <t>IT</t>
        </is>
      </c>
      <c r="E3453" t="inlineStr">
        <is>
          <t>IT-05</t>
        </is>
      </c>
      <c r="F3453" s="17" t="n">
        <v>46080</v>
      </c>
      <c r="G3453" s="17" t="n">
        <v>46090</v>
      </c>
      <c r="H3453" s="18" t="n">
        <v>3</v>
      </c>
      <c r="I3453" s="19" t="n">
        <v>712.1799999999999</v>
      </c>
      <c r="J3453" s="19" t="n">
        <v>640</v>
      </c>
      <c r="K3453" s="20" t="n">
        <v>0</v>
      </c>
      <c r="L3453" s="20" t="n">
        <v>0</v>
      </c>
      <c r="M3453" s="18" t="n">
        <v>3</v>
      </c>
      <c r="N3453" s="18" t="n">
        <v>3</v>
      </c>
      <c r="O3453" s="18" t="n">
        <v>0</v>
      </c>
      <c r="P3453" s="17" t="n">
        <v>46089</v>
      </c>
      <c r="Q3453" s="17" t="n">
        <v>46089</v>
      </c>
      <c r="R3453" s="17" t="n">
        <v>46089</v>
      </c>
      <c r="S3453" s="19">
        <f>H3453*I3453</f>
        <v/>
      </c>
      <c r="T3453" s="19">
        <f>H3453*J3453</f>
        <v/>
      </c>
      <c r="U3453">
        <f>IF(AND(K3453=0,G3453&lt;=Assumptions!$C$6),1,0)</f>
        <v/>
      </c>
      <c r="V3453">
        <f>IF(U3453=1,IF(M3453&gt;0,IF(P3453&lt;=G3453+Assumptions!$C$7,1,0),0),0)</f>
        <v/>
      </c>
      <c r="W3453">
        <f>IF(AND(U3453=1,M3453&gt;=H3453*(1-Assumptions!$C$8)),1,0)</f>
        <v/>
      </c>
      <c r="X3453">
        <f>IF(AND(U3453=1,N3453&gt;=H3453*(1-Assumptions!$C$8)),1,0)</f>
        <v/>
      </c>
      <c r="Y3453">
        <f>IF(ISNUMBER(Q3453),1,0)</f>
        <v/>
      </c>
      <c r="Z3453">
        <f>IF(AND(K3453=0,L3453=0,Y3453=0),1,0)</f>
        <v/>
      </c>
      <c r="AA3453">
        <f>IF(AND(Z3453=1,G3453&lt;Assumptions!$C$6),1,0)</f>
        <v/>
      </c>
      <c r="AB3453">
        <f>IF(U3453=0,"",IF(Y3453=1,MAX(0,Q3453-G3453),IF(L3453=1,MAX(0,R3453-G3453),MAX(0,Assumptions!$C$6-G3453))))</f>
        <v/>
      </c>
      <c r="AC3453">
        <f>IF(Y3453=1,Q3453-F3453,"")</f>
        <v/>
      </c>
      <c r="AD3453">
        <f>IF(Y3453=1,AC3453^2,"")</f>
        <v/>
      </c>
      <c r="AE3453" s="19">
        <f>IF(Z3453=1,(H3453-M3453)*I3453,0)</f>
        <v/>
      </c>
      <c r="AF3453">
        <f>IF(G3453&lt;EDATE(Assumptions!$C$6,-12)+1,"prior_12m","last_12m")</f>
        <v/>
      </c>
      <c r="AG3453" s="21">
        <f>DATE(YEAR(G3453),MONTH(G3453),1)</f>
        <v/>
      </c>
    </row>
    <row r="3454">
      <c r="A3454" t="inlineStr">
        <is>
          <t>SPO-01844-3</t>
        </is>
      </c>
      <c r="B3454" t="inlineStr">
        <is>
          <t>SPO-01844</t>
        </is>
      </c>
      <c r="C3454" t="inlineStr">
        <is>
          <t>SUP-12</t>
        </is>
      </c>
      <c r="D3454" t="inlineStr">
        <is>
          <t>IT</t>
        </is>
      </c>
      <c r="E3454" t="inlineStr">
        <is>
          <t>IT-08</t>
        </is>
      </c>
      <c r="F3454" s="17" t="n">
        <v>46080</v>
      </c>
      <c r="G3454" s="17" t="n">
        <v>46090</v>
      </c>
      <c r="H3454" s="18" t="n">
        <v>8</v>
      </c>
      <c r="I3454" s="19" t="n">
        <v>282.34</v>
      </c>
      <c r="J3454" s="19" t="n">
        <v>245</v>
      </c>
      <c r="K3454" s="20" t="n">
        <v>0</v>
      </c>
      <c r="L3454" s="20" t="n">
        <v>0</v>
      </c>
      <c r="M3454" s="18" t="n">
        <v>8</v>
      </c>
      <c r="N3454" s="18" t="n">
        <v>8</v>
      </c>
      <c r="O3454" s="18" t="n">
        <v>0</v>
      </c>
      <c r="P3454" s="17" t="n">
        <v>46089</v>
      </c>
      <c r="Q3454" s="17" t="n">
        <v>46089</v>
      </c>
      <c r="R3454" s="17" t="n">
        <v>46089</v>
      </c>
      <c r="S3454" s="19">
        <f>H3454*I3454</f>
        <v/>
      </c>
      <c r="T3454" s="19">
        <f>H3454*J3454</f>
        <v/>
      </c>
      <c r="U3454">
        <f>IF(AND(K3454=0,G3454&lt;=Assumptions!$C$6),1,0)</f>
        <v/>
      </c>
      <c r="V3454">
        <f>IF(U3454=1,IF(M3454&gt;0,IF(P3454&lt;=G3454+Assumptions!$C$7,1,0),0),0)</f>
        <v/>
      </c>
      <c r="W3454">
        <f>IF(AND(U3454=1,M3454&gt;=H3454*(1-Assumptions!$C$8)),1,0)</f>
        <v/>
      </c>
      <c r="X3454">
        <f>IF(AND(U3454=1,N3454&gt;=H3454*(1-Assumptions!$C$8)),1,0)</f>
        <v/>
      </c>
      <c r="Y3454">
        <f>IF(ISNUMBER(Q3454),1,0)</f>
        <v/>
      </c>
      <c r="Z3454">
        <f>IF(AND(K3454=0,L3454=0,Y3454=0),1,0)</f>
        <v/>
      </c>
      <c r="AA3454">
        <f>IF(AND(Z3454=1,G3454&lt;Assumptions!$C$6),1,0)</f>
        <v/>
      </c>
      <c r="AB3454">
        <f>IF(U3454=0,"",IF(Y3454=1,MAX(0,Q3454-G3454),IF(L3454=1,MAX(0,R3454-G3454),MAX(0,Assumptions!$C$6-G3454))))</f>
        <v/>
      </c>
      <c r="AC3454">
        <f>IF(Y3454=1,Q3454-F3454,"")</f>
        <v/>
      </c>
      <c r="AD3454">
        <f>IF(Y3454=1,AC3454^2,"")</f>
        <v/>
      </c>
      <c r="AE3454" s="19">
        <f>IF(Z3454=1,(H3454-M3454)*I3454,0)</f>
        <v/>
      </c>
      <c r="AF3454">
        <f>IF(G3454&lt;EDATE(Assumptions!$C$6,-12)+1,"prior_12m","last_12m")</f>
        <v/>
      </c>
      <c r="AG3454" s="21">
        <f>DATE(YEAR(G3454),MONTH(G3454),1)</f>
        <v/>
      </c>
    </row>
    <row r="3455">
      <c r="A3455" t="inlineStr">
        <is>
          <t>SPO-01844-4</t>
        </is>
      </c>
      <c r="B3455" t="inlineStr">
        <is>
          <t>SPO-01844</t>
        </is>
      </c>
      <c r="C3455" t="inlineStr">
        <is>
          <t>SUP-12</t>
        </is>
      </c>
      <c r="D3455" t="inlineStr">
        <is>
          <t>IT</t>
        </is>
      </c>
      <c r="E3455" t="inlineStr">
        <is>
          <t>IT-03</t>
        </is>
      </c>
      <c r="F3455" s="17" t="n">
        <v>46080</v>
      </c>
      <c r="G3455" s="17" t="n">
        <v>46090</v>
      </c>
      <c r="H3455" s="18" t="n">
        <v>43</v>
      </c>
      <c r="I3455" s="19" t="n">
        <v>40.05</v>
      </c>
      <c r="J3455" s="19" t="n">
        <v>38</v>
      </c>
      <c r="K3455" s="20" t="n">
        <v>0</v>
      </c>
      <c r="L3455" s="20" t="n">
        <v>0</v>
      </c>
      <c r="M3455" s="18" t="n">
        <v>43</v>
      </c>
      <c r="N3455" s="18" t="n">
        <v>43</v>
      </c>
      <c r="O3455" s="18" t="n">
        <v>0</v>
      </c>
      <c r="P3455" s="17" t="n">
        <v>46088</v>
      </c>
      <c r="Q3455" s="17" t="n">
        <v>46088</v>
      </c>
      <c r="R3455" s="17" t="n">
        <v>46088</v>
      </c>
      <c r="S3455" s="19">
        <f>H3455*I3455</f>
        <v/>
      </c>
      <c r="T3455" s="19">
        <f>H3455*J3455</f>
        <v/>
      </c>
      <c r="U3455">
        <f>IF(AND(K3455=0,G3455&lt;=Assumptions!$C$6),1,0)</f>
        <v/>
      </c>
      <c r="V3455">
        <f>IF(U3455=1,IF(M3455&gt;0,IF(P3455&lt;=G3455+Assumptions!$C$7,1,0),0),0)</f>
        <v/>
      </c>
      <c r="W3455">
        <f>IF(AND(U3455=1,M3455&gt;=H3455*(1-Assumptions!$C$8)),1,0)</f>
        <v/>
      </c>
      <c r="X3455">
        <f>IF(AND(U3455=1,N3455&gt;=H3455*(1-Assumptions!$C$8)),1,0)</f>
        <v/>
      </c>
      <c r="Y3455">
        <f>IF(ISNUMBER(Q3455),1,0)</f>
        <v/>
      </c>
      <c r="Z3455">
        <f>IF(AND(K3455=0,L3455=0,Y3455=0),1,0)</f>
        <v/>
      </c>
      <c r="AA3455">
        <f>IF(AND(Z3455=1,G3455&lt;Assumptions!$C$6),1,0)</f>
        <v/>
      </c>
      <c r="AB3455">
        <f>IF(U3455=0,"",IF(Y3455=1,MAX(0,Q3455-G3455),IF(L3455=1,MAX(0,R3455-G3455),MAX(0,Assumptions!$C$6-G3455))))</f>
        <v/>
      </c>
      <c r="AC3455">
        <f>IF(Y3455=1,Q3455-F3455,"")</f>
        <v/>
      </c>
      <c r="AD3455">
        <f>IF(Y3455=1,AC3455^2,"")</f>
        <v/>
      </c>
      <c r="AE3455" s="19">
        <f>IF(Z3455=1,(H3455-M3455)*I3455,0)</f>
        <v/>
      </c>
      <c r="AF3455">
        <f>IF(G3455&lt;EDATE(Assumptions!$C$6,-12)+1,"prior_12m","last_12m")</f>
        <v/>
      </c>
      <c r="AG3455" s="21">
        <f>DATE(YEAR(G3455),MONTH(G3455),1)</f>
        <v/>
      </c>
    </row>
    <row r="3456">
      <c r="A3456" t="inlineStr">
        <is>
          <t>SPO-01845-1</t>
        </is>
      </c>
      <c r="B3456" t="inlineStr">
        <is>
          <t>SPO-01845</t>
        </is>
      </c>
      <c r="C3456" t="inlineStr">
        <is>
          <t>SUP-06</t>
        </is>
      </c>
      <c r="D3456" t="inlineStr">
        <is>
          <t>MRO</t>
        </is>
      </c>
      <c r="E3456" t="inlineStr">
        <is>
          <t>MRO-03</t>
        </is>
      </c>
      <c r="F3456" s="17" t="n">
        <v>46080</v>
      </c>
      <c r="G3456" s="17" t="n">
        <v>46088</v>
      </c>
      <c r="H3456" s="18" t="n">
        <v>159</v>
      </c>
      <c r="I3456" s="19" t="n">
        <v>8.06</v>
      </c>
      <c r="J3456" s="19" t="n">
        <v>8.9</v>
      </c>
      <c r="K3456" s="20" t="n">
        <v>0</v>
      </c>
      <c r="L3456" s="20" t="n">
        <v>0</v>
      </c>
      <c r="M3456" s="18" t="n">
        <v>159</v>
      </c>
      <c r="N3456" s="18" t="n">
        <v>159</v>
      </c>
      <c r="O3456" s="18" t="n">
        <v>0</v>
      </c>
      <c r="P3456" s="17" t="n">
        <v>46086</v>
      </c>
      <c r="Q3456" s="17" t="n">
        <v>46086</v>
      </c>
      <c r="R3456" s="17" t="n">
        <v>46086</v>
      </c>
      <c r="S3456" s="19">
        <f>H3456*I3456</f>
        <v/>
      </c>
      <c r="T3456" s="19">
        <f>H3456*J3456</f>
        <v/>
      </c>
      <c r="U3456">
        <f>IF(AND(K3456=0,G3456&lt;=Assumptions!$C$6),1,0)</f>
        <v/>
      </c>
      <c r="V3456">
        <f>IF(U3456=1,IF(M3456&gt;0,IF(P3456&lt;=G3456+Assumptions!$C$7,1,0),0),0)</f>
        <v/>
      </c>
      <c r="W3456">
        <f>IF(AND(U3456=1,M3456&gt;=H3456*(1-Assumptions!$C$8)),1,0)</f>
        <v/>
      </c>
      <c r="X3456">
        <f>IF(AND(U3456=1,N3456&gt;=H3456*(1-Assumptions!$C$8)),1,0)</f>
        <v/>
      </c>
      <c r="Y3456">
        <f>IF(ISNUMBER(Q3456),1,0)</f>
        <v/>
      </c>
      <c r="Z3456">
        <f>IF(AND(K3456=0,L3456=0,Y3456=0),1,0)</f>
        <v/>
      </c>
      <c r="AA3456">
        <f>IF(AND(Z3456=1,G3456&lt;Assumptions!$C$6),1,0)</f>
        <v/>
      </c>
      <c r="AB3456">
        <f>IF(U3456=0,"",IF(Y3456=1,MAX(0,Q3456-G3456),IF(L3456=1,MAX(0,R3456-G3456),MAX(0,Assumptions!$C$6-G3456))))</f>
        <v/>
      </c>
      <c r="AC3456">
        <f>IF(Y3456=1,Q3456-F3456,"")</f>
        <v/>
      </c>
      <c r="AD3456">
        <f>IF(Y3456=1,AC3456^2,"")</f>
        <v/>
      </c>
      <c r="AE3456" s="19">
        <f>IF(Z3456=1,(H3456-M3456)*I3456,0)</f>
        <v/>
      </c>
      <c r="AF3456">
        <f>IF(G3456&lt;EDATE(Assumptions!$C$6,-12)+1,"prior_12m","last_12m")</f>
        <v/>
      </c>
      <c r="AG3456" s="21">
        <f>DATE(YEAR(G3456),MONTH(G3456),1)</f>
        <v/>
      </c>
    </row>
    <row r="3457">
      <c r="A3457" t="inlineStr">
        <is>
          <t>SPO-01846-1</t>
        </is>
      </c>
      <c r="B3457" t="inlineStr">
        <is>
          <t>SPO-01846</t>
        </is>
      </c>
      <c r="C3457" t="inlineStr">
        <is>
          <t>SUP-12</t>
        </is>
      </c>
      <c r="D3457" t="inlineStr">
        <is>
          <t>IT</t>
        </is>
      </c>
      <c r="E3457" t="inlineStr">
        <is>
          <t>IT-05</t>
        </is>
      </c>
      <c r="F3457" s="17" t="n">
        <v>46081</v>
      </c>
      <c r="G3457" s="17" t="n">
        <v>46091</v>
      </c>
      <c r="H3457" s="18" t="n">
        <v>1</v>
      </c>
      <c r="I3457" s="19" t="n">
        <v>714.09</v>
      </c>
      <c r="J3457" s="19" t="n">
        <v>640</v>
      </c>
      <c r="K3457" s="20" t="n">
        <v>0</v>
      </c>
      <c r="L3457" s="20" t="n">
        <v>0</v>
      </c>
      <c r="M3457" s="18" t="n">
        <v>1</v>
      </c>
      <c r="N3457" s="18" t="n">
        <v>1</v>
      </c>
      <c r="O3457" s="18" t="n">
        <v>0</v>
      </c>
      <c r="P3457" s="17" t="n">
        <v>46090</v>
      </c>
      <c r="Q3457" s="17" t="n">
        <v>46090</v>
      </c>
      <c r="R3457" s="17" t="n">
        <v>46090</v>
      </c>
      <c r="S3457" s="19">
        <f>H3457*I3457</f>
        <v/>
      </c>
      <c r="T3457" s="19">
        <f>H3457*J3457</f>
        <v/>
      </c>
      <c r="U3457">
        <f>IF(AND(K3457=0,G3457&lt;=Assumptions!$C$6),1,0)</f>
        <v/>
      </c>
      <c r="V3457">
        <f>IF(U3457=1,IF(M3457&gt;0,IF(P3457&lt;=G3457+Assumptions!$C$7,1,0),0),0)</f>
        <v/>
      </c>
      <c r="W3457">
        <f>IF(AND(U3457=1,M3457&gt;=H3457*(1-Assumptions!$C$8)),1,0)</f>
        <v/>
      </c>
      <c r="X3457">
        <f>IF(AND(U3457=1,N3457&gt;=H3457*(1-Assumptions!$C$8)),1,0)</f>
        <v/>
      </c>
      <c r="Y3457">
        <f>IF(ISNUMBER(Q3457),1,0)</f>
        <v/>
      </c>
      <c r="Z3457">
        <f>IF(AND(K3457=0,L3457=0,Y3457=0),1,0)</f>
        <v/>
      </c>
      <c r="AA3457">
        <f>IF(AND(Z3457=1,G3457&lt;Assumptions!$C$6),1,0)</f>
        <v/>
      </c>
      <c r="AB3457">
        <f>IF(U3457=0,"",IF(Y3457=1,MAX(0,Q3457-G3457),IF(L3457=1,MAX(0,R3457-G3457),MAX(0,Assumptions!$C$6-G3457))))</f>
        <v/>
      </c>
      <c r="AC3457">
        <f>IF(Y3457=1,Q3457-F3457,"")</f>
        <v/>
      </c>
      <c r="AD3457">
        <f>IF(Y3457=1,AC3457^2,"")</f>
        <v/>
      </c>
      <c r="AE3457" s="19">
        <f>IF(Z3457=1,(H3457-M3457)*I3457,0)</f>
        <v/>
      </c>
      <c r="AF3457">
        <f>IF(G3457&lt;EDATE(Assumptions!$C$6,-12)+1,"prior_12m","last_12m")</f>
        <v/>
      </c>
      <c r="AG3457" s="21">
        <f>DATE(YEAR(G3457),MONTH(G3457),1)</f>
        <v/>
      </c>
    </row>
    <row r="3458">
      <c r="A3458" t="inlineStr">
        <is>
          <t>SPO-01847-1</t>
        </is>
      </c>
      <c r="B3458" t="inlineStr">
        <is>
          <t>SPO-01847</t>
        </is>
      </c>
      <c r="C3458" t="inlineStr">
        <is>
          <t>SUP-04</t>
        </is>
      </c>
      <c r="D3458" t="inlineStr">
        <is>
          <t>FLEET</t>
        </is>
      </c>
      <c r="E3458" t="inlineStr">
        <is>
          <t>FLEET-02</t>
        </is>
      </c>
      <c r="F3458" s="17" t="n">
        <v>46081</v>
      </c>
      <c r="G3458" s="17" t="n">
        <v>46094</v>
      </c>
      <c r="H3458" s="18" t="n">
        <v>89</v>
      </c>
      <c r="I3458" s="19" t="n">
        <v>7.52</v>
      </c>
      <c r="J3458" s="19" t="n">
        <v>7.5</v>
      </c>
      <c r="K3458" s="20" t="n">
        <v>0</v>
      </c>
      <c r="L3458" s="20" t="n">
        <v>0</v>
      </c>
      <c r="M3458" s="18" t="n">
        <v>89</v>
      </c>
      <c r="N3458" s="18" t="n">
        <v>0</v>
      </c>
      <c r="O3458" s="18" t="n">
        <v>0</v>
      </c>
      <c r="P3458" s="17" t="n">
        <v>46095</v>
      </c>
      <c r="Q3458" s="17" t="n">
        <v>46095</v>
      </c>
      <c r="R3458" s="17" t="n">
        <v>46095</v>
      </c>
      <c r="S3458" s="19">
        <f>H3458*I3458</f>
        <v/>
      </c>
      <c r="T3458" s="19">
        <f>H3458*J3458</f>
        <v/>
      </c>
      <c r="U3458">
        <f>IF(AND(K3458=0,G3458&lt;=Assumptions!$C$6),1,0)</f>
        <v/>
      </c>
      <c r="V3458">
        <f>IF(U3458=1,IF(M3458&gt;0,IF(P3458&lt;=G3458+Assumptions!$C$7,1,0),0),0)</f>
        <v/>
      </c>
      <c r="W3458">
        <f>IF(AND(U3458=1,M3458&gt;=H3458*(1-Assumptions!$C$8)),1,0)</f>
        <v/>
      </c>
      <c r="X3458">
        <f>IF(AND(U3458=1,N3458&gt;=H3458*(1-Assumptions!$C$8)),1,0)</f>
        <v/>
      </c>
      <c r="Y3458">
        <f>IF(ISNUMBER(Q3458),1,0)</f>
        <v/>
      </c>
      <c r="Z3458">
        <f>IF(AND(K3458=0,L3458=0,Y3458=0),1,0)</f>
        <v/>
      </c>
      <c r="AA3458">
        <f>IF(AND(Z3458=1,G3458&lt;Assumptions!$C$6),1,0)</f>
        <v/>
      </c>
      <c r="AB3458">
        <f>IF(U3458=0,"",IF(Y3458=1,MAX(0,Q3458-G3458),IF(L3458=1,MAX(0,R3458-G3458),MAX(0,Assumptions!$C$6-G3458))))</f>
        <v/>
      </c>
      <c r="AC3458">
        <f>IF(Y3458=1,Q3458-F3458,"")</f>
        <v/>
      </c>
      <c r="AD3458">
        <f>IF(Y3458=1,AC3458^2,"")</f>
        <v/>
      </c>
      <c r="AE3458" s="19">
        <f>IF(Z3458=1,(H3458-M3458)*I3458,0)</f>
        <v/>
      </c>
      <c r="AF3458">
        <f>IF(G3458&lt;EDATE(Assumptions!$C$6,-12)+1,"prior_12m","last_12m")</f>
        <v/>
      </c>
      <c r="AG3458" s="21">
        <f>DATE(YEAR(G3458),MONTH(G3458),1)</f>
        <v/>
      </c>
    </row>
    <row r="3459">
      <c r="A3459" t="inlineStr">
        <is>
          <t>SPO-01847-2</t>
        </is>
      </c>
      <c r="B3459" t="inlineStr">
        <is>
          <t>SPO-01847</t>
        </is>
      </c>
      <c r="C3459" t="inlineStr">
        <is>
          <t>SUP-04</t>
        </is>
      </c>
      <c r="D3459" t="inlineStr">
        <is>
          <t>FLEET</t>
        </is>
      </c>
      <c r="E3459" t="inlineStr">
        <is>
          <t>FLEET-04</t>
        </is>
      </c>
      <c r="F3459" s="17" t="n">
        <v>46081</v>
      </c>
      <c r="G3459" s="17" t="n">
        <v>46094</v>
      </c>
      <c r="H3459" s="18" t="n">
        <v>148</v>
      </c>
      <c r="I3459" s="19" t="n">
        <v>8.800000000000001</v>
      </c>
      <c r="J3459" s="19" t="n">
        <v>9</v>
      </c>
      <c r="K3459" s="20" t="n">
        <v>0</v>
      </c>
      <c r="L3459" s="20" t="n">
        <v>0</v>
      </c>
      <c r="M3459" s="18" t="n">
        <v>148</v>
      </c>
      <c r="N3459" s="18" t="n">
        <v>148</v>
      </c>
      <c r="O3459" s="18" t="n">
        <v>0</v>
      </c>
      <c r="P3459" s="17" t="n">
        <v>46092</v>
      </c>
      <c r="Q3459" s="17" t="n">
        <v>46092</v>
      </c>
      <c r="R3459" s="17" t="n">
        <v>46092</v>
      </c>
      <c r="S3459" s="19">
        <f>H3459*I3459</f>
        <v/>
      </c>
      <c r="T3459" s="19">
        <f>H3459*J3459</f>
        <v/>
      </c>
      <c r="U3459">
        <f>IF(AND(K3459=0,G3459&lt;=Assumptions!$C$6),1,0)</f>
        <v/>
      </c>
      <c r="V3459">
        <f>IF(U3459=1,IF(M3459&gt;0,IF(P3459&lt;=G3459+Assumptions!$C$7,1,0),0),0)</f>
        <v/>
      </c>
      <c r="W3459">
        <f>IF(AND(U3459=1,M3459&gt;=H3459*(1-Assumptions!$C$8)),1,0)</f>
        <v/>
      </c>
      <c r="X3459">
        <f>IF(AND(U3459=1,N3459&gt;=H3459*(1-Assumptions!$C$8)),1,0)</f>
        <v/>
      </c>
      <c r="Y3459">
        <f>IF(ISNUMBER(Q3459),1,0)</f>
        <v/>
      </c>
      <c r="Z3459">
        <f>IF(AND(K3459=0,L3459=0,Y3459=0),1,0)</f>
        <v/>
      </c>
      <c r="AA3459">
        <f>IF(AND(Z3459=1,G3459&lt;Assumptions!$C$6),1,0)</f>
        <v/>
      </c>
      <c r="AB3459">
        <f>IF(U3459=0,"",IF(Y3459=1,MAX(0,Q3459-G3459),IF(L3459=1,MAX(0,R3459-G3459),MAX(0,Assumptions!$C$6-G3459))))</f>
        <v/>
      </c>
      <c r="AC3459">
        <f>IF(Y3459=1,Q3459-F3459,"")</f>
        <v/>
      </c>
      <c r="AD3459">
        <f>IF(Y3459=1,AC3459^2,"")</f>
        <v/>
      </c>
      <c r="AE3459" s="19">
        <f>IF(Z3459=1,(H3459-M3459)*I3459,0)</f>
        <v/>
      </c>
      <c r="AF3459">
        <f>IF(G3459&lt;EDATE(Assumptions!$C$6,-12)+1,"prior_12m","last_12m")</f>
        <v/>
      </c>
      <c r="AG3459" s="21">
        <f>DATE(YEAR(G3459),MONTH(G3459),1)</f>
        <v/>
      </c>
    </row>
    <row r="3460">
      <c r="A3460" t="inlineStr">
        <is>
          <t>SPO-01847-3</t>
        </is>
      </c>
      <c r="B3460" t="inlineStr">
        <is>
          <t>SPO-01847</t>
        </is>
      </c>
      <c r="C3460" t="inlineStr">
        <is>
          <t>SUP-04</t>
        </is>
      </c>
      <c r="D3460" t="inlineStr">
        <is>
          <t>FLEET</t>
        </is>
      </c>
      <c r="E3460" t="inlineStr">
        <is>
          <t>FLEET-01</t>
        </is>
      </c>
      <c r="F3460" s="17" t="n">
        <v>46081</v>
      </c>
      <c r="G3460" s="17" t="n">
        <v>46094</v>
      </c>
      <c r="H3460" s="18" t="n">
        <v>11</v>
      </c>
      <c r="I3460" s="19" t="n">
        <v>62.33</v>
      </c>
      <c r="J3460" s="19" t="n">
        <v>64</v>
      </c>
      <c r="K3460" s="20" t="n">
        <v>0</v>
      </c>
      <c r="L3460" s="20" t="n">
        <v>0</v>
      </c>
      <c r="M3460" s="18" t="n">
        <v>11</v>
      </c>
      <c r="N3460" s="18" t="n">
        <v>11</v>
      </c>
      <c r="O3460" s="18" t="n">
        <v>0</v>
      </c>
      <c r="P3460" s="17" t="n">
        <v>46082</v>
      </c>
      <c r="Q3460" s="17" t="n">
        <v>46082</v>
      </c>
      <c r="R3460" s="17" t="n">
        <v>46082</v>
      </c>
      <c r="S3460" s="19">
        <f>H3460*I3460</f>
        <v/>
      </c>
      <c r="T3460" s="19">
        <f>H3460*J3460</f>
        <v/>
      </c>
      <c r="U3460">
        <f>IF(AND(K3460=0,G3460&lt;=Assumptions!$C$6),1,0)</f>
        <v/>
      </c>
      <c r="V3460">
        <f>IF(U3460=1,IF(M3460&gt;0,IF(P3460&lt;=G3460+Assumptions!$C$7,1,0),0),0)</f>
        <v/>
      </c>
      <c r="W3460">
        <f>IF(AND(U3460=1,M3460&gt;=H3460*(1-Assumptions!$C$8)),1,0)</f>
        <v/>
      </c>
      <c r="X3460">
        <f>IF(AND(U3460=1,N3460&gt;=H3460*(1-Assumptions!$C$8)),1,0)</f>
        <v/>
      </c>
      <c r="Y3460">
        <f>IF(ISNUMBER(Q3460),1,0)</f>
        <v/>
      </c>
      <c r="Z3460">
        <f>IF(AND(K3460=0,L3460=0,Y3460=0),1,0)</f>
        <v/>
      </c>
      <c r="AA3460">
        <f>IF(AND(Z3460=1,G3460&lt;Assumptions!$C$6),1,0)</f>
        <v/>
      </c>
      <c r="AB3460">
        <f>IF(U3460=0,"",IF(Y3460=1,MAX(0,Q3460-G3460),IF(L3460=1,MAX(0,R3460-G3460),MAX(0,Assumptions!$C$6-G3460))))</f>
        <v/>
      </c>
      <c r="AC3460">
        <f>IF(Y3460=1,Q3460-F3460,"")</f>
        <v/>
      </c>
      <c r="AD3460">
        <f>IF(Y3460=1,AC3460^2,"")</f>
        <v/>
      </c>
      <c r="AE3460" s="19">
        <f>IF(Z3460=1,(H3460-M3460)*I3460,0)</f>
        <v/>
      </c>
      <c r="AF3460">
        <f>IF(G3460&lt;EDATE(Assumptions!$C$6,-12)+1,"prior_12m","last_12m")</f>
        <v/>
      </c>
      <c r="AG3460" s="21">
        <f>DATE(YEAR(G3460),MONTH(G3460),1)</f>
        <v/>
      </c>
    </row>
    <row r="3461">
      <c r="A3461" t="inlineStr">
        <is>
          <t>SPO-01847-4</t>
        </is>
      </c>
      <c r="B3461" t="inlineStr">
        <is>
          <t>SPO-01847</t>
        </is>
      </c>
      <c r="C3461" t="inlineStr">
        <is>
          <t>SUP-04</t>
        </is>
      </c>
      <c r="D3461" t="inlineStr">
        <is>
          <t>FLEET</t>
        </is>
      </c>
      <c r="E3461" t="inlineStr">
        <is>
          <t>FLEET-08</t>
        </is>
      </c>
      <c r="F3461" s="17" t="n">
        <v>46081</v>
      </c>
      <c r="G3461" s="17" t="n">
        <v>46094</v>
      </c>
      <c r="H3461" s="18" t="n">
        <v>519</v>
      </c>
      <c r="I3461" s="19" t="n">
        <v>6.23</v>
      </c>
      <c r="J3461" s="19" t="n">
        <v>6.4</v>
      </c>
      <c r="K3461" s="20" t="n">
        <v>0</v>
      </c>
      <c r="L3461" s="20" t="n">
        <v>0</v>
      </c>
      <c r="M3461" s="18" t="n">
        <v>519</v>
      </c>
      <c r="N3461" s="18" t="n">
        <v>0</v>
      </c>
      <c r="O3461" s="18" t="n">
        <v>0</v>
      </c>
      <c r="P3461" s="17" t="n">
        <v>46142</v>
      </c>
      <c r="Q3461" s="17" t="n">
        <v>46142</v>
      </c>
      <c r="R3461" s="17" t="n">
        <v>46142</v>
      </c>
      <c r="S3461" s="19">
        <f>H3461*I3461</f>
        <v/>
      </c>
      <c r="T3461" s="19">
        <f>H3461*J3461</f>
        <v/>
      </c>
      <c r="U3461">
        <f>IF(AND(K3461=0,G3461&lt;=Assumptions!$C$6),1,0)</f>
        <v/>
      </c>
      <c r="V3461">
        <f>IF(U3461=1,IF(M3461&gt;0,IF(P3461&lt;=G3461+Assumptions!$C$7,1,0),0),0)</f>
        <v/>
      </c>
      <c r="W3461">
        <f>IF(AND(U3461=1,M3461&gt;=H3461*(1-Assumptions!$C$8)),1,0)</f>
        <v/>
      </c>
      <c r="X3461">
        <f>IF(AND(U3461=1,N3461&gt;=H3461*(1-Assumptions!$C$8)),1,0)</f>
        <v/>
      </c>
      <c r="Y3461">
        <f>IF(ISNUMBER(Q3461),1,0)</f>
        <v/>
      </c>
      <c r="Z3461">
        <f>IF(AND(K3461=0,L3461=0,Y3461=0),1,0)</f>
        <v/>
      </c>
      <c r="AA3461">
        <f>IF(AND(Z3461=1,G3461&lt;Assumptions!$C$6),1,0)</f>
        <v/>
      </c>
      <c r="AB3461">
        <f>IF(U3461=0,"",IF(Y3461=1,MAX(0,Q3461-G3461),IF(L3461=1,MAX(0,R3461-G3461),MAX(0,Assumptions!$C$6-G3461))))</f>
        <v/>
      </c>
      <c r="AC3461">
        <f>IF(Y3461=1,Q3461-F3461,"")</f>
        <v/>
      </c>
      <c r="AD3461">
        <f>IF(Y3461=1,AC3461^2,"")</f>
        <v/>
      </c>
      <c r="AE3461" s="19">
        <f>IF(Z3461=1,(H3461-M3461)*I3461,0)</f>
        <v/>
      </c>
      <c r="AF3461">
        <f>IF(G3461&lt;EDATE(Assumptions!$C$6,-12)+1,"prior_12m","last_12m")</f>
        <v/>
      </c>
      <c r="AG3461" s="21">
        <f>DATE(YEAR(G3461),MONTH(G3461),1)</f>
        <v/>
      </c>
    </row>
    <row r="3462">
      <c r="A3462" t="inlineStr">
        <is>
          <t>SPO-01848-1</t>
        </is>
      </c>
      <c r="B3462" t="inlineStr">
        <is>
          <t>SPO-01848</t>
        </is>
      </c>
      <c r="C3462" t="inlineStr">
        <is>
          <t>SUP-08</t>
        </is>
      </c>
      <c r="D3462" t="inlineStr">
        <is>
          <t>PPE</t>
        </is>
      </c>
      <c r="E3462" t="inlineStr">
        <is>
          <t>PPE-07</t>
        </is>
      </c>
      <c r="F3462" s="17" t="n">
        <v>46082</v>
      </c>
      <c r="G3462" s="17" t="n">
        <v>46093</v>
      </c>
      <c r="H3462" s="18" t="n">
        <v>42</v>
      </c>
      <c r="I3462" s="19" t="n">
        <v>31.68</v>
      </c>
      <c r="J3462" s="19" t="n">
        <v>31</v>
      </c>
      <c r="K3462" s="20" t="n">
        <v>0</v>
      </c>
      <c r="L3462" s="20" t="n">
        <v>0</v>
      </c>
      <c r="M3462" s="18" t="n">
        <v>42</v>
      </c>
      <c r="N3462" s="18" t="n">
        <v>42</v>
      </c>
      <c r="O3462" s="18" t="n">
        <v>0</v>
      </c>
      <c r="P3462" s="17" t="n">
        <v>46091</v>
      </c>
      <c r="Q3462" s="17" t="n">
        <v>46091</v>
      </c>
      <c r="R3462" s="17" t="n">
        <v>46091</v>
      </c>
      <c r="S3462" s="19">
        <f>H3462*I3462</f>
        <v/>
      </c>
      <c r="T3462" s="19">
        <f>H3462*J3462</f>
        <v/>
      </c>
      <c r="U3462">
        <f>IF(AND(K3462=0,G3462&lt;=Assumptions!$C$6),1,0)</f>
        <v/>
      </c>
      <c r="V3462">
        <f>IF(U3462=1,IF(M3462&gt;0,IF(P3462&lt;=G3462+Assumptions!$C$7,1,0),0),0)</f>
        <v/>
      </c>
      <c r="W3462">
        <f>IF(AND(U3462=1,M3462&gt;=H3462*(1-Assumptions!$C$8)),1,0)</f>
        <v/>
      </c>
      <c r="X3462">
        <f>IF(AND(U3462=1,N3462&gt;=H3462*(1-Assumptions!$C$8)),1,0)</f>
        <v/>
      </c>
      <c r="Y3462">
        <f>IF(ISNUMBER(Q3462),1,0)</f>
        <v/>
      </c>
      <c r="Z3462">
        <f>IF(AND(K3462=0,L3462=0,Y3462=0),1,0)</f>
        <v/>
      </c>
      <c r="AA3462">
        <f>IF(AND(Z3462=1,G3462&lt;Assumptions!$C$6),1,0)</f>
        <v/>
      </c>
      <c r="AB3462">
        <f>IF(U3462=0,"",IF(Y3462=1,MAX(0,Q3462-G3462),IF(L3462=1,MAX(0,R3462-G3462),MAX(0,Assumptions!$C$6-G3462))))</f>
        <v/>
      </c>
      <c r="AC3462">
        <f>IF(Y3462=1,Q3462-F3462,"")</f>
        <v/>
      </c>
      <c r="AD3462">
        <f>IF(Y3462=1,AC3462^2,"")</f>
        <v/>
      </c>
      <c r="AE3462" s="19">
        <f>IF(Z3462=1,(H3462-M3462)*I3462,0)</f>
        <v/>
      </c>
      <c r="AF3462">
        <f>IF(G3462&lt;EDATE(Assumptions!$C$6,-12)+1,"prior_12m","last_12m")</f>
        <v/>
      </c>
      <c r="AG3462" s="21">
        <f>DATE(YEAR(G3462),MONTH(G3462),1)</f>
        <v/>
      </c>
    </row>
    <row r="3463">
      <c r="A3463" t="inlineStr">
        <is>
          <t>SPO-01849-1</t>
        </is>
      </c>
      <c r="B3463" t="inlineStr">
        <is>
          <t>SPO-01849</t>
        </is>
      </c>
      <c r="C3463" t="inlineStr">
        <is>
          <t>SUP-01</t>
        </is>
      </c>
      <c r="D3463" t="inlineStr">
        <is>
          <t>ELEC</t>
        </is>
      </c>
      <c r="E3463" t="inlineStr">
        <is>
          <t>ELEC-02</t>
        </is>
      </c>
      <c r="F3463" s="17" t="n">
        <v>46083</v>
      </c>
      <c r="G3463" s="17" t="n">
        <v>46101</v>
      </c>
      <c r="H3463" s="18" t="n">
        <v>374</v>
      </c>
      <c r="I3463" s="19" t="n">
        <v>4.09</v>
      </c>
      <c r="J3463" s="19" t="n">
        <v>4.2</v>
      </c>
      <c r="K3463" s="20" t="n">
        <v>0</v>
      </c>
      <c r="L3463" s="20" t="n">
        <v>0</v>
      </c>
      <c r="M3463" s="18" t="n">
        <v>374</v>
      </c>
      <c r="N3463" s="18" t="n">
        <v>374</v>
      </c>
      <c r="O3463" s="18" t="n">
        <v>0</v>
      </c>
      <c r="P3463" s="17" t="n">
        <v>46098</v>
      </c>
      <c r="Q3463" s="17" t="n">
        <v>46098</v>
      </c>
      <c r="R3463" s="17" t="n">
        <v>46098</v>
      </c>
      <c r="S3463" s="19">
        <f>H3463*I3463</f>
        <v/>
      </c>
      <c r="T3463" s="19">
        <f>H3463*J3463</f>
        <v/>
      </c>
      <c r="U3463">
        <f>IF(AND(K3463=0,G3463&lt;=Assumptions!$C$6),1,0)</f>
        <v/>
      </c>
      <c r="V3463">
        <f>IF(U3463=1,IF(M3463&gt;0,IF(P3463&lt;=G3463+Assumptions!$C$7,1,0),0),0)</f>
        <v/>
      </c>
      <c r="W3463">
        <f>IF(AND(U3463=1,M3463&gt;=H3463*(1-Assumptions!$C$8)),1,0)</f>
        <v/>
      </c>
      <c r="X3463">
        <f>IF(AND(U3463=1,N3463&gt;=H3463*(1-Assumptions!$C$8)),1,0)</f>
        <v/>
      </c>
      <c r="Y3463">
        <f>IF(ISNUMBER(Q3463),1,0)</f>
        <v/>
      </c>
      <c r="Z3463">
        <f>IF(AND(K3463=0,L3463=0,Y3463=0),1,0)</f>
        <v/>
      </c>
      <c r="AA3463">
        <f>IF(AND(Z3463=1,G3463&lt;Assumptions!$C$6),1,0)</f>
        <v/>
      </c>
      <c r="AB3463">
        <f>IF(U3463=0,"",IF(Y3463=1,MAX(0,Q3463-G3463),IF(L3463=1,MAX(0,R3463-G3463),MAX(0,Assumptions!$C$6-G3463))))</f>
        <v/>
      </c>
      <c r="AC3463">
        <f>IF(Y3463=1,Q3463-F3463,"")</f>
        <v/>
      </c>
      <c r="AD3463">
        <f>IF(Y3463=1,AC3463^2,"")</f>
        <v/>
      </c>
      <c r="AE3463" s="19">
        <f>IF(Z3463=1,(H3463-M3463)*I3463,0)</f>
        <v/>
      </c>
      <c r="AF3463">
        <f>IF(G3463&lt;EDATE(Assumptions!$C$6,-12)+1,"prior_12m","last_12m")</f>
        <v/>
      </c>
      <c r="AG3463" s="21">
        <f>DATE(YEAR(G3463),MONTH(G3463),1)</f>
        <v/>
      </c>
    </row>
    <row r="3464">
      <c r="A3464" t="inlineStr">
        <is>
          <t>SPO-01850-1</t>
        </is>
      </c>
      <c r="B3464" t="inlineStr">
        <is>
          <t>SPO-01850</t>
        </is>
      </c>
      <c r="C3464" t="inlineStr">
        <is>
          <t>SUP-08</t>
        </is>
      </c>
      <c r="D3464" t="inlineStr">
        <is>
          <t>MRO</t>
        </is>
      </c>
      <c r="E3464" t="inlineStr">
        <is>
          <t>MRO-06</t>
        </is>
      </c>
      <c r="F3464" s="17" t="n">
        <v>46083</v>
      </c>
      <c r="G3464" s="17" t="n">
        <v>46094</v>
      </c>
      <c r="H3464" s="18" t="n">
        <v>240</v>
      </c>
      <c r="I3464" s="19" t="n">
        <v>6.2</v>
      </c>
      <c r="J3464" s="19" t="n">
        <v>6.1</v>
      </c>
      <c r="K3464" s="20" t="n">
        <v>0</v>
      </c>
      <c r="L3464" s="20" t="n">
        <v>0</v>
      </c>
      <c r="M3464" s="18" t="n">
        <v>240</v>
      </c>
      <c r="N3464" s="18" t="n">
        <v>240</v>
      </c>
      <c r="O3464" s="18" t="n">
        <v>0</v>
      </c>
      <c r="P3464" s="17" t="n">
        <v>46090</v>
      </c>
      <c r="Q3464" s="17" t="n">
        <v>46090</v>
      </c>
      <c r="R3464" s="17" t="n">
        <v>46090</v>
      </c>
      <c r="S3464" s="19">
        <f>H3464*I3464</f>
        <v/>
      </c>
      <c r="T3464" s="19">
        <f>H3464*J3464</f>
        <v/>
      </c>
      <c r="U3464">
        <f>IF(AND(K3464=0,G3464&lt;=Assumptions!$C$6),1,0)</f>
        <v/>
      </c>
      <c r="V3464">
        <f>IF(U3464=1,IF(M3464&gt;0,IF(P3464&lt;=G3464+Assumptions!$C$7,1,0),0),0)</f>
        <v/>
      </c>
      <c r="W3464">
        <f>IF(AND(U3464=1,M3464&gt;=H3464*(1-Assumptions!$C$8)),1,0)</f>
        <v/>
      </c>
      <c r="X3464">
        <f>IF(AND(U3464=1,N3464&gt;=H3464*(1-Assumptions!$C$8)),1,0)</f>
        <v/>
      </c>
      <c r="Y3464">
        <f>IF(ISNUMBER(Q3464),1,0)</f>
        <v/>
      </c>
      <c r="Z3464">
        <f>IF(AND(K3464=0,L3464=0,Y3464=0),1,0)</f>
        <v/>
      </c>
      <c r="AA3464">
        <f>IF(AND(Z3464=1,G3464&lt;Assumptions!$C$6),1,0)</f>
        <v/>
      </c>
      <c r="AB3464">
        <f>IF(U3464=0,"",IF(Y3464=1,MAX(0,Q3464-G3464),IF(L3464=1,MAX(0,R3464-G3464),MAX(0,Assumptions!$C$6-G3464))))</f>
        <v/>
      </c>
      <c r="AC3464">
        <f>IF(Y3464=1,Q3464-F3464,"")</f>
        <v/>
      </c>
      <c r="AD3464">
        <f>IF(Y3464=1,AC3464^2,"")</f>
        <v/>
      </c>
      <c r="AE3464" s="19">
        <f>IF(Z3464=1,(H3464-M3464)*I3464,0)</f>
        <v/>
      </c>
      <c r="AF3464">
        <f>IF(G3464&lt;EDATE(Assumptions!$C$6,-12)+1,"prior_12m","last_12m")</f>
        <v/>
      </c>
      <c r="AG3464" s="21">
        <f>DATE(YEAR(G3464),MONTH(G3464),1)</f>
        <v/>
      </c>
    </row>
    <row r="3465">
      <c r="A3465" t="inlineStr">
        <is>
          <t>SPO-01850-2</t>
        </is>
      </c>
      <c r="B3465" t="inlineStr">
        <is>
          <t>SPO-01850</t>
        </is>
      </c>
      <c r="C3465" t="inlineStr">
        <is>
          <t>SUP-08</t>
        </is>
      </c>
      <c r="D3465" t="inlineStr">
        <is>
          <t>MRO</t>
        </is>
      </c>
      <c r="E3465" t="inlineStr">
        <is>
          <t>MRO-02</t>
        </is>
      </c>
      <c r="F3465" s="17" t="n">
        <v>46083</v>
      </c>
      <c r="G3465" s="17" t="n">
        <v>46094</v>
      </c>
      <c r="H3465" s="18" t="n">
        <v>17</v>
      </c>
      <c r="I3465" s="19" t="n">
        <v>43.15</v>
      </c>
      <c r="J3465" s="19" t="n">
        <v>41</v>
      </c>
      <c r="K3465" s="20" t="n">
        <v>0</v>
      </c>
      <c r="L3465" s="20" t="n">
        <v>0</v>
      </c>
      <c r="M3465" s="18" t="n">
        <v>17</v>
      </c>
      <c r="N3465" s="18" t="n">
        <v>12</v>
      </c>
      <c r="O3465" s="18" t="n">
        <v>0</v>
      </c>
      <c r="P3465" s="17" t="n">
        <v>46091</v>
      </c>
      <c r="Q3465" s="17" t="n">
        <v>46102</v>
      </c>
      <c r="R3465" s="17" t="n">
        <v>46102</v>
      </c>
      <c r="S3465" s="19">
        <f>H3465*I3465</f>
        <v/>
      </c>
      <c r="T3465" s="19">
        <f>H3465*J3465</f>
        <v/>
      </c>
      <c r="U3465">
        <f>IF(AND(K3465=0,G3465&lt;=Assumptions!$C$6),1,0)</f>
        <v/>
      </c>
      <c r="V3465">
        <f>IF(U3465=1,IF(M3465&gt;0,IF(P3465&lt;=G3465+Assumptions!$C$7,1,0),0),0)</f>
        <v/>
      </c>
      <c r="W3465">
        <f>IF(AND(U3465=1,M3465&gt;=H3465*(1-Assumptions!$C$8)),1,0)</f>
        <v/>
      </c>
      <c r="X3465">
        <f>IF(AND(U3465=1,N3465&gt;=H3465*(1-Assumptions!$C$8)),1,0)</f>
        <v/>
      </c>
      <c r="Y3465">
        <f>IF(ISNUMBER(Q3465),1,0)</f>
        <v/>
      </c>
      <c r="Z3465">
        <f>IF(AND(K3465=0,L3465=0,Y3465=0),1,0)</f>
        <v/>
      </c>
      <c r="AA3465">
        <f>IF(AND(Z3465=1,G3465&lt;Assumptions!$C$6),1,0)</f>
        <v/>
      </c>
      <c r="AB3465">
        <f>IF(U3465=0,"",IF(Y3465=1,MAX(0,Q3465-G3465),IF(L3465=1,MAX(0,R3465-G3465),MAX(0,Assumptions!$C$6-G3465))))</f>
        <v/>
      </c>
      <c r="AC3465">
        <f>IF(Y3465=1,Q3465-F3465,"")</f>
        <v/>
      </c>
      <c r="AD3465">
        <f>IF(Y3465=1,AC3465^2,"")</f>
        <v/>
      </c>
      <c r="AE3465" s="19">
        <f>IF(Z3465=1,(H3465-M3465)*I3465,0)</f>
        <v/>
      </c>
      <c r="AF3465">
        <f>IF(G3465&lt;EDATE(Assumptions!$C$6,-12)+1,"prior_12m","last_12m")</f>
        <v/>
      </c>
      <c r="AG3465" s="21">
        <f>DATE(YEAR(G3465),MONTH(G3465),1)</f>
        <v/>
      </c>
    </row>
    <row r="3466">
      <c r="A3466" t="inlineStr">
        <is>
          <t>SPO-01851-1</t>
        </is>
      </c>
      <c r="B3466" t="inlineStr">
        <is>
          <t>SPO-01851</t>
        </is>
      </c>
      <c r="C3466" t="inlineStr">
        <is>
          <t>SUP-01</t>
        </is>
      </c>
      <c r="D3466" t="inlineStr">
        <is>
          <t>ELEC</t>
        </is>
      </c>
      <c r="E3466" t="inlineStr">
        <is>
          <t>ELEC-06</t>
        </is>
      </c>
      <c r="F3466" s="17" t="n">
        <v>46084</v>
      </c>
      <c r="G3466" s="17" t="n">
        <v>46102</v>
      </c>
      <c r="H3466" s="18" t="n">
        <v>12</v>
      </c>
      <c r="I3466" s="19" t="n">
        <v>143.74</v>
      </c>
      <c r="J3466" s="19" t="n">
        <v>145</v>
      </c>
      <c r="K3466" s="20" t="n">
        <v>0</v>
      </c>
      <c r="L3466" s="20" t="n">
        <v>0</v>
      </c>
      <c r="M3466" s="18" t="n">
        <v>12</v>
      </c>
      <c r="N3466" s="18" t="n">
        <v>12</v>
      </c>
      <c r="O3466" s="18" t="n">
        <v>0</v>
      </c>
      <c r="P3466" s="17" t="n">
        <v>46099</v>
      </c>
      <c r="Q3466" s="17" t="n">
        <v>46099</v>
      </c>
      <c r="R3466" s="17" t="n">
        <v>46099</v>
      </c>
      <c r="S3466" s="19">
        <f>H3466*I3466</f>
        <v/>
      </c>
      <c r="T3466" s="19">
        <f>H3466*J3466</f>
        <v/>
      </c>
      <c r="U3466">
        <f>IF(AND(K3466=0,G3466&lt;=Assumptions!$C$6),1,0)</f>
        <v/>
      </c>
      <c r="V3466">
        <f>IF(U3466=1,IF(M3466&gt;0,IF(P3466&lt;=G3466+Assumptions!$C$7,1,0),0),0)</f>
        <v/>
      </c>
      <c r="W3466">
        <f>IF(AND(U3466=1,M3466&gt;=H3466*(1-Assumptions!$C$8)),1,0)</f>
        <v/>
      </c>
      <c r="X3466">
        <f>IF(AND(U3466=1,N3466&gt;=H3466*(1-Assumptions!$C$8)),1,0)</f>
        <v/>
      </c>
      <c r="Y3466">
        <f>IF(ISNUMBER(Q3466),1,0)</f>
        <v/>
      </c>
      <c r="Z3466">
        <f>IF(AND(K3466=0,L3466=0,Y3466=0),1,0)</f>
        <v/>
      </c>
      <c r="AA3466">
        <f>IF(AND(Z3466=1,G3466&lt;Assumptions!$C$6),1,0)</f>
        <v/>
      </c>
      <c r="AB3466">
        <f>IF(U3466=0,"",IF(Y3466=1,MAX(0,Q3466-G3466),IF(L3466=1,MAX(0,R3466-G3466),MAX(0,Assumptions!$C$6-G3466))))</f>
        <v/>
      </c>
      <c r="AC3466">
        <f>IF(Y3466=1,Q3466-F3466,"")</f>
        <v/>
      </c>
      <c r="AD3466">
        <f>IF(Y3466=1,AC3466^2,"")</f>
        <v/>
      </c>
      <c r="AE3466" s="19">
        <f>IF(Z3466=1,(H3466-M3466)*I3466,0)</f>
        <v/>
      </c>
      <c r="AF3466">
        <f>IF(G3466&lt;EDATE(Assumptions!$C$6,-12)+1,"prior_12m","last_12m")</f>
        <v/>
      </c>
      <c r="AG3466" s="21">
        <f>DATE(YEAR(G3466),MONTH(G3466),1)</f>
        <v/>
      </c>
    </row>
    <row r="3467">
      <c r="A3467" t="inlineStr">
        <is>
          <t>SPO-01852-1</t>
        </is>
      </c>
      <c r="B3467" t="inlineStr">
        <is>
          <t>SPO-01852</t>
        </is>
      </c>
      <c r="C3467" t="inlineStr">
        <is>
          <t>SUP-01</t>
        </is>
      </c>
      <c r="D3467" t="inlineStr">
        <is>
          <t>ELEC</t>
        </is>
      </c>
      <c r="E3467" t="inlineStr">
        <is>
          <t>ELEC-06</t>
        </is>
      </c>
      <c r="F3467" s="17" t="n">
        <v>46084</v>
      </c>
      <c r="G3467" s="17" t="n">
        <v>46102</v>
      </c>
      <c r="H3467" s="18" t="n">
        <v>16</v>
      </c>
      <c r="I3467" s="19" t="n">
        <v>143.72</v>
      </c>
      <c r="J3467" s="19" t="n">
        <v>145</v>
      </c>
      <c r="K3467" s="20" t="n">
        <v>0</v>
      </c>
      <c r="L3467" s="20" t="n">
        <v>0</v>
      </c>
      <c r="M3467" s="18" t="n">
        <v>16</v>
      </c>
      <c r="N3467" s="18" t="n">
        <v>16</v>
      </c>
      <c r="O3467" s="18" t="n">
        <v>0</v>
      </c>
      <c r="P3467" s="17" t="n">
        <v>46101</v>
      </c>
      <c r="Q3467" s="17" t="n">
        <v>46101</v>
      </c>
      <c r="R3467" s="17" t="n">
        <v>46101</v>
      </c>
      <c r="S3467" s="19">
        <f>H3467*I3467</f>
        <v/>
      </c>
      <c r="T3467" s="19">
        <f>H3467*J3467</f>
        <v/>
      </c>
      <c r="U3467">
        <f>IF(AND(K3467=0,G3467&lt;=Assumptions!$C$6),1,0)</f>
        <v/>
      </c>
      <c r="V3467">
        <f>IF(U3467=1,IF(M3467&gt;0,IF(P3467&lt;=G3467+Assumptions!$C$7,1,0),0),0)</f>
        <v/>
      </c>
      <c r="W3467">
        <f>IF(AND(U3467=1,M3467&gt;=H3467*(1-Assumptions!$C$8)),1,0)</f>
        <v/>
      </c>
      <c r="X3467">
        <f>IF(AND(U3467=1,N3467&gt;=H3467*(1-Assumptions!$C$8)),1,0)</f>
        <v/>
      </c>
      <c r="Y3467">
        <f>IF(ISNUMBER(Q3467),1,0)</f>
        <v/>
      </c>
      <c r="Z3467">
        <f>IF(AND(K3467=0,L3467=0,Y3467=0),1,0)</f>
        <v/>
      </c>
      <c r="AA3467">
        <f>IF(AND(Z3467=1,G3467&lt;Assumptions!$C$6),1,0)</f>
        <v/>
      </c>
      <c r="AB3467">
        <f>IF(U3467=0,"",IF(Y3467=1,MAX(0,Q3467-G3467),IF(L3467=1,MAX(0,R3467-G3467),MAX(0,Assumptions!$C$6-G3467))))</f>
        <v/>
      </c>
      <c r="AC3467">
        <f>IF(Y3467=1,Q3467-F3467,"")</f>
        <v/>
      </c>
      <c r="AD3467">
        <f>IF(Y3467=1,AC3467^2,"")</f>
        <v/>
      </c>
      <c r="AE3467" s="19">
        <f>IF(Z3467=1,(H3467-M3467)*I3467,0)</f>
        <v/>
      </c>
      <c r="AF3467">
        <f>IF(G3467&lt;EDATE(Assumptions!$C$6,-12)+1,"prior_12m","last_12m")</f>
        <v/>
      </c>
      <c r="AG3467" s="21">
        <f>DATE(YEAR(G3467),MONTH(G3467),1)</f>
        <v/>
      </c>
    </row>
    <row r="3468">
      <c r="A3468" t="inlineStr">
        <is>
          <t>SPO-01853-1</t>
        </is>
      </c>
      <c r="B3468" t="inlineStr">
        <is>
          <t>SPO-01853</t>
        </is>
      </c>
      <c r="C3468" t="inlineStr">
        <is>
          <t>SUP-04</t>
        </is>
      </c>
      <c r="D3468" t="inlineStr">
        <is>
          <t>FLEET</t>
        </is>
      </c>
      <c r="E3468" t="inlineStr">
        <is>
          <t>FLEET-07</t>
        </is>
      </c>
      <c r="F3468" s="17" t="n">
        <v>46084</v>
      </c>
      <c r="G3468" s="17" t="n">
        <v>46097</v>
      </c>
      <c r="H3468" s="18" t="n">
        <v>21</v>
      </c>
      <c r="I3468" s="19" t="n">
        <v>120.11</v>
      </c>
      <c r="J3468" s="19" t="n">
        <v>118</v>
      </c>
      <c r="K3468" s="20" t="n">
        <v>0</v>
      </c>
      <c r="L3468" s="20" t="n">
        <v>0</v>
      </c>
      <c r="M3468" s="18" t="n">
        <v>21</v>
      </c>
      <c r="N3468" s="18" t="n">
        <v>21</v>
      </c>
      <c r="O3468" s="18" t="n">
        <v>0</v>
      </c>
      <c r="P3468" s="17" t="n">
        <v>46089</v>
      </c>
      <c r="Q3468" s="17" t="n">
        <v>46089</v>
      </c>
      <c r="R3468" s="17" t="n">
        <v>46089</v>
      </c>
      <c r="S3468" s="19">
        <f>H3468*I3468</f>
        <v/>
      </c>
      <c r="T3468" s="19">
        <f>H3468*J3468</f>
        <v/>
      </c>
      <c r="U3468">
        <f>IF(AND(K3468=0,G3468&lt;=Assumptions!$C$6),1,0)</f>
        <v/>
      </c>
      <c r="V3468">
        <f>IF(U3468=1,IF(M3468&gt;0,IF(P3468&lt;=G3468+Assumptions!$C$7,1,0),0),0)</f>
        <v/>
      </c>
      <c r="W3468">
        <f>IF(AND(U3468=1,M3468&gt;=H3468*(1-Assumptions!$C$8)),1,0)</f>
        <v/>
      </c>
      <c r="X3468">
        <f>IF(AND(U3468=1,N3468&gt;=H3468*(1-Assumptions!$C$8)),1,0)</f>
        <v/>
      </c>
      <c r="Y3468">
        <f>IF(ISNUMBER(Q3468),1,0)</f>
        <v/>
      </c>
      <c r="Z3468">
        <f>IF(AND(K3468=0,L3468=0,Y3468=0),1,0)</f>
        <v/>
      </c>
      <c r="AA3468">
        <f>IF(AND(Z3468=1,G3468&lt;Assumptions!$C$6),1,0)</f>
        <v/>
      </c>
      <c r="AB3468">
        <f>IF(U3468=0,"",IF(Y3468=1,MAX(0,Q3468-G3468),IF(L3468=1,MAX(0,R3468-G3468),MAX(0,Assumptions!$C$6-G3468))))</f>
        <v/>
      </c>
      <c r="AC3468">
        <f>IF(Y3468=1,Q3468-F3468,"")</f>
        <v/>
      </c>
      <c r="AD3468">
        <f>IF(Y3468=1,AC3468^2,"")</f>
        <v/>
      </c>
      <c r="AE3468" s="19">
        <f>IF(Z3468=1,(H3468-M3468)*I3468,0)</f>
        <v/>
      </c>
      <c r="AF3468">
        <f>IF(G3468&lt;EDATE(Assumptions!$C$6,-12)+1,"prior_12m","last_12m")</f>
        <v/>
      </c>
      <c r="AG3468" s="21">
        <f>DATE(YEAR(G3468),MONTH(G3468),1)</f>
        <v/>
      </c>
    </row>
    <row r="3469">
      <c r="A3469" t="inlineStr">
        <is>
          <t>SPO-01854-1</t>
        </is>
      </c>
      <c r="B3469" t="inlineStr">
        <is>
          <t>SPO-01854</t>
        </is>
      </c>
      <c r="C3469" t="inlineStr">
        <is>
          <t>SUP-06</t>
        </is>
      </c>
      <c r="D3469" t="inlineStr">
        <is>
          <t>MRO</t>
        </is>
      </c>
      <c r="E3469" t="inlineStr">
        <is>
          <t>MRO-08</t>
        </is>
      </c>
      <c r="F3469" s="17" t="n">
        <v>46085</v>
      </c>
      <c r="G3469" s="17" t="n">
        <v>46093</v>
      </c>
      <c r="H3469" s="18" t="n">
        <v>107</v>
      </c>
      <c r="I3469" s="19" t="n">
        <v>7.33</v>
      </c>
      <c r="J3469" s="19" t="n">
        <v>7.2</v>
      </c>
      <c r="K3469" s="20" t="n">
        <v>0</v>
      </c>
      <c r="L3469" s="20" t="n">
        <v>0</v>
      </c>
      <c r="M3469" s="18" t="n">
        <v>107</v>
      </c>
      <c r="N3469" s="18" t="n">
        <v>107</v>
      </c>
      <c r="O3469" s="18" t="n">
        <v>0</v>
      </c>
      <c r="P3469" s="17" t="n">
        <v>46090</v>
      </c>
      <c r="Q3469" s="17" t="n">
        <v>46090</v>
      </c>
      <c r="R3469" s="17" t="n">
        <v>46090</v>
      </c>
      <c r="S3469" s="19">
        <f>H3469*I3469</f>
        <v/>
      </c>
      <c r="T3469" s="19">
        <f>H3469*J3469</f>
        <v/>
      </c>
      <c r="U3469">
        <f>IF(AND(K3469=0,G3469&lt;=Assumptions!$C$6),1,0)</f>
        <v/>
      </c>
      <c r="V3469">
        <f>IF(U3469=1,IF(M3469&gt;0,IF(P3469&lt;=G3469+Assumptions!$C$7,1,0),0),0)</f>
        <v/>
      </c>
      <c r="W3469">
        <f>IF(AND(U3469=1,M3469&gt;=H3469*(1-Assumptions!$C$8)),1,0)</f>
        <v/>
      </c>
      <c r="X3469">
        <f>IF(AND(U3469=1,N3469&gt;=H3469*(1-Assumptions!$C$8)),1,0)</f>
        <v/>
      </c>
      <c r="Y3469">
        <f>IF(ISNUMBER(Q3469),1,0)</f>
        <v/>
      </c>
      <c r="Z3469">
        <f>IF(AND(K3469=0,L3469=0,Y3469=0),1,0)</f>
        <v/>
      </c>
      <c r="AA3469">
        <f>IF(AND(Z3469=1,G3469&lt;Assumptions!$C$6),1,0)</f>
        <v/>
      </c>
      <c r="AB3469">
        <f>IF(U3469=0,"",IF(Y3469=1,MAX(0,Q3469-G3469),IF(L3469=1,MAX(0,R3469-G3469),MAX(0,Assumptions!$C$6-G3469))))</f>
        <v/>
      </c>
      <c r="AC3469">
        <f>IF(Y3469=1,Q3469-F3469,"")</f>
        <v/>
      </c>
      <c r="AD3469">
        <f>IF(Y3469=1,AC3469^2,"")</f>
        <v/>
      </c>
      <c r="AE3469" s="19">
        <f>IF(Z3469=1,(H3469-M3469)*I3469,0)</f>
        <v/>
      </c>
      <c r="AF3469">
        <f>IF(G3469&lt;EDATE(Assumptions!$C$6,-12)+1,"prior_12m","last_12m")</f>
        <v/>
      </c>
      <c r="AG3469" s="21">
        <f>DATE(YEAR(G3469),MONTH(G3469),1)</f>
        <v/>
      </c>
    </row>
    <row r="3470">
      <c r="A3470" t="inlineStr">
        <is>
          <t>SPO-01854-2</t>
        </is>
      </c>
      <c r="B3470" t="inlineStr">
        <is>
          <t>SPO-01854</t>
        </is>
      </c>
      <c r="C3470" t="inlineStr">
        <is>
          <t>SUP-06</t>
        </is>
      </c>
      <c r="D3470" t="inlineStr">
        <is>
          <t>MRO</t>
        </is>
      </c>
      <c r="E3470" t="inlineStr">
        <is>
          <t>MRO-03</t>
        </is>
      </c>
      <c r="F3470" s="17" t="n">
        <v>46085</v>
      </c>
      <c r="G3470" s="17" t="n">
        <v>46093</v>
      </c>
      <c r="H3470" s="18" t="n">
        <v>368</v>
      </c>
      <c r="I3470" s="19" t="n">
        <v>9.19</v>
      </c>
      <c r="J3470" s="19" t="n">
        <v>8.9</v>
      </c>
      <c r="K3470" s="20" t="n">
        <v>0</v>
      </c>
      <c r="L3470" s="20" t="n">
        <v>0</v>
      </c>
      <c r="M3470" s="18" t="n">
        <v>368</v>
      </c>
      <c r="N3470" s="18" t="n">
        <v>368</v>
      </c>
      <c r="O3470" s="18" t="n">
        <v>0</v>
      </c>
      <c r="P3470" s="17" t="n">
        <v>46090</v>
      </c>
      <c r="Q3470" s="17" t="n">
        <v>46090</v>
      </c>
      <c r="R3470" s="17" t="n">
        <v>46090</v>
      </c>
      <c r="S3470" s="19">
        <f>H3470*I3470</f>
        <v/>
      </c>
      <c r="T3470" s="19">
        <f>H3470*J3470</f>
        <v/>
      </c>
      <c r="U3470">
        <f>IF(AND(K3470=0,G3470&lt;=Assumptions!$C$6),1,0)</f>
        <v/>
      </c>
      <c r="V3470">
        <f>IF(U3470=1,IF(M3470&gt;0,IF(P3470&lt;=G3470+Assumptions!$C$7,1,0),0),0)</f>
        <v/>
      </c>
      <c r="W3470">
        <f>IF(AND(U3470=1,M3470&gt;=H3470*(1-Assumptions!$C$8)),1,0)</f>
        <v/>
      </c>
      <c r="X3470">
        <f>IF(AND(U3470=1,N3470&gt;=H3470*(1-Assumptions!$C$8)),1,0)</f>
        <v/>
      </c>
      <c r="Y3470">
        <f>IF(ISNUMBER(Q3470),1,0)</f>
        <v/>
      </c>
      <c r="Z3470">
        <f>IF(AND(K3470=0,L3470=0,Y3470=0),1,0)</f>
        <v/>
      </c>
      <c r="AA3470">
        <f>IF(AND(Z3470=1,G3470&lt;Assumptions!$C$6),1,0)</f>
        <v/>
      </c>
      <c r="AB3470">
        <f>IF(U3470=0,"",IF(Y3470=1,MAX(0,Q3470-G3470),IF(L3470=1,MAX(0,R3470-G3470),MAX(0,Assumptions!$C$6-G3470))))</f>
        <v/>
      </c>
      <c r="AC3470">
        <f>IF(Y3470=1,Q3470-F3470,"")</f>
        <v/>
      </c>
      <c r="AD3470">
        <f>IF(Y3470=1,AC3470^2,"")</f>
        <v/>
      </c>
      <c r="AE3470" s="19">
        <f>IF(Z3470=1,(H3470-M3470)*I3470,0)</f>
        <v/>
      </c>
      <c r="AF3470">
        <f>IF(G3470&lt;EDATE(Assumptions!$C$6,-12)+1,"prior_12m","last_12m")</f>
        <v/>
      </c>
      <c r="AG3470" s="21">
        <f>DATE(YEAR(G3470),MONTH(G3470),1)</f>
        <v/>
      </c>
    </row>
    <row r="3471">
      <c r="A3471" t="inlineStr">
        <is>
          <t>SPO-01855-1</t>
        </is>
      </c>
      <c r="B3471" t="inlineStr">
        <is>
          <t>SPO-01855</t>
        </is>
      </c>
      <c r="C3471" t="inlineStr">
        <is>
          <t>SUP-05</t>
        </is>
      </c>
      <c r="D3471" t="inlineStr">
        <is>
          <t>FLEET</t>
        </is>
      </c>
      <c r="E3471" t="inlineStr">
        <is>
          <t>FLEET-03</t>
        </is>
      </c>
      <c r="F3471" s="17" t="n">
        <v>46085</v>
      </c>
      <c r="G3471" s="17" t="n">
        <v>46099</v>
      </c>
      <c r="H3471" s="18" t="n">
        <v>71</v>
      </c>
      <c r="I3471" s="19" t="n">
        <v>21.23</v>
      </c>
      <c r="J3471" s="19" t="n">
        <v>21</v>
      </c>
      <c r="K3471" s="20" t="n">
        <v>0</v>
      </c>
      <c r="L3471" s="20" t="n">
        <v>0</v>
      </c>
      <c r="M3471" s="18" t="n">
        <v>71</v>
      </c>
      <c r="N3471" s="18" t="n">
        <v>71</v>
      </c>
      <c r="O3471" s="18" t="n">
        <v>0</v>
      </c>
      <c r="P3471" s="17" t="n">
        <v>46097</v>
      </c>
      <c r="Q3471" s="17" t="n">
        <v>46097</v>
      </c>
      <c r="R3471" s="17" t="n">
        <v>46097</v>
      </c>
      <c r="S3471" s="19">
        <f>H3471*I3471</f>
        <v/>
      </c>
      <c r="T3471" s="19">
        <f>H3471*J3471</f>
        <v/>
      </c>
      <c r="U3471">
        <f>IF(AND(K3471=0,G3471&lt;=Assumptions!$C$6),1,0)</f>
        <v/>
      </c>
      <c r="V3471">
        <f>IF(U3471=1,IF(M3471&gt;0,IF(P3471&lt;=G3471+Assumptions!$C$7,1,0),0),0)</f>
        <v/>
      </c>
      <c r="W3471">
        <f>IF(AND(U3471=1,M3471&gt;=H3471*(1-Assumptions!$C$8)),1,0)</f>
        <v/>
      </c>
      <c r="X3471">
        <f>IF(AND(U3471=1,N3471&gt;=H3471*(1-Assumptions!$C$8)),1,0)</f>
        <v/>
      </c>
      <c r="Y3471">
        <f>IF(ISNUMBER(Q3471),1,0)</f>
        <v/>
      </c>
      <c r="Z3471">
        <f>IF(AND(K3471=0,L3471=0,Y3471=0),1,0)</f>
        <v/>
      </c>
      <c r="AA3471">
        <f>IF(AND(Z3471=1,G3471&lt;Assumptions!$C$6),1,0)</f>
        <v/>
      </c>
      <c r="AB3471">
        <f>IF(U3471=0,"",IF(Y3471=1,MAX(0,Q3471-G3471),IF(L3471=1,MAX(0,R3471-G3471),MAX(0,Assumptions!$C$6-G3471))))</f>
        <v/>
      </c>
      <c r="AC3471">
        <f>IF(Y3471=1,Q3471-F3471,"")</f>
        <v/>
      </c>
      <c r="AD3471">
        <f>IF(Y3471=1,AC3471^2,"")</f>
        <v/>
      </c>
      <c r="AE3471" s="19">
        <f>IF(Z3471=1,(H3471-M3471)*I3471,0)</f>
        <v/>
      </c>
      <c r="AF3471">
        <f>IF(G3471&lt;EDATE(Assumptions!$C$6,-12)+1,"prior_12m","last_12m")</f>
        <v/>
      </c>
      <c r="AG3471" s="21">
        <f>DATE(YEAR(G3471),MONTH(G3471),1)</f>
        <v/>
      </c>
    </row>
    <row r="3472">
      <c r="A3472" t="inlineStr">
        <is>
          <t>SPO-01855-2</t>
        </is>
      </c>
      <c r="B3472" t="inlineStr">
        <is>
          <t>SPO-01855</t>
        </is>
      </c>
      <c r="C3472" t="inlineStr">
        <is>
          <t>SUP-05</t>
        </is>
      </c>
      <c r="D3472" t="inlineStr">
        <is>
          <t>FLEET</t>
        </is>
      </c>
      <c r="E3472" t="inlineStr">
        <is>
          <t>FLEET-04</t>
        </is>
      </c>
      <c r="F3472" s="17" t="n">
        <v>46085</v>
      </c>
      <c r="G3472" s="17" t="n">
        <v>46099</v>
      </c>
      <c r="H3472" s="18" t="n">
        <v>162</v>
      </c>
      <c r="I3472" s="19" t="n">
        <v>9.51</v>
      </c>
      <c r="J3472" s="19" t="n">
        <v>9</v>
      </c>
      <c r="K3472" s="20" t="n">
        <v>0</v>
      </c>
      <c r="L3472" s="20" t="n">
        <v>0</v>
      </c>
      <c r="M3472" s="18" t="n">
        <v>162</v>
      </c>
      <c r="N3472" s="18" t="n">
        <v>162</v>
      </c>
      <c r="O3472" s="18" t="n">
        <v>0</v>
      </c>
      <c r="P3472" s="17" t="n">
        <v>46096</v>
      </c>
      <c r="Q3472" s="17" t="n">
        <v>46096</v>
      </c>
      <c r="R3472" s="17" t="n">
        <v>46096</v>
      </c>
      <c r="S3472" s="19">
        <f>H3472*I3472</f>
        <v/>
      </c>
      <c r="T3472" s="19">
        <f>H3472*J3472</f>
        <v/>
      </c>
      <c r="U3472">
        <f>IF(AND(K3472=0,G3472&lt;=Assumptions!$C$6),1,0)</f>
        <v/>
      </c>
      <c r="V3472">
        <f>IF(U3472=1,IF(M3472&gt;0,IF(P3472&lt;=G3472+Assumptions!$C$7,1,0),0),0)</f>
        <v/>
      </c>
      <c r="W3472">
        <f>IF(AND(U3472=1,M3472&gt;=H3472*(1-Assumptions!$C$8)),1,0)</f>
        <v/>
      </c>
      <c r="X3472">
        <f>IF(AND(U3472=1,N3472&gt;=H3472*(1-Assumptions!$C$8)),1,0)</f>
        <v/>
      </c>
      <c r="Y3472">
        <f>IF(ISNUMBER(Q3472),1,0)</f>
        <v/>
      </c>
      <c r="Z3472">
        <f>IF(AND(K3472=0,L3472=0,Y3472=0),1,0)</f>
        <v/>
      </c>
      <c r="AA3472">
        <f>IF(AND(Z3472=1,G3472&lt;Assumptions!$C$6),1,0)</f>
        <v/>
      </c>
      <c r="AB3472">
        <f>IF(U3472=0,"",IF(Y3472=1,MAX(0,Q3472-G3472),IF(L3472=1,MAX(0,R3472-G3472),MAX(0,Assumptions!$C$6-G3472))))</f>
        <v/>
      </c>
      <c r="AC3472">
        <f>IF(Y3472=1,Q3472-F3472,"")</f>
        <v/>
      </c>
      <c r="AD3472">
        <f>IF(Y3472=1,AC3472^2,"")</f>
        <v/>
      </c>
      <c r="AE3472" s="19">
        <f>IF(Z3472=1,(H3472-M3472)*I3472,0)</f>
        <v/>
      </c>
      <c r="AF3472">
        <f>IF(G3472&lt;EDATE(Assumptions!$C$6,-12)+1,"prior_12m","last_12m")</f>
        <v/>
      </c>
      <c r="AG3472" s="21">
        <f>DATE(YEAR(G3472),MONTH(G3472),1)</f>
        <v/>
      </c>
    </row>
    <row r="3473">
      <c r="A3473" t="inlineStr">
        <is>
          <t>SPO-01855-3</t>
        </is>
      </c>
      <c r="B3473" t="inlineStr">
        <is>
          <t>SPO-01855</t>
        </is>
      </c>
      <c r="C3473" t="inlineStr">
        <is>
          <t>SUP-05</t>
        </is>
      </c>
      <c r="D3473" t="inlineStr">
        <is>
          <t>FLEET</t>
        </is>
      </c>
      <c r="E3473" t="inlineStr">
        <is>
          <t>FLEET-08</t>
        </is>
      </c>
      <c r="F3473" s="17" t="n">
        <v>46085</v>
      </c>
      <c r="G3473" s="17" t="n">
        <v>46099</v>
      </c>
      <c r="H3473" s="18" t="n">
        <v>114</v>
      </c>
      <c r="I3473" s="19" t="n">
        <v>6.29</v>
      </c>
      <c r="J3473" s="19" t="n">
        <v>6.4</v>
      </c>
      <c r="K3473" s="20" t="n">
        <v>0</v>
      </c>
      <c r="L3473" s="20" t="n">
        <v>0</v>
      </c>
      <c r="M3473" s="18" t="n">
        <v>114</v>
      </c>
      <c r="N3473" s="18" t="n">
        <v>114</v>
      </c>
      <c r="O3473" s="18" t="n">
        <v>0</v>
      </c>
      <c r="P3473" s="17" t="n">
        <v>46092</v>
      </c>
      <c r="Q3473" s="17" t="n">
        <v>46092</v>
      </c>
      <c r="R3473" s="17" t="n">
        <v>46092</v>
      </c>
      <c r="S3473" s="19">
        <f>H3473*I3473</f>
        <v/>
      </c>
      <c r="T3473" s="19">
        <f>H3473*J3473</f>
        <v/>
      </c>
      <c r="U3473">
        <f>IF(AND(K3473=0,G3473&lt;=Assumptions!$C$6),1,0)</f>
        <v/>
      </c>
      <c r="V3473">
        <f>IF(U3473=1,IF(M3473&gt;0,IF(P3473&lt;=G3473+Assumptions!$C$7,1,0),0),0)</f>
        <v/>
      </c>
      <c r="W3473">
        <f>IF(AND(U3473=1,M3473&gt;=H3473*(1-Assumptions!$C$8)),1,0)</f>
        <v/>
      </c>
      <c r="X3473">
        <f>IF(AND(U3473=1,N3473&gt;=H3473*(1-Assumptions!$C$8)),1,0)</f>
        <v/>
      </c>
      <c r="Y3473">
        <f>IF(ISNUMBER(Q3473),1,0)</f>
        <v/>
      </c>
      <c r="Z3473">
        <f>IF(AND(K3473=0,L3473=0,Y3473=0),1,0)</f>
        <v/>
      </c>
      <c r="AA3473">
        <f>IF(AND(Z3473=1,G3473&lt;Assumptions!$C$6),1,0)</f>
        <v/>
      </c>
      <c r="AB3473">
        <f>IF(U3473=0,"",IF(Y3473=1,MAX(0,Q3473-G3473),IF(L3473=1,MAX(0,R3473-G3473),MAX(0,Assumptions!$C$6-G3473))))</f>
        <v/>
      </c>
      <c r="AC3473">
        <f>IF(Y3473=1,Q3473-F3473,"")</f>
        <v/>
      </c>
      <c r="AD3473">
        <f>IF(Y3473=1,AC3473^2,"")</f>
        <v/>
      </c>
      <c r="AE3473" s="19">
        <f>IF(Z3473=1,(H3473-M3473)*I3473,0)</f>
        <v/>
      </c>
      <c r="AF3473">
        <f>IF(G3473&lt;EDATE(Assumptions!$C$6,-12)+1,"prior_12m","last_12m")</f>
        <v/>
      </c>
      <c r="AG3473" s="21">
        <f>DATE(YEAR(G3473),MONTH(G3473),1)</f>
        <v/>
      </c>
    </row>
    <row r="3474">
      <c r="A3474" t="inlineStr">
        <is>
          <t>SPO-01855-4</t>
        </is>
      </c>
      <c r="B3474" t="inlineStr">
        <is>
          <t>SPO-01855</t>
        </is>
      </c>
      <c r="C3474" t="inlineStr">
        <is>
          <t>SUP-05</t>
        </is>
      </c>
      <c r="D3474" t="inlineStr">
        <is>
          <t>FLEET</t>
        </is>
      </c>
      <c r="E3474" t="inlineStr">
        <is>
          <t>FLEET-01</t>
        </is>
      </c>
      <c r="F3474" s="17" t="n">
        <v>46085</v>
      </c>
      <c r="G3474" s="17" t="n">
        <v>46099</v>
      </c>
      <c r="H3474" s="18" t="n">
        <v>19</v>
      </c>
      <c r="I3474" s="19" t="n">
        <v>64.41</v>
      </c>
      <c r="J3474" s="19" t="n">
        <v>64</v>
      </c>
      <c r="K3474" s="20" t="n">
        <v>0</v>
      </c>
      <c r="L3474" s="20" t="n">
        <v>0</v>
      </c>
      <c r="M3474" s="18" t="n">
        <v>19</v>
      </c>
      <c r="N3474" s="18" t="n">
        <v>19</v>
      </c>
      <c r="O3474" s="18" t="n">
        <v>0</v>
      </c>
      <c r="P3474" s="17" t="n">
        <v>46094</v>
      </c>
      <c r="Q3474" s="17" t="n">
        <v>46094</v>
      </c>
      <c r="R3474" s="17" t="n">
        <v>46094</v>
      </c>
      <c r="S3474" s="19">
        <f>H3474*I3474</f>
        <v/>
      </c>
      <c r="T3474" s="19">
        <f>H3474*J3474</f>
        <v/>
      </c>
      <c r="U3474">
        <f>IF(AND(K3474=0,G3474&lt;=Assumptions!$C$6),1,0)</f>
        <v/>
      </c>
      <c r="V3474">
        <f>IF(U3474=1,IF(M3474&gt;0,IF(P3474&lt;=G3474+Assumptions!$C$7,1,0),0),0)</f>
        <v/>
      </c>
      <c r="W3474">
        <f>IF(AND(U3474=1,M3474&gt;=H3474*(1-Assumptions!$C$8)),1,0)</f>
        <v/>
      </c>
      <c r="X3474">
        <f>IF(AND(U3474=1,N3474&gt;=H3474*(1-Assumptions!$C$8)),1,0)</f>
        <v/>
      </c>
      <c r="Y3474">
        <f>IF(ISNUMBER(Q3474),1,0)</f>
        <v/>
      </c>
      <c r="Z3474">
        <f>IF(AND(K3474=0,L3474=0,Y3474=0),1,0)</f>
        <v/>
      </c>
      <c r="AA3474">
        <f>IF(AND(Z3474=1,G3474&lt;Assumptions!$C$6),1,0)</f>
        <v/>
      </c>
      <c r="AB3474">
        <f>IF(U3474=0,"",IF(Y3474=1,MAX(0,Q3474-G3474),IF(L3474=1,MAX(0,R3474-G3474),MAX(0,Assumptions!$C$6-G3474))))</f>
        <v/>
      </c>
      <c r="AC3474">
        <f>IF(Y3474=1,Q3474-F3474,"")</f>
        <v/>
      </c>
      <c r="AD3474">
        <f>IF(Y3474=1,AC3474^2,"")</f>
        <v/>
      </c>
      <c r="AE3474" s="19">
        <f>IF(Z3474=1,(H3474-M3474)*I3474,0)</f>
        <v/>
      </c>
      <c r="AF3474">
        <f>IF(G3474&lt;EDATE(Assumptions!$C$6,-12)+1,"prior_12m","last_12m")</f>
        <v/>
      </c>
      <c r="AG3474" s="21">
        <f>DATE(YEAR(G3474),MONTH(G3474),1)</f>
        <v/>
      </c>
    </row>
    <row r="3475">
      <c r="A3475" t="inlineStr">
        <is>
          <t>SPO-01856-1</t>
        </is>
      </c>
      <c r="B3475" t="inlineStr">
        <is>
          <t>SPO-01856</t>
        </is>
      </c>
      <c r="C3475" t="inlineStr">
        <is>
          <t>SUP-01</t>
        </is>
      </c>
      <c r="D3475" t="inlineStr">
        <is>
          <t>ELEC</t>
        </is>
      </c>
      <c r="E3475" t="inlineStr">
        <is>
          <t>ELEC-05</t>
        </is>
      </c>
      <c r="F3475" s="17" t="n">
        <v>46085</v>
      </c>
      <c r="G3475" s="17" t="n">
        <v>46103</v>
      </c>
      <c r="H3475" s="18" t="n">
        <v>349</v>
      </c>
      <c r="I3475" s="19" t="n">
        <v>11.67</v>
      </c>
      <c r="J3475" s="19" t="n">
        <v>11.5</v>
      </c>
      <c r="K3475" s="20" t="n">
        <v>0</v>
      </c>
      <c r="L3475" s="20" t="n">
        <v>0</v>
      </c>
      <c r="M3475" s="18" t="n">
        <v>349</v>
      </c>
      <c r="N3475" s="18" t="n">
        <v>349</v>
      </c>
      <c r="O3475" s="18" t="n">
        <v>0</v>
      </c>
      <c r="P3475" s="17" t="n">
        <v>46100</v>
      </c>
      <c r="Q3475" s="17" t="n">
        <v>46100</v>
      </c>
      <c r="R3475" s="17" t="n">
        <v>46100</v>
      </c>
      <c r="S3475" s="19">
        <f>H3475*I3475</f>
        <v/>
      </c>
      <c r="T3475" s="19">
        <f>H3475*J3475</f>
        <v/>
      </c>
      <c r="U3475">
        <f>IF(AND(K3475=0,G3475&lt;=Assumptions!$C$6),1,0)</f>
        <v/>
      </c>
      <c r="V3475">
        <f>IF(U3475=1,IF(M3475&gt;0,IF(P3475&lt;=G3475+Assumptions!$C$7,1,0),0),0)</f>
        <v/>
      </c>
      <c r="W3475">
        <f>IF(AND(U3475=1,M3475&gt;=H3475*(1-Assumptions!$C$8)),1,0)</f>
        <v/>
      </c>
      <c r="X3475">
        <f>IF(AND(U3475=1,N3475&gt;=H3475*(1-Assumptions!$C$8)),1,0)</f>
        <v/>
      </c>
      <c r="Y3475">
        <f>IF(ISNUMBER(Q3475),1,0)</f>
        <v/>
      </c>
      <c r="Z3475">
        <f>IF(AND(K3475=0,L3475=0,Y3475=0),1,0)</f>
        <v/>
      </c>
      <c r="AA3475">
        <f>IF(AND(Z3475=1,G3475&lt;Assumptions!$C$6),1,0)</f>
        <v/>
      </c>
      <c r="AB3475">
        <f>IF(U3475=0,"",IF(Y3475=1,MAX(0,Q3475-G3475),IF(L3475=1,MAX(0,R3475-G3475),MAX(0,Assumptions!$C$6-G3475))))</f>
        <v/>
      </c>
      <c r="AC3475">
        <f>IF(Y3475=1,Q3475-F3475,"")</f>
        <v/>
      </c>
      <c r="AD3475">
        <f>IF(Y3475=1,AC3475^2,"")</f>
        <v/>
      </c>
      <c r="AE3475" s="19">
        <f>IF(Z3475=1,(H3475-M3475)*I3475,0)</f>
        <v/>
      </c>
      <c r="AF3475">
        <f>IF(G3475&lt;EDATE(Assumptions!$C$6,-12)+1,"prior_12m","last_12m")</f>
        <v/>
      </c>
      <c r="AG3475" s="21">
        <f>DATE(YEAR(G3475),MONTH(G3475),1)</f>
        <v/>
      </c>
    </row>
    <row r="3476">
      <c r="A3476" t="inlineStr">
        <is>
          <t>SPO-01856-2</t>
        </is>
      </c>
      <c r="B3476" t="inlineStr">
        <is>
          <t>SPO-01856</t>
        </is>
      </c>
      <c r="C3476" t="inlineStr">
        <is>
          <t>SUP-01</t>
        </is>
      </c>
      <c r="D3476" t="inlineStr">
        <is>
          <t>ELEC</t>
        </is>
      </c>
      <c r="E3476" t="inlineStr">
        <is>
          <t>ELEC-08</t>
        </is>
      </c>
      <c r="F3476" s="17" t="n">
        <v>46085</v>
      </c>
      <c r="G3476" s="17" t="n">
        <v>46103</v>
      </c>
      <c r="H3476" s="18" t="n">
        <v>179</v>
      </c>
      <c r="I3476" s="19" t="n">
        <v>16.71</v>
      </c>
      <c r="J3476" s="19" t="n">
        <v>18</v>
      </c>
      <c r="K3476" s="20" t="n">
        <v>0</v>
      </c>
      <c r="L3476" s="20" t="n">
        <v>0</v>
      </c>
      <c r="M3476" s="18" t="n">
        <v>179</v>
      </c>
      <c r="N3476" s="18" t="n">
        <v>0</v>
      </c>
      <c r="O3476" s="18" t="n">
        <v>0</v>
      </c>
      <c r="P3476" s="17" t="n">
        <v>46108</v>
      </c>
      <c r="Q3476" s="17" t="n">
        <v>46108</v>
      </c>
      <c r="R3476" s="17" t="n">
        <v>46108</v>
      </c>
      <c r="S3476" s="19">
        <f>H3476*I3476</f>
        <v/>
      </c>
      <c r="T3476" s="19">
        <f>H3476*J3476</f>
        <v/>
      </c>
      <c r="U3476">
        <f>IF(AND(K3476=0,G3476&lt;=Assumptions!$C$6),1,0)</f>
        <v/>
      </c>
      <c r="V3476">
        <f>IF(U3476=1,IF(M3476&gt;0,IF(P3476&lt;=G3476+Assumptions!$C$7,1,0),0),0)</f>
        <v/>
      </c>
      <c r="W3476">
        <f>IF(AND(U3476=1,M3476&gt;=H3476*(1-Assumptions!$C$8)),1,0)</f>
        <v/>
      </c>
      <c r="X3476">
        <f>IF(AND(U3476=1,N3476&gt;=H3476*(1-Assumptions!$C$8)),1,0)</f>
        <v/>
      </c>
      <c r="Y3476">
        <f>IF(ISNUMBER(Q3476),1,0)</f>
        <v/>
      </c>
      <c r="Z3476">
        <f>IF(AND(K3476=0,L3476=0,Y3476=0),1,0)</f>
        <v/>
      </c>
      <c r="AA3476">
        <f>IF(AND(Z3476=1,G3476&lt;Assumptions!$C$6),1,0)</f>
        <v/>
      </c>
      <c r="AB3476">
        <f>IF(U3476=0,"",IF(Y3476=1,MAX(0,Q3476-G3476),IF(L3476=1,MAX(0,R3476-G3476),MAX(0,Assumptions!$C$6-G3476))))</f>
        <v/>
      </c>
      <c r="AC3476">
        <f>IF(Y3476=1,Q3476-F3476,"")</f>
        <v/>
      </c>
      <c r="AD3476">
        <f>IF(Y3476=1,AC3476^2,"")</f>
        <v/>
      </c>
      <c r="AE3476" s="19">
        <f>IF(Z3476=1,(H3476-M3476)*I3476,0)</f>
        <v/>
      </c>
      <c r="AF3476">
        <f>IF(G3476&lt;EDATE(Assumptions!$C$6,-12)+1,"prior_12m","last_12m")</f>
        <v/>
      </c>
      <c r="AG3476" s="21">
        <f>DATE(YEAR(G3476),MONTH(G3476),1)</f>
        <v/>
      </c>
    </row>
    <row r="3477">
      <c r="A3477" t="inlineStr">
        <is>
          <t>SPO-01857-1</t>
        </is>
      </c>
      <c r="B3477" t="inlineStr">
        <is>
          <t>SPO-01857</t>
        </is>
      </c>
      <c r="C3477" t="inlineStr">
        <is>
          <t>SUP-02</t>
        </is>
      </c>
      <c r="D3477" t="inlineStr">
        <is>
          <t>ELEC</t>
        </is>
      </c>
      <c r="E3477" t="inlineStr">
        <is>
          <t>ELEC-04</t>
        </is>
      </c>
      <c r="F3477" s="17" t="n">
        <v>46085</v>
      </c>
      <c r="G3477" s="17" t="n">
        <v>46101</v>
      </c>
      <c r="H3477" s="18" t="n">
        <v>23</v>
      </c>
      <c r="I3477" s="19" t="n">
        <v>69.88</v>
      </c>
      <c r="J3477" s="19" t="n">
        <v>72</v>
      </c>
      <c r="K3477" s="20" t="n">
        <v>0</v>
      </c>
      <c r="L3477" s="20" t="n">
        <v>0</v>
      </c>
      <c r="M3477" s="18" t="n">
        <v>23</v>
      </c>
      <c r="N3477" s="18" t="n">
        <v>23</v>
      </c>
      <c r="O3477" s="18" t="n">
        <v>0</v>
      </c>
      <c r="P3477" s="17" t="n">
        <v>46096</v>
      </c>
      <c r="Q3477" s="17" t="n">
        <v>46096</v>
      </c>
      <c r="R3477" s="17" t="n">
        <v>46096</v>
      </c>
      <c r="S3477" s="19">
        <f>H3477*I3477</f>
        <v/>
      </c>
      <c r="T3477" s="19">
        <f>H3477*J3477</f>
        <v/>
      </c>
      <c r="U3477">
        <f>IF(AND(K3477=0,G3477&lt;=Assumptions!$C$6),1,0)</f>
        <v/>
      </c>
      <c r="V3477">
        <f>IF(U3477=1,IF(M3477&gt;0,IF(P3477&lt;=G3477+Assumptions!$C$7,1,0),0),0)</f>
        <v/>
      </c>
      <c r="W3477">
        <f>IF(AND(U3477=1,M3477&gt;=H3477*(1-Assumptions!$C$8)),1,0)</f>
        <v/>
      </c>
      <c r="X3477">
        <f>IF(AND(U3477=1,N3477&gt;=H3477*(1-Assumptions!$C$8)),1,0)</f>
        <v/>
      </c>
      <c r="Y3477">
        <f>IF(ISNUMBER(Q3477),1,0)</f>
        <v/>
      </c>
      <c r="Z3477">
        <f>IF(AND(K3477=0,L3477=0,Y3477=0),1,0)</f>
        <v/>
      </c>
      <c r="AA3477">
        <f>IF(AND(Z3477=1,G3477&lt;Assumptions!$C$6),1,0)</f>
        <v/>
      </c>
      <c r="AB3477">
        <f>IF(U3477=0,"",IF(Y3477=1,MAX(0,Q3477-G3477),IF(L3477=1,MAX(0,R3477-G3477),MAX(0,Assumptions!$C$6-G3477))))</f>
        <v/>
      </c>
      <c r="AC3477">
        <f>IF(Y3477=1,Q3477-F3477,"")</f>
        <v/>
      </c>
      <c r="AD3477">
        <f>IF(Y3477=1,AC3477^2,"")</f>
        <v/>
      </c>
      <c r="AE3477" s="19">
        <f>IF(Z3477=1,(H3477-M3477)*I3477,0)</f>
        <v/>
      </c>
      <c r="AF3477">
        <f>IF(G3477&lt;EDATE(Assumptions!$C$6,-12)+1,"prior_12m","last_12m")</f>
        <v/>
      </c>
      <c r="AG3477" s="21">
        <f>DATE(YEAR(G3477),MONTH(G3477),1)</f>
        <v/>
      </c>
    </row>
    <row r="3478">
      <c r="A3478" t="inlineStr">
        <is>
          <t>SPO-01858-1</t>
        </is>
      </c>
      <c r="B3478" t="inlineStr">
        <is>
          <t>SPO-01858</t>
        </is>
      </c>
      <c r="C3478" t="inlineStr">
        <is>
          <t>SUP-10</t>
        </is>
      </c>
      <c r="D3478" t="inlineStr">
        <is>
          <t>PPE</t>
        </is>
      </c>
      <c r="E3478" t="inlineStr">
        <is>
          <t>PPE-04</t>
        </is>
      </c>
      <c r="F3478" s="17" t="n">
        <v>46086</v>
      </c>
      <c r="G3478" s="17" t="n">
        <v>46099</v>
      </c>
      <c r="H3478" s="18" t="n">
        <v>29</v>
      </c>
      <c r="I3478" s="19" t="n">
        <v>24.77</v>
      </c>
      <c r="J3478" s="19" t="n">
        <v>26</v>
      </c>
      <c r="K3478" s="20" t="n">
        <v>0</v>
      </c>
      <c r="L3478" s="20" t="n">
        <v>0</v>
      </c>
      <c r="M3478" s="18" t="n">
        <v>29</v>
      </c>
      <c r="N3478" s="18" t="n">
        <v>29</v>
      </c>
      <c r="O3478" s="18" t="n">
        <v>0</v>
      </c>
      <c r="P3478" s="17" t="n">
        <v>46097</v>
      </c>
      <c r="Q3478" s="17" t="n">
        <v>46097</v>
      </c>
      <c r="R3478" s="17" t="n">
        <v>46097</v>
      </c>
      <c r="S3478" s="19">
        <f>H3478*I3478</f>
        <v/>
      </c>
      <c r="T3478" s="19">
        <f>H3478*J3478</f>
        <v/>
      </c>
      <c r="U3478">
        <f>IF(AND(K3478=0,G3478&lt;=Assumptions!$C$6),1,0)</f>
        <v/>
      </c>
      <c r="V3478">
        <f>IF(U3478=1,IF(M3478&gt;0,IF(P3478&lt;=G3478+Assumptions!$C$7,1,0),0),0)</f>
        <v/>
      </c>
      <c r="W3478">
        <f>IF(AND(U3478=1,M3478&gt;=H3478*(1-Assumptions!$C$8)),1,0)</f>
        <v/>
      </c>
      <c r="X3478">
        <f>IF(AND(U3478=1,N3478&gt;=H3478*(1-Assumptions!$C$8)),1,0)</f>
        <v/>
      </c>
      <c r="Y3478">
        <f>IF(ISNUMBER(Q3478),1,0)</f>
        <v/>
      </c>
      <c r="Z3478">
        <f>IF(AND(K3478=0,L3478=0,Y3478=0),1,0)</f>
        <v/>
      </c>
      <c r="AA3478">
        <f>IF(AND(Z3478=1,G3478&lt;Assumptions!$C$6),1,0)</f>
        <v/>
      </c>
      <c r="AB3478">
        <f>IF(U3478=0,"",IF(Y3478=1,MAX(0,Q3478-G3478),IF(L3478=1,MAX(0,R3478-G3478),MAX(0,Assumptions!$C$6-G3478))))</f>
        <v/>
      </c>
      <c r="AC3478">
        <f>IF(Y3478=1,Q3478-F3478,"")</f>
        <v/>
      </c>
      <c r="AD3478">
        <f>IF(Y3478=1,AC3478^2,"")</f>
        <v/>
      </c>
      <c r="AE3478" s="19">
        <f>IF(Z3478=1,(H3478-M3478)*I3478,0)</f>
        <v/>
      </c>
      <c r="AF3478">
        <f>IF(G3478&lt;EDATE(Assumptions!$C$6,-12)+1,"prior_12m","last_12m")</f>
        <v/>
      </c>
      <c r="AG3478" s="21">
        <f>DATE(YEAR(G3478),MONTH(G3478),1)</f>
        <v/>
      </c>
    </row>
    <row r="3479">
      <c r="A3479" t="inlineStr">
        <is>
          <t>SPO-01859-1</t>
        </is>
      </c>
      <c r="B3479" t="inlineStr">
        <is>
          <t>SPO-01859</t>
        </is>
      </c>
      <c r="C3479" t="inlineStr">
        <is>
          <t>SUP-12</t>
        </is>
      </c>
      <c r="D3479" t="inlineStr">
        <is>
          <t>IT</t>
        </is>
      </c>
      <c r="E3479" t="inlineStr">
        <is>
          <t>IT-04</t>
        </is>
      </c>
      <c r="F3479" s="17" t="n">
        <v>46086</v>
      </c>
      <c r="G3479" s="17" t="n">
        <v>46096</v>
      </c>
      <c r="H3479" s="18" t="n">
        <v>181</v>
      </c>
      <c r="I3479" s="19" t="n">
        <v>12.9</v>
      </c>
      <c r="J3479" s="19" t="n">
        <v>12</v>
      </c>
      <c r="K3479" s="20" t="n">
        <v>0</v>
      </c>
      <c r="L3479" s="20" t="n">
        <v>0</v>
      </c>
      <c r="M3479" s="18" t="n">
        <v>181</v>
      </c>
      <c r="N3479" s="18" t="n">
        <v>181</v>
      </c>
      <c r="O3479" s="18" t="n">
        <v>0</v>
      </c>
      <c r="P3479" s="17" t="n">
        <v>46094</v>
      </c>
      <c r="Q3479" s="17" t="n">
        <v>46094</v>
      </c>
      <c r="R3479" s="17" t="n">
        <v>46094</v>
      </c>
      <c r="S3479" s="19">
        <f>H3479*I3479</f>
        <v/>
      </c>
      <c r="T3479" s="19">
        <f>H3479*J3479</f>
        <v/>
      </c>
      <c r="U3479">
        <f>IF(AND(K3479=0,G3479&lt;=Assumptions!$C$6),1,0)</f>
        <v/>
      </c>
      <c r="V3479">
        <f>IF(U3479=1,IF(M3479&gt;0,IF(P3479&lt;=G3479+Assumptions!$C$7,1,0),0),0)</f>
        <v/>
      </c>
      <c r="W3479">
        <f>IF(AND(U3479=1,M3479&gt;=H3479*(1-Assumptions!$C$8)),1,0)</f>
        <v/>
      </c>
      <c r="X3479">
        <f>IF(AND(U3479=1,N3479&gt;=H3479*(1-Assumptions!$C$8)),1,0)</f>
        <v/>
      </c>
      <c r="Y3479">
        <f>IF(ISNUMBER(Q3479),1,0)</f>
        <v/>
      </c>
      <c r="Z3479">
        <f>IF(AND(K3479=0,L3479=0,Y3479=0),1,0)</f>
        <v/>
      </c>
      <c r="AA3479">
        <f>IF(AND(Z3479=1,G3479&lt;Assumptions!$C$6),1,0)</f>
        <v/>
      </c>
      <c r="AB3479">
        <f>IF(U3479=0,"",IF(Y3479=1,MAX(0,Q3479-G3479),IF(L3479=1,MAX(0,R3479-G3479),MAX(0,Assumptions!$C$6-G3479))))</f>
        <v/>
      </c>
      <c r="AC3479">
        <f>IF(Y3479=1,Q3479-F3479,"")</f>
        <v/>
      </c>
      <c r="AD3479">
        <f>IF(Y3479=1,AC3479^2,"")</f>
        <v/>
      </c>
      <c r="AE3479" s="19">
        <f>IF(Z3479=1,(H3479-M3479)*I3479,0)</f>
        <v/>
      </c>
      <c r="AF3479">
        <f>IF(G3479&lt;EDATE(Assumptions!$C$6,-12)+1,"prior_12m","last_12m")</f>
        <v/>
      </c>
      <c r="AG3479" s="21">
        <f>DATE(YEAR(G3479),MONTH(G3479),1)</f>
        <v/>
      </c>
    </row>
    <row r="3480">
      <c r="A3480" t="inlineStr">
        <is>
          <t>SPO-01859-2</t>
        </is>
      </c>
      <c r="B3480" t="inlineStr">
        <is>
          <t>SPO-01859</t>
        </is>
      </c>
      <c r="C3480" t="inlineStr">
        <is>
          <t>SUP-12</t>
        </is>
      </c>
      <c r="D3480" t="inlineStr">
        <is>
          <t>IT</t>
        </is>
      </c>
      <c r="E3480" t="inlineStr">
        <is>
          <t>IT-03</t>
        </is>
      </c>
      <c r="F3480" s="17" t="n">
        <v>46086</v>
      </c>
      <c r="G3480" s="17" t="n">
        <v>46096</v>
      </c>
      <c r="H3480" s="18" t="n">
        <v>27</v>
      </c>
      <c r="I3480" s="19" t="n">
        <v>43.08</v>
      </c>
      <c r="J3480" s="19" t="n">
        <v>38</v>
      </c>
      <c r="K3480" s="20" t="n">
        <v>0</v>
      </c>
      <c r="L3480" s="20" t="n">
        <v>0</v>
      </c>
      <c r="M3480" s="18" t="n">
        <v>27</v>
      </c>
      <c r="N3480" s="18" t="n">
        <v>27</v>
      </c>
      <c r="O3480" s="18" t="n">
        <v>8</v>
      </c>
      <c r="P3480" s="17" t="n">
        <v>46091</v>
      </c>
      <c r="Q3480" s="17" t="n">
        <v>46091</v>
      </c>
      <c r="R3480" s="17" t="n">
        <v>46091</v>
      </c>
      <c r="S3480" s="19">
        <f>H3480*I3480</f>
        <v/>
      </c>
      <c r="T3480" s="19">
        <f>H3480*J3480</f>
        <v/>
      </c>
      <c r="U3480">
        <f>IF(AND(K3480=0,G3480&lt;=Assumptions!$C$6),1,0)</f>
        <v/>
      </c>
      <c r="V3480">
        <f>IF(U3480=1,IF(M3480&gt;0,IF(P3480&lt;=G3480+Assumptions!$C$7,1,0),0),0)</f>
        <v/>
      </c>
      <c r="W3480">
        <f>IF(AND(U3480=1,M3480&gt;=H3480*(1-Assumptions!$C$8)),1,0)</f>
        <v/>
      </c>
      <c r="X3480">
        <f>IF(AND(U3480=1,N3480&gt;=H3480*(1-Assumptions!$C$8)),1,0)</f>
        <v/>
      </c>
      <c r="Y3480">
        <f>IF(ISNUMBER(Q3480),1,0)</f>
        <v/>
      </c>
      <c r="Z3480">
        <f>IF(AND(K3480=0,L3480=0,Y3480=0),1,0)</f>
        <v/>
      </c>
      <c r="AA3480">
        <f>IF(AND(Z3480=1,G3480&lt;Assumptions!$C$6),1,0)</f>
        <v/>
      </c>
      <c r="AB3480">
        <f>IF(U3480=0,"",IF(Y3480=1,MAX(0,Q3480-G3480),IF(L3480=1,MAX(0,R3480-G3480),MAX(0,Assumptions!$C$6-G3480))))</f>
        <v/>
      </c>
      <c r="AC3480">
        <f>IF(Y3480=1,Q3480-F3480,"")</f>
        <v/>
      </c>
      <c r="AD3480">
        <f>IF(Y3480=1,AC3480^2,"")</f>
        <v/>
      </c>
      <c r="AE3480" s="19">
        <f>IF(Z3480=1,(H3480-M3480)*I3480,0)</f>
        <v/>
      </c>
      <c r="AF3480">
        <f>IF(G3480&lt;EDATE(Assumptions!$C$6,-12)+1,"prior_12m","last_12m")</f>
        <v/>
      </c>
      <c r="AG3480" s="21">
        <f>DATE(YEAR(G3480),MONTH(G3480),1)</f>
        <v/>
      </c>
    </row>
    <row r="3481">
      <c r="A3481" t="inlineStr">
        <is>
          <t>SPO-01860-1</t>
        </is>
      </c>
      <c r="B3481" t="inlineStr">
        <is>
          <t>SPO-01860</t>
        </is>
      </c>
      <c r="C3481" t="inlineStr">
        <is>
          <t>SUP-02</t>
        </is>
      </c>
      <c r="D3481" t="inlineStr">
        <is>
          <t>ELEC</t>
        </is>
      </c>
      <c r="E3481" t="inlineStr">
        <is>
          <t>ELEC-01</t>
        </is>
      </c>
      <c r="F3481" s="17" t="n">
        <v>46086</v>
      </c>
      <c r="G3481" s="17" t="n">
        <v>46102</v>
      </c>
      <c r="H3481" s="18" t="n">
        <v>35</v>
      </c>
      <c r="I3481" s="19" t="n">
        <v>36.56</v>
      </c>
      <c r="J3481" s="19" t="n">
        <v>38</v>
      </c>
      <c r="K3481" s="20" t="n">
        <v>0</v>
      </c>
      <c r="L3481" s="20" t="n">
        <v>0</v>
      </c>
      <c r="M3481" s="18" t="n">
        <v>35</v>
      </c>
      <c r="N3481" s="18" t="n">
        <v>35</v>
      </c>
      <c r="O3481" s="18" t="n">
        <v>0</v>
      </c>
      <c r="P3481" s="17" t="n">
        <v>46099</v>
      </c>
      <c r="Q3481" s="17" t="n">
        <v>46099</v>
      </c>
      <c r="R3481" s="17" t="n">
        <v>46099</v>
      </c>
      <c r="S3481" s="19">
        <f>H3481*I3481</f>
        <v/>
      </c>
      <c r="T3481" s="19">
        <f>H3481*J3481</f>
        <v/>
      </c>
      <c r="U3481">
        <f>IF(AND(K3481=0,G3481&lt;=Assumptions!$C$6),1,0)</f>
        <v/>
      </c>
      <c r="V3481">
        <f>IF(U3481=1,IF(M3481&gt;0,IF(P3481&lt;=G3481+Assumptions!$C$7,1,0),0),0)</f>
        <v/>
      </c>
      <c r="W3481">
        <f>IF(AND(U3481=1,M3481&gt;=H3481*(1-Assumptions!$C$8)),1,0)</f>
        <v/>
      </c>
      <c r="X3481">
        <f>IF(AND(U3481=1,N3481&gt;=H3481*(1-Assumptions!$C$8)),1,0)</f>
        <v/>
      </c>
      <c r="Y3481">
        <f>IF(ISNUMBER(Q3481),1,0)</f>
        <v/>
      </c>
      <c r="Z3481">
        <f>IF(AND(K3481=0,L3481=0,Y3481=0),1,0)</f>
        <v/>
      </c>
      <c r="AA3481">
        <f>IF(AND(Z3481=1,G3481&lt;Assumptions!$C$6),1,0)</f>
        <v/>
      </c>
      <c r="AB3481">
        <f>IF(U3481=0,"",IF(Y3481=1,MAX(0,Q3481-G3481),IF(L3481=1,MAX(0,R3481-G3481),MAX(0,Assumptions!$C$6-G3481))))</f>
        <v/>
      </c>
      <c r="AC3481">
        <f>IF(Y3481=1,Q3481-F3481,"")</f>
        <v/>
      </c>
      <c r="AD3481">
        <f>IF(Y3481=1,AC3481^2,"")</f>
        <v/>
      </c>
      <c r="AE3481" s="19">
        <f>IF(Z3481=1,(H3481-M3481)*I3481,0)</f>
        <v/>
      </c>
      <c r="AF3481">
        <f>IF(G3481&lt;EDATE(Assumptions!$C$6,-12)+1,"prior_12m","last_12m")</f>
        <v/>
      </c>
      <c r="AG3481" s="21">
        <f>DATE(YEAR(G3481),MONTH(G3481),1)</f>
        <v/>
      </c>
    </row>
    <row r="3482">
      <c r="A3482" t="inlineStr">
        <is>
          <t>SPO-01861-1</t>
        </is>
      </c>
      <c r="B3482" t="inlineStr">
        <is>
          <t>SPO-01861</t>
        </is>
      </c>
      <c r="C3482" t="inlineStr">
        <is>
          <t>SUP-04</t>
        </is>
      </c>
      <c r="D3482" t="inlineStr">
        <is>
          <t>FLEET</t>
        </is>
      </c>
      <c r="E3482" t="inlineStr">
        <is>
          <t>FLEET-02</t>
        </is>
      </c>
      <c r="F3482" s="17" t="n">
        <v>46087</v>
      </c>
      <c r="G3482" s="17" t="n">
        <v>46100</v>
      </c>
      <c r="H3482" s="18" t="n">
        <v>177</v>
      </c>
      <c r="I3482" s="19" t="n">
        <v>7.41</v>
      </c>
      <c r="J3482" s="19" t="n">
        <v>7.5</v>
      </c>
      <c r="K3482" s="20" t="n">
        <v>0</v>
      </c>
      <c r="L3482" s="20" t="n">
        <v>0</v>
      </c>
      <c r="M3482" s="18" t="n">
        <v>177</v>
      </c>
      <c r="N3482" s="18" t="n">
        <v>177</v>
      </c>
      <c r="O3482" s="18" t="n">
        <v>0</v>
      </c>
      <c r="P3482" s="17" t="n">
        <v>46096</v>
      </c>
      <c r="Q3482" s="17" t="n">
        <v>46096</v>
      </c>
      <c r="R3482" s="17" t="n">
        <v>46096</v>
      </c>
      <c r="S3482" s="19">
        <f>H3482*I3482</f>
        <v/>
      </c>
      <c r="T3482" s="19">
        <f>H3482*J3482</f>
        <v/>
      </c>
      <c r="U3482">
        <f>IF(AND(K3482=0,G3482&lt;=Assumptions!$C$6),1,0)</f>
        <v/>
      </c>
      <c r="V3482">
        <f>IF(U3482=1,IF(M3482&gt;0,IF(P3482&lt;=G3482+Assumptions!$C$7,1,0),0),0)</f>
        <v/>
      </c>
      <c r="W3482">
        <f>IF(AND(U3482=1,M3482&gt;=H3482*(1-Assumptions!$C$8)),1,0)</f>
        <v/>
      </c>
      <c r="X3482">
        <f>IF(AND(U3482=1,N3482&gt;=H3482*(1-Assumptions!$C$8)),1,0)</f>
        <v/>
      </c>
      <c r="Y3482">
        <f>IF(ISNUMBER(Q3482),1,0)</f>
        <v/>
      </c>
      <c r="Z3482">
        <f>IF(AND(K3482=0,L3482=0,Y3482=0),1,0)</f>
        <v/>
      </c>
      <c r="AA3482">
        <f>IF(AND(Z3482=1,G3482&lt;Assumptions!$C$6),1,0)</f>
        <v/>
      </c>
      <c r="AB3482">
        <f>IF(U3482=0,"",IF(Y3482=1,MAX(0,Q3482-G3482),IF(L3482=1,MAX(0,R3482-G3482),MAX(0,Assumptions!$C$6-G3482))))</f>
        <v/>
      </c>
      <c r="AC3482">
        <f>IF(Y3482=1,Q3482-F3482,"")</f>
        <v/>
      </c>
      <c r="AD3482">
        <f>IF(Y3482=1,AC3482^2,"")</f>
        <v/>
      </c>
      <c r="AE3482" s="19">
        <f>IF(Z3482=1,(H3482-M3482)*I3482,0)</f>
        <v/>
      </c>
      <c r="AF3482">
        <f>IF(G3482&lt;EDATE(Assumptions!$C$6,-12)+1,"prior_12m","last_12m")</f>
        <v/>
      </c>
      <c r="AG3482" s="21">
        <f>DATE(YEAR(G3482),MONTH(G3482),1)</f>
        <v/>
      </c>
    </row>
    <row r="3483">
      <c r="A3483" t="inlineStr">
        <is>
          <t>SPO-01861-2</t>
        </is>
      </c>
      <c r="B3483" t="inlineStr">
        <is>
          <t>SPO-01861</t>
        </is>
      </c>
      <c r="C3483" t="inlineStr">
        <is>
          <t>SUP-04</t>
        </is>
      </c>
      <c r="D3483" t="inlineStr">
        <is>
          <t>FLEET</t>
        </is>
      </c>
      <c r="E3483" t="inlineStr">
        <is>
          <t>FLEET-01</t>
        </is>
      </c>
      <c r="F3483" s="17" t="n">
        <v>46087</v>
      </c>
      <c r="G3483" s="17" t="n">
        <v>46100</v>
      </c>
      <c r="H3483" s="18" t="n">
        <v>39</v>
      </c>
      <c r="I3483" s="19" t="n">
        <v>65.34</v>
      </c>
      <c r="J3483" s="19" t="n">
        <v>64</v>
      </c>
      <c r="K3483" s="20" t="n">
        <v>0</v>
      </c>
      <c r="L3483" s="20" t="n">
        <v>0</v>
      </c>
      <c r="M3483" s="18" t="n">
        <v>39</v>
      </c>
      <c r="N3483" s="18" t="n">
        <v>39</v>
      </c>
      <c r="O3483" s="18" t="n">
        <v>0</v>
      </c>
      <c r="P3483" s="17" t="n">
        <v>46097</v>
      </c>
      <c r="Q3483" s="17" t="n">
        <v>46097</v>
      </c>
      <c r="R3483" s="17" t="n">
        <v>46097</v>
      </c>
      <c r="S3483" s="19">
        <f>H3483*I3483</f>
        <v/>
      </c>
      <c r="T3483" s="19">
        <f>H3483*J3483</f>
        <v/>
      </c>
      <c r="U3483">
        <f>IF(AND(K3483=0,G3483&lt;=Assumptions!$C$6),1,0)</f>
        <v/>
      </c>
      <c r="V3483">
        <f>IF(U3483=1,IF(M3483&gt;0,IF(P3483&lt;=G3483+Assumptions!$C$7,1,0),0),0)</f>
        <v/>
      </c>
      <c r="W3483">
        <f>IF(AND(U3483=1,M3483&gt;=H3483*(1-Assumptions!$C$8)),1,0)</f>
        <v/>
      </c>
      <c r="X3483">
        <f>IF(AND(U3483=1,N3483&gt;=H3483*(1-Assumptions!$C$8)),1,0)</f>
        <v/>
      </c>
      <c r="Y3483">
        <f>IF(ISNUMBER(Q3483),1,0)</f>
        <v/>
      </c>
      <c r="Z3483">
        <f>IF(AND(K3483=0,L3483=0,Y3483=0),1,0)</f>
        <v/>
      </c>
      <c r="AA3483">
        <f>IF(AND(Z3483=1,G3483&lt;Assumptions!$C$6),1,0)</f>
        <v/>
      </c>
      <c r="AB3483">
        <f>IF(U3483=0,"",IF(Y3483=1,MAX(0,Q3483-G3483),IF(L3483=1,MAX(0,R3483-G3483),MAX(0,Assumptions!$C$6-G3483))))</f>
        <v/>
      </c>
      <c r="AC3483">
        <f>IF(Y3483=1,Q3483-F3483,"")</f>
        <v/>
      </c>
      <c r="AD3483">
        <f>IF(Y3483=1,AC3483^2,"")</f>
        <v/>
      </c>
      <c r="AE3483" s="19">
        <f>IF(Z3483=1,(H3483-M3483)*I3483,0)</f>
        <v/>
      </c>
      <c r="AF3483">
        <f>IF(G3483&lt;EDATE(Assumptions!$C$6,-12)+1,"prior_12m","last_12m")</f>
        <v/>
      </c>
      <c r="AG3483" s="21">
        <f>DATE(YEAR(G3483),MONTH(G3483),1)</f>
        <v/>
      </c>
    </row>
    <row r="3484">
      <c r="A3484" t="inlineStr">
        <is>
          <t>SPO-01861-3</t>
        </is>
      </c>
      <c r="B3484" t="inlineStr">
        <is>
          <t>SPO-01861</t>
        </is>
      </c>
      <c r="C3484" t="inlineStr">
        <is>
          <t>SUP-04</t>
        </is>
      </c>
      <c r="D3484" t="inlineStr">
        <is>
          <t>FLEET</t>
        </is>
      </c>
      <c r="E3484" t="inlineStr">
        <is>
          <t>FLEET-05</t>
        </is>
      </c>
      <c r="F3484" s="17" t="n">
        <v>46087</v>
      </c>
      <c r="G3484" s="17" t="n">
        <v>46100</v>
      </c>
      <c r="H3484" s="18" t="n">
        <v>16</v>
      </c>
      <c r="I3484" s="19" t="n">
        <v>165.96</v>
      </c>
      <c r="J3484" s="19" t="n">
        <v>168</v>
      </c>
      <c r="K3484" s="20" t="n">
        <v>0</v>
      </c>
      <c r="L3484" s="20" t="n">
        <v>0</v>
      </c>
      <c r="M3484" s="18" t="n">
        <v>16</v>
      </c>
      <c r="N3484" s="18" t="n">
        <v>16</v>
      </c>
      <c r="O3484" s="18" t="n">
        <v>0</v>
      </c>
      <c r="P3484" s="17" t="n">
        <v>46095</v>
      </c>
      <c r="Q3484" s="17" t="n">
        <v>46095</v>
      </c>
      <c r="R3484" s="17" t="n">
        <v>46095</v>
      </c>
      <c r="S3484" s="19">
        <f>H3484*I3484</f>
        <v/>
      </c>
      <c r="T3484" s="19">
        <f>H3484*J3484</f>
        <v/>
      </c>
      <c r="U3484">
        <f>IF(AND(K3484=0,G3484&lt;=Assumptions!$C$6),1,0)</f>
        <v/>
      </c>
      <c r="V3484">
        <f>IF(U3484=1,IF(M3484&gt;0,IF(P3484&lt;=G3484+Assumptions!$C$7,1,0),0),0)</f>
        <v/>
      </c>
      <c r="W3484">
        <f>IF(AND(U3484=1,M3484&gt;=H3484*(1-Assumptions!$C$8)),1,0)</f>
        <v/>
      </c>
      <c r="X3484">
        <f>IF(AND(U3484=1,N3484&gt;=H3484*(1-Assumptions!$C$8)),1,0)</f>
        <v/>
      </c>
      <c r="Y3484">
        <f>IF(ISNUMBER(Q3484),1,0)</f>
        <v/>
      </c>
      <c r="Z3484">
        <f>IF(AND(K3484=0,L3484=0,Y3484=0),1,0)</f>
        <v/>
      </c>
      <c r="AA3484">
        <f>IF(AND(Z3484=1,G3484&lt;Assumptions!$C$6),1,0)</f>
        <v/>
      </c>
      <c r="AB3484">
        <f>IF(U3484=0,"",IF(Y3484=1,MAX(0,Q3484-G3484),IF(L3484=1,MAX(0,R3484-G3484),MAX(0,Assumptions!$C$6-G3484))))</f>
        <v/>
      </c>
      <c r="AC3484">
        <f>IF(Y3484=1,Q3484-F3484,"")</f>
        <v/>
      </c>
      <c r="AD3484">
        <f>IF(Y3484=1,AC3484^2,"")</f>
        <v/>
      </c>
      <c r="AE3484" s="19">
        <f>IF(Z3484=1,(H3484-M3484)*I3484,0)</f>
        <v/>
      </c>
      <c r="AF3484">
        <f>IF(G3484&lt;EDATE(Assumptions!$C$6,-12)+1,"prior_12m","last_12m")</f>
        <v/>
      </c>
      <c r="AG3484" s="21">
        <f>DATE(YEAR(G3484),MONTH(G3484),1)</f>
        <v/>
      </c>
    </row>
    <row r="3485">
      <c r="A3485" t="inlineStr">
        <is>
          <t>SPO-01862-1</t>
        </is>
      </c>
      <c r="B3485" t="inlineStr">
        <is>
          <t>SPO-01862</t>
        </is>
      </c>
      <c r="C3485" t="inlineStr">
        <is>
          <t>SUP-01</t>
        </is>
      </c>
      <c r="D3485" t="inlineStr">
        <is>
          <t>ELEC</t>
        </is>
      </c>
      <c r="E3485" t="inlineStr">
        <is>
          <t>ELEC-04</t>
        </is>
      </c>
      <c r="F3485" s="17" t="n">
        <v>46087</v>
      </c>
      <c r="G3485" s="17" t="n">
        <v>46105</v>
      </c>
      <c r="H3485" s="18" t="n">
        <v>29</v>
      </c>
      <c r="I3485" s="19" t="n">
        <v>73.56</v>
      </c>
      <c r="J3485" s="19" t="n">
        <v>72</v>
      </c>
      <c r="K3485" s="20" t="n">
        <v>0</v>
      </c>
      <c r="L3485" s="20" t="n">
        <v>0</v>
      </c>
      <c r="M3485" s="18" t="n">
        <v>29</v>
      </c>
      <c r="N3485" s="18" t="n">
        <v>29</v>
      </c>
      <c r="O3485" s="18" t="n">
        <v>0</v>
      </c>
      <c r="P3485" s="17" t="n">
        <v>46096</v>
      </c>
      <c r="Q3485" s="17" t="n">
        <v>46096</v>
      </c>
      <c r="R3485" s="17" t="n">
        <v>46096</v>
      </c>
      <c r="S3485" s="19">
        <f>H3485*I3485</f>
        <v/>
      </c>
      <c r="T3485" s="19">
        <f>H3485*J3485</f>
        <v/>
      </c>
      <c r="U3485">
        <f>IF(AND(K3485=0,G3485&lt;=Assumptions!$C$6),1,0)</f>
        <v/>
      </c>
      <c r="V3485">
        <f>IF(U3485=1,IF(M3485&gt;0,IF(P3485&lt;=G3485+Assumptions!$C$7,1,0),0),0)</f>
        <v/>
      </c>
      <c r="W3485">
        <f>IF(AND(U3485=1,M3485&gt;=H3485*(1-Assumptions!$C$8)),1,0)</f>
        <v/>
      </c>
      <c r="X3485">
        <f>IF(AND(U3485=1,N3485&gt;=H3485*(1-Assumptions!$C$8)),1,0)</f>
        <v/>
      </c>
      <c r="Y3485">
        <f>IF(ISNUMBER(Q3485),1,0)</f>
        <v/>
      </c>
      <c r="Z3485">
        <f>IF(AND(K3485=0,L3485=0,Y3485=0),1,0)</f>
        <v/>
      </c>
      <c r="AA3485">
        <f>IF(AND(Z3485=1,G3485&lt;Assumptions!$C$6),1,0)</f>
        <v/>
      </c>
      <c r="AB3485">
        <f>IF(U3485=0,"",IF(Y3485=1,MAX(0,Q3485-G3485),IF(L3485=1,MAX(0,R3485-G3485),MAX(0,Assumptions!$C$6-G3485))))</f>
        <v/>
      </c>
      <c r="AC3485">
        <f>IF(Y3485=1,Q3485-F3485,"")</f>
        <v/>
      </c>
      <c r="AD3485">
        <f>IF(Y3485=1,AC3485^2,"")</f>
        <v/>
      </c>
      <c r="AE3485" s="19">
        <f>IF(Z3485=1,(H3485-M3485)*I3485,0)</f>
        <v/>
      </c>
      <c r="AF3485">
        <f>IF(G3485&lt;EDATE(Assumptions!$C$6,-12)+1,"prior_12m","last_12m")</f>
        <v/>
      </c>
      <c r="AG3485" s="21">
        <f>DATE(YEAR(G3485),MONTH(G3485),1)</f>
        <v/>
      </c>
    </row>
    <row r="3486">
      <c r="A3486" t="inlineStr">
        <is>
          <t>SPO-01862-2</t>
        </is>
      </c>
      <c r="B3486" t="inlineStr">
        <is>
          <t>SPO-01862</t>
        </is>
      </c>
      <c r="C3486" t="inlineStr">
        <is>
          <t>SUP-01</t>
        </is>
      </c>
      <c r="D3486" t="inlineStr">
        <is>
          <t>ELEC</t>
        </is>
      </c>
      <c r="E3486" t="inlineStr">
        <is>
          <t>ELEC-05</t>
        </is>
      </c>
      <c r="F3486" s="17" t="n">
        <v>46087</v>
      </c>
      <c r="G3486" s="17" t="n">
        <v>46105</v>
      </c>
      <c r="H3486" s="18" t="n">
        <v>185</v>
      </c>
      <c r="I3486" s="19" t="n">
        <v>11.38</v>
      </c>
      <c r="J3486" s="19" t="n">
        <v>11.5</v>
      </c>
      <c r="K3486" s="20" t="n">
        <v>0</v>
      </c>
      <c r="L3486" s="20" t="n">
        <v>0</v>
      </c>
      <c r="M3486" s="18" t="n">
        <v>185</v>
      </c>
      <c r="N3486" s="18" t="n">
        <v>185</v>
      </c>
      <c r="O3486" s="18" t="n">
        <v>0</v>
      </c>
      <c r="P3486" s="17" t="n">
        <v>46097</v>
      </c>
      <c r="Q3486" s="17" t="n">
        <v>46097</v>
      </c>
      <c r="R3486" s="17" t="n">
        <v>46097</v>
      </c>
      <c r="S3486" s="19">
        <f>H3486*I3486</f>
        <v/>
      </c>
      <c r="T3486" s="19">
        <f>H3486*J3486</f>
        <v/>
      </c>
      <c r="U3486">
        <f>IF(AND(K3486=0,G3486&lt;=Assumptions!$C$6),1,0)</f>
        <v/>
      </c>
      <c r="V3486">
        <f>IF(U3486=1,IF(M3486&gt;0,IF(P3486&lt;=G3486+Assumptions!$C$7,1,0),0),0)</f>
        <v/>
      </c>
      <c r="W3486">
        <f>IF(AND(U3486=1,M3486&gt;=H3486*(1-Assumptions!$C$8)),1,0)</f>
        <v/>
      </c>
      <c r="X3486">
        <f>IF(AND(U3486=1,N3486&gt;=H3486*(1-Assumptions!$C$8)),1,0)</f>
        <v/>
      </c>
      <c r="Y3486">
        <f>IF(ISNUMBER(Q3486),1,0)</f>
        <v/>
      </c>
      <c r="Z3486">
        <f>IF(AND(K3486=0,L3486=0,Y3486=0),1,0)</f>
        <v/>
      </c>
      <c r="AA3486">
        <f>IF(AND(Z3486=1,G3486&lt;Assumptions!$C$6),1,0)</f>
        <v/>
      </c>
      <c r="AB3486">
        <f>IF(U3486=0,"",IF(Y3486=1,MAX(0,Q3486-G3486),IF(L3486=1,MAX(0,R3486-G3486),MAX(0,Assumptions!$C$6-G3486))))</f>
        <v/>
      </c>
      <c r="AC3486">
        <f>IF(Y3486=1,Q3486-F3486,"")</f>
        <v/>
      </c>
      <c r="AD3486">
        <f>IF(Y3486=1,AC3486^2,"")</f>
        <v/>
      </c>
      <c r="AE3486" s="19">
        <f>IF(Z3486=1,(H3486-M3486)*I3486,0)</f>
        <v/>
      </c>
      <c r="AF3486">
        <f>IF(G3486&lt;EDATE(Assumptions!$C$6,-12)+1,"prior_12m","last_12m")</f>
        <v/>
      </c>
      <c r="AG3486" s="21">
        <f>DATE(YEAR(G3486),MONTH(G3486),1)</f>
        <v/>
      </c>
    </row>
    <row r="3487">
      <c r="A3487" t="inlineStr">
        <is>
          <t>SPO-01863-1</t>
        </is>
      </c>
      <c r="B3487" t="inlineStr">
        <is>
          <t>SPO-01863</t>
        </is>
      </c>
      <c r="C3487" t="inlineStr">
        <is>
          <t>SUP-14</t>
        </is>
      </c>
      <c r="D3487" t="inlineStr">
        <is>
          <t>FLEET</t>
        </is>
      </c>
      <c r="E3487" t="inlineStr">
        <is>
          <t>FLEET-05</t>
        </is>
      </c>
      <c r="F3487" s="17" t="n">
        <v>46087</v>
      </c>
      <c r="G3487" s="17" t="n">
        <v>46101</v>
      </c>
      <c r="H3487" s="18" t="n">
        <v>8</v>
      </c>
      <c r="I3487" s="19" t="n">
        <v>177.91</v>
      </c>
      <c r="J3487" s="19" t="n">
        <v>168</v>
      </c>
      <c r="K3487" s="20" t="n">
        <v>0</v>
      </c>
      <c r="L3487" s="20" t="n">
        <v>0</v>
      </c>
      <c r="M3487" s="18" t="n">
        <v>8</v>
      </c>
      <c r="N3487" s="18" t="n">
        <v>5</v>
      </c>
      <c r="O3487" s="18" t="n">
        <v>0</v>
      </c>
      <c r="P3487" s="17" t="n">
        <v>46097</v>
      </c>
      <c r="Q3487" s="17" t="n">
        <v>46107</v>
      </c>
      <c r="R3487" s="17" t="n">
        <v>46107</v>
      </c>
      <c r="S3487" s="19">
        <f>H3487*I3487</f>
        <v/>
      </c>
      <c r="T3487" s="19">
        <f>H3487*J3487</f>
        <v/>
      </c>
      <c r="U3487">
        <f>IF(AND(K3487=0,G3487&lt;=Assumptions!$C$6),1,0)</f>
        <v/>
      </c>
      <c r="V3487">
        <f>IF(U3487=1,IF(M3487&gt;0,IF(P3487&lt;=G3487+Assumptions!$C$7,1,0),0),0)</f>
        <v/>
      </c>
      <c r="W3487">
        <f>IF(AND(U3487=1,M3487&gt;=H3487*(1-Assumptions!$C$8)),1,0)</f>
        <v/>
      </c>
      <c r="X3487">
        <f>IF(AND(U3487=1,N3487&gt;=H3487*(1-Assumptions!$C$8)),1,0)</f>
        <v/>
      </c>
      <c r="Y3487">
        <f>IF(ISNUMBER(Q3487),1,0)</f>
        <v/>
      </c>
      <c r="Z3487">
        <f>IF(AND(K3487=0,L3487=0,Y3487=0),1,0)</f>
        <v/>
      </c>
      <c r="AA3487">
        <f>IF(AND(Z3487=1,G3487&lt;Assumptions!$C$6),1,0)</f>
        <v/>
      </c>
      <c r="AB3487">
        <f>IF(U3487=0,"",IF(Y3487=1,MAX(0,Q3487-G3487),IF(L3487=1,MAX(0,R3487-G3487),MAX(0,Assumptions!$C$6-G3487))))</f>
        <v/>
      </c>
      <c r="AC3487">
        <f>IF(Y3487=1,Q3487-F3487,"")</f>
        <v/>
      </c>
      <c r="AD3487">
        <f>IF(Y3487=1,AC3487^2,"")</f>
        <v/>
      </c>
      <c r="AE3487" s="19">
        <f>IF(Z3487=1,(H3487-M3487)*I3487,0)</f>
        <v/>
      </c>
      <c r="AF3487">
        <f>IF(G3487&lt;EDATE(Assumptions!$C$6,-12)+1,"prior_12m","last_12m")</f>
        <v/>
      </c>
      <c r="AG3487" s="21">
        <f>DATE(YEAR(G3487),MONTH(G3487),1)</f>
        <v/>
      </c>
    </row>
    <row r="3488">
      <c r="A3488" t="inlineStr">
        <is>
          <t>SPO-01864-1</t>
        </is>
      </c>
      <c r="B3488" t="inlineStr">
        <is>
          <t>SPO-01864</t>
        </is>
      </c>
      <c r="C3488" t="inlineStr">
        <is>
          <t>SUP-07</t>
        </is>
      </c>
      <c r="D3488" t="inlineStr">
        <is>
          <t>MRO</t>
        </is>
      </c>
      <c r="E3488" t="inlineStr">
        <is>
          <t>MRO-02</t>
        </is>
      </c>
      <c r="F3488" s="17" t="n">
        <v>46088</v>
      </c>
      <c r="G3488" s="17" t="n">
        <v>46098</v>
      </c>
      <c r="H3488" s="18" t="n">
        <v>55</v>
      </c>
      <c r="I3488" s="19" t="n">
        <v>37.25</v>
      </c>
      <c r="J3488" s="19" t="n">
        <v>41</v>
      </c>
      <c r="K3488" s="20" t="n">
        <v>0</v>
      </c>
      <c r="L3488" s="20" t="n">
        <v>1</v>
      </c>
      <c r="M3488" s="18" t="n">
        <v>23</v>
      </c>
      <c r="N3488" s="18" t="n">
        <v>23</v>
      </c>
      <c r="O3488" s="18" t="n">
        <v>0</v>
      </c>
      <c r="P3488" s="17" t="n">
        <v>46093</v>
      </c>
      <c r="Q3488" s="17" t="n"/>
      <c r="R3488" s="17" t="n">
        <v>46093</v>
      </c>
      <c r="S3488" s="19">
        <f>H3488*I3488</f>
        <v/>
      </c>
      <c r="T3488" s="19">
        <f>H3488*J3488</f>
        <v/>
      </c>
      <c r="U3488">
        <f>IF(AND(K3488=0,G3488&lt;=Assumptions!$C$6),1,0)</f>
        <v/>
      </c>
      <c r="V3488">
        <f>IF(U3488=1,IF(M3488&gt;0,IF(P3488&lt;=G3488+Assumptions!$C$7,1,0),0),0)</f>
        <v/>
      </c>
      <c r="W3488">
        <f>IF(AND(U3488=1,M3488&gt;=H3488*(1-Assumptions!$C$8)),1,0)</f>
        <v/>
      </c>
      <c r="X3488">
        <f>IF(AND(U3488=1,N3488&gt;=H3488*(1-Assumptions!$C$8)),1,0)</f>
        <v/>
      </c>
      <c r="Y3488">
        <f>IF(ISNUMBER(Q3488),1,0)</f>
        <v/>
      </c>
      <c r="Z3488">
        <f>IF(AND(K3488=0,L3488=0,Y3488=0),1,0)</f>
        <v/>
      </c>
      <c r="AA3488">
        <f>IF(AND(Z3488=1,G3488&lt;Assumptions!$C$6),1,0)</f>
        <v/>
      </c>
      <c r="AB3488">
        <f>IF(U3488=0,"",IF(Y3488=1,MAX(0,Q3488-G3488),IF(L3488=1,MAX(0,R3488-G3488),MAX(0,Assumptions!$C$6-G3488))))</f>
        <v/>
      </c>
      <c r="AC3488">
        <f>IF(Y3488=1,Q3488-F3488,"")</f>
        <v/>
      </c>
      <c r="AD3488">
        <f>IF(Y3488=1,AC3488^2,"")</f>
        <v/>
      </c>
      <c r="AE3488" s="19">
        <f>IF(Z3488=1,(H3488-M3488)*I3488,0)</f>
        <v/>
      </c>
      <c r="AF3488">
        <f>IF(G3488&lt;EDATE(Assumptions!$C$6,-12)+1,"prior_12m","last_12m")</f>
        <v/>
      </c>
      <c r="AG3488" s="21">
        <f>DATE(YEAR(G3488),MONTH(G3488),1)</f>
        <v/>
      </c>
    </row>
    <row r="3489">
      <c r="A3489" t="inlineStr">
        <is>
          <t>SPO-01864-2</t>
        </is>
      </c>
      <c r="B3489" t="inlineStr">
        <is>
          <t>SPO-01864</t>
        </is>
      </c>
      <c r="C3489" t="inlineStr">
        <is>
          <t>SUP-07</t>
        </is>
      </c>
      <c r="D3489" t="inlineStr">
        <is>
          <t>MRO</t>
        </is>
      </c>
      <c r="E3489" t="inlineStr">
        <is>
          <t>MRO-05</t>
        </is>
      </c>
      <c r="F3489" s="17" t="n">
        <v>46088</v>
      </c>
      <c r="G3489" s="17" t="n">
        <v>46098</v>
      </c>
      <c r="H3489" s="18" t="n">
        <v>58</v>
      </c>
      <c r="I3489" s="19" t="n">
        <v>35.53</v>
      </c>
      <c r="J3489" s="19" t="n">
        <v>36</v>
      </c>
      <c r="K3489" s="20" t="n">
        <v>0</v>
      </c>
      <c r="L3489" s="20" t="n">
        <v>0</v>
      </c>
      <c r="M3489" s="18" t="n">
        <v>58</v>
      </c>
      <c r="N3489" s="18" t="n">
        <v>45</v>
      </c>
      <c r="O3489" s="18" t="n">
        <v>0</v>
      </c>
      <c r="P3489" s="17" t="n">
        <v>46093</v>
      </c>
      <c r="Q3489" s="17" t="n">
        <v>46100</v>
      </c>
      <c r="R3489" s="17" t="n">
        <v>46100</v>
      </c>
      <c r="S3489" s="19">
        <f>H3489*I3489</f>
        <v/>
      </c>
      <c r="T3489" s="19">
        <f>H3489*J3489</f>
        <v/>
      </c>
      <c r="U3489">
        <f>IF(AND(K3489=0,G3489&lt;=Assumptions!$C$6),1,0)</f>
        <v/>
      </c>
      <c r="V3489">
        <f>IF(U3489=1,IF(M3489&gt;0,IF(P3489&lt;=G3489+Assumptions!$C$7,1,0),0),0)</f>
        <v/>
      </c>
      <c r="W3489">
        <f>IF(AND(U3489=1,M3489&gt;=H3489*(1-Assumptions!$C$8)),1,0)</f>
        <v/>
      </c>
      <c r="X3489">
        <f>IF(AND(U3489=1,N3489&gt;=H3489*(1-Assumptions!$C$8)),1,0)</f>
        <v/>
      </c>
      <c r="Y3489">
        <f>IF(ISNUMBER(Q3489),1,0)</f>
        <v/>
      </c>
      <c r="Z3489">
        <f>IF(AND(K3489=0,L3489=0,Y3489=0),1,0)</f>
        <v/>
      </c>
      <c r="AA3489">
        <f>IF(AND(Z3489=1,G3489&lt;Assumptions!$C$6),1,0)</f>
        <v/>
      </c>
      <c r="AB3489">
        <f>IF(U3489=0,"",IF(Y3489=1,MAX(0,Q3489-G3489),IF(L3489=1,MAX(0,R3489-G3489),MAX(0,Assumptions!$C$6-G3489))))</f>
        <v/>
      </c>
      <c r="AC3489">
        <f>IF(Y3489=1,Q3489-F3489,"")</f>
        <v/>
      </c>
      <c r="AD3489">
        <f>IF(Y3489=1,AC3489^2,"")</f>
        <v/>
      </c>
      <c r="AE3489" s="19">
        <f>IF(Z3489=1,(H3489-M3489)*I3489,0)</f>
        <v/>
      </c>
      <c r="AF3489">
        <f>IF(G3489&lt;EDATE(Assumptions!$C$6,-12)+1,"prior_12m","last_12m")</f>
        <v/>
      </c>
      <c r="AG3489" s="21">
        <f>DATE(YEAR(G3489),MONTH(G3489),1)</f>
        <v/>
      </c>
    </row>
    <row r="3490">
      <c r="A3490" t="inlineStr">
        <is>
          <t>SPO-01864-3</t>
        </is>
      </c>
      <c r="B3490" t="inlineStr">
        <is>
          <t>SPO-01864</t>
        </is>
      </c>
      <c r="C3490" t="inlineStr">
        <is>
          <t>SUP-07</t>
        </is>
      </c>
      <c r="D3490" t="inlineStr">
        <is>
          <t>MRO</t>
        </is>
      </c>
      <c r="E3490" t="inlineStr">
        <is>
          <t>MRO-04</t>
        </is>
      </c>
      <c r="F3490" s="17" t="n">
        <v>46088</v>
      </c>
      <c r="G3490" s="17" t="n">
        <v>46098</v>
      </c>
      <c r="H3490" s="18" t="n">
        <v>25</v>
      </c>
      <c r="I3490" s="19" t="n">
        <v>55.88</v>
      </c>
      <c r="J3490" s="19" t="n">
        <v>58</v>
      </c>
      <c r="K3490" s="20" t="n">
        <v>0</v>
      </c>
      <c r="L3490" s="20" t="n">
        <v>0</v>
      </c>
      <c r="M3490" s="18" t="n">
        <v>25</v>
      </c>
      <c r="N3490" s="18" t="n">
        <v>25</v>
      </c>
      <c r="O3490" s="18" t="n">
        <v>0</v>
      </c>
      <c r="P3490" s="17" t="n">
        <v>46096</v>
      </c>
      <c r="Q3490" s="17" t="n">
        <v>46096</v>
      </c>
      <c r="R3490" s="17" t="n">
        <v>46096</v>
      </c>
      <c r="S3490" s="19">
        <f>H3490*I3490</f>
        <v/>
      </c>
      <c r="T3490" s="19">
        <f>H3490*J3490</f>
        <v/>
      </c>
      <c r="U3490">
        <f>IF(AND(K3490=0,G3490&lt;=Assumptions!$C$6),1,0)</f>
        <v/>
      </c>
      <c r="V3490">
        <f>IF(U3490=1,IF(M3490&gt;0,IF(P3490&lt;=G3490+Assumptions!$C$7,1,0),0),0)</f>
        <v/>
      </c>
      <c r="W3490">
        <f>IF(AND(U3490=1,M3490&gt;=H3490*(1-Assumptions!$C$8)),1,0)</f>
        <v/>
      </c>
      <c r="X3490">
        <f>IF(AND(U3490=1,N3490&gt;=H3490*(1-Assumptions!$C$8)),1,0)</f>
        <v/>
      </c>
      <c r="Y3490">
        <f>IF(ISNUMBER(Q3490),1,0)</f>
        <v/>
      </c>
      <c r="Z3490">
        <f>IF(AND(K3490=0,L3490=0,Y3490=0),1,0)</f>
        <v/>
      </c>
      <c r="AA3490">
        <f>IF(AND(Z3490=1,G3490&lt;Assumptions!$C$6),1,0)</f>
        <v/>
      </c>
      <c r="AB3490">
        <f>IF(U3490=0,"",IF(Y3490=1,MAX(0,Q3490-G3490),IF(L3490=1,MAX(0,R3490-G3490),MAX(0,Assumptions!$C$6-G3490))))</f>
        <v/>
      </c>
      <c r="AC3490">
        <f>IF(Y3490=1,Q3490-F3490,"")</f>
        <v/>
      </c>
      <c r="AD3490">
        <f>IF(Y3490=1,AC3490^2,"")</f>
        <v/>
      </c>
      <c r="AE3490" s="19">
        <f>IF(Z3490=1,(H3490-M3490)*I3490,0)</f>
        <v/>
      </c>
      <c r="AF3490">
        <f>IF(G3490&lt;EDATE(Assumptions!$C$6,-12)+1,"prior_12m","last_12m")</f>
        <v/>
      </c>
      <c r="AG3490" s="21">
        <f>DATE(YEAR(G3490),MONTH(G3490),1)</f>
        <v/>
      </c>
    </row>
    <row r="3491">
      <c r="A3491" t="inlineStr">
        <is>
          <t>SPO-01864-4</t>
        </is>
      </c>
      <c r="B3491" t="inlineStr">
        <is>
          <t>SPO-01864</t>
        </is>
      </c>
      <c r="C3491" t="inlineStr">
        <is>
          <t>SUP-07</t>
        </is>
      </c>
      <c r="D3491" t="inlineStr">
        <is>
          <t>MRO</t>
        </is>
      </c>
      <c r="E3491" t="inlineStr">
        <is>
          <t>MRO-06</t>
        </is>
      </c>
      <c r="F3491" s="17" t="n">
        <v>46088</v>
      </c>
      <c r="G3491" s="17" t="n">
        <v>46098</v>
      </c>
      <c r="H3491" s="18" t="n">
        <v>309</v>
      </c>
      <c r="I3491" s="19" t="n">
        <v>6.35</v>
      </c>
      <c r="J3491" s="19" t="n">
        <v>6.1</v>
      </c>
      <c r="K3491" s="20" t="n">
        <v>0</v>
      </c>
      <c r="L3491" s="20" t="n">
        <v>1</v>
      </c>
      <c r="M3491" s="18" t="n">
        <v>142</v>
      </c>
      <c r="N3491" s="18" t="n">
        <v>142</v>
      </c>
      <c r="O3491" s="18" t="n">
        <v>0</v>
      </c>
      <c r="P3491" s="17" t="n">
        <v>46094</v>
      </c>
      <c r="Q3491" s="17" t="n"/>
      <c r="R3491" s="17" t="n">
        <v>46094</v>
      </c>
      <c r="S3491" s="19">
        <f>H3491*I3491</f>
        <v/>
      </c>
      <c r="T3491" s="19">
        <f>H3491*J3491</f>
        <v/>
      </c>
      <c r="U3491">
        <f>IF(AND(K3491=0,G3491&lt;=Assumptions!$C$6),1,0)</f>
        <v/>
      </c>
      <c r="V3491">
        <f>IF(U3491=1,IF(M3491&gt;0,IF(P3491&lt;=G3491+Assumptions!$C$7,1,0),0),0)</f>
        <v/>
      </c>
      <c r="W3491">
        <f>IF(AND(U3491=1,M3491&gt;=H3491*(1-Assumptions!$C$8)),1,0)</f>
        <v/>
      </c>
      <c r="X3491">
        <f>IF(AND(U3491=1,N3491&gt;=H3491*(1-Assumptions!$C$8)),1,0)</f>
        <v/>
      </c>
      <c r="Y3491">
        <f>IF(ISNUMBER(Q3491),1,0)</f>
        <v/>
      </c>
      <c r="Z3491">
        <f>IF(AND(K3491=0,L3491=0,Y3491=0),1,0)</f>
        <v/>
      </c>
      <c r="AA3491">
        <f>IF(AND(Z3491=1,G3491&lt;Assumptions!$C$6),1,0)</f>
        <v/>
      </c>
      <c r="AB3491">
        <f>IF(U3491=0,"",IF(Y3491=1,MAX(0,Q3491-G3491),IF(L3491=1,MAX(0,R3491-G3491),MAX(0,Assumptions!$C$6-G3491))))</f>
        <v/>
      </c>
      <c r="AC3491">
        <f>IF(Y3491=1,Q3491-F3491,"")</f>
        <v/>
      </c>
      <c r="AD3491">
        <f>IF(Y3491=1,AC3491^2,"")</f>
        <v/>
      </c>
      <c r="AE3491" s="19">
        <f>IF(Z3491=1,(H3491-M3491)*I3491,0)</f>
        <v/>
      </c>
      <c r="AF3491">
        <f>IF(G3491&lt;EDATE(Assumptions!$C$6,-12)+1,"prior_12m","last_12m")</f>
        <v/>
      </c>
      <c r="AG3491" s="21">
        <f>DATE(YEAR(G3491),MONTH(G3491),1)</f>
        <v/>
      </c>
    </row>
    <row r="3492">
      <c r="A3492" t="inlineStr">
        <is>
          <t>SPO-01865-1</t>
        </is>
      </c>
      <c r="B3492" t="inlineStr">
        <is>
          <t>SPO-01865</t>
        </is>
      </c>
      <c r="C3492" t="inlineStr">
        <is>
          <t>SUP-05</t>
        </is>
      </c>
      <c r="D3492" t="inlineStr">
        <is>
          <t>FLEET</t>
        </is>
      </c>
      <c r="E3492" t="inlineStr">
        <is>
          <t>FLEET-05</t>
        </is>
      </c>
      <c r="F3492" s="17" t="n">
        <v>46089</v>
      </c>
      <c r="G3492" s="17" t="n">
        <v>46103</v>
      </c>
      <c r="H3492" s="18" t="n">
        <v>6</v>
      </c>
      <c r="I3492" s="19" t="n">
        <v>168.47</v>
      </c>
      <c r="J3492" s="19" t="n">
        <v>168</v>
      </c>
      <c r="K3492" s="20" t="n">
        <v>0</v>
      </c>
      <c r="L3492" s="20" t="n">
        <v>0</v>
      </c>
      <c r="M3492" s="18" t="n">
        <v>6</v>
      </c>
      <c r="N3492" s="18" t="n">
        <v>6</v>
      </c>
      <c r="O3492" s="18" t="n">
        <v>0</v>
      </c>
      <c r="P3492" s="17" t="n">
        <v>46101</v>
      </c>
      <c r="Q3492" s="17" t="n">
        <v>46101</v>
      </c>
      <c r="R3492" s="17" t="n">
        <v>46101</v>
      </c>
      <c r="S3492" s="19">
        <f>H3492*I3492</f>
        <v/>
      </c>
      <c r="T3492" s="19">
        <f>H3492*J3492</f>
        <v/>
      </c>
      <c r="U3492">
        <f>IF(AND(K3492=0,G3492&lt;=Assumptions!$C$6),1,0)</f>
        <v/>
      </c>
      <c r="V3492">
        <f>IF(U3492=1,IF(M3492&gt;0,IF(P3492&lt;=G3492+Assumptions!$C$7,1,0),0),0)</f>
        <v/>
      </c>
      <c r="W3492">
        <f>IF(AND(U3492=1,M3492&gt;=H3492*(1-Assumptions!$C$8)),1,0)</f>
        <v/>
      </c>
      <c r="X3492">
        <f>IF(AND(U3492=1,N3492&gt;=H3492*(1-Assumptions!$C$8)),1,0)</f>
        <v/>
      </c>
      <c r="Y3492">
        <f>IF(ISNUMBER(Q3492),1,0)</f>
        <v/>
      </c>
      <c r="Z3492">
        <f>IF(AND(K3492=0,L3492=0,Y3492=0),1,0)</f>
        <v/>
      </c>
      <c r="AA3492">
        <f>IF(AND(Z3492=1,G3492&lt;Assumptions!$C$6),1,0)</f>
        <v/>
      </c>
      <c r="AB3492">
        <f>IF(U3492=0,"",IF(Y3492=1,MAX(0,Q3492-G3492),IF(L3492=1,MAX(0,R3492-G3492),MAX(0,Assumptions!$C$6-G3492))))</f>
        <v/>
      </c>
      <c r="AC3492">
        <f>IF(Y3492=1,Q3492-F3492,"")</f>
        <v/>
      </c>
      <c r="AD3492">
        <f>IF(Y3492=1,AC3492^2,"")</f>
        <v/>
      </c>
      <c r="AE3492" s="19">
        <f>IF(Z3492=1,(H3492-M3492)*I3492,0)</f>
        <v/>
      </c>
      <c r="AF3492">
        <f>IF(G3492&lt;EDATE(Assumptions!$C$6,-12)+1,"prior_12m","last_12m")</f>
        <v/>
      </c>
      <c r="AG3492" s="21">
        <f>DATE(YEAR(G3492),MONTH(G3492),1)</f>
        <v/>
      </c>
    </row>
    <row r="3493">
      <c r="A3493" t="inlineStr">
        <is>
          <t>SPO-01865-2</t>
        </is>
      </c>
      <c r="B3493" t="inlineStr">
        <is>
          <t>SPO-01865</t>
        </is>
      </c>
      <c r="C3493" t="inlineStr">
        <is>
          <t>SUP-05</t>
        </is>
      </c>
      <c r="D3493" t="inlineStr">
        <is>
          <t>FLEET</t>
        </is>
      </c>
      <c r="E3493" t="inlineStr">
        <is>
          <t>FLEET-07</t>
        </is>
      </c>
      <c r="F3493" s="17" t="n">
        <v>46089</v>
      </c>
      <c r="G3493" s="17" t="n">
        <v>46103</v>
      </c>
      <c r="H3493" s="18" t="n">
        <v>10</v>
      </c>
      <c r="I3493" s="19" t="n">
        <v>115.87</v>
      </c>
      <c r="J3493" s="19" t="n">
        <v>118</v>
      </c>
      <c r="K3493" s="20" t="n">
        <v>0</v>
      </c>
      <c r="L3493" s="20" t="n">
        <v>0</v>
      </c>
      <c r="M3493" s="18" t="n">
        <v>10</v>
      </c>
      <c r="N3493" s="18" t="n">
        <v>10</v>
      </c>
      <c r="O3493" s="18" t="n">
        <v>0</v>
      </c>
      <c r="P3493" s="17" t="n">
        <v>46100</v>
      </c>
      <c r="Q3493" s="17" t="n">
        <v>46100</v>
      </c>
      <c r="R3493" s="17" t="n">
        <v>46100</v>
      </c>
      <c r="S3493" s="19">
        <f>H3493*I3493</f>
        <v/>
      </c>
      <c r="T3493" s="19">
        <f>H3493*J3493</f>
        <v/>
      </c>
      <c r="U3493">
        <f>IF(AND(K3493=0,G3493&lt;=Assumptions!$C$6),1,0)</f>
        <v/>
      </c>
      <c r="V3493">
        <f>IF(U3493=1,IF(M3493&gt;0,IF(P3493&lt;=G3493+Assumptions!$C$7,1,0),0),0)</f>
        <v/>
      </c>
      <c r="W3493">
        <f>IF(AND(U3493=1,M3493&gt;=H3493*(1-Assumptions!$C$8)),1,0)</f>
        <v/>
      </c>
      <c r="X3493">
        <f>IF(AND(U3493=1,N3493&gt;=H3493*(1-Assumptions!$C$8)),1,0)</f>
        <v/>
      </c>
      <c r="Y3493">
        <f>IF(ISNUMBER(Q3493),1,0)</f>
        <v/>
      </c>
      <c r="Z3493">
        <f>IF(AND(K3493=0,L3493=0,Y3493=0),1,0)</f>
        <v/>
      </c>
      <c r="AA3493">
        <f>IF(AND(Z3493=1,G3493&lt;Assumptions!$C$6),1,0)</f>
        <v/>
      </c>
      <c r="AB3493">
        <f>IF(U3493=0,"",IF(Y3493=1,MAX(0,Q3493-G3493),IF(L3493=1,MAX(0,R3493-G3493),MAX(0,Assumptions!$C$6-G3493))))</f>
        <v/>
      </c>
      <c r="AC3493">
        <f>IF(Y3493=1,Q3493-F3493,"")</f>
        <v/>
      </c>
      <c r="AD3493">
        <f>IF(Y3493=1,AC3493^2,"")</f>
        <v/>
      </c>
      <c r="AE3493" s="19">
        <f>IF(Z3493=1,(H3493-M3493)*I3493,0)</f>
        <v/>
      </c>
      <c r="AF3493">
        <f>IF(G3493&lt;EDATE(Assumptions!$C$6,-12)+1,"prior_12m","last_12m")</f>
        <v/>
      </c>
      <c r="AG3493" s="21">
        <f>DATE(YEAR(G3493),MONTH(G3493),1)</f>
        <v/>
      </c>
    </row>
    <row r="3494">
      <c r="A3494" t="inlineStr">
        <is>
          <t>SPO-01866-1</t>
        </is>
      </c>
      <c r="B3494" t="inlineStr">
        <is>
          <t>SPO-01866</t>
        </is>
      </c>
      <c r="C3494" t="inlineStr">
        <is>
          <t>SUP-11</t>
        </is>
      </c>
      <c r="D3494" t="inlineStr">
        <is>
          <t>PPE</t>
        </is>
      </c>
      <c r="E3494" t="inlineStr">
        <is>
          <t>PPE-08</t>
        </is>
      </c>
      <c r="F3494" s="17" t="n">
        <v>46089</v>
      </c>
      <c r="G3494" s="17" t="n">
        <v>46101</v>
      </c>
      <c r="H3494" s="18" t="n">
        <v>29</v>
      </c>
      <c r="I3494" s="19" t="n">
        <v>63</v>
      </c>
      <c r="J3494" s="19" t="n">
        <v>64</v>
      </c>
      <c r="K3494" s="20" t="n">
        <v>0</v>
      </c>
      <c r="L3494" s="20" t="n">
        <v>0</v>
      </c>
      <c r="M3494" s="18" t="n">
        <v>29</v>
      </c>
      <c r="N3494" s="18" t="n">
        <v>29</v>
      </c>
      <c r="O3494" s="18" t="n">
        <v>0</v>
      </c>
      <c r="P3494" s="17" t="n">
        <v>46101</v>
      </c>
      <c r="Q3494" s="17" t="n">
        <v>46101</v>
      </c>
      <c r="R3494" s="17" t="n">
        <v>46101</v>
      </c>
      <c r="S3494" s="19">
        <f>H3494*I3494</f>
        <v/>
      </c>
      <c r="T3494" s="19">
        <f>H3494*J3494</f>
        <v/>
      </c>
      <c r="U3494">
        <f>IF(AND(K3494=0,G3494&lt;=Assumptions!$C$6),1,0)</f>
        <v/>
      </c>
      <c r="V3494">
        <f>IF(U3494=1,IF(M3494&gt;0,IF(P3494&lt;=G3494+Assumptions!$C$7,1,0),0),0)</f>
        <v/>
      </c>
      <c r="W3494">
        <f>IF(AND(U3494=1,M3494&gt;=H3494*(1-Assumptions!$C$8)),1,0)</f>
        <v/>
      </c>
      <c r="X3494">
        <f>IF(AND(U3494=1,N3494&gt;=H3494*(1-Assumptions!$C$8)),1,0)</f>
        <v/>
      </c>
      <c r="Y3494">
        <f>IF(ISNUMBER(Q3494),1,0)</f>
        <v/>
      </c>
      <c r="Z3494">
        <f>IF(AND(K3494=0,L3494=0,Y3494=0),1,0)</f>
        <v/>
      </c>
      <c r="AA3494">
        <f>IF(AND(Z3494=1,G3494&lt;Assumptions!$C$6),1,0)</f>
        <v/>
      </c>
      <c r="AB3494">
        <f>IF(U3494=0,"",IF(Y3494=1,MAX(0,Q3494-G3494),IF(L3494=1,MAX(0,R3494-G3494),MAX(0,Assumptions!$C$6-G3494))))</f>
        <v/>
      </c>
      <c r="AC3494">
        <f>IF(Y3494=1,Q3494-F3494,"")</f>
        <v/>
      </c>
      <c r="AD3494">
        <f>IF(Y3494=1,AC3494^2,"")</f>
        <v/>
      </c>
      <c r="AE3494" s="19">
        <f>IF(Z3494=1,(H3494-M3494)*I3494,0)</f>
        <v/>
      </c>
      <c r="AF3494">
        <f>IF(G3494&lt;EDATE(Assumptions!$C$6,-12)+1,"prior_12m","last_12m")</f>
        <v/>
      </c>
      <c r="AG3494" s="21">
        <f>DATE(YEAR(G3494),MONTH(G3494),1)</f>
        <v/>
      </c>
    </row>
    <row r="3495">
      <c r="A3495" t="inlineStr">
        <is>
          <t>SPO-01866-2</t>
        </is>
      </c>
      <c r="B3495" t="inlineStr">
        <is>
          <t>SPO-01866</t>
        </is>
      </c>
      <c r="C3495" t="inlineStr">
        <is>
          <t>SUP-11</t>
        </is>
      </c>
      <c r="D3495" t="inlineStr">
        <is>
          <t>PPE</t>
        </is>
      </c>
      <c r="E3495" t="inlineStr">
        <is>
          <t>PPE-04</t>
        </is>
      </c>
      <c r="F3495" s="17" t="n">
        <v>46089</v>
      </c>
      <c r="G3495" s="17" t="n">
        <v>46101</v>
      </c>
      <c r="H3495" s="18" t="n">
        <v>77</v>
      </c>
      <c r="I3495" s="19" t="n">
        <v>25.19</v>
      </c>
      <c r="J3495" s="19" t="n">
        <v>26</v>
      </c>
      <c r="K3495" s="20" t="n">
        <v>0</v>
      </c>
      <c r="L3495" s="20" t="n">
        <v>0</v>
      </c>
      <c r="M3495" s="18" t="n">
        <v>77</v>
      </c>
      <c r="N3495" s="18" t="n">
        <v>77</v>
      </c>
      <c r="O3495" s="18" t="n">
        <v>0</v>
      </c>
      <c r="P3495" s="17" t="n">
        <v>46098</v>
      </c>
      <c r="Q3495" s="17" t="n">
        <v>46098</v>
      </c>
      <c r="R3495" s="17" t="n">
        <v>46098</v>
      </c>
      <c r="S3495" s="19">
        <f>H3495*I3495</f>
        <v/>
      </c>
      <c r="T3495" s="19">
        <f>H3495*J3495</f>
        <v/>
      </c>
      <c r="U3495">
        <f>IF(AND(K3495=0,G3495&lt;=Assumptions!$C$6),1,0)</f>
        <v/>
      </c>
      <c r="V3495">
        <f>IF(U3495=1,IF(M3495&gt;0,IF(P3495&lt;=G3495+Assumptions!$C$7,1,0),0),0)</f>
        <v/>
      </c>
      <c r="W3495">
        <f>IF(AND(U3495=1,M3495&gt;=H3495*(1-Assumptions!$C$8)),1,0)</f>
        <v/>
      </c>
      <c r="X3495">
        <f>IF(AND(U3495=1,N3495&gt;=H3495*(1-Assumptions!$C$8)),1,0)</f>
        <v/>
      </c>
      <c r="Y3495">
        <f>IF(ISNUMBER(Q3495),1,0)</f>
        <v/>
      </c>
      <c r="Z3495">
        <f>IF(AND(K3495=0,L3495=0,Y3495=0),1,0)</f>
        <v/>
      </c>
      <c r="AA3495">
        <f>IF(AND(Z3495=1,G3495&lt;Assumptions!$C$6),1,0)</f>
        <v/>
      </c>
      <c r="AB3495">
        <f>IF(U3495=0,"",IF(Y3495=1,MAX(0,Q3495-G3495),IF(L3495=1,MAX(0,R3495-G3495),MAX(0,Assumptions!$C$6-G3495))))</f>
        <v/>
      </c>
      <c r="AC3495">
        <f>IF(Y3495=1,Q3495-F3495,"")</f>
        <v/>
      </c>
      <c r="AD3495">
        <f>IF(Y3495=1,AC3495^2,"")</f>
        <v/>
      </c>
      <c r="AE3495" s="19">
        <f>IF(Z3495=1,(H3495-M3495)*I3495,0)</f>
        <v/>
      </c>
      <c r="AF3495">
        <f>IF(G3495&lt;EDATE(Assumptions!$C$6,-12)+1,"prior_12m","last_12m")</f>
        <v/>
      </c>
      <c r="AG3495" s="21">
        <f>DATE(YEAR(G3495),MONTH(G3495),1)</f>
        <v/>
      </c>
    </row>
    <row r="3496">
      <c r="A3496" t="inlineStr">
        <is>
          <t>SPO-01866-3</t>
        </is>
      </c>
      <c r="B3496" t="inlineStr">
        <is>
          <t>SPO-01866</t>
        </is>
      </c>
      <c r="C3496" t="inlineStr">
        <is>
          <t>SUP-11</t>
        </is>
      </c>
      <c r="D3496" t="inlineStr">
        <is>
          <t>PPE</t>
        </is>
      </c>
      <c r="E3496" t="inlineStr">
        <is>
          <t>PPE-05</t>
        </is>
      </c>
      <c r="F3496" s="17" t="n">
        <v>46089</v>
      </c>
      <c r="G3496" s="17" t="n">
        <v>46101</v>
      </c>
      <c r="H3496" s="18" t="n">
        <v>116</v>
      </c>
      <c r="I3496" s="19" t="n">
        <v>11.03</v>
      </c>
      <c r="J3496" s="19" t="n">
        <v>11</v>
      </c>
      <c r="K3496" s="20" t="n">
        <v>0</v>
      </c>
      <c r="L3496" s="20" t="n">
        <v>0</v>
      </c>
      <c r="M3496" s="18" t="n">
        <v>116</v>
      </c>
      <c r="N3496" s="18" t="n">
        <v>116</v>
      </c>
      <c r="O3496" s="18" t="n">
        <v>0</v>
      </c>
      <c r="P3496" s="17" t="n">
        <v>46097</v>
      </c>
      <c r="Q3496" s="17" t="n">
        <v>46097</v>
      </c>
      <c r="R3496" s="17" t="n">
        <v>46097</v>
      </c>
      <c r="S3496" s="19">
        <f>H3496*I3496</f>
        <v/>
      </c>
      <c r="T3496" s="19">
        <f>H3496*J3496</f>
        <v/>
      </c>
      <c r="U3496">
        <f>IF(AND(K3496=0,G3496&lt;=Assumptions!$C$6),1,0)</f>
        <v/>
      </c>
      <c r="V3496">
        <f>IF(U3496=1,IF(M3496&gt;0,IF(P3496&lt;=G3496+Assumptions!$C$7,1,0),0),0)</f>
        <v/>
      </c>
      <c r="W3496">
        <f>IF(AND(U3496=1,M3496&gt;=H3496*(1-Assumptions!$C$8)),1,0)</f>
        <v/>
      </c>
      <c r="X3496">
        <f>IF(AND(U3496=1,N3496&gt;=H3496*(1-Assumptions!$C$8)),1,0)</f>
        <v/>
      </c>
      <c r="Y3496">
        <f>IF(ISNUMBER(Q3496),1,0)</f>
        <v/>
      </c>
      <c r="Z3496">
        <f>IF(AND(K3496=0,L3496=0,Y3496=0),1,0)</f>
        <v/>
      </c>
      <c r="AA3496">
        <f>IF(AND(Z3496=1,G3496&lt;Assumptions!$C$6),1,0)</f>
        <v/>
      </c>
      <c r="AB3496">
        <f>IF(U3496=0,"",IF(Y3496=1,MAX(0,Q3496-G3496),IF(L3496=1,MAX(0,R3496-G3496),MAX(0,Assumptions!$C$6-G3496))))</f>
        <v/>
      </c>
      <c r="AC3496">
        <f>IF(Y3496=1,Q3496-F3496,"")</f>
        <v/>
      </c>
      <c r="AD3496">
        <f>IF(Y3496=1,AC3496^2,"")</f>
        <v/>
      </c>
      <c r="AE3496" s="19">
        <f>IF(Z3496=1,(H3496-M3496)*I3496,0)</f>
        <v/>
      </c>
      <c r="AF3496">
        <f>IF(G3496&lt;EDATE(Assumptions!$C$6,-12)+1,"prior_12m","last_12m")</f>
        <v/>
      </c>
      <c r="AG3496" s="21">
        <f>DATE(YEAR(G3496),MONTH(G3496),1)</f>
        <v/>
      </c>
    </row>
    <row r="3497">
      <c r="A3497" t="inlineStr">
        <is>
          <t>SPO-01866-4</t>
        </is>
      </c>
      <c r="B3497" t="inlineStr">
        <is>
          <t>SPO-01866</t>
        </is>
      </c>
      <c r="C3497" t="inlineStr">
        <is>
          <t>SUP-11</t>
        </is>
      </c>
      <c r="D3497" t="inlineStr">
        <is>
          <t>PPE</t>
        </is>
      </c>
      <c r="E3497" t="inlineStr">
        <is>
          <t>PPE-07</t>
        </is>
      </c>
      <c r="F3497" s="17" t="n">
        <v>46089</v>
      </c>
      <c r="G3497" s="17" t="n">
        <v>46101</v>
      </c>
      <c r="H3497" s="18" t="n">
        <v>127</v>
      </c>
      <c r="I3497" s="19" t="n">
        <v>31.06</v>
      </c>
      <c r="J3497" s="19" t="n">
        <v>31</v>
      </c>
      <c r="K3497" s="20" t="n">
        <v>0</v>
      </c>
      <c r="L3497" s="20" t="n">
        <v>0</v>
      </c>
      <c r="M3497" s="18" t="n">
        <v>127</v>
      </c>
      <c r="N3497" s="18" t="n">
        <v>127</v>
      </c>
      <c r="O3497" s="18" t="n">
        <v>0</v>
      </c>
      <c r="P3497" s="17" t="n">
        <v>46100</v>
      </c>
      <c r="Q3497" s="17" t="n">
        <v>46100</v>
      </c>
      <c r="R3497" s="17" t="n">
        <v>46100</v>
      </c>
      <c r="S3497" s="19">
        <f>H3497*I3497</f>
        <v/>
      </c>
      <c r="T3497" s="19">
        <f>H3497*J3497</f>
        <v/>
      </c>
      <c r="U3497">
        <f>IF(AND(K3497=0,G3497&lt;=Assumptions!$C$6),1,0)</f>
        <v/>
      </c>
      <c r="V3497">
        <f>IF(U3497=1,IF(M3497&gt;0,IF(P3497&lt;=G3497+Assumptions!$C$7,1,0),0),0)</f>
        <v/>
      </c>
      <c r="W3497">
        <f>IF(AND(U3497=1,M3497&gt;=H3497*(1-Assumptions!$C$8)),1,0)</f>
        <v/>
      </c>
      <c r="X3497">
        <f>IF(AND(U3497=1,N3497&gt;=H3497*(1-Assumptions!$C$8)),1,0)</f>
        <v/>
      </c>
      <c r="Y3497">
        <f>IF(ISNUMBER(Q3497),1,0)</f>
        <v/>
      </c>
      <c r="Z3497">
        <f>IF(AND(K3497=0,L3497=0,Y3497=0),1,0)</f>
        <v/>
      </c>
      <c r="AA3497">
        <f>IF(AND(Z3497=1,G3497&lt;Assumptions!$C$6),1,0)</f>
        <v/>
      </c>
      <c r="AB3497">
        <f>IF(U3497=0,"",IF(Y3497=1,MAX(0,Q3497-G3497),IF(L3497=1,MAX(0,R3497-G3497),MAX(0,Assumptions!$C$6-G3497))))</f>
        <v/>
      </c>
      <c r="AC3497">
        <f>IF(Y3497=1,Q3497-F3497,"")</f>
        <v/>
      </c>
      <c r="AD3497">
        <f>IF(Y3497=1,AC3497^2,"")</f>
        <v/>
      </c>
      <c r="AE3497" s="19">
        <f>IF(Z3497=1,(H3497-M3497)*I3497,0)</f>
        <v/>
      </c>
      <c r="AF3497">
        <f>IF(G3497&lt;EDATE(Assumptions!$C$6,-12)+1,"prior_12m","last_12m")</f>
        <v/>
      </c>
      <c r="AG3497" s="21">
        <f>DATE(YEAR(G3497),MONTH(G3497),1)</f>
        <v/>
      </c>
    </row>
    <row r="3498">
      <c r="A3498" t="inlineStr">
        <is>
          <t>SPO-01867-1</t>
        </is>
      </c>
      <c r="B3498" t="inlineStr">
        <is>
          <t>SPO-01867</t>
        </is>
      </c>
      <c r="C3498" t="inlineStr">
        <is>
          <t>SUP-06</t>
        </is>
      </c>
      <c r="D3498" t="inlineStr">
        <is>
          <t>MRO</t>
        </is>
      </c>
      <c r="E3498" t="inlineStr">
        <is>
          <t>MRO-08</t>
        </is>
      </c>
      <c r="F3498" s="17" t="n">
        <v>46089</v>
      </c>
      <c r="G3498" s="17" t="n">
        <v>46097</v>
      </c>
      <c r="H3498" s="18" t="n">
        <v>207</v>
      </c>
      <c r="I3498" s="19" t="n">
        <v>6.95</v>
      </c>
      <c r="J3498" s="19" t="n">
        <v>7.2</v>
      </c>
      <c r="K3498" s="20" t="n">
        <v>0</v>
      </c>
      <c r="L3498" s="20" t="n">
        <v>0</v>
      </c>
      <c r="M3498" s="18" t="n">
        <v>207</v>
      </c>
      <c r="N3498" s="18" t="n">
        <v>207</v>
      </c>
      <c r="O3498" s="18" t="n">
        <v>0</v>
      </c>
      <c r="P3498" s="17" t="n">
        <v>46095</v>
      </c>
      <c r="Q3498" s="17" t="n">
        <v>46095</v>
      </c>
      <c r="R3498" s="17" t="n">
        <v>46095</v>
      </c>
      <c r="S3498" s="19">
        <f>H3498*I3498</f>
        <v/>
      </c>
      <c r="T3498" s="19">
        <f>H3498*J3498</f>
        <v/>
      </c>
      <c r="U3498">
        <f>IF(AND(K3498=0,G3498&lt;=Assumptions!$C$6),1,0)</f>
        <v/>
      </c>
      <c r="V3498">
        <f>IF(U3498=1,IF(M3498&gt;0,IF(P3498&lt;=G3498+Assumptions!$C$7,1,0),0),0)</f>
        <v/>
      </c>
      <c r="W3498">
        <f>IF(AND(U3498=1,M3498&gt;=H3498*(1-Assumptions!$C$8)),1,0)</f>
        <v/>
      </c>
      <c r="X3498">
        <f>IF(AND(U3498=1,N3498&gt;=H3498*(1-Assumptions!$C$8)),1,0)</f>
        <v/>
      </c>
      <c r="Y3498">
        <f>IF(ISNUMBER(Q3498),1,0)</f>
        <v/>
      </c>
      <c r="Z3498">
        <f>IF(AND(K3498=0,L3498=0,Y3498=0),1,0)</f>
        <v/>
      </c>
      <c r="AA3498">
        <f>IF(AND(Z3498=1,G3498&lt;Assumptions!$C$6),1,0)</f>
        <v/>
      </c>
      <c r="AB3498">
        <f>IF(U3498=0,"",IF(Y3498=1,MAX(0,Q3498-G3498),IF(L3498=1,MAX(0,R3498-G3498),MAX(0,Assumptions!$C$6-G3498))))</f>
        <v/>
      </c>
      <c r="AC3498">
        <f>IF(Y3498=1,Q3498-F3498,"")</f>
        <v/>
      </c>
      <c r="AD3498">
        <f>IF(Y3498=1,AC3498^2,"")</f>
        <v/>
      </c>
      <c r="AE3498" s="19">
        <f>IF(Z3498=1,(H3498-M3498)*I3498,0)</f>
        <v/>
      </c>
      <c r="AF3498">
        <f>IF(G3498&lt;EDATE(Assumptions!$C$6,-12)+1,"prior_12m","last_12m")</f>
        <v/>
      </c>
      <c r="AG3498" s="21">
        <f>DATE(YEAR(G3498),MONTH(G3498),1)</f>
        <v/>
      </c>
    </row>
    <row r="3499">
      <c r="A3499" t="inlineStr">
        <is>
          <t>SPO-01867-2</t>
        </is>
      </c>
      <c r="B3499" t="inlineStr">
        <is>
          <t>SPO-01867</t>
        </is>
      </c>
      <c r="C3499" t="inlineStr">
        <is>
          <t>SUP-06</t>
        </is>
      </c>
      <c r="D3499" t="inlineStr">
        <is>
          <t>MRO</t>
        </is>
      </c>
      <c r="E3499" t="inlineStr">
        <is>
          <t>MRO-04</t>
        </is>
      </c>
      <c r="F3499" s="17" t="n">
        <v>46089</v>
      </c>
      <c r="G3499" s="17" t="n">
        <v>46097</v>
      </c>
      <c r="H3499" s="18" t="n">
        <v>31</v>
      </c>
      <c r="I3499" s="19" t="n">
        <v>57.12</v>
      </c>
      <c r="J3499" s="19" t="n">
        <v>58</v>
      </c>
      <c r="K3499" s="20" t="n">
        <v>0</v>
      </c>
      <c r="L3499" s="20" t="n">
        <v>0</v>
      </c>
      <c r="M3499" s="18" t="n">
        <v>31</v>
      </c>
      <c r="N3499" s="18" t="n">
        <v>31</v>
      </c>
      <c r="O3499" s="18" t="n">
        <v>0</v>
      </c>
      <c r="P3499" s="17" t="n">
        <v>46094</v>
      </c>
      <c r="Q3499" s="17" t="n">
        <v>46094</v>
      </c>
      <c r="R3499" s="17" t="n">
        <v>46094</v>
      </c>
      <c r="S3499" s="19">
        <f>H3499*I3499</f>
        <v/>
      </c>
      <c r="T3499" s="19">
        <f>H3499*J3499</f>
        <v/>
      </c>
      <c r="U3499">
        <f>IF(AND(K3499=0,G3499&lt;=Assumptions!$C$6),1,0)</f>
        <v/>
      </c>
      <c r="V3499">
        <f>IF(U3499=1,IF(M3499&gt;0,IF(P3499&lt;=G3499+Assumptions!$C$7,1,0),0),0)</f>
        <v/>
      </c>
      <c r="W3499">
        <f>IF(AND(U3499=1,M3499&gt;=H3499*(1-Assumptions!$C$8)),1,0)</f>
        <v/>
      </c>
      <c r="X3499">
        <f>IF(AND(U3499=1,N3499&gt;=H3499*(1-Assumptions!$C$8)),1,0)</f>
        <v/>
      </c>
      <c r="Y3499">
        <f>IF(ISNUMBER(Q3499),1,0)</f>
        <v/>
      </c>
      <c r="Z3499">
        <f>IF(AND(K3499=0,L3499=0,Y3499=0),1,0)</f>
        <v/>
      </c>
      <c r="AA3499">
        <f>IF(AND(Z3499=1,G3499&lt;Assumptions!$C$6),1,0)</f>
        <v/>
      </c>
      <c r="AB3499">
        <f>IF(U3499=0,"",IF(Y3499=1,MAX(0,Q3499-G3499),IF(L3499=1,MAX(0,R3499-G3499),MAX(0,Assumptions!$C$6-G3499))))</f>
        <v/>
      </c>
      <c r="AC3499">
        <f>IF(Y3499=1,Q3499-F3499,"")</f>
        <v/>
      </c>
      <c r="AD3499">
        <f>IF(Y3499=1,AC3499^2,"")</f>
        <v/>
      </c>
      <c r="AE3499" s="19">
        <f>IF(Z3499=1,(H3499-M3499)*I3499,0)</f>
        <v/>
      </c>
      <c r="AF3499">
        <f>IF(G3499&lt;EDATE(Assumptions!$C$6,-12)+1,"prior_12m","last_12m")</f>
        <v/>
      </c>
      <c r="AG3499" s="21">
        <f>DATE(YEAR(G3499),MONTH(G3499),1)</f>
        <v/>
      </c>
    </row>
    <row r="3500">
      <c r="A3500" t="inlineStr">
        <is>
          <t>SPO-01867-3</t>
        </is>
      </c>
      <c r="B3500" t="inlineStr">
        <is>
          <t>SPO-01867</t>
        </is>
      </c>
      <c r="C3500" t="inlineStr">
        <is>
          <t>SUP-06</t>
        </is>
      </c>
      <c r="D3500" t="inlineStr">
        <is>
          <t>MRO</t>
        </is>
      </c>
      <c r="E3500" t="inlineStr">
        <is>
          <t>MRO-06</t>
        </is>
      </c>
      <c r="F3500" s="17" t="n">
        <v>46089</v>
      </c>
      <c r="G3500" s="17" t="n">
        <v>46097</v>
      </c>
      <c r="H3500" s="18" t="n">
        <v>204</v>
      </c>
      <c r="I3500" s="19" t="n">
        <v>6.14</v>
      </c>
      <c r="J3500" s="19" t="n">
        <v>6.1</v>
      </c>
      <c r="K3500" s="20" t="n">
        <v>0</v>
      </c>
      <c r="L3500" s="20" t="n">
        <v>0</v>
      </c>
      <c r="M3500" s="18" t="n">
        <v>204</v>
      </c>
      <c r="N3500" s="18" t="n">
        <v>204</v>
      </c>
      <c r="O3500" s="18" t="n">
        <v>0</v>
      </c>
      <c r="P3500" s="17" t="n">
        <v>46094</v>
      </c>
      <c r="Q3500" s="17" t="n">
        <v>46094</v>
      </c>
      <c r="R3500" s="17" t="n">
        <v>46094</v>
      </c>
      <c r="S3500" s="19">
        <f>H3500*I3500</f>
        <v/>
      </c>
      <c r="T3500" s="19">
        <f>H3500*J3500</f>
        <v/>
      </c>
      <c r="U3500">
        <f>IF(AND(K3500=0,G3500&lt;=Assumptions!$C$6),1,0)</f>
        <v/>
      </c>
      <c r="V3500">
        <f>IF(U3500=1,IF(M3500&gt;0,IF(P3500&lt;=G3500+Assumptions!$C$7,1,0),0),0)</f>
        <v/>
      </c>
      <c r="W3500">
        <f>IF(AND(U3500=1,M3500&gt;=H3500*(1-Assumptions!$C$8)),1,0)</f>
        <v/>
      </c>
      <c r="X3500">
        <f>IF(AND(U3500=1,N3500&gt;=H3500*(1-Assumptions!$C$8)),1,0)</f>
        <v/>
      </c>
      <c r="Y3500">
        <f>IF(ISNUMBER(Q3500),1,0)</f>
        <v/>
      </c>
      <c r="Z3500">
        <f>IF(AND(K3500=0,L3500=0,Y3500=0),1,0)</f>
        <v/>
      </c>
      <c r="AA3500">
        <f>IF(AND(Z3500=1,G3500&lt;Assumptions!$C$6),1,0)</f>
        <v/>
      </c>
      <c r="AB3500">
        <f>IF(U3500=0,"",IF(Y3500=1,MAX(0,Q3500-G3500),IF(L3500=1,MAX(0,R3500-G3500),MAX(0,Assumptions!$C$6-G3500))))</f>
        <v/>
      </c>
      <c r="AC3500">
        <f>IF(Y3500=1,Q3500-F3500,"")</f>
        <v/>
      </c>
      <c r="AD3500">
        <f>IF(Y3500=1,AC3500^2,"")</f>
        <v/>
      </c>
      <c r="AE3500" s="19">
        <f>IF(Z3500=1,(H3500-M3500)*I3500,0)</f>
        <v/>
      </c>
      <c r="AF3500">
        <f>IF(G3500&lt;EDATE(Assumptions!$C$6,-12)+1,"prior_12m","last_12m")</f>
        <v/>
      </c>
      <c r="AG3500" s="21">
        <f>DATE(YEAR(G3500),MONTH(G3500),1)</f>
        <v/>
      </c>
    </row>
    <row r="3501">
      <c r="A3501" t="inlineStr">
        <is>
          <t>SPO-01868-1</t>
        </is>
      </c>
      <c r="B3501" t="inlineStr">
        <is>
          <t>SPO-01868</t>
        </is>
      </c>
      <c r="C3501" t="inlineStr">
        <is>
          <t>SUP-12</t>
        </is>
      </c>
      <c r="D3501" t="inlineStr">
        <is>
          <t>IT</t>
        </is>
      </c>
      <c r="E3501" t="inlineStr">
        <is>
          <t>IT-06</t>
        </is>
      </c>
      <c r="F3501" s="17" t="n">
        <v>46089</v>
      </c>
      <c r="G3501" s="17" t="n">
        <v>46099</v>
      </c>
      <c r="H3501" s="18" t="n">
        <v>17</v>
      </c>
      <c r="I3501" s="19" t="n">
        <v>99.43000000000001</v>
      </c>
      <c r="J3501" s="19" t="n">
        <v>89</v>
      </c>
      <c r="K3501" s="20" t="n">
        <v>0</v>
      </c>
      <c r="L3501" s="20" t="n">
        <v>0</v>
      </c>
      <c r="M3501" s="18" t="n">
        <v>17</v>
      </c>
      <c r="N3501" s="18" t="n">
        <v>17</v>
      </c>
      <c r="O3501" s="18" t="n">
        <v>0</v>
      </c>
      <c r="P3501" s="17" t="n">
        <v>46092</v>
      </c>
      <c r="Q3501" s="17" t="n">
        <v>46092</v>
      </c>
      <c r="R3501" s="17" t="n">
        <v>46092</v>
      </c>
      <c r="S3501" s="19">
        <f>H3501*I3501</f>
        <v/>
      </c>
      <c r="T3501" s="19">
        <f>H3501*J3501</f>
        <v/>
      </c>
      <c r="U3501">
        <f>IF(AND(K3501=0,G3501&lt;=Assumptions!$C$6),1,0)</f>
        <v/>
      </c>
      <c r="V3501">
        <f>IF(U3501=1,IF(M3501&gt;0,IF(P3501&lt;=G3501+Assumptions!$C$7,1,0),0),0)</f>
        <v/>
      </c>
      <c r="W3501">
        <f>IF(AND(U3501=1,M3501&gt;=H3501*(1-Assumptions!$C$8)),1,0)</f>
        <v/>
      </c>
      <c r="X3501">
        <f>IF(AND(U3501=1,N3501&gt;=H3501*(1-Assumptions!$C$8)),1,0)</f>
        <v/>
      </c>
      <c r="Y3501">
        <f>IF(ISNUMBER(Q3501),1,0)</f>
        <v/>
      </c>
      <c r="Z3501">
        <f>IF(AND(K3501=0,L3501=0,Y3501=0),1,0)</f>
        <v/>
      </c>
      <c r="AA3501">
        <f>IF(AND(Z3501=1,G3501&lt;Assumptions!$C$6),1,0)</f>
        <v/>
      </c>
      <c r="AB3501">
        <f>IF(U3501=0,"",IF(Y3501=1,MAX(0,Q3501-G3501),IF(L3501=1,MAX(0,R3501-G3501),MAX(0,Assumptions!$C$6-G3501))))</f>
        <v/>
      </c>
      <c r="AC3501">
        <f>IF(Y3501=1,Q3501-F3501,"")</f>
        <v/>
      </c>
      <c r="AD3501">
        <f>IF(Y3501=1,AC3501^2,"")</f>
        <v/>
      </c>
      <c r="AE3501" s="19">
        <f>IF(Z3501=1,(H3501-M3501)*I3501,0)</f>
        <v/>
      </c>
      <c r="AF3501">
        <f>IF(G3501&lt;EDATE(Assumptions!$C$6,-12)+1,"prior_12m","last_12m")</f>
        <v/>
      </c>
      <c r="AG3501" s="21">
        <f>DATE(YEAR(G3501),MONTH(G3501),1)</f>
        <v/>
      </c>
    </row>
    <row r="3502">
      <c r="A3502" t="inlineStr">
        <is>
          <t>SPO-01868-2</t>
        </is>
      </c>
      <c r="B3502" t="inlineStr">
        <is>
          <t>SPO-01868</t>
        </is>
      </c>
      <c r="C3502" t="inlineStr">
        <is>
          <t>SUP-12</t>
        </is>
      </c>
      <c r="D3502" t="inlineStr">
        <is>
          <t>IT</t>
        </is>
      </c>
      <c r="E3502" t="inlineStr">
        <is>
          <t>IT-05</t>
        </is>
      </c>
      <c r="F3502" s="17" t="n">
        <v>46089</v>
      </c>
      <c r="G3502" s="17" t="n">
        <v>46099</v>
      </c>
      <c r="H3502" s="18" t="n">
        <v>5</v>
      </c>
      <c r="I3502" s="19" t="n">
        <v>742.59</v>
      </c>
      <c r="J3502" s="19" t="n">
        <v>640</v>
      </c>
      <c r="K3502" s="20" t="n">
        <v>0</v>
      </c>
      <c r="L3502" s="20" t="n">
        <v>0</v>
      </c>
      <c r="M3502" s="18" t="n">
        <v>5</v>
      </c>
      <c r="N3502" s="18" t="n">
        <v>5</v>
      </c>
      <c r="O3502" s="18" t="n">
        <v>0</v>
      </c>
      <c r="P3502" s="17" t="n">
        <v>46099</v>
      </c>
      <c r="Q3502" s="17" t="n">
        <v>46099</v>
      </c>
      <c r="R3502" s="17" t="n">
        <v>46099</v>
      </c>
      <c r="S3502" s="19">
        <f>H3502*I3502</f>
        <v/>
      </c>
      <c r="T3502" s="19">
        <f>H3502*J3502</f>
        <v/>
      </c>
      <c r="U3502">
        <f>IF(AND(K3502=0,G3502&lt;=Assumptions!$C$6),1,0)</f>
        <v/>
      </c>
      <c r="V3502">
        <f>IF(U3502=1,IF(M3502&gt;0,IF(P3502&lt;=G3502+Assumptions!$C$7,1,0),0),0)</f>
        <v/>
      </c>
      <c r="W3502">
        <f>IF(AND(U3502=1,M3502&gt;=H3502*(1-Assumptions!$C$8)),1,0)</f>
        <v/>
      </c>
      <c r="X3502">
        <f>IF(AND(U3502=1,N3502&gt;=H3502*(1-Assumptions!$C$8)),1,0)</f>
        <v/>
      </c>
      <c r="Y3502">
        <f>IF(ISNUMBER(Q3502),1,0)</f>
        <v/>
      </c>
      <c r="Z3502">
        <f>IF(AND(K3502=0,L3502=0,Y3502=0),1,0)</f>
        <v/>
      </c>
      <c r="AA3502">
        <f>IF(AND(Z3502=1,G3502&lt;Assumptions!$C$6),1,0)</f>
        <v/>
      </c>
      <c r="AB3502">
        <f>IF(U3502=0,"",IF(Y3502=1,MAX(0,Q3502-G3502),IF(L3502=1,MAX(0,R3502-G3502),MAX(0,Assumptions!$C$6-G3502))))</f>
        <v/>
      </c>
      <c r="AC3502">
        <f>IF(Y3502=1,Q3502-F3502,"")</f>
        <v/>
      </c>
      <c r="AD3502">
        <f>IF(Y3502=1,AC3502^2,"")</f>
        <v/>
      </c>
      <c r="AE3502" s="19">
        <f>IF(Z3502=1,(H3502-M3502)*I3502,0)</f>
        <v/>
      </c>
      <c r="AF3502">
        <f>IF(G3502&lt;EDATE(Assumptions!$C$6,-12)+1,"prior_12m","last_12m")</f>
        <v/>
      </c>
      <c r="AG3502" s="21">
        <f>DATE(YEAR(G3502),MONTH(G3502),1)</f>
        <v/>
      </c>
    </row>
    <row r="3503">
      <c r="A3503" t="inlineStr">
        <is>
          <t>SPO-01868-3</t>
        </is>
      </c>
      <c r="B3503" t="inlineStr">
        <is>
          <t>SPO-01868</t>
        </is>
      </c>
      <c r="C3503" t="inlineStr">
        <is>
          <t>SUP-12</t>
        </is>
      </c>
      <c r="D3503" t="inlineStr">
        <is>
          <t>IT</t>
        </is>
      </c>
      <c r="E3503" t="inlineStr">
        <is>
          <t>IT-04</t>
        </is>
      </c>
      <c r="F3503" s="17" t="n">
        <v>46089</v>
      </c>
      <c r="G3503" s="17" t="n">
        <v>46099</v>
      </c>
      <c r="H3503" s="18" t="n">
        <v>104</v>
      </c>
      <c r="I3503" s="19" t="n">
        <v>14.15</v>
      </c>
      <c r="J3503" s="19" t="n">
        <v>12</v>
      </c>
      <c r="K3503" s="20" t="n">
        <v>0</v>
      </c>
      <c r="L3503" s="20" t="n">
        <v>0</v>
      </c>
      <c r="M3503" s="18" t="n">
        <v>104</v>
      </c>
      <c r="N3503" s="18" t="n">
        <v>104</v>
      </c>
      <c r="O3503" s="18" t="n">
        <v>0</v>
      </c>
      <c r="P3503" s="17" t="n">
        <v>46097</v>
      </c>
      <c r="Q3503" s="17" t="n">
        <v>46097</v>
      </c>
      <c r="R3503" s="17" t="n">
        <v>46097</v>
      </c>
      <c r="S3503" s="19">
        <f>H3503*I3503</f>
        <v/>
      </c>
      <c r="T3503" s="19">
        <f>H3503*J3503</f>
        <v/>
      </c>
      <c r="U3503">
        <f>IF(AND(K3503=0,G3503&lt;=Assumptions!$C$6),1,0)</f>
        <v/>
      </c>
      <c r="V3503">
        <f>IF(U3503=1,IF(M3503&gt;0,IF(P3503&lt;=G3503+Assumptions!$C$7,1,0),0),0)</f>
        <v/>
      </c>
      <c r="W3503">
        <f>IF(AND(U3503=1,M3503&gt;=H3503*(1-Assumptions!$C$8)),1,0)</f>
        <v/>
      </c>
      <c r="X3503">
        <f>IF(AND(U3503=1,N3503&gt;=H3503*(1-Assumptions!$C$8)),1,0)</f>
        <v/>
      </c>
      <c r="Y3503">
        <f>IF(ISNUMBER(Q3503),1,0)</f>
        <v/>
      </c>
      <c r="Z3503">
        <f>IF(AND(K3503=0,L3503=0,Y3503=0),1,0)</f>
        <v/>
      </c>
      <c r="AA3503">
        <f>IF(AND(Z3503=1,G3503&lt;Assumptions!$C$6),1,0)</f>
        <v/>
      </c>
      <c r="AB3503">
        <f>IF(U3503=0,"",IF(Y3503=1,MAX(0,Q3503-G3503),IF(L3503=1,MAX(0,R3503-G3503),MAX(0,Assumptions!$C$6-G3503))))</f>
        <v/>
      </c>
      <c r="AC3503">
        <f>IF(Y3503=1,Q3503-F3503,"")</f>
        <v/>
      </c>
      <c r="AD3503">
        <f>IF(Y3503=1,AC3503^2,"")</f>
        <v/>
      </c>
      <c r="AE3503" s="19">
        <f>IF(Z3503=1,(H3503-M3503)*I3503,0)</f>
        <v/>
      </c>
      <c r="AF3503">
        <f>IF(G3503&lt;EDATE(Assumptions!$C$6,-12)+1,"prior_12m","last_12m")</f>
        <v/>
      </c>
      <c r="AG3503" s="21">
        <f>DATE(YEAR(G3503),MONTH(G3503),1)</f>
        <v/>
      </c>
    </row>
    <row r="3504">
      <c r="A3504" t="inlineStr">
        <is>
          <t>SPO-01869-1</t>
        </is>
      </c>
      <c r="B3504" t="inlineStr">
        <is>
          <t>SPO-01869</t>
        </is>
      </c>
      <c r="C3504" t="inlineStr">
        <is>
          <t>SUP-01</t>
        </is>
      </c>
      <c r="D3504" t="inlineStr">
        <is>
          <t>ELEC</t>
        </is>
      </c>
      <c r="E3504" t="inlineStr">
        <is>
          <t>ELEC-04</t>
        </is>
      </c>
      <c r="F3504" s="17" t="n">
        <v>46090</v>
      </c>
      <c r="G3504" s="17" t="n">
        <v>46108</v>
      </c>
      <c r="H3504" s="18" t="n">
        <v>19</v>
      </c>
      <c r="I3504" s="19" t="n">
        <v>71.31999999999999</v>
      </c>
      <c r="J3504" s="19" t="n">
        <v>72</v>
      </c>
      <c r="K3504" s="20" t="n">
        <v>1</v>
      </c>
      <c r="L3504" s="20" t="n">
        <v>0</v>
      </c>
      <c r="M3504" s="18" t="n">
        <v>0</v>
      </c>
      <c r="N3504" s="18" t="n">
        <v>0</v>
      </c>
      <c r="O3504" s="18" t="n">
        <v>0</v>
      </c>
      <c r="P3504" s="17" t="n"/>
      <c r="Q3504" s="17" t="n"/>
      <c r="R3504" s="17" t="n"/>
      <c r="S3504" s="19">
        <f>H3504*I3504</f>
        <v/>
      </c>
      <c r="T3504" s="19">
        <f>H3504*J3504</f>
        <v/>
      </c>
      <c r="U3504">
        <f>IF(AND(K3504=0,G3504&lt;=Assumptions!$C$6),1,0)</f>
        <v/>
      </c>
      <c r="V3504">
        <f>IF(U3504=1,IF(M3504&gt;0,IF(P3504&lt;=G3504+Assumptions!$C$7,1,0),0),0)</f>
        <v/>
      </c>
      <c r="W3504">
        <f>IF(AND(U3504=1,M3504&gt;=H3504*(1-Assumptions!$C$8)),1,0)</f>
        <v/>
      </c>
      <c r="X3504">
        <f>IF(AND(U3504=1,N3504&gt;=H3504*(1-Assumptions!$C$8)),1,0)</f>
        <v/>
      </c>
      <c r="Y3504">
        <f>IF(ISNUMBER(Q3504),1,0)</f>
        <v/>
      </c>
      <c r="Z3504">
        <f>IF(AND(K3504=0,L3504=0,Y3504=0),1,0)</f>
        <v/>
      </c>
      <c r="AA3504">
        <f>IF(AND(Z3504=1,G3504&lt;Assumptions!$C$6),1,0)</f>
        <v/>
      </c>
      <c r="AB3504">
        <f>IF(U3504=0,"",IF(Y3504=1,MAX(0,Q3504-G3504),IF(L3504=1,MAX(0,R3504-G3504),MAX(0,Assumptions!$C$6-G3504))))</f>
        <v/>
      </c>
      <c r="AC3504">
        <f>IF(Y3504=1,Q3504-F3504,"")</f>
        <v/>
      </c>
      <c r="AD3504">
        <f>IF(Y3504=1,AC3504^2,"")</f>
        <v/>
      </c>
      <c r="AE3504" s="19">
        <f>IF(Z3504=1,(H3504-M3504)*I3504,0)</f>
        <v/>
      </c>
      <c r="AF3504">
        <f>IF(G3504&lt;EDATE(Assumptions!$C$6,-12)+1,"prior_12m","last_12m")</f>
        <v/>
      </c>
      <c r="AG3504" s="21">
        <f>DATE(YEAR(G3504),MONTH(G3504),1)</f>
        <v/>
      </c>
    </row>
    <row r="3505">
      <c r="A3505" t="inlineStr">
        <is>
          <t>SPO-01869-2</t>
        </is>
      </c>
      <c r="B3505" t="inlineStr">
        <is>
          <t>SPO-01869</t>
        </is>
      </c>
      <c r="C3505" t="inlineStr">
        <is>
          <t>SUP-01</t>
        </is>
      </c>
      <c r="D3505" t="inlineStr">
        <is>
          <t>ELEC</t>
        </is>
      </c>
      <c r="E3505" t="inlineStr">
        <is>
          <t>ELEC-01</t>
        </is>
      </c>
      <c r="F3505" s="17" t="n">
        <v>46090</v>
      </c>
      <c r="G3505" s="17" t="n">
        <v>46108</v>
      </c>
      <c r="H3505" s="18" t="n">
        <v>196</v>
      </c>
      <c r="I3505" s="19" t="n">
        <v>37.65</v>
      </c>
      <c r="J3505" s="19" t="n">
        <v>38</v>
      </c>
      <c r="K3505" s="20" t="n">
        <v>0</v>
      </c>
      <c r="L3505" s="20" t="n">
        <v>0</v>
      </c>
      <c r="M3505" s="18" t="n">
        <v>196</v>
      </c>
      <c r="N3505" s="18" t="n">
        <v>0</v>
      </c>
      <c r="O3505" s="18" t="n">
        <v>0</v>
      </c>
      <c r="P3505" s="17" t="n">
        <v>46111</v>
      </c>
      <c r="Q3505" s="17" t="n">
        <v>46111</v>
      </c>
      <c r="R3505" s="17" t="n">
        <v>46111</v>
      </c>
      <c r="S3505" s="19">
        <f>H3505*I3505</f>
        <v/>
      </c>
      <c r="T3505" s="19">
        <f>H3505*J3505</f>
        <v/>
      </c>
      <c r="U3505">
        <f>IF(AND(K3505=0,G3505&lt;=Assumptions!$C$6),1,0)</f>
        <v/>
      </c>
      <c r="V3505">
        <f>IF(U3505=1,IF(M3505&gt;0,IF(P3505&lt;=G3505+Assumptions!$C$7,1,0),0),0)</f>
        <v/>
      </c>
      <c r="W3505">
        <f>IF(AND(U3505=1,M3505&gt;=H3505*(1-Assumptions!$C$8)),1,0)</f>
        <v/>
      </c>
      <c r="X3505">
        <f>IF(AND(U3505=1,N3505&gt;=H3505*(1-Assumptions!$C$8)),1,0)</f>
        <v/>
      </c>
      <c r="Y3505">
        <f>IF(ISNUMBER(Q3505),1,0)</f>
        <v/>
      </c>
      <c r="Z3505">
        <f>IF(AND(K3505=0,L3505=0,Y3505=0),1,0)</f>
        <v/>
      </c>
      <c r="AA3505">
        <f>IF(AND(Z3505=1,G3505&lt;Assumptions!$C$6),1,0)</f>
        <v/>
      </c>
      <c r="AB3505">
        <f>IF(U3505=0,"",IF(Y3505=1,MAX(0,Q3505-G3505),IF(L3505=1,MAX(0,R3505-G3505),MAX(0,Assumptions!$C$6-G3505))))</f>
        <v/>
      </c>
      <c r="AC3505">
        <f>IF(Y3505=1,Q3505-F3505,"")</f>
        <v/>
      </c>
      <c r="AD3505">
        <f>IF(Y3505=1,AC3505^2,"")</f>
        <v/>
      </c>
      <c r="AE3505" s="19">
        <f>IF(Z3505=1,(H3505-M3505)*I3505,0)</f>
        <v/>
      </c>
      <c r="AF3505">
        <f>IF(G3505&lt;EDATE(Assumptions!$C$6,-12)+1,"prior_12m","last_12m")</f>
        <v/>
      </c>
      <c r="AG3505" s="21">
        <f>DATE(YEAR(G3505),MONTH(G3505),1)</f>
        <v/>
      </c>
    </row>
    <row r="3506">
      <c r="A3506" t="inlineStr">
        <is>
          <t>SPO-01869-3</t>
        </is>
      </c>
      <c r="B3506" t="inlineStr">
        <is>
          <t>SPO-01869</t>
        </is>
      </c>
      <c r="C3506" t="inlineStr">
        <is>
          <t>SUP-01</t>
        </is>
      </c>
      <c r="D3506" t="inlineStr">
        <is>
          <t>ELEC</t>
        </is>
      </c>
      <c r="E3506" t="inlineStr">
        <is>
          <t>ELEC-05</t>
        </is>
      </c>
      <c r="F3506" s="17" t="n">
        <v>46090</v>
      </c>
      <c r="G3506" s="17" t="n">
        <v>46108</v>
      </c>
      <c r="H3506" s="18" t="n">
        <v>217</v>
      </c>
      <c r="I3506" s="19" t="n">
        <v>11.53</v>
      </c>
      <c r="J3506" s="19" t="n">
        <v>11.5</v>
      </c>
      <c r="K3506" s="20" t="n">
        <v>0</v>
      </c>
      <c r="L3506" s="20" t="n">
        <v>0</v>
      </c>
      <c r="M3506" s="18" t="n">
        <v>217</v>
      </c>
      <c r="N3506" s="18" t="n">
        <v>0</v>
      </c>
      <c r="O3506" s="18" t="n">
        <v>0</v>
      </c>
      <c r="P3506" s="17" t="n">
        <v>46166</v>
      </c>
      <c r="Q3506" s="17" t="n">
        <v>46177</v>
      </c>
      <c r="R3506" s="17" t="n">
        <v>46177</v>
      </c>
      <c r="S3506" s="19">
        <f>H3506*I3506</f>
        <v/>
      </c>
      <c r="T3506" s="19">
        <f>H3506*J3506</f>
        <v/>
      </c>
      <c r="U3506">
        <f>IF(AND(K3506=0,G3506&lt;=Assumptions!$C$6),1,0)</f>
        <v/>
      </c>
      <c r="V3506">
        <f>IF(U3506=1,IF(M3506&gt;0,IF(P3506&lt;=G3506+Assumptions!$C$7,1,0),0),0)</f>
        <v/>
      </c>
      <c r="W3506">
        <f>IF(AND(U3506=1,M3506&gt;=H3506*(1-Assumptions!$C$8)),1,0)</f>
        <v/>
      </c>
      <c r="X3506">
        <f>IF(AND(U3506=1,N3506&gt;=H3506*(1-Assumptions!$C$8)),1,0)</f>
        <v/>
      </c>
      <c r="Y3506">
        <f>IF(ISNUMBER(Q3506),1,0)</f>
        <v/>
      </c>
      <c r="Z3506">
        <f>IF(AND(K3506=0,L3506=0,Y3506=0),1,0)</f>
        <v/>
      </c>
      <c r="AA3506">
        <f>IF(AND(Z3506=1,G3506&lt;Assumptions!$C$6),1,0)</f>
        <v/>
      </c>
      <c r="AB3506">
        <f>IF(U3506=0,"",IF(Y3506=1,MAX(0,Q3506-G3506),IF(L3506=1,MAX(0,R3506-G3506),MAX(0,Assumptions!$C$6-G3506))))</f>
        <v/>
      </c>
      <c r="AC3506">
        <f>IF(Y3506=1,Q3506-F3506,"")</f>
        <v/>
      </c>
      <c r="AD3506">
        <f>IF(Y3506=1,AC3506^2,"")</f>
        <v/>
      </c>
      <c r="AE3506" s="19">
        <f>IF(Z3506=1,(H3506-M3506)*I3506,0)</f>
        <v/>
      </c>
      <c r="AF3506">
        <f>IF(G3506&lt;EDATE(Assumptions!$C$6,-12)+1,"prior_12m","last_12m")</f>
        <v/>
      </c>
      <c r="AG3506" s="21">
        <f>DATE(YEAR(G3506),MONTH(G3506),1)</f>
        <v/>
      </c>
    </row>
    <row r="3507">
      <c r="A3507" t="inlineStr">
        <is>
          <t>SPO-01870-1</t>
        </is>
      </c>
      <c r="B3507" t="inlineStr">
        <is>
          <t>SPO-01870</t>
        </is>
      </c>
      <c r="C3507" t="inlineStr">
        <is>
          <t>SUP-09</t>
        </is>
      </c>
      <c r="D3507" t="inlineStr">
        <is>
          <t>CHEM</t>
        </is>
      </c>
      <c r="E3507" t="inlineStr">
        <is>
          <t>CHEM-02</t>
        </is>
      </c>
      <c r="F3507" s="17" t="n">
        <v>46090</v>
      </c>
      <c r="G3507" s="17" t="n">
        <v>46104</v>
      </c>
      <c r="H3507" s="18" t="n">
        <v>3</v>
      </c>
      <c r="I3507" s="19" t="n">
        <v>388.22</v>
      </c>
      <c r="J3507" s="19" t="n">
        <v>410</v>
      </c>
      <c r="K3507" s="20" t="n">
        <v>0</v>
      </c>
      <c r="L3507" s="20" t="n">
        <v>0</v>
      </c>
      <c r="M3507" s="18" t="n">
        <v>3</v>
      </c>
      <c r="N3507" s="18" t="n">
        <v>3</v>
      </c>
      <c r="O3507" s="18" t="n">
        <v>0</v>
      </c>
      <c r="P3507" s="17" t="n">
        <v>46103</v>
      </c>
      <c r="Q3507" s="17" t="n">
        <v>46103</v>
      </c>
      <c r="R3507" s="17" t="n">
        <v>46103</v>
      </c>
      <c r="S3507" s="19">
        <f>H3507*I3507</f>
        <v/>
      </c>
      <c r="T3507" s="19">
        <f>H3507*J3507</f>
        <v/>
      </c>
      <c r="U3507">
        <f>IF(AND(K3507=0,G3507&lt;=Assumptions!$C$6),1,0)</f>
        <v/>
      </c>
      <c r="V3507">
        <f>IF(U3507=1,IF(M3507&gt;0,IF(P3507&lt;=G3507+Assumptions!$C$7,1,0),0),0)</f>
        <v/>
      </c>
      <c r="W3507">
        <f>IF(AND(U3507=1,M3507&gt;=H3507*(1-Assumptions!$C$8)),1,0)</f>
        <v/>
      </c>
      <c r="X3507">
        <f>IF(AND(U3507=1,N3507&gt;=H3507*(1-Assumptions!$C$8)),1,0)</f>
        <v/>
      </c>
      <c r="Y3507">
        <f>IF(ISNUMBER(Q3507),1,0)</f>
        <v/>
      </c>
      <c r="Z3507">
        <f>IF(AND(K3507=0,L3507=0,Y3507=0),1,0)</f>
        <v/>
      </c>
      <c r="AA3507">
        <f>IF(AND(Z3507=1,G3507&lt;Assumptions!$C$6),1,0)</f>
        <v/>
      </c>
      <c r="AB3507">
        <f>IF(U3507=0,"",IF(Y3507=1,MAX(0,Q3507-G3507),IF(L3507=1,MAX(0,R3507-G3507),MAX(0,Assumptions!$C$6-G3507))))</f>
        <v/>
      </c>
      <c r="AC3507">
        <f>IF(Y3507=1,Q3507-F3507,"")</f>
        <v/>
      </c>
      <c r="AD3507">
        <f>IF(Y3507=1,AC3507^2,"")</f>
        <v/>
      </c>
      <c r="AE3507" s="19">
        <f>IF(Z3507=1,(H3507-M3507)*I3507,0)</f>
        <v/>
      </c>
      <c r="AF3507">
        <f>IF(G3507&lt;EDATE(Assumptions!$C$6,-12)+1,"prior_12m","last_12m")</f>
        <v/>
      </c>
      <c r="AG3507" s="21">
        <f>DATE(YEAR(G3507),MONTH(G3507),1)</f>
        <v/>
      </c>
    </row>
    <row r="3508">
      <c r="A3508" t="inlineStr">
        <is>
          <t>SPO-01871-1</t>
        </is>
      </c>
      <c r="B3508" t="inlineStr">
        <is>
          <t>SPO-01871</t>
        </is>
      </c>
      <c r="C3508" t="inlineStr">
        <is>
          <t>SUP-11</t>
        </is>
      </c>
      <c r="D3508" t="inlineStr">
        <is>
          <t>PPE</t>
        </is>
      </c>
      <c r="E3508" t="inlineStr">
        <is>
          <t>PPE-01</t>
        </is>
      </c>
      <c r="F3508" s="17" t="n">
        <v>46090</v>
      </c>
      <c r="G3508" s="17" t="n">
        <v>46102</v>
      </c>
      <c r="H3508" s="18" t="n">
        <v>431</v>
      </c>
      <c r="I3508" s="19" t="n">
        <v>4.75</v>
      </c>
      <c r="J3508" s="19" t="n">
        <v>4.8</v>
      </c>
      <c r="K3508" s="20" t="n">
        <v>0</v>
      </c>
      <c r="L3508" s="20" t="n">
        <v>0</v>
      </c>
      <c r="M3508" s="18" t="n">
        <v>431</v>
      </c>
      <c r="N3508" s="18" t="n">
        <v>431</v>
      </c>
      <c r="O3508" s="18" t="n">
        <v>0</v>
      </c>
      <c r="P3508" s="17" t="n">
        <v>46097</v>
      </c>
      <c r="Q3508" s="17" t="n">
        <v>46097</v>
      </c>
      <c r="R3508" s="17" t="n">
        <v>46097</v>
      </c>
      <c r="S3508" s="19">
        <f>H3508*I3508</f>
        <v/>
      </c>
      <c r="T3508" s="19">
        <f>H3508*J3508</f>
        <v/>
      </c>
      <c r="U3508">
        <f>IF(AND(K3508=0,G3508&lt;=Assumptions!$C$6),1,0)</f>
        <v/>
      </c>
      <c r="V3508">
        <f>IF(U3508=1,IF(M3508&gt;0,IF(P3508&lt;=G3508+Assumptions!$C$7,1,0),0),0)</f>
        <v/>
      </c>
      <c r="W3508">
        <f>IF(AND(U3508=1,M3508&gt;=H3508*(1-Assumptions!$C$8)),1,0)</f>
        <v/>
      </c>
      <c r="X3508">
        <f>IF(AND(U3508=1,N3508&gt;=H3508*(1-Assumptions!$C$8)),1,0)</f>
        <v/>
      </c>
      <c r="Y3508">
        <f>IF(ISNUMBER(Q3508),1,0)</f>
        <v/>
      </c>
      <c r="Z3508">
        <f>IF(AND(K3508=0,L3508=0,Y3508=0),1,0)</f>
        <v/>
      </c>
      <c r="AA3508">
        <f>IF(AND(Z3508=1,G3508&lt;Assumptions!$C$6),1,0)</f>
        <v/>
      </c>
      <c r="AB3508">
        <f>IF(U3508=0,"",IF(Y3508=1,MAX(0,Q3508-G3508),IF(L3508=1,MAX(0,R3508-G3508),MAX(0,Assumptions!$C$6-G3508))))</f>
        <v/>
      </c>
      <c r="AC3508">
        <f>IF(Y3508=1,Q3508-F3508,"")</f>
        <v/>
      </c>
      <c r="AD3508">
        <f>IF(Y3508=1,AC3508^2,"")</f>
        <v/>
      </c>
      <c r="AE3508" s="19">
        <f>IF(Z3508=1,(H3508-M3508)*I3508,0)</f>
        <v/>
      </c>
      <c r="AF3508">
        <f>IF(G3508&lt;EDATE(Assumptions!$C$6,-12)+1,"prior_12m","last_12m")</f>
        <v/>
      </c>
      <c r="AG3508" s="21">
        <f>DATE(YEAR(G3508),MONTH(G3508),1)</f>
        <v/>
      </c>
    </row>
    <row r="3509">
      <c r="A3509" t="inlineStr">
        <is>
          <t>SPO-01871-2</t>
        </is>
      </c>
      <c r="B3509" t="inlineStr">
        <is>
          <t>SPO-01871</t>
        </is>
      </c>
      <c r="C3509" t="inlineStr">
        <is>
          <t>SUP-11</t>
        </is>
      </c>
      <c r="D3509" t="inlineStr">
        <is>
          <t>PPE</t>
        </is>
      </c>
      <c r="E3509" t="inlineStr">
        <is>
          <t>PPE-08</t>
        </is>
      </c>
      <c r="F3509" s="17" t="n">
        <v>46090</v>
      </c>
      <c r="G3509" s="17" t="n">
        <v>46102</v>
      </c>
      <c r="H3509" s="18" t="n">
        <v>16</v>
      </c>
      <c r="I3509" s="19" t="n">
        <v>63.28</v>
      </c>
      <c r="J3509" s="19" t="n">
        <v>64</v>
      </c>
      <c r="K3509" s="20" t="n">
        <v>0</v>
      </c>
      <c r="L3509" s="20" t="n">
        <v>0</v>
      </c>
      <c r="M3509" s="18" t="n">
        <v>16</v>
      </c>
      <c r="N3509" s="18" t="n">
        <v>16</v>
      </c>
      <c r="O3509" s="18" t="n">
        <v>0</v>
      </c>
      <c r="P3509" s="17" t="n">
        <v>46097</v>
      </c>
      <c r="Q3509" s="17" t="n">
        <v>46097</v>
      </c>
      <c r="R3509" s="17" t="n">
        <v>46097</v>
      </c>
      <c r="S3509" s="19">
        <f>H3509*I3509</f>
        <v/>
      </c>
      <c r="T3509" s="19">
        <f>H3509*J3509</f>
        <v/>
      </c>
      <c r="U3509">
        <f>IF(AND(K3509=0,G3509&lt;=Assumptions!$C$6),1,0)</f>
        <v/>
      </c>
      <c r="V3509">
        <f>IF(U3509=1,IF(M3509&gt;0,IF(P3509&lt;=G3509+Assumptions!$C$7,1,0),0),0)</f>
        <v/>
      </c>
      <c r="W3509">
        <f>IF(AND(U3509=1,M3509&gt;=H3509*(1-Assumptions!$C$8)),1,0)</f>
        <v/>
      </c>
      <c r="X3509">
        <f>IF(AND(U3509=1,N3509&gt;=H3509*(1-Assumptions!$C$8)),1,0)</f>
        <v/>
      </c>
      <c r="Y3509">
        <f>IF(ISNUMBER(Q3509),1,0)</f>
        <v/>
      </c>
      <c r="Z3509">
        <f>IF(AND(K3509=0,L3509=0,Y3509=0),1,0)</f>
        <v/>
      </c>
      <c r="AA3509">
        <f>IF(AND(Z3509=1,G3509&lt;Assumptions!$C$6),1,0)</f>
        <v/>
      </c>
      <c r="AB3509">
        <f>IF(U3509=0,"",IF(Y3509=1,MAX(0,Q3509-G3509),IF(L3509=1,MAX(0,R3509-G3509),MAX(0,Assumptions!$C$6-G3509))))</f>
        <v/>
      </c>
      <c r="AC3509">
        <f>IF(Y3509=1,Q3509-F3509,"")</f>
        <v/>
      </c>
      <c r="AD3509">
        <f>IF(Y3509=1,AC3509^2,"")</f>
        <v/>
      </c>
      <c r="AE3509" s="19">
        <f>IF(Z3509=1,(H3509-M3509)*I3509,0)</f>
        <v/>
      </c>
      <c r="AF3509">
        <f>IF(G3509&lt;EDATE(Assumptions!$C$6,-12)+1,"prior_12m","last_12m")</f>
        <v/>
      </c>
      <c r="AG3509" s="21">
        <f>DATE(YEAR(G3509),MONTH(G3509),1)</f>
        <v/>
      </c>
    </row>
    <row r="3510">
      <c r="A3510" t="inlineStr">
        <is>
          <t>SPO-01871-3</t>
        </is>
      </c>
      <c r="B3510" t="inlineStr">
        <is>
          <t>SPO-01871</t>
        </is>
      </c>
      <c r="C3510" t="inlineStr">
        <is>
          <t>SUP-11</t>
        </is>
      </c>
      <c r="D3510" t="inlineStr">
        <is>
          <t>PPE</t>
        </is>
      </c>
      <c r="E3510" t="inlineStr">
        <is>
          <t>PPE-04</t>
        </is>
      </c>
      <c r="F3510" s="17" t="n">
        <v>46090</v>
      </c>
      <c r="G3510" s="17" t="n">
        <v>46102</v>
      </c>
      <c r="H3510" s="18" t="n">
        <v>78</v>
      </c>
      <c r="I3510" s="19" t="n">
        <v>25.78</v>
      </c>
      <c r="J3510" s="19" t="n">
        <v>26</v>
      </c>
      <c r="K3510" s="20" t="n">
        <v>0</v>
      </c>
      <c r="L3510" s="20" t="n">
        <v>0</v>
      </c>
      <c r="M3510" s="18" t="n">
        <v>78</v>
      </c>
      <c r="N3510" s="18" t="n">
        <v>78</v>
      </c>
      <c r="O3510" s="18" t="n">
        <v>0</v>
      </c>
      <c r="P3510" s="17" t="n">
        <v>46099</v>
      </c>
      <c r="Q3510" s="17" t="n">
        <v>46099</v>
      </c>
      <c r="R3510" s="17" t="n">
        <v>46099</v>
      </c>
      <c r="S3510" s="19">
        <f>H3510*I3510</f>
        <v/>
      </c>
      <c r="T3510" s="19">
        <f>H3510*J3510</f>
        <v/>
      </c>
      <c r="U3510">
        <f>IF(AND(K3510=0,G3510&lt;=Assumptions!$C$6),1,0)</f>
        <v/>
      </c>
      <c r="V3510">
        <f>IF(U3510=1,IF(M3510&gt;0,IF(P3510&lt;=G3510+Assumptions!$C$7,1,0),0),0)</f>
        <v/>
      </c>
      <c r="W3510">
        <f>IF(AND(U3510=1,M3510&gt;=H3510*(1-Assumptions!$C$8)),1,0)</f>
        <v/>
      </c>
      <c r="X3510">
        <f>IF(AND(U3510=1,N3510&gt;=H3510*(1-Assumptions!$C$8)),1,0)</f>
        <v/>
      </c>
      <c r="Y3510">
        <f>IF(ISNUMBER(Q3510),1,0)</f>
        <v/>
      </c>
      <c r="Z3510">
        <f>IF(AND(K3510=0,L3510=0,Y3510=0),1,0)</f>
        <v/>
      </c>
      <c r="AA3510">
        <f>IF(AND(Z3510=1,G3510&lt;Assumptions!$C$6),1,0)</f>
        <v/>
      </c>
      <c r="AB3510">
        <f>IF(U3510=0,"",IF(Y3510=1,MAX(0,Q3510-G3510),IF(L3510=1,MAX(0,R3510-G3510),MAX(0,Assumptions!$C$6-G3510))))</f>
        <v/>
      </c>
      <c r="AC3510">
        <f>IF(Y3510=1,Q3510-F3510,"")</f>
        <v/>
      </c>
      <c r="AD3510">
        <f>IF(Y3510=1,AC3510^2,"")</f>
        <v/>
      </c>
      <c r="AE3510" s="19">
        <f>IF(Z3510=1,(H3510-M3510)*I3510,0)</f>
        <v/>
      </c>
      <c r="AF3510">
        <f>IF(G3510&lt;EDATE(Assumptions!$C$6,-12)+1,"prior_12m","last_12m")</f>
        <v/>
      </c>
      <c r="AG3510" s="21">
        <f>DATE(YEAR(G3510),MONTH(G3510),1)</f>
        <v/>
      </c>
    </row>
    <row r="3511">
      <c r="A3511" t="inlineStr">
        <is>
          <t>SPO-01872-1</t>
        </is>
      </c>
      <c r="B3511" t="inlineStr">
        <is>
          <t>SPO-01872</t>
        </is>
      </c>
      <c r="C3511" t="inlineStr">
        <is>
          <t>SUP-02</t>
        </is>
      </c>
      <c r="D3511" t="inlineStr">
        <is>
          <t>ELEC</t>
        </is>
      </c>
      <c r="E3511" t="inlineStr">
        <is>
          <t>ELEC-04</t>
        </is>
      </c>
      <c r="F3511" s="17" t="n">
        <v>46090</v>
      </c>
      <c r="G3511" s="17" t="n">
        <v>46106</v>
      </c>
      <c r="H3511" s="18" t="n">
        <v>21</v>
      </c>
      <c r="I3511" s="19" t="n">
        <v>70.90000000000001</v>
      </c>
      <c r="J3511" s="19" t="n">
        <v>72</v>
      </c>
      <c r="K3511" s="20" t="n">
        <v>0</v>
      </c>
      <c r="L3511" s="20" t="n">
        <v>0</v>
      </c>
      <c r="M3511" s="18" t="n">
        <v>21</v>
      </c>
      <c r="N3511" s="18" t="n">
        <v>21</v>
      </c>
      <c r="O3511" s="18" t="n">
        <v>0</v>
      </c>
      <c r="P3511" s="17" t="n">
        <v>46102</v>
      </c>
      <c r="Q3511" s="17" t="n">
        <v>46102</v>
      </c>
      <c r="R3511" s="17" t="n">
        <v>46102</v>
      </c>
      <c r="S3511" s="19">
        <f>H3511*I3511</f>
        <v/>
      </c>
      <c r="T3511" s="19">
        <f>H3511*J3511</f>
        <v/>
      </c>
      <c r="U3511">
        <f>IF(AND(K3511=0,G3511&lt;=Assumptions!$C$6),1,0)</f>
        <v/>
      </c>
      <c r="V3511">
        <f>IF(U3511=1,IF(M3511&gt;0,IF(P3511&lt;=G3511+Assumptions!$C$7,1,0),0),0)</f>
        <v/>
      </c>
      <c r="W3511">
        <f>IF(AND(U3511=1,M3511&gt;=H3511*(1-Assumptions!$C$8)),1,0)</f>
        <v/>
      </c>
      <c r="X3511">
        <f>IF(AND(U3511=1,N3511&gt;=H3511*(1-Assumptions!$C$8)),1,0)</f>
        <v/>
      </c>
      <c r="Y3511">
        <f>IF(ISNUMBER(Q3511),1,0)</f>
        <v/>
      </c>
      <c r="Z3511">
        <f>IF(AND(K3511=0,L3511=0,Y3511=0),1,0)</f>
        <v/>
      </c>
      <c r="AA3511">
        <f>IF(AND(Z3511=1,G3511&lt;Assumptions!$C$6),1,0)</f>
        <v/>
      </c>
      <c r="AB3511">
        <f>IF(U3511=0,"",IF(Y3511=1,MAX(0,Q3511-G3511),IF(L3511=1,MAX(0,R3511-G3511),MAX(0,Assumptions!$C$6-G3511))))</f>
        <v/>
      </c>
      <c r="AC3511">
        <f>IF(Y3511=1,Q3511-F3511,"")</f>
        <v/>
      </c>
      <c r="AD3511">
        <f>IF(Y3511=1,AC3511^2,"")</f>
        <v/>
      </c>
      <c r="AE3511" s="19">
        <f>IF(Z3511=1,(H3511-M3511)*I3511,0)</f>
        <v/>
      </c>
      <c r="AF3511">
        <f>IF(G3511&lt;EDATE(Assumptions!$C$6,-12)+1,"prior_12m","last_12m")</f>
        <v/>
      </c>
      <c r="AG3511" s="21">
        <f>DATE(YEAR(G3511),MONTH(G3511),1)</f>
        <v/>
      </c>
    </row>
    <row r="3512">
      <c r="A3512" t="inlineStr">
        <is>
          <t>SPO-01873-1</t>
        </is>
      </c>
      <c r="B3512" t="inlineStr">
        <is>
          <t>SPO-01873</t>
        </is>
      </c>
      <c r="C3512" t="inlineStr">
        <is>
          <t>SUP-04</t>
        </is>
      </c>
      <c r="D3512" t="inlineStr">
        <is>
          <t>FLEET</t>
        </is>
      </c>
      <c r="E3512" t="inlineStr">
        <is>
          <t>FLEET-03</t>
        </is>
      </c>
      <c r="F3512" s="17" t="n">
        <v>46091</v>
      </c>
      <c r="G3512" s="17" t="n">
        <v>46104</v>
      </c>
      <c r="H3512" s="18" t="n">
        <v>102</v>
      </c>
      <c r="I3512" s="19" t="n">
        <v>20.56</v>
      </c>
      <c r="J3512" s="19" t="n">
        <v>21</v>
      </c>
      <c r="K3512" s="20" t="n">
        <v>0</v>
      </c>
      <c r="L3512" s="20" t="n">
        <v>0</v>
      </c>
      <c r="M3512" s="18" t="n">
        <v>102</v>
      </c>
      <c r="N3512" s="18" t="n">
        <v>102</v>
      </c>
      <c r="O3512" s="18" t="n">
        <v>0</v>
      </c>
      <c r="P3512" s="17" t="n">
        <v>46096</v>
      </c>
      <c r="Q3512" s="17" t="n">
        <v>46096</v>
      </c>
      <c r="R3512" s="17" t="n">
        <v>46096</v>
      </c>
      <c r="S3512" s="19">
        <f>H3512*I3512</f>
        <v/>
      </c>
      <c r="T3512" s="19">
        <f>H3512*J3512</f>
        <v/>
      </c>
      <c r="U3512">
        <f>IF(AND(K3512=0,G3512&lt;=Assumptions!$C$6),1,0)</f>
        <v/>
      </c>
      <c r="V3512">
        <f>IF(U3512=1,IF(M3512&gt;0,IF(P3512&lt;=G3512+Assumptions!$C$7,1,0),0),0)</f>
        <v/>
      </c>
      <c r="W3512">
        <f>IF(AND(U3512=1,M3512&gt;=H3512*(1-Assumptions!$C$8)),1,0)</f>
        <v/>
      </c>
      <c r="X3512">
        <f>IF(AND(U3512=1,N3512&gt;=H3512*(1-Assumptions!$C$8)),1,0)</f>
        <v/>
      </c>
      <c r="Y3512">
        <f>IF(ISNUMBER(Q3512),1,0)</f>
        <v/>
      </c>
      <c r="Z3512">
        <f>IF(AND(K3512=0,L3512=0,Y3512=0),1,0)</f>
        <v/>
      </c>
      <c r="AA3512">
        <f>IF(AND(Z3512=1,G3512&lt;Assumptions!$C$6),1,0)</f>
        <v/>
      </c>
      <c r="AB3512">
        <f>IF(U3512=0,"",IF(Y3512=1,MAX(0,Q3512-G3512),IF(L3512=1,MAX(0,R3512-G3512),MAX(0,Assumptions!$C$6-G3512))))</f>
        <v/>
      </c>
      <c r="AC3512">
        <f>IF(Y3512=1,Q3512-F3512,"")</f>
        <v/>
      </c>
      <c r="AD3512">
        <f>IF(Y3512=1,AC3512^2,"")</f>
        <v/>
      </c>
      <c r="AE3512" s="19">
        <f>IF(Z3512=1,(H3512-M3512)*I3512,0)</f>
        <v/>
      </c>
      <c r="AF3512">
        <f>IF(G3512&lt;EDATE(Assumptions!$C$6,-12)+1,"prior_12m","last_12m")</f>
        <v/>
      </c>
      <c r="AG3512" s="21">
        <f>DATE(YEAR(G3512),MONTH(G3512),1)</f>
        <v/>
      </c>
    </row>
    <row r="3513">
      <c r="A3513" t="inlineStr">
        <is>
          <t>SPO-01874-1</t>
        </is>
      </c>
      <c r="B3513" t="inlineStr">
        <is>
          <t>SPO-01874</t>
        </is>
      </c>
      <c r="C3513" t="inlineStr">
        <is>
          <t>SUP-14</t>
        </is>
      </c>
      <c r="D3513" t="inlineStr">
        <is>
          <t>FLEET</t>
        </is>
      </c>
      <c r="E3513" t="inlineStr">
        <is>
          <t>FLEET-05</t>
        </is>
      </c>
      <c r="F3513" s="17" t="n">
        <v>46092</v>
      </c>
      <c r="G3513" s="17" t="n">
        <v>46106</v>
      </c>
      <c r="H3513" s="18" t="n">
        <v>6</v>
      </c>
      <c r="I3513" s="19" t="n">
        <v>169.95</v>
      </c>
      <c r="J3513" s="19" t="n">
        <v>168</v>
      </c>
      <c r="K3513" s="20" t="n">
        <v>0</v>
      </c>
      <c r="L3513" s="20" t="n">
        <v>0</v>
      </c>
      <c r="M3513" s="18" t="n">
        <v>6</v>
      </c>
      <c r="N3513" s="18" t="n">
        <v>0</v>
      </c>
      <c r="O3513" s="18" t="n">
        <v>0</v>
      </c>
      <c r="P3513" s="17" t="n">
        <v>46107</v>
      </c>
      <c r="Q3513" s="17" t="n">
        <v>46107</v>
      </c>
      <c r="R3513" s="17" t="n">
        <v>46107</v>
      </c>
      <c r="S3513" s="19">
        <f>H3513*I3513</f>
        <v/>
      </c>
      <c r="T3513" s="19">
        <f>H3513*J3513</f>
        <v/>
      </c>
      <c r="U3513">
        <f>IF(AND(K3513=0,G3513&lt;=Assumptions!$C$6),1,0)</f>
        <v/>
      </c>
      <c r="V3513">
        <f>IF(U3513=1,IF(M3513&gt;0,IF(P3513&lt;=G3513+Assumptions!$C$7,1,0),0),0)</f>
        <v/>
      </c>
      <c r="W3513">
        <f>IF(AND(U3513=1,M3513&gt;=H3513*(1-Assumptions!$C$8)),1,0)</f>
        <v/>
      </c>
      <c r="X3513">
        <f>IF(AND(U3513=1,N3513&gt;=H3513*(1-Assumptions!$C$8)),1,0)</f>
        <v/>
      </c>
      <c r="Y3513">
        <f>IF(ISNUMBER(Q3513),1,0)</f>
        <v/>
      </c>
      <c r="Z3513">
        <f>IF(AND(K3513=0,L3513=0,Y3513=0),1,0)</f>
        <v/>
      </c>
      <c r="AA3513">
        <f>IF(AND(Z3513=1,G3513&lt;Assumptions!$C$6),1,0)</f>
        <v/>
      </c>
      <c r="AB3513">
        <f>IF(U3513=0,"",IF(Y3513=1,MAX(0,Q3513-G3513),IF(L3513=1,MAX(0,R3513-G3513),MAX(0,Assumptions!$C$6-G3513))))</f>
        <v/>
      </c>
      <c r="AC3513">
        <f>IF(Y3513=1,Q3513-F3513,"")</f>
        <v/>
      </c>
      <c r="AD3513">
        <f>IF(Y3513=1,AC3513^2,"")</f>
        <v/>
      </c>
      <c r="AE3513" s="19">
        <f>IF(Z3513=1,(H3513-M3513)*I3513,0)</f>
        <v/>
      </c>
      <c r="AF3513">
        <f>IF(G3513&lt;EDATE(Assumptions!$C$6,-12)+1,"prior_12m","last_12m")</f>
        <v/>
      </c>
      <c r="AG3513" s="21">
        <f>DATE(YEAR(G3513),MONTH(G3513),1)</f>
        <v/>
      </c>
    </row>
    <row r="3514">
      <c r="A3514" t="inlineStr">
        <is>
          <t>SPO-01875-1</t>
        </is>
      </c>
      <c r="B3514" t="inlineStr">
        <is>
          <t>SPO-01875</t>
        </is>
      </c>
      <c r="C3514" t="inlineStr">
        <is>
          <t>SUP-04</t>
        </is>
      </c>
      <c r="D3514" t="inlineStr">
        <is>
          <t>FLEET</t>
        </is>
      </c>
      <c r="E3514" t="inlineStr">
        <is>
          <t>FLEET-07</t>
        </is>
      </c>
      <c r="F3514" s="17" t="n">
        <v>46092</v>
      </c>
      <c r="G3514" s="17" t="n">
        <v>46105</v>
      </c>
      <c r="H3514" s="18" t="n">
        <v>13</v>
      </c>
      <c r="I3514" s="19" t="n">
        <v>115.36</v>
      </c>
      <c r="J3514" s="19" t="n">
        <v>118</v>
      </c>
      <c r="K3514" s="20" t="n">
        <v>0</v>
      </c>
      <c r="L3514" s="20" t="n">
        <v>0</v>
      </c>
      <c r="M3514" s="18" t="n">
        <v>13</v>
      </c>
      <c r="N3514" s="18" t="n">
        <v>13</v>
      </c>
      <c r="O3514" s="18" t="n">
        <v>0</v>
      </c>
      <c r="P3514" s="17" t="n">
        <v>46093</v>
      </c>
      <c r="Q3514" s="17" t="n">
        <v>46093</v>
      </c>
      <c r="R3514" s="17" t="n">
        <v>46093</v>
      </c>
      <c r="S3514" s="19">
        <f>H3514*I3514</f>
        <v/>
      </c>
      <c r="T3514" s="19">
        <f>H3514*J3514</f>
        <v/>
      </c>
      <c r="U3514">
        <f>IF(AND(K3514=0,G3514&lt;=Assumptions!$C$6),1,0)</f>
        <v/>
      </c>
      <c r="V3514">
        <f>IF(U3514=1,IF(M3514&gt;0,IF(P3514&lt;=G3514+Assumptions!$C$7,1,0),0),0)</f>
        <v/>
      </c>
      <c r="W3514">
        <f>IF(AND(U3514=1,M3514&gt;=H3514*(1-Assumptions!$C$8)),1,0)</f>
        <v/>
      </c>
      <c r="X3514">
        <f>IF(AND(U3514=1,N3514&gt;=H3514*(1-Assumptions!$C$8)),1,0)</f>
        <v/>
      </c>
      <c r="Y3514">
        <f>IF(ISNUMBER(Q3514),1,0)</f>
        <v/>
      </c>
      <c r="Z3514">
        <f>IF(AND(K3514=0,L3514=0,Y3514=0),1,0)</f>
        <v/>
      </c>
      <c r="AA3514">
        <f>IF(AND(Z3514=1,G3514&lt;Assumptions!$C$6),1,0)</f>
        <v/>
      </c>
      <c r="AB3514">
        <f>IF(U3514=0,"",IF(Y3514=1,MAX(0,Q3514-G3514),IF(L3514=1,MAX(0,R3514-G3514),MAX(0,Assumptions!$C$6-G3514))))</f>
        <v/>
      </c>
      <c r="AC3514">
        <f>IF(Y3514=1,Q3514-F3514,"")</f>
        <v/>
      </c>
      <c r="AD3514">
        <f>IF(Y3514=1,AC3514^2,"")</f>
        <v/>
      </c>
      <c r="AE3514" s="19">
        <f>IF(Z3514=1,(H3514-M3514)*I3514,0)</f>
        <v/>
      </c>
      <c r="AF3514">
        <f>IF(G3514&lt;EDATE(Assumptions!$C$6,-12)+1,"prior_12m","last_12m")</f>
        <v/>
      </c>
      <c r="AG3514" s="21">
        <f>DATE(YEAR(G3514),MONTH(G3514),1)</f>
        <v/>
      </c>
    </row>
    <row r="3515">
      <c r="A3515" t="inlineStr">
        <is>
          <t>SPO-01875-2</t>
        </is>
      </c>
      <c r="B3515" t="inlineStr">
        <is>
          <t>SPO-01875</t>
        </is>
      </c>
      <c r="C3515" t="inlineStr">
        <is>
          <t>SUP-04</t>
        </is>
      </c>
      <c r="D3515" t="inlineStr">
        <is>
          <t>FLEET</t>
        </is>
      </c>
      <c r="E3515" t="inlineStr">
        <is>
          <t>FLEET-08</t>
        </is>
      </c>
      <c r="F3515" s="17" t="n">
        <v>46092</v>
      </c>
      <c r="G3515" s="17" t="n">
        <v>46105</v>
      </c>
      <c r="H3515" s="18" t="n">
        <v>233</v>
      </c>
      <c r="I3515" s="19" t="n">
        <v>6.79</v>
      </c>
      <c r="J3515" s="19" t="n">
        <v>6.4</v>
      </c>
      <c r="K3515" s="20" t="n">
        <v>0</v>
      </c>
      <c r="L3515" s="20" t="n">
        <v>0</v>
      </c>
      <c r="M3515" s="18" t="n">
        <v>233</v>
      </c>
      <c r="N3515" s="18" t="n">
        <v>233</v>
      </c>
      <c r="O3515" s="18" t="n">
        <v>0</v>
      </c>
      <c r="P3515" s="17" t="n">
        <v>46093</v>
      </c>
      <c r="Q3515" s="17" t="n">
        <v>46093</v>
      </c>
      <c r="R3515" s="17" t="n">
        <v>46093</v>
      </c>
      <c r="S3515" s="19">
        <f>H3515*I3515</f>
        <v/>
      </c>
      <c r="T3515" s="19">
        <f>H3515*J3515</f>
        <v/>
      </c>
      <c r="U3515">
        <f>IF(AND(K3515=0,G3515&lt;=Assumptions!$C$6),1,0)</f>
        <v/>
      </c>
      <c r="V3515">
        <f>IF(U3515=1,IF(M3515&gt;0,IF(P3515&lt;=G3515+Assumptions!$C$7,1,0),0),0)</f>
        <v/>
      </c>
      <c r="W3515">
        <f>IF(AND(U3515=1,M3515&gt;=H3515*(1-Assumptions!$C$8)),1,0)</f>
        <v/>
      </c>
      <c r="X3515">
        <f>IF(AND(U3515=1,N3515&gt;=H3515*(1-Assumptions!$C$8)),1,0)</f>
        <v/>
      </c>
      <c r="Y3515">
        <f>IF(ISNUMBER(Q3515),1,0)</f>
        <v/>
      </c>
      <c r="Z3515">
        <f>IF(AND(K3515=0,L3515=0,Y3515=0),1,0)</f>
        <v/>
      </c>
      <c r="AA3515">
        <f>IF(AND(Z3515=1,G3515&lt;Assumptions!$C$6),1,0)</f>
        <v/>
      </c>
      <c r="AB3515">
        <f>IF(U3515=0,"",IF(Y3515=1,MAX(0,Q3515-G3515),IF(L3515=1,MAX(0,R3515-G3515),MAX(0,Assumptions!$C$6-G3515))))</f>
        <v/>
      </c>
      <c r="AC3515">
        <f>IF(Y3515=1,Q3515-F3515,"")</f>
        <v/>
      </c>
      <c r="AD3515">
        <f>IF(Y3515=1,AC3515^2,"")</f>
        <v/>
      </c>
      <c r="AE3515" s="19">
        <f>IF(Z3515=1,(H3515-M3515)*I3515,0)</f>
        <v/>
      </c>
      <c r="AF3515">
        <f>IF(G3515&lt;EDATE(Assumptions!$C$6,-12)+1,"prior_12m","last_12m")</f>
        <v/>
      </c>
      <c r="AG3515" s="21">
        <f>DATE(YEAR(G3515),MONTH(G3515),1)</f>
        <v/>
      </c>
    </row>
    <row r="3516">
      <c r="A3516" t="inlineStr">
        <is>
          <t>SPO-01876-1</t>
        </is>
      </c>
      <c r="B3516" t="inlineStr">
        <is>
          <t>SPO-01876</t>
        </is>
      </c>
      <c r="C3516" t="inlineStr">
        <is>
          <t>SUP-02</t>
        </is>
      </c>
      <c r="D3516" t="inlineStr">
        <is>
          <t>ELEC</t>
        </is>
      </c>
      <c r="E3516" t="inlineStr">
        <is>
          <t>ELEC-08</t>
        </is>
      </c>
      <c r="F3516" s="17" t="n">
        <v>46092</v>
      </c>
      <c r="G3516" s="17" t="n">
        <v>46108</v>
      </c>
      <c r="H3516" s="18" t="n">
        <v>130</v>
      </c>
      <c r="I3516" s="19" t="n">
        <v>18.58</v>
      </c>
      <c r="J3516" s="19" t="n">
        <v>18</v>
      </c>
      <c r="K3516" s="20" t="n">
        <v>0</v>
      </c>
      <c r="L3516" s="20" t="n">
        <v>0</v>
      </c>
      <c r="M3516" s="18" t="n">
        <v>130</v>
      </c>
      <c r="N3516" s="18" t="n">
        <v>130</v>
      </c>
      <c r="O3516" s="18" t="n">
        <v>0</v>
      </c>
      <c r="P3516" s="17" t="n">
        <v>46105</v>
      </c>
      <c r="Q3516" s="17" t="n">
        <v>46105</v>
      </c>
      <c r="R3516" s="17" t="n">
        <v>46105</v>
      </c>
      <c r="S3516" s="19">
        <f>H3516*I3516</f>
        <v/>
      </c>
      <c r="T3516" s="19">
        <f>H3516*J3516</f>
        <v/>
      </c>
      <c r="U3516">
        <f>IF(AND(K3516=0,G3516&lt;=Assumptions!$C$6),1,0)</f>
        <v/>
      </c>
      <c r="V3516">
        <f>IF(U3516=1,IF(M3516&gt;0,IF(P3516&lt;=G3516+Assumptions!$C$7,1,0),0),0)</f>
        <v/>
      </c>
      <c r="W3516">
        <f>IF(AND(U3516=1,M3516&gt;=H3516*(1-Assumptions!$C$8)),1,0)</f>
        <v/>
      </c>
      <c r="X3516">
        <f>IF(AND(U3516=1,N3516&gt;=H3516*(1-Assumptions!$C$8)),1,0)</f>
        <v/>
      </c>
      <c r="Y3516">
        <f>IF(ISNUMBER(Q3516),1,0)</f>
        <v/>
      </c>
      <c r="Z3516">
        <f>IF(AND(K3516=0,L3516=0,Y3516=0),1,0)</f>
        <v/>
      </c>
      <c r="AA3516">
        <f>IF(AND(Z3516=1,G3516&lt;Assumptions!$C$6),1,0)</f>
        <v/>
      </c>
      <c r="AB3516">
        <f>IF(U3516=0,"",IF(Y3516=1,MAX(0,Q3516-G3516),IF(L3516=1,MAX(0,R3516-G3516),MAX(0,Assumptions!$C$6-G3516))))</f>
        <v/>
      </c>
      <c r="AC3516">
        <f>IF(Y3516=1,Q3516-F3516,"")</f>
        <v/>
      </c>
      <c r="AD3516">
        <f>IF(Y3516=1,AC3516^2,"")</f>
        <v/>
      </c>
      <c r="AE3516" s="19">
        <f>IF(Z3516=1,(H3516-M3516)*I3516,0)</f>
        <v/>
      </c>
      <c r="AF3516">
        <f>IF(G3516&lt;EDATE(Assumptions!$C$6,-12)+1,"prior_12m","last_12m")</f>
        <v/>
      </c>
      <c r="AG3516" s="21">
        <f>DATE(YEAR(G3516),MONTH(G3516),1)</f>
        <v/>
      </c>
    </row>
    <row r="3517">
      <c r="A3517" t="inlineStr">
        <is>
          <t>SPO-01876-2</t>
        </is>
      </c>
      <c r="B3517" t="inlineStr">
        <is>
          <t>SPO-01876</t>
        </is>
      </c>
      <c r="C3517" t="inlineStr">
        <is>
          <t>SUP-02</t>
        </is>
      </c>
      <c r="D3517" t="inlineStr">
        <is>
          <t>ELEC</t>
        </is>
      </c>
      <c r="E3517" t="inlineStr">
        <is>
          <t>ELEC-02</t>
        </is>
      </c>
      <c r="F3517" s="17" t="n">
        <v>46092</v>
      </c>
      <c r="G3517" s="17" t="n">
        <v>46108</v>
      </c>
      <c r="H3517" s="18" t="n">
        <v>230</v>
      </c>
      <c r="I3517" s="19" t="n">
        <v>4.18</v>
      </c>
      <c r="J3517" s="19" t="n">
        <v>4.2</v>
      </c>
      <c r="K3517" s="20" t="n">
        <v>0</v>
      </c>
      <c r="L3517" s="20" t="n">
        <v>0</v>
      </c>
      <c r="M3517" s="18" t="n">
        <v>230</v>
      </c>
      <c r="N3517" s="18" t="n">
        <v>230</v>
      </c>
      <c r="O3517" s="18" t="n">
        <v>0</v>
      </c>
      <c r="P3517" s="17" t="n">
        <v>46105</v>
      </c>
      <c r="Q3517" s="17" t="n">
        <v>46105</v>
      </c>
      <c r="R3517" s="17" t="n">
        <v>46105</v>
      </c>
      <c r="S3517" s="19">
        <f>H3517*I3517</f>
        <v/>
      </c>
      <c r="T3517" s="19">
        <f>H3517*J3517</f>
        <v/>
      </c>
      <c r="U3517">
        <f>IF(AND(K3517=0,G3517&lt;=Assumptions!$C$6),1,0)</f>
        <v/>
      </c>
      <c r="V3517">
        <f>IF(U3517=1,IF(M3517&gt;0,IF(P3517&lt;=G3517+Assumptions!$C$7,1,0),0),0)</f>
        <v/>
      </c>
      <c r="W3517">
        <f>IF(AND(U3517=1,M3517&gt;=H3517*(1-Assumptions!$C$8)),1,0)</f>
        <v/>
      </c>
      <c r="X3517">
        <f>IF(AND(U3517=1,N3517&gt;=H3517*(1-Assumptions!$C$8)),1,0)</f>
        <v/>
      </c>
      <c r="Y3517">
        <f>IF(ISNUMBER(Q3517),1,0)</f>
        <v/>
      </c>
      <c r="Z3517">
        <f>IF(AND(K3517=0,L3517=0,Y3517=0),1,0)</f>
        <v/>
      </c>
      <c r="AA3517">
        <f>IF(AND(Z3517=1,G3517&lt;Assumptions!$C$6),1,0)</f>
        <v/>
      </c>
      <c r="AB3517">
        <f>IF(U3517=0,"",IF(Y3517=1,MAX(0,Q3517-G3517),IF(L3517=1,MAX(0,R3517-G3517),MAX(0,Assumptions!$C$6-G3517))))</f>
        <v/>
      </c>
      <c r="AC3517">
        <f>IF(Y3517=1,Q3517-F3517,"")</f>
        <v/>
      </c>
      <c r="AD3517">
        <f>IF(Y3517=1,AC3517^2,"")</f>
        <v/>
      </c>
      <c r="AE3517" s="19">
        <f>IF(Z3517=1,(H3517-M3517)*I3517,0)</f>
        <v/>
      </c>
      <c r="AF3517">
        <f>IF(G3517&lt;EDATE(Assumptions!$C$6,-12)+1,"prior_12m","last_12m")</f>
        <v/>
      </c>
      <c r="AG3517" s="21">
        <f>DATE(YEAR(G3517),MONTH(G3517),1)</f>
        <v/>
      </c>
    </row>
    <row r="3518">
      <c r="A3518" t="inlineStr">
        <is>
          <t>SPO-01876-3</t>
        </is>
      </c>
      <c r="B3518" t="inlineStr">
        <is>
          <t>SPO-01876</t>
        </is>
      </c>
      <c r="C3518" t="inlineStr">
        <is>
          <t>SUP-02</t>
        </is>
      </c>
      <c r="D3518" t="inlineStr">
        <is>
          <t>ELEC</t>
        </is>
      </c>
      <c r="E3518" t="inlineStr">
        <is>
          <t>ELEC-03</t>
        </is>
      </c>
      <c r="F3518" s="17" t="n">
        <v>46092</v>
      </c>
      <c r="G3518" s="17" t="n">
        <v>46108</v>
      </c>
      <c r="H3518" s="18" t="n">
        <v>11</v>
      </c>
      <c r="I3518" s="19" t="n">
        <v>92.09999999999999</v>
      </c>
      <c r="J3518" s="19" t="n">
        <v>96</v>
      </c>
      <c r="K3518" s="20" t="n">
        <v>0</v>
      </c>
      <c r="L3518" s="20" t="n">
        <v>0</v>
      </c>
      <c r="M3518" s="18" t="n">
        <v>11</v>
      </c>
      <c r="N3518" s="18" t="n">
        <v>5</v>
      </c>
      <c r="O3518" s="18" t="n">
        <v>0</v>
      </c>
      <c r="P3518" s="17" t="n">
        <v>46103</v>
      </c>
      <c r="Q3518" s="17" t="n">
        <v>46117</v>
      </c>
      <c r="R3518" s="17" t="n">
        <v>46117</v>
      </c>
      <c r="S3518" s="19">
        <f>H3518*I3518</f>
        <v/>
      </c>
      <c r="T3518" s="19">
        <f>H3518*J3518</f>
        <v/>
      </c>
      <c r="U3518">
        <f>IF(AND(K3518=0,G3518&lt;=Assumptions!$C$6),1,0)</f>
        <v/>
      </c>
      <c r="V3518">
        <f>IF(U3518=1,IF(M3518&gt;0,IF(P3518&lt;=G3518+Assumptions!$C$7,1,0),0),0)</f>
        <v/>
      </c>
      <c r="W3518">
        <f>IF(AND(U3518=1,M3518&gt;=H3518*(1-Assumptions!$C$8)),1,0)</f>
        <v/>
      </c>
      <c r="X3518">
        <f>IF(AND(U3518=1,N3518&gt;=H3518*(1-Assumptions!$C$8)),1,0)</f>
        <v/>
      </c>
      <c r="Y3518">
        <f>IF(ISNUMBER(Q3518),1,0)</f>
        <v/>
      </c>
      <c r="Z3518">
        <f>IF(AND(K3518=0,L3518=0,Y3518=0),1,0)</f>
        <v/>
      </c>
      <c r="AA3518">
        <f>IF(AND(Z3518=1,G3518&lt;Assumptions!$C$6),1,0)</f>
        <v/>
      </c>
      <c r="AB3518">
        <f>IF(U3518=0,"",IF(Y3518=1,MAX(0,Q3518-G3518),IF(L3518=1,MAX(0,R3518-G3518),MAX(0,Assumptions!$C$6-G3518))))</f>
        <v/>
      </c>
      <c r="AC3518">
        <f>IF(Y3518=1,Q3518-F3518,"")</f>
        <v/>
      </c>
      <c r="AD3518">
        <f>IF(Y3518=1,AC3518^2,"")</f>
        <v/>
      </c>
      <c r="AE3518" s="19">
        <f>IF(Z3518=1,(H3518-M3518)*I3518,0)</f>
        <v/>
      </c>
      <c r="AF3518">
        <f>IF(G3518&lt;EDATE(Assumptions!$C$6,-12)+1,"prior_12m","last_12m")</f>
        <v/>
      </c>
      <c r="AG3518" s="21">
        <f>DATE(YEAR(G3518),MONTH(G3518),1)</f>
        <v/>
      </c>
    </row>
    <row r="3519">
      <c r="A3519" t="inlineStr">
        <is>
          <t>SPO-01877-1</t>
        </is>
      </c>
      <c r="B3519" t="inlineStr">
        <is>
          <t>SPO-01877</t>
        </is>
      </c>
      <c r="C3519" t="inlineStr">
        <is>
          <t>SUP-01</t>
        </is>
      </c>
      <c r="D3519" t="inlineStr">
        <is>
          <t>ELEC</t>
        </is>
      </c>
      <c r="E3519" t="inlineStr">
        <is>
          <t>ELEC-02</t>
        </is>
      </c>
      <c r="F3519" s="17" t="n">
        <v>46093</v>
      </c>
      <c r="G3519" s="17" t="n">
        <v>46111</v>
      </c>
      <c r="H3519" s="18" t="n">
        <v>667</v>
      </c>
      <c r="I3519" s="19" t="n">
        <v>4.16</v>
      </c>
      <c r="J3519" s="19" t="n">
        <v>4.2</v>
      </c>
      <c r="K3519" s="20" t="n">
        <v>0</v>
      </c>
      <c r="L3519" s="20" t="n">
        <v>0</v>
      </c>
      <c r="M3519" s="18" t="n">
        <v>667</v>
      </c>
      <c r="N3519" s="18" t="n">
        <v>667</v>
      </c>
      <c r="O3519" s="18" t="n">
        <v>0</v>
      </c>
      <c r="P3519" s="17" t="n">
        <v>46110</v>
      </c>
      <c r="Q3519" s="17" t="n">
        <v>46110</v>
      </c>
      <c r="R3519" s="17" t="n">
        <v>46110</v>
      </c>
      <c r="S3519" s="19">
        <f>H3519*I3519</f>
        <v/>
      </c>
      <c r="T3519" s="19">
        <f>H3519*J3519</f>
        <v/>
      </c>
      <c r="U3519">
        <f>IF(AND(K3519=0,G3519&lt;=Assumptions!$C$6),1,0)</f>
        <v/>
      </c>
      <c r="V3519">
        <f>IF(U3519=1,IF(M3519&gt;0,IF(P3519&lt;=G3519+Assumptions!$C$7,1,0),0),0)</f>
        <v/>
      </c>
      <c r="W3519">
        <f>IF(AND(U3519=1,M3519&gt;=H3519*(1-Assumptions!$C$8)),1,0)</f>
        <v/>
      </c>
      <c r="X3519">
        <f>IF(AND(U3519=1,N3519&gt;=H3519*(1-Assumptions!$C$8)),1,0)</f>
        <v/>
      </c>
      <c r="Y3519">
        <f>IF(ISNUMBER(Q3519),1,0)</f>
        <v/>
      </c>
      <c r="Z3519">
        <f>IF(AND(K3519=0,L3519=0,Y3519=0),1,0)</f>
        <v/>
      </c>
      <c r="AA3519">
        <f>IF(AND(Z3519=1,G3519&lt;Assumptions!$C$6),1,0)</f>
        <v/>
      </c>
      <c r="AB3519">
        <f>IF(U3519=0,"",IF(Y3519=1,MAX(0,Q3519-G3519),IF(L3519=1,MAX(0,R3519-G3519),MAX(0,Assumptions!$C$6-G3519))))</f>
        <v/>
      </c>
      <c r="AC3519">
        <f>IF(Y3519=1,Q3519-F3519,"")</f>
        <v/>
      </c>
      <c r="AD3519">
        <f>IF(Y3519=1,AC3519^2,"")</f>
        <v/>
      </c>
      <c r="AE3519" s="19">
        <f>IF(Z3519=1,(H3519-M3519)*I3519,0)</f>
        <v/>
      </c>
      <c r="AF3519">
        <f>IF(G3519&lt;EDATE(Assumptions!$C$6,-12)+1,"prior_12m","last_12m")</f>
        <v/>
      </c>
      <c r="AG3519" s="21">
        <f>DATE(YEAR(G3519),MONTH(G3519),1)</f>
        <v/>
      </c>
    </row>
    <row r="3520">
      <c r="A3520" t="inlineStr">
        <is>
          <t>SPO-01877-2</t>
        </is>
      </c>
      <c r="B3520" t="inlineStr">
        <is>
          <t>SPO-01877</t>
        </is>
      </c>
      <c r="C3520" t="inlineStr">
        <is>
          <t>SUP-01</t>
        </is>
      </c>
      <c r="D3520" t="inlineStr">
        <is>
          <t>ELEC</t>
        </is>
      </c>
      <c r="E3520" t="inlineStr">
        <is>
          <t>ELEC-01</t>
        </is>
      </c>
      <c r="F3520" s="17" t="n">
        <v>46093</v>
      </c>
      <c r="G3520" s="17" t="n">
        <v>46111</v>
      </c>
      <c r="H3520" s="18" t="n">
        <v>179</v>
      </c>
      <c r="I3520" s="19" t="n">
        <v>38.15</v>
      </c>
      <c r="J3520" s="19" t="n">
        <v>38</v>
      </c>
      <c r="K3520" s="20" t="n">
        <v>1</v>
      </c>
      <c r="L3520" s="20" t="n">
        <v>0</v>
      </c>
      <c r="M3520" s="18" t="n">
        <v>0</v>
      </c>
      <c r="N3520" s="18" t="n">
        <v>0</v>
      </c>
      <c r="O3520" s="18" t="n">
        <v>0</v>
      </c>
      <c r="P3520" s="17" t="n"/>
      <c r="Q3520" s="17" t="n"/>
      <c r="R3520" s="17" t="n"/>
      <c r="S3520" s="19">
        <f>H3520*I3520</f>
        <v/>
      </c>
      <c r="T3520" s="19">
        <f>H3520*J3520</f>
        <v/>
      </c>
      <c r="U3520">
        <f>IF(AND(K3520=0,G3520&lt;=Assumptions!$C$6),1,0)</f>
        <v/>
      </c>
      <c r="V3520">
        <f>IF(U3520=1,IF(M3520&gt;0,IF(P3520&lt;=G3520+Assumptions!$C$7,1,0),0),0)</f>
        <v/>
      </c>
      <c r="W3520">
        <f>IF(AND(U3520=1,M3520&gt;=H3520*(1-Assumptions!$C$8)),1,0)</f>
        <v/>
      </c>
      <c r="X3520">
        <f>IF(AND(U3520=1,N3520&gt;=H3520*(1-Assumptions!$C$8)),1,0)</f>
        <v/>
      </c>
      <c r="Y3520">
        <f>IF(ISNUMBER(Q3520),1,0)</f>
        <v/>
      </c>
      <c r="Z3520">
        <f>IF(AND(K3520=0,L3520=0,Y3520=0),1,0)</f>
        <v/>
      </c>
      <c r="AA3520">
        <f>IF(AND(Z3520=1,G3520&lt;Assumptions!$C$6),1,0)</f>
        <v/>
      </c>
      <c r="AB3520">
        <f>IF(U3520=0,"",IF(Y3520=1,MAX(0,Q3520-G3520),IF(L3520=1,MAX(0,R3520-G3520),MAX(0,Assumptions!$C$6-G3520))))</f>
        <v/>
      </c>
      <c r="AC3520">
        <f>IF(Y3520=1,Q3520-F3520,"")</f>
        <v/>
      </c>
      <c r="AD3520">
        <f>IF(Y3520=1,AC3520^2,"")</f>
        <v/>
      </c>
      <c r="AE3520" s="19">
        <f>IF(Z3520=1,(H3520-M3520)*I3520,0)</f>
        <v/>
      </c>
      <c r="AF3520">
        <f>IF(G3520&lt;EDATE(Assumptions!$C$6,-12)+1,"prior_12m","last_12m")</f>
        <v/>
      </c>
      <c r="AG3520" s="21">
        <f>DATE(YEAR(G3520),MONTH(G3520),1)</f>
        <v/>
      </c>
    </row>
    <row r="3521">
      <c r="A3521" t="inlineStr">
        <is>
          <t>SPO-01877-3</t>
        </is>
      </c>
      <c r="B3521" t="inlineStr">
        <is>
          <t>SPO-01877</t>
        </is>
      </c>
      <c r="C3521" t="inlineStr">
        <is>
          <t>SUP-01</t>
        </is>
      </c>
      <c r="D3521" t="inlineStr">
        <is>
          <t>ELEC</t>
        </is>
      </c>
      <c r="E3521" t="inlineStr">
        <is>
          <t>ELEC-03</t>
        </is>
      </c>
      <c r="F3521" s="17" t="n">
        <v>46093</v>
      </c>
      <c r="G3521" s="17" t="n">
        <v>46111</v>
      </c>
      <c r="H3521" s="18" t="n">
        <v>13</v>
      </c>
      <c r="I3521" s="19" t="n">
        <v>91.37</v>
      </c>
      <c r="J3521" s="19" t="n">
        <v>96</v>
      </c>
      <c r="K3521" s="20" t="n">
        <v>0</v>
      </c>
      <c r="L3521" s="20" t="n">
        <v>0</v>
      </c>
      <c r="M3521" s="18" t="n">
        <v>13</v>
      </c>
      <c r="N3521" s="18" t="n">
        <v>13</v>
      </c>
      <c r="O3521" s="18" t="n">
        <v>0</v>
      </c>
      <c r="P3521" s="17" t="n">
        <v>46104</v>
      </c>
      <c r="Q3521" s="17" t="n">
        <v>46104</v>
      </c>
      <c r="R3521" s="17" t="n">
        <v>46104</v>
      </c>
      <c r="S3521" s="19">
        <f>H3521*I3521</f>
        <v/>
      </c>
      <c r="T3521" s="19">
        <f>H3521*J3521</f>
        <v/>
      </c>
      <c r="U3521">
        <f>IF(AND(K3521=0,G3521&lt;=Assumptions!$C$6),1,0)</f>
        <v/>
      </c>
      <c r="V3521">
        <f>IF(U3521=1,IF(M3521&gt;0,IF(P3521&lt;=G3521+Assumptions!$C$7,1,0),0),0)</f>
        <v/>
      </c>
      <c r="W3521">
        <f>IF(AND(U3521=1,M3521&gt;=H3521*(1-Assumptions!$C$8)),1,0)</f>
        <v/>
      </c>
      <c r="X3521">
        <f>IF(AND(U3521=1,N3521&gt;=H3521*(1-Assumptions!$C$8)),1,0)</f>
        <v/>
      </c>
      <c r="Y3521">
        <f>IF(ISNUMBER(Q3521),1,0)</f>
        <v/>
      </c>
      <c r="Z3521">
        <f>IF(AND(K3521=0,L3521=0,Y3521=0),1,0)</f>
        <v/>
      </c>
      <c r="AA3521">
        <f>IF(AND(Z3521=1,G3521&lt;Assumptions!$C$6),1,0)</f>
        <v/>
      </c>
      <c r="AB3521">
        <f>IF(U3521=0,"",IF(Y3521=1,MAX(0,Q3521-G3521),IF(L3521=1,MAX(0,R3521-G3521),MAX(0,Assumptions!$C$6-G3521))))</f>
        <v/>
      </c>
      <c r="AC3521">
        <f>IF(Y3521=1,Q3521-F3521,"")</f>
        <v/>
      </c>
      <c r="AD3521">
        <f>IF(Y3521=1,AC3521^2,"")</f>
        <v/>
      </c>
      <c r="AE3521" s="19">
        <f>IF(Z3521=1,(H3521-M3521)*I3521,0)</f>
        <v/>
      </c>
      <c r="AF3521">
        <f>IF(G3521&lt;EDATE(Assumptions!$C$6,-12)+1,"prior_12m","last_12m")</f>
        <v/>
      </c>
      <c r="AG3521" s="21">
        <f>DATE(YEAR(G3521),MONTH(G3521),1)</f>
        <v/>
      </c>
    </row>
    <row r="3522">
      <c r="A3522" t="inlineStr">
        <is>
          <t>SPO-01877-4</t>
        </is>
      </c>
      <c r="B3522" t="inlineStr">
        <is>
          <t>SPO-01877</t>
        </is>
      </c>
      <c r="C3522" t="inlineStr">
        <is>
          <t>SUP-01</t>
        </is>
      </c>
      <c r="D3522" t="inlineStr">
        <is>
          <t>ELEC</t>
        </is>
      </c>
      <c r="E3522" t="inlineStr">
        <is>
          <t>ELEC-07</t>
        </is>
      </c>
      <c r="F3522" s="17" t="n">
        <v>46093</v>
      </c>
      <c r="G3522" s="17" t="n">
        <v>46111</v>
      </c>
      <c r="H3522" s="18" t="n">
        <v>430</v>
      </c>
      <c r="I3522" s="19" t="n">
        <v>10.13</v>
      </c>
      <c r="J3522" s="19" t="n">
        <v>9.800000000000001</v>
      </c>
      <c r="K3522" s="20" t="n">
        <v>0</v>
      </c>
      <c r="L3522" s="20" t="n">
        <v>0</v>
      </c>
      <c r="M3522" s="18" t="n">
        <v>430</v>
      </c>
      <c r="N3522" s="18" t="n">
        <v>0</v>
      </c>
      <c r="O3522" s="18" t="n">
        <v>0</v>
      </c>
      <c r="P3522" s="17" t="n">
        <v>46113</v>
      </c>
      <c r="Q3522" s="17" t="n">
        <v>46113</v>
      </c>
      <c r="R3522" s="17" t="n">
        <v>46113</v>
      </c>
      <c r="S3522" s="19">
        <f>H3522*I3522</f>
        <v/>
      </c>
      <c r="T3522" s="19">
        <f>H3522*J3522</f>
        <v/>
      </c>
      <c r="U3522">
        <f>IF(AND(K3522=0,G3522&lt;=Assumptions!$C$6),1,0)</f>
        <v/>
      </c>
      <c r="V3522">
        <f>IF(U3522=1,IF(M3522&gt;0,IF(P3522&lt;=G3522+Assumptions!$C$7,1,0),0),0)</f>
        <v/>
      </c>
      <c r="W3522">
        <f>IF(AND(U3522=1,M3522&gt;=H3522*(1-Assumptions!$C$8)),1,0)</f>
        <v/>
      </c>
      <c r="X3522">
        <f>IF(AND(U3522=1,N3522&gt;=H3522*(1-Assumptions!$C$8)),1,0)</f>
        <v/>
      </c>
      <c r="Y3522">
        <f>IF(ISNUMBER(Q3522),1,0)</f>
        <v/>
      </c>
      <c r="Z3522">
        <f>IF(AND(K3522=0,L3522=0,Y3522=0),1,0)</f>
        <v/>
      </c>
      <c r="AA3522">
        <f>IF(AND(Z3522=1,G3522&lt;Assumptions!$C$6),1,0)</f>
        <v/>
      </c>
      <c r="AB3522">
        <f>IF(U3522=0,"",IF(Y3522=1,MAX(0,Q3522-G3522),IF(L3522=1,MAX(0,R3522-G3522),MAX(0,Assumptions!$C$6-G3522))))</f>
        <v/>
      </c>
      <c r="AC3522">
        <f>IF(Y3522=1,Q3522-F3522,"")</f>
        <v/>
      </c>
      <c r="AD3522">
        <f>IF(Y3522=1,AC3522^2,"")</f>
        <v/>
      </c>
      <c r="AE3522" s="19">
        <f>IF(Z3522=1,(H3522-M3522)*I3522,0)</f>
        <v/>
      </c>
      <c r="AF3522">
        <f>IF(G3522&lt;EDATE(Assumptions!$C$6,-12)+1,"prior_12m","last_12m")</f>
        <v/>
      </c>
      <c r="AG3522" s="21">
        <f>DATE(YEAR(G3522),MONTH(G3522),1)</f>
        <v/>
      </c>
    </row>
    <row r="3523">
      <c r="A3523" t="inlineStr">
        <is>
          <t>SPO-01878-1</t>
        </is>
      </c>
      <c r="B3523" t="inlineStr">
        <is>
          <t>SPO-01878</t>
        </is>
      </c>
      <c r="C3523" t="inlineStr">
        <is>
          <t>SUP-01</t>
        </is>
      </c>
      <c r="D3523" t="inlineStr">
        <is>
          <t>ELEC</t>
        </is>
      </c>
      <c r="E3523" t="inlineStr">
        <is>
          <t>ELEC-06</t>
        </is>
      </c>
      <c r="F3523" s="17" t="n">
        <v>46093</v>
      </c>
      <c r="G3523" s="17" t="n">
        <v>46111</v>
      </c>
      <c r="H3523" s="18" t="n">
        <v>49</v>
      </c>
      <c r="I3523" s="19" t="n">
        <v>147.87</v>
      </c>
      <c r="J3523" s="19" t="n">
        <v>145</v>
      </c>
      <c r="K3523" s="20" t="n">
        <v>0</v>
      </c>
      <c r="L3523" s="20" t="n">
        <v>0</v>
      </c>
      <c r="M3523" s="18" t="n">
        <v>49</v>
      </c>
      <c r="N3523" s="18" t="n">
        <v>0</v>
      </c>
      <c r="O3523" s="18" t="n">
        <v>0</v>
      </c>
      <c r="P3523" s="17" t="n">
        <v>46115</v>
      </c>
      <c r="Q3523" s="17" t="n">
        <v>46115</v>
      </c>
      <c r="R3523" s="17" t="n">
        <v>46115</v>
      </c>
      <c r="S3523" s="19">
        <f>H3523*I3523</f>
        <v/>
      </c>
      <c r="T3523" s="19">
        <f>H3523*J3523</f>
        <v/>
      </c>
      <c r="U3523">
        <f>IF(AND(K3523=0,G3523&lt;=Assumptions!$C$6),1,0)</f>
        <v/>
      </c>
      <c r="V3523">
        <f>IF(U3523=1,IF(M3523&gt;0,IF(P3523&lt;=G3523+Assumptions!$C$7,1,0),0),0)</f>
        <v/>
      </c>
      <c r="W3523">
        <f>IF(AND(U3523=1,M3523&gt;=H3523*(1-Assumptions!$C$8)),1,0)</f>
        <v/>
      </c>
      <c r="X3523">
        <f>IF(AND(U3523=1,N3523&gt;=H3523*(1-Assumptions!$C$8)),1,0)</f>
        <v/>
      </c>
      <c r="Y3523">
        <f>IF(ISNUMBER(Q3523),1,0)</f>
        <v/>
      </c>
      <c r="Z3523">
        <f>IF(AND(K3523=0,L3523=0,Y3523=0),1,0)</f>
        <v/>
      </c>
      <c r="AA3523">
        <f>IF(AND(Z3523=1,G3523&lt;Assumptions!$C$6),1,0)</f>
        <v/>
      </c>
      <c r="AB3523">
        <f>IF(U3523=0,"",IF(Y3523=1,MAX(0,Q3523-G3523),IF(L3523=1,MAX(0,R3523-G3523),MAX(0,Assumptions!$C$6-G3523))))</f>
        <v/>
      </c>
      <c r="AC3523">
        <f>IF(Y3523=1,Q3523-F3523,"")</f>
        <v/>
      </c>
      <c r="AD3523">
        <f>IF(Y3523=1,AC3523^2,"")</f>
        <v/>
      </c>
      <c r="AE3523" s="19">
        <f>IF(Z3523=1,(H3523-M3523)*I3523,0)</f>
        <v/>
      </c>
      <c r="AF3523">
        <f>IF(G3523&lt;EDATE(Assumptions!$C$6,-12)+1,"prior_12m","last_12m")</f>
        <v/>
      </c>
      <c r="AG3523" s="21">
        <f>DATE(YEAR(G3523),MONTH(G3523),1)</f>
        <v/>
      </c>
    </row>
    <row r="3524">
      <c r="A3524" t="inlineStr">
        <is>
          <t>SPO-01878-2</t>
        </is>
      </c>
      <c r="B3524" t="inlineStr">
        <is>
          <t>SPO-01878</t>
        </is>
      </c>
      <c r="C3524" t="inlineStr">
        <is>
          <t>SUP-01</t>
        </is>
      </c>
      <c r="D3524" t="inlineStr">
        <is>
          <t>ELEC</t>
        </is>
      </c>
      <c r="E3524" t="inlineStr">
        <is>
          <t>ELEC-02</t>
        </is>
      </c>
      <c r="F3524" s="17" t="n">
        <v>46093</v>
      </c>
      <c r="G3524" s="17" t="n">
        <v>46111</v>
      </c>
      <c r="H3524" s="18" t="n">
        <v>712</v>
      </c>
      <c r="I3524" s="19" t="n">
        <v>4.25</v>
      </c>
      <c r="J3524" s="19" t="n">
        <v>4.2</v>
      </c>
      <c r="K3524" s="20" t="n">
        <v>0</v>
      </c>
      <c r="L3524" s="20" t="n">
        <v>0</v>
      </c>
      <c r="M3524" s="18" t="n">
        <v>712</v>
      </c>
      <c r="N3524" s="18" t="n">
        <v>712</v>
      </c>
      <c r="O3524" s="18" t="n">
        <v>0</v>
      </c>
      <c r="P3524" s="17" t="n">
        <v>46094</v>
      </c>
      <c r="Q3524" s="17" t="n">
        <v>46094</v>
      </c>
      <c r="R3524" s="17" t="n">
        <v>46094</v>
      </c>
      <c r="S3524" s="19">
        <f>H3524*I3524</f>
        <v/>
      </c>
      <c r="T3524" s="19">
        <f>H3524*J3524</f>
        <v/>
      </c>
      <c r="U3524">
        <f>IF(AND(K3524=0,G3524&lt;=Assumptions!$C$6),1,0)</f>
        <v/>
      </c>
      <c r="V3524">
        <f>IF(U3524=1,IF(M3524&gt;0,IF(P3524&lt;=G3524+Assumptions!$C$7,1,0),0),0)</f>
        <v/>
      </c>
      <c r="W3524">
        <f>IF(AND(U3524=1,M3524&gt;=H3524*(1-Assumptions!$C$8)),1,0)</f>
        <v/>
      </c>
      <c r="X3524">
        <f>IF(AND(U3524=1,N3524&gt;=H3524*(1-Assumptions!$C$8)),1,0)</f>
        <v/>
      </c>
      <c r="Y3524">
        <f>IF(ISNUMBER(Q3524),1,0)</f>
        <v/>
      </c>
      <c r="Z3524">
        <f>IF(AND(K3524=0,L3524=0,Y3524=0),1,0)</f>
        <v/>
      </c>
      <c r="AA3524">
        <f>IF(AND(Z3524=1,G3524&lt;Assumptions!$C$6),1,0)</f>
        <v/>
      </c>
      <c r="AB3524">
        <f>IF(U3524=0,"",IF(Y3524=1,MAX(0,Q3524-G3524),IF(L3524=1,MAX(0,R3524-G3524),MAX(0,Assumptions!$C$6-G3524))))</f>
        <v/>
      </c>
      <c r="AC3524">
        <f>IF(Y3524=1,Q3524-F3524,"")</f>
        <v/>
      </c>
      <c r="AD3524">
        <f>IF(Y3524=1,AC3524^2,"")</f>
        <v/>
      </c>
      <c r="AE3524" s="19">
        <f>IF(Z3524=1,(H3524-M3524)*I3524,0)</f>
        <v/>
      </c>
      <c r="AF3524">
        <f>IF(G3524&lt;EDATE(Assumptions!$C$6,-12)+1,"prior_12m","last_12m")</f>
        <v/>
      </c>
      <c r="AG3524" s="21">
        <f>DATE(YEAR(G3524),MONTH(G3524),1)</f>
        <v/>
      </c>
    </row>
    <row r="3525">
      <c r="A3525" t="inlineStr">
        <is>
          <t>SPO-01879-1</t>
        </is>
      </c>
      <c r="B3525" t="inlineStr">
        <is>
          <t>SPO-01879</t>
        </is>
      </c>
      <c r="C3525" t="inlineStr">
        <is>
          <t>SUP-01</t>
        </is>
      </c>
      <c r="D3525" t="inlineStr">
        <is>
          <t>ELEC</t>
        </is>
      </c>
      <c r="E3525" t="inlineStr">
        <is>
          <t>ELEC-02</t>
        </is>
      </c>
      <c r="F3525" s="17" t="n">
        <v>46093</v>
      </c>
      <c r="G3525" s="17" t="n">
        <v>46111</v>
      </c>
      <c r="H3525" s="18" t="n">
        <v>449</v>
      </c>
      <c r="I3525" s="19" t="n">
        <v>4.03</v>
      </c>
      <c r="J3525" s="19" t="n">
        <v>4.2</v>
      </c>
      <c r="K3525" s="20" t="n">
        <v>0</v>
      </c>
      <c r="L3525" s="20" t="n">
        <v>0</v>
      </c>
      <c r="M3525" s="18" t="n">
        <v>449</v>
      </c>
      <c r="N3525" s="18" t="n">
        <v>449</v>
      </c>
      <c r="O3525" s="18" t="n">
        <v>0</v>
      </c>
      <c r="P3525" s="17" t="n">
        <v>46104</v>
      </c>
      <c r="Q3525" s="17" t="n">
        <v>46104</v>
      </c>
      <c r="R3525" s="17" t="n">
        <v>46104</v>
      </c>
      <c r="S3525" s="19">
        <f>H3525*I3525</f>
        <v/>
      </c>
      <c r="T3525" s="19">
        <f>H3525*J3525</f>
        <v/>
      </c>
      <c r="U3525">
        <f>IF(AND(K3525=0,G3525&lt;=Assumptions!$C$6),1,0)</f>
        <v/>
      </c>
      <c r="V3525">
        <f>IF(U3525=1,IF(M3525&gt;0,IF(P3525&lt;=G3525+Assumptions!$C$7,1,0),0),0)</f>
        <v/>
      </c>
      <c r="W3525">
        <f>IF(AND(U3525=1,M3525&gt;=H3525*(1-Assumptions!$C$8)),1,0)</f>
        <v/>
      </c>
      <c r="X3525">
        <f>IF(AND(U3525=1,N3525&gt;=H3525*(1-Assumptions!$C$8)),1,0)</f>
        <v/>
      </c>
      <c r="Y3525">
        <f>IF(ISNUMBER(Q3525),1,0)</f>
        <v/>
      </c>
      <c r="Z3525">
        <f>IF(AND(K3525=0,L3525=0,Y3525=0),1,0)</f>
        <v/>
      </c>
      <c r="AA3525">
        <f>IF(AND(Z3525=1,G3525&lt;Assumptions!$C$6),1,0)</f>
        <v/>
      </c>
      <c r="AB3525">
        <f>IF(U3525=0,"",IF(Y3525=1,MAX(0,Q3525-G3525),IF(L3525=1,MAX(0,R3525-G3525),MAX(0,Assumptions!$C$6-G3525))))</f>
        <v/>
      </c>
      <c r="AC3525">
        <f>IF(Y3525=1,Q3525-F3525,"")</f>
        <v/>
      </c>
      <c r="AD3525">
        <f>IF(Y3525=1,AC3525^2,"")</f>
        <v/>
      </c>
      <c r="AE3525" s="19">
        <f>IF(Z3525=1,(H3525-M3525)*I3525,0)</f>
        <v/>
      </c>
      <c r="AF3525">
        <f>IF(G3525&lt;EDATE(Assumptions!$C$6,-12)+1,"prior_12m","last_12m")</f>
        <v/>
      </c>
      <c r="AG3525" s="21">
        <f>DATE(YEAR(G3525),MONTH(G3525),1)</f>
        <v/>
      </c>
    </row>
    <row r="3526">
      <c r="A3526" t="inlineStr">
        <is>
          <t>SPO-01880-1</t>
        </is>
      </c>
      <c r="B3526" t="inlineStr">
        <is>
          <t>SPO-01880</t>
        </is>
      </c>
      <c r="C3526" t="inlineStr">
        <is>
          <t>SUP-06</t>
        </is>
      </c>
      <c r="D3526" t="inlineStr">
        <is>
          <t>MRO</t>
        </is>
      </c>
      <c r="E3526" t="inlineStr">
        <is>
          <t>MRO-01</t>
        </is>
      </c>
      <c r="F3526" s="17" t="n">
        <v>46094</v>
      </c>
      <c r="G3526" s="17" t="n">
        <v>46102</v>
      </c>
      <c r="H3526" s="18" t="n">
        <v>43</v>
      </c>
      <c r="I3526" s="19" t="n">
        <v>52.5</v>
      </c>
      <c r="J3526" s="19" t="n">
        <v>52</v>
      </c>
      <c r="K3526" s="20" t="n">
        <v>0</v>
      </c>
      <c r="L3526" s="20" t="n">
        <v>0</v>
      </c>
      <c r="M3526" s="18" t="n">
        <v>43</v>
      </c>
      <c r="N3526" s="18" t="n">
        <v>43</v>
      </c>
      <c r="O3526" s="18" t="n">
        <v>0</v>
      </c>
      <c r="P3526" s="17" t="n">
        <v>46101</v>
      </c>
      <c r="Q3526" s="17" t="n">
        <v>46101</v>
      </c>
      <c r="R3526" s="17" t="n">
        <v>46101</v>
      </c>
      <c r="S3526" s="19">
        <f>H3526*I3526</f>
        <v/>
      </c>
      <c r="T3526" s="19">
        <f>H3526*J3526</f>
        <v/>
      </c>
      <c r="U3526">
        <f>IF(AND(K3526=0,G3526&lt;=Assumptions!$C$6),1,0)</f>
        <v/>
      </c>
      <c r="V3526">
        <f>IF(U3526=1,IF(M3526&gt;0,IF(P3526&lt;=G3526+Assumptions!$C$7,1,0),0),0)</f>
        <v/>
      </c>
      <c r="W3526">
        <f>IF(AND(U3526=1,M3526&gt;=H3526*(1-Assumptions!$C$8)),1,0)</f>
        <v/>
      </c>
      <c r="X3526">
        <f>IF(AND(U3526=1,N3526&gt;=H3526*(1-Assumptions!$C$8)),1,0)</f>
        <v/>
      </c>
      <c r="Y3526">
        <f>IF(ISNUMBER(Q3526),1,0)</f>
        <v/>
      </c>
      <c r="Z3526">
        <f>IF(AND(K3526=0,L3526=0,Y3526=0),1,0)</f>
        <v/>
      </c>
      <c r="AA3526">
        <f>IF(AND(Z3526=1,G3526&lt;Assumptions!$C$6),1,0)</f>
        <v/>
      </c>
      <c r="AB3526">
        <f>IF(U3526=0,"",IF(Y3526=1,MAX(0,Q3526-G3526),IF(L3526=1,MAX(0,R3526-G3526),MAX(0,Assumptions!$C$6-G3526))))</f>
        <v/>
      </c>
      <c r="AC3526">
        <f>IF(Y3526=1,Q3526-F3526,"")</f>
        <v/>
      </c>
      <c r="AD3526">
        <f>IF(Y3526=1,AC3526^2,"")</f>
        <v/>
      </c>
      <c r="AE3526" s="19">
        <f>IF(Z3526=1,(H3526-M3526)*I3526,0)</f>
        <v/>
      </c>
      <c r="AF3526">
        <f>IF(G3526&lt;EDATE(Assumptions!$C$6,-12)+1,"prior_12m","last_12m")</f>
        <v/>
      </c>
      <c r="AG3526" s="21">
        <f>DATE(YEAR(G3526),MONTH(G3526),1)</f>
        <v/>
      </c>
    </row>
    <row r="3527">
      <c r="A3527" t="inlineStr">
        <is>
          <t>SPO-01880-2</t>
        </is>
      </c>
      <c r="B3527" t="inlineStr">
        <is>
          <t>SPO-01880</t>
        </is>
      </c>
      <c r="C3527" t="inlineStr">
        <is>
          <t>SUP-06</t>
        </is>
      </c>
      <c r="D3527" t="inlineStr">
        <is>
          <t>MRO</t>
        </is>
      </c>
      <c r="E3527" t="inlineStr">
        <is>
          <t>MRO-08</t>
        </is>
      </c>
      <c r="F3527" s="17" t="n">
        <v>46094</v>
      </c>
      <c r="G3527" s="17" t="n">
        <v>46102</v>
      </c>
      <c r="H3527" s="18" t="n">
        <v>243</v>
      </c>
      <c r="I3527" s="19" t="n">
        <v>7.37</v>
      </c>
      <c r="J3527" s="19" t="n">
        <v>7.2</v>
      </c>
      <c r="K3527" s="20" t="n">
        <v>0</v>
      </c>
      <c r="L3527" s="20" t="n">
        <v>0</v>
      </c>
      <c r="M3527" s="18" t="n">
        <v>243</v>
      </c>
      <c r="N3527" s="18" t="n">
        <v>243</v>
      </c>
      <c r="O3527" s="18" t="n">
        <v>0</v>
      </c>
      <c r="P3527" s="17" t="n">
        <v>46100</v>
      </c>
      <c r="Q3527" s="17" t="n">
        <v>46100</v>
      </c>
      <c r="R3527" s="17" t="n">
        <v>46100</v>
      </c>
      <c r="S3527" s="19">
        <f>H3527*I3527</f>
        <v/>
      </c>
      <c r="T3527" s="19">
        <f>H3527*J3527</f>
        <v/>
      </c>
      <c r="U3527">
        <f>IF(AND(K3527=0,G3527&lt;=Assumptions!$C$6),1,0)</f>
        <v/>
      </c>
      <c r="V3527">
        <f>IF(U3527=1,IF(M3527&gt;0,IF(P3527&lt;=G3527+Assumptions!$C$7,1,0),0),0)</f>
        <v/>
      </c>
      <c r="W3527">
        <f>IF(AND(U3527=1,M3527&gt;=H3527*(1-Assumptions!$C$8)),1,0)</f>
        <v/>
      </c>
      <c r="X3527">
        <f>IF(AND(U3527=1,N3527&gt;=H3527*(1-Assumptions!$C$8)),1,0)</f>
        <v/>
      </c>
      <c r="Y3527">
        <f>IF(ISNUMBER(Q3527),1,0)</f>
        <v/>
      </c>
      <c r="Z3527">
        <f>IF(AND(K3527=0,L3527=0,Y3527=0),1,0)</f>
        <v/>
      </c>
      <c r="AA3527">
        <f>IF(AND(Z3527=1,G3527&lt;Assumptions!$C$6),1,0)</f>
        <v/>
      </c>
      <c r="AB3527">
        <f>IF(U3527=0,"",IF(Y3527=1,MAX(0,Q3527-G3527),IF(L3527=1,MAX(0,R3527-G3527),MAX(0,Assumptions!$C$6-G3527))))</f>
        <v/>
      </c>
      <c r="AC3527">
        <f>IF(Y3527=1,Q3527-F3527,"")</f>
        <v/>
      </c>
      <c r="AD3527">
        <f>IF(Y3527=1,AC3527^2,"")</f>
        <v/>
      </c>
      <c r="AE3527" s="19">
        <f>IF(Z3527=1,(H3527-M3527)*I3527,0)</f>
        <v/>
      </c>
      <c r="AF3527">
        <f>IF(G3527&lt;EDATE(Assumptions!$C$6,-12)+1,"prior_12m","last_12m")</f>
        <v/>
      </c>
      <c r="AG3527" s="21">
        <f>DATE(YEAR(G3527),MONTH(G3527),1)</f>
        <v/>
      </c>
    </row>
    <row r="3528">
      <c r="A3528" t="inlineStr">
        <is>
          <t>SPO-01880-3</t>
        </is>
      </c>
      <c r="B3528" t="inlineStr">
        <is>
          <t>SPO-01880</t>
        </is>
      </c>
      <c r="C3528" t="inlineStr">
        <is>
          <t>SUP-06</t>
        </is>
      </c>
      <c r="D3528" t="inlineStr">
        <is>
          <t>MRO</t>
        </is>
      </c>
      <c r="E3528" t="inlineStr">
        <is>
          <t>MRO-02</t>
        </is>
      </c>
      <c r="F3528" s="17" t="n">
        <v>46094</v>
      </c>
      <c r="G3528" s="17" t="n">
        <v>46102</v>
      </c>
      <c r="H3528" s="18" t="n">
        <v>67</v>
      </c>
      <c r="I3528" s="19" t="n">
        <v>41.22</v>
      </c>
      <c r="J3528" s="19" t="n">
        <v>41</v>
      </c>
      <c r="K3528" s="20" t="n">
        <v>0</v>
      </c>
      <c r="L3528" s="20" t="n">
        <v>0</v>
      </c>
      <c r="M3528" s="18" t="n">
        <v>67</v>
      </c>
      <c r="N3528" s="18" t="n">
        <v>67</v>
      </c>
      <c r="O3528" s="18" t="n">
        <v>0</v>
      </c>
      <c r="P3528" s="17" t="n">
        <v>46101</v>
      </c>
      <c r="Q3528" s="17" t="n">
        <v>46101</v>
      </c>
      <c r="R3528" s="17" t="n">
        <v>46101</v>
      </c>
      <c r="S3528" s="19">
        <f>H3528*I3528</f>
        <v/>
      </c>
      <c r="T3528" s="19">
        <f>H3528*J3528</f>
        <v/>
      </c>
      <c r="U3528">
        <f>IF(AND(K3528=0,G3528&lt;=Assumptions!$C$6),1,0)</f>
        <v/>
      </c>
      <c r="V3528">
        <f>IF(U3528=1,IF(M3528&gt;0,IF(P3528&lt;=G3528+Assumptions!$C$7,1,0),0),0)</f>
        <v/>
      </c>
      <c r="W3528">
        <f>IF(AND(U3528=1,M3528&gt;=H3528*(1-Assumptions!$C$8)),1,0)</f>
        <v/>
      </c>
      <c r="X3528">
        <f>IF(AND(U3528=1,N3528&gt;=H3528*(1-Assumptions!$C$8)),1,0)</f>
        <v/>
      </c>
      <c r="Y3528">
        <f>IF(ISNUMBER(Q3528),1,0)</f>
        <v/>
      </c>
      <c r="Z3528">
        <f>IF(AND(K3528=0,L3528=0,Y3528=0),1,0)</f>
        <v/>
      </c>
      <c r="AA3528">
        <f>IF(AND(Z3528=1,G3528&lt;Assumptions!$C$6),1,0)</f>
        <v/>
      </c>
      <c r="AB3528">
        <f>IF(U3528=0,"",IF(Y3528=1,MAX(0,Q3528-G3528),IF(L3528=1,MAX(0,R3528-G3528),MAX(0,Assumptions!$C$6-G3528))))</f>
        <v/>
      </c>
      <c r="AC3528">
        <f>IF(Y3528=1,Q3528-F3528,"")</f>
        <v/>
      </c>
      <c r="AD3528">
        <f>IF(Y3528=1,AC3528^2,"")</f>
        <v/>
      </c>
      <c r="AE3528" s="19">
        <f>IF(Z3528=1,(H3528-M3528)*I3528,0)</f>
        <v/>
      </c>
      <c r="AF3528">
        <f>IF(G3528&lt;EDATE(Assumptions!$C$6,-12)+1,"prior_12m","last_12m")</f>
        <v/>
      </c>
      <c r="AG3528" s="21">
        <f>DATE(YEAR(G3528),MONTH(G3528),1)</f>
        <v/>
      </c>
    </row>
    <row r="3529">
      <c r="A3529" t="inlineStr">
        <is>
          <t>SPO-01881-1</t>
        </is>
      </c>
      <c r="B3529" t="inlineStr">
        <is>
          <t>SPO-01881</t>
        </is>
      </c>
      <c r="C3529" t="inlineStr">
        <is>
          <t>SUP-08</t>
        </is>
      </c>
      <c r="D3529" t="inlineStr">
        <is>
          <t>MRO</t>
        </is>
      </c>
      <c r="E3529" t="inlineStr">
        <is>
          <t>MRO-02</t>
        </is>
      </c>
      <c r="F3529" s="17" t="n">
        <v>46094</v>
      </c>
      <c r="G3529" s="17" t="n">
        <v>46105</v>
      </c>
      <c r="H3529" s="18" t="n">
        <v>18</v>
      </c>
      <c r="I3529" s="19" t="n">
        <v>41.94</v>
      </c>
      <c r="J3529" s="19" t="n">
        <v>41</v>
      </c>
      <c r="K3529" s="20" t="n">
        <v>0</v>
      </c>
      <c r="L3529" s="20" t="n">
        <v>0</v>
      </c>
      <c r="M3529" s="18" t="n">
        <v>18</v>
      </c>
      <c r="N3529" s="18" t="n">
        <v>0</v>
      </c>
      <c r="O3529" s="18" t="n">
        <v>0</v>
      </c>
      <c r="P3529" s="17" t="n">
        <v>46106</v>
      </c>
      <c r="Q3529" s="17" t="n">
        <v>46106</v>
      </c>
      <c r="R3529" s="17" t="n">
        <v>46106</v>
      </c>
      <c r="S3529" s="19">
        <f>H3529*I3529</f>
        <v/>
      </c>
      <c r="T3529" s="19">
        <f>H3529*J3529</f>
        <v/>
      </c>
      <c r="U3529">
        <f>IF(AND(K3529=0,G3529&lt;=Assumptions!$C$6),1,0)</f>
        <v/>
      </c>
      <c r="V3529">
        <f>IF(U3529=1,IF(M3529&gt;0,IF(P3529&lt;=G3529+Assumptions!$C$7,1,0),0),0)</f>
        <v/>
      </c>
      <c r="W3529">
        <f>IF(AND(U3529=1,M3529&gt;=H3529*(1-Assumptions!$C$8)),1,0)</f>
        <v/>
      </c>
      <c r="X3529">
        <f>IF(AND(U3529=1,N3529&gt;=H3529*(1-Assumptions!$C$8)),1,0)</f>
        <v/>
      </c>
      <c r="Y3529">
        <f>IF(ISNUMBER(Q3529),1,0)</f>
        <v/>
      </c>
      <c r="Z3529">
        <f>IF(AND(K3529=0,L3529=0,Y3529=0),1,0)</f>
        <v/>
      </c>
      <c r="AA3529">
        <f>IF(AND(Z3529=1,G3529&lt;Assumptions!$C$6),1,0)</f>
        <v/>
      </c>
      <c r="AB3529">
        <f>IF(U3529=0,"",IF(Y3529=1,MAX(0,Q3529-G3529),IF(L3529=1,MAX(0,R3529-G3529),MAX(0,Assumptions!$C$6-G3529))))</f>
        <v/>
      </c>
      <c r="AC3529">
        <f>IF(Y3529=1,Q3529-F3529,"")</f>
        <v/>
      </c>
      <c r="AD3529">
        <f>IF(Y3529=1,AC3529^2,"")</f>
        <v/>
      </c>
      <c r="AE3529" s="19">
        <f>IF(Z3529=1,(H3529-M3529)*I3529,0)</f>
        <v/>
      </c>
      <c r="AF3529">
        <f>IF(G3529&lt;EDATE(Assumptions!$C$6,-12)+1,"prior_12m","last_12m")</f>
        <v/>
      </c>
      <c r="AG3529" s="21">
        <f>DATE(YEAR(G3529),MONTH(G3529),1)</f>
        <v/>
      </c>
    </row>
    <row r="3530">
      <c r="A3530" t="inlineStr">
        <is>
          <t>SPO-01882-1</t>
        </is>
      </c>
      <c r="B3530" t="inlineStr">
        <is>
          <t>SPO-01882</t>
        </is>
      </c>
      <c r="C3530" t="inlineStr">
        <is>
          <t>SUP-10</t>
        </is>
      </c>
      <c r="D3530" t="inlineStr">
        <is>
          <t>PPE</t>
        </is>
      </c>
      <c r="E3530" t="inlineStr">
        <is>
          <t>PPE-08</t>
        </is>
      </c>
      <c r="F3530" s="17" t="n">
        <v>46094</v>
      </c>
      <c r="G3530" s="17" t="n">
        <v>46107</v>
      </c>
      <c r="H3530" s="18" t="n">
        <v>22</v>
      </c>
      <c r="I3530" s="19" t="n">
        <v>62.71</v>
      </c>
      <c r="J3530" s="19" t="n">
        <v>64</v>
      </c>
      <c r="K3530" s="20" t="n">
        <v>0</v>
      </c>
      <c r="L3530" s="20" t="n">
        <v>0</v>
      </c>
      <c r="M3530" s="18" t="n">
        <v>22</v>
      </c>
      <c r="N3530" s="18" t="n">
        <v>13</v>
      </c>
      <c r="O3530" s="18" t="n">
        <v>3</v>
      </c>
      <c r="P3530" s="17" t="n">
        <v>46104</v>
      </c>
      <c r="Q3530" s="17" t="n">
        <v>46113</v>
      </c>
      <c r="R3530" s="17" t="n">
        <v>46113</v>
      </c>
      <c r="S3530" s="19">
        <f>H3530*I3530</f>
        <v/>
      </c>
      <c r="T3530" s="19">
        <f>H3530*J3530</f>
        <v/>
      </c>
      <c r="U3530">
        <f>IF(AND(K3530=0,G3530&lt;=Assumptions!$C$6),1,0)</f>
        <v/>
      </c>
      <c r="V3530">
        <f>IF(U3530=1,IF(M3530&gt;0,IF(P3530&lt;=G3530+Assumptions!$C$7,1,0),0),0)</f>
        <v/>
      </c>
      <c r="W3530">
        <f>IF(AND(U3530=1,M3530&gt;=H3530*(1-Assumptions!$C$8)),1,0)</f>
        <v/>
      </c>
      <c r="X3530">
        <f>IF(AND(U3530=1,N3530&gt;=H3530*(1-Assumptions!$C$8)),1,0)</f>
        <v/>
      </c>
      <c r="Y3530">
        <f>IF(ISNUMBER(Q3530),1,0)</f>
        <v/>
      </c>
      <c r="Z3530">
        <f>IF(AND(K3530=0,L3530=0,Y3530=0),1,0)</f>
        <v/>
      </c>
      <c r="AA3530">
        <f>IF(AND(Z3530=1,G3530&lt;Assumptions!$C$6),1,0)</f>
        <v/>
      </c>
      <c r="AB3530">
        <f>IF(U3530=0,"",IF(Y3530=1,MAX(0,Q3530-G3530),IF(L3530=1,MAX(0,R3530-G3530),MAX(0,Assumptions!$C$6-G3530))))</f>
        <v/>
      </c>
      <c r="AC3530">
        <f>IF(Y3530=1,Q3530-F3530,"")</f>
        <v/>
      </c>
      <c r="AD3530">
        <f>IF(Y3530=1,AC3530^2,"")</f>
        <v/>
      </c>
      <c r="AE3530" s="19">
        <f>IF(Z3530=1,(H3530-M3530)*I3530,0)</f>
        <v/>
      </c>
      <c r="AF3530">
        <f>IF(G3530&lt;EDATE(Assumptions!$C$6,-12)+1,"prior_12m","last_12m")</f>
        <v/>
      </c>
      <c r="AG3530" s="21">
        <f>DATE(YEAR(G3530),MONTH(G3530),1)</f>
        <v/>
      </c>
    </row>
    <row r="3531">
      <c r="A3531" t="inlineStr">
        <is>
          <t>SPO-01882-2</t>
        </is>
      </c>
      <c r="B3531" t="inlineStr">
        <is>
          <t>SPO-01882</t>
        </is>
      </c>
      <c r="C3531" t="inlineStr">
        <is>
          <t>SUP-10</t>
        </is>
      </c>
      <c r="D3531" t="inlineStr">
        <is>
          <t>PPE</t>
        </is>
      </c>
      <c r="E3531" t="inlineStr">
        <is>
          <t>PPE-04</t>
        </is>
      </c>
      <c r="F3531" s="17" t="n">
        <v>46094</v>
      </c>
      <c r="G3531" s="17" t="n">
        <v>46107</v>
      </c>
      <c r="H3531" s="18" t="n">
        <v>44</v>
      </c>
      <c r="I3531" s="19" t="n">
        <v>25.19</v>
      </c>
      <c r="J3531" s="19" t="n">
        <v>26</v>
      </c>
      <c r="K3531" s="20" t="n">
        <v>0</v>
      </c>
      <c r="L3531" s="20" t="n">
        <v>0</v>
      </c>
      <c r="M3531" s="18" t="n">
        <v>44</v>
      </c>
      <c r="N3531" s="18" t="n">
        <v>44</v>
      </c>
      <c r="O3531" s="18" t="n">
        <v>0</v>
      </c>
      <c r="P3531" s="17" t="n">
        <v>46106</v>
      </c>
      <c r="Q3531" s="17" t="n">
        <v>46106</v>
      </c>
      <c r="R3531" s="17" t="n">
        <v>46106</v>
      </c>
      <c r="S3531" s="19">
        <f>H3531*I3531</f>
        <v/>
      </c>
      <c r="T3531" s="19">
        <f>H3531*J3531</f>
        <v/>
      </c>
      <c r="U3531">
        <f>IF(AND(K3531=0,G3531&lt;=Assumptions!$C$6),1,0)</f>
        <v/>
      </c>
      <c r="V3531">
        <f>IF(U3531=1,IF(M3531&gt;0,IF(P3531&lt;=G3531+Assumptions!$C$7,1,0),0),0)</f>
        <v/>
      </c>
      <c r="W3531">
        <f>IF(AND(U3531=1,M3531&gt;=H3531*(1-Assumptions!$C$8)),1,0)</f>
        <v/>
      </c>
      <c r="X3531">
        <f>IF(AND(U3531=1,N3531&gt;=H3531*(1-Assumptions!$C$8)),1,0)</f>
        <v/>
      </c>
      <c r="Y3531">
        <f>IF(ISNUMBER(Q3531),1,0)</f>
        <v/>
      </c>
      <c r="Z3531">
        <f>IF(AND(K3531=0,L3531=0,Y3531=0),1,0)</f>
        <v/>
      </c>
      <c r="AA3531">
        <f>IF(AND(Z3531=1,G3531&lt;Assumptions!$C$6),1,0)</f>
        <v/>
      </c>
      <c r="AB3531">
        <f>IF(U3531=0,"",IF(Y3531=1,MAX(0,Q3531-G3531),IF(L3531=1,MAX(0,R3531-G3531),MAX(0,Assumptions!$C$6-G3531))))</f>
        <v/>
      </c>
      <c r="AC3531">
        <f>IF(Y3531=1,Q3531-F3531,"")</f>
        <v/>
      </c>
      <c r="AD3531">
        <f>IF(Y3531=1,AC3531^2,"")</f>
        <v/>
      </c>
      <c r="AE3531" s="19">
        <f>IF(Z3531=1,(H3531-M3531)*I3531,0)</f>
        <v/>
      </c>
      <c r="AF3531">
        <f>IF(G3531&lt;EDATE(Assumptions!$C$6,-12)+1,"prior_12m","last_12m")</f>
        <v/>
      </c>
      <c r="AG3531" s="21">
        <f>DATE(YEAR(G3531),MONTH(G3531),1)</f>
        <v/>
      </c>
    </row>
    <row r="3532">
      <c r="A3532" t="inlineStr">
        <is>
          <t>SPO-01883-1</t>
        </is>
      </c>
      <c r="B3532" t="inlineStr">
        <is>
          <t>SPO-01883</t>
        </is>
      </c>
      <c r="C3532" t="inlineStr">
        <is>
          <t>SUP-01</t>
        </is>
      </c>
      <c r="D3532" t="inlineStr">
        <is>
          <t>ELEC</t>
        </is>
      </c>
      <c r="E3532" t="inlineStr">
        <is>
          <t>ELEC-08</t>
        </is>
      </c>
      <c r="F3532" s="17" t="n">
        <v>46094</v>
      </c>
      <c r="G3532" s="17" t="n">
        <v>46112</v>
      </c>
      <c r="H3532" s="18" t="n">
        <v>89</v>
      </c>
      <c r="I3532" s="19" t="n">
        <v>18.89</v>
      </c>
      <c r="J3532" s="19" t="n">
        <v>18</v>
      </c>
      <c r="K3532" s="20" t="n">
        <v>0</v>
      </c>
      <c r="L3532" s="20" t="n">
        <v>0</v>
      </c>
      <c r="M3532" s="18" t="n">
        <v>89</v>
      </c>
      <c r="N3532" s="18" t="n">
        <v>89</v>
      </c>
      <c r="O3532" s="18" t="n">
        <v>0</v>
      </c>
      <c r="P3532" s="17" t="n">
        <v>46105</v>
      </c>
      <c r="Q3532" s="17" t="n">
        <v>46105</v>
      </c>
      <c r="R3532" s="17" t="n">
        <v>46105</v>
      </c>
      <c r="S3532" s="19">
        <f>H3532*I3532</f>
        <v/>
      </c>
      <c r="T3532" s="19">
        <f>H3532*J3532</f>
        <v/>
      </c>
      <c r="U3532">
        <f>IF(AND(K3532=0,G3532&lt;=Assumptions!$C$6),1,0)</f>
        <v/>
      </c>
      <c r="V3532">
        <f>IF(U3532=1,IF(M3532&gt;0,IF(P3532&lt;=G3532+Assumptions!$C$7,1,0),0),0)</f>
        <v/>
      </c>
      <c r="W3532">
        <f>IF(AND(U3532=1,M3532&gt;=H3532*(1-Assumptions!$C$8)),1,0)</f>
        <v/>
      </c>
      <c r="X3532">
        <f>IF(AND(U3532=1,N3532&gt;=H3532*(1-Assumptions!$C$8)),1,0)</f>
        <v/>
      </c>
      <c r="Y3532">
        <f>IF(ISNUMBER(Q3532),1,0)</f>
        <v/>
      </c>
      <c r="Z3532">
        <f>IF(AND(K3532=0,L3532=0,Y3532=0),1,0)</f>
        <v/>
      </c>
      <c r="AA3532">
        <f>IF(AND(Z3532=1,G3532&lt;Assumptions!$C$6),1,0)</f>
        <v/>
      </c>
      <c r="AB3532">
        <f>IF(U3532=0,"",IF(Y3532=1,MAX(0,Q3532-G3532),IF(L3532=1,MAX(0,R3532-G3532),MAX(0,Assumptions!$C$6-G3532))))</f>
        <v/>
      </c>
      <c r="AC3532">
        <f>IF(Y3532=1,Q3532-F3532,"")</f>
        <v/>
      </c>
      <c r="AD3532">
        <f>IF(Y3532=1,AC3532^2,"")</f>
        <v/>
      </c>
      <c r="AE3532" s="19">
        <f>IF(Z3532=1,(H3532-M3532)*I3532,0)</f>
        <v/>
      </c>
      <c r="AF3532">
        <f>IF(G3532&lt;EDATE(Assumptions!$C$6,-12)+1,"prior_12m","last_12m")</f>
        <v/>
      </c>
      <c r="AG3532" s="21">
        <f>DATE(YEAR(G3532),MONTH(G3532),1)</f>
        <v/>
      </c>
    </row>
    <row r="3533">
      <c r="A3533" t="inlineStr">
        <is>
          <t>SPO-01884-1</t>
        </is>
      </c>
      <c r="B3533" t="inlineStr">
        <is>
          <t>SPO-01884</t>
        </is>
      </c>
      <c r="C3533" t="inlineStr">
        <is>
          <t>SUP-08</t>
        </is>
      </c>
      <c r="D3533" t="inlineStr">
        <is>
          <t>PPE</t>
        </is>
      </c>
      <c r="E3533" t="inlineStr">
        <is>
          <t>PPE-05</t>
        </is>
      </c>
      <c r="F3533" s="17" t="n">
        <v>46094</v>
      </c>
      <c r="G3533" s="17" t="n">
        <v>46105</v>
      </c>
      <c r="H3533" s="18" t="n">
        <v>76</v>
      </c>
      <c r="I3533" s="19" t="n">
        <v>11.43</v>
      </c>
      <c r="J3533" s="19" t="n">
        <v>11</v>
      </c>
      <c r="K3533" s="20" t="n">
        <v>0</v>
      </c>
      <c r="L3533" s="20" t="n">
        <v>0</v>
      </c>
      <c r="M3533" s="18" t="n">
        <v>76</v>
      </c>
      <c r="N3533" s="18" t="n">
        <v>76</v>
      </c>
      <c r="O3533" s="18" t="n">
        <v>0</v>
      </c>
      <c r="P3533" s="17" t="n">
        <v>46102</v>
      </c>
      <c r="Q3533" s="17" t="n">
        <v>46102</v>
      </c>
      <c r="R3533" s="17" t="n">
        <v>46102</v>
      </c>
      <c r="S3533" s="19">
        <f>H3533*I3533</f>
        <v/>
      </c>
      <c r="T3533" s="19">
        <f>H3533*J3533</f>
        <v/>
      </c>
      <c r="U3533">
        <f>IF(AND(K3533=0,G3533&lt;=Assumptions!$C$6),1,0)</f>
        <v/>
      </c>
      <c r="V3533">
        <f>IF(U3533=1,IF(M3533&gt;0,IF(P3533&lt;=G3533+Assumptions!$C$7,1,0),0),0)</f>
        <v/>
      </c>
      <c r="W3533">
        <f>IF(AND(U3533=1,M3533&gt;=H3533*(1-Assumptions!$C$8)),1,0)</f>
        <v/>
      </c>
      <c r="X3533">
        <f>IF(AND(U3533=1,N3533&gt;=H3533*(1-Assumptions!$C$8)),1,0)</f>
        <v/>
      </c>
      <c r="Y3533">
        <f>IF(ISNUMBER(Q3533),1,0)</f>
        <v/>
      </c>
      <c r="Z3533">
        <f>IF(AND(K3533=0,L3533=0,Y3533=0),1,0)</f>
        <v/>
      </c>
      <c r="AA3533">
        <f>IF(AND(Z3533=1,G3533&lt;Assumptions!$C$6),1,0)</f>
        <v/>
      </c>
      <c r="AB3533">
        <f>IF(U3533=0,"",IF(Y3533=1,MAX(0,Q3533-G3533),IF(L3533=1,MAX(0,R3533-G3533),MAX(0,Assumptions!$C$6-G3533))))</f>
        <v/>
      </c>
      <c r="AC3533">
        <f>IF(Y3533=1,Q3533-F3533,"")</f>
        <v/>
      </c>
      <c r="AD3533">
        <f>IF(Y3533=1,AC3533^2,"")</f>
        <v/>
      </c>
      <c r="AE3533" s="19">
        <f>IF(Z3533=1,(H3533-M3533)*I3533,0)</f>
        <v/>
      </c>
      <c r="AF3533">
        <f>IF(G3533&lt;EDATE(Assumptions!$C$6,-12)+1,"prior_12m","last_12m")</f>
        <v/>
      </c>
      <c r="AG3533" s="21">
        <f>DATE(YEAR(G3533),MONTH(G3533),1)</f>
        <v/>
      </c>
    </row>
    <row r="3534">
      <c r="A3534" t="inlineStr">
        <is>
          <t>SPO-01885-1</t>
        </is>
      </c>
      <c r="B3534" t="inlineStr">
        <is>
          <t>SPO-01885</t>
        </is>
      </c>
      <c r="C3534" t="inlineStr">
        <is>
          <t>SUP-05</t>
        </is>
      </c>
      <c r="D3534" t="inlineStr">
        <is>
          <t>FLEET</t>
        </is>
      </c>
      <c r="E3534" t="inlineStr">
        <is>
          <t>FLEET-07</t>
        </is>
      </c>
      <c r="F3534" s="17" t="n">
        <v>46095</v>
      </c>
      <c r="G3534" s="17" t="n">
        <v>46109</v>
      </c>
      <c r="H3534" s="18" t="n">
        <v>17</v>
      </c>
      <c r="I3534" s="19" t="n">
        <v>120.64</v>
      </c>
      <c r="J3534" s="19" t="n">
        <v>118</v>
      </c>
      <c r="K3534" s="20" t="n">
        <v>0</v>
      </c>
      <c r="L3534" s="20" t="n">
        <v>0</v>
      </c>
      <c r="M3534" s="18" t="n">
        <v>17</v>
      </c>
      <c r="N3534" s="18" t="n">
        <v>17</v>
      </c>
      <c r="O3534" s="18" t="n">
        <v>0</v>
      </c>
      <c r="P3534" s="17" t="n">
        <v>46107</v>
      </c>
      <c r="Q3534" s="17" t="n">
        <v>46107</v>
      </c>
      <c r="R3534" s="17" t="n">
        <v>46107</v>
      </c>
      <c r="S3534" s="19">
        <f>H3534*I3534</f>
        <v/>
      </c>
      <c r="T3534" s="19">
        <f>H3534*J3534</f>
        <v/>
      </c>
      <c r="U3534">
        <f>IF(AND(K3534=0,G3534&lt;=Assumptions!$C$6),1,0)</f>
        <v/>
      </c>
      <c r="V3534">
        <f>IF(U3534=1,IF(M3534&gt;0,IF(P3534&lt;=G3534+Assumptions!$C$7,1,0),0),0)</f>
        <v/>
      </c>
      <c r="W3534">
        <f>IF(AND(U3534=1,M3534&gt;=H3534*(1-Assumptions!$C$8)),1,0)</f>
        <v/>
      </c>
      <c r="X3534">
        <f>IF(AND(U3534=1,N3534&gt;=H3534*(1-Assumptions!$C$8)),1,0)</f>
        <v/>
      </c>
      <c r="Y3534">
        <f>IF(ISNUMBER(Q3534),1,0)</f>
        <v/>
      </c>
      <c r="Z3534">
        <f>IF(AND(K3534=0,L3534=0,Y3534=0),1,0)</f>
        <v/>
      </c>
      <c r="AA3534">
        <f>IF(AND(Z3534=1,G3534&lt;Assumptions!$C$6),1,0)</f>
        <v/>
      </c>
      <c r="AB3534">
        <f>IF(U3534=0,"",IF(Y3534=1,MAX(0,Q3534-G3534),IF(L3534=1,MAX(0,R3534-G3534),MAX(0,Assumptions!$C$6-G3534))))</f>
        <v/>
      </c>
      <c r="AC3534">
        <f>IF(Y3534=1,Q3534-F3534,"")</f>
        <v/>
      </c>
      <c r="AD3534">
        <f>IF(Y3534=1,AC3534^2,"")</f>
        <v/>
      </c>
      <c r="AE3534" s="19">
        <f>IF(Z3534=1,(H3534-M3534)*I3534,0)</f>
        <v/>
      </c>
      <c r="AF3534">
        <f>IF(G3534&lt;EDATE(Assumptions!$C$6,-12)+1,"prior_12m","last_12m")</f>
        <v/>
      </c>
      <c r="AG3534" s="21">
        <f>DATE(YEAR(G3534),MONTH(G3534),1)</f>
        <v/>
      </c>
    </row>
    <row r="3535">
      <c r="A3535" t="inlineStr">
        <is>
          <t>SPO-01885-2</t>
        </is>
      </c>
      <c r="B3535" t="inlineStr">
        <is>
          <t>SPO-01885</t>
        </is>
      </c>
      <c r="C3535" t="inlineStr">
        <is>
          <t>SUP-05</t>
        </is>
      </c>
      <c r="D3535" t="inlineStr">
        <is>
          <t>FLEET</t>
        </is>
      </c>
      <c r="E3535" t="inlineStr">
        <is>
          <t>FLEET-03</t>
        </is>
      </c>
      <c r="F3535" s="17" t="n">
        <v>46095</v>
      </c>
      <c r="G3535" s="17" t="n">
        <v>46109</v>
      </c>
      <c r="H3535" s="18" t="n">
        <v>63</v>
      </c>
      <c r="I3535" s="19" t="n">
        <v>22.4</v>
      </c>
      <c r="J3535" s="19" t="n">
        <v>21</v>
      </c>
      <c r="K3535" s="20" t="n">
        <v>0</v>
      </c>
      <c r="L3535" s="20" t="n">
        <v>0</v>
      </c>
      <c r="M3535" s="18" t="n">
        <v>63</v>
      </c>
      <c r="N3535" s="18" t="n">
        <v>63</v>
      </c>
      <c r="O3535" s="18" t="n">
        <v>0</v>
      </c>
      <c r="P3535" s="17" t="n">
        <v>46106</v>
      </c>
      <c r="Q3535" s="17" t="n">
        <v>46106</v>
      </c>
      <c r="R3535" s="17" t="n">
        <v>46106</v>
      </c>
      <c r="S3535" s="19">
        <f>H3535*I3535</f>
        <v/>
      </c>
      <c r="T3535" s="19">
        <f>H3535*J3535</f>
        <v/>
      </c>
      <c r="U3535">
        <f>IF(AND(K3535=0,G3535&lt;=Assumptions!$C$6),1,0)</f>
        <v/>
      </c>
      <c r="V3535">
        <f>IF(U3535=1,IF(M3535&gt;0,IF(P3535&lt;=G3535+Assumptions!$C$7,1,0),0),0)</f>
        <v/>
      </c>
      <c r="W3535">
        <f>IF(AND(U3535=1,M3535&gt;=H3535*(1-Assumptions!$C$8)),1,0)</f>
        <v/>
      </c>
      <c r="X3535">
        <f>IF(AND(U3535=1,N3535&gt;=H3535*(1-Assumptions!$C$8)),1,0)</f>
        <v/>
      </c>
      <c r="Y3535">
        <f>IF(ISNUMBER(Q3535),1,0)</f>
        <v/>
      </c>
      <c r="Z3535">
        <f>IF(AND(K3535=0,L3535=0,Y3535=0),1,0)</f>
        <v/>
      </c>
      <c r="AA3535">
        <f>IF(AND(Z3535=1,G3535&lt;Assumptions!$C$6),1,0)</f>
        <v/>
      </c>
      <c r="AB3535">
        <f>IF(U3535=0,"",IF(Y3535=1,MAX(0,Q3535-G3535),IF(L3535=1,MAX(0,R3535-G3535),MAX(0,Assumptions!$C$6-G3535))))</f>
        <v/>
      </c>
      <c r="AC3535">
        <f>IF(Y3535=1,Q3535-F3535,"")</f>
        <v/>
      </c>
      <c r="AD3535">
        <f>IF(Y3535=1,AC3535^2,"")</f>
        <v/>
      </c>
      <c r="AE3535" s="19">
        <f>IF(Z3535=1,(H3535-M3535)*I3535,0)</f>
        <v/>
      </c>
      <c r="AF3535">
        <f>IF(G3535&lt;EDATE(Assumptions!$C$6,-12)+1,"prior_12m","last_12m")</f>
        <v/>
      </c>
      <c r="AG3535" s="21">
        <f>DATE(YEAR(G3535),MONTH(G3535),1)</f>
        <v/>
      </c>
    </row>
    <row r="3536">
      <c r="A3536" t="inlineStr">
        <is>
          <t>SPO-01885-3</t>
        </is>
      </c>
      <c r="B3536" t="inlineStr">
        <is>
          <t>SPO-01885</t>
        </is>
      </c>
      <c r="C3536" t="inlineStr">
        <is>
          <t>SUP-05</t>
        </is>
      </c>
      <c r="D3536" t="inlineStr">
        <is>
          <t>FLEET</t>
        </is>
      </c>
      <c r="E3536" t="inlineStr">
        <is>
          <t>FLEET-08</t>
        </is>
      </c>
      <c r="F3536" s="17" t="n">
        <v>46095</v>
      </c>
      <c r="G3536" s="17" t="n">
        <v>46109</v>
      </c>
      <c r="H3536" s="18" t="n">
        <v>226</v>
      </c>
      <c r="I3536" s="19" t="n">
        <v>7.25</v>
      </c>
      <c r="J3536" s="19" t="n">
        <v>6.4</v>
      </c>
      <c r="K3536" s="20" t="n">
        <v>0</v>
      </c>
      <c r="L3536" s="20" t="n">
        <v>0</v>
      </c>
      <c r="M3536" s="18" t="n">
        <v>226</v>
      </c>
      <c r="N3536" s="18" t="n">
        <v>226</v>
      </c>
      <c r="O3536" s="18" t="n">
        <v>25</v>
      </c>
      <c r="P3536" s="17" t="n">
        <v>46108</v>
      </c>
      <c r="Q3536" s="17" t="n">
        <v>46108</v>
      </c>
      <c r="R3536" s="17" t="n">
        <v>46108</v>
      </c>
      <c r="S3536" s="19">
        <f>H3536*I3536</f>
        <v/>
      </c>
      <c r="T3536" s="19">
        <f>H3536*J3536</f>
        <v/>
      </c>
      <c r="U3536">
        <f>IF(AND(K3536=0,G3536&lt;=Assumptions!$C$6),1,0)</f>
        <v/>
      </c>
      <c r="V3536">
        <f>IF(U3536=1,IF(M3536&gt;0,IF(P3536&lt;=G3536+Assumptions!$C$7,1,0),0),0)</f>
        <v/>
      </c>
      <c r="W3536">
        <f>IF(AND(U3536=1,M3536&gt;=H3536*(1-Assumptions!$C$8)),1,0)</f>
        <v/>
      </c>
      <c r="X3536">
        <f>IF(AND(U3536=1,N3536&gt;=H3536*(1-Assumptions!$C$8)),1,0)</f>
        <v/>
      </c>
      <c r="Y3536">
        <f>IF(ISNUMBER(Q3536),1,0)</f>
        <v/>
      </c>
      <c r="Z3536">
        <f>IF(AND(K3536=0,L3536=0,Y3536=0),1,0)</f>
        <v/>
      </c>
      <c r="AA3536">
        <f>IF(AND(Z3536=1,G3536&lt;Assumptions!$C$6),1,0)</f>
        <v/>
      </c>
      <c r="AB3536">
        <f>IF(U3536=0,"",IF(Y3536=1,MAX(0,Q3536-G3536),IF(L3536=1,MAX(0,R3536-G3536),MAX(0,Assumptions!$C$6-G3536))))</f>
        <v/>
      </c>
      <c r="AC3536">
        <f>IF(Y3536=1,Q3536-F3536,"")</f>
        <v/>
      </c>
      <c r="AD3536">
        <f>IF(Y3536=1,AC3536^2,"")</f>
        <v/>
      </c>
      <c r="AE3536" s="19">
        <f>IF(Z3536=1,(H3536-M3536)*I3536,0)</f>
        <v/>
      </c>
      <c r="AF3536">
        <f>IF(G3536&lt;EDATE(Assumptions!$C$6,-12)+1,"prior_12m","last_12m")</f>
        <v/>
      </c>
      <c r="AG3536" s="21">
        <f>DATE(YEAR(G3536),MONTH(G3536),1)</f>
        <v/>
      </c>
    </row>
    <row r="3537">
      <c r="A3537" t="inlineStr">
        <is>
          <t>SPO-01885-4</t>
        </is>
      </c>
      <c r="B3537" t="inlineStr">
        <is>
          <t>SPO-01885</t>
        </is>
      </c>
      <c r="C3537" t="inlineStr">
        <is>
          <t>SUP-05</t>
        </is>
      </c>
      <c r="D3537" t="inlineStr">
        <is>
          <t>FLEET</t>
        </is>
      </c>
      <c r="E3537" t="inlineStr">
        <is>
          <t>FLEET-04</t>
        </is>
      </c>
      <c r="F3537" s="17" t="n">
        <v>46095</v>
      </c>
      <c r="G3537" s="17" t="n">
        <v>46109</v>
      </c>
      <c r="H3537" s="18" t="n">
        <v>202</v>
      </c>
      <c r="I3537" s="19" t="n">
        <v>9.18</v>
      </c>
      <c r="J3537" s="19" t="n">
        <v>9</v>
      </c>
      <c r="K3537" s="20" t="n">
        <v>0</v>
      </c>
      <c r="L3537" s="20" t="n">
        <v>0</v>
      </c>
      <c r="M3537" s="18" t="n">
        <v>202</v>
      </c>
      <c r="N3537" s="18" t="n">
        <v>202</v>
      </c>
      <c r="O3537" s="18" t="n">
        <v>0</v>
      </c>
      <c r="P3537" s="17" t="n">
        <v>46103</v>
      </c>
      <c r="Q3537" s="17" t="n">
        <v>46103</v>
      </c>
      <c r="R3537" s="17" t="n">
        <v>46103</v>
      </c>
      <c r="S3537" s="19">
        <f>H3537*I3537</f>
        <v/>
      </c>
      <c r="T3537" s="19">
        <f>H3537*J3537</f>
        <v/>
      </c>
      <c r="U3537">
        <f>IF(AND(K3537=0,G3537&lt;=Assumptions!$C$6),1,0)</f>
        <v/>
      </c>
      <c r="V3537">
        <f>IF(U3537=1,IF(M3537&gt;0,IF(P3537&lt;=G3537+Assumptions!$C$7,1,0),0),0)</f>
        <v/>
      </c>
      <c r="W3537">
        <f>IF(AND(U3537=1,M3537&gt;=H3537*(1-Assumptions!$C$8)),1,0)</f>
        <v/>
      </c>
      <c r="X3537">
        <f>IF(AND(U3537=1,N3537&gt;=H3537*(1-Assumptions!$C$8)),1,0)</f>
        <v/>
      </c>
      <c r="Y3537">
        <f>IF(ISNUMBER(Q3537),1,0)</f>
        <v/>
      </c>
      <c r="Z3537">
        <f>IF(AND(K3537=0,L3537=0,Y3537=0),1,0)</f>
        <v/>
      </c>
      <c r="AA3537">
        <f>IF(AND(Z3537=1,G3537&lt;Assumptions!$C$6),1,0)</f>
        <v/>
      </c>
      <c r="AB3537">
        <f>IF(U3537=0,"",IF(Y3537=1,MAX(0,Q3537-G3537),IF(L3537=1,MAX(0,R3537-G3537),MAX(0,Assumptions!$C$6-G3537))))</f>
        <v/>
      </c>
      <c r="AC3537">
        <f>IF(Y3537=1,Q3537-F3537,"")</f>
        <v/>
      </c>
      <c r="AD3537">
        <f>IF(Y3537=1,AC3537^2,"")</f>
        <v/>
      </c>
      <c r="AE3537" s="19">
        <f>IF(Z3537=1,(H3537-M3537)*I3537,0)</f>
        <v/>
      </c>
      <c r="AF3537">
        <f>IF(G3537&lt;EDATE(Assumptions!$C$6,-12)+1,"prior_12m","last_12m")</f>
        <v/>
      </c>
      <c r="AG3537" s="21">
        <f>DATE(YEAR(G3537),MONTH(G3537),1)</f>
        <v/>
      </c>
    </row>
    <row r="3538">
      <c r="A3538" t="inlineStr">
        <is>
          <t>SPO-01886-1</t>
        </is>
      </c>
      <c r="B3538" t="inlineStr">
        <is>
          <t>SPO-01886</t>
        </is>
      </c>
      <c r="C3538" t="inlineStr">
        <is>
          <t>SUP-12</t>
        </is>
      </c>
      <c r="D3538" t="inlineStr">
        <is>
          <t>IT</t>
        </is>
      </c>
      <c r="E3538" t="inlineStr">
        <is>
          <t>IT-05</t>
        </is>
      </c>
      <c r="F3538" s="17" t="n">
        <v>46095</v>
      </c>
      <c r="G3538" s="17" t="n">
        <v>46105</v>
      </c>
      <c r="H3538" s="18" t="n">
        <v>2</v>
      </c>
      <c r="I3538" s="19" t="n">
        <v>742.9400000000001</v>
      </c>
      <c r="J3538" s="19" t="n">
        <v>640</v>
      </c>
      <c r="K3538" s="20" t="n">
        <v>0</v>
      </c>
      <c r="L3538" s="20" t="n">
        <v>0</v>
      </c>
      <c r="M3538" s="18" t="n">
        <v>2</v>
      </c>
      <c r="N3538" s="18" t="n">
        <v>2</v>
      </c>
      <c r="O3538" s="18" t="n">
        <v>0</v>
      </c>
      <c r="P3538" s="17" t="n">
        <v>46103</v>
      </c>
      <c r="Q3538" s="17" t="n">
        <v>46103</v>
      </c>
      <c r="R3538" s="17" t="n">
        <v>46103</v>
      </c>
      <c r="S3538" s="19">
        <f>H3538*I3538</f>
        <v/>
      </c>
      <c r="T3538" s="19">
        <f>H3538*J3538</f>
        <v/>
      </c>
      <c r="U3538">
        <f>IF(AND(K3538=0,G3538&lt;=Assumptions!$C$6),1,0)</f>
        <v/>
      </c>
      <c r="V3538">
        <f>IF(U3538=1,IF(M3538&gt;0,IF(P3538&lt;=G3538+Assumptions!$C$7,1,0),0),0)</f>
        <v/>
      </c>
      <c r="W3538">
        <f>IF(AND(U3538=1,M3538&gt;=H3538*(1-Assumptions!$C$8)),1,0)</f>
        <v/>
      </c>
      <c r="X3538">
        <f>IF(AND(U3538=1,N3538&gt;=H3538*(1-Assumptions!$C$8)),1,0)</f>
        <v/>
      </c>
      <c r="Y3538">
        <f>IF(ISNUMBER(Q3538),1,0)</f>
        <v/>
      </c>
      <c r="Z3538">
        <f>IF(AND(K3538=0,L3538=0,Y3538=0),1,0)</f>
        <v/>
      </c>
      <c r="AA3538">
        <f>IF(AND(Z3538=1,G3538&lt;Assumptions!$C$6),1,0)</f>
        <v/>
      </c>
      <c r="AB3538">
        <f>IF(U3538=0,"",IF(Y3538=1,MAX(0,Q3538-G3538),IF(L3538=1,MAX(0,R3538-G3538),MAX(0,Assumptions!$C$6-G3538))))</f>
        <v/>
      </c>
      <c r="AC3538">
        <f>IF(Y3538=1,Q3538-F3538,"")</f>
        <v/>
      </c>
      <c r="AD3538">
        <f>IF(Y3538=1,AC3538^2,"")</f>
        <v/>
      </c>
      <c r="AE3538" s="19">
        <f>IF(Z3538=1,(H3538-M3538)*I3538,0)</f>
        <v/>
      </c>
      <c r="AF3538">
        <f>IF(G3538&lt;EDATE(Assumptions!$C$6,-12)+1,"prior_12m","last_12m")</f>
        <v/>
      </c>
      <c r="AG3538" s="21">
        <f>DATE(YEAR(G3538),MONTH(G3538),1)</f>
        <v/>
      </c>
    </row>
    <row r="3539">
      <c r="A3539" t="inlineStr">
        <is>
          <t>SPO-01886-2</t>
        </is>
      </c>
      <c r="B3539" t="inlineStr">
        <is>
          <t>SPO-01886</t>
        </is>
      </c>
      <c r="C3539" t="inlineStr">
        <is>
          <t>SUP-12</t>
        </is>
      </c>
      <c r="D3539" t="inlineStr">
        <is>
          <t>IT</t>
        </is>
      </c>
      <c r="E3539" t="inlineStr">
        <is>
          <t>IT-04</t>
        </is>
      </c>
      <c r="F3539" s="17" t="n">
        <v>46095</v>
      </c>
      <c r="G3539" s="17" t="n">
        <v>46105</v>
      </c>
      <c r="H3539" s="18" t="n">
        <v>441</v>
      </c>
      <c r="I3539" s="19" t="n">
        <v>13.67</v>
      </c>
      <c r="J3539" s="19" t="n">
        <v>12</v>
      </c>
      <c r="K3539" s="20" t="n">
        <v>0</v>
      </c>
      <c r="L3539" s="20" t="n">
        <v>0</v>
      </c>
      <c r="M3539" s="18" t="n">
        <v>441</v>
      </c>
      <c r="N3539" s="18" t="n">
        <v>441</v>
      </c>
      <c r="O3539" s="18" t="n">
        <v>0</v>
      </c>
      <c r="P3539" s="17" t="n">
        <v>46101</v>
      </c>
      <c r="Q3539" s="17" t="n">
        <v>46101</v>
      </c>
      <c r="R3539" s="17" t="n">
        <v>46101</v>
      </c>
      <c r="S3539" s="19">
        <f>H3539*I3539</f>
        <v/>
      </c>
      <c r="T3539" s="19">
        <f>H3539*J3539</f>
        <v/>
      </c>
      <c r="U3539">
        <f>IF(AND(K3539=0,G3539&lt;=Assumptions!$C$6),1,0)</f>
        <v/>
      </c>
      <c r="V3539">
        <f>IF(U3539=1,IF(M3539&gt;0,IF(P3539&lt;=G3539+Assumptions!$C$7,1,0),0),0)</f>
        <v/>
      </c>
      <c r="W3539">
        <f>IF(AND(U3539=1,M3539&gt;=H3539*(1-Assumptions!$C$8)),1,0)</f>
        <v/>
      </c>
      <c r="X3539">
        <f>IF(AND(U3539=1,N3539&gt;=H3539*(1-Assumptions!$C$8)),1,0)</f>
        <v/>
      </c>
      <c r="Y3539">
        <f>IF(ISNUMBER(Q3539),1,0)</f>
        <v/>
      </c>
      <c r="Z3539">
        <f>IF(AND(K3539=0,L3539=0,Y3539=0),1,0)</f>
        <v/>
      </c>
      <c r="AA3539">
        <f>IF(AND(Z3539=1,G3539&lt;Assumptions!$C$6),1,0)</f>
        <v/>
      </c>
      <c r="AB3539">
        <f>IF(U3539=0,"",IF(Y3539=1,MAX(0,Q3539-G3539),IF(L3539=1,MAX(0,R3539-G3539),MAX(0,Assumptions!$C$6-G3539))))</f>
        <v/>
      </c>
      <c r="AC3539">
        <f>IF(Y3539=1,Q3539-F3539,"")</f>
        <v/>
      </c>
      <c r="AD3539">
        <f>IF(Y3539=1,AC3539^2,"")</f>
        <v/>
      </c>
      <c r="AE3539" s="19">
        <f>IF(Z3539=1,(H3539-M3539)*I3539,0)</f>
        <v/>
      </c>
      <c r="AF3539">
        <f>IF(G3539&lt;EDATE(Assumptions!$C$6,-12)+1,"prior_12m","last_12m")</f>
        <v/>
      </c>
      <c r="AG3539" s="21">
        <f>DATE(YEAR(G3539),MONTH(G3539),1)</f>
        <v/>
      </c>
    </row>
    <row r="3540">
      <c r="A3540" t="inlineStr">
        <is>
          <t>SPO-01887-1</t>
        </is>
      </c>
      <c r="B3540" t="inlineStr">
        <is>
          <t>SPO-01887</t>
        </is>
      </c>
      <c r="C3540" t="inlineStr">
        <is>
          <t>SUP-08</t>
        </is>
      </c>
      <c r="D3540" t="inlineStr">
        <is>
          <t>MRO</t>
        </is>
      </c>
      <c r="E3540" t="inlineStr">
        <is>
          <t>MRO-01</t>
        </is>
      </c>
      <c r="F3540" s="17" t="n">
        <v>46095</v>
      </c>
      <c r="G3540" s="17" t="n">
        <v>46106</v>
      </c>
      <c r="H3540" s="18" t="n">
        <v>31</v>
      </c>
      <c r="I3540" s="19" t="n">
        <v>52.6</v>
      </c>
      <c r="J3540" s="19" t="n">
        <v>52</v>
      </c>
      <c r="K3540" s="20" t="n">
        <v>0</v>
      </c>
      <c r="L3540" s="20" t="n">
        <v>0</v>
      </c>
      <c r="M3540" s="18" t="n">
        <v>31</v>
      </c>
      <c r="N3540" s="18" t="n">
        <v>31</v>
      </c>
      <c r="O3540" s="18" t="n">
        <v>0</v>
      </c>
      <c r="P3540" s="17" t="n">
        <v>46104</v>
      </c>
      <c r="Q3540" s="17" t="n">
        <v>46104</v>
      </c>
      <c r="R3540" s="17" t="n">
        <v>46104</v>
      </c>
      <c r="S3540" s="19">
        <f>H3540*I3540</f>
        <v/>
      </c>
      <c r="T3540" s="19">
        <f>H3540*J3540</f>
        <v/>
      </c>
      <c r="U3540">
        <f>IF(AND(K3540=0,G3540&lt;=Assumptions!$C$6),1,0)</f>
        <v/>
      </c>
      <c r="V3540">
        <f>IF(U3540=1,IF(M3540&gt;0,IF(P3540&lt;=G3540+Assumptions!$C$7,1,0),0),0)</f>
        <v/>
      </c>
      <c r="W3540">
        <f>IF(AND(U3540=1,M3540&gt;=H3540*(1-Assumptions!$C$8)),1,0)</f>
        <v/>
      </c>
      <c r="X3540">
        <f>IF(AND(U3540=1,N3540&gt;=H3540*(1-Assumptions!$C$8)),1,0)</f>
        <v/>
      </c>
      <c r="Y3540">
        <f>IF(ISNUMBER(Q3540),1,0)</f>
        <v/>
      </c>
      <c r="Z3540">
        <f>IF(AND(K3540=0,L3540=0,Y3540=0),1,0)</f>
        <v/>
      </c>
      <c r="AA3540">
        <f>IF(AND(Z3540=1,G3540&lt;Assumptions!$C$6),1,0)</f>
        <v/>
      </c>
      <c r="AB3540">
        <f>IF(U3540=0,"",IF(Y3540=1,MAX(0,Q3540-G3540),IF(L3540=1,MAX(0,R3540-G3540),MAX(0,Assumptions!$C$6-G3540))))</f>
        <v/>
      </c>
      <c r="AC3540">
        <f>IF(Y3540=1,Q3540-F3540,"")</f>
        <v/>
      </c>
      <c r="AD3540">
        <f>IF(Y3540=1,AC3540^2,"")</f>
        <v/>
      </c>
      <c r="AE3540" s="19">
        <f>IF(Z3540=1,(H3540-M3540)*I3540,0)</f>
        <v/>
      </c>
      <c r="AF3540">
        <f>IF(G3540&lt;EDATE(Assumptions!$C$6,-12)+1,"prior_12m","last_12m")</f>
        <v/>
      </c>
      <c r="AG3540" s="21">
        <f>DATE(YEAR(G3540),MONTH(G3540),1)</f>
        <v/>
      </c>
    </row>
    <row r="3541">
      <c r="A3541" t="inlineStr">
        <is>
          <t>SPO-01887-2</t>
        </is>
      </c>
      <c r="B3541" t="inlineStr">
        <is>
          <t>SPO-01887</t>
        </is>
      </c>
      <c r="C3541" t="inlineStr">
        <is>
          <t>SUP-08</t>
        </is>
      </c>
      <c r="D3541" t="inlineStr">
        <is>
          <t>MRO</t>
        </is>
      </c>
      <c r="E3541" t="inlineStr">
        <is>
          <t>MRO-06</t>
        </is>
      </c>
      <c r="F3541" s="17" t="n">
        <v>46095</v>
      </c>
      <c r="G3541" s="17" t="n">
        <v>46106</v>
      </c>
      <c r="H3541" s="18" t="n">
        <v>322</v>
      </c>
      <c r="I3541" s="19" t="n">
        <v>6.13</v>
      </c>
      <c r="J3541" s="19" t="n">
        <v>6.1</v>
      </c>
      <c r="K3541" s="20" t="n">
        <v>0</v>
      </c>
      <c r="L3541" s="20" t="n">
        <v>0</v>
      </c>
      <c r="M3541" s="18" t="n">
        <v>322</v>
      </c>
      <c r="N3541" s="18" t="n">
        <v>322</v>
      </c>
      <c r="O3541" s="18" t="n">
        <v>0</v>
      </c>
      <c r="P3541" s="17" t="n">
        <v>46104</v>
      </c>
      <c r="Q3541" s="17" t="n">
        <v>46104</v>
      </c>
      <c r="R3541" s="17" t="n">
        <v>46104</v>
      </c>
      <c r="S3541" s="19">
        <f>H3541*I3541</f>
        <v/>
      </c>
      <c r="T3541" s="19">
        <f>H3541*J3541</f>
        <v/>
      </c>
      <c r="U3541">
        <f>IF(AND(K3541=0,G3541&lt;=Assumptions!$C$6),1,0)</f>
        <v/>
      </c>
      <c r="V3541">
        <f>IF(U3541=1,IF(M3541&gt;0,IF(P3541&lt;=G3541+Assumptions!$C$7,1,0),0),0)</f>
        <v/>
      </c>
      <c r="W3541">
        <f>IF(AND(U3541=1,M3541&gt;=H3541*(1-Assumptions!$C$8)),1,0)</f>
        <v/>
      </c>
      <c r="X3541">
        <f>IF(AND(U3541=1,N3541&gt;=H3541*(1-Assumptions!$C$8)),1,0)</f>
        <v/>
      </c>
      <c r="Y3541">
        <f>IF(ISNUMBER(Q3541),1,0)</f>
        <v/>
      </c>
      <c r="Z3541">
        <f>IF(AND(K3541=0,L3541=0,Y3541=0),1,0)</f>
        <v/>
      </c>
      <c r="AA3541">
        <f>IF(AND(Z3541=1,G3541&lt;Assumptions!$C$6),1,0)</f>
        <v/>
      </c>
      <c r="AB3541">
        <f>IF(U3541=0,"",IF(Y3541=1,MAX(0,Q3541-G3541),IF(L3541=1,MAX(0,R3541-G3541),MAX(0,Assumptions!$C$6-G3541))))</f>
        <v/>
      </c>
      <c r="AC3541">
        <f>IF(Y3541=1,Q3541-F3541,"")</f>
        <v/>
      </c>
      <c r="AD3541">
        <f>IF(Y3541=1,AC3541^2,"")</f>
        <v/>
      </c>
      <c r="AE3541" s="19">
        <f>IF(Z3541=1,(H3541-M3541)*I3541,0)</f>
        <v/>
      </c>
      <c r="AF3541">
        <f>IF(G3541&lt;EDATE(Assumptions!$C$6,-12)+1,"prior_12m","last_12m")</f>
        <v/>
      </c>
      <c r="AG3541" s="21">
        <f>DATE(YEAR(G3541),MONTH(G3541),1)</f>
        <v/>
      </c>
    </row>
    <row r="3542">
      <c r="A3542" t="inlineStr">
        <is>
          <t>SPO-01888-1</t>
        </is>
      </c>
      <c r="B3542" t="inlineStr">
        <is>
          <t>SPO-01888</t>
        </is>
      </c>
      <c r="C3542" t="inlineStr">
        <is>
          <t>SUP-09</t>
        </is>
      </c>
      <c r="D3542" t="inlineStr">
        <is>
          <t>CHEM</t>
        </is>
      </c>
      <c r="E3542" t="inlineStr">
        <is>
          <t>CHEM-06</t>
        </is>
      </c>
      <c r="F3542" s="17" t="n">
        <v>46096</v>
      </c>
      <c r="G3542" s="17" t="n">
        <v>46110</v>
      </c>
      <c r="H3542" s="18" t="n">
        <v>3</v>
      </c>
      <c r="I3542" s="19" t="n">
        <v>391.28</v>
      </c>
      <c r="J3542" s="19" t="n">
        <v>380</v>
      </c>
      <c r="K3542" s="20" t="n">
        <v>0</v>
      </c>
      <c r="L3542" s="20" t="n">
        <v>0</v>
      </c>
      <c r="M3542" s="18" t="n">
        <v>3</v>
      </c>
      <c r="N3542" s="18" t="n">
        <v>3</v>
      </c>
      <c r="O3542" s="18" t="n">
        <v>0</v>
      </c>
      <c r="P3542" s="17" t="n">
        <v>46108</v>
      </c>
      <c r="Q3542" s="17" t="n">
        <v>46108</v>
      </c>
      <c r="R3542" s="17" t="n">
        <v>46108</v>
      </c>
      <c r="S3542" s="19">
        <f>H3542*I3542</f>
        <v/>
      </c>
      <c r="T3542" s="19">
        <f>H3542*J3542</f>
        <v/>
      </c>
      <c r="U3542">
        <f>IF(AND(K3542=0,G3542&lt;=Assumptions!$C$6),1,0)</f>
        <v/>
      </c>
      <c r="V3542">
        <f>IF(U3542=1,IF(M3542&gt;0,IF(P3542&lt;=G3542+Assumptions!$C$7,1,0),0),0)</f>
        <v/>
      </c>
      <c r="W3542">
        <f>IF(AND(U3542=1,M3542&gt;=H3542*(1-Assumptions!$C$8)),1,0)</f>
        <v/>
      </c>
      <c r="X3542">
        <f>IF(AND(U3542=1,N3542&gt;=H3542*(1-Assumptions!$C$8)),1,0)</f>
        <v/>
      </c>
      <c r="Y3542">
        <f>IF(ISNUMBER(Q3542),1,0)</f>
        <v/>
      </c>
      <c r="Z3542">
        <f>IF(AND(K3542=0,L3542=0,Y3542=0),1,0)</f>
        <v/>
      </c>
      <c r="AA3542">
        <f>IF(AND(Z3542=1,G3542&lt;Assumptions!$C$6),1,0)</f>
        <v/>
      </c>
      <c r="AB3542">
        <f>IF(U3542=0,"",IF(Y3542=1,MAX(0,Q3542-G3542),IF(L3542=1,MAX(0,R3542-G3542),MAX(0,Assumptions!$C$6-G3542))))</f>
        <v/>
      </c>
      <c r="AC3542">
        <f>IF(Y3542=1,Q3542-F3542,"")</f>
        <v/>
      </c>
      <c r="AD3542">
        <f>IF(Y3542=1,AC3542^2,"")</f>
        <v/>
      </c>
      <c r="AE3542" s="19">
        <f>IF(Z3542=1,(H3542-M3542)*I3542,0)</f>
        <v/>
      </c>
      <c r="AF3542">
        <f>IF(G3542&lt;EDATE(Assumptions!$C$6,-12)+1,"prior_12m","last_12m")</f>
        <v/>
      </c>
      <c r="AG3542" s="21">
        <f>DATE(YEAR(G3542),MONTH(G3542),1)</f>
        <v/>
      </c>
    </row>
    <row r="3543">
      <c r="A3543" t="inlineStr">
        <is>
          <t>SPO-01888-2</t>
        </is>
      </c>
      <c r="B3543" t="inlineStr">
        <is>
          <t>SPO-01888</t>
        </is>
      </c>
      <c r="C3543" t="inlineStr">
        <is>
          <t>SUP-09</t>
        </is>
      </c>
      <c r="D3543" t="inlineStr">
        <is>
          <t>CHEM</t>
        </is>
      </c>
      <c r="E3543" t="inlineStr">
        <is>
          <t>CHEM-05</t>
        </is>
      </c>
      <c r="F3543" s="17" t="n">
        <v>46096</v>
      </c>
      <c r="G3543" s="17" t="n">
        <v>46110</v>
      </c>
      <c r="H3543" s="18" t="n">
        <v>2</v>
      </c>
      <c r="I3543" s="19" t="n">
        <v>958.02</v>
      </c>
      <c r="J3543" s="19" t="n">
        <v>930</v>
      </c>
      <c r="K3543" s="20" t="n">
        <v>0</v>
      </c>
      <c r="L3543" s="20" t="n">
        <v>0</v>
      </c>
      <c r="M3543" s="18" t="n">
        <v>2</v>
      </c>
      <c r="N3543" s="18" t="n">
        <v>2</v>
      </c>
      <c r="O3543" s="18" t="n">
        <v>0</v>
      </c>
      <c r="P3543" s="17" t="n">
        <v>46105</v>
      </c>
      <c r="Q3543" s="17" t="n">
        <v>46105</v>
      </c>
      <c r="R3543" s="17" t="n">
        <v>46105</v>
      </c>
      <c r="S3543" s="19">
        <f>H3543*I3543</f>
        <v/>
      </c>
      <c r="T3543" s="19">
        <f>H3543*J3543</f>
        <v/>
      </c>
      <c r="U3543">
        <f>IF(AND(K3543=0,G3543&lt;=Assumptions!$C$6),1,0)</f>
        <v/>
      </c>
      <c r="V3543">
        <f>IF(U3543=1,IF(M3543&gt;0,IF(P3543&lt;=G3543+Assumptions!$C$7,1,0),0),0)</f>
        <v/>
      </c>
      <c r="W3543">
        <f>IF(AND(U3543=1,M3543&gt;=H3543*(1-Assumptions!$C$8)),1,0)</f>
        <v/>
      </c>
      <c r="X3543">
        <f>IF(AND(U3543=1,N3543&gt;=H3543*(1-Assumptions!$C$8)),1,0)</f>
        <v/>
      </c>
      <c r="Y3543">
        <f>IF(ISNUMBER(Q3543),1,0)</f>
        <v/>
      </c>
      <c r="Z3543">
        <f>IF(AND(K3543=0,L3543=0,Y3543=0),1,0)</f>
        <v/>
      </c>
      <c r="AA3543">
        <f>IF(AND(Z3543=1,G3543&lt;Assumptions!$C$6),1,0)</f>
        <v/>
      </c>
      <c r="AB3543">
        <f>IF(U3543=0,"",IF(Y3543=1,MAX(0,Q3543-G3543),IF(L3543=1,MAX(0,R3543-G3543),MAX(0,Assumptions!$C$6-G3543))))</f>
        <v/>
      </c>
      <c r="AC3543">
        <f>IF(Y3543=1,Q3543-F3543,"")</f>
        <v/>
      </c>
      <c r="AD3543">
        <f>IF(Y3543=1,AC3543^2,"")</f>
        <v/>
      </c>
      <c r="AE3543" s="19">
        <f>IF(Z3543=1,(H3543-M3543)*I3543,0)</f>
        <v/>
      </c>
      <c r="AF3543">
        <f>IF(G3543&lt;EDATE(Assumptions!$C$6,-12)+1,"prior_12m","last_12m")</f>
        <v/>
      </c>
      <c r="AG3543" s="21">
        <f>DATE(YEAR(G3543),MONTH(G3543),1)</f>
        <v/>
      </c>
    </row>
    <row r="3544">
      <c r="A3544" t="inlineStr">
        <is>
          <t>SPO-01889-1</t>
        </is>
      </c>
      <c r="B3544" t="inlineStr">
        <is>
          <t>SPO-01889</t>
        </is>
      </c>
      <c r="C3544" t="inlineStr">
        <is>
          <t>SUP-01</t>
        </is>
      </c>
      <c r="D3544" t="inlineStr">
        <is>
          <t>ELEC</t>
        </is>
      </c>
      <c r="E3544" t="inlineStr">
        <is>
          <t>ELEC-06</t>
        </is>
      </c>
      <c r="F3544" s="17" t="n">
        <v>46096</v>
      </c>
      <c r="G3544" s="17" t="n">
        <v>46114</v>
      </c>
      <c r="H3544" s="18" t="n">
        <v>36</v>
      </c>
      <c r="I3544" s="19" t="n">
        <v>145.24</v>
      </c>
      <c r="J3544" s="19" t="n">
        <v>145</v>
      </c>
      <c r="K3544" s="20" t="n">
        <v>0</v>
      </c>
      <c r="L3544" s="20" t="n">
        <v>0</v>
      </c>
      <c r="M3544" s="18" t="n">
        <v>36</v>
      </c>
      <c r="N3544" s="18" t="n">
        <v>36</v>
      </c>
      <c r="O3544" s="18" t="n">
        <v>0</v>
      </c>
      <c r="P3544" s="17" t="n">
        <v>46105</v>
      </c>
      <c r="Q3544" s="17" t="n">
        <v>46105</v>
      </c>
      <c r="R3544" s="17" t="n">
        <v>46105</v>
      </c>
      <c r="S3544" s="19">
        <f>H3544*I3544</f>
        <v/>
      </c>
      <c r="T3544" s="19">
        <f>H3544*J3544</f>
        <v/>
      </c>
      <c r="U3544">
        <f>IF(AND(K3544=0,G3544&lt;=Assumptions!$C$6),1,0)</f>
        <v/>
      </c>
      <c r="V3544">
        <f>IF(U3544=1,IF(M3544&gt;0,IF(P3544&lt;=G3544+Assumptions!$C$7,1,0),0),0)</f>
        <v/>
      </c>
      <c r="W3544">
        <f>IF(AND(U3544=1,M3544&gt;=H3544*(1-Assumptions!$C$8)),1,0)</f>
        <v/>
      </c>
      <c r="X3544">
        <f>IF(AND(U3544=1,N3544&gt;=H3544*(1-Assumptions!$C$8)),1,0)</f>
        <v/>
      </c>
      <c r="Y3544">
        <f>IF(ISNUMBER(Q3544),1,0)</f>
        <v/>
      </c>
      <c r="Z3544">
        <f>IF(AND(K3544=0,L3544=0,Y3544=0),1,0)</f>
        <v/>
      </c>
      <c r="AA3544">
        <f>IF(AND(Z3544=1,G3544&lt;Assumptions!$C$6),1,0)</f>
        <v/>
      </c>
      <c r="AB3544">
        <f>IF(U3544=0,"",IF(Y3544=1,MAX(0,Q3544-G3544),IF(L3544=1,MAX(0,R3544-G3544),MAX(0,Assumptions!$C$6-G3544))))</f>
        <v/>
      </c>
      <c r="AC3544">
        <f>IF(Y3544=1,Q3544-F3544,"")</f>
        <v/>
      </c>
      <c r="AD3544">
        <f>IF(Y3544=1,AC3544^2,"")</f>
        <v/>
      </c>
      <c r="AE3544" s="19">
        <f>IF(Z3544=1,(H3544-M3544)*I3544,0)</f>
        <v/>
      </c>
      <c r="AF3544">
        <f>IF(G3544&lt;EDATE(Assumptions!$C$6,-12)+1,"prior_12m","last_12m")</f>
        <v/>
      </c>
      <c r="AG3544" s="21">
        <f>DATE(YEAR(G3544),MONTH(G3544),1)</f>
        <v/>
      </c>
    </row>
    <row r="3545">
      <c r="A3545" t="inlineStr">
        <is>
          <t>SPO-01890-1</t>
        </is>
      </c>
      <c r="B3545" t="inlineStr">
        <is>
          <t>SPO-01890</t>
        </is>
      </c>
      <c r="C3545" t="inlineStr">
        <is>
          <t>SUP-11</t>
        </is>
      </c>
      <c r="D3545" t="inlineStr">
        <is>
          <t>PPE</t>
        </is>
      </c>
      <c r="E3545" t="inlineStr">
        <is>
          <t>PPE-07</t>
        </is>
      </c>
      <c r="F3545" s="17" t="n">
        <v>46097</v>
      </c>
      <c r="G3545" s="17" t="n">
        <v>46109</v>
      </c>
      <c r="H3545" s="18" t="n">
        <v>26</v>
      </c>
      <c r="I3545" s="19" t="n">
        <v>30.26</v>
      </c>
      <c r="J3545" s="19" t="n">
        <v>31</v>
      </c>
      <c r="K3545" s="20" t="n">
        <v>0</v>
      </c>
      <c r="L3545" s="20" t="n">
        <v>0</v>
      </c>
      <c r="M3545" s="18" t="n">
        <v>26</v>
      </c>
      <c r="N3545" s="18" t="n">
        <v>15</v>
      </c>
      <c r="O3545" s="18" t="n">
        <v>0</v>
      </c>
      <c r="P3545" s="17" t="n">
        <v>46107</v>
      </c>
      <c r="Q3545" s="17" t="n">
        <v>46120</v>
      </c>
      <c r="R3545" s="17" t="n">
        <v>46120</v>
      </c>
      <c r="S3545" s="19">
        <f>H3545*I3545</f>
        <v/>
      </c>
      <c r="T3545" s="19">
        <f>H3545*J3545</f>
        <v/>
      </c>
      <c r="U3545">
        <f>IF(AND(K3545=0,G3545&lt;=Assumptions!$C$6),1,0)</f>
        <v/>
      </c>
      <c r="V3545">
        <f>IF(U3545=1,IF(M3545&gt;0,IF(P3545&lt;=G3545+Assumptions!$C$7,1,0),0),0)</f>
        <v/>
      </c>
      <c r="W3545">
        <f>IF(AND(U3545=1,M3545&gt;=H3545*(1-Assumptions!$C$8)),1,0)</f>
        <v/>
      </c>
      <c r="X3545">
        <f>IF(AND(U3545=1,N3545&gt;=H3545*(1-Assumptions!$C$8)),1,0)</f>
        <v/>
      </c>
      <c r="Y3545">
        <f>IF(ISNUMBER(Q3545),1,0)</f>
        <v/>
      </c>
      <c r="Z3545">
        <f>IF(AND(K3545=0,L3545=0,Y3545=0),1,0)</f>
        <v/>
      </c>
      <c r="AA3545">
        <f>IF(AND(Z3545=1,G3545&lt;Assumptions!$C$6),1,0)</f>
        <v/>
      </c>
      <c r="AB3545">
        <f>IF(U3545=0,"",IF(Y3545=1,MAX(0,Q3545-G3545),IF(L3545=1,MAX(0,R3545-G3545),MAX(0,Assumptions!$C$6-G3545))))</f>
        <v/>
      </c>
      <c r="AC3545">
        <f>IF(Y3545=1,Q3545-F3545,"")</f>
        <v/>
      </c>
      <c r="AD3545">
        <f>IF(Y3545=1,AC3545^2,"")</f>
        <v/>
      </c>
      <c r="AE3545" s="19">
        <f>IF(Z3545=1,(H3545-M3545)*I3545,0)</f>
        <v/>
      </c>
      <c r="AF3545">
        <f>IF(G3545&lt;EDATE(Assumptions!$C$6,-12)+1,"prior_12m","last_12m")</f>
        <v/>
      </c>
      <c r="AG3545" s="21">
        <f>DATE(YEAR(G3545),MONTH(G3545),1)</f>
        <v/>
      </c>
    </row>
    <row r="3546">
      <c r="A3546" t="inlineStr">
        <is>
          <t>SPO-01890-2</t>
        </is>
      </c>
      <c r="B3546" t="inlineStr">
        <is>
          <t>SPO-01890</t>
        </is>
      </c>
      <c r="C3546" t="inlineStr">
        <is>
          <t>SUP-11</t>
        </is>
      </c>
      <c r="D3546" t="inlineStr">
        <is>
          <t>PPE</t>
        </is>
      </c>
      <c r="E3546" t="inlineStr">
        <is>
          <t>PPE-02</t>
        </is>
      </c>
      <c r="F3546" s="17" t="n">
        <v>46097</v>
      </c>
      <c r="G3546" s="17" t="n">
        <v>46109</v>
      </c>
      <c r="H3546" s="18" t="n">
        <v>104</v>
      </c>
      <c r="I3546" s="19" t="n">
        <v>12.51</v>
      </c>
      <c r="J3546" s="19" t="n">
        <v>12.5</v>
      </c>
      <c r="K3546" s="20" t="n">
        <v>0</v>
      </c>
      <c r="L3546" s="20" t="n">
        <v>0</v>
      </c>
      <c r="M3546" s="18" t="n">
        <v>104</v>
      </c>
      <c r="N3546" s="18" t="n">
        <v>104</v>
      </c>
      <c r="O3546" s="18" t="n">
        <v>0</v>
      </c>
      <c r="P3546" s="17" t="n">
        <v>46106</v>
      </c>
      <c r="Q3546" s="17" t="n">
        <v>46106</v>
      </c>
      <c r="R3546" s="17" t="n">
        <v>46106</v>
      </c>
      <c r="S3546" s="19">
        <f>H3546*I3546</f>
        <v/>
      </c>
      <c r="T3546" s="19">
        <f>H3546*J3546</f>
        <v/>
      </c>
      <c r="U3546">
        <f>IF(AND(K3546=0,G3546&lt;=Assumptions!$C$6),1,0)</f>
        <v/>
      </c>
      <c r="V3546">
        <f>IF(U3546=1,IF(M3546&gt;0,IF(P3546&lt;=G3546+Assumptions!$C$7,1,0),0),0)</f>
        <v/>
      </c>
      <c r="W3546">
        <f>IF(AND(U3546=1,M3546&gt;=H3546*(1-Assumptions!$C$8)),1,0)</f>
        <v/>
      </c>
      <c r="X3546">
        <f>IF(AND(U3546=1,N3546&gt;=H3546*(1-Assumptions!$C$8)),1,0)</f>
        <v/>
      </c>
      <c r="Y3546">
        <f>IF(ISNUMBER(Q3546),1,0)</f>
        <v/>
      </c>
      <c r="Z3546">
        <f>IF(AND(K3546=0,L3546=0,Y3546=0),1,0)</f>
        <v/>
      </c>
      <c r="AA3546">
        <f>IF(AND(Z3546=1,G3546&lt;Assumptions!$C$6),1,0)</f>
        <v/>
      </c>
      <c r="AB3546">
        <f>IF(U3546=0,"",IF(Y3546=1,MAX(0,Q3546-G3546),IF(L3546=1,MAX(0,R3546-G3546),MAX(0,Assumptions!$C$6-G3546))))</f>
        <v/>
      </c>
      <c r="AC3546">
        <f>IF(Y3546=1,Q3546-F3546,"")</f>
        <v/>
      </c>
      <c r="AD3546">
        <f>IF(Y3546=1,AC3546^2,"")</f>
        <v/>
      </c>
      <c r="AE3546" s="19">
        <f>IF(Z3546=1,(H3546-M3546)*I3546,0)</f>
        <v/>
      </c>
      <c r="AF3546">
        <f>IF(G3546&lt;EDATE(Assumptions!$C$6,-12)+1,"prior_12m","last_12m")</f>
        <v/>
      </c>
      <c r="AG3546" s="21">
        <f>DATE(YEAR(G3546),MONTH(G3546),1)</f>
        <v/>
      </c>
    </row>
    <row r="3547">
      <c r="A3547" t="inlineStr">
        <is>
          <t>SPO-01891-1</t>
        </is>
      </c>
      <c r="B3547" t="inlineStr">
        <is>
          <t>SPO-01891</t>
        </is>
      </c>
      <c r="C3547" t="inlineStr">
        <is>
          <t>SUP-01</t>
        </is>
      </c>
      <c r="D3547" t="inlineStr">
        <is>
          <t>ELEC</t>
        </is>
      </c>
      <c r="E3547" t="inlineStr">
        <is>
          <t>ELEC-08</t>
        </is>
      </c>
      <c r="F3547" s="17" t="n">
        <v>46097</v>
      </c>
      <c r="G3547" s="17" t="n">
        <v>46115</v>
      </c>
      <c r="H3547" s="18" t="n">
        <v>86</v>
      </c>
      <c r="I3547" s="19" t="n">
        <v>17.24</v>
      </c>
      <c r="J3547" s="19" t="n">
        <v>18</v>
      </c>
      <c r="K3547" s="20" t="n">
        <v>0</v>
      </c>
      <c r="L3547" s="20" t="n">
        <v>0</v>
      </c>
      <c r="M3547" s="18" t="n">
        <v>86</v>
      </c>
      <c r="N3547" s="18" t="n">
        <v>86</v>
      </c>
      <c r="O3547" s="18" t="n">
        <v>0</v>
      </c>
      <c r="P3547" s="17" t="n">
        <v>46115</v>
      </c>
      <c r="Q3547" s="17" t="n">
        <v>46115</v>
      </c>
      <c r="R3547" s="17" t="n">
        <v>46115</v>
      </c>
      <c r="S3547" s="19">
        <f>H3547*I3547</f>
        <v/>
      </c>
      <c r="T3547" s="19">
        <f>H3547*J3547</f>
        <v/>
      </c>
      <c r="U3547">
        <f>IF(AND(K3547=0,G3547&lt;=Assumptions!$C$6),1,0)</f>
        <v/>
      </c>
      <c r="V3547">
        <f>IF(U3547=1,IF(M3547&gt;0,IF(P3547&lt;=G3547+Assumptions!$C$7,1,0),0),0)</f>
        <v/>
      </c>
      <c r="W3547">
        <f>IF(AND(U3547=1,M3547&gt;=H3547*(1-Assumptions!$C$8)),1,0)</f>
        <v/>
      </c>
      <c r="X3547">
        <f>IF(AND(U3547=1,N3547&gt;=H3547*(1-Assumptions!$C$8)),1,0)</f>
        <v/>
      </c>
      <c r="Y3547">
        <f>IF(ISNUMBER(Q3547),1,0)</f>
        <v/>
      </c>
      <c r="Z3547">
        <f>IF(AND(K3547=0,L3547=0,Y3547=0),1,0)</f>
        <v/>
      </c>
      <c r="AA3547">
        <f>IF(AND(Z3547=1,G3547&lt;Assumptions!$C$6),1,0)</f>
        <v/>
      </c>
      <c r="AB3547">
        <f>IF(U3547=0,"",IF(Y3547=1,MAX(0,Q3547-G3547),IF(L3547=1,MAX(0,R3547-G3547),MAX(0,Assumptions!$C$6-G3547))))</f>
        <v/>
      </c>
      <c r="AC3547">
        <f>IF(Y3547=1,Q3547-F3547,"")</f>
        <v/>
      </c>
      <c r="AD3547">
        <f>IF(Y3547=1,AC3547^2,"")</f>
        <v/>
      </c>
      <c r="AE3547" s="19">
        <f>IF(Z3547=1,(H3547-M3547)*I3547,0)</f>
        <v/>
      </c>
      <c r="AF3547">
        <f>IF(G3547&lt;EDATE(Assumptions!$C$6,-12)+1,"prior_12m","last_12m")</f>
        <v/>
      </c>
      <c r="AG3547" s="21">
        <f>DATE(YEAR(G3547),MONTH(G3547),1)</f>
        <v/>
      </c>
    </row>
    <row r="3548">
      <c r="A3548" t="inlineStr">
        <is>
          <t>SPO-01891-2</t>
        </is>
      </c>
      <c r="B3548" t="inlineStr">
        <is>
          <t>SPO-01891</t>
        </is>
      </c>
      <c r="C3548" t="inlineStr">
        <is>
          <t>SUP-01</t>
        </is>
      </c>
      <c r="D3548" t="inlineStr">
        <is>
          <t>ELEC</t>
        </is>
      </c>
      <c r="E3548" t="inlineStr">
        <is>
          <t>ELEC-05</t>
        </is>
      </c>
      <c r="F3548" s="17" t="n">
        <v>46097</v>
      </c>
      <c r="G3548" s="17" t="n">
        <v>46115</v>
      </c>
      <c r="H3548" s="18" t="n">
        <v>206</v>
      </c>
      <c r="I3548" s="19" t="n">
        <v>11.58</v>
      </c>
      <c r="J3548" s="19" t="n">
        <v>11.5</v>
      </c>
      <c r="K3548" s="20" t="n">
        <v>0</v>
      </c>
      <c r="L3548" s="20" t="n">
        <v>0</v>
      </c>
      <c r="M3548" s="18" t="n">
        <v>206</v>
      </c>
      <c r="N3548" s="18" t="n">
        <v>206</v>
      </c>
      <c r="O3548" s="18" t="n">
        <v>0</v>
      </c>
      <c r="P3548" s="17" t="n">
        <v>46106</v>
      </c>
      <c r="Q3548" s="17" t="n">
        <v>46106</v>
      </c>
      <c r="R3548" s="17" t="n">
        <v>46106</v>
      </c>
      <c r="S3548" s="19">
        <f>H3548*I3548</f>
        <v/>
      </c>
      <c r="T3548" s="19">
        <f>H3548*J3548</f>
        <v/>
      </c>
      <c r="U3548">
        <f>IF(AND(K3548=0,G3548&lt;=Assumptions!$C$6),1,0)</f>
        <v/>
      </c>
      <c r="V3548">
        <f>IF(U3548=1,IF(M3548&gt;0,IF(P3548&lt;=G3548+Assumptions!$C$7,1,0),0),0)</f>
        <v/>
      </c>
      <c r="W3548">
        <f>IF(AND(U3548=1,M3548&gt;=H3548*(1-Assumptions!$C$8)),1,0)</f>
        <v/>
      </c>
      <c r="X3548">
        <f>IF(AND(U3548=1,N3548&gt;=H3548*(1-Assumptions!$C$8)),1,0)</f>
        <v/>
      </c>
      <c r="Y3548">
        <f>IF(ISNUMBER(Q3548),1,0)</f>
        <v/>
      </c>
      <c r="Z3548">
        <f>IF(AND(K3548=0,L3548=0,Y3548=0),1,0)</f>
        <v/>
      </c>
      <c r="AA3548">
        <f>IF(AND(Z3548=1,G3548&lt;Assumptions!$C$6),1,0)</f>
        <v/>
      </c>
      <c r="AB3548">
        <f>IF(U3548=0,"",IF(Y3548=1,MAX(0,Q3548-G3548),IF(L3548=1,MAX(0,R3548-G3548),MAX(0,Assumptions!$C$6-G3548))))</f>
        <v/>
      </c>
      <c r="AC3548">
        <f>IF(Y3548=1,Q3548-F3548,"")</f>
        <v/>
      </c>
      <c r="AD3548">
        <f>IF(Y3548=1,AC3548^2,"")</f>
        <v/>
      </c>
      <c r="AE3548" s="19">
        <f>IF(Z3548=1,(H3548-M3548)*I3548,0)</f>
        <v/>
      </c>
      <c r="AF3548">
        <f>IF(G3548&lt;EDATE(Assumptions!$C$6,-12)+1,"prior_12m","last_12m")</f>
        <v/>
      </c>
      <c r="AG3548" s="21">
        <f>DATE(YEAR(G3548),MONTH(G3548),1)</f>
        <v/>
      </c>
    </row>
    <row r="3549">
      <c r="A3549" t="inlineStr">
        <is>
          <t>SPO-01892-1</t>
        </is>
      </c>
      <c r="B3549" t="inlineStr">
        <is>
          <t>SPO-01892</t>
        </is>
      </c>
      <c r="C3549" t="inlineStr">
        <is>
          <t>SUP-02</t>
        </is>
      </c>
      <c r="D3549" t="inlineStr">
        <is>
          <t>ELEC</t>
        </is>
      </c>
      <c r="E3549" t="inlineStr">
        <is>
          <t>ELEC-06</t>
        </is>
      </c>
      <c r="F3549" s="17" t="n">
        <v>46098</v>
      </c>
      <c r="G3549" s="17" t="n">
        <v>46114</v>
      </c>
      <c r="H3549" s="18" t="n">
        <v>9</v>
      </c>
      <c r="I3549" s="19" t="n">
        <v>142.16</v>
      </c>
      <c r="J3549" s="19" t="n">
        <v>145</v>
      </c>
      <c r="K3549" s="20" t="n">
        <v>0</v>
      </c>
      <c r="L3549" s="20" t="n">
        <v>0</v>
      </c>
      <c r="M3549" s="18" t="n">
        <v>9</v>
      </c>
      <c r="N3549" s="18" t="n">
        <v>9</v>
      </c>
      <c r="O3549" s="18" t="n">
        <v>0</v>
      </c>
      <c r="P3549" s="17" t="n">
        <v>46108</v>
      </c>
      <c r="Q3549" s="17" t="n">
        <v>46108</v>
      </c>
      <c r="R3549" s="17" t="n">
        <v>46108</v>
      </c>
      <c r="S3549" s="19">
        <f>H3549*I3549</f>
        <v/>
      </c>
      <c r="T3549" s="19">
        <f>H3549*J3549</f>
        <v/>
      </c>
      <c r="U3549">
        <f>IF(AND(K3549=0,G3549&lt;=Assumptions!$C$6),1,0)</f>
        <v/>
      </c>
      <c r="V3549">
        <f>IF(U3549=1,IF(M3549&gt;0,IF(P3549&lt;=G3549+Assumptions!$C$7,1,0),0),0)</f>
        <v/>
      </c>
      <c r="W3549">
        <f>IF(AND(U3549=1,M3549&gt;=H3549*(1-Assumptions!$C$8)),1,0)</f>
        <v/>
      </c>
      <c r="X3549">
        <f>IF(AND(U3549=1,N3549&gt;=H3549*(1-Assumptions!$C$8)),1,0)</f>
        <v/>
      </c>
      <c r="Y3549">
        <f>IF(ISNUMBER(Q3549),1,0)</f>
        <v/>
      </c>
      <c r="Z3549">
        <f>IF(AND(K3549=0,L3549=0,Y3549=0),1,0)</f>
        <v/>
      </c>
      <c r="AA3549">
        <f>IF(AND(Z3549=1,G3549&lt;Assumptions!$C$6),1,0)</f>
        <v/>
      </c>
      <c r="AB3549">
        <f>IF(U3549=0,"",IF(Y3549=1,MAX(0,Q3549-G3549),IF(L3549=1,MAX(0,R3549-G3549),MAX(0,Assumptions!$C$6-G3549))))</f>
        <v/>
      </c>
      <c r="AC3549">
        <f>IF(Y3549=1,Q3549-F3549,"")</f>
        <v/>
      </c>
      <c r="AD3549">
        <f>IF(Y3549=1,AC3549^2,"")</f>
        <v/>
      </c>
      <c r="AE3549" s="19">
        <f>IF(Z3549=1,(H3549-M3549)*I3549,0)</f>
        <v/>
      </c>
      <c r="AF3549">
        <f>IF(G3549&lt;EDATE(Assumptions!$C$6,-12)+1,"prior_12m","last_12m")</f>
        <v/>
      </c>
      <c r="AG3549" s="21">
        <f>DATE(YEAR(G3549),MONTH(G3549),1)</f>
        <v/>
      </c>
    </row>
    <row r="3550">
      <c r="A3550" t="inlineStr">
        <is>
          <t>SPO-01892-2</t>
        </is>
      </c>
      <c r="B3550" t="inlineStr">
        <is>
          <t>SPO-01892</t>
        </is>
      </c>
      <c r="C3550" t="inlineStr">
        <is>
          <t>SUP-02</t>
        </is>
      </c>
      <c r="D3550" t="inlineStr">
        <is>
          <t>ELEC</t>
        </is>
      </c>
      <c r="E3550" t="inlineStr">
        <is>
          <t>ELEC-08</t>
        </is>
      </c>
      <c r="F3550" s="17" t="n">
        <v>46098</v>
      </c>
      <c r="G3550" s="17" t="n">
        <v>46114</v>
      </c>
      <c r="H3550" s="18" t="n">
        <v>155</v>
      </c>
      <c r="I3550" s="19" t="n">
        <v>18.7</v>
      </c>
      <c r="J3550" s="19" t="n">
        <v>18</v>
      </c>
      <c r="K3550" s="20" t="n">
        <v>0</v>
      </c>
      <c r="L3550" s="20" t="n">
        <v>0</v>
      </c>
      <c r="M3550" s="18" t="n">
        <v>155</v>
      </c>
      <c r="N3550" s="18" t="n">
        <v>155</v>
      </c>
      <c r="O3550" s="18" t="n">
        <v>0</v>
      </c>
      <c r="P3550" s="17" t="n">
        <v>46112</v>
      </c>
      <c r="Q3550" s="17" t="n">
        <v>46112</v>
      </c>
      <c r="R3550" s="17" t="n">
        <v>46112</v>
      </c>
      <c r="S3550" s="19">
        <f>H3550*I3550</f>
        <v/>
      </c>
      <c r="T3550" s="19">
        <f>H3550*J3550</f>
        <v/>
      </c>
      <c r="U3550">
        <f>IF(AND(K3550=0,G3550&lt;=Assumptions!$C$6),1,0)</f>
        <v/>
      </c>
      <c r="V3550">
        <f>IF(U3550=1,IF(M3550&gt;0,IF(P3550&lt;=G3550+Assumptions!$C$7,1,0),0),0)</f>
        <v/>
      </c>
      <c r="W3550">
        <f>IF(AND(U3550=1,M3550&gt;=H3550*(1-Assumptions!$C$8)),1,0)</f>
        <v/>
      </c>
      <c r="X3550">
        <f>IF(AND(U3550=1,N3550&gt;=H3550*(1-Assumptions!$C$8)),1,0)</f>
        <v/>
      </c>
      <c r="Y3550">
        <f>IF(ISNUMBER(Q3550),1,0)</f>
        <v/>
      </c>
      <c r="Z3550">
        <f>IF(AND(K3550=0,L3550=0,Y3550=0),1,0)</f>
        <v/>
      </c>
      <c r="AA3550">
        <f>IF(AND(Z3550=1,G3550&lt;Assumptions!$C$6),1,0)</f>
        <v/>
      </c>
      <c r="AB3550">
        <f>IF(U3550=0,"",IF(Y3550=1,MAX(0,Q3550-G3550),IF(L3550=1,MAX(0,R3550-G3550),MAX(0,Assumptions!$C$6-G3550))))</f>
        <v/>
      </c>
      <c r="AC3550">
        <f>IF(Y3550=1,Q3550-F3550,"")</f>
        <v/>
      </c>
      <c r="AD3550">
        <f>IF(Y3550=1,AC3550^2,"")</f>
        <v/>
      </c>
      <c r="AE3550" s="19">
        <f>IF(Z3550=1,(H3550-M3550)*I3550,0)</f>
        <v/>
      </c>
      <c r="AF3550">
        <f>IF(G3550&lt;EDATE(Assumptions!$C$6,-12)+1,"prior_12m","last_12m")</f>
        <v/>
      </c>
      <c r="AG3550" s="21">
        <f>DATE(YEAR(G3550),MONTH(G3550),1)</f>
        <v/>
      </c>
    </row>
    <row r="3551">
      <c r="A3551" t="inlineStr">
        <is>
          <t>SPO-01893-1</t>
        </is>
      </c>
      <c r="B3551" t="inlineStr">
        <is>
          <t>SPO-01893</t>
        </is>
      </c>
      <c r="C3551" t="inlineStr">
        <is>
          <t>SUP-09</t>
        </is>
      </c>
      <c r="D3551" t="inlineStr">
        <is>
          <t>CHEM</t>
        </is>
      </c>
      <c r="E3551" t="inlineStr">
        <is>
          <t>CHEM-06</t>
        </is>
      </c>
      <c r="F3551" s="17" t="n">
        <v>46098</v>
      </c>
      <c r="G3551" s="17" t="n">
        <v>46112</v>
      </c>
      <c r="H3551" s="18" t="n">
        <v>7</v>
      </c>
      <c r="I3551" s="19" t="n">
        <v>402.53</v>
      </c>
      <c r="J3551" s="19" t="n">
        <v>380</v>
      </c>
      <c r="K3551" s="20" t="n">
        <v>0</v>
      </c>
      <c r="L3551" s="20" t="n">
        <v>0</v>
      </c>
      <c r="M3551" s="18" t="n">
        <v>7</v>
      </c>
      <c r="N3551" s="18" t="n">
        <v>7</v>
      </c>
      <c r="O3551" s="18" t="n">
        <v>0</v>
      </c>
      <c r="P3551" s="17" t="n">
        <v>46110</v>
      </c>
      <c r="Q3551" s="17" t="n">
        <v>46110</v>
      </c>
      <c r="R3551" s="17" t="n">
        <v>46110</v>
      </c>
      <c r="S3551" s="19">
        <f>H3551*I3551</f>
        <v/>
      </c>
      <c r="T3551" s="19">
        <f>H3551*J3551</f>
        <v/>
      </c>
      <c r="U3551">
        <f>IF(AND(K3551=0,G3551&lt;=Assumptions!$C$6),1,0)</f>
        <v/>
      </c>
      <c r="V3551">
        <f>IF(U3551=1,IF(M3551&gt;0,IF(P3551&lt;=G3551+Assumptions!$C$7,1,0),0),0)</f>
        <v/>
      </c>
      <c r="W3551">
        <f>IF(AND(U3551=1,M3551&gt;=H3551*(1-Assumptions!$C$8)),1,0)</f>
        <v/>
      </c>
      <c r="X3551">
        <f>IF(AND(U3551=1,N3551&gt;=H3551*(1-Assumptions!$C$8)),1,0)</f>
        <v/>
      </c>
      <c r="Y3551">
        <f>IF(ISNUMBER(Q3551),1,0)</f>
        <v/>
      </c>
      <c r="Z3551">
        <f>IF(AND(K3551=0,L3551=0,Y3551=0),1,0)</f>
        <v/>
      </c>
      <c r="AA3551">
        <f>IF(AND(Z3551=1,G3551&lt;Assumptions!$C$6),1,0)</f>
        <v/>
      </c>
      <c r="AB3551">
        <f>IF(U3551=0,"",IF(Y3551=1,MAX(0,Q3551-G3551),IF(L3551=1,MAX(0,R3551-G3551),MAX(0,Assumptions!$C$6-G3551))))</f>
        <v/>
      </c>
      <c r="AC3551">
        <f>IF(Y3551=1,Q3551-F3551,"")</f>
        <v/>
      </c>
      <c r="AD3551">
        <f>IF(Y3551=1,AC3551^2,"")</f>
        <v/>
      </c>
      <c r="AE3551" s="19">
        <f>IF(Z3551=1,(H3551-M3551)*I3551,0)</f>
        <v/>
      </c>
      <c r="AF3551">
        <f>IF(G3551&lt;EDATE(Assumptions!$C$6,-12)+1,"prior_12m","last_12m")</f>
        <v/>
      </c>
      <c r="AG3551" s="21">
        <f>DATE(YEAR(G3551),MONTH(G3551),1)</f>
        <v/>
      </c>
    </row>
    <row r="3552">
      <c r="A3552" t="inlineStr">
        <is>
          <t>SPO-01894-1</t>
        </is>
      </c>
      <c r="B3552" t="inlineStr">
        <is>
          <t>SPO-01894</t>
        </is>
      </c>
      <c r="C3552" t="inlineStr">
        <is>
          <t>SUP-11</t>
        </is>
      </c>
      <c r="D3552" t="inlineStr">
        <is>
          <t>PPE</t>
        </is>
      </c>
      <c r="E3552" t="inlineStr">
        <is>
          <t>PPE-06</t>
        </is>
      </c>
      <c r="F3552" s="17" t="n">
        <v>46098</v>
      </c>
      <c r="G3552" s="17" t="n">
        <v>46110</v>
      </c>
      <c r="H3552" s="18" t="n">
        <v>13</v>
      </c>
      <c r="I3552" s="19" t="n">
        <v>112.38</v>
      </c>
      <c r="J3552" s="19" t="n">
        <v>115</v>
      </c>
      <c r="K3552" s="20" t="n">
        <v>0</v>
      </c>
      <c r="L3552" s="20" t="n">
        <v>0</v>
      </c>
      <c r="M3552" s="18" t="n">
        <v>13</v>
      </c>
      <c r="N3552" s="18" t="n">
        <v>13</v>
      </c>
      <c r="O3552" s="18" t="n">
        <v>0</v>
      </c>
      <c r="P3552" s="17" t="n">
        <v>46107</v>
      </c>
      <c r="Q3552" s="17" t="n">
        <v>46107</v>
      </c>
      <c r="R3552" s="17" t="n">
        <v>46107</v>
      </c>
      <c r="S3552" s="19">
        <f>H3552*I3552</f>
        <v/>
      </c>
      <c r="T3552" s="19">
        <f>H3552*J3552</f>
        <v/>
      </c>
      <c r="U3552">
        <f>IF(AND(K3552=0,G3552&lt;=Assumptions!$C$6),1,0)</f>
        <v/>
      </c>
      <c r="V3552">
        <f>IF(U3552=1,IF(M3552&gt;0,IF(P3552&lt;=G3552+Assumptions!$C$7,1,0),0),0)</f>
        <v/>
      </c>
      <c r="W3552">
        <f>IF(AND(U3552=1,M3552&gt;=H3552*(1-Assumptions!$C$8)),1,0)</f>
        <v/>
      </c>
      <c r="X3552">
        <f>IF(AND(U3552=1,N3552&gt;=H3552*(1-Assumptions!$C$8)),1,0)</f>
        <v/>
      </c>
      <c r="Y3552">
        <f>IF(ISNUMBER(Q3552),1,0)</f>
        <v/>
      </c>
      <c r="Z3552">
        <f>IF(AND(K3552=0,L3552=0,Y3552=0),1,0)</f>
        <v/>
      </c>
      <c r="AA3552">
        <f>IF(AND(Z3552=1,G3552&lt;Assumptions!$C$6),1,0)</f>
        <v/>
      </c>
      <c r="AB3552">
        <f>IF(U3552=0,"",IF(Y3552=1,MAX(0,Q3552-G3552),IF(L3552=1,MAX(0,R3552-G3552),MAX(0,Assumptions!$C$6-G3552))))</f>
        <v/>
      </c>
      <c r="AC3552">
        <f>IF(Y3552=1,Q3552-F3552,"")</f>
        <v/>
      </c>
      <c r="AD3552">
        <f>IF(Y3552=1,AC3552^2,"")</f>
        <v/>
      </c>
      <c r="AE3552" s="19">
        <f>IF(Z3552=1,(H3552-M3552)*I3552,0)</f>
        <v/>
      </c>
      <c r="AF3552">
        <f>IF(G3552&lt;EDATE(Assumptions!$C$6,-12)+1,"prior_12m","last_12m")</f>
        <v/>
      </c>
      <c r="AG3552" s="21">
        <f>DATE(YEAR(G3552),MONTH(G3552),1)</f>
        <v/>
      </c>
    </row>
    <row r="3553">
      <c r="A3553" t="inlineStr">
        <is>
          <t>SPO-01895-1</t>
        </is>
      </c>
      <c r="B3553" t="inlineStr">
        <is>
          <t>SPO-01895</t>
        </is>
      </c>
      <c r="C3553" t="inlineStr">
        <is>
          <t>SUP-14</t>
        </is>
      </c>
      <c r="D3553" t="inlineStr">
        <is>
          <t>FLEET</t>
        </is>
      </c>
      <c r="E3553" t="inlineStr">
        <is>
          <t>FLEET-06</t>
        </is>
      </c>
      <c r="F3553" s="17" t="n">
        <v>46098</v>
      </c>
      <c r="G3553" s="17" t="n">
        <v>46112</v>
      </c>
      <c r="H3553" s="18" t="n">
        <v>56</v>
      </c>
      <c r="I3553" s="19" t="n">
        <v>33.37</v>
      </c>
      <c r="J3553" s="19" t="n">
        <v>33</v>
      </c>
      <c r="K3553" s="20" t="n">
        <v>0</v>
      </c>
      <c r="L3553" s="20" t="n">
        <v>0</v>
      </c>
      <c r="M3553" s="18" t="n">
        <v>56</v>
      </c>
      <c r="N3553" s="18" t="n">
        <v>56</v>
      </c>
      <c r="O3553" s="18" t="n">
        <v>0</v>
      </c>
      <c r="P3553" s="17" t="n">
        <v>46109</v>
      </c>
      <c r="Q3553" s="17" t="n">
        <v>46109</v>
      </c>
      <c r="R3553" s="17" t="n">
        <v>46109</v>
      </c>
      <c r="S3553" s="19">
        <f>H3553*I3553</f>
        <v/>
      </c>
      <c r="T3553" s="19">
        <f>H3553*J3553</f>
        <v/>
      </c>
      <c r="U3553">
        <f>IF(AND(K3553=0,G3553&lt;=Assumptions!$C$6),1,0)</f>
        <v/>
      </c>
      <c r="V3553">
        <f>IF(U3553=1,IF(M3553&gt;0,IF(P3553&lt;=G3553+Assumptions!$C$7,1,0),0),0)</f>
        <v/>
      </c>
      <c r="W3553">
        <f>IF(AND(U3553=1,M3553&gt;=H3553*(1-Assumptions!$C$8)),1,0)</f>
        <v/>
      </c>
      <c r="X3553">
        <f>IF(AND(U3553=1,N3553&gt;=H3553*(1-Assumptions!$C$8)),1,0)</f>
        <v/>
      </c>
      <c r="Y3553">
        <f>IF(ISNUMBER(Q3553),1,0)</f>
        <v/>
      </c>
      <c r="Z3553">
        <f>IF(AND(K3553=0,L3553=0,Y3553=0),1,0)</f>
        <v/>
      </c>
      <c r="AA3553">
        <f>IF(AND(Z3553=1,G3553&lt;Assumptions!$C$6),1,0)</f>
        <v/>
      </c>
      <c r="AB3553">
        <f>IF(U3553=0,"",IF(Y3553=1,MAX(0,Q3553-G3553),IF(L3553=1,MAX(0,R3553-G3553),MAX(0,Assumptions!$C$6-G3553))))</f>
        <v/>
      </c>
      <c r="AC3553">
        <f>IF(Y3553=1,Q3553-F3553,"")</f>
        <v/>
      </c>
      <c r="AD3553">
        <f>IF(Y3553=1,AC3553^2,"")</f>
        <v/>
      </c>
      <c r="AE3553" s="19">
        <f>IF(Z3553=1,(H3553-M3553)*I3553,0)</f>
        <v/>
      </c>
      <c r="AF3553">
        <f>IF(G3553&lt;EDATE(Assumptions!$C$6,-12)+1,"prior_12m","last_12m")</f>
        <v/>
      </c>
      <c r="AG3553" s="21">
        <f>DATE(YEAR(G3553),MONTH(G3553),1)</f>
        <v/>
      </c>
    </row>
    <row r="3554">
      <c r="A3554" t="inlineStr">
        <is>
          <t>SPO-01896-1</t>
        </is>
      </c>
      <c r="B3554" t="inlineStr">
        <is>
          <t>SPO-01896</t>
        </is>
      </c>
      <c r="C3554" t="inlineStr">
        <is>
          <t>SUP-12</t>
        </is>
      </c>
      <c r="D3554" t="inlineStr">
        <is>
          <t>IT</t>
        </is>
      </c>
      <c r="E3554" t="inlineStr">
        <is>
          <t>IT-06</t>
        </is>
      </c>
      <c r="F3554" s="17" t="n">
        <v>46099</v>
      </c>
      <c r="G3554" s="17" t="n">
        <v>46109</v>
      </c>
      <c r="H3554" s="18" t="n">
        <v>44</v>
      </c>
      <c r="I3554" s="19" t="n">
        <v>98.44</v>
      </c>
      <c r="J3554" s="19" t="n">
        <v>89</v>
      </c>
      <c r="K3554" s="20" t="n">
        <v>0</v>
      </c>
      <c r="L3554" s="20" t="n">
        <v>0</v>
      </c>
      <c r="M3554" s="18" t="n">
        <v>44</v>
      </c>
      <c r="N3554" s="18" t="n">
        <v>44</v>
      </c>
      <c r="O3554" s="18" t="n">
        <v>4</v>
      </c>
      <c r="P3554" s="17" t="n">
        <v>46101</v>
      </c>
      <c r="Q3554" s="17" t="n">
        <v>46101</v>
      </c>
      <c r="R3554" s="17" t="n">
        <v>46101</v>
      </c>
      <c r="S3554" s="19">
        <f>H3554*I3554</f>
        <v/>
      </c>
      <c r="T3554" s="19">
        <f>H3554*J3554</f>
        <v/>
      </c>
      <c r="U3554">
        <f>IF(AND(K3554=0,G3554&lt;=Assumptions!$C$6),1,0)</f>
        <v/>
      </c>
      <c r="V3554">
        <f>IF(U3554=1,IF(M3554&gt;0,IF(P3554&lt;=G3554+Assumptions!$C$7,1,0),0),0)</f>
        <v/>
      </c>
      <c r="W3554">
        <f>IF(AND(U3554=1,M3554&gt;=H3554*(1-Assumptions!$C$8)),1,0)</f>
        <v/>
      </c>
      <c r="X3554">
        <f>IF(AND(U3554=1,N3554&gt;=H3554*(1-Assumptions!$C$8)),1,0)</f>
        <v/>
      </c>
      <c r="Y3554">
        <f>IF(ISNUMBER(Q3554),1,0)</f>
        <v/>
      </c>
      <c r="Z3554">
        <f>IF(AND(K3554=0,L3554=0,Y3554=0),1,0)</f>
        <v/>
      </c>
      <c r="AA3554">
        <f>IF(AND(Z3554=1,G3554&lt;Assumptions!$C$6),1,0)</f>
        <v/>
      </c>
      <c r="AB3554">
        <f>IF(U3554=0,"",IF(Y3554=1,MAX(0,Q3554-G3554),IF(L3554=1,MAX(0,R3554-G3554),MAX(0,Assumptions!$C$6-G3554))))</f>
        <v/>
      </c>
      <c r="AC3554">
        <f>IF(Y3554=1,Q3554-F3554,"")</f>
        <v/>
      </c>
      <c r="AD3554">
        <f>IF(Y3554=1,AC3554^2,"")</f>
        <v/>
      </c>
      <c r="AE3554" s="19">
        <f>IF(Z3554=1,(H3554-M3554)*I3554,0)</f>
        <v/>
      </c>
      <c r="AF3554">
        <f>IF(G3554&lt;EDATE(Assumptions!$C$6,-12)+1,"prior_12m","last_12m")</f>
        <v/>
      </c>
      <c r="AG3554" s="21">
        <f>DATE(YEAR(G3554),MONTH(G3554),1)</f>
        <v/>
      </c>
    </row>
    <row r="3555">
      <c r="A3555" t="inlineStr">
        <is>
          <t>SPO-01896-2</t>
        </is>
      </c>
      <c r="B3555" t="inlineStr">
        <is>
          <t>SPO-01896</t>
        </is>
      </c>
      <c r="C3555" t="inlineStr">
        <is>
          <t>SUP-12</t>
        </is>
      </c>
      <c r="D3555" t="inlineStr">
        <is>
          <t>IT</t>
        </is>
      </c>
      <c r="E3555" t="inlineStr">
        <is>
          <t>IT-03</t>
        </is>
      </c>
      <c r="F3555" s="17" t="n">
        <v>46099</v>
      </c>
      <c r="G3555" s="17" t="n">
        <v>46109</v>
      </c>
      <c r="H3555" s="18" t="n">
        <v>32</v>
      </c>
      <c r="I3555" s="19" t="n">
        <v>42.15</v>
      </c>
      <c r="J3555" s="19" t="n">
        <v>38</v>
      </c>
      <c r="K3555" s="20" t="n">
        <v>0</v>
      </c>
      <c r="L3555" s="20" t="n">
        <v>0</v>
      </c>
      <c r="M3555" s="18" t="n">
        <v>32</v>
      </c>
      <c r="N3555" s="18" t="n">
        <v>32</v>
      </c>
      <c r="O3555" s="18" t="n">
        <v>0</v>
      </c>
      <c r="P3555" s="17" t="n">
        <v>46103</v>
      </c>
      <c r="Q3555" s="17" t="n">
        <v>46103</v>
      </c>
      <c r="R3555" s="17" t="n">
        <v>46103</v>
      </c>
      <c r="S3555" s="19">
        <f>H3555*I3555</f>
        <v/>
      </c>
      <c r="T3555" s="19">
        <f>H3555*J3555</f>
        <v/>
      </c>
      <c r="U3555">
        <f>IF(AND(K3555=0,G3555&lt;=Assumptions!$C$6),1,0)</f>
        <v/>
      </c>
      <c r="V3555">
        <f>IF(U3555=1,IF(M3555&gt;0,IF(P3555&lt;=G3555+Assumptions!$C$7,1,0),0),0)</f>
        <v/>
      </c>
      <c r="W3555">
        <f>IF(AND(U3555=1,M3555&gt;=H3555*(1-Assumptions!$C$8)),1,0)</f>
        <v/>
      </c>
      <c r="X3555">
        <f>IF(AND(U3555=1,N3555&gt;=H3555*(1-Assumptions!$C$8)),1,0)</f>
        <v/>
      </c>
      <c r="Y3555">
        <f>IF(ISNUMBER(Q3555),1,0)</f>
        <v/>
      </c>
      <c r="Z3555">
        <f>IF(AND(K3555=0,L3555=0,Y3555=0),1,0)</f>
        <v/>
      </c>
      <c r="AA3555">
        <f>IF(AND(Z3555=1,G3555&lt;Assumptions!$C$6),1,0)</f>
        <v/>
      </c>
      <c r="AB3555">
        <f>IF(U3555=0,"",IF(Y3555=1,MAX(0,Q3555-G3555),IF(L3555=1,MAX(0,R3555-G3555),MAX(0,Assumptions!$C$6-G3555))))</f>
        <v/>
      </c>
      <c r="AC3555">
        <f>IF(Y3555=1,Q3555-F3555,"")</f>
        <v/>
      </c>
      <c r="AD3555">
        <f>IF(Y3555=1,AC3555^2,"")</f>
        <v/>
      </c>
      <c r="AE3555" s="19">
        <f>IF(Z3555=1,(H3555-M3555)*I3555,0)</f>
        <v/>
      </c>
      <c r="AF3555">
        <f>IF(G3555&lt;EDATE(Assumptions!$C$6,-12)+1,"prior_12m","last_12m")</f>
        <v/>
      </c>
      <c r="AG3555" s="21">
        <f>DATE(YEAR(G3555),MONTH(G3555),1)</f>
        <v/>
      </c>
    </row>
    <row r="3556">
      <c r="A3556" t="inlineStr">
        <is>
          <t>SPO-01896-3</t>
        </is>
      </c>
      <c r="B3556" t="inlineStr">
        <is>
          <t>SPO-01896</t>
        </is>
      </c>
      <c r="C3556" t="inlineStr">
        <is>
          <t>SUP-12</t>
        </is>
      </c>
      <c r="D3556" t="inlineStr">
        <is>
          <t>IT</t>
        </is>
      </c>
      <c r="E3556" t="inlineStr">
        <is>
          <t>IT-08</t>
        </is>
      </c>
      <c r="F3556" s="17" t="n">
        <v>46099</v>
      </c>
      <c r="G3556" s="17" t="n">
        <v>46109</v>
      </c>
      <c r="H3556" s="18" t="n">
        <v>3</v>
      </c>
      <c r="I3556" s="19" t="n">
        <v>282.42</v>
      </c>
      <c r="J3556" s="19" t="n">
        <v>245</v>
      </c>
      <c r="K3556" s="20" t="n">
        <v>0</v>
      </c>
      <c r="L3556" s="20" t="n">
        <v>0</v>
      </c>
      <c r="M3556" s="18" t="n">
        <v>3</v>
      </c>
      <c r="N3556" s="18" t="n">
        <v>3</v>
      </c>
      <c r="O3556" s="18" t="n">
        <v>0</v>
      </c>
      <c r="P3556" s="17" t="n">
        <v>46106</v>
      </c>
      <c r="Q3556" s="17" t="n">
        <v>46106</v>
      </c>
      <c r="R3556" s="17" t="n">
        <v>46106</v>
      </c>
      <c r="S3556" s="19">
        <f>H3556*I3556</f>
        <v/>
      </c>
      <c r="T3556" s="19">
        <f>H3556*J3556</f>
        <v/>
      </c>
      <c r="U3556">
        <f>IF(AND(K3556=0,G3556&lt;=Assumptions!$C$6),1,0)</f>
        <v/>
      </c>
      <c r="V3556">
        <f>IF(U3556=1,IF(M3556&gt;0,IF(P3556&lt;=G3556+Assumptions!$C$7,1,0),0),0)</f>
        <v/>
      </c>
      <c r="W3556">
        <f>IF(AND(U3556=1,M3556&gt;=H3556*(1-Assumptions!$C$8)),1,0)</f>
        <v/>
      </c>
      <c r="X3556">
        <f>IF(AND(U3556=1,N3556&gt;=H3556*(1-Assumptions!$C$8)),1,0)</f>
        <v/>
      </c>
      <c r="Y3556">
        <f>IF(ISNUMBER(Q3556),1,0)</f>
        <v/>
      </c>
      <c r="Z3556">
        <f>IF(AND(K3556=0,L3556=0,Y3556=0),1,0)</f>
        <v/>
      </c>
      <c r="AA3556">
        <f>IF(AND(Z3556=1,G3556&lt;Assumptions!$C$6),1,0)</f>
        <v/>
      </c>
      <c r="AB3556">
        <f>IF(U3556=0,"",IF(Y3556=1,MAX(0,Q3556-G3556),IF(L3556=1,MAX(0,R3556-G3556),MAX(0,Assumptions!$C$6-G3556))))</f>
        <v/>
      </c>
      <c r="AC3556">
        <f>IF(Y3556=1,Q3556-F3556,"")</f>
        <v/>
      </c>
      <c r="AD3556">
        <f>IF(Y3556=1,AC3556^2,"")</f>
        <v/>
      </c>
      <c r="AE3556" s="19">
        <f>IF(Z3556=1,(H3556-M3556)*I3556,0)</f>
        <v/>
      </c>
      <c r="AF3556">
        <f>IF(G3556&lt;EDATE(Assumptions!$C$6,-12)+1,"prior_12m","last_12m")</f>
        <v/>
      </c>
      <c r="AG3556" s="21">
        <f>DATE(YEAR(G3556),MONTH(G3556),1)</f>
        <v/>
      </c>
    </row>
    <row r="3557">
      <c r="A3557" t="inlineStr">
        <is>
          <t>SPO-01896-4</t>
        </is>
      </c>
      <c r="B3557" t="inlineStr">
        <is>
          <t>SPO-01896</t>
        </is>
      </c>
      <c r="C3557" t="inlineStr">
        <is>
          <t>SUP-12</t>
        </is>
      </c>
      <c r="D3557" t="inlineStr">
        <is>
          <t>IT</t>
        </is>
      </c>
      <c r="E3557" t="inlineStr">
        <is>
          <t>IT-01</t>
        </is>
      </c>
      <c r="F3557" s="17" t="n">
        <v>46099</v>
      </c>
      <c r="G3557" s="17" t="n">
        <v>46109</v>
      </c>
      <c r="H3557" s="18" t="n">
        <v>9</v>
      </c>
      <c r="I3557" s="19" t="n">
        <v>209.31</v>
      </c>
      <c r="J3557" s="19" t="n">
        <v>189</v>
      </c>
      <c r="K3557" s="20" t="n">
        <v>0</v>
      </c>
      <c r="L3557" s="20" t="n">
        <v>0</v>
      </c>
      <c r="M3557" s="18" t="n">
        <v>9</v>
      </c>
      <c r="N3557" s="18" t="n">
        <v>9</v>
      </c>
      <c r="O3557" s="18" t="n">
        <v>0</v>
      </c>
      <c r="P3557" s="17" t="n">
        <v>46104</v>
      </c>
      <c r="Q3557" s="17" t="n">
        <v>46104</v>
      </c>
      <c r="R3557" s="17" t="n">
        <v>46104</v>
      </c>
      <c r="S3557" s="19">
        <f>H3557*I3557</f>
        <v/>
      </c>
      <c r="T3557" s="19">
        <f>H3557*J3557</f>
        <v/>
      </c>
      <c r="U3557">
        <f>IF(AND(K3557=0,G3557&lt;=Assumptions!$C$6),1,0)</f>
        <v/>
      </c>
      <c r="V3557">
        <f>IF(U3557=1,IF(M3557&gt;0,IF(P3557&lt;=G3557+Assumptions!$C$7,1,0),0),0)</f>
        <v/>
      </c>
      <c r="W3557">
        <f>IF(AND(U3557=1,M3557&gt;=H3557*(1-Assumptions!$C$8)),1,0)</f>
        <v/>
      </c>
      <c r="X3557">
        <f>IF(AND(U3557=1,N3557&gt;=H3557*(1-Assumptions!$C$8)),1,0)</f>
        <v/>
      </c>
      <c r="Y3557">
        <f>IF(ISNUMBER(Q3557),1,0)</f>
        <v/>
      </c>
      <c r="Z3557">
        <f>IF(AND(K3557=0,L3557=0,Y3557=0),1,0)</f>
        <v/>
      </c>
      <c r="AA3557">
        <f>IF(AND(Z3557=1,G3557&lt;Assumptions!$C$6),1,0)</f>
        <v/>
      </c>
      <c r="AB3557">
        <f>IF(U3557=0,"",IF(Y3557=1,MAX(0,Q3557-G3557),IF(L3557=1,MAX(0,R3557-G3557),MAX(0,Assumptions!$C$6-G3557))))</f>
        <v/>
      </c>
      <c r="AC3557">
        <f>IF(Y3557=1,Q3557-F3557,"")</f>
        <v/>
      </c>
      <c r="AD3557">
        <f>IF(Y3557=1,AC3557^2,"")</f>
        <v/>
      </c>
      <c r="AE3557" s="19">
        <f>IF(Z3557=1,(H3557-M3557)*I3557,0)</f>
        <v/>
      </c>
      <c r="AF3557">
        <f>IF(G3557&lt;EDATE(Assumptions!$C$6,-12)+1,"prior_12m","last_12m")</f>
        <v/>
      </c>
      <c r="AG3557" s="21">
        <f>DATE(YEAR(G3557),MONTH(G3557),1)</f>
        <v/>
      </c>
    </row>
    <row r="3558">
      <c r="A3558" t="inlineStr">
        <is>
          <t>SPO-01897-1</t>
        </is>
      </c>
      <c r="B3558" t="inlineStr">
        <is>
          <t>SPO-01897</t>
        </is>
      </c>
      <c r="C3558" t="inlineStr">
        <is>
          <t>SUP-04</t>
        </is>
      </c>
      <c r="D3558" t="inlineStr">
        <is>
          <t>FLEET</t>
        </is>
      </c>
      <c r="E3558" t="inlineStr">
        <is>
          <t>FLEET-04</t>
        </is>
      </c>
      <c r="F3558" s="17" t="n">
        <v>46099</v>
      </c>
      <c r="G3558" s="17" t="n">
        <v>46112</v>
      </c>
      <c r="H3558" s="18" t="n">
        <v>240</v>
      </c>
      <c r="I3558" s="19" t="n">
        <v>8.98</v>
      </c>
      <c r="J3558" s="19" t="n">
        <v>9</v>
      </c>
      <c r="K3558" s="20" t="n">
        <v>0</v>
      </c>
      <c r="L3558" s="20" t="n">
        <v>0</v>
      </c>
      <c r="M3558" s="18" t="n">
        <v>240</v>
      </c>
      <c r="N3558" s="18" t="n">
        <v>240</v>
      </c>
      <c r="O3558" s="18" t="n">
        <v>0</v>
      </c>
      <c r="P3558" s="17" t="n">
        <v>46112</v>
      </c>
      <c r="Q3558" s="17" t="n">
        <v>46112</v>
      </c>
      <c r="R3558" s="17" t="n">
        <v>46112</v>
      </c>
      <c r="S3558" s="19">
        <f>H3558*I3558</f>
        <v/>
      </c>
      <c r="T3558" s="19">
        <f>H3558*J3558</f>
        <v/>
      </c>
      <c r="U3558">
        <f>IF(AND(K3558=0,G3558&lt;=Assumptions!$C$6),1,0)</f>
        <v/>
      </c>
      <c r="V3558">
        <f>IF(U3558=1,IF(M3558&gt;0,IF(P3558&lt;=G3558+Assumptions!$C$7,1,0),0),0)</f>
        <v/>
      </c>
      <c r="W3558">
        <f>IF(AND(U3558=1,M3558&gt;=H3558*(1-Assumptions!$C$8)),1,0)</f>
        <v/>
      </c>
      <c r="X3558">
        <f>IF(AND(U3558=1,N3558&gt;=H3558*(1-Assumptions!$C$8)),1,0)</f>
        <v/>
      </c>
      <c r="Y3558">
        <f>IF(ISNUMBER(Q3558),1,0)</f>
        <v/>
      </c>
      <c r="Z3558">
        <f>IF(AND(K3558=0,L3558=0,Y3558=0),1,0)</f>
        <v/>
      </c>
      <c r="AA3558">
        <f>IF(AND(Z3558=1,G3558&lt;Assumptions!$C$6),1,0)</f>
        <v/>
      </c>
      <c r="AB3558">
        <f>IF(U3558=0,"",IF(Y3558=1,MAX(0,Q3558-G3558),IF(L3558=1,MAX(0,R3558-G3558),MAX(0,Assumptions!$C$6-G3558))))</f>
        <v/>
      </c>
      <c r="AC3558">
        <f>IF(Y3558=1,Q3558-F3558,"")</f>
        <v/>
      </c>
      <c r="AD3558">
        <f>IF(Y3558=1,AC3558^2,"")</f>
        <v/>
      </c>
      <c r="AE3558" s="19">
        <f>IF(Z3558=1,(H3558-M3558)*I3558,0)</f>
        <v/>
      </c>
      <c r="AF3558">
        <f>IF(G3558&lt;EDATE(Assumptions!$C$6,-12)+1,"prior_12m","last_12m")</f>
        <v/>
      </c>
      <c r="AG3558" s="21">
        <f>DATE(YEAR(G3558),MONTH(G3558),1)</f>
        <v/>
      </c>
    </row>
    <row r="3559">
      <c r="A3559" t="inlineStr">
        <is>
          <t>SPO-01897-2</t>
        </is>
      </c>
      <c r="B3559" t="inlineStr">
        <is>
          <t>SPO-01897</t>
        </is>
      </c>
      <c r="C3559" t="inlineStr">
        <is>
          <t>SUP-04</t>
        </is>
      </c>
      <c r="D3559" t="inlineStr">
        <is>
          <t>FLEET</t>
        </is>
      </c>
      <c r="E3559" t="inlineStr">
        <is>
          <t>FLEET-02</t>
        </is>
      </c>
      <c r="F3559" s="17" t="n">
        <v>46099</v>
      </c>
      <c r="G3559" s="17" t="n">
        <v>46112</v>
      </c>
      <c r="H3559" s="18" t="n">
        <v>241</v>
      </c>
      <c r="I3559" s="19" t="n">
        <v>7.51</v>
      </c>
      <c r="J3559" s="19" t="n">
        <v>7.5</v>
      </c>
      <c r="K3559" s="20" t="n">
        <v>1</v>
      </c>
      <c r="L3559" s="20" t="n">
        <v>0</v>
      </c>
      <c r="M3559" s="18" t="n">
        <v>0</v>
      </c>
      <c r="N3559" s="18" t="n">
        <v>0</v>
      </c>
      <c r="O3559" s="18" t="n">
        <v>0</v>
      </c>
      <c r="P3559" s="17" t="n"/>
      <c r="Q3559" s="17" t="n"/>
      <c r="R3559" s="17" t="n"/>
      <c r="S3559" s="19">
        <f>H3559*I3559</f>
        <v/>
      </c>
      <c r="T3559" s="19">
        <f>H3559*J3559</f>
        <v/>
      </c>
      <c r="U3559">
        <f>IF(AND(K3559=0,G3559&lt;=Assumptions!$C$6),1,0)</f>
        <v/>
      </c>
      <c r="V3559">
        <f>IF(U3559=1,IF(M3559&gt;0,IF(P3559&lt;=G3559+Assumptions!$C$7,1,0),0),0)</f>
        <v/>
      </c>
      <c r="W3559">
        <f>IF(AND(U3559=1,M3559&gt;=H3559*(1-Assumptions!$C$8)),1,0)</f>
        <v/>
      </c>
      <c r="X3559">
        <f>IF(AND(U3559=1,N3559&gt;=H3559*(1-Assumptions!$C$8)),1,0)</f>
        <v/>
      </c>
      <c r="Y3559">
        <f>IF(ISNUMBER(Q3559),1,0)</f>
        <v/>
      </c>
      <c r="Z3559">
        <f>IF(AND(K3559=0,L3559=0,Y3559=0),1,0)</f>
        <v/>
      </c>
      <c r="AA3559">
        <f>IF(AND(Z3559=1,G3559&lt;Assumptions!$C$6),1,0)</f>
        <v/>
      </c>
      <c r="AB3559">
        <f>IF(U3559=0,"",IF(Y3559=1,MAX(0,Q3559-G3559),IF(L3559=1,MAX(0,R3559-G3559),MAX(0,Assumptions!$C$6-G3559))))</f>
        <v/>
      </c>
      <c r="AC3559">
        <f>IF(Y3559=1,Q3559-F3559,"")</f>
        <v/>
      </c>
      <c r="AD3559">
        <f>IF(Y3559=1,AC3559^2,"")</f>
        <v/>
      </c>
      <c r="AE3559" s="19">
        <f>IF(Z3559=1,(H3559-M3559)*I3559,0)</f>
        <v/>
      </c>
      <c r="AF3559">
        <f>IF(G3559&lt;EDATE(Assumptions!$C$6,-12)+1,"prior_12m","last_12m")</f>
        <v/>
      </c>
      <c r="AG3559" s="21">
        <f>DATE(YEAR(G3559),MONTH(G3559),1)</f>
        <v/>
      </c>
    </row>
    <row r="3560">
      <c r="A3560" t="inlineStr">
        <is>
          <t>SPO-01897-3</t>
        </is>
      </c>
      <c r="B3560" t="inlineStr">
        <is>
          <t>SPO-01897</t>
        </is>
      </c>
      <c r="C3560" t="inlineStr">
        <is>
          <t>SUP-04</t>
        </is>
      </c>
      <c r="D3560" t="inlineStr">
        <is>
          <t>FLEET</t>
        </is>
      </c>
      <c r="E3560" t="inlineStr">
        <is>
          <t>FLEET-03</t>
        </is>
      </c>
      <c r="F3560" s="17" t="n">
        <v>46099</v>
      </c>
      <c r="G3560" s="17" t="n">
        <v>46112</v>
      </c>
      <c r="H3560" s="18" t="n">
        <v>55</v>
      </c>
      <c r="I3560" s="19" t="n">
        <v>20.19</v>
      </c>
      <c r="J3560" s="19" t="n">
        <v>21</v>
      </c>
      <c r="K3560" s="20" t="n">
        <v>0</v>
      </c>
      <c r="L3560" s="20" t="n">
        <v>0</v>
      </c>
      <c r="M3560" s="18" t="n">
        <v>55</v>
      </c>
      <c r="N3560" s="18" t="n">
        <v>55</v>
      </c>
      <c r="O3560" s="18" t="n">
        <v>0</v>
      </c>
      <c r="P3560" s="17" t="n">
        <v>46104</v>
      </c>
      <c r="Q3560" s="17" t="n">
        <v>46104</v>
      </c>
      <c r="R3560" s="17" t="n">
        <v>46104</v>
      </c>
      <c r="S3560" s="19">
        <f>H3560*I3560</f>
        <v/>
      </c>
      <c r="T3560" s="19">
        <f>H3560*J3560</f>
        <v/>
      </c>
      <c r="U3560">
        <f>IF(AND(K3560=0,G3560&lt;=Assumptions!$C$6),1,0)</f>
        <v/>
      </c>
      <c r="V3560">
        <f>IF(U3560=1,IF(M3560&gt;0,IF(P3560&lt;=G3560+Assumptions!$C$7,1,0),0),0)</f>
        <v/>
      </c>
      <c r="W3560">
        <f>IF(AND(U3560=1,M3560&gt;=H3560*(1-Assumptions!$C$8)),1,0)</f>
        <v/>
      </c>
      <c r="X3560">
        <f>IF(AND(U3560=1,N3560&gt;=H3560*(1-Assumptions!$C$8)),1,0)</f>
        <v/>
      </c>
      <c r="Y3560">
        <f>IF(ISNUMBER(Q3560),1,0)</f>
        <v/>
      </c>
      <c r="Z3560">
        <f>IF(AND(K3560=0,L3560=0,Y3560=0),1,0)</f>
        <v/>
      </c>
      <c r="AA3560">
        <f>IF(AND(Z3560=1,G3560&lt;Assumptions!$C$6),1,0)</f>
        <v/>
      </c>
      <c r="AB3560">
        <f>IF(U3560=0,"",IF(Y3560=1,MAX(0,Q3560-G3560),IF(L3560=1,MAX(0,R3560-G3560),MAX(0,Assumptions!$C$6-G3560))))</f>
        <v/>
      </c>
      <c r="AC3560">
        <f>IF(Y3560=1,Q3560-F3560,"")</f>
        <v/>
      </c>
      <c r="AD3560">
        <f>IF(Y3560=1,AC3560^2,"")</f>
        <v/>
      </c>
      <c r="AE3560" s="19">
        <f>IF(Z3560=1,(H3560-M3560)*I3560,0)</f>
        <v/>
      </c>
      <c r="AF3560">
        <f>IF(G3560&lt;EDATE(Assumptions!$C$6,-12)+1,"prior_12m","last_12m")</f>
        <v/>
      </c>
      <c r="AG3560" s="21">
        <f>DATE(YEAR(G3560),MONTH(G3560),1)</f>
        <v/>
      </c>
    </row>
    <row r="3561">
      <c r="A3561" t="inlineStr">
        <is>
          <t>SPO-01897-4</t>
        </is>
      </c>
      <c r="B3561" t="inlineStr">
        <is>
          <t>SPO-01897</t>
        </is>
      </c>
      <c r="C3561" t="inlineStr">
        <is>
          <t>SUP-04</t>
        </is>
      </c>
      <c r="D3561" t="inlineStr">
        <is>
          <t>FLEET</t>
        </is>
      </c>
      <c r="E3561" t="inlineStr">
        <is>
          <t>FLEET-07</t>
        </is>
      </c>
      <c r="F3561" s="17" t="n">
        <v>46099</v>
      </c>
      <c r="G3561" s="17" t="n">
        <v>46112</v>
      </c>
      <c r="H3561" s="18" t="n">
        <v>9</v>
      </c>
      <c r="I3561" s="19" t="n">
        <v>111.2</v>
      </c>
      <c r="J3561" s="19" t="n">
        <v>118</v>
      </c>
      <c r="K3561" s="20" t="n">
        <v>0</v>
      </c>
      <c r="L3561" s="20" t="n">
        <v>0</v>
      </c>
      <c r="M3561" s="18" t="n">
        <v>9</v>
      </c>
      <c r="N3561" s="18" t="n">
        <v>0</v>
      </c>
      <c r="O3561" s="18" t="n">
        <v>0</v>
      </c>
      <c r="P3561" s="17" t="n">
        <v>46164</v>
      </c>
      <c r="Q3561" s="17" t="n">
        <v>46164</v>
      </c>
      <c r="R3561" s="17" t="n">
        <v>46164</v>
      </c>
      <c r="S3561" s="19">
        <f>H3561*I3561</f>
        <v/>
      </c>
      <c r="T3561" s="19">
        <f>H3561*J3561</f>
        <v/>
      </c>
      <c r="U3561">
        <f>IF(AND(K3561=0,G3561&lt;=Assumptions!$C$6),1,0)</f>
        <v/>
      </c>
      <c r="V3561">
        <f>IF(U3561=1,IF(M3561&gt;0,IF(P3561&lt;=G3561+Assumptions!$C$7,1,0),0),0)</f>
        <v/>
      </c>
      <c r="W3561">
        <f>IF(AND(U3561=1,M3561&gt;=H3561*(1-Assumptions!$C$8)),1,0)</f>
        <v/>
      </c>
      <c r="X3561">
        <f>IF(AND(U3561=1,N3561&gt;=H3561*(1-Assumptions!$C$8)),1,0)</f>
        <v/>
      </c>
      <c r="Y3561">
        <f>IF(ISNUMBER(Q3561),1,0)</f>
        <v/>
      </c>
      <c r="Z3561">
        <f>IF(AND(K3561=0,L3561=0,Y3561=0),1,0)</f>
        <v/>
      </c>
      <c r="AA3561">
        <f>IF(AND(Z3561=1,G3561&lt;Assumptions!$C$6),1,0)</f>
        <v/>
      </c>
      <c r="AB3561">
        <f>IF(U3561=0,"",IF(Y3561=1,MAX(0,Q3561-G3561),IF(L3561=1,MAX(0,R3561-G3561),MAX(0,Assumptions!$C$6-G3561))))</f>
        <v/>
      </c>
      <c r="AC3561">
        <f>IF(Y3561=1,Q3561-F3561,"")</f>
        <v/>
      </c>
      <c r="AD3561">
        <f>IF(Y3561=1,AC3561^2,"")</f>
        <v/>
      </c>
      <c r="AE3561" s="19">
        <f>IF(Z3561=1,(H3561-M3561)*I3561,0)</f>
        <v/>
      </c>
      <c r="AF3561">
        <f>IF(G3561&lt;EDATE(Assumptions!$C$6,-12)+1,"prior_12m","last_12m")</f>
        <v/>
      </c>
      <c r="AG3561" s="21">
        <f>DATE(YEAR(G3561),MONTH(G3561),1)</f>
        <v/>
      </c>
    </row>
    <row r="3562">
      <c r="A3562" t="inlineStr">
        <is>
          <t>SPO-01898-1</t>
        </is>
      </c>
      <c r="B3562" t="inlineStr">
        <is>
          <t>SPO-01898</t>
        </is>
      </c>
      <c r="C3562" t="inlineStr">
        <is>
          <t>SUP-01</t>
        </is>
      </c>
      <c r="D3562" t="inlineStr">
        <is>
          <t>ELEC</t>
        </is>
      </c>
      <c r="E3562" t="inlineStr">
        <is>
          <t>ELEC-01</t>
        </is>
      </c>
      <c r="F3562" s="17" t="n">
        <v>46100</v>
      </c>
      <c r="G3562" s="17" t="n">
        <v>46118</v>
      </c>
      <c r="H3562" s="18" t="n">
        <v>181</v>
      </c>
      <c r="I3562" s="19" t="n">
        <v>38.94</v>
      </c>
      <c r="J3562" s="19" t="n">
        <v>38</v>
      </c>
      <c r="K3562" s="20" t="n">
        <v>0</v>
      </c>
      <c r="L3562" s="20" t="n">
        <v>0</v>
      </c>
      <c r="M3562" s="18" t="n">
        <v>181</v>
      </c>
      <c r="N3562" s="18" t="n">
        <v>181</v>
      </c>
      <c r="O3562" s="18" t="n">
        <v>0</v>
      </c>
      <c r="P3562" s="17" t="n">
        <v>46115</v>
      </c>
      <c r="Q3562" s="17" t="n">
        <v>46115</v>
      </c>
      <c r="R3562" s="17" t="n">
        <v>46115</v>
      </c>
      <c r="S3562" s="19">
        <f>H3562*I3562</f>
        <v/>
      </c>
      <c r="T3562" s="19">
        <f>H3562*J3562</f>
        <v/>
      </c>
      <c r="U3562">
        <f>IF(AND(K3562=0,G3562&lt;=Assumptions!$C$6),1,0)</f>
        <v/>
      </c>
      <c r="V3562">
        <f>IF(U3562=1,IF(M3562&gt;0,IF(P3562&lt;=G3562+Assumptions!$C$7,1,0),0),0)</f>
        <v/>
      </c>
      <c r="W3562">
        <f>IF(AND(U3562=1,M3562&gt;=H3562*(1-Assumptions!$C$8)),1,0)</f>
        <v/>
      </c>
      <c r="X3562">
        <f>IF(AND(U3562=1,N3562&gt;=H3562*(1-Assumptions!$C$8)),1,0)</f>
        <v/>
      </c>
      <c r="Y3562">
        <f>IF(ISNUMBER(Q3562),1,0)</f>
        <v/>
      </c>
      <c r="Z3562">
        <f>IF(AND(K3562=0,L3562=0,Y3562=0),1,0)</f>
        <v/>
      </c>
      <c r="AA3562">
        <f>IF(AND(Z3562=1,G3562&lt;Assumptions!$C$6),1,0)</f>
        <v/>
      </c>
      <c r="AB3562">
        <f>IF(U3562=0,"",IF(Y3562=1,MAX(0,Q3562-G3562),IF(L3562=1,MAX(0,R3562-G3562),MAX(0,Assumptions!$C$6-G3562))))</f>
        <v/>
      </c>
      <c r="AC3562">
        <f>IF(Y3562=1,Q3562-F3562,"")</f>
        <v/>
      </c>
      <c r="AD3562">
        <f>IF(Y3562=1,AC3562^2,"")</f>
        <v/>
      </c>
      <c r="AE3562" s="19">
        <f>IF(Z3562=1,(H3562-M3562)*I3562,0)</f>
        <v/>
      </c>
      <c r="AF3562">
        <f>IF(G3562&lt;EDATE(Assumptions!$C$6,-12)+1,"prior_12m","last_12m")</f>
        <v/>
      </c>
      <c r="AG3562" s="21">
        <f>DATE(YEAR(G3562),MONTH(G3562),1)</f>
        <v/>
      </c>
    </row>
    <row r="3563">
      <c r="A3563" t="inlineStr">
        <is>
          <t>SPO-01899-1</t>
        </is>
      </c>
      <c r="B3563" t="inlineStr">
        <is>
          <t>SPO-01899</t>
        </is>
      </c>
      <c r="C3563" t="inlineStr">
        <is>
          <t>SUP-08</t>
        </is>
      </c>
      <c r="D3563" t="inlineStr">
        <is>
          <t>PPE</t>
        </is>
      </c>
      <c r="E3563" t="inlineStr">
        <is>
          <t>PPE-01</t>
        </is>
      </c>
      <c r="F3563" s="17" t="n">
        <v>46100</v>
      </c>
      <c r="G3563" s="17" t="n">
        <v>46111</v>
      </c>
      <c r="H3563" s="18" t="n">
        <v>294</v>
      </c>
      <c r="I3563" s="19" t="n">
        <v>5.11</v>
      </c>
      <c r="J3563" s="19" t="n">
        <v>4.8</v>
      </c>
      <c r="K3563" s="20" t="n">
        <v>0</v>
      </c>
      <c r="L3563" s="20" t="n">
        <v>0</v>
      </c>
      <c r="M3563" s="18" t="n">
        <v>294</v>
      </c>
      <c r="N3563" s="18" t="n">
        <v>294</v>
      </c>
      <c r="O3563" s="18" t="n">
        <v>0</v>
      </c>
      <c r="P3563" s="17" t="n">
        <v>46109</v>
      </c>
      <c r="Q3563" s="17" t="n">
        <v>46109</v>
      </c>
      <c r="R3563" s="17" t="n">
        <v>46109</v>
      </c>
      <c r="S3563" s="19">
        <f>H3563*I3563</f>
        <v/>
      </c>
      <c r="T3563" s="19">
        <f>H3563*J3563</f>
        <v/>
      </c>
      <c r="U3563">
        <f>IF(AND(K3563=0,G3563&lt;=Assumptions!$C$6),1,0)</f>
        <v/>
      </c>
      <c r="V3563">
        <f>IF(U3563=1,IF(M3563&gt;0,IF(P3563&lt;=G3563+Assumptions!$C$7,1,0),0),0)</f>
        <v/>
      </c>
      <c r="W3563">
        <f>IF(AND(U3563=1,M3563&gt;=H3563*(1-Assumptions!$C$8)),1,0)</f>
        <v/>
      </c>
      <c r="X3563">
        <f>IF(AND(U3563=1,N3563&gt;=H3563*(1-Assumptions!$C$8)),1,0)</f>
        <v/>
      </c>
      <c r="Y3563">
        <f>IF(ISNUMBER(Q3563),1,0)</f>
        <v/>
      </c>
      <c r="Z3563">
        <f>IF(AND(K3563=0,L3563=0,Y3563=0),1,0)</f>
        <v/>
      </c>
      <c r="AA3563">
        <f>IF(AND(Z3563=1,G3563&lt;Assumptions!$C$6),1,0)</f>
        <v/>
      </c>
      <c r="AB3563">
        <f>IF(U3563=0,"",IF(Y3563=1,MAX(0,Q3563-G3563),IF(L3563=1,MAX(0,R3563-G3563),MAX(0,Assumptions!$C$6-G3563))))</f>
        <v/>
      </c>
      <c r="AC3563">
        <f>IF(Y3563=1,Q3563-F3563,"")</f>
        <v/>
      </c>
      <c r="AD3563">
        <f>IF(Y3563=1,AC3563^2,"")</f>
        <v/>
      </c>
      <c r="AE3563" s="19">
        <f>IF(Z3563=1,(H3563-M3563)*I3563,0)</f>
        <v/>
      </c>
      <c r="AF3563">
        <f>IF(G3563&lt;EDATE(Assumptions!$C$6,-12)+1,"prior_12m","last_12m")</f>
        <v/>
      </c>
      <c r="AG3563" s="21">
        <f>DATE(YEAR(G3563),MONTH(G3563),1)</f>
        <v/>
      </c>
    </row>
    <row r="3564">
      <c r="A3564" t="inlineStr">
        <is>
          <t>SPO-01899-2</t>
        </is>
      </c>
      <c r="B3564" t="inlineStr">
        <is>
          <t>SPO-01899</t>
        </is>
      </c>
      <c r="C3564" t="inlineStr">
        <is>
          <t>SUP-08</t>
        </is>
      </c>
      <c r="D3564" t="inlineStr">
        <is>
          <t>PPE</t>
        </is>
      </c>
      <c r="E3564" t="inlineStr">
        <is>
          <t>PPE-06</t>
        </is>
      </c>
      <c r="F3564" s="17" t="n">
        <v>46100</v>
      </c>
      <c r="G3564" s="17" t="n">
        <v>46111</v>
      </c>
      <c r="H3564" s="18" t="n">
        <v>26</v>
      </c>
      <c r="I3564" s="19" t="n">
        <v>109.32</v>
      </c>
      <c r="J3564" s="19" t="n">
        <v>115</v>
      </c>
      <c r="K3564" s="20" t="n">
        <v>0</v>
      </c>
      <c r="L3564" s="20" t="n">
        <v>0</v>
      </c>
      <c r="M3564" s="18" t="n">
        <v>26</v>
      </c>
      <c r="N3564" s="18" t="n">
        <v>26</v>
      </c>
      <c r="O3564" s="18" t="n">
        <v>0</v>
      </c>
      <c r="P3564" s="17" t="n">
        <v>46109</v>
      </c>
      <c r="Q3564" s="17" t="n">
        <v>46109</v>
      </c>
      <c r="R3564" s="17" t="n">
        <v>46109</v>
      </c>
      <c r="S3564" s="19">
        <f>H3564*I3564</f>
        <v/>
      </c>
      <c r="T3564" s="19">
        <f>H3564*J3564</f>
        <v/>
      </c>
      <c r="U3564">
        <f>IF(AND(K3564=0,G3564&lt;=Assumptions!$C$6),1,0)</f>
        <v/>
      </c>
      <c r="V3564">
        <f>IF(U3564=1,IF(M3564&gt;0,IF(P3564&lt;=G3564+Assumptions!$C$7,1,0),0),0)</f>
        <v/>
      </c>
      <c r="W3564">
        <f>IF(AND(U3564=1,M3564&gt;=H3564*(1-Assumptions!$C$8)),1,0)</f>
        <v/>
      </c>
      <c r="X3564">
        <f>IF(AND(U3564=1,N3564&gt;=H3564*(1-Assumptions!$C$8)),1,0)</f>
        <v/>
      </c>
      <c r="Y3564">
        <f>IF(ISNUMBER(Q3564),1,0)</f>
        <v/>
      </c>
      <c r="Z3564">
        <f>IF(AND(K3564=0,L3564=0,Y3564=0),1,0)</f>
        <v/>
      </c>
      <c r="AA3564">
        <f>IF(AND(Z3564=1,G3564&lt;Assumptions!$C$6),1,0)</f>
        <v/>
      </c>
      <c r="AB3564">
        <f>IF(U3564=0,"",IF(Y3564=1,MAX(0,Q3564-G3564),IF(L3564=1,MAX(0,R3564-G3564),MAX(0,Assumptions!$C$6-G3564))))</f>
        <v/>
      </c>
      <c r="AC3564">
        <f>IF(Y3564=1,Q3564-F3564,"")</f>
        <v/>
      </c>
      <c r="AD3564">
        <f>IF(Y3564=1,AC3564^2,"")</f>
        <v/>
      </c>
      <c r="AE3564" s="19">
        <f>IF(Z3564=1,(H3564-M3564)*I3564,0)</f>
        <v/>
      </c>
      <c r="AF3564">
        <f>IF(G3564&lt;EDATE(Assumptions!$C$6,-12)+1,"prior_12m","last_12m")</f>
        <v/>
      </c>
      <c r="AG3564" s="21">
        <f>DATE(YEAR(G3564),MONTH(G3564),1)</f>
        <v/>
      </c>
    </row>
    <row r="3565">
      <c r="A3565" t="inlineStr">
        <is>
          <t>SPO-01899-3</t>
        </is>
      </c>
      <c r="B3565" t="inlineStr">
        <is>
          <t>SPO-01899</t>
        </is>
      </c>
      <c r="C3565" t="inlineStr">
        <is>
          <t>SUP-08</t>
        </is>
      </c>
      <c r="D3565" t="inlineStr">
        <is>
          <t>PPE</t>
        </is>
      </c>
      <c r="E3565" t="inlineStr">
        <is>
          <t>PPE-08</t>
        </is>
      </c>
      <c r="F3565" s="17" t="n">
        <v>46100</v>
      </c>
      <c r="G3565" s="17" t="n">
        <v>46111</v>
      </c>
      <c r="H3565" s="18" t="n">
        <v>41</v>
      </c>
      <c r="I3565" s="19" t="n">
        <v>61.96</v>
      </c>
      <c r="J3565" s="19" t="n">
        <v>64</v>
      </c>
      <c r="K3565" s="20" t="n">
        <v>0</v>
      </c>
      <c r="L3565" s="20" t="n">
        <v>0</v>
      </c>
      <c r="M3565" s="18" t="n">
        <v>41</v>
      </c>
      <c r="N3565" s="18" t="n">
        <v>41</v>
      </c>
      <c r="O3565" s="18" t="n">
        <v>0</v>
      </c>
      <c r="P3565" s="17" t="n">
        <v>46104</v>
      </c>
      <c r="Q3565" s="17" t="n">
        <v>46104</v>
      </c>
      <c r="R3565" s="17" t="n">
        <v>46104</v>
      </c>
      <c r="S3565" s="19">
        <f>H3565*I3565</f>
        <v/>
      </c>
      <c r="T3565" s="19">
        <f>H3565*J3565</f>
        <v/>
      </c>
      <c r="U3565">
        <f>IF(AND(K3565=0,G3565&lt;=Assumptions!$C$6),1,0)</f>
        <v/>
      </c>
      <c r="V3565">
        <f>IF(U3565=1,IF(M3565&gt;0,IF(P3565&lt;=G3565+Assumptions!$C$7,1,0),0),0)</f>
        <v/>
      </c>
      <c r="W3565">
        <f>IF(AND(U3565=1,M3565&gt;=H3565*(1-Assumptions!$C$8)),1,0)</f>
        <v/>
      </c>
      <c r="X3565">
        <f>IF(AND(U3565=1,N3565&gt;=H3565*(1-Assumptions!$C$8)),1,0)</f>
        <v/>
      </c>
      <c r="Y3565">
        <f>IF(ISNUMBER(Q3565),1,0)</f>
        <v/>
      </c>
      <c r="Z3565">
        <f>IF(AND(K3565=0,L3565=0,Y3565=0),1,0)</f>
        <v/>
      </c>
      <c r="AA3565">
        <f>IF(AND(Z3565=1,G3565&lt;Assumptions!$C$6),1,0)</f>
        <v/>
      </c>
      <c r="AB3565">
        <f>IF(U3565=0,"",IF(Y3565=1,MAX(0,Q3565-G3565),IF(L3565=1,MAX(0,R3565-G3565),MAX(0,Assumptions!$C$6-G3565))))</f>
        <v/>
      </c>
      <c r="AC3565">
        <f>IF(Y3565=1,Q3565-F3565,"")</f>
        <v/>
      </c>
      <c r="AD3565">
        <f>IF(Y3565=1,AC3565^2,"")</f>
        <v/>
      </c>
      <c r="AE3565" s="19">
        <f>IF(Z3565=1,(H3565-M3565)*I3565,0)</f>
        <v/>
      </c>
      <c r="AF3565">
        <f>IF(G3565&lt;EDATE(Assumptions!$C$6,-12)+1,"prior_12m","last_12m")</f>
        <v/>
      </c>
      <c r="AG3565" s="21">
        <f>DATE(YEAR(G3565),MONTH(G3565),1)</f>
        <v/>
      </c>
    </row>
    <row r="3566">
      <c r="A3566" t="inlineStr">
        <is>
          <t>SPO-01900-1</t>
        </is>
      </c>
      <c r="B3566" t="inlineStr">
        <is>
          <t>SPO-01900</t>
        </is>
      </c>
      <c r="C3566" t="inlineStr">
        <is>
          <t>SUP-10</t>
        </is>
      </c>
      <c r="D3566" t="inlineStr">
        <is>
          <t>PPE</t>
        </is>
      </c>
      <c r="E3566" t="inlineStr">
        <is>
          <t>PPE-03</t>
        </is>
      </c>
      <c r="F3566" s="17" t="n">
        <v>46100</v>
      </c>
      <c r="G3566" s="17" t="n">
        <v>46113</v>
      </c>
      <c r="H3566" s="18" t="n">
        <v>23</v>
      </c>
      <c r="I3566" s="19" t="n">
        <v>20.78</v>
      </c>
      <c r="J3566" s="19" t="n">
        <v>21</v>
      </c>
      <c r="K3566" s="20" t="n">
        <v>0</v>
      </c>
      <c r="L3566" s="20" t="n">
        <v>0</v>
      </c>
      <c r="M3566" s="18" t="n">
        <v>23</v>
      </c>
      <c r="N3566" s="18" t="n">
        <v>23</v>
      </c>
      <c r="O3566" s="18" t="n">
        <v>0</v>
      </c>
      <c r="P3566" s="17" t="n">
        <v>46109</v>
      </c>
      <c r="Q3566" s="17" t="n">
        <v>46109</v>
      </c>
      <c r="R3566" s="17" t="n">
        <v>46109</v>
      </c>
      <c r="S3566" s="19">
        <f>H3566*I3566</f>
        <v/>
      </c>
      <c r="T3566" s="19">
        <f>H3566*J3566</f>
        <v/>
      </c>
      <c r="U3566">
        <f>IF(AND(K3566=0,G3566&lt;=Assumptions!$C$6),1,0)</f>
        <v/>
      </c>
      <c r="V3566">
        <f>IF(U3566=1,IF(M3566&gt;0,IF(P3566&lt;=G3566+Assumptions!$C$7,1,0),0),0)</f>
        <v/>
      </c>
      <c r="W3566">
        <f>IF(AND(U3566=1,M3566&gt;=H3566*(1-Assumptions!$C$8)),1,0)</f>
        <v/>
      </c>
      <c r="X3566">
        <f>IF(AND(U3566=1,N3566&gt;=H3566*(1-Assumptions!$C$8)),1,0)</f>
        <v/>
      </c>
      <c r="Y3566">
        <f>IF(ISNUMBER(Q3566),1,0)</f>
        <v/>
      </c>
      <c r="Z3566">
        <f>IF(AND(K3566=0,L3566=0,Y3566=0),1,0)</f>
        <v/>
      </c>
      <c r="AA3566">
        <f>IF(AND(Z3566=1,G3566&lt;Assumptions!$C$6),1,0)</f>
        <v/>
      </c>
      <c r="AB3566">
        <f>IF(U3566=0,"",IF(Y3566=1,MAX(0,Q3566-G3566),IF(L3566=1,MAX(0,R3566-G3566),MAX(0,Assumptions!$C$6-G3566))))</f>
        <v/>
      </c>
      <c r="AC3566">
        <f>IF(Y3566=1,Q3566-F3566,"")</f>
        <v/>
      </c>
      <c r="AD3566">
        <f>IF(Y3566=1,AC3566^2,"")</f>
        <v/>
      </c>
      <c r="AE3566" s="19">
        <f>IF(Z3566=1,(H3566-M3566)*I3566,0)</f>
        <v/>
      </c>
      <c r="AF3566">
        <f>IF(G3566&lt;EDATE(Assumptions!$C$6,-12)+1,"prior_12m","last_12m")</f>
        <v/>
      </c>
      <c r="AG3566" s="21">
        <f>DATE(YEAR(G3566),MONTH(G3566),1)</f>
        <v/>
      </c>
    </row>
    <row r="3567">
      <c r="A3567" t="inlineStr">
        <is>
          <t>SPO-01900-2</t>
        </is>
      </c>
      <c r="B3567" t="inlineStr">
        <is>
          <t>SPO-01900</t>
        </is>
      </c>
      <c r="C3567" t="inlineStr">
        <is>
          <t>SUP-10</t>
        </is>
      </c>
      <c r="D3567" t="inlineStr">
        <is>
          <t>PPE</t>
        </is>
      </c>
      <c r="E3567" t="inlineStr">
        <is>
          <t>PPE-04</t>
        </is>
      </c>
      <c r="F3567" s="17" t="n">
        <v>46100</v>
      </c>
      <c r="G3567" s="17" t="n">
        <v>46113</v>
      </c>
      <c r="H3567" s="18" t="n">
        <v>31</v>
      </c>
      <c r="I3567" s="19" t="n">
        <v>26.07</v>
      </c>
      <c r="J3567" s="19" t="n">
        <v>26</v>
      </c>
      <c r="K3567" s="20" t="n">
        <v>0</v>
      </c>
      <c r="L3567" s="20" t="n">
        <v>0</v>
      </c>
      <c r="M3567" s="18" t="n">
        <v>31</v>
      </c>
      <c r="N3567" s="18" t="n">
        <v>31</v>
      </c>
      <c r="O3567" s="18" t="n">
        <v>0</v>
      </c>
      <c r="P3567" s="17" t="n">
        <v>46109</v>
      </c>
      <c r="Q3567" s="17" t="n">
        <v>46109</v>
      </c>
      <c r="R3567" s="17" t="n">
        <v>46109</v>
      </c>
      <c r="S3567" s="19">
        <f>H3567*I3567</f>
        <v/>
      </c>
      <c r="T3567" s="19">
        <f>H3567*J3567</f>
        <v/>
      </c>
      <c r="U3567">
        <f>IF(AND(K3567=0,G3567&lt;=Assumptions!$C$6),1,0)</f>
        <v/>
      </c>
      <c r="V3567">
        <f>IF(U3567=1,IF(M3567&gt;0,IF(P3567&lt;=G3567+Assumptions!$C$7,1,0),0),0)</f>
        <v/>
      </c>
      <c r="W3567">
        <f>IF(AND(U3567=1,M3567&gt;=H3567*(1-Assumptions!$C$8)),1,0)</f>
        <v/>
      </c>
      <c r="X3567">
        <f>IF(AND(U3567=1,N3567&gt;=H3567*(1-Assumptions!$C$8)),1,0)</f>
        <v/>
      </c>
      <c r="Y3567">
        <f>IF(ISNUMBER(Q3567),1,0)</f>
        <v/>
      </c>
      <c r="Z3567">
        <f>IF(AND(K3567=0,L3567=0,Y3567=0),1,0)</f>
        <v/>
      </c>
      <c r="AA3567">
        <f>IF(AND(Z3567=1,G3567&lt;Assumptions!$C$6),1,0)</f>
        <v/>
      </c>
      <c r="AB3567">
        <f>IF(U3567=0,"",IF(Y3567=1,MAX(0,Q3567-G3567),IF(L3567=1,MAX(0,R3567-G3567),MAX(0,Assumptions!$C$6-G3567))))</f>
        <v/>
      </c>
      <c r="AC3567">
        <f>IF(Y3567=1,Q3567-F3567,"")</f>
        <v/>
      </c>
      <c r="AD3567">
        <f>IF(Y3567=1,AC3567^2,"")</f>
        <v/>
      </c>
      <c r="AE3567" s="19">
        <f>IF(Z3567=1,(H3567-M3567)*I3567,0)</f>
        <v/>
      </c>
      <c r="AF3567">
        <f>IF(G3567&lt;EDATE(Assumptions!$C$6,-12)+1,"prior_12m","last_12m")</f>
        <v/>
      </c>
      <c r="AG3567" s="21">
        <f>DATE(YEAR(G3567),MONTH(G3567),1)</f>
        <v/>
      </c>
    </row>
    <row r="3568">
      <c r="A3568" t="inlineStr">
        <is>
          <t>SPO-01900-3</t>
        </is>
      </c>
      <c r="B3568" t="inlineStr">
        <is>
          <t>SPO-01900</t>
        </is>
      </c>
      <c r="C3568" t="inlineStr">
        <is>
          <t>SUP-10</t>
        </is>
      </c>
      <c r="D3568" t="inlineStr">
        <is>
          <t>PPE</t>
        </is>
      </c>
      <c r="E3568" t="inlineStr">
        <is>
          <t>PPE-08</t>
        </is>
      </c>
      <c r="F3568" s="17" t="n">
        <v>46100</v>
      </c>
      <c r="G3568" s="17" t="n">
        <v>46113</v>
      </c>
      <c r="H3568" s="18" t="n">
        <v>22</v>
      </c>
      <c r="I3568" s="19" t="n">
        <v>62.69</v>
      </c>
      <c r="J3568" s="19" t="n">
        <v>64</v>
      </c>
      <c r="K3568" s="20" t="n">
        <v>0</v>
      </c>
      <c r="L3568" s="20" t="n">
        <v>0</v>
      </c>
      <c r="M3568" s="18" t="n">
        <v>22</v>
      </c>
      <c r="N3568" s="18" t="n">
        <v>22</v>
      </c>
      <c r="O3568" s="18" t="n">
        <v>0</v>
      </c>
      <c r="P3568" s="17" t="n">
        <v>46107</v>
      </c>
      <c r="Q3568" s="17" t="n">
        <v>46107</v>
      </c>
      <c r="R3568" s="17" t="n">
        <v>46107</v>
      </c>
      <c r="S3568" s="19">
        <f>H3568*I3568</f>
        <v/>
      </c>
      <c r="T3568" s="19">
        <f>H3568*J3568</f>
        <v/>
      </c>
      <c r="U3568">
        <f>IF(AND(K3568=0,G3568&lt;=Assumptions!$C$6),1,0)</f>
        <v/>
      </c>
      <c r="V3568">
        <f>IF(U3568=1,IF(M3568&gt;0,IF(P3568&lt;=G3568+Assumptions!$C$7,1,0),0),0)</f>
        <v/>
      </c>
      <c r="W3568">
        <f>IF(AND(U3568=1,M3568&gt;=H3568*(1-Assumptions!$C$8)),1,0)</f>
        <v/>
      </c>
      <c r="X3568">
        <f>IF(AND(U3568=1,N3568&gt;=H3568*(1-Assumptions!$C$8)),1,0)</f>
        <v/>
      </c>
      <c r="Y3568">
        <f>IF(ISNUMBER(Q3568),1,0)</f>
        <v/>
      </c>
      <c r="Z3568">
        <f>IF(AND(K3568=0,L3568=0,Y3568=0),1,0)</f>
        <v/>
      </c>
      <c r="AA3568">
        <f>IF(AND(Z3568=1,G3568&lt;Assumptions!$C$6),1,0)</f>
        <v/>
      </c>
      <c r="AB3568">
        <f>IF(U3568=0,"",IF(Y3568=1,MAX(0,Q3568-G3568),IF(L3568=1,MAX(0,R3568-G3568),MAX(0,Assumptions!$C$6-G3568))))</f>
        <v/>
      </c>
      <c r="AC3568">
        <f>IF(Y3568=1,Q3568-F3568,"")</f>
        <v/>
      </c>
      <c r="AD3568">
        <f>IF(Y3568=1,AC3568^2,"")</f>
        <v/>
      </c>
      <c r="AE3568" s="19">
        <f>IF(Z3568=1,(H3568-M3568)*I3568,0)</f>
        <v/>
      </c>
      <c r="AF3568">
        <f>IF(G3568&lt;EDATE(Assumptions!$C$6,-12)+1,"prior_12m","last_12m")</f>
        <v/>
      </c>
      <c r="AG3568" s="21">
        <f>DATE(YEAR(G3568),MONTH(G3568),1)</f>
        <v/>
      </c>
    </row>
    <row r="3569">
      <c r="A3569" t="inlineStr">
        <is>
          <t>SPO-01901-1</t>
        </is>
      </c>
      <c r="B3569" t="inlineStr">
        <is>
          <t>SPO-01901</t>
        </is>
      </c>
      <c r="C3569" t="inlineStr">
        <is>
          <t>SUP-06</t>
        </is>
      </c>
      <c r="D3569" t="inlineStr">
        <is>
          <t>MRO</t>
        </is>
      </c>
      <c r="E3569" t="inlineStr">
        <is>
          <t>MRO-01</t>
        </is>
      </c>
      <c r="F3569" s="17" t="n">
        <v>46101</v>
      </c>
      <c r="G3569" s="17" t="n">
        <v>46109</v>
      </c>
      <c r="H3569" s="18" t="n">
        <v>32</v>
      </c>
      <c r="I3569" s="19" t="n">
        <v>52.49</v>
      </c>
      <c r="J3569" s="19" t="n">
        <v>52</v>
      </c>
      <c r="K3569" s="20" t="n">
        <v>0</v>
      </c>
      <c r="L3569" s="20" t="n">
        <v>0</v>
      </c>
      <c r="M3569" s="18" t="n">
        <v>32</v>
      </c>
      <c r="N3569" s="18" t="n">
        <v>32</v>
      </c>
      <c r="O3569" s="18" t="n">
        <v>0</v>
      </c>
      <c r="P3569" s="17" t="n">
        <v>46106</v>
      </c>
      <c r="Q3569" s="17" t="n">
        <v>46106</v>
      </c>
      <c r="R3569" s="17" t="n">
        <v>46106</v>
      </c>
      <c r="S3569" s="19">
        <f>H3569*I3569</f>
        <v/>
      </c>
      <c r="T3569" s="19">
        <f>H3569*J3569</f>
        <v/>
      </c>
      <c r="U3569">
        <f>IF(AND(K3569=0,G3569&lt;=Assumptions!$C$6),1,0)</f>
        <v/>
      </c>
      <c r="V3569">
        <f>IF(U3569=1,IF(M3569&gt;0,IF(P3569&lt;=G3569+Assumptions!$C$7,1,0),0),0)</f>
        <v/>
      </c>
      <c r="W3569">
        <f>IF(AND(U3569=1,M3569&gt;=H3569*(1-Assumptions!$C$8)),1,0)</f>
        <v/>
      </c>
      <c r="X3569">
        <f>IF(AND(U3569=1,N3569&gt;=H3569*(1-Assumptions!$C$8)),1,0)</f>
        <v/>
      </c>
      <c r="Y3569">
        <f>IF(ISNUMBER(Q3569),1,0)</f>
        <v/>
      </c>
      <c r="Z3569">
        <f>IF(AND(K3569=0,L3569=0,Y3569=0),1,0)</f>
        <v/>
      </c>
      <c r="AA3569">
        <f>IF(AND(Z3569=1,G3569&lt;Assumptions!$C$6),1,0)</f>
        <v/>
      </c>
      <c r="AB3569">
        <f>IF(U3569=0,"",IF(Y3569=1,MAX(0,Q3569-G3569),IF(L3569=1,MAX(0,R3569-G3569),MAX(0,Assumptions!$C$6-G3569))))</f>
        <v/>
      </c>
      <c r="AC3569">
        <f>IF(Y3569=1,Q3569-F3569,"")</f>
        <v/>
      </c>
      <c r="AD3569">
        <f>IF(Y3569=1,AC3569^2,"")</f>
        <v/>
      </c>
      <c r="AE3569" s="19">
        <f>IF(Z3569=1,(H3569-M3569)*I3569,0)</f>
        <v/>
      </c>
      <c r="AF3569">
        <f>IF(G3569&lt;EDATE(Assumptions!$C$6,-12)+1,"prior_12m","last_12m")</f>
        <v/>
      </c>
      <c r="AG3569" s="21">
        <f>DATE(YEAR(G3569),MONTH(G3569),1)</f>
        <v/>
      </c>
    </row>
    <row r="3570">
      <c r="A3570" t="inlineStr">
        <is>
          <t>SPO-01902-1</t>
        </is>
      </c>
      <c r="B3570" t="inlineStr">
        <is>
          <t>SPO-01902</t>
        </is>
      </c>
      <c r="C3570" t="inlineStr">
        <is>
          <t>SUP-02</t>
        </is>
      </c>
      <c r="D3570" t="inlineStr">
        <is>
          <t>ELEC</t>
        </is>
      </c>
      <c r="E3570" t="inlineStr">
        <is>
          <t>ELEC-06</t>
        </is>
      </c>
      <c r="F3570" s="17" t="n">
        <v>46101</v>
      </c>
      <c r="G3570" s="17" t="n">
        <v>46117</v>
      </c>
      <c r="H3570" s="18" t="n">
        <v>19</v>
      </c>
      <c r="I3570" s="19" t="n">
        <v>145.46</v>
      </c>
      <c r="J3570" s="19" t="n">
        <v>145</v>
      </c>
      <c r="K3570" s="20" t="n">
        <v>0</v>
      </c>
      <c r="L3570" s="20" t="n">
        <v>0</v>
      </c>
      <c r="M3570" s="18" t="n">
        <v>19</v>
      </c>
      <c r="N3570" s="18" t="n">
        <v>13</v>
      </c>
      <c r="O3570" s="18" t="n">
        <v>0</v>
      </c>
      <c r="P3570" s="17" t="n">
        <v>46114</v>
      </c>
      <c r="Q3570" s="17" t="n">
        <v>46131</v>
      </c>
      <c r="R3570" s="17" t="n">
        <v>46131</v>
      </c>
      <c r="S3570" s="19">
        <f>H3570*I3570</f>
        <v/>
      </c>
      <c r="T3570" s="19">
        <f>H3570*J3570</f>
        <v/>
      </c>
      <c r="U3570">
        <f>IF(AND(K3570=0,G3570&lt;=Assumptions!$C$6),1,0)</f>
        <v/>
      </c>
      <c r="V3570">
        <f>IF(U3570=1,IF(M3570&gt;0,IF(P3570&lt;=G3570+Assumptions!$C$7,1,0),0),0)</f>
        <v/>
      </c>
      <c r="W3570">
        <f>IF(AND(U3570=1,M3570&gt;=H3570*(1-Assumptions!$C$8)),1,0)</f>
        <v/>
      </c>
      <c r="X3570">
        <f>IF(AND(U3570=1,N3570&gt;=H3570*(1-Assumptions!$C$8)),1,0)</f>
        <v/>
      </c>
      <c r="Y3570">
        <f>IF(ISNUMBER(Q3570),1,0)</f>
        <v/>
      </c>
      <c r="Z3570">
        <f>IF(AND(K3570=0,L3570=0,Y3570=0),1,0)</f>
        <v/>
      </c>
      <c r="AA3570">
        <f>IF(AND(Z3570=1,G3570&lt;Assumptions!$C$6),1,0)</f>
        <v/>
      </c>
      <c r="AB3570">
        <f>IF(U3570=0,"",IF(Y3570=1,MAX(0,Q3570-G3570),IF(L3570=1,MAX(0,R3570-G3570),MAX(0,Assumptions!$C$6-G3570))))</f>
        <v/>
      </c>
      <c r="AC3570">
        <f>IF(Y3570=1,Q3570-F3570,"")</f>
        <v/>
      </c>
      <c r="AD3570">
        <f>IF(Y3570=1,AC3570^2,"")</f>
        <v/>
      </c>
      <c r="AE3570" s="19">
        <f>IF(Z3570=1,(H3570-M3570)*I3570,0)</f>
        <v/>
      </c>
      <c r="AF3570">
        <f>IF(G3570&lt;EDATE(Assumptions!$C$6,-12)+1,"prior_12m","last_12m")</f>
        <v/>
      </c>
      <c r="AG3570" s="21">
        <f>DATE(YEAR(G3570),MONTH(G3570),1)</f>
        <v/>
      </c>
    </row>
    <row r="3571">
      <c r="A3571" t="inlineStr">
        <is>
          <t>SPO-01902-2</t>
        </is>
      </c>
      <c r="B3571" t="inlineStr">
        <is>
          <t>SPO-01902</t>
        </is>
      </c>
      <c r="C3571" t="inlineStr">
        <is>
          <t>SUP-02</t>
        </is>
      </c>
      <c r="D3571" t="inlineStr">
        <is>
          <t>ELEC</t>
        </is>
      </c>
      <c r="E3571" t="inlineStr">
        <is>
          <t>ELEC-05</t>
        </is>
      </c>
      <c r="F3571" s="17" t="n">
        <v>46101</v>
      </c>
      <c r="G3571" s="17" t="n">
        <v>46117</v>
      </c>
      <c r="H3571" s="18" t="n">
        <v>59</v>
      </c>
      <c r="I3571" s="19" t="n">
        <v>11.76</v>
      </c>
      <c r="J3571" s="19" t="n">
        <v>11.5</v>
      </c>
      <c r="K3571" s="20" t="n">
        <v>0</v>
      </c>
      <c r="L3571" s="20" t="n">
        <v>0</v>
      </c>
      <c r="M3571" s="18" t="n">
        <v>59</v>
      </c>
      <c r="N3571" s="18" t="n">
        <v>59</v>
      </c>
      <c r="O3571" s="18" t="n">
        <v>0</v>
      </c>
      <c r="P3571" s="17" t="n">
        <v>46111</v>
      </c>
      <c r="Q3571" s="17" t="n">
        <v>46111</v>
      </c>
      <c r="R3571" s="17" t="n">
        <v>46111</v>
      </c>
      <c r="S3571" s="19">
        <f>H3571*I3571</f>
        <v/>
      </c>
      <c r="T3571" s="19">
        <f>H3571*J3571</f>
        <v/>
      </c>
      <c r="U3571">
        <f>IF(AND(K3571=0,G3571&lt;=Assumptions!$C$6),1,0)</f>
        <v/>
      </c>
      <c r="V3571">
        <f>IF(U3571=1,IF(M3571&gt;0,IF(P3571&lt;=G3571+Assumptions!$C$7,1,0),0),0)</f>
        <v/>
      </c>
      <c r="W3571">
        <f>IF(AND(U3571=1,M3571&gt;=H3571*(1-Assumptions!$C$8)),1,0)</f>
        <v/>
      </c>
      <c r="X3571">
        <f>IF(AND(U3571=1,N3571&gt;=H3571*(1-Assumptions!$C$8)),1,0)</f>
        <v/>
      </c>
      <c r="Y3571">
        <f>IF(ISNUMBER(Q3571),1,0)</f>
        <v/>
      </c>
      <c r="Z3571">
        <f>IF(AND(K3571=0,L3571=0,Y3571=0),1,0)</f>
        <v/>
      </c>
      <c r="AA3571">
        <f>IF(AND(Z3571=1,G3571&lt;Assumptions!$C$6),1,0)</f>
        <v/>
      </c>
      <c r="AB3571">
        <f>IF(U3571=0,"",IF(Y3571=1,MAX(0,Q3571-G3571),IF(L3571=1,MAX(0,R3571-G3571),MAX(0,Assumptions!$C$6-G3571))))</f>
        <v/>
      </c>
      <c r="AC3571">
        <f>IF(Y3571=1,Q3571-F3571,"")</f>
        <v/>
      </c>
      <c r="AD3571">
        <f>IF(Y3571=1,AC3571^2,"")</f>
        <v/>
      </c>
      <c r="AE3571" s="19">
        <f>IF(Z3571=1,(H3571-M3571)*I3571,0)</f>
        <v/>
      </c>
      <c r="AF3571">
        <f>IF(G3571&lt;EDATE(Assumptions!$C$6,-12)+1,"prior_12m","last_12m")</f>
        <v/>
      </c>
      <c r="AG3571" s="21">
        <f>DATE(YEAR(G3571),MONTH(G3571),1)</f>
        <v/>
      </c>
    </row>
    <row r="3572">
      <c r="A3572" t="inlineStr">
        <is>
          <t>SPO-01903-1</t>
        </is>
      </c>
      <c r="B3572" t="inlineStr">
        <is>
          <t>SPO-01903</t>
        </is>
      </c>
      <c r="C3572" t="inlineStr">
        <is>
          <t>SUP-06</t>
        </is>
      </c>
      <c r="D3572" t="inlineStr">
        <is>
          <t>MRO</t>
        </is>
      </c>
      <c r="E3572" t="inlineStr">
        <is>
          <t>MRO-07</t>
        </is>
      </c>
      <c r="F3572" s="17" t="n">
        <v>46101</v>
      </c>
      <c r="G3572" s="17" t="n">
        <v>46109</v>
      </c>
      <c r="H3572" s="18" t="n">
        <v>235</v>
      </c>
      <c r="I3572" s="19" t="n">
        <v>13.53</v>
      </c>
      <c r="J3572" s="19" t="n">
        <v>14</v>
      </c>
      <c r="K3572" s="20" t="n">
        <v>0</v>
      </c>
      <c r="L3572" s="20" t="n">
        <v>0</v>
      </c>
      <c r="M3572" s="18" t="n">
        <v>235</v>
      </c>
      <c r="N3572" s="18" t="n">
        <v>235</v>
      </c>
      <c r="O3572" s="18" t="n">
        <v>0</v>
      </c>
      <c r="P3572" s="17" t="n">
        <v>46108</v>
      </c>
      <c r="Q3572" s="17" t="n">
        <v>46108</v>
      </c>
      <c r="R3572" s="17" t="n">
        <v>46108</v>
      </c>
      <c r="S3572" s="19">
        <f>H3572*I3572</f>
        <v/>
      </c>
      <c r="T3572" s="19">
        <f>H3572*J3572</f>
        <v/>
      </c>
      <c r="U3572">
        <f>IF(AND(K3572=0,G3572&lt;=Assumptions!$C$6),1,0)</f>
        <v/>
      </c>
      <c r="V3572">
        <f>IF(U3572=1,IF(M3572&gt;0,IF(P3572&lt;=G3572+Assumptions!$C$7,1,0),0),0)</f>
        <v/>
      </c>
      <c r="W3572">
        <f>IF(AND(U3572=1,M3572&gt;=H3572*(1-Assumptions!$C$8)),1,0)</f>
        <v/>
      </c>
      <c r="X3572">
        <f>IF(AND(U3572=1,N3572&gt;=H3572*(1-Assumptions!$C$8)),1,0)</f>
        <v/>
      </c>
      <c r="Y3572">
        <f>IF(ISNUMBER(Q3572),1,0)</f>
        <v/>
      </c>
      <c r="Z3572">
        <f>IF(AND(K3572=0,L3572=0,Y3572=0),1,0)</f>
        <v/>
      </c>
      <c r="AA3572">
        <f>IF(AND(Z3572=1,G3572&lt;Assumptions!$C$6),1,0)</f>
        <v/>
      </c>
      <c r="AB3572">
        <f>IF(U3572=0,"",IF(Y3572=1,MAX(0,Q3572-G3572),IF(L3572=1,MAX(0,R3572-G3572),MAX(0,Assumptions!$C$6-G3572))))</f>
        <v/>
      </c>
      <c r="AC3572">
        <f>IF(Y3572=1,Q3572-F3572,"")</f>
        <v/>
      </c>
      <c r="AD3572">
        <f>IF(Y3572=1,AC3572^2,"")</f>
        <v/>
      </c>
      <c r="AE3572" s="19">
        <f>IF(Z3572=1,(H3572-M3572)*I3572,0)</f>
        <v/>
      </c>
      <c r="AF3572">
        <f>IF(G3572&lt;EDATE(Assumptions!$C$6,-12)+1,"prior_12m","last_12m")</f>
        <v/>
      </c>
      <c r="AG3572" s="21">
        <f>DATE(YEAR(G3572),MONTH(G3572),1)</f>
        <v/>
      </c>
    </row>
    <row r="3573">
      <c r="A3573" t="inlineStr">
        <is>
          <t>SPO-01903-2</t>
        </is>
      </c>
      <c r="B3573" t="inlineStr">
        <is>
          <t>SPO-01903</t>
        </is>
      </c>
      <c r="C3573" t="inlineStr">
        <is>
          <t>SUP-06</t>
        </is>
      </c>
      <c r="D3573" t="inlineStr">
        <is>
          <t>MRO</t>
        </is>
      </c>
      <c r="E3573" t="inlineStr">
        <is>
          <t>MRO-06</t>
        </is>
      </c>
      <c r="F3573" s="17" t="n">
        <v>46101</v>
      </c>
      <c r="G3573" s="17" t="n">
        <v>46109</v>
      </c>
      <c r="H3573" s="18" t="n">
        <v>164</v>
      </c>
      <c r="I3573" s="19" t="n">
        <v>5.89</v>
      </c>
      <c r="J3573" s="19" t="n">
        <v>6.1</v>
      </c>
      <c r="K3573" s="20" t="n">
        <v>0</v>
      </c>
      <c r="L3573" s="20" t="n">
        <v>0</v>
      </c>
      <c r="M3573" s="18" t="n">
        <v>164</v>
      </c>
      <c r="N3573" s="18" t="n">
        <v>164</v>
      </c>
      <c r="O3573" s="18" t="n">
        <v>0</v>
      </c>
      <c r="P3573" s="17" t="n">
        <v>46106</v>
      </c>
      <c r="Q3573" s="17" t="n">
        <v>46106</v>
      </c>
      <c r="R3573" s="17" t="n">
        <v>46106</v>
      </c>
      <c r="S3573" s="19">
        <f>H3573*I3573</f>
        <v/>
      </c>
      <c r="T3573" s="19">
        <f>H3573*J3573</f>
        <v/>
      </c>
      <c r="U3573">
        <f>IF(AND(K3573=0,G3573&lt;=Assumptions!$C$6),1,0)</f>
        <v/>
      </c>
      <c r="V3573">
        <f>IF(U3573=1,IF(M3573&gt;0,IF(P3573&lt;=G3573+Assumptions!$C$7,1,0),0),0)</f>
        <v/>
      </c>
      <c r="W3573">
        <f>IF(AND(U3573=1,M3573&gt;=H3573*(1-Assumptions!$C$8)),1,0)</f>
        <v/>
      </c>
      <c r="X3573">
        <f>IF(AND(U3573=1,N3573&gt;=H3573*(1-Assumptions!$C$8)),1,0)</f>
        <v/>
      </c>
      <c r="Y3573">
        <f>IF(ISNUMBER(Q3573),1,0)</f>
        <v/>
      </c>
      <c r="Z3573">
        <f>IF(AND(K3573=0,L3573=0,Y3573=0),1,0)</f>
        <v/>
      </c>
      <c r="AA3573">
        <f>IF(AND(Z3573=1,G3573&lt;Assumptions!$C$6),1,0)</f>
        <v/>
      </c>
      <c r="AB3573">
        <f>IF(U3573=0,"",IF(Y3573=1,MAX(0,Q3573-G3573),IF(L3573=1,MAX(0,R3573-G3573),MAX(0,Assumptions!$C$6-G3573))))</f>
        <v/>
      </c>
      <c r="AC3573">
        <f>IF(Y3573=1,Q3573-F3573,"")</f>
        <v/>
      </c>
      <c r="AD3573">
        <f>IF(Y3573=1,AC3573^2,"")</f>
        <v/>
      </c>
      <c r="AE3573" s="19">
        <f>IF(Z3573=1,(H3573-M3573)*I3573,0)</f>
        <v/>
      </c>
      <c r="AF3573">
        <f>IF(G3573&lt;EDATE(Assumptions!$C$6,-12)+1,"prior_12m","last_12m")</f>
        <v/>
      </c>
      <c r="AG3573" s="21">
        <f>DATE(YEAR(G3573),MONTH(G3573),1)</f>
        <v/>
      </c>
    </row>
    <row r="3574">
      <c r="A3574" t="inlineStr">
        <is>
          <t>SPO-01904-1</t>
        </is>
      </c>
      <c r="B3574" t="inlineStr">
        <is>
          <t>SPO-01904</t>
        </is>
      </c>
      <c r="C3574" t="inlineStr">
        <is>
          <t>SUP-01</t>
        </is>
      </c>
      <c r="D3574" t="inlineStr">
        <is>
          <t>ELEC</t>
        </is>
      </c>
      <c r="E3574" t="inlineStr">
        <is>
          <t>ELEC-04</t>
        </is>
      </c>
      <c r="F3574" s="17" t="n">
        <v>46101</v>
      </c>
      <c r="G3574" s="17" t="n">
        <v>46119</v>
      </c>
      <c r="H3574" s="18" t="n">
        <v>53</v>
      </c>
      <c r="I3574" s="19" t="n">
        <v>67.70999999999999</v>
      </c>
      <c r="J3574" s="19" t="n">
        <v>72</v>
      </c>
      <c r="K3574" s="20" t="n">
        <v>0</v>
      </c>
      <c r="L3574" s="20" t="n">
        <v>0</v>
      </c>
      <c r="M3574" s="18" t="n">
        <v>53</v>
      </c>
      <c r="N3574" s="18" t="n">
        <v>0</v>
      </c>
      <c r="O3574" s="18" t="n">
        <v>0</v>
      </c>
      <c r="P3574" s="17" t="n">
        <v>46121</v>
      </c>
      <c r="Q3574" s="17" t="n">
        <v>46121</v>
      </c>
      <c r="R3574" s="17" t="n">
        <v>46121</v>
      </c>
      <c r="S3574" s="19">
        <f>H3574*I3574</f>
        <v/>
      </c>
      <c r="T3574" s="19">
        <f>H3574*J3574</f>
        <v/>
      </c>
      <c r="U3574">
        <f>IF(AND(K3574=0,G3574&lt;=Assumptions!$C$6),1,0)</f>
        <v/>
      </c>
      <c r="V3574">
        <f>IF(U3574=1,IF(M3574&gt;0,IF(P3574&lt;=G3574+Assumptions!$C$7,1,0),0),0)</f>
        <v/>
      </c>
      <c r="W3574">
        <f>IF(AND(U3574=1,M3574&gt;=H3574*(1-Assumptions!$C$8)),1,0)</f>
        <v/>
      </c>
      <c r="X3574">
        <f>IF(AND(U3574=1,N3574&gt;=H3574*(1-Assumptions!$C$8)),1,0)</f>
        <v/>
      </c>
      <c r="Y3574">
        <f>IF(ISNUMBER(Q3574),1,0)</f>
        <v/>
      </c>
      <c r="Z3574">
        <f>IF(AND(K3574=0,L3574=0,Y3574=0),1,0)</f>
        <v/>
      </c>
      <c r="AA3574">
        <f>IF(AND(Z3574=1,G3574&lt;Assumptions!$C$6),1,0)</f>
        <v/>
      </c>
      <c r="AB3574">
        <f>IF(U3574=0,"",IF(Y3574=1,MAX(0,Q3574-G3574),IF(L3574=1,MAX(0,R3574-G3574),MAX(0,Assumptions!$C$6-G3574))))</f>
        <v/>
      </c>
      <c r="AC3574">
        <f>IF(Y3574=1,Q3574-F3574,"")</f>
        <v/>
      </c>
      <c r="AD3574">
        <f>IF(Y3574=1,AC3574^2,"")</f>
        <v/>
      </c>
      <c r="AE3574" s="19">
        <f>IF(Z3574=1,(H3574-M3574)*I3574,0)</f>
        <v/>
      </c>
      <c r="AF3574">
        <f>IF(G3574&lt;EDATE(Assumptions!$C$6,-12)+1,"prior_12m","last_12m")</f>
        <v/>
      </c>
      <c r="AG3574" s="21">
        <f>DATE(YEAR(G3574),MONTH(G3574),1)</f>
        <v/>
      </c>
    </row>
    <row r="3575">
      <c r="A3575" t="inlineStr">
        <is>
          <t>SPO-01904-2</t>
        </is>
      </c>
      <c r="B3575" t="inlineStr">
        <is>
          <t>SPO-01904</t>
        </is>
      </c>
      <c r="C3575" t="inlineStr">
        <is>
          <t>SUP-01</t>
        </is>
      </c>
      <c r="D3575" t="inlineStr">
        <is>
          <t>ELEC</t>
        </is>
      </c>
      <c r="E3575" t="inlineStr">
        <is>
          <t>ELEC-01</t>
        </is>
      </c>
      <c r="F3575" s="17" t="n">
        <v>46101</v>
      </c>
      <c r="G3575" s="17" t="n">
        <v>46119</v>
      </c>
      <c r="H3575" s="18" t="n">
        <v>78</v>
      </c>
      <c r="I3575" s="19" t="n">
        <v>38.21</v>
      </c>
      <c r="J3575" s="19" t="n">
        <v>38</v>
      </c>
      <c r="K3575" s="20" t="n">
        <v>0</v>
      </c>
      <c r="L3575" s="20" t="n">
        <v>0</v>
      </c>
      <c r="M3575" s="18" t="n">
        <v>78</v>
      </c>
      <c r="N3575" s="18" t="n">
        <v>78</v>
      </c>
      <c r="O3575" s="18" t="n">
        <v>0</v>
      </c>
      <c r="P3575" s="17" t="n">
        <v>46117</v>
      </c>
      <c r="Q3575" s="17" t="n">
        <v>46117</v>
      </c>
      <c r="R3575" s="17" t="n">
        <v>46117</v>
      </c>
      <c r="S3575" s="19">
        <f>H3575*I3575</f>
        <v/>
      </c>
      <c r="T3575" s="19">
        <f>H3575*J3575</f>
        <v/>
      </c>
      <c r="U3575">
        <f>IF(AND(K3575=0,G3575&lt;=Assumptions!$C$6),1,0)</f>
        <v/>
      </c>
      <c r="V3575">
        <f>IF(U3575=1,IF(M3575&gt;0,IF(P3575&lt;=G3575+Assumptions!$C$7,1,0),0),0)</f>
        <v/>
      </c>
      <c r="W3575">
        <f>IF(AND(U3575=1,M3575&gt;=H3575*(1-Assumptions!$C$8)),1,0)</f>
        <v/>
      </c>
      <c r="X3575">
        <f>IF(AND(U3575=1,N3575&gt;=H3575*(1-Assumptions!$C$8)),1,0)</f>
        <v/>
      </c>
      <c r="Y3575">
        <f>IF(ISNUMBER(Q3575),1,0)</f>
        <v/>
      </c>
      <c r="Z3575">
        <f>IF(AND(K3575=0,L3575=0,Y3575=0),1,0)</f>
        <v/>
      </c>
      <c r="AA3575">
        <f>IF(AND(Z3575=1,G3575&lt;Assumptions!$C$6),1,0)</f>
        <v/>
      </c>
      <c r="AB3575">
        <f>IF(U3575=0,"",IF(Y3575=1,MAX(0,Q3575-G3575),IF(L3575=1,MAX(0,R3575-G3575),MAX(0,Assumptions!$C$6-G3575))))</f>
        <v/>
      </c>
      <c r="AC3575">
        <f>IF(Y3575=1,Q3575-F3575,"")</f>
        <v/>
      </c>
      <c r="AD3575">
        <f>IF(Y3575=1,AC3575^2,"")</f>
        <v/>
      </c>
      <c r="AE3575" s="19">
        <f>IF(Z3575=1,(H3575-M3575)*I3575,0)</f>
        <v/>
      </c>
      <c r="AF3575">
        <f>IF(G3575&lt;EDATE(Assumptions!$C$6,-12)+1,"prior_12m","last_12m")</f>
        <v/>
      </c>
      <c r="AG3575" s="21">
        <f>DATE(YEAR(G3575),MONTH(G3575),1)</f>
        <v/>
      </c>
    </row>
    <row r="3576">
      <c r="A3576" t="inlineStr">
        <is>
          <t>SPO-01905-1</t>
        </is>
      </c>
      <c r="B3576" t="inlineStr">
        <is>
          <t>SPO-01905</t>
        </is>
      </c>
      <c r="C3576" t="inlineStr">
        <is>
          <t>SUP-01</t>
        </is>
      </c>
      <c r="D3576" t="inlineStr">
        <is>
          <t>ELEC</t>
        </is>
      </c>
      <c r="E3576" t="inlineStr">
        <is>
          <t>ELEC-01</t>
        </is>
      </c>
      <c r="F3576" s="17" t="n">
        <v>46102</v>
      </c>
      <c r="G3576" s="17" t="n">
        <v>46120</v>
      </c>
      <c r="H3576" s="18" t="n">
        <v>100</v>
      </c>
      <c r="I3576" s="19" t="n">
        <v>38.9</v>
      </c>
      <c r="J3576" s="19" t="n">
        <v>38</v>
      </c>
      <c r="K3576" s="20" t="n">
        <v>0</v>
      </c>
      <c r="L3576" s="20" t="n">
        <v>0</v>
      </c>
      <c r="M3576" s="18" t="n">
        <v>100</v>
      </c>
      <c r="N3576" s="18" t="n">
        <v>100</v>
      </c>
      <c r="O3576" s="18" t="n">
        <v>0</v>
      </c>
      <c r="P3576" s="17" t="n">
        <v>46110</v>
      </c>
      <c r="Q3576" s="17" t="n">
        <v>46110</v>
      </c>
      <c r="R3576" s="17" t="n">
        <v>46110</v>
      </c>
      <c r="S3576" s="19">
        <f>H3576*I3576</f>
        <v/>
      </c>
      <c r="T3576" s="19">
        <f>H3576*J3576</f>
        <v/>
      </c>
      <c r="U3576">
        <f>IF(AND(K3576=0,G3576&lt;=Assumptions!$C$6),1,0)</f>
        <v/>
      </c>
      <c r="V3576">
        <f>IF(U3576=1,IF(M3576&gt;0,IF(P3576&lt;=G3576+Assumptions!$C$7,1,0),0),0)</f>
        <v/>
      </c>
      <c r="W3576">
        <f>IF(AND(U3576=1,M3576&gt;=H3576*(1-Assumptions!$C$8)),1,0)</f>
        <v/>
      </c>
      <c r="X3576">
        <f>IF(AND(U3576=1,N3576&gt;=H3576*(1-Assumptions!$C$8)),1,0)</f>
        <v/>
      </c>
      <c r="Y3576">
        <f>IF(ISNUMBER(Q3576),1,0)</f>
        <v/>
      </c>
      <c r="Z3576">
        <f>IF(AND(K3576=0,L3576=0,Y3576=0),1,0)</f>
        <v/>
      </c>
      <c r="AA3576">
        <f>IF(AND(Z3576=1,G3576&lt;Assumptions!$C$6),1,0)</f>
        <v/>
      </c>
      <c r="AB3576">
        <f>IF(U3576=0,"",IF(Y3576=1,MAX(0,Q3576-G3576),IF(L3576=1,MAX(0,R3576-G3576),MAX(0,Assumptions!$C$6-G3576))))</f>
        <v/>
      </c>
      <c r="AC3576">
        <f>IF(Y3576=1,Q3576-F3576,"")</f>
        <v/>
      </c>
      <c r="AD3576">
        <f>IF(Y3576=1,AC3576^2,"")</f>
        <v/>
      </c>
      <c r="AE3576" s="19">
        <f>IF(Z3576=1,(H3576-M3576)*I3576,0)</f>
        <v/>
      </c>
      <c r="AF3576">
        <f>IF(G3576&lt;EDATE(Assumptions!$C$6,-12)+1,"prior_12m","last_12m")</f>
        <v/>
      </c>
      <c r="AG3576" s="21">
        <f>DATE(YEAR(G3576),MONTH(G3576),1)</f>
        <v/>
      </c>
    </row>
    <row r="3577">
      <c r="A3577" t="inlineStr">
        <is>
          <t>SPO-01906-1</t>
        </is>
      </c>
      <c r="B3577" t="inlineStr">
        <is>
          <t>SPO-01906</t>
        </is>
      </c>
      <c r="C3577" t="inlineStr">
        <is>
          <t>SUP-07</t>
        </is>
      </c>
      <c r="D3577" t="inlineStr">
        <is>
          <t>MRO</t>
        </is>
      </c>
      <c r="E3577" t="inlineStr">
        <is>
          <t>MRO-03</t>
        </is>
      </c>
      <c r="F3577" s="17" t="n">
        <v>46102</v>
      </c>
      <c r="G3577" s="17" t="n">
        <v>46112</v>
      </c>
      <c r="H3577" s="18" t="n">
        <v>387</v>
      </c>
      <c r="I3577" s="19" t="n">
        <v>8.83</v>
      </c>
      <c r="J3577" s="19" t="n">
        <v>8.9</v>
      </c>
      <c r="K3577" s="20" t="n">
        <v>0</v>
      </c>
      <c r="L3577" s="20" t="n">
        <v>0</v>
      </c>
      <c r="M3577" s="18" t="n">
        <v>387</v>
      </c>
      <c r="N3577" s="18" t="n">
        <v>387</v>
      </c>
      <c r="O3577" s="18" t="n">
        <v>0</v>
      </c>
      <c r="P3577" s="17" t="n">
        <v>46106</v>
      </c>
      <c r="Q3577" s="17" t="n">
        <v>46106</v>
      </c>
      <c r="R3577" s="17" t="n">
        <v>46106</v>
      </c>
      <c r="S3577" s="19">
        <f>H3577*I3577</f>
        <v/>
      </c>
      <c r="T3577" s="19">
        <f>H3577*J3577</f>
        <v/>
      </c>
      <c r="U3577">
        <f>IF(AND(K3577=0,G3577&lt;=Assumptions!$C$6),1,0)</f>
        <v/>
      </c>
      <c r="V3577">
        <f>IF(U3577=1,IF(M3577&gt;0,IF(P3577&lt;=G3577+Assumptions!$C$7,1,0),0),0)</f>
        <v/>
      </c>
      <c r="W3577">
        <f>IF(AND(U3577=1,M3577&gt;=H3577*(1-Assumptions!$C$8)),1,0)</f>
        <v/>
      </c>
      <c r="X3577">
        <f>IF(AND(U3577=1,N3577&gt;=H3577*(1-Assumptions!$C$8)),1,0)</f>
        <v/>
      </c>
      <c r="Y3577">
        <f>IF(ISNUMBER(Q3577),1,0)</f>
        <v/>
      </c>
      <c r="Z3577">
        <f>IF(AND(K3577=0,L3577=0,Y3577=0),1,0)</f>
        <v/>
      </c>
      <c r="AA3577">
        <f>IF(AND(Z3577=1,G3577&lt;Assumptions!$C$6),1,0)</f>
        <v/>
      </c>
      <c r="AB3577">
        <f>IF(U3577=0,"",IF(Y3577=1,MAX(0,Q3577-G3577),IF(L3577=1,MAX(0,R3577-G3577),MAX(0,Assumptions!$C$6-G3577))))</f>
        <v/>
      </c>
      <c r="AC3577">
        <f>IF(Y3577=1,Q3577-F3577,"")</f>
        <v/>
      </c>
      <c r="AD3577">
        <f>IF(Y3577=1,AC3577^2,"")</f>
        <v/>
      </c>
      <c r="AE3577" s="19">
        <f>IF(Z3577=1,(H3577-M3577)*I3577,0)</f>
        <v/>
      </c>
      <c r="AF3577">
        <f>IF(G3577&lt;EDATE(Assumptions!$C$6,-12)+1,"prior_12m","last_12m")</f>
        <v/>
      </c>
      <c r="AG3577" s="21">
        <f>DATE(YEAR(G3577),MONTH(G3577),1)</f>
        <v/>
      </c>
    </row>
    <row r="3578">
      <c r="A3578" t="inlineStr">
        <is>
          <t>SPO-01906-2</t>
        </is>
      </c>
      <c r="B3578" t="inlineStr">
        <is>
          <t>SPO-01906</t>
        </is>
      </c>
      <c r="C3578" t="inlineStr">
        <is>
          <t>SUP-07</t>
        </is>
      </c>
      <c r="D3578" t="inlineStr">
        <is>
          <t>MRO</t>
        </is>
      </c>
      <c r="E3578" t="inlineStr">
        <is>
          <t>MRO-06</t>
        </is>
      </c>
      <c r="F3578" s="17" t="n">
        <v>46102</v>
      </c>
      <c r="G3578" s="17" t="n">
        <v>46112</v>
      </c>
      <c r="H3578" s="18" t="n">
        <v>331</v>
      </c>
      <c r="I3578" s="19" t="n">
        <v>6.3</v>
      </c>
      <c r="J3578" s="19" t="n">
        <v>6.1</v>
      </c>
      <c r="K3578" s="20" t="n">
        <v>0</v>
      </c>
      <c r="L3578" s="20" t="n">
        <v>0</v>
      </c>
      <c r="M3578" s="18" t="n">
        <v>331</v>
      </c>
      <c r="N3578" s="18" t="n">
        <v>331</v>
      </c>
      <c r="O3578" s="18" t="n">
        <v>0</v>
      </c>
      <c r="P3578" s="17" t="n">
        <v>46108</v>
      </c>
      <c r="Q3578" s="17" t="n">
        <v>46108</v>
      </c>
      <c r="R3578" s="17" t="n">
        <v>46108</v>
      </c>
      <c r="S3578" s="19">
        <f>H3578*I3578</f>
        <v/>
      </c>
      <c r="T3578" s="19">
        <f>H3578*J3578</f>
        <v/>
      </c>
      <c r="U3578">
        <f>IF(AND(K3578=0,G3578&lt;=Assumptions!$C$6),1,0)</f>
        <v/>
      </c>
      <c r="V3578">
        <f>IF(U3578=1,IF(M3578&gt;0,IF(P3578&lt;=G3578+Assumptions!$C$7,1,0),0),0)</f>
        <v/>
      </c>
      <c r="W3578">
        <f>IF(AND(U3578=1,M3578&gt;=H3578*(1-Assumptions!$C$8)),1,0)</f>
        <v/>
      </c>
      <c r="X3578">
        <f>IF(AND(U3578=1,N3578&gt;=H3578*(1-Assumptions!$C$8)),1,0)</f>
        <v/>
      </c>
      <c r="Y3578">
        <f>IF(ISNUMBER(Q3578),1,0)</f>
        <v/>
      </c>
      <c r="Z3578">
        <f>IF(AND(K3578=0,L3578=0,Y3578=0),1,0)</f>
        <v/>
      </c>
      <c r="AA3578">
        <f>IF(AND(Z3578=1,G3578&lt;Assumptions!$C$6),1,0)</f>
        <v/>
      </c>
      <c r="AB3578">
        <f>IF(U3578=0,"",IF(Y3578=1,MAX(0,Q3578-G3578),IF(L3578=1,MAX(0,R3578-G3578),MAX(0,Assumptions!$C$6-G3578))))</f>
        <v/>
      </c>
      <c r="AC3578">
        <f>IF(Y3578=1,Q3578-F3578,"")</f>
        <v/>
      </c>
      <c r="AD3578">
        <f>IF(Y3578=1,AC3578^2,"")</f>
        <v/>
      </c>
      <c r="AE3578" s="19">
        <f>IF(Z3578=1,(H3578-M3578)*I3578,0)</f>
        <v/>
      </c>
      <c r="AF3578">
        <f>IF(G3578&lt;EDATE(Assumptions!$C$6,-12)+1,"prior_12m","last_12m")</f>
        <v/>
      </c>
      <c r="AG3578" s="21">
        <f>DATE(YEAR(G3578),MONTH(G3578),1)</f>
        <v/>
      </c>
    </row>
    <row r="3579">
      <c r="A3579" t="inlineStr">
        <is>
          <t>SPO-01906-3</t>
        </is>
      </c>
      <c r="B3579" t="inlineStr">
        <is>
          <t>SPO-01906</t>
        </is>
      </c>
      <c r="C3579" t="inlineStr">
        <is>
          <t>SUP-07</t>
        </is>
      </c>
      <c r="D3579" t="inlineStr">
        <is>
          <t>MRO</t>
        </is>
      </c>
      <c r="E3579" t="inlineStr">
        <is>
          <t>MRO-07</t>
        </is>
      </c>
      <c r="F3579" s="17" t="n">
        <v>46102</v>
      </c>
      <c r="G3579" s="17" t="n">
        <v>46112</v>
      </c>
      <c r="H3579" s="18" t="n">
        <v>171</v>
      </c>
      <c r="I3579" s="19" t="n">
        <v>14.74</v>
      </c>
      <c r="J3579" s="19" t="n">
        <v>14</v>
      </c>
      <c r="K3579" s="20" t="n">
        <v>0</v>
      </c>
      <c r="L3579" s="20" t="n">
        <v>0</v>
      </c>
      <c r="M3579" s="18" t="n">
        <v>171</v>
      </c>
      <c r="N3579" s="18" t="n">
        <v>171</v>
      </c>
      <c r="O3579" s="18" t="n">
        <v>0</v>
      </c>
      <c r="P3579" s="17" t="n">
        <v>46108</v>
      </c>
      <c r="Q3579" s="17" t="n">
        <v>46108</v>
      </c>
      <c r="R3579" s="17" t="n">
        <v>46108</v>
      </c>
      <c r="S3579" s="19">
        <f>H3579*I3579</f>
        <v/>
      </c>
      <c r="T3579" s="19">
        <f>H3579*J3579</f>
        <v/>
      </c>
      <c r="U3579">
        <f>IF(AND(K3579=0,G3579&lt;=Assumptions!$C$6),1,0)</f>
        <v/>
      </c>
      <c r="V3579">
        <f>IF(U3579=1,IF(M3579&gt;0,IF(P3579&lt;=G3579+Assumptions!$C$7,1,0),0),0)</f>
        <v/>
      </c>
      <c r="W3579">
        <f>IF(AND(U3579=1,M3579&gt;=H3579*(1-Assumptions!$C$8)),1,0)</f>
        <v/>
      </c>
      <c r="X3579">
        <f>IF(AND(U3579=1,N3579&gt;=H3579*(1-Assumptions!$C$8)),1,0)</f>
        <v/>
      </c>
      <c r="Y3579">
        <f>IF(ISNUMBER(Q3579),1,0)</f>
        <v/>
      </c>
      <c r="Z3579">
        <f>IF(AND(K3579=0,L3579=0,Y3579=0),1,0)</f>
        <v/>
      </c>
      <c r="AA3579">
        <f>IF(AND(Z3579=1,G3579&lt;Assumptions!$C$6),1,0)</f>
        <v/>
      </c>
      <c r="AB3579">
        <f>IF(U3579=0,"",IF(Y3579=1,MAX(0,Q3579-G3579),IF(L3579=1,MAX(0,R3579-G3579),MAX(0,Assumptions!$C$6-G3579))))</f>
        <v/>
      </c>
      <c r="AC3579">
        <f>IF(Y3579=1,Q3579-F3579,"")</f>
        <v/>
      </c>
      <c r="AD3579">
        <f>IF(Y3579=1,AC3579^2,"")</f>
        <v/>
      </c>
      <c r="AE3579" s="19">
        <f>IF(Z3579=1,(H3579-M3579)*I3579,0)</f>
        <v/>
      </c>
      <c r="AF3579">
        <f>IF(G3579&lt;EDATE(Assumptions!$C$6,-12)+1,"prior_12m","last_12m")</f>
        <v/>
      </c>
      <c r="AG3579" s="21">
        <f>DATE(YEAR(G3579),MONTH(G3579),1)</f>
        <v/>
      </c>
    </row>
    <row r="3580">
      <c r="A3580" t="inlineStr">
        <is>
          <t>SPO-01907-1</t>
        </is>
      </c>
      <c r="B3580" t="inlineStr">
        <is>
          <t>SPO-01907</t>
        </is>
      </c>
      <c r="C3580" t="inlineStr">
        <is>
          <t>SUP-07</t>
        </is>
      </c>
      <c r="D3580" t="inlineStr">
        <is>
          <t>MRO</t>
        </is>
      </c>
      <c r="E3580" t="inlineStr">
        <is>
          <t>MRO-08</t>
        </is>
      </c>
      <c r="F3580" s="17" t="n">
        <v>46103</v>
      </c>
      <c r="G3580" s="17" t="n">
        <v>46113</v>
      </c>
      <c r="H3580" s="18" t="n">
        <v>162</v>
      </c>
      <c r="I3580" s="19" t="n">
        <v>7.21</v>
      </c>
      <c r="J3580" s="19" t="n">
        <v>7.2</v>
      </c>
      <c r="K3580" s="20" t="n">
        <v>0</v>
      </c>
      <c r="L3580" s="20" t="n">
        <v>0</v>
      </c>
      <c r="M3580" s="18" t="n">
        <v>162</v>
      </c>
      <c r="N3580" s="18" t="n">
        <v>162</v>
      </c>
      <c r="O3580" s="18" t="n">
        <v>0</v>
      </c>
      <c r="P3580" s="17" t="n">
        <v>46111</v>
      </c>
      <c r="Q3580" s="17" t="n">
        <v>46111</v>
      </c>
      <c r="R3580" s="17" t="n">
        <v>46111</v>
      </c>
      <c r="S3580" s="19">
        <f>H3580*I3580</f>
        <v/>
      </c>
      <c r="T3580" s="19">
        <f>H3580*J3580</f>
        <v/>
      </c>
      <c r="U3580">
        <f>IF(AND(K3580=0,G3580&lt;=Assumptions!$C$6),1,0)</f>
        <v/>
      </c>
      <c r="V3580">
        <f>IF(U3580=1,IF(M3580&gt;0,IF(P3580&lt;=G3580+Assumptions!$C$7,1,0),0),0)</f>
        <v/>
      </c>
      <c r="W3580">
        <f>IF(AND(U3580=1,M3580&gt;=H3580*(1-Assumptions!$C$8)),1,0)</f>
        <v/>
      </c>
      <c r="X3580">
        <f>IF(AND(U3580=1,N3580&gt;=H3580*(1-Assumptions!$C$8)),1,0)</f>
        <v/>
      </c>
      <c r="Y3580">
        <f>IF(ISNUMBER(Q3580),1,0)</f>
        <v/>
      </c>
      <c r="Z3580">
        <f>IF(AND(K3580=0,L3580=0,Y3580=0),1,0)</f>
        <v/>
      </c>
      <c r="AA3580">
        <f>IF(AND(Z3580=1,G3580&lt;Assumptions!$C$6),1,0)</f>
        <v/>
      </c>
      <c r="AB3580">
        <f>IF(U3580=0,"",IF(Y3580=1,MAX(0,Q3580-G3580),IF(L3580=1,MAX(0,R3580-G3580),MAX(0,Assumptions!$C$6-G3580))))</f>
        <v/>
      </c>
      <c r="AC3580">
        <f>IF(Y3580=1,Q3580-F3580,"")</f>
        <v/>
      </c>
      <c r="AD3580">
        <f>IF(Y3580=1,AC3580^2,"")</f>
        <v/>
      </c>
      <c r="AE3580" s="19">
        <f>IF(Z3580=1,(H3580-M3580)*I3580,0)</f>
        <v/>
      </c>
      <c r="AF3580">
        <f>IF(G3580&lt;EDATE(Assumptions!$C$6,-12)+1,"prior_12m","last_12m")</f>
        <v/>
      </c>
      <c r="AG3580" s="21">
        <f>DATE(YEAR(G3580),MONTH(G3580),1)</f>
        <v/>
      </c>
    </row>
    <row r="3581">
      <c r="A3581" t="inlineStr">
        <is>
          <t>SPO-01908-1</t>
        </is>
      </c>
      <c r="B3581" t="inlineStr">
        <is>
          <t>SPO-01908</t>
        </is>
      </c>
      <c r="C3581" t="inlineStr">
        <is>
          <t>SUP-01</t>
        </is>
      </c>
      <c r="D3581" t="inlineStr">
        <is>
          <t>ELEC</t>
        </is>
      </c>
      <c r="E3581" t="inlineStr">
        <is>
          <t>ELEC-07</t>
        </is>
      </c>
      <c r="F3581" s="17" t="n">
        <v>46104</v>
      </c>
      <c r="G3581" s="17" t="n">
        <v>46122</v>
      </c>
      <c r="H3581" s="18" t="n">
        <v>258</v>
      </c>
      <c r="I3581" s="19" t="n">
        <v>10.33</v>
      </c>
      <c r="J3581" s="19" t="n">
        <v>9.800000000000001</v>
      </c>
      <c r="K3581" s="20" t="n">
        <v>0</v>
      </c>
      <c r="L3581" s="20" t="n">
        <v>0</v>
      </c>
      <c r="M3581" s="18" t="n">
        <v>258</v>
      </c>
      <c r="N3581" s="18" t="n">
        <v>258</v>
      </c>
      <c r="O3581" s="18" t="n">
        <v>0</v>
      </c>
      <c r="P3581" s="17" t="n">
        <v>46116</v>
      </c>
      <c r="Q3581" s="17" t="n">
        <v>46116</v>
      </c>
      <c r="R3581" s="17" t="n">
        <v>46116</v>
      </c>
      <c r="S3581" s="19">
        <f>H3581*I3581</f>
        <v/>
      </c>
      <c r="T3581" s="19">
        <f>H3581*J3581</f>
        <v/>
      </c>
      <c r="U3581">
        <f>IF(AND(K3581=0,G3581&lt;=Assumptions!$C$6),1,0)</f>
        <v/>
      </c>
      <c r="V3581">
        <f>IF(U3581=1,IF(M3581&gt;0,IF(P3581&lt;=G3581+Assumptions!$C$7,1,0),0),0)</f>
        <v/>
      </c>
      <c r="W3581">
        <f>IF(AND(U3581=1,M3581&gt;=H3581*(1-Assumptions!$C$8)),1,0)</f>
        <v/>
      </c>
      <c r="X3581">
        <f>IF(AND(U3581=1,N3581&gt;=H3581*(1-Assumptions!$C$8)),1,0)</f>
        <v/>
      </c>
      <c r="Y3581">
        <f>IF(ISNUMBER(Q3581),1,0)</f>
        <v/>
      </c>
      <c r="Z3581">
        <f>IF(AND(K3581=0,L3581=0,Y3581=0),1,0)</f>
        <v/>
      </c>
      <c r="AA3581">
        <f>IF(AND(Z3581=1,G3581&lt;Assumptions!$C$6),1,0)</f>
        <v/>
      </c>
      <c r="AB3581">
        <f>IF(U3581=0,"",IF(Y3581=1,MAX(0,Q3581-G3581),IF(L3581=1,MAX(0,R3581-G3581),MAX(0,Assumptions!$C$6-G3581))))</f>
        <v/>
      </c>
      <c r="AC3581">
        <f>IF(Y3581=1,Q3581-F3581,"")</f>
        <v/>
      </c>
      <c r="AD3581">
        <f>IF(Y3581=1,AC3581^2,"")</f>
        <v/>
      </c>
      <c r="AE3581" s="19">
        <f>IF(Z3581=1,(H3581-M3581)*I3581,0)</f>
        <v/>
      </c>
      <c r="AF3581">
        <f>IF(G3581&lt;EDATE(Assumptions!$C$6,-12)+1,"prior_12m","last_12m")</f>
        <v/>
      </c>
      <c r="AG3581" s="21">
        <f>DATE(YEAR(G3581),MONTH(G3581),1)</f>
        <v/>
      </c>
    </row>
    <row r="3582">
      <c r="A3582" t="inlineStr">
        <is>
          <t>SPO-01909-1</t>
        </is>
      </c>
      <c r="B3582" t="inlineStr">
        <is>
          <t>SPO-01909</t>
        </is>
      </c>
      <c r="C3582" t="inlineStr">
        <is>
          <t>SUP-01</t>
        </is>
      </c>
      <c r="D3582" t="inlineStr">
        <is>
          <t>ELEC</t>
        </is>
      </c>
      <c r="E3582" t="inlineStr">
        <is>
          <t>ELEC-02</t>
        </is>
      </c>
      <c r="F3582" s="17" t="n">
        <v>46104</v>
      </c>
      <c r="G3582" s="17" t="n">
        <v>46122</v>
      </c>
      <c r="H3582" s="18" t="n">
        <v>876</v>
      </c>
      <c r="I3582" s="19" t="n">
        <v>4.21</v>
      </c>
      <c r="J3582" s="19" t="n">
        <v>4.2</v>
      </c>
      <c r="K3582" s="20" t="n">
        <v>0</v>
      </c>
      <c r="L3582" s="20" t="n">
        <v>0</v>
      </c>
      <c r="M3582" s="18" t="n">
        <v>876</v>
      </c>
      <c r="N3582" s="18" t="n">
        <v>876</v>
      </c>
      <c r="O3582" s="18" t="n">
        <v>0</v>
      </c>
      <c r="P3582" s="17" t="n">
        <v>46118</v>
      </c>
      <c r="Q3582" s="17" t="n">
        <v>46118</v>
      </c>
      <c r="R3582" s="17" t="n">
        <v>46118</v>
      </c>
      <c r="S3582" s="19">
        <f>H3582*I3582</f>
        <v/>
      </c>
      <c r="T3582" s="19">
        <f>H3582*J3582</f>
        <v/>
      </c>
      <c r="U3582">
        <f>IF(AND(K3582=0,G3582&lt;=Assumptions!$C$6),1,0)</f>
        <v/>
      </c>
      <c r="V3582">
        <f>IF(U3582=1,IF(M3582&gt;0,IF(P3582&lt;=G3582+Assumptions!$C$7,1,0),0),0)</f>
        <v/>
      </c>
      <c r="W3582">
        <f>IF(AND(U3582=1,M3582&gt;=H3582*(1-Assumptions!$C$8)),1,0)</f>
        <v/>
      </c>
      <c r="X3582">
        <f>IF(AND(U3582=1,N3582&gt;=H3582*(1-Assumptions!$C$8)),1,0)</f>
        <v/>
      </c>
      <c r="Y3582">
        <f>IF(ISNUMBER(Q3582),1,0)</f>
        <v/>
      </c>
      <c r="Z3582">
        <f>IF(AND(K3582=0,L3582=0,Y3582=0),1,0)</f>
        <v/>
      </c>
      <c r="AA3582">
        <f>IF(AND(Z3582=1,G3582&lt;Assumptions!$C$6),1,0)</f>
        <v/>
      </c>
      <c r="AB3582">
        <f>IF(U3582=0,"",IF(Y3582=1,MAX(0,Q3582-G3582),IF(L3582=1,MAX(0,R3582-G3582),MAX(0,Assumptions!$C$6-G3582))))</f>
        <v/>
      </c>
      <c r="AC3582">
        <f>IF(Y3582=1,Q3582-F3582,"")</f>
        <v/>
      </c>
      <c r="AD3582">
        <f>IF(Y3582=1,AC3582^2,"")</f>
        <v/>
      </c>
      <c r="AE3582" s="19">
        <f>IF(Z3582=1,(H3582-M3582)*I3582,0)</f>
        <v/>
      </c>
      <c r="AF3582">
        <f>IF(G3582&lt;EDATE(Assumptions!$C$6,-12)+1,"prior_12m","last_12m")</f>
        <v/>
      </c>
      <c r="AG3582" s="21">
        <f>DATE(YEAR(G3582),MONTH(G3582),1)</f>
        <v/>
      </c>
    </row>
    <row r="3583">
      <c r="A3583" t="inlineStr">
        <is>
          <t>SPO-01910-1</t>
        </is>
      </c>
      <c r="B3583" t="inlineStr">
        <is>
          <t>SPO-01910</t>
        </is>
      </c>
      <c r="C3583" t="inlineStr">
        <is>
          <t>SUP-09</t>
        </is>
      </c>
      <c r="D3583" t="inlineStr">
        <is>
          <t>CHEM</t>
        </is>
      </c>
      <c r="E3583" t="inlineStr">
        <is>
          <t>CHEM-06</t>
        </is>
      </c>
      <c r="F3583" s="17" t="n">
        <v>46104</v>
      </c>
      <c r="G3583" s="17" t="n">
        <v>46118</v>
      </c>
      <c r="H3583" s="18" t="n">
        <v>4</v>
      </c>
      <c r="I3583" s="19" t="n">
        <v>385.77</v>
      </c>
      <c r="J3583" s="19" t="n">
        <v>380</v>
      </c>
      <c r="K3583" s="20" t="n">
        <v>0</v>
      </c>
      <c r="L3583" s="20" t="n">
        <v>0</v>
      </c>
      <c r="M3583" s="18" t="n">
        <v>4</v>
      </c>
      <c r="N3583" s="18" t="n">
        <v>4</v>
      </c>
      <c r="O3583" s="18" t="n">
        <v>0</v>
      </c>
      <c r="P3583" s="17" t="n">
        <v>46117</v>
      </c>
      <c r="Q3583" s="17" t="n">
        <v>46117</v>
      </c>
      <c r="R3583" s="17" t="n">
        <v>46117</v>
      </c>
      <c r="S3583" s="19">
        <f>H3583*I3583</f>
        <v/>
      </c>
      <c r="T3583" s="19">
        <f>H3583*J3583</f>
        <v/>
      </c>
      <c r="U3583">
        <f>IF(AND(K3583=0,G3583&lt;=Assumptions!$C$6),1,0)</f>
        <v/>
      </c>
      <c r="V3583">
        <f>IF(U3583=1,IF(M3583&gt;0,IF(P3583&lt;=G3583+Assumptions!$C$7,1,0),0),0)</f>
        <v/>
      </c>
      <c r="W3583">
        <f>IF(AND(U3583=1,M3583&gt;=H3583*(1-Assumptions!$C$8)),1,0)</f>
        <v/>
      </c>
      <c r="X3583">
        <f>IF(AND(U3583=1,N3583&gt;=H3583*(1-Assumptions!$C$8)),1,0)</f>
        <v/>
      </c>
      <c r="Y3583">
        <f>IF(ISNUMBER(Q3583),1,0)</f>
        <v/>
      </c>
      <c r="Z3583">
        <f>IF(AND(K3583=0,L3583=0,Y3583=0),1,0)</f>
        <v/>
      </c>
      <c r="AA3583">
        <f>IF(AND(Z3583=1,G3583&lt;Assumptions!$C$6),1,0)</f>
        <v/>
      </c>
      <c r="AB3583">
        <f>IF(U3583=0,"",IF(Y3583=1,MAX(0,Q3583-G3583),IF(L3583=1,MAX(0,R3583-G3583),MAX(0,Assumptions!$C$6-G3583))))</f>
        <v/>
      </c>
      <c r="AC3583">
        <f>IF(Y3583=1,Q3583-F3583,"")</f>
        <v/>
      </c>
      <c r="AD3583">
        <f>IF(Y3583=1,AC3583^2,"")</f>
        <v/>
      </c>
      <c r="AE3583" s="19">
        <f>IF(Z3583=1,(H3583-M3583)*I3583,0)</f>
        <v/>
      </c>
      <c r="AF3583">
        <f>IF(G3583&lt;EDATE(Assumptions!$C$6,-12)+1,"prior_12m","last_12m")</f>
        <v/>
      </c>
      <c r="AG3583" s="21">
        <f>DATE(YEAR(G3583),MONTH(G3583),1)</f>
        <v/>
      </c>
    </row>
    <row r="3584">
      <c r="A3584" t="inlineStr">
        <is>
          <t>SPO-01910-2</t>
        </is>
      </c>
      <c r="B3584" t="inlineStr">
        <is>
          <t>SPO-01910</t>
        </is>
      </c>
      <c r="C3584" t="inlineStr">
        <is>
          <t>SUP-09</t>
        </is>
      </c>
      <c r="D3584" t="inlineStr">
        <is>
          <t>CHEM</t>
        </is>
      </c>
      <c r="E3584" t="inlineStr">
        <is>
          <t>CHEM-03</t>
        </is>
      </c>
      <c r="F3584" s="17" t="n">
        <v>46104</v>
      </c>
      <c r="G3584" s="17" t="n">
        <v>46118</v>
      </c>
      <c r="H3584" s="18" t="n">
        <v>5</v>
      </c>
      <c r="I3584" s="19" t="n">
        <v>280.22</v>
      </c>
      <c r="J3584" s="19" t="n">
        <v>265</v>
      </c>
      <c r="K3584" s="20" t="n">
        <v>0</v>
      </c>
      <c r="L3584" s="20" t="n">
        <v>0</v>
      </c>
      <c r="M3584" s="18" t="n">
        <v>5</v>
      </c>
      <c r="N3584" s="18" t="n">
        <v>5</v>
      </c>
      <c r="O3584" s="18" t="n">
        <v>0</v>
      </c>
      <c r="P3584" s="17" t="n">
        <v>46114</v>
      </c>
      <c r="Q3584" s="17" t="n">
        <v>46114</v>
      </c>
      <c r="R3584" s="17" t="n">
        <v>46114</v>
      </c>
      <c r="S3584" s="19">
        <f>H3584*I3584</f>
        <v/>
      </c>
      <c r="T3584" s="19">
        <f>H3584*J3584</f>
        <v/>
      </c>
      <c r="U3584">
        <f>IF(AND(K3584=0,G3584&lt;=Assumptions!$C$6),1,0)</f>
        <v/>
      </c>
      <c r="V3584">
        <f>IF(U3584=1,IF(M3584&gt;0,IF(P3584&lt;=G3584+Assumptions!$C$7,1,0),0),0)</f>
        <v/>
      </c>
      <c r="W3584">
        <f>IF(AND(U3584=1,M3584&gt;=H3584*(1-Assumptions!$C$8)),1,0)</f>
        <v/>
      </c>
      <c r="X3584">
        <f>IF(AND(U3584=1,N3584&gt;=H3584*(1-Assumptions!$C$8)),1,0)</f>
        <v/>
      </c>
      <c r="Y3584">
        <f>IF(ISNUMBER(Q3584),1,0)</f>
        <v/>
      </c>
      <c r="Z3584">
        <f>IF(AND(K3584=0,L3584=0,Y3584=0),1,0)</f>
        <v/>
      </c>
      <c r="AA3584">
        <f>IF(AND(Z3584=1,G3584&lt;Assumptions!$C$6),1,0)</f>
        <v/>
      </c>
      <c r="AB3584">
        <f>IF(U3584=0,"",IF(Y3584=1,MAX(0,Q3584-G3584),IF(L3584=1,MAX(0,R3584-G3584),MAX(0,Assumptions!$C$6-G3584))))</f>
        <v/>
      </c>
      <c r="AC3584">
        <f>IF(Y3584=1,Q3584-F3584,"")</f>
        <v/>
      </c>
      <c r="AD3584">
        <f>IF(Y3584=1,AC3584^2,"")</f>
        <v/>
      </c>
      <c r="AE3584" s="19">
        <f>IF(Z3584=1,(H3584-M3584)*I3584,0)</f>
        <v/>
      </c>
      <c r="AF3584">
        <f>IF(G3584&lt;EDATE(Assumptions!$C$6,-12)+1,"prior_12m","last_12m")</f>
        <v/>
      </c>
      <c r="AG3584" s="21">
        <f>DATE(YEAR(G3584),MONTH(G3584),1)</f>
        <v/>
      </c>
    </row>
    <row r="3585">
      <c r="A3585" t="inlineStr">
        <is>
          <t>SPO-01911-1</t>
        </is>
      </c>
      <c r="B3585" t="inlineStr">
        <is>
          <t>SPO-01911</t>
        </is>
      </c>
      <c r="C3585" t="inlineStr">
        <is>
          <t>SUP-04</t>
        </is>
      </c>
      <c r="D3585" t="inlineStr">
        <is>
          <t>FLEET</t>
        </is>
      </c>
      <c r="E3585" t="inlineStr">
        <is>
          <t>FLEET-03</t>
        </is>
      </c>
      <c r="F3585" s="17" t="n">
        <v>46104</v>
      </c>
      <c r="G3585" s="17" t="n">
        <v>46117</v>
      </c>
      <c r="H3585" s="18" t="n">
        <v>36</v>
      </c>
      <c r="I3585" s="19" t="n">
        <v>20.84</v>
      </c>
      <c r="J3585" s="19" t="n">
        <v>21</v>
      </c>
      <c r="K3585" s="20" t="n">
        <v>0</v>
      </c>
      <c r="L3585" s="20" t="n">
        <v>0</v>
      </c>
      <c r="M3585" s="18" t="n">
        <v>36</v>
      </c>
      <c r="N3585" s="18" t="n">
        <v>0</v>
      </c>
      <c r="O3585" s="18" t="n">
        <v>0</v>
      </c>
      <c r="P3585" s="17" t="n">
        <v>46118</v>
      </c>
      <c r="Q3585" s="17" t="n">
        <v>46118</v>
      </c>
      <c r="R3585" s="17" t="n">
        <v>46118</v>
      </c>
      <c r="S3585" s="19">
        <f>H3585*I3585</f>
        <v/>
      </c>
      <c r="T3585" s="19">
        <f>H3585*J3585</f>
        <v/>
      </c>
      <c r="U3585">
        <f>IF(AND(K3585=0,G3585&lt;=Assumptions!$C$6),1,0)</f>
        <v/>
      </c>
      <c r="V3585">
        <f>IF(U3585=1,IF(M3585&gt;0,IF(P3585&lt;=G3585+Assumptions!$C$7,1,0),0),0)</f>
        <v/>
      </c>
      <c r="W3585">
        <f>IF(AND(U3585=1,M3585&gt;=H3585*(1-Assumptions!$C$8)),1,0)</f>
        <v/>
      </c>
      <c r="X3585">
        <f>IF(AND(U3585=1,N3585&gt;=H3585*(1-Assumptions!$C$8)),1,0)</f>
        <v/>
      </c>
      <c r="Y3585">
        <f>IF(ISNUMBER(Q3585),1,0)</f>
        <v/>
      </c>
      <c r="Z3585">
        <f>IF(AND(K3585=0,L3585=0,Y3585=0),1,0)</f>
        <v/>
      </c>
      <c r="AA3585">
        <f>IF(AND(Z3585=1,G3585&lt;Assumptions!$C$6),1,0)</f>
        <v/>
      </c>
      <c r="AB3585">
        <f>IF(U3585=0,"",IF(Y3585=1,MAX(0,Q3585-G3585),IF(L3585=1,MAX(0,R3585-G3585),MAX(0,Assumptions!$C$6-G3585))))</f>
        <v/>
      </c>
      <c r="AC3585">
        <f>IF(Y3585=1,Q3585-F3585,"")</f>
        <v/>
      </c>
      <c r="AD3585">
        <f>IF(Y3585=1,AC3585^2,"")</f>
        <v/>
      </c>
      <c r="AE3585" s="19">
        <f>IF(Z3585=1,(H3585-M3585)*I3585,0)</f>
        <v/>
      </c>
      <c r="AF3585">
        <f>IF(G3585&lt;EDATE(Assumptions!$C$6,-12)+1,"prior_12m","last_12m")</f>
        <v/>
      </c>
      <c r="AG3585" s="21">
        <f>DATE(YEAR(G3585),MONTH(G3585),1)</f>
        <v/>
      </c>
    </row>
    <row r="3586">
      <c r="A3586" t="inlineStr">
        <is>
          <t>SPO-01912-1</t>
        </is>
      </c>
      <c r="B3586" t="inlineStr">
        <is>
          <t>SPO-01912</t>
        </is>
      </c>
      <c r="C3586" t="inlineStr">
        <is>
          <t>SUP-06</t>
        </is>
      </c>
      <c r="D3586" t="inlineStr">
        <is>
          <t>MRO</t>
        </is>
      </c>
      <c r="E3586" t="inlineStr">
        <is>
          <t>MRO-06</t>
        </is>
      </c>
      <c r="F3586" s="17" t="n">
        <v>46106</v>
      </c>
      <c r="G3586" s="17" t="n">
        <v>46114</v>
      </c>
      <c r="H3586" s="18" t="n">
        <v>200</v>
      </c>
      <c r="I3586" s="19" t="n">
        <v>6.09</v>
      </c>
      <c r="J3586" s="19" t="n">
        <v>6.1</v>
      </c>
      <c r="K3586" s="20" t="n">
        <v>0</v>
      </c>
      <c r="L3586" s="20" t="n">
        <v>0</v>
      </c>
      <c r="M3586" s="18" t="n">
        <v>200</v>
      </c>
      <c r="N3586" s="18" t="n">
        <v>0</v>
      </c>
      <c r="O3586" s="18" t="n">
        <v>0</v>
      </c>
      <c r="P3586" s="17" t="n">
        <v>46115</v>
      </c>
      <c r="Q3586" s="17" t="n">
        <v>46115</v>
      </c>
      <c r="R3586" s="17" t="n">
        <v>46115</v>
      </c>
      <c r="S3586" s="19">
        <f>H3586*I3586</f>
        <v/>
      </c>
      <c r="T3586" s="19">
        <f>H3586*J3586</f>
        <v/>
      </c>
      <c r="U3586">
        <f>IF(AND(K3586=0,G3586&lt;=Assumptions!$C$6),1,0)</f>
        <v/>
      </c>
      <c r="V3586">
        <f>IF(U3586=1,IF(M3586&gt;0,IF(P3586&lt;=G3586+Assumptions!$C$7,1,0),0),0)</f>
        <v/>
      </c>
      <c r="W3586">
        <f>IF(AND(U3586=1,M3586&gt;=H3586*(1-Assumptions!$C$8)),1,0)</f>
        <v/>
      </c>
      <c r="X3586">
        <f>IF(AND(U3586=1,N3586&gt;=H3586*(1-Assumptions!$C$8)),1,0)</f>
        <v/>
      </c>
      <c r="Y3586">
        <f>IF(ISNUMBER(Q3586),1,0)</f>
        <v/>
      </c>
      <c r="Z3586">
        <f>IF(AND(K3586=0,L3586=0,Y3586=0),1,0)</f>
        <v/>
      </c>
      <c r="AA3586">
        <f>IF(AND(Z3586=1,G3586&lt;Assumptions!$C$6),1,0)</f>
        <v/>
      </c>
      <c r="AB3586">
        <f>IF(U3586=0,"",IF(Y3586=1,MAX(0,Q3586-G3586),IF(L3586=1,MAX(0,R3586-G3586),MAX(0,Assumptions!$C$6-G3586))))</f>
        <v/>
      </c>
      <c r="AC3586">
        <f>IF(Y3586=1,Q3586-F3586,"")</f>
        <v/>
      </c>
      <c r="AD3586">
        <f>IF(Y3586=1,AC3586^2,"")</f>
        <v/>
      </c>
      <c r="AE3586" s="19">
        <f>IF(Z3586=1,(H3586-M3586)*I3586,0)</f>
        <v/>
      </c>
      <c r="AF3586">
        <f>IF(G3586&lt;EDATE(Assumptions!$C$6,-12)+1,"prior_12m","last_12m")</f>
        <v/>
      </c>
      <c r="AG3586" s="21">
        <f>DATE(YEAR(G3586),MONTH(G3586),1)</f>
        <v/>
      </c>
    </row>
    <row r="3587">
      <c r="A3587" t="inlineStr">
        <is>
          <t>SPO-01913-1</t>
        </is>
      </c>
      <c r="B3587" t="inlineStr">
        <is>
          <t>SPO-01913</t>
        </is>
      </c>
      <c r="C3587" t="inlineStr">
        <is>
          <t>SUP-01</t>
        </is>
      </c>
      <c r="D3587" t="inlineStr">
        <is>
          <t>ELEC</t>
        </is>
      </c>
      <c r="E3587" t="inlineStr">
        <is>
          <t>ELEC-02</t>
        </is>
      </c>
      <c r="F3587" s="17" t="n">
        <v>46106</v>
      </c>
      <c r="G3587" s="17" t="n">
        <v>46124</v>
      </c>
      <c r="H3587" s="18" t="n">
        <v>459</v>
      </c>
      <c r="I3587" s="19" t="n">
        <v>4.1</v>
      </c>
      <c r="J3587" s="19" t="n">
        <v>4.2</v>
      </c>
      <c r="K3587" s="20" t="n">
        <v>0</v>
      </c>
      <c r="L3587" s="20" t="n">
        <v>0</v>
      </c>
      <c r="M3587" s="18" t="n">
        <v>459</v>
      </c>
      <c r="N3587" s="18" t="n">
        <v>0</v>
      </c>
      <c r="O3587" s="18" t="n">
        <v>0</v>
      </c>
      <c r="P3587" s="17" t="n">
        <v>46127</v>
      </c>
      <c r="Q3587" s="17" t="n">
        <v>46127</v>
      </c>
      <c r="R3587" s="17" t="n">
        <v>46127</v>
      </c>
      <c r="S3587" s="19">
        <f>H3587*I3587</f>
        <v/>
      </c>
      <c r="T3587" s="19">
        <f>H3587*J3587</f>
        <v/>
      </c>
      <c r="U3587">
        <f>IF(AND(K3587=0,G3587&lt;=Assumptions!$C$6),1,0)</f>
        <v/>
      </c>
      <c r="V3587">
        <f>IF(U3587=1,IF(M3587&gt;0,IF(P3587&lt;=G3587+Assumptions!$C$7,1,0),0),0)</f>
        <v/>
      </c>
      <c r="W3587">
        <f>IF(AND(U3587=1,M3587&gt;=H3587*(1-Assumptions!$C$8)),1,0)</f>
        <v/>
      </c>
      <c r="X3587">
        <f>IF(AND(U3587=1,N3587&gt;=H3587*(1-Assumptions!$C$8)),1,0)</f>
        <v/>
      </c>
      <c r="Y3587">
        <f>IF(ISNUMBER(Q3587),1,0)</f>
        <v/>
      </c>
      <c r="Z3587">
        <f>IF(AND(K3587=0,L3587=0,Y3587=0),1,0)</f>
        <v/>
      </c>
      <c r="AA3587">
        <f>IF(AND(Z3587=1,G3587&lt;Assumptions!$C$6),1,0)</f>
        <v/>
      </c>
      <c r="AB3587">
        <f>IF(U3587=0,"",IF(Y3587=1,MAX(0,Q3587-G3587),IF(L3587=1,MAX(0,R3587-G3587),MAX(0,Assumptions!$C$6-G3587))))</f>
        <v/>
      </c>
      <c r="AC3587">
        <f>IF(Y3587=1,Q3587-F3587,"")</f>
        <v/>
      </c>
      <c r="AD3587">
        <f>IF(Y3587=1,AC3587^2,"")</f>
        <v/>
      </c>
      <c r="AE3587" s="19">
        <f>IF(Z3587=1,(H3587-M3587)*I3587,0)</f>
        <v/>
      </c>
      <c r="AF3587">
        <f>IF(G3587&lt;EDATE(Assumptions!$C$6,-12)+1,"prior_12m","last_12m")</f>
        <v/>
      </c>
      <c r="AG3587" s="21">
        <f>DATE(YEAR(G3587),MONTH(G3587),1)</f>
        <v/>
      </c>
    </row>
    <row r="3588">
      <c r="A3588" t="inlineStr">
        <is>
          <t>SPO-01914-1</t>
        </is>
      </c>
      <c r="B3588" t="inlineStr">
        <is>
          <t>SPO-01914</t>
        </is>
      </c>
      <c r="C3588" t="inlineStr">
        <is>
          <t>SUP-04</t>
        </is>
      </c>
      <c r="D3588" t="inlineStr">
        <is>
          <t>FLEET</t>
        </is>
      </c>
      <c r="E3588" t="inlineStr">
        <is>
          <t>FLEET-02</t>
        </is>
      </c>
      <c r="F3588" s="17" t="n">
        <v>46107</v>
      </c>
      <c r="G3588" s="17" t="n">
        <v>46120</v>
      </c>
      <c r="H3588" s="18" t="n">
        <v>194</v>
      </c>
      <c r="I3588" s="19" t="n">
        <v>7.45</v>
      </c>
      <c r="J3588" s="19" t="n">
        <v>7.5</v>
      </c>
      <c r="K3588" s="20" t="n">
        <v>0</v>
      </c>
      <c r="L3588" s="20" t="n">
        <v>0</v>
      </c>
      <c r="M3588" s="18" t="n">
        <v>194</v>
      </c>
      <c r="N3588" s="18" t="n">
        <v>0</v>
      </c>
      <c r="O3588" s="18" t="n">
        <v>0</v>
      </c>
      <c r="P3588" s="17" t="n">
        <v>46223</v>
      </c>
      <c r="Q3588" s="17" t="n">
        <v>46223</v>
      </c>
      <c r="R3588" s="17" t="n">
        <v>46223</v>
      </c>
      <c r="S3588" s="19">
        <f>H3588*I3588</f>
        <v/>
      </c>
      <c r="T3588" s="19">
        <f>H3588*J3588</f>
        <v/>
      </c>
      <c r="U3588">
        <f>IF(AND(K3588=0,G3588&lt;=Assumptions!$C$6),1,0)</f>
        <v/>
      </c>
      <c r="V3588">
        <f>IF(U3588=1,IF(M3588&gt;0,IF(P3588&lt;=G3588+Assumptions!$C$7,1,0),0),0)</f>
        <v/>
      </c>
      <c r="W3588">
        <f>IF(AND(U3588=1,M3588&gt;=H3588*(1-Assumptions!$C$8)),1,0)</f>
        <v/>
      </c>
      <c r="X3588">
        <f>IF(AND(U3588=1,N3588&gt;=H3588*(1-Assumptions!$C$8)),1,0)</f>
        <v/>
      </c>
      <c r="Y3588">
        <f>IF(ISNUMBER(Q3588),1,0)</f>
        <v/>
      </c>
      <c r="Z3588">
        <f>IF(AND(K3588=0,L3588=0,Y3588=0),1,0)</f>
        <v/>
      </c>
      <c r="AA3588">
        <f>IF(AND(Z3588=1,G3588&lt;Assumptions!$C$6),1,0)</f>
        <v/>
      </c>
      <c r="AB3588">
        <f>IF(U3588=0,"",IF(Y3588=1,MAX(0,Q3588-G3588),IF(L3588=1,MAX(0,R3588-G3588),MAX(0,Assumptions!$C$6-G3588))))</f>
        <v/>
      </c>
      <c r="AC3588">
        <f>IF(Y3588=1,Q3588-F3588,"")</f>
        <v/>
      </c>
      <c r="AD3588">
        <f>IF(Y3588=1,AC3588^2,"")</f>
        <v/>
      </c>
      <c r="AE3588" s="19">
        <f>IF(Z3588=1,(H3588-M3588)*I3588,0)</f>
        <v/>
      </c>
      <c r="AF3588">
        <f>IF(G3588&lt;EDATE(Assumptions!$C$6,-12)+1,"prior_12m","last_12m")</f>
        <v/>
      </c>
      <c r="AG3588" s="21">
        <f>DATE(YEAR(G3588),MONTH(G3588),1)</f>
        <v/>
      </c>
    </row>
    <row r="3589">
      <c r="A3589" t="inlineStr">
        <is>
          <t>SPO-01914-2</t>
        </is>
      </c>
      <c r="B3589" t="inlineStr">
        <is>
          <t>SPO-01914</t>
        </is>
      </c>
      <c r="C3589" t="inlineStr">
        <is>
          <t>SUP-04</t>
        </is>
      </c>
      <c r="D3589" t="inlineStr">
        <is>
          <t>FLEET</t>
        </is>
      </c>
      <c r="E3589" t="inlineStr">
        <is>
          <t>FLEET-06</t>
        </is>
      </c>
      <c r="F3589" s="17" t="n">
        <v>46107</v>
      </c>
      <c r="G3589" s="17" t="n">
        <v>46120</v>
      </c>
      <c r="H3589" s="18" t="n">
        <v>32</v>
      </c>
      <c r="I3589" s="19" t="n">
        <v>33.19</v>
      </c>
      <c r="J3589" s="19" t="n">
        <v>33</v>
      </c>
      <c r="K3589" s="20" t="n">
        <v>0</v>
      </c>
      <c r="L3589" s="20" t="n">
        <v>0</v>
      </c>
      <c r="M3589" s="18" t="n">
        <v>32</v>
      </c>
      <c r="N3589" s="18" t="n">
        <v>32</v>
      </c>
      <c r="O3589" s="18" t="n">
        <v>0</v>
      </c>
      <c r="P3589" s="17" t="n">
        <v>46114</v>
      </c>
      <c r="Q3589" s="17" t="n">
        <v>46114</v>
      </c>
      <c r="R3589" s="17" t="n">
        <v>46114</v>
      </c>
      <c r="S3589" s="19">
        <f>H3589*I3589</f>
        <v/>
      </c>
      <c r="T3589" s="19">
        <f>H3589*J3589</f>
        <v/>
      </c>
      <c r="U3589">
        <f>IF(AND(K3589=0,G3589&lt;=Assumptions!$C$6),1,0)</f>
        <v/>
      </c>
      <c r="V3589">
        <f>IF(U3589=1,IF(M3589&gt;0,IF(P3589&lt;=G3589+Assumptions!$C$7,1,0),0),0)</f>
        <v/>
      </c>
      <c r="W3589">
        <f>IF(AND(U3589=1,M3589&gt;=H3589*(1-Assumptions!$C$8)),1,0)</f>
        <v/>
      </c>
      <c r="X3589">
        <f>IF(AND(U3589=1,N3589&gt;=H3589*(1-Assumptions!$C$8)),1,0)</f>
        <v/>
      </c>
      <c r="Y3589">
        <f>IF(ISNUMBER(Q3589),1,0)</f>
        <v/>
      </c>
      <c r="Z3589">
        <f>IF(AND(K3589=0,L3589=0,Y3589=0),1,0)</f>
        <v/>
      </c>
      <c r="AA3589">
        <f>IF(AND(Z3589=1,G3589&lt;Assumptions!$C$6),1,0)</f>
        <v/>
      </c>
      <c r="AB3589">
        <f>IF(U3589=0,"",IF(Y3589=1,MAX(0,Q3589-G3589),IF(L3589=1,MAX(0,R3589-G3589),MAX(0,Assumptions!$C$6-G3589))))</f>
        <v/>
      </c>
      <c r="AC3589">
        <f>IF(Y3589=1,Q3589-F3589,"")</f>
        <v/>
      </c>
      <c r="AD3589">
        <f>IF(Y3589=1,AC3589^2,"")</f>
        <v/>
      </c>
      <c r="AE3589" s="19">
        <f>IF(Z3589=1,(H3589-M3589)*I3589,0)</f>
        <v/>
      </c>
      <c r="AF3589">
        <f>IF(G3589&lt;EDATE(Assumptions!$C$6,-12)+1,"prior_12m","last_12m")</f>
        <v/>
      </c>
      <c r="AG3589" s="21">
        <f>DATE(YEAR(G3589),MONTH(G3589),1)</f>
        <v/>
      </c>
    </row>
    <row r="3590">
      <c r="A3590" t="inlineStr">
        <is>
          <t>SPO-01914-3</t>
        </is>
      </c>
      <c r="B3590" t="inlineStr">
        <is>
          <t>SPO-01914</t>
        </is>
      </c>
      <c r="C3590" t="inlineStr">
        <is>
          <t>SUP-04</t>
        </is>
      </c>
      <c r="D3590" t="inlineStr">
        <is>
          <t>FLEET</t>
        </is>
      </c>
      <c r="E3590" t="inlineStr">
        <is>
          <t>FLEET-07</t>
        </is>
      </c>
      <c r="F3590" s="17" t="n">
        <v>46107</v>
      </c>
      <c r="G3590" s="17" t="n">
        <v>46120</v>
      </c>
      <c r="H3590" s="18" t="n">
        <v>5</v>
      </c>
      <c r="I3590" s="19" t="n">
        <v>120.07</v>
      </c>
      <c r="J3590" s="19" t="n">
        <v>118</v>
      </c>
      <c r="K3590" s="20" t="n">
        <v>0</v>
      </c>
      <c r="L3590" s="20" t="n">
        <v>0</v>
      </c>
      <c r="M3590" s="18" t="n">
        <v>5</v>
      </c>
      <c r="N3590" s="18" t="n">
        <v>0</v>
      </c>
      <c r="O3590" s="18" t="n">
        <v>0</v>
      </c>
      <c r="P3590" s="17" t="n">
        <v>46226</v>
      </c>
      <c r="Q3590" s="17" t="n">
        <v>46226</v>
      </c>
      <c r="R3590" s="17" t="n">
        <v>46226</v>
      </c>
      <c r="S3590" s="19">
        <f>H3590*I3590</f>
        <v/>
      </c>
      <c r="T3590" s="19">
        <f>H3590*J3590</f>
        <v/>
      </c>
      <c r="U3590">
        <f>IF(AND(K3590=0,G3590&lt;=Assumptions!$C$6),1,0)</f>
        <v/>
      </c>
      <c r="V3590">
        <f>IF(U3590=1,IF(M3590&gt;0,IF(P3590&lt;=G3590+Assumptions!$C$7,1,0),0),0)</f>
        <v/>
      </c>
      <c r="W3590">
        <f>IF(AND(U3590=1,M3590&gt;=H3590*(1-Assumptions!$C$8)),1,0)</f>
        <v/>
      </c>
      <c r="X3590">
        <f>IF(AND(U3590=1,N3590&gt;=H3590*(1-Assumptions!$C$8)),1,0)</f>
        <v/>
      </c>
      <c r="Y3590">
        <f>IF(ISNUMBER(Q3590),1,0)</f>
        <v/>
      </c>
      <c r="Z3590">
        <f>IF(AND(K3590=0,L3590=0,Y3590=0),1,0)</f>
        <v/>
      </c>
      <c r="AA3590">
        <f>IF(AND(Z3590=1,G3590&lt;Assumptions!$C$6),1,0)</f>
        <v/>
      </c>
      <c r="AB3590">
        <f>IF(U3590=0,"",IF(Y3590=1,MAX(0,Q3590-G3590),IF(L3590=1,MAX(0,R3590-G3590),MAX(0,Assumptions!$C$6-G3590))))</f>
        <v/>
      </c>
      <c r="AC3590">
        <f>IF(Y3590=1,Q3590-F3590,"")</f>
        <v/>
      </c>
      <c r="AD3590">
        <f>IF(Y3590=1,AC3590^2,"")</f>
        <v/>
      </c>
      <c r="AE3590" s="19">
        <f>IF(Z3590=1,(H3590-M3590)*I3590,0)</f>
        <v/>
      </c>
      <c r="AF3590">
        <f>IF(G3590&lt;EDATE(Assumptions!$C$6,-12)+1,"prior_12m","last_12m")</f>
        <v/>
      </c>
      <c r="AG3590" s="21">
        <f>DATE(YEAR(G3590),MONTH(G3590),1)</f>
        <v/>
      </c>
    </row>
    <row r="3591">
      <c r="A3591" t="inlineStr">
        <is>
          <t>SPO-01915-1</t>
        </is>
      </c>
      <c r="B3591" t="inlineStr">
        <is>
          <t>SPO-01915</t>
        </is>
      </c>
      <c r="C3591" t="inlineStr">
        <is>
          <t>SUP-07</t>
        </is>
      </c>
      <c r="D3591" t="inlineStr">
        <is>
          <t>MRO</t>
        </is>
      </c>
      <c r="E3591" t="inlineStr">
        <is>
          <t>MRO-08</t>
        </is>
      </c>
      <c r="F3591" s="17" t="n">
        <v>46107</v>
      </c>
      <c r="G3591" s="17" t="n">
        <v>46117</v>
      </c>
      <c r="H3591" s="18" t="n">
        <v>371</v>
      </c>
      <c r="I3591" s="19" t="n">
        <v>7.01</v>
      </c>
      <c r="J3591" s="19" t="n">
        <v>7.2</v>
      </c>
      <c r="K3591" s="20" t="n">
        <v>0</v>
      </c>
      <c r="L3591" s="20" t="n">
        <v>0</v>
      </c>
      <c r="M3591" s="18" t="n">
        <v>371</v>
      </c>
      <c r="N3591" s="18" t="n">
        <v>158</v>
      </c>
      <c r="O3591" s="18" t="n">
        <v>0</v>
      </c>
      <c r="P3591" s="17" t="n">
        <v>46113</v>
      </c>
      <c r="Q3591" s="17" t="n">
        <v>46128</v>
      </c>
      <c r="R3591" s="17" t="n">
        <v>46128</v>
      </c>
      <c r="S3591" s="19">
        <f>H3591*I3591</f>
        <v/>
      </c>
      <c r="T3591" s="19">
        <f>H3591*J3591</f>
        <v/>
      </c>
      <c r="U3591">
        <f>IF(AND(K3591=0,G3591&lt;=Assumptions!$C$6),1,0)</f>
        <v/>
      </c>
      <c r="V3591">
        <f>IF(U3591=1,IF(M3591&gt;0,IF(P3591&lt;=G3591+Assumptions!$C$7,1,0),0),0)</f>
        <v/>
      </c>
      <c r="W3591">
        <f>IF(AND(U3591=1,M3591&gt;=H3591*(1-Assumptions!$C$8)),1,0)</f>
        <v/>
      </c>
      <c r="X3591">
        <f>IF(AND(U3591=1,N3591&gt;=H3591*(1-Assumptions!$C$8)),1,0)</f>
        <v/>
      </c>
      <c r="Y3591">
        <f>IF(ISNUMBER(Q3591),1,0)</f>
        <v/>
      </c>
      <c r="Z3591">
        <f>IF(AND(K3591=0,L3591=0,Y3591=0),1,0)</f>
        <v/>
      </c>
      <c r="AA3591">
        <f>IF(AND(Z3591=1,G3591&lt;Assumptions!$C$6),1,0)</f>
        <v/>
      </c>
      <c r="AB3591">
        <f>IF(U3591=0,"",IF(Y3591=1,MAX(0,Q3591-G3591),IF(L3591=1,MAX(0,R3591-G3591),MAX(0,Assumptions!$C$6-G3591))))</f>
        <v/>
      </c>
      <c r="AC3591">
        <f>IF(Y3591=1,Q3591-F3591,"")</f>
        <v/>
      </c>
      <c r="AD3591">
        <f>IF(Y3591=1,AC3591^2,"")</f>
        <v/>
      </c>
      <c r="AE3591" s="19">
        <f>IF(Z3591=1,(H3591-M3591)*I3591,0)</f>
        <v/>
      </c>
      <c r="AF3591">
        <f>IF(G3591&lt;EDATE(Assumptions!$C$6,-12)+1,"prior_12m","last_12m")</f>
        <v/>
      </c>
      <c r="AG3591" s="21">
        <f>DATE(YEAR(G3591),MONTH(G3591),1)</f>
        <v/>
      </c>
    </row>
    <row r="3592">
      <c r="A3592" t="inlineStr">
        <is>
          <t>SPO-01916-1</t>
        </is>
      </c>
      <c r="B3592" t="inlineStr">
        <is>
          <t>SPO-01916</t>
        </is>
      </c>
      <c r="C3592" t="inlineStr">
        <is>
          <t>SUP-10</t>
        </is>
      </c>
      <c r="D3592" t="inlineStr">
        <is>
          <t>PPE</t>
        </is>
      </c>
      <c r="E3592" t="inlineStr">
        <is>
          <t>PPE-02</t>
        </is>
      </c>
      <c r="F3592" s="17" t="n">
        <v>46107</v>
      </c>
      <c r="G3592" s="17" t="n">
        <v>46120</v>
      </c>
      <c r="H3592" s="18" t="n">
        <v>139</v>
      </c>
      <c r="I3592" s="19" t="n">
        <v>12.45</v>
      </c>
      <c r="J3592" s="19" t="n">
        <v>12.5</v>
      </c>
      <c r="K3592" s="20" t="n">
        <v>0</v>
      </c>
      <c r="L3592" s="20" t="n">
        <v>0</v>
      </c>
      <c r="M3592" s="18" t="n">
        <v>139</v>
      </c>
      <c r="N3592" s="18" t="n">
        <v>139</v>
      </c>
      <c r="O3592" s="18" t="n">
        <v>0</v>
      </c>
      <c r="P3592" s="17" t="n">
        <v>46119</v>
      </c>
      <c r="Q3592" s="17" t="n">
        <v>46119</v>
      </c>
      <c r="R3592" s="17" t="n">
        <v>46119</v>
      </c>
      <c r="S3592" s="19">
        <f>H3592*I3592</f>
        <v/>
      </c>
      <c r="T3592" s="19">
        <f>H3592*J3592</f>
        <v/>
      </c>
      <c r="U3592">
        <f>IF(AND(K3592=0,G3592&lt;=Assumptions!$C$6),1,0)</f>
        <v/>
      </c>
      <c r="V3592">
        <f>IF(U3592=1,IF(M3592&gt;0,IF(P3592&lt;=G3592+Assumptions!$C$7,1,0),0),0)</f>
        <v/>
      </c>
      <c r="W3592">
        <f>IF(AND(U3592=1,M3592&gt;=H3592*(1-Assumptions!$C$8)),1,0)</f>
        <v/>
      </c>
      <c r="X3592">
        <f>IF(AND(U3592=1,N3592&gt;=H3592*(1-Assumptions!$C$8)),1,0)</f>
        <v/>
      </c>
      <c r="Y3592">
        <f>IF(ISNUMBER(Q3592),1,0)</f>
        <v/>
      </c>
      <c r="Z3592">
        <f>IF(AND(K3592=0,L3592=0,Y3592=0),1,0)</f>
        <v/>
      </c>
      <c r="AA3592">
        <f>IF(AND(Z3592=1,G3592&lt;Assumptions!$C$6),1,0)</f>
        <v/>
      </c>
      <c r="AB3592">
        <f>IF(U3592=0,"",IF(Y3592=1,MAX(0,Q3592-G3592),IF(L3592=1,MAX(0,R3592-G3592),MAX(0,Assumptions!$C$6-G3592))))</f>
        <v/>
      </c>
      <c r="AC3592">
        <f>IF(Y3592=1,Q3592-F3592,"")</f>
        <v/>
      </c>
      <c r="AD3592">
        <f>IF(Y3592=1,AC3592^2,"")</f>
        <v/>
      </c>
      <c r="AE3592" s="19">
        <f>IF(Z3592=1,(H3592-M3592)*I3592,0)</f>
        <v/>
      </c>
      <c r="AF3592">
        <f>IF(G3592&lt;EDATE(Assumptions!$C$6,-12)+1,"prior_12m","last_12m")</f>
        <v/>
      </c>
      <c r="AG3592" s="21">
        <f>DATE(YEAR(G3592),MONTH(G3592),1)</f>
        <v/>
      </c>
    </row>
    <row r="3593">
      <c r="A3593" t="inlineStr">
        <is>
          <t>SPO-01916-2</t>
        </is>
      </c>
      <c r="B3593" t="inlineStr">
        <is>
          <t>SPO-01916</t>
        </is>
      </c>
      <c r="C3593" t="inlineStr">
        <is>
          <t>SUP-10</t>
        </is>
      </c>
      <c r="D3593" t="inlineStr">
        <is>
          <t>PPE</t>
        </is>
      </c>
      <c r="E3593" t="inlineStr">
        <is>
          <t>PPE-01</t>
        </is>
      </c>
      <c r="F3593" s="17" t="n">
        <v>46107</v>
      </c>
      <c r="G3593" s="17" t="n">
        <v>46120</v>
      </c>
      <c r="H3593" s="18" t="n">
        <v>141</v>
      </c>
      <c r="I3593" s="19" t="n">
        <v>4.88</v>
      </c>
      <c r="J3593" s="19" t="n">
        <v>4.8</v>
      </c>
      <c r="K3593" s="20" t="n">
        <v>0</v>
      </c>
      <c r="L3593" s="20" t="n">
        <v>0</v>
      </c>
      <c r="M3593" s="18" t="n">
        <v>141</v>
      </c>
      <c r="N3593" s="18" t="n">
        <v>141</v>
      </c>
      <c r="O3593" s="18" t="n">
        <v>0</v>
      </c>
      <c r="P3593" s="17" t="n">
        <v>46119</v>
      </c>
      <c r="Q3593" s="17" t="n">
        <v>46119</v>
      </c>
      <c r="R3593" s="17" t="n">
        <v>46119</v>
      </c>
      <c r="S3593" s="19">
        <f>H3593*I3593</f>
        <v/>
      </c>
      <c r="T3593" s="19">
        <f>H3593*J3593</f>
        <v/>
      </c>
      <c r="U3593">
        <f>IF(AND(K3593=0,G3593&lt;=Assumptions!$C$6),1,0)</f>
        <v/>
      </c>
      <c r="V3593">
        <f>IF(U3593=1,IF(M3593&gt;0,IF(P3593&lt;=G3593+Assumptions!$C$7,1,0),0),0)</f>
        <v/>
      </c>
      <c r="W3593">
        <f>IF(AND(U3593=1,M3593&gt;=H3593*(1-Assumptions!$C$8)),1,0)</f>
        <v/>
      </c>
      <c r="X3593">
        <f>IF(AND(U3593=1,N3593&gt;=H3593*(1-Assumptions!$C$8)),1,0)</f>
        <v/>
      </c>
      <c r="Y3593">
        <f>IF(ISNUMBER(Q3593),1,0)</f>
        <v/>
      </c>
      <c r="Z3593">
        <f>IF(AND(K3593=0,L3593=0,Y3593=0),1,0)</f>
        <v/>
      </c>
      <c r="AA3593">
        <f>IF(AND(Z3593=1,G3593&lt;Assumptions!$C$6),1,0)</f>
        <v/>
      </c>
      <c r="AB3593">
        <f>IF(U3593=0,"",IF(Y3593=1,MAX(0,Q3593-G3593),IF(L3593=1,MAX(0,R3593-G3593),MAX(0,Assumptions!$C$6-G3593))))</f>
        <v/>
      </c>
      <c r="AC3593">
        <f>IF(Y3593=1,Q3593-F3593,"")</f>
        <v/>
      </c>
      <c r="AD3593">
        <f>IF(Y3593=1,AC3593^2,"")</f>
        <v/>
      </c>
      <c r="AE3593" s="19">
        <f>IF(Z3593=1,(H3593-M3593)*I3593,0)</f>
        <v/>
      </c>
      <c r="AF3593">
        <f>IF(G3593&lt;EDATE(Assumptions!$C$6,-12)+1,"prior_12m","last_12m")</f>
        <v/>
      </c>
      <c r="AG3593" s="21">
        <f>DATE(YEAR(G3593),MONTH(G3593),1)</f>
        <v/>
      </c>
    </row>
    <row r="3594">
      <c r="A3594" t="inlineStr">
        <is>
          <t>SPO-01916-3</t>
        </is>
      </c>
      <c r="B3594" t="inlineStr">
        <is>
          <t>SPO-01916</t>
        </is>
      </c>
      <c r="C3594" t="inlineStr">
        <is>
          <t>SUP-10</t>
        </is>
      </c>
      <c r="D3594" t="inlineStr">
        <is>
          <t>PPE</t>
        </is>
      </c>
      <c r="E3594" t="inlineStr">
        <is>
          <t>PPE-05</t>
        </is>
      </c>
      <c r="F3594" s="17" t="n">
        <v>46107</v>
      </c>
      <c r="G3594" s="17" t="n">
        <v>46120</v>
      </c>
      <c r="H3594" s="18" t="n">
        <v>82</v>
      </c>
      <c r="I3594" s="19" t="n">
        <v>11.11</v>
      </c>
      <c r="J3594" s="19" t="n">
        <v>11</v>
      </c>
      <c r="K3594" s="20" t="n">
        <v>0</v>
      </c>
      <c r="L3594" s="20" t="n">
        <v>0</v>
      </c>
      <c r="M3594" s="18" t="n">
        <v>82</v>
      </c>
      <c r="N3594" s="18" t="n">
        <v>0</v>
      </c>
      <c r="O3594" s="18" t="n">
        <v>0</v>
      </c>
      <c r="P3594" s="17" t="n">
        <v>46121</v>
      </c>
      <c r="Q3594" s="17" t="n">
        <v>46121</v>
      </c>
      <c r="R3594" s="17" t="n">
        <v>46121</v>
      </c>
      <c r="S3594" s="19">
        <f>H3594*I3594</f>
        <v/>
      </c>
      <c r="T3594" s="19">
        <f>H3594*J3594</f>
        <v/>
      </c>
      <c r="U3594">
        <f>IF(AND(K3594=0,G3594&lt;=Assumptions!$C$6),1,0)</f>
        <v/>
      </c>
      <c r="V3594">
        <f>IF(U3594=1,IF(M3594&gt;0,IF(P3594&lt;=G3594+Assumptions!$C$7,1,0),0),0)</f>
        <v/>
      </c>
      <c r="W3594">
        <f>IF(AND(U3594=1,M3594&gt;=H3594*(1-Assumptions!$C$8)),1,0)</f>
        <v/>
      </c>
      <c r="X3594">
        <f>IF(AND(U3594=1,N3594&gt;=H3594*(1-Assumptions!$C$8)),1,0)</f>
        <v/>
      </c>
      <c r="Y3594">
        <f>IF(ISNUMBER(Q3594),1,0)</f>
        <v/>
      </c>
      <c r="Z3594">
        <f>IF(AND(K3594=0,L3594=0,Y3594=0),1,0)</f>
        <v/>
      </c>
      <c r="AA3594">
        <f>IF(AND(Z3594=1,G3594&lt;Assumptions!$C$6),1,0)</f>
        <v/>
      </c>
      <c r="AB3594">
        <f>IF(U3594=0,"",IF(Y3594=1,MAX(0,Q3594-G3594),IF(L3594=1,MAX(0,R3594-G3594),MAX(0,Assumptions!$C$6-G3594))))</f>
        <v/>
      </c>
      <c r="AC3594">
        <f>IF(Y3594=1,Q3594-F3594,"")</f>
        <v/>
      </c>
      <c r="AD3594">
        <f>IF(Y3594=1,AC3594^2,"")</f>
        <v/>
      </c>
      <c r="AE3594" s="19">
        <f>IF(Z3594=1,(H3594-M3594)*I3594,0)</f>
        <v/>
      </c>
      <c r="AF3594">
        <f>IF(G3594&lt;EDATE(Assumptions!$C$6,-12)+1,"prior_12m","last_12m")</f>
        <v/>
      </c>
      <c r="AG3594" s="21">
        <f>DATE(YEAR(G3594),MONTH(G3594),1)</f>
        <v/>
      </c>
    </row>
    <row r="3595">
      <c r="A3595" t="inlineStr">
        <is>
          <t>SPO-01917-1</t>
        </is>
      </c>
      <c r="B3595" t="inlineStr">
        <is>
          <t>SPO-01917</t>
        </is>
      </c>
      <c r="C3595" t="inlineStr">
        <is>
          <t>SUP-01</t>
        </is>
      </c>
      <c r="D3595" t="inlineStr">
        <is>
          <t>ELEC</t>
        </is>
      </c>
      <c r="E3595" t="inlineStr">
        <is>
          <t>ELEC-05</t>
        </is>
      </c>
      <c r="F3595" s="17" t="n">
        <v>46108</v>
      </c>
      <c r="G3595" s="17" t="n">
        <v>46126</v>
      </c>
      <c r="H3595" s="18" t="n">
        <v>132</v>
      </c>
      <c r="I3595" s="19" t="n">
        <v>11.66</v>
      </c>
      <c r="J3595" s="19" t="n">
        <v>11.5</v>
      </c>
      <c r="K3595" s="20" t="n">
        <v>0</v>
      </c>
      <c r="L3595" s="20" t="n">
        <v>0</v>
      </c>
      <c r="M3595" s="18" t="n">
        <v>132</v>
      </c>
      <c r="N3595" s="18" t="n">
        <v>0</v>
      </c>
      <c r="O3595" s="18" t="n">
        <v>0</v>
      </c>
      <c r="P3595" s="17" t="n">
        <v>46128</v>
      </c>
      <c r="Q3595" s="17" t="n">
        <v>46128</v>
      </c>
      <c r="R3595" s="17" t="n">
        <v>46128</v>
      </c>
      <c r="S3595" s="19">
        <f>H3595*I3595</f>
        <v/>
      </c>
      <c r="T3595" s="19">
        <f>H3595*J3595</f>
        <v/>
      </c>
      <c r="U3595">
        <f>IF(AND(K3595=0,G3595&lt;=Assumptions!$C$6),1,0)</f>
        <v/>
      </c>
      <c r="V3595">
        <f>IF(U3595=1,IF(M3595&gt;0,IF(P3595&lt;=G3595+Assumptions!$C$7,1,0),0),0)</f>
        <v/>
      </c>
      <c r="W3595">
        <f>IF(AND(U3595=1,M3595&gt;=H3595*(1-Assumptions!$C$8)),1,0)</f>
        <v/>
      </c>
      <c r="X3595">
        <f>IF(AND(U3595=1,N3595&gt;=H3595*(1-Assumptions!$C$8)),1,0)</f>
        <v/>
      </c>
      <c r="Y3595">
        <f>IF(ISNUMBER(Q3595),1,0)</f>
        <v/>
      </c>
      <c r="Z3595">
        <f>IF(AND(K3595=0,L3595=0,Y3595=0),1,0)</f>
        <v/>
      </c>
      <c r="AA3595">
        <f>IF(AND(Z3595=1,G3595&lt;Assumptions!$C$6),1,0)</f>
        <v/>
      </c>
      <c r="AB3595">
        <f>IF(U3595=0,"",IF(Y3595=1,MAX(0,Q3595-G3595),IF(L3595=1,MAX(0,R3595-G3595),MAX(0,Assumptions!$C$6-G3595))))</f>
        <v/>
      </c>
      <c r="AC3595">
        <f>IF(Y3595=1,Q3595-F3595,"")</f>
        <v/>
      </c>
      <c r="AD3595">
        <f>IF(Y3595=1,AC3595^2,"")</f>
        <v/>
      </c>
      <c r="AE3595" s="19">
        <f>IF(Z3595=1,(H3595-M3595)*I3595,0)</f>
        <v/>
      </c>
      <c r="AF3595">
        <f>IF(G3595&lt;EDATE(Assumptions!$C$6,-12)+1,"prior_12m","last_12m")</f>
        <v/>
      </c>
      <c r="AG3595" s="21">
        <f>DATE(YEAR(G3595),MONTH(G3595),1)</f>
        <v/>
      </c>
    </row>
    <row r="3596">
      <c r="A3596" t="inlineStr">
        <is>
          <t>SPO-01917-2</t>
        </is>
      </c>
      <c r="B3596" t="inlineStr">
        <is>
          <t>SPO-01917</t>
        </is>
      </c>
      <c r="C3596" t="inlineStr">
        <is>
          <t>SUP-01</t>
        </is>
      </c>
      <c r="D3596" t="inlineStr">
        <is>
          <t>ELEC</t>
        </is>
      </c>
      <c r="E3596" t="inlineStr">
        <is>
          <t>ELEC-02</t>
        </is>
      </c>
      <c r="F3596" s="17" t="n">
        <v>46108</v>
      </c>
      <c r="G3596" s="17" t="n">
        <v>46126</v>
      </c>
      <c r="H3596" s="18" t="n">
        <v>935</v>
      </c>
      <c r="I3596" s="19" t="n">
        <v>4.09</v>
      </c>
      <c r="J3596" s="19" t="n">
        <v>4.2</v>
      </c>
      <c r="K3596" s="20" t="n">
        <v>0</v>
      </c>
      <c r="L3596" s="20" t="n">
        <v>0</v>
      </c>
      <c r="M3596" s="18" t="n">
        <v>935</v>
      </c>
      <c r="N3596" s="18" t="n">
        <v>935</v>
      </c>
      <c r="O3596" s="18" t="n">
        <v>0</v>
      </c>
      <c r="P3596" s="17" t="n">
        <v>46119</v>
      </c>
      <c r="Q3596" s="17" t="n">
        <v>46119</v>
      </c>
      <c r="R3596" s="17" t="n">
        <v>46119</v>
      </c>
      <c r="S3596" s="19">
        <f>H3596*I3596</f>
        <v/>
      </c>
      <c r="T3596" s="19">
        <f>H3596*J3596</f>
        <v/>
      </c>
      <c r="U3596">
        <f>IF(AND(K3596=0,G3596&lt;=Assumptions!$C$6),1,0)</f>
        <v/>
      </c>
      <c r="V3596">
        <f>IF(U3596=1,IF(M3596&gt;0,IF(P3596&lt;=G3596+Assumptions!$C$7,1,0),0),0)</f>
        <v/>
      </c>
      <c r="W3596">
        <f>IF(AND(U3596=1,M3596&gt;=H3596*(1-Assumptions!$C$8)),1,0)</f>
        <v/>
      </c>
      <c r="X3596">
        <f>IF(AND(U3596=1,N3596&gt;=H3596*(1-Assumptions!$C$8)),1,0)</f>
        <v/>
      </c>
      <c r="Y3596">
        <f>IF(ISNUMBER(Q3596),1,0)</f>
        <v/>
      </c>
      <c r="Z3596">
        <f>IF(AND(K3596=0,L3596=0,Y3596=0),1,0)</f>
        <v/>
      </c>
      <c r="AA3596">
        <f>IF(AND(Z3596=1,G3596&lt;Assumptions!$C$6),1,0)</f>
        <v/>
      </c>
      <c r="AB3596">
        <f>IF(U3596=0,"",IF(Y3596=1,MAX(0,Q3596-G3596),IF(L3596=1,MAX(0,R3596-G3596),MAX(0,Assumptions!$C$6-G3596))))</f>
        <v/>
      </c>
      <c r="AC3596">
        <f>IF(Y3596=1,Q3596-F3596,"")</f>
        <v/>
      </c>
      <c r="AD3596">
        <f>IF(Y3596=1,AC3596^2,"")</f>
        <v/>
      </c>
      <c r="AE3596" s="19">
        <f>IF(Z3596=1,(H3596-M3596)*I3596,0)</f>
        <v/>
      </c>
      <c r="AF3596">
        <f>IF(G3596&lt;EDATE(Assumptions!$C$6,-12)+1,"prior_12m","last_12m")</f>
        <v/>
      </c>
      <c r="AG3596" s="21">
        <f>DATE(YEAR(G3596),MONTH(G3596),1)</f>
        <v/>
      </c>
    </row>
    <row r="3597">
      <c r="A3597" t="inlineStr">
        <is>
          <t>SPO-01917-3</t>
        </is>
      </c>
      <c r="B3597" t="inlineStr">
        <is>
          <t>SPO-01917</t>
        </is>
      </c>
      <c r="C3597" t="inlineStr">
        <is>
          <t>SUP-01</t>
        </is>
      </c>
      <c r="D3597" t="inlineStr">
        <is>
          <t>ELEC</t>
        </is>
      </c>
      <c r="E3597" t="inlineStr">
        <is>
          <t>ELEC-06</t>
        </is>
      </c>
      <c r="F3597" s="17" t="n">
        <v>46108</v>
      </c>
      <c r="G3597" s="17" t="n">
        <v>46126</v>
      </c>
      <c r="H3597" s="18" t="n">
        <v>12</v>
      </c>
      <c r="I3597" s="19" t="n">
        <v>145.16</v>
      </c>
      <c r="J3597" s="19" t="n">
        <v>145</v>
      </c>
      <c r="K3597" s="20" t="n">
        <v>0</v>
      </c>
      <c r="L3597" s="20" t="n">
        <v>0</v>
      </c>
      <c r="M3597" s="18" t="n">
        <v>12</v>
      </c>
      <c r="N3597" s="18" t="n">
        <v>12</v>
      </c>
      <c r="O3597" s="18" t="n">
        <v>0</v>
      </c>
      <c r="P3597" s="17" t="n">
        <v>46121</v>
      </c>
      <c r="Q3597" s="17" t="n">
        <v>46121</v>
      </c>
      <c r="R3597" s="17" t="n">
        <v>46121</v>
      </c>
      <c r="S3597" s="19">
        <f>H3597*I3597</f>
        <v/>
      </c>
      <c r="T3597" s="19">
        <f>H3597*J3597</f>
        <v/>
      </c>
      <c r="U3597">
        <f>IF(AND(K3597=0,G3597&lt;=Assumptions!$C$6),1,0)</f>
        <v/>
      </c>
      <c r="V3597">
        <f>IF(U3597=1,IF(M3597&gt;0,IF(P3597&lt;=G3597+Assumptions!$C$7,1,0),0),0)</f>
        <v/>
      </c>
      <c r="W3597">
        <f>IF(AND(U3597=1,M3597&gt;=H3597*(1-Assumptions!$C$8)),1,0)</f>
        <v/>
      </c>
      <c r="X3597">
        <f>IF(AND(U3597=1,N3597&gt;=H3597*(1-Assumptions!$C$8)),1,0)</f>
        <v/>
      </c>
      <c r="Y3597">
        <f>IF(ISNUMBER(Q3597),1,0)</f>
        <v/>
      </c>
      <c r="Z3597">
        <f>IF(AND(K3597=0,L3597=0,Y3597=0),1,0)</f>
        <v/>
      </c>
      <c r="AA3597">
        <f>IF(AND(Z3597=1,G3597&lt;Assumptions!$C$6),1,0)</f>
        <v/>
      </c>
      <c r="AB3597">
        <f>IF(U3597=0,"",IF(Y3597=1,MAX(0,Q3597-G3597),IF(L3597=1,MAX(0,R3597-G3597),MAX(0,Assumptions!$C$6-G3597))))</f>
        <v/>
      </c>
      <c r="AC3597">
        <f>IF(Y3597=1,Q3597-F3597,"")</f>
        <v/>
      </c>
      <c r="AD3597">
        <f>IF(Y3597=1,AC3597^2,"")</f>
        <v/>
      </c>
      <c r="AE3597" s="19">
        <f>IF(Z3597=1,(H3597-M3597)*I3597,0)</f>
        <v/>
      </c>
      <c r="AF3597">
        <f>IF(G3597&lt;EDATE(Assumptions!$C$6,-12)+1,"prior_12m","last_12m")</f>
        <v/>
      </c>
      <c r="AG3597" s="21">
        <f>DATE(YEAR(G3597),MONTH(G3597),1)</f>
        <v/>
      </c>
    </row>
    <row r="3598">
      <c r="A3598" t="inlineStr">
        <is>
          <t>SPO-01917-4</t>
        </is>
      </c>
      <c r="B3598" t="inlineStr">
        <is>
          <t>SPO-01917</t>
        </is>
      </c>
      <c r="C3598" t="inlineStr">
        <is>
          <t>SUP-01</t>
        </is>
      </c>
      <c r="D3598" t="inlineStr">
        <is>
          <t>ELEC</t>
        </is>
      </c>
      <c r="E3598" t="inlineStr">
        <is>
          <t>ELEC-04</t>
        </is>
      </c>
      <c r="F3598" s="17" t="n">
        <v>46108</v>
      </c>
      <c r="G3598" s="17" t="n">
        <v>46126</v>
      </c>
      <c r="H3598" s="18" t="n">
        <v>21</v>
      </c>
      <c r="I3598" s="19" t="n">
        <v>70.23</v>
      </c>
      <c r="J3598" s="19" t="n">
        <v>72</v>
      </c>
      <c r="K3598" s="20" t="n">
        <v>0</v>
      </c>
      <c r="L3598" s="20" t="n">
        <v>0</v>
      </c>
      <c r="M3598" s="18" t="n">
        <v>21</v>
      </c>
      <c r="N3598" s="18" t="n">
        <v>21</v>
      </c>
      <c r="O3598" s="18" t="n">
        <v>0</v>
      </c>
      <c r="P3598" s="17" t="n">
        <v>46124</v>
      </c>
      <c r="Q3598" s="17" t="n">
        <v>46124</v>
      </c>
      <c r="R3598" s="17" t="n">
        <v>46124</v>
      </c>
      <c r="S3598" s="19">
        <f>H3598*I3598</f>
        <v/>
      </c>
      <c r="T3598" s="19">
        <f>H3598*J3598</f>
        <v/>
      </c>
      <c r="U3598">
        <f>IF(AND(K3598=0,G3598&lt;=Assumptions!$C$6),1,0)</f>
        <v/>
      </c>
      <c r="V3598">
        <f>IF(U3598=1,IF(M3598&gt;0,IF(P3598&lt;=G3598+Assumptions!$C$7,1,0),0),0)</f>
        <v/>
      </c>
      <c r="W3598">
        <f>IF(AND(U3598=1,M3598&gt;=H3598*(1-Assumptions!$C$8)),1,0)</f>
        <v/>
      </c>
      <c r="X3598">
        <f>IF(AND(U3598=1,N3598&gt;=H3598*(1-Assumptions!$C$8)),1,0)</f>
        <v/>
      </c>
      <c r="Y3598">
        <f>IF(ISNUMBER(Q3598),1,0)</f>
        <v/>
      </c>
      <c r="Z3598">
        <f>IF(AND(K3598=0,L3598=0,Y3598=0),1,0)</f>
        <v/>
      </c>
      <c r="AA3598">
        <f>IF(AND(Z3598=1,G3598&lt;Assumptions!$C$6),1,0)</f>
        <v/>
      </c>
      <c r="AB3598">
        <f>IF(U3598=0,"",IF(Y3598=1,MAX(0,Q3598-G3598),IF(L3598=1,MAX(0,R3598-G3598),MAX(0,Assumptions!$C$6-G3598))))</f>
        <v/>
      </c>
      <c r="AC3598">
        <f>IF(Y3598=1,Q3598-F3598,"")</f>
        <v/>
      </c>
      <c r="AD3598">
        <f>IF(Y3598=1,AC3598^2,"")</f>
        <v/>
      </c>
      <c r="AE3598" s="19">
        <f>IF(Z3598=1,(H3598-M3598)*I3598,0)</f>
        <v/>
      </c>
      <c r="AF3598">
        <f>IF(G3598&lt;EDATE(Assumptions!$C$6,-12)+1,"prior_12m","last_12m")</f>
        <v/>
      </c>
      <c r="AG3598" s="21">
        <f>DATE(YEAR(G3598),MONTH(G3598),1)</f>
        <v/>
      </c>
    </row>
    <row r="3599">
      <c r="A3599" t="inlineStr">
        <is>
          <t>SPO-01918-1</t>
        </is>
      </c>
      <c r="B3599" t="inlineStr">
        <is>
          <t>SPO-01918</t>
        </is>
      </c>
      <c r="C3599" t="inlineStr">
        <is>
          <t>SUP-12</t>
        </is>
      </c>
      <c r="D3599" t="inlineStr">
        <is>
          <t>IT</t>
        </is>
      </c>
      <c r="E3599" t="inlineStr">
        <is>
          <t>IT-07</t>
        </is>
      </c>
      <c r="F3599" s="17" t="n">
        <v>46108</v>
      </c>
      <c r="G3599" s="17" t="n">
        <v>46118</v>
      </c>
      <c r="H3599" s="18" t="n">
        <v>37</v>
      </c>
      <c r="I3599" s="19" t="n">
        <v>84.31999999999999</v>
      </c>
      <c r="J3599" s="19" t="n">
        <v>74</v>
      </c>
      <c r="K3599" s="20" t="n">
        <v>0</v>
      </c>
      <c r="L3599" s="20" t="n">
        <v>0</v>
      </c>
      <c r="M3599" s="18" t="n">
        <v>37</v>
      </c>
      <c r="N3599" s="18" t="n">
        <v>37</v>
      </c>
      <c r="O3599" s="18" t="n">
        <v>0</v>
      </c>
      <c r="P3599" s="17" t="n">
        <v>46109</v>
      </c>
      <c r="Q3599" s="17" t="n">
        <v>46109</v>
      </c>
      <c r="R3599" s="17" t="n">
        <v>46109</v>
      </c>
      <c r="S3599" s="19">
        <f>H3599*I3599</f>
        <v/>
      </c>
      <c r="T3599" s="19">
        <f>H3599*J3599</f>
        <v/>
      </c>
      <c r="U3599">
        <f>IF(AND(K3599=0,G3599&lt;=Assumptions!$C$6),1,0)</f>
        <v/>
      </c>
      <c r="V3599">
        <f>IF(U3599=1,IF(M3599&gt;0,IF(P3599&lt;=G3599+Assumptions!$C$7,1,0),0),0)</f>
        <v/>
      </c>
      <c r="W3599">
        <f>IF(AND(U3599=1,M3599&gt;=H3599*(1-Assumptions!$C$8)),1,0)</f>
        <v/>
      </c>
      <c r="X3599">
        <f>IF(AND(U3599=1,N3599&gt;=H3599*(1-Assumptions!$C$8)),1,0)</f>
        <v/>
      </c>
      <c r="Y3599">
        <f>IF(ISNUMBER(Q3599),1,0)</f>
        <v/>
      </c>
      <c r="Z3599">
        <f>IF(AND(K3599=0,L3599=0,Y3599=0),1,0)</f>
        <v/>
      </c>
      <c r="AA3599">
        <f>IF(AND(Z3599=1,G3599&lt;Assumptions!$C$6),1,0)</f>
        <v/>
      </c>
      <c r="AB3599">
        <f>IF(U3599=0,"",IF(Y3599=1,MAX(0,Q3599-G3599),IF(L3599=1,MAX(0,R3599-G3599),MAX(0,Assumptions!$C$6-G3599))))</f>
        <v/>
      </c>
      <c r="AC3599">
        <f>IF(Y3599=1,Q3599-F3599,"")</f>
        <v/>
      </c>
      <c r="AD3599">
        <f>IF(Y3599=1,AC3599^2,"")</f>
        <v/>
      </c>
      <c r="AE3599" s="19">
        <f>IF(Z3599=1,(H3599-M3599)*I3599,0)</f>
        <v/>
      </c>
      <c r="AF3599">
        <f>IF(G3599&lt;EDATE(Assumptions!$C$6,-12)+1,"prior_12m","last_12m")</f>
        <v/>
      </c>
      <c r="AG3599" s="21">
        <f>DATE(YEAR(G3599),MONTH(G3599),1)</f>
        <v/>
      </c>
    </row>
    <row r="3600">
      <c r="A3600" t="inlineStr">
        <is>
          <t>SPO-01919-1</t>
        </is>
      </c>
      <c r="B3600" t="inlineStr">
        <is>
          <t>SPO-01919</t>
        </is>
      </c>
      <c r="C3600" t="inlineStr">
        <is>
          <t>SUP-12</t>
        </is>
      </c>
      <c r="D3600" t="inlineStr">
        <is>
          <t>IT</t>
        </is>
      </c>
      <c r="E3600" t="inlineStr">
        <is>
          <t>IT-07</t>
        </is>
      </c>
      <c r="F3600" s="17" t="n">
        <v>46108</v>
      </c>
      <c r="G3600" s="17" t="n">
        <v>46118</v>
      </c>
      <c r="H3600" s="18" t="n">
        <v>15</v>
      </c>
      <c r="I3600" s="19" t="n">
        <v>86.12</v>
      </c>
      <c r="J3600" s="19" t="n">
        <v>74</v>
      </c>
      <c r="K3600" s="20" t="n">
        <v>0</v>
      </c>
      <c r="L3600" s="20" t="n">
        <v>0</v>
      </c>
      <c r="M3600" s="18" t="n">
        <v>15</v>
      </c>
      <c r="N3600" s="18" t="n">
        <v>15</v>
      </c>
      <c r="O3600" s="18" t="n">
        <v>0</v>
      </c>
      <c r="P3600" s="17" t="n">
        <v>46115</v>
      </c>
      <c r="Q3600" s="17" t="n">
        <v>46115</v>
      </c>
      <c r="R3600" s="17" t="n">
        <v>46115</v>
      </c>
      <c r="S3600" s="19">
        <f>H3600*I3600</f>
        <v/>
      </c>
      <c r="T3600" s="19">
        <f>H3600*J3600</f>
        <v/>
      </c>
      <c r="U3600">
        <f>IF(AND(K3600=0,G3600&lt;=Assumptions!$C$6),1,0)</f>
        <v/>
      </c>
      <c r="V3600">
        <f>IF(U3600=1,IF(M3600&gt;0,IF(P3600&lt;=G3600+Assumptions!$C$7,1,0),0),0)</f>
        <v/>
      </c>
      <c r="W3600">
        <f>IF(AND(U3600=1,M3600&gt;=H3600*(1-Assumptions!$C$8)),1,0)</f>
        <v/>
      </c>
      <c r="X3600">
        <f>IF(AND(U3600=1,N3600&gt;=H3600*(1-Assumptions!$C$8)),1,0)</f>
        <v/>
      </c>
      <c r="Y3600">
        <f>IF(ISNUMBER(Q3600),1,0)</f>
        <v/>
      </c>
      <c r="Z3600">
        <f>IF(AND(K3600=0,L3600=0,Y3600=0),1,0)</f>
        <v/>
      </c>
      <c r="AA3600">
        <f>IF(AND(Z3600=1,G3600&lt;Assumptions!$C$6),1,0)</f>
        <v/>
      </c>
      <c r="AB3600">
        <f>IF(U3600=0,"",IF(Y3600=1,MAX(0,Q3600-G3600),IF(L3600=1,MAX(0,R3600-G3600),MAX(0,Assumptions!$C$6-G3600))))</f>
        <v/>
      </c>
      <c r="AC3600">
        <f>IF(Y3600=1,Q3600-F3600,"")</f>
        <v/>
      </c>
      <c r="AD3600">
        <f>IF(Y3600=1,AC3600^2,"")</f>
        <v/>
      </c>
      <c r="AE3600" s="19">
        <f>IF(Z3600=1,(H3600-M3600)*I3600,0)</f>
        <v/>
      </c>
      <c r="AF3600">
        <f>IF(G3600&lt;EDATE(Assumptions!$C$6,-12)+1,"prior_12m","last_12m")</f>
        <v/>
      </c>
      <c r="AG3600" s="21">
        <f>DATE(YEAR(G3600),MONTH(G3600),1)</f>
        <v/>
      </c>
    </row>
    <row r="3601">
      <c r="A3601" t="inlineStr">
        <is>
          <t>SPO-01919-2</t>
        </is>
      </c>
      <c r="B3601" t="inlineStr">
        <is>
          <t>SPO-01919</t>
        </is>
      </c>
      <c r="C3601" t="inlineStr">
        <is>
          <t>SUP-12</t>
        </is>
      </c>
      <c r="D3601" t="inlineStr">
        <is>
          <t>IT</t>
        </is>
      </c>
      <c r="E3601" t="inlineStr">
        <is>
          <t>IT-01</t>
        </is>
      </c>
      <c r="F3601" s="17" t="n">
        <v>46108</v>
      </c>
      <c r="G3601" s="17" t="n">
        <v>46118</v>
      </c>
      <c r="H3601" s="18" t="n">
        <v>12</v>
      </c>
      <c r="I3601" s="19" t="n">
        <v>212.27</v>
      </c>
      <c r="J3601" s="19" t="n">
        <v>189</v>
      </c>
      <c r="K3601" s="20" t="n">
        <v>0</v>
      </c>
      <c r="L3601" s="20" t="n">
        <v>0</v>
      </c>
      <c r="M3601" s="18" t="n">
        <v>12</v>
      </c>
      <c r="N3601" s="18" t="n">
        <v>12</v>
      </c>
      <c r="O3601" s="18" t="n">
        <v>3</v>
      </c>
      <c r="P3601" s="17" t="n">
        <v>46113</v>
      </c>
      <c r="Q3601" s="17" t="n">
        <v>46113</v>
      </c>
      <c r="R3601" s="17" t="n">
        <v>46113</v>
      </c>
      <c r="S3601" s="19">
        <f>H3601*I3601</f>
        <v/>
      </c>
      <c r="T3601" s="19">
        <f>H3601*J3601</f>
        <v/>
      </c>
      <c r="U3601">
        <f>IF(AND(K3601=0,G3601&lt;=Assumptions!$C$6),1,0)</f>
        <v/>
      </c>
      <c r="V3601">
        <f>IF(U3601=1,IF(M3601&gt;0,IF(P3601&lt;=G3601+Assumptions!$C$7,1,0),0),0)</f>
        <v/>
      </c>
      <c r="W3601">
        <f>IF(AND(U3601=1,M3601&gt;=H3601*(1-Assumptions!$C$8)),1,0)</f>
        <v/>
      </c>
      <c r="X3601">
        <f>IF(AND(U3601=1,N3601&gt;=H3601*(1-Assumptions!$C$8)),1,0)</f>
        <v/>
      </c>
      <c r="Y3601">
        <f>IF(ISNUMBER(Q3601),1,0)</f>
        <v/>
      </c>
      <c r="Z3601">
        <f>IF(AND(K3601=0,L3601=0,Y3601=0),1,0)</f>
        <v/>
      </c>
      <c r="AA3601">
        <f>IF(AND(Z3601=1,G3601&lt;Assumptions!$C$6),1,0)</f>
        <v/>
      </c>
      <c r="AB3601">
        <f>IF(U3601=0,"",IF(Y3601=1,MAX(0,Q3601-G3601),IF(L3601=1,MAX(0,R3601-G3601),MAX(0,Assumptions!$C$6-G3601))))</f>
        <v/>
      </c>
      <c r="AC3601">
        <f>IF(Y3601=1,Q3601-F3601,"")</f>
        <v/>
      </c>
      <c r="AD3601">
        <f>IF(Y3601=1,AC3601^2,"")</f>
        <v/>
      </c>
      <c r="AE3601" s="19">
        <f>IF(Z3601=1,(H3601-M3601)*I3601,0)</f>
        <v/>
      </c>
      <c r="AF3601">
        <f>IF(G3601&lt;EDATE(Assumptions!$C$6,-12)+1,"prior_12m","last_12m")</f>
        <v/>
      </c>
      <c r="AG3601" s="21">
        <f>DATE(YEAR(G3601),MONTH(G3601),1)</f>
        <v/>
      </c>
    </row>
    <row r="3602">
      <c r="A3602" t="inlineStr">
        <is>
          <t>SPO-01919-3</t>
        </is>
      </c>
      <c r="B3602" t="inlineStr">
        <is>
          <t>SPO-01919</t>
        </is>
      </c>
      <c r="C3602" t="inlineStr">
        <is>
          <t>SUP-12</t>
        </is>
      </c>
      <c r="D3602" t="inlineStr">
        <is>
          <t>IT</t>
        </is>
      </c>
      <c r="E3602" t="inlineStr">
        <is>
          <t>IT-03</t>
        </is>
      </c>
      <c r="F3602" s="17" t="n">
        <v>46108</v>
      </c>
      <c r="G3602" s="17" t="n">
        <v>46118</v>
      </c>
      <c r="H3602" s="18" t="n">
        <v>32</v>
      </c>
      <c r="I3602" s="19" t="n">
        <v>42.01</v>
      </c>
      <c r="J3602" s="19" t="n">
        <v>38</v>
      </c>
      <c r="K3602" s="20" t="n">
        <v>0</v>
      </c>
      <c r="L3602" s="20" t="n">
        <v>0</v>
      </c>
      <c r="M3602" s="18" t="n">
        <v>32</v>
      </c>
      <c r="N3602" s="18" t="n">
        <v>32</v>
      </c>
      <c r="O3602" s="18" t="n">
        <v>0</v>
      </c>
      <c r="P3602" s="17" t="n">
        <v>46113</v>
      </c>
      <c r="Q3602" s="17" t="n">
        <v>46113</v>
      </c>
      <c r="R3602" s="17" t="n">
        <v>46113</v>
      </c>
      <c r="S3602" s="19">
        <f>H3602*I3602</f>
        <v/>
      </c>
      <c r="T3602" s="19">
        <f>H3602*J3602</f>
        <v/>
      </c>
      <c r="U3602">
        <f>IF(AND(K3602=0,G3602&lt;=Assumptions!$C$6),1,0)</f>
        <v/>
      </c>
      <c r="V3602">
        <f>IF(U3602=1,IF(M3602&gt;0,IF(P3602&lt;=G3602+Assumptions!$C$7,1,0),0),0)</f>
        <v/>
      </c>
      <c r="W3602">
        <f>IF(AND(U3602=1,M3602&gt;=H3602*(1-Assumptions!$C$8)),1,0)</f>
        <v/>
      </c>
      <c r="X3602">
        <f>IF(AND(U3602=1,N3602&gt;=H3602*(1-Assumptions!$C$8)),1,0)</f>
        <v/>
      </c>
      <c r="Y3602">
        <f>IF(ISNUMBER(Q3602),1,0)</f>
        <v/>
      </c>
      <c r="Z3602">
        <f>IF(AND(K3602=0,L3602=0,Y3602=0),1,0)</f>
        <v/>
      </c>
      <c r="AA3602">
        <f>IF(AND(Z3602=1,G3602&lt;Assumptions!$C$6),1,0)</f>
        <v/>
      </c>
      <c r="AB3602">
        <f>IF(U3602=0,"",IF(Y3602=1,MAX(0,Q3602-G3602),IF(L3602=1,MAX(0,R3602-G3602),MAX(0,Assumptions!$C$6-G3602))))</f>
        <v/>
      </c>
      <c r="AC3602">
        <f>IF(Y3602=1,Q3602-F3602,"")</f>
        <v/>
      </c>
      <c r="AD3602">
        <f>IF(Y3602=1,AC3602^2,"")</f>
        <v/>
      </c>
      <c r="AE3602" s="19">
        <f>IF(Z3602=1,(H3602-M3602)*I3602,0)</f>
        <v/>
      </c>
      <c r="AF3602">
        <f>IF(G3602&lt;EDATE(Assumptions!$C$6,-12)+1,"prior_12m","last_12m")</f>
        <v/>
      </c>
      <c r="AG3602" s="21">
        <f>DATE(YEAR(G3602),MONTH(G3602),1)</f>
        <v/>
      </c>
    </row>
    <row r="3603">
      <c r="A3603" t="inlineStr">
        <is>
          <t>SPO-01920-1</t>
        </is>
      </c>
      <c r="B3603" t="inlineStr">
        <is>
          <t>SPO-01920</t>
        </is>
      </c>
      <c r="C3603" t="inlineStr">
        <is>
          <t>SUP-01</t>
        </is>
      </c>
      <c r="D3603" t="inlineStr">
        <is>
          <t>ELEC</t>
        </is>
      </c>
      <c r="E3603" t="inlineStr">
        <is>
          <t>ELEC-06</t>
        </is>
      </c>
      <c r="F3603" s="17" t="n">
        <v>46109</v>
      </c>
      <c r="G3603" s="17" t="n">
        <v>46127</v>
      </c>
      <c r="H3603" s="18" t="n">
        <v>29</v>
      </c>
      <c r="I3603" s="19" t="n">
        <v>150.19</v>
      </c>
      <c r="J3603" s="19" t="n">
        <v>145</v>
      </c>
      <c r="K3603" s="20" t="n">
        <v>0</v>
      </c>
      <c r="L3603" s="20" t="n">
        <v>0</v>
      </c>
      <c r="M3603" s="18" t="n">
        <v>29</v>
      </c>
      <c r="N3603" s="18" t="n">
        <v>29</v>
      </c>
      <c r="O3603" s="18" t="n">
        <v>0</v>
      </c>
      <c r="P3603" s="17" t="n">
        <v>46114</v>
      </c>
      <c r="Q3603" s="17" t="n">
        <v>46122</v>
      </c>
      <c r="R3603" s="17" t="n">
        <v>46122</v>
      </c>
      <c r="S3603" s="19">
        <f>H3603*I3603</f>
        <v/>
      </c>
      <c r="T3603" s="19">
        <f>H3603*J3603</f>
        <v/>
      </c>
      <c r="U3603">
        <f>IF(AND(K3603=0,G3603&lt;=Assumptions!$C$6),1,0)</f>
        <v/>
      </c>
      <c r="V3603">
        <f>IF(U3603=1,IF(M3603&gt;0,IF(P3603&lt;=G3603+Assumptions!$C$7,1,0),0),0)</f>
        <v/>
      </c>
      <c r="W3603">
        <f>IF(AND(U3603=1,M3603&gt;=H3603*(1-Assumptions!$C$8)),1,0)</f>
        <v/>
      </c>
      <c r="X3603">
        <f>IF(AND(U3603=1,N3603&gt;=H3603*(1-Assumptions!$C$8)),1,0)</f>
        <v/>
      </c>
      <c r="Y3603">
        <f>IF(ISNUMBER(Q3603),1,0)</f>
        <v/>
      </c>
      <c r="Z3603">
        <f>IF(AND(K3603=0,L3603=0,Y3603=0),1,0)</f>
        <v/>
      </c>
      <c r="AA3603">
        <f>IF(AND(Z3603=1,G3603&lt;Assumptions!$C$6),1,0)</f>
        <v/>
      </c>
      <c r="AB3603">
        <f>IF(U3603=0,"",IF(Y3603=1,MAX(0,Q3603-G3603),IF(L3603=1,MAX(0,R3603-G3603),MAX(0,Assumptions!$C$6-G3603))))</f>
        <v/>
      </c>
      <c r="AC3603">
        <f>IF(Y3603=1,Q3603-F3603,"")</f>
        <v/>
      </c>
      <c r="AD3603">
        <f>IF(Y3603=1,AC3603^2,"")</f>
        <v/>
      </c>
      <c r="AE3603" s="19">
        <f>IF(Z3603=1,(H3603-M3603)*I3603,0)</f>
        <v/>
      </c>
      <c r="AF3603">
        <f>IF(G3603&lt;EDATE(Assumptions!$C$6,-12)+1,"prior_12m","last_12m")</f>
        <v/>
      </c>
      <c r="AG3603" s="21">
        <f>DATE(YEAR(G3603),MONTH(G3603),1)</f>
        <v/>
      </c>
    </row>
    <row r="3604">
      <c r="A3604" t="inlineStr">
        <is>
          <t>SPO-01920-2</t>
        </is>
      </c>
      <c r="B3604" t="inlineStr">
        <is>
          <t>SPO-01920</t>
        </is>
      </c>
      <c r="C3604" t="inlineStr">
        <is>
          <t>SUP-01</t>
        </is>
      </c>
      <c r="D3604" t="inlineStr">
        <is>
          <t>ELEC</t>
        </is>
      </c>
      <c r="E3604" t="inlineStr">
        <is>
          <t>ELEC-04</t>
        </is>
      </c>
      <c r="F3604" s="17" t="n">
        <v>46109</v>
      </c>
      <c r="G3604" s="17" t="n">
        <v>46127</v>
      </c>
      <c r="H3604" s="18" t="n">
        <v>18</v>
      </c>
      <c r="I3604" s="19" t="n">
        <v>74.13</v>
      </c>
      <c r="J3604" s="19" t="n">
        <v>72</v>
      </c>
      <c r="K3604" s="20" t="n">
        <v>0</v>
      </c>
      <c r="L3604" s="20" t="n">
        <v>0</v>
      </c>
      <c r="M3604" s="18" t="n">
        <v>18</v>
      </c>
      <c r="N3604" s="18" t="n">
        <v>0</v>
      </c>
      <c r="O3604" s="18" t="n">
        <v>0</v>
      </c>
      <c r="P3604" s="17" t="n">
        <v>46129</v>
      </c>
      <c r="Q3604" s="17" t="n">
        <v>46129</v>
      </c>
      <c r="R3604" s="17" t="n">
        <v>46129</v>
      </c>
      <c r="S3604" s="19">
        <f>H3604*I3604</f>
        <v/>
      </c>
      <c r="T3604" s="19">
        <f>H3604*J3604</f>
        <v/>
      </c>
      <c r="U3604">
        <f>IF(AND(K3604=0,G3604&lt;=Assumptions!$C$6),1,0)</f>
        <v/>
      </c>
      <c r="V3604">
        <f>IF(U3604=1,IF(M3604&gt;0,IF(P3604&lt;=G3604+Assumptions!$C$7,1,0),0),0)</f>
        <v/>
      </c>
      <c r="W3604">
        <f>IF(AND(U3604=1,M3604&gt;=H3604*(1-Assumptions!$C$8)),1,0)</f>
        <v/>
      </c>
      <c r="X3604">
        <f>IF(AND(U3604=1,N3604&gt;=H3604*(1-Assumptions!$C$8)),1,0)</f>
        <v/>
      </c>
      <c r="Y3604">
        <f>IF(ISNUMBER(Q3604),1,0)</f>
        <v/>
      </c>
      <c r="Z3604">
        <f>IF(AND(K3604=0,L3604=0,Y3604=0),1,0)</f>
        <v/>
      </c>
      <c r="AA3604">
        <f>IF(AND(Z3604=1,G3604&lt;Assumptions!$C$6),1,0)</f>
        <v/>
      </c>
      <c r="AB3604">
        <f>IF(U3604=0,"",IF(Y3604=1,MAX(0,Q3604-G3604),IF(L3604=1,MAX(0,R3604-G3604),MAX(0,Assumptions!$C$6-G3604))))</f>
        <v/>
      </c>
      <c r="AC3604">
        <f>IF(Y3604=1,Q3604-F3604,"")</f>
        <v/>
      </c>
      <c r="AD3604">
        <f>IF(Y3604=1,AC3604^2,"")</f>
        <v/>
      </c>
      <c r="AE3604" s="19">
        <f>IF(Z3604=1,(H3604-M3604)*I3604,0)</f>
        <v/>
      </c>
      <c r="AF3604">
        <f>IF(G3604&lt;EDATE(Assumptions!$C$6,-12)+1,"prior_12m","last_12m")</f>
        <v/>
      </c>
      <c r="AG3604" s="21">
        <f>DATE(YEAR(G3604),MONTH(G3604),1)</f>
        <v/>
      </c>
    </row>
    <row r="3605">
      <c r="A3605" t="inlineStr">
        <is>
          <t>SPO-01920-3</t>
        </is>
      </c>
      <c r="B3605" t="inlineStr">
        <is>
          <t>SPO-01920</t>
        </is>
      </c>
      <c r="C3605" t="inlineStr">
        <is>
          <t>SUP-01</t>
        </is>
      </c>
      <c r="D3605" t="inlineStr">
        <is>
          <t>ELEC</t>
        </is>
      </c>
      <c r="E3605" t="inlineStr">
        <is>
          <t>ELEC-08</t>
        </is>
      </c>
      <c r="F3605" s="17" t="n">
        <v>46109</v>
      </c>
      <c r="G3605" s="17" t="n">
        <v>46127</v>
      </c>
      <c r="H3605" s="18" t="n">
        <v>130</v>
      </c>
      <c r="I3605" s="19" t="n">
        <v>17.69</v>
      </c>
      <c r="J3605" s="19" t="n">
        <v>18</v>
      </c>
      <c r="K3605" s="20" t="n">
        <v>0</v>
      </c>
      <c r="L3605" s="20" t="n">
        <v>0</v>
      </c>
      <c r="M3605" s="18" t="n">
        <v>130</v>
      </c>
      <c r="N3605" s="18" t="n">
        <v>130</v>
      </c>
      <c r="O3605" s="18" t="n">
        <v>0</v>
      </c>
      <c r="P3605" s="17" t="n">
        <v>46125</v>
      </c>
      <c r="Q3605" s="17" t="n">
        <v>46125</v>
      </c>
      <c r="R3605" s="17" t="n">
        <v>46125</v>
      </c>
      <c r="S3605" s="19">
        <f>H3605*I3605</f>
        <v/>
      </c>
      <c r="T3605" s="19">
        <f>H3605*J3605</f>
        <v/>
      </c>
      <c r="U3605">
        <f>IF(AND(K3605=0,G3605&lt;=Assumptions!$C$6),1,0)</f>
        <v/>
      </c>
      <c r="V3605">
        <f>IF(U3605=1,IF(M3605&gt;0,IF(P3605&lt;=G3605+Assumptions!$C$7,1,0),0),0)</f>
        <v/>
      </c>
      <c r="W3605">
        <f>IF(AND(U3605=1,M3605&gt;=H3605*(1-Assumptions!$C$8)),1,0)</f>
        <v/>
      </c>
      <c r="X3605">
        <f>IF(AND(U3605=1,N3605&gt;=H3605*(1-Assumptions!$C$8)),1,0)</f>
        <v/>
      </c>
      <c r="Y3605">
        <f>IF(ISNUMBER(Q3605),1,0)</f>
        <v/>
      </c>
      <c r="Z3605">
        <f>IF(AND(K3605=0,L3605=0,Y3605=0),1,0)</f>
        <v/>
      </c>
      <c r="AA3605">
        <f>IF(AND(Z3605=1,G3605&lt;Assumptions!$C$6),1,0)</f>
        <v/>
      </c>
      <c r="AB3605">
        <f>IF(U3605=0,"",IF(Y3605=1,MAX(0,Q3605-G3605),IF(L3605=1,MAX(0,R3605-G3605),MAX(0,Assumptions!$C$6-G3605))))</f>
        <v/>
      </c>
      <c r="AC3605">
        <f>IF(Y3605=1,Q3605-F3605,"")</f>
        <v/>
      </c>
      <c r="AD3605">
        <f>IF(Y3605=1,AC3605^2,"")</f>
        <v/>
      </c>
      <c r="AE3605" s="19">
        <f>IF(Z3605=1,(H3605-M3605)*I3605,0)</f>
        <v/>
      </c>
      <c r="AF3605">
        <f>IF(G3605&lt;EDATE(Assumptions!$C$6,-12)+1,"prior_12m","last_12m")</f>
        <v/>
      </c>
      <c r="AG3605" s="21">
        <f>DATE(YEAR(G3605),MONTH(G3605),1)</f>
        <v/>
      </c>
    </row>
    <row r="3606">
      <c r="A3606" t="inlineStr">
        <is>
          <t>SPO-01921-1</t>
        </is>
      </c>
      <c r="B3606" t="inlineStr">
        <is>
          <t>SPO-01921</t>
        </is>
      </c>
      <c r="C3606" t="inlineStr">
        <is>
          <t>SUP-09</t>
        </is>
      </c>
      <c r="D3606" t="inlineStr">
        <is>
          <t>CHEM</t>
        </is>
      </c>
      <c r="E3606" t="inlineStr">
        <is>
          <t>CHEM-04</t>
        </is>
      </c>
      <c r="F3606" s="17" t="n">
        <v>46109</v>
      </c>
      <c r="G3606" s="17" t="n">
        <v>46123</v>
      </c>
      <c r="H3606" s="18" t="n">
        <v>3</v>
      </c>
      <c r="I3606" s="19" t="n">
        <v>885.02</v>
      </c>
      <c r="J3606" s="19" t="n">
        <v>820</v>
      </c>
      <c r="K3606" s="20" t="n">
        <v>1</v>
      </c>
      <c r="L3606" s="20" t="n">
        <v>0</v>
      </c>
      <c r="M3606" s="18" t="n">
        <v>0</v>
      </c>
      <c r="N3606" s="18" t="n">
        <v>0</v>
      </c>
      <c r="O3606" s="18" t="n">
        <v>0</v>
      </c>
      <c r="P3606" s="17" t="n"/>
      <c r="Q3606" s="17" t="n"/>
      <c r="R3606" s="17" t="n"/>
      <c r="S3606" s="19">
        <f>H3606*I3606</f>
        <v/>
      </c>
      <c r="T3606" s="19">
        <f>H3606*J3606</f>
        <v/>
      </c>
      <c r="U3606">
        <f>IF(AND(K3606=0,G3606&lt;=Assumptions!$C$6),1,0)</f>
        <v/>
      </c>
      <c r="V3606">
        <f>IF(U3606=1,IF(M3606&gt;0,IF(P3606&lt;=G3606+Assumptions!$C$7,1,0),0),0)</f>
        <v/>
      </c>
      <c r="W3606">
        <f>IF(AND(U3606=1,M3606&gt;=H3606*(1-Assumptions!$C$8)),1,0)</f>
        <v/>
      </c>
      <c r="X3606">
        <f>IF(AND(U3606=1,N3606&gt;=H3606*(1-Assumptions!$C$8)),1,0)</f>
        <v/>
      </c>
      <c r="Y3606">
        <f>IF(ISNUMBER(Q3606),1,0)</f>
        <v/>
      </c>
      <c r="Z3606">
        <f>IF(AND(K3606=0,L3606=0,Y3606=0),1,0)</f>
        <v/>
      </c>
      <c r="AA3606">
        <f>IF(AND(Z3606=1,G3606&lt;Assumptions!$C$6),1,0)</f>
        <v/>
      </c>
      <c r="AB3606">
        <f>IF(U3606=0,"",IF(Y3606=1,MAX(0,Q3606-G3606),IF(L3606=1,MAX(0,R3606-G3606),MAX(0,Assumptions!$C$6-G3606))))</f>
        <v/>
      </c>
      <c r="AC3606">
        <f>IF(Y3606=1,Q3606-F3606,"")</f>
        <v/>
      </c>
      <c r="AD3606">
        <f>IF(Y3606=1,AC3606^2,"")</f>
        <v/>
      </c>
      <c r="AE3606" s="19">
        <f>IF(Z3606=1,(H3606-M3606)*I3606,0)</f>
        <v/>
      </c>
      <c r="AF3606">
        <f>IF(G3606&lt;EDATE(Assumptions!$C$6,-12)+1,"prior_12m","last_12m")</f>
        <v/>
      </c>
      <c r="AG3606" s="21">
        <f>DATE(YEAR(G3606),MONTH(G3606),1)</f>
        <v/>
      </c>
    </row>
    <row r="3607">
      <c r="A3607" t="inlineStr">
        <is>
          <t>SPO-01922-1</t>
        </is>
      </c>
      <c r="B3607" t="inlineStr">
        <is>
          <t>SPO-01922</t>
        </is>
      </c>
      <c r="C3607" t="inlineStr">
        <is>
          <t>SUP-04</t>
        </is>
      </c>
      <c r="D3607" t="inlineStr">
        <is>
          <t>FLEET</t>
        </is>
      </c>
      <c r="E3607" t="inlineStr">
        <is>
          <t>FLEET-06</t>
        </is>
      </c>
      <c r="F3607" s="17" t="n">
        <v>46109</v>
      </c>
      <c r="G3607" s="17" t="n">
        <v>46122</v>
      </c>
      <c r="H3607" s="18" t="n">
        <v>131</v>
      </c>
      <c r="I3607" s="19" t="n">
        <v>32.37</v>
      </c>
      <c r="J3607" s="19" t="n">
        <v>33</v>
      </c>
      <c r="K3607" s="20" t="n">
        <v>0</v>
      </c>
      <c r="L3607" s="20" t="n">
        <v>0</v>
      </c>
      <c r="M3607" s="18" t="n">
        <v>131</v>
      </c>
      <c r="N3607" s="18" t="n">
        <v>131</v>
      </c>
      <c r="O3607" s="18" t="n">
        <v>0</v>
      </c>
      <c r="P3607" s="17" t="n">
        <v>46122</v>
      </c>
      <c r="Q3607" s="17" t="n">
        <v>46122</v>
      </c>
      <c r="R3607" s="17" t="n">
        <v>46122</v>
      </c>
      <c r="S3607" s="19">
        <f>H3607*I3607</f>
        <v/>
      </c>
      <c r="T3607" s="19">
        <f>H3607*J3607</f>
        <v/>
      </c>
      <c r="U3607">
        <f>IF(AND(K3607=0,G3607&lt;=Assumptions!$C$6),1,0)</f>
        <v/>
      </c>
      <c r="V3607">
        <f>IF(U3607=1,IF(M3607&gt;0,IF(P3607&lt;=G3607+Assumptions!$C$7,1,0),0),0)</f>
        <v/>
      </c>
      <c r="W3607">
        <f>IF(AND(U3607=1,M3607&gt;=H3607*(1-Assumptions!$C$8)),1,0)</f>
        <v/>
      </c>
      <c r="X3607">
        <f>IF(AND(U3607=1,N3607&gt;=H3607*(1-Assumptions!$C$8)),1,0)</f>
        <v/>
      </c>
      <c r="Y3607">
        <f>IF(ISNUMBER(Q3607),1,0)</f>
        <v/>
      </c>
      <c r="Z3607">
        <f>IF(AND(K3607=0,L3607=0,Y3607=0),1,0)</f>
        <v/>
      </c>
      <c r="AA3607">
        <f>IF(AND(Z3607=1,G3607&lt;Assumptions!$C$6),1,0)</f>
        <v/>
      </c>
      <c r="AB3607">
        <f>IF(U3607=0,"",IF(Y3607=1,MAX(0,Q3607-G3607),IF(L3607=1,MAX(0,R3607-G3607),MAX(0,Assumptions!$C$6-G3607))))</f>
        <v/>
      </c>
      <c r="AC3607">
        <f>IF(Y3607=1,Q3607-F3607,"")</f>
        <v/>
      </c>
      <c r="AD3607">
        <f>IF(Y3607=1,AC3607^2,"")</f>
        <v/>
      </c>
      <c r="AE3607" s="19">
        <f>IF(Z3607=1,(H3607-M3607)*I3607,0)</f>
        <v/>
      </c>
      <c r="AF3607">
        <f>IF(G3607&lt;EDATE(Assumptions!$C$6,-12)+1,"prior_12m","last_12m")</f>
        <v/>
      </c>
      <c r="AG3607" s="21">
        <f>DATE(YEAR(G3607),MONTH(G3607),1)</f>
        <v/>
      </c>
    </row>
    <row r="3608">
      <c r="A3608" t="inlineStr">
        <is>
          <t>SPO-01922-2</t>
        </is>
      </c>
      <c r="B3608" t="inlineStr">
        <is>
          <t>SPO-01922</t>
        </is>
      </c>
      <c r="C3608" t="inlineStr">
        <is>
          <t>SUP-04</t>
        </is>
      </c>
      <c r="D3608" t="inlineStr">
        <is>
          <t>FLEET</t>
        </is>
      </c>
      <c r="E3608" t="inlineStr">
        <is>
          <t>FLEET-02</t>
        </is>
      </c>
      <c r="F3608" s="17" t="n">
        <v>46109</v>
      </c>
      <c r="G3608" s="17" t="n">
        <v>46122</v>
      </c>
      <c r="H3608" s="18" t="n">
        <v>192</v>
      </c>
      <c r="I3608" s="19" t="n">
        <v>7.48</v>
      </c>
      <c r="J3608" s="19" t="n">
        <v>7.5</v>
      </c>
      <c r="K3608" s="20" t="n">
        <v>0</v>
      </c>
      <c r="L3608" s="20" t="n">
        <v>0</v>
      </c>
      <c r="M3608" s="18" t="n">
        <v>192</v>
      </c>
      <c r="N3608" s="18" t="n">
        <v>192</v>
      </c>
      <c r="O3608" s="18" t="n">
        <v>0</v>
      </c>
      <c r="P3608" s="17" t="n">
        <v>46110</v>
      </c>
      <c r="Q3608" s="17" t="n">
        <v>46115</v>
      </c>
      <c r="R3608" s="17" t="n">
        <v>46115</v>
      </c>
      <c r="S3608" s="19">
        <f>H3608*I3608</f>
        <v/>
      </c>
      <c r="T3608" s="19">
        <f>H3608*J3608</f>
        <v/>
      </c>
      <c r="U3608">
        <f>IF(AND(K3608=0,G3608&lt;=Assumptions!$C$6),1,0)</f>
        <v/>
      </c>
      <c r="V3608">
        <f>IF(U3608=1,IF(M3608&gt;0,IF(P3608&lt;=G3608+Assumptions!$C$7,1,0),0),0)</f>
        <v/>
      </c>
      <c r="W3608">
        <f>IF(AND(U3608=1,M3608&gt;=H3608*(1-Assumptions!$C$8)),1,0)</f>
        <v/>
      </c>
      <c r="X3608">
        <f>IF(AND(U3608=1,N3608&gt;=H3608*(1-Assumptions!$C$8)),1,0)</f>
        <v/>
      </c>
      <c r="Y3608">
        <f>IF(ISNUMBER(Q3608),1,0)</f>
        <v/>
      </c>
      <c r="Z3608">
        <f>IF(AND(K3608=0,L3608=0,Y3608=0),1,0)</f>
        <v/>
      </c>
      <c r="AA3608">
        <f>IF(AND(Z3608=1,G3608&lt;Assumptions!$C$6),1,0)</f>
        <v/>
      </c>
      <c r="AB3608">
        <f>IF(U3608=0,"",IF(Y3608=1,MAX(0,Q3608-G3608),IF(L3608=1,MAX(0,R3608-G3608),MAX(0,Assumptions!$C$6-G3608))))</f>
        <v/>
      </c>
      <c r="AC3608">
        <f>IF(Y3608=1,Q3608-F3608,"")</f>
        <v/>
      </c>
      <c r="AD3608">
        <f>IF(Y3608=1,AC3608^2,"")</f>
        <v/>
      </c>
      <c r="AE3608" s="19">
        <f>IF(Z3608=1,(H3608-M3608)*I3608,0)</f>
        <v/>
      </c>
      <c r="AF3608">
        <f>IF(G3608&lt;EDATE(Assumptions!$C$6,-12)+1,"prior_12m","last_12m")</f>
        <v/>
      </c>
      <c r="AG3608" s="21">
        <f>DATE(YEAR(G3608),MONTH(G3608),1)</f>
        <v/>
      </c>
    </row>
    <row r="3609">
      <c r="A3609" t="inlineStr">
        <is>
          <t>SPO-01923-1</t>
        </is>
      </c>
      <c r="B3609" t="inlineStr">
        <is>
          <t>SPO-01923</t>
        </is>
      </c>
      <c r="C3609" t="inlineStr">
        <is>
          <t>SUP-07</t>
        </is>
      </c>
      <c r="D3609" t="inlineStr">
        <is>
          <t>MRO</t>
        </is>
      </c>
      <c r="E3609" t="inlineStr">
        <is>
          <t>MRO-07</t>
        </is>
      </c>
      <c r="F3609" s="17" t="n">
        <v>46109</v>
      </c>
      <c r="G3609" s="17" t="n">
        <v>46119</v>
      </c>
      <c r="H3609" s="18" t="n">
        <v>96</v>
      </c>
      <c r="I3609" s="19" t="n">
        <v>14.44</v>
      </c>
      <c r="J3609" s="19" t="n">
        <v>14</v>
      </c>
      <c r="K3609" s="20" t="n">
        <v>0</v>
      </c>
      <c r="L3609" s="20" t="n">
        <v>1</v>
      </c>
      <c r="M3609" s="18" t="n">
        <v>62</v>
      </c>
      <c r="N3609" s="18" t="n">
        <v>62</v>
      </c>
      <c r="O3609" s="18" t="n">
        <v>0</v>
      </c>
      <c r="P3609" s="17" t="n">
        <v>46117</v>
      </c>
      <c r="Q3609" s="17" t="n"/>
      <c r="R3609" s="17" t="n">
        <v>46117</v>
      </c>
      <c r="S3609" s="19">
        <f>H3609*I3609</f>
        <v/>
      </c>
      <c r="T3609" s="19">
        <f>H3609*J3609</f>
        <v/>
      </c>
      <c r="U3609">
        <f>IF(AND(K3609=0,G3609&lt;=Assumptions!$C$6),1,0)</f>
        <v/>
      </c>
      <c r="V3609">
        <f>IF(U3609=1,IF(M3609&gt;0,IF(P3609&lt;=G3609+Assumptions!$C$7,1,0),0),0)</f>
        <v/>
      </c>
      <c r="W3609">
        <f>IF(AND(U3609=1,M3609&gt;=H3609*(1-Assumptions!$C$8)),1,0)</f>
        <v/>
      </c>
      <c r="X3609">
        <f>IF(AND(U3609=1,N3609&gt;=H3609*(1-Assumptions!$C$8)),1,0)</f>
        <v/>
      </c>
      <c r="Y3609">
        <f>IF(ISNUMBER(Q3609),1,0)</f>
        <v/>
      </c>
      <c r="Z3609">
        <f>IF(AND(K3609=0,L3609=0,Y3609=0),1,0)</f>
        <v/>
      </c>
      <c r="AA3609">
        <f>IF(AND(Z3609=1,G3609&lt;Assumptions!$C$6),1,0)</f>
        <v/>
      </c>
      <c r="AB3609">
        <f>IF(U3609=0,"",IF(Y3609=1,MAX(0,Q3609-G3609),IF(L3609=1,MAX(0,R3609-G3609),MAX(0,Assumptions!$C$6-G3609))))</f>
        <v/>
      </c>
      <c r="AC3609">
        <f>IF(Y3609=1,Q3609-F3609,"")</f>
        <v/>
      </c>
      <c r="AD3609">
        <f>IF(Y3609=1,AC3609^2,"")</f>
        <v/>
      </c>
      <c r="AE3609" s="19">
        <f>IF(Z3609=1,(H3609-M3609)*I3609,0)</f>
        <v/>
      </c>
      <c r="AF3609">
        <f>IF(G3609&lt;EDATE(Assumptions!$C$6,-12)+1,"prior_12m","last_12m")</f>
        <v/>
      </c>
      <c r="AG3609" s="21">
        <f>DATE(YEAR(G3609),MONTH(G3609),1)</f>
        <v/>
      </c>
    </row>
    <row r="3610">
      <c r="A3610" t="inlineStr">
        <is>
          <t>SPO-01923-2</t>
        </is>
      </c>
      <c r="B3610" t="inlineStr">
        <is>
          <t>SPO-01923</t>
        </is>
      </c>
      <c r="C3610" t="inlineStr">
        <is>
          <t>SUP-07</t>
        </is>
      </c>
      <c r="D3610" t="inlineStr">
        <is>
          <t>MRO</t>
        </is>
      </c>
      <c r="E3610" t="inlineStr">
        <is>
          <t>MRO-02</t>
        </is>
      </c>
      <c r="F3610" s="17" t="n">
        <v>46109</v>
      </c>
      <c r="G3610" s="17" t="n">
        <v>46119</v>
      </c>
      <c r="H3610" s="18" t="n">
        <v>42</v>
      </c>
      <c r="I3610" s="19" t="n">
        <v>39.37</v>
      </c>
      <c r="J3610" s="19" t="n">
        <v>41</v>
      </c>
      <c r="K3610" s="20" t="n">
        <v>0</v>
      </c>
      <c r="L3610" s="20" t="n">
        <v>0</v>
      </c>
      <c r="M3610" s="18" t="n">
        <v>42</v>
      </c>
      <c r="N3610" s="18" t="n">
        <v>42</v>
      </c>
      <c r="O3610" s="18" t="n">
        <v>0</v>
      </c>
      <c r="P3610" s="17" t="n">
        <v>46118</v>
      </c>
      <c r="Q3610" s="17" t="n">
        <v>46118</v>
      </c>
      <c r="R3610" s="17" t="n">
        <v>46118</v>
      </c>
      <c r="S3610" s="19">
        <f>H3610*I3610</f>
        <v/>
      </c>
      <c r="T3610" s="19">
        <f>H3610*J3610</f>
        <v/>
      </c>
      <c r="U3610">
        <f>IF(AND(K3610=0,G3610&lt;=Assumptions!$C$6),1,0)</f>
        <v/>
      </c>
      <c r="V3610">
        <f>IF(U3610=1,IF(M3610&gt;0,IF(P3610&lt;=G3610+Assumptions!$C$7,1,0),0),0)</f>
        <v/>
      </c>
      <c r="W3610">
        <f>IF(AND(U3610=1,M3610&gt;=H3610*(1-Assumptions!$C$8)),1,0)</f>
        <v/>
      </c>
      <c r="X3610">
        <f>IF(AND(U3610=1,N3610&gt;=H3610*(1-Assumptions!$C$8)),1,0)</f>
        <v/>
      </c>
      <c r="Y3610">
        <f>IF(ISNUMBER(Q3610),1,0)</f>
        <v/>
      </c>
      <c r="Z3610">
        <f>IF(AND(K3610=0,L3610=0,Y3610=0),1,0)</f>
        <v/>
      </c>
      <c r="AA3610">
        <f>IF(AND(Z3610=1,G3610&lt;Assumptions!$C$6),1,0)</f>
        <v/>
      </c>
      <c r="AB3610">
        <f>IF(U3610=0,"",IF(Y3610=1,MAX(0,Q3610-G3610),IF(L3610=1,MAX(0,R3610-G3610),MAX(0,Assumptions!$C$6-G3610))))</f>
        <v/>
      </c>
      <c r="AC3610">
        <f>IF(Y3610=1,Q3610-F3610,"")</f>
        <v/>
      </c>
      <c r="AD3610">
        <f>IF(Y3610=1,AC3610^2,"")</f>
        <v/>
      </c>
      <c r="AE3610" s="19">
        <f>IF(Z3610=1,(H3610-M3610)*I3610,0)</f>
        <v/>
      </c>
      <c r="AF3610">
        <f>IF(G3610&lt;EDATE(Assumptions!$C$6,-12)+1,"prior_12m","last_12m")</f>
        <v/>
      </c>
      <c r="AG3610" s="21">
        <f>DATE(YEAR(G3610),MONTH(G3610),1)</f>
        <v/>
      </c>
    </row>
    <row r="3611">
      <c r="A3611" t="inlineStr">
        <is>
          <t>SPO-01924-1</t>
        </is>
      </c>
      <c r="B3611" t="inlineStr">
        <is>
          <t>SPO-01924</t>
        </is>
      </c>
      <c r="C3611" t="inlineStr">
        <is>
          <t>SUP-01</t>
        </is>
      </c>
      <c r="D3611" t="inlineStr">
        <is>
          <t>ELEC</t>
        </is>
      </c>
      <c r="E3611" t="inlineStr">
        <is>
          <t>ELEC-07</t>
        </is>
      </c>
      <c r="F3611" s="17" t="n">
        <v>46109</v>
      </c>
      <c r="G3611" s="17" t="n">
        <v>46127</v>
      </c>
      <c r="H3611" s="18" t="n">
        <v>247</v>
      </c>
      <c r="I3611" s="19" t="n">
        <v>10.23</v>
      </c>
      <c r="J3611" s="19" t="n">
        <v>9.800000000000001</v>
      </c>
      <c r="K3611" s="20" t="n">
        <v>0</v>
      </c>
      <c r="L3611" s="20" t="n">
        <v>0</v>
      </c>
      <c r="M3611" s="18" t="n">
        <v>247</v>
      </c>
      <c r="N3611" s="18" t="n">
        <v>247</v>
      </c>
      <c r="O3611" s="18" t="n">
        <v>0</v>
      </c>
      <c r="P3611" s="17" t="n">
        <v>46113</v>
      </c>
      <c r="Q3611" s="17" t="n">
        <v>46113</v>
      </c>
      <c r="R3611" s="17" t="n">
        <v>46113</v>
      </c>
      <c r="S3611" s="19">
        <f>H3611*I3611</f>
        <v/>
      </c>
      <c r="T3611" s="19">
        <f>H3611*J3611</f>
        <v/>
      </c>
      <c r="U3611">
        <f>IF(AND(K3611=0,G3611&lt;=Assumptions!$C$6),1,0)</f>
        <v/>
      </c>
      <c r="V3611">
        <f>IF(U3611=1,IF(M3611&gt;0,IF(P3611&lt;=G3611+Assumptions!$C$7,1,0),0),0)</f>
        <v/>
      </c>
      <c r="W3611">
        <f>IF(AND(U3611=1,M3611&gt;=H3611*(1-Assumptions!$C$8)),1,0)</f>
        <v/>
      </c>
      <c r="X3611">
        <f>IF(AND(U3611=1,N3611&gt;=H3611*(1-Assumptions!$C$8)),1,0)</f>
        <v/>
      </c>
      <c r="Y3611">
        <f>IF(ISNUMBER(Q3611),1,0)</f>
        <v/>
      </c>
      <c r="Z3611">
        <f>IF(AND(K3611=0,L3611=0,Y3611=0),1,0)</f>
        <v/>
      </c>
      <c r="AA3611">
        <f>IF(AND(Z3611=1,G3611&lt;Assumptions!$C$6),1,0)</f>
        <v/>
      </c>
      <c r="AB3611">
        <f>IF(U3611=0,"",IF(Y3611=1,MAX(0,Q3611-G3611),IF(L3611=1,MAX(0,R3611-G3611),MAX(0,Assumptions!$C$6-G3611))))</f>
        <v/>
      </c>
      <c r="AC3611">
        <f>IF(Y3611=1,Q3611-F3611,"")</f>
        <v/>
      </c>
      <c r="AD3611">
        <f>IF(Y3611=1,AC3611^2,"")</f>
        <v/>
      </c>
      <c r="AE3611" s="19">
        <f>IF(Z3611=1,(H3611-M3611)*I3611,0)</f>
        <v/>
      </c>
      <c r="AF3611">
        <f>IF(G3611&lt;EDATE(Assumptions!$C$6,-12)+1,"prior_12m","last_12m")</f>
        <v/>
      </c>
      <c r="AG3611" s="21">
        <f>DATE(YEAR(G3611),MONTH(G3611),1)</f>
        <v/>
      </c>
    </row>
    <row r="3612">
      <c r="A3612" t="inlineStr">
        <is>
          <t>SPO-01924-2</t>
        </is>
      </c>
      <c r="B3612" t="inlineStr">
        <is>
          <t>SPO-01924</t>
        </is>
      </c>
      <c r="C3612" t="inlineStr">
        <is>
          <t>SUP-01</t>
        </is>
      </c>
      <c r="D3612" t="inlineStr">
        <is>
          <t>ELEC</t>
        </is>
      </c>
      <c r="E3612" t="inlineStr">
        <is>
          <t>ELEC-08</t>
        </is>
      </c>
      <c r="F3612" s="17" t="n">
        <v>46109</v>
      </c>
      <c r="G3612" s="17" t="n">
        <v>46127</v>
      </c>
      <c r="H3612" s="18" t="n">
        <v>239</v>
      </c>
      <c r="I3612" s="19" t="n">
        <v>18.49</v>
      </c>
      <c r="J3612" s="19" t="n">
        <v>18</v>
      </c>
      <c r="K3612" s="20" t="n">
        <v>1</v>
      </c>
      <c r="L3612" s="20" t="n">
        <v>0</v>
      </c>
      <c r="M3612" s="18" t="n">
        <v>0</v>
      </c>
      <c r="N3612" s="18" t="n">
        <v>0</v>
      </c>
      <c r="O3612" s="18" t="n">
        <v>0</v>
      </c>
      <c r="P3612" s="17" t="n"/>
      <c r="Q3612" s="17" t="n"/>
      <c r="R3612" s="17" t="n"/>
      <c r="S3612" s="19">
        <f>H3612*I3612</f>
        <v/>
      </c>
      <c r="T3612" s="19">
        <f>H3612*J3612</f>
        <v/>
      </c>
      <c r="U3612">
        <f>IF(AND(K3612=0,G3612&lt;=Assumptions!$C$6),1,0)</f>
        <v/>
      </c>
      <c r="V3612">
        <f>IF(U3612=1,IF(M3612&gt;0,IF(P3612&lt;=G3612+Assumptions!$C$7,1,0),0),0)</f>
        <v/>
      </c>
      <c r="W3612">
        <f>IF(AND(U3612=1,M3612&gt;=H3612*(1-Assumptions!$C$8)),1,0)</f>
        <v/>
      </c>
      <c r="X3612">
        <f>IF(AND(U3612=1,N3612&gt;=H3612*(1-Assumptions!$C$8)),1,0)</f>
        <v/>
      </c>
      <c r="Y3612">
        <f>IF(ISNUMBER(Q3612),1,0)</f>
        <v/>
      </c>
      <c r="Z3612">
        <f>IF(AND(K3612=0,L3612=0,Y3612=0),1,0)</f>
        <v/>
      </c>
      <c r="AA3612">
        <f>IF(AND(Z3612=1,G3612&lt;Assumptions!$C$6),1,0)</f>
        <v/>
      </c>
      <c r="AB3612">
        <f>IF(U3612=0,"",IF(Y3612=1,MAX(0,Q3612-G3612),IF(L3612=1,MAX(0,R3612-G3612),MAX(0,Assumptions!$C$6-G3612))))</f>
        <v/>
      </c>
      <c r="AC3612">
        <f>IF(Y3612=1,Q3612-F3612,"")</f>
        <v/>
      </c>
      <c r="AD3612">
        <f>IF(Y3612=1,AC3612^2,"")</f>
        <v/>
      </c>
      <c r="AE3612" s="19">
        <f>IF(Z3612=1,(H3612-M3612)*I3612,0)</f>
        <v/>
      </c>
      <c r="AF3612">
        <f>IF(G3612&lt;EDATE(Assumptions!$C$6,-12)+1,"prior_12m","last_12m")</f>
        <v/>
      </c>
      <c r="AG3612" s="21">
        <f>DATE(YEAR(G3612),MONTH(G3612),1)</f>
        <v/>
      </c>
    </row>
    <row r="3613">
      <c r="A3613" t="inlineStr">
        <is>
          <t>SPO-01925-1</t>
        </is>
      </c>
      <c r="B3613" t="inlineStr">
        <is>
          <t>SPO-01925</t>
        </is>
      </c>
      <c r="C3613" t="inlineStr">
        <is>
          <t>SUP-05</t>
        </is>
      </c>
      <c r="D3613" t="inlineStr">
        <is>
          <t>FLEET</t>
        </is>
      </c>
      <c r="E3613" t="inlineStr">
        <is>
          <t>FLEET-06</t>
        </is>
      </c>
      <c r="F3613" s="17" t="n">
        <v>46110</v>
      </c>
      <c r="G3613" s="17" t="n">
        <v>46124</v>
      </c>
      <c r="H3613" s="18" t="n">
        <v>54</v>
      </c>
      <c r="I3613" s="19" t="n">
        <v>33.22</v>
      </c>
      <c r="J3613" s="19" t="n">
        <v>33</v>
      </c>
      <c r="K3613" s="20" t="n">
        <v>0</v>
      </c>
      <c r="L3613" s="20" t="n">
        <v>0</v>
      </c>
      <c r="M3613" s="18" t="n">
        <v>54</v>
      </c>
      <c r="N3613" s="18" t="n">
        <v>54</v>
      </c>
      <c r="O3613" s="18" t="n">
        <v>0</v>
      </c>
      <c r="P3613" s="17" t="n">
        <v>46122</v>
      </c>
      <c r="Q3613" s="17" t="n">
        <v>46122</v>
      </c>
      <c r="R3613" s="17" t="n">
        <v>46122</v>
      </c>
      <c r="S3613" s="19">
        <f>H3613*I3613</f>
        <v/>
      </c>
      <c r="T3613" s="19">
        <f>H3613*J3613</f>
        <v/>
      </c>
      <c r="U3613">
        <f>IF(AND(K3613=0,G3613&lt;=Assumptions!$C$6),1,0)</f>
        <v/>
      </c>
      <c r="V3613">
        <f>IF(U3613=1,IF(M3613&gt;0,IF(P3613&lt;=G3613+Assumptions!$C$7,1,0),0),0)</f>
        <v/>
      </c>
      <c r="W3613">
        <f>IF(AND(U3613=1,M3613&gt;=H3613*(1-Assumptions!$C$8)),1,0)</f>
        <v/>
      </c>
      <c r="X3613">
        <f>IF(AND(U3613=1,N3613&gt;=H3613*(1-Assumptions!$C$8)),1,0)</f>
        <v/>
      </c>
      <c r="Y3613">
        <f>IF(ISNUMBER(Q3613),1,0)</f>
        <v/>
      </c>
      <c r="Z3613">
        <f>IF(AND(K3613=0,L3613=0,Y3613=0),1,0)</f>
        <v/>
      </c>
      <c r="AA3613">
        <f>IF(AND(Z3613=1,G3613&lt;Assumptions!$C$6),1,0)</f>
        <v/>
      </c>
      <c r="AB3613">
        <f>IF(U3613=0,"",IF(Y3613=1,MAX(0,Q3613-G3613),IF(L3613=1,MAX(0,R3613-G3613),MAX(0,Assumptions!$C$6-G3613))))</f>
        <v/>
      </c>
      <c r="AC3613">
        <f>IF(Y3613=1,Q3613-F3613,"")</f>
        <v/>
      </c>
      <c r="AD3613">
        <f>IF(Y3613=1,AC3613^2,"")</f>
        <v/>
      </c>
      <c r="AE3613" s="19">
        <f>IF(Z3613=1,(H3613-M3613)*I3613,0)</f>
        <v/>
      </c>
      <c r="AF3613">
        <f>IF(G3613&lt;EDATE(Assumptions!$C$6,-12)+1,"prior_12m","last_12m")</f>
        <v/>
      </c>
      <c r="AG3613" s="21">
        <f>DATE(YEAR(G3613),MONTH(G3613),1)</f>
        <v/>
      </c>
    </row>
    <row r="3614">
      <c r="A3614" t="inlineStr">
        <is>
          <t>SPO-01925-2</t>
        </is>
      </c>
      <c r="B3614" t="inlineStr">
        <is>
          <t>SPO-01925</t>
        </is>
      </c>
      <c r="C3614" t="inlineStr">
        <is>
          <t>SUP-05</t>
        </is>
      </c>
      <c r="D3614" t="inlineStr">
        <is>
          <t>FLEET</t>
        </is>
      </c>
      <c r="E3614" t="inlineStr">
        <is>
          <t>FLEET-05</t>
        </is>
      </c>
      <c r="F3614" s="17" t="n">
        <v>46110</v>
      </c>
      <c r="G3614" s="17" t="n">
        <v>46124</v>
      </c>
      <c r="H3614" s="18" t="n">
        <v>8</v>
      </c>
      <c r="I3614" s="19" t="n">
        <v>180.94</v>
      </c>
      <c r="J3614" s="19" t="n">
        <v>168</v>
      </c>
      <c r="K3614" s="20" t="n">
        <v>0</v>
      </c>
      <c r="L3614" s="20" t="n">
        <v>0</v>
      </c>
      <c r="M3614" s="18" t="n">
        <v>8</v>
      </c>
      <c r="N3614" s="18" t="n">
        <v>8</v>
      </c>
      <c r="O3614" s="18" t="n">
        <v>0</v>
      </c>
      <c r="P3614" s="17" t="n">
        <v>46122</v>
      </c>
      <c r="Q3614" s="17" t="n">
        <v>46122</v>
      </c>
      <c r="R3614" s="17" t="n">
        <v>46122</v>
      </c>
      <c r="S3614" s="19">
        <f>H3614*I3614</f>
        <v/>
      </c>
      <c r="T3614" s="19">
        <f>H3614*J3614</f>
        <v/>
      </c>
      <c r="U3614">
        <f>IF(AND(K3614=0,G3614&lt;=Assumptions!$C$6),1,0)</f>
        <v/>
      </c>
      <c r="V3614">
        <f>IF(U3614=1,IF(M3614&gt;0,IF(P3614&lt;=G3614+Assumptions!$C$7,1,0),0),0)</f>
        <v/>
      </c>
      <c r="W3614">
        <f>IF(AND(U3614=1,M3614&gt;=H3614*(1-Assumptions!$C$8)),1,0)</f>
        <v/>
      </c>
      <c r="X3614">
        <f>IF(AND(U3614=1,N3614&gt;=H3614*(1-Assumptions!$C$8)),1,0)</f>
        <v/>
      </c>
      <c r="Y3614">
        <f>IF(ISNUMBER(Q3614),1,0)</f>
        <v/>
      </c>
      <c r="Z3614">
        <f>IF(AND(K3614=0,L3614=0,Y3614=0),1,0)</f>
        <v/>
      </c>
      <c r="AA3614">
        <f>IF(AND(Z3614=1,G3614&lt;Assumptions!$C$6),1,0)</f>
        <v/>
      </c>
      <c r="AB3614">
        <f>IF(U3614=0,"",IF(Y3614=1,MAX(0,Q3614-G3614),IF(L3614=1,MAX(0,R3614-G3614),MAX(0,Assumptions!$C$6-G3614))))</f>
        <v/>
      </c>
      <c r="AC3614">
        <f>IF(Y3614=1,Q3614-F3614,"")</f>
        <v/>
      </c>
      <c r="AD3614">
        <f>IF(Y3614=1,AC3614^2,"")</f>
        <v/>
      </c>
      <c r="AE3614" s="19">
        <f>IF(Z3614=1,(H3614-M3614)*I3614,0)</f>
        <v/>
      </c>
      <c r="AF3614">
        <f>IF(G3614&lt;EDATE(Assumptions!$C$6,-12)+1,"prior_12m","last_12m")</f>
        <v/>
      </c>
      <c r="AG3614" s="21">
        <f>DATE(YEAR(G3614),MONTH(G3614),1)</f>
        <v/>
      </c>
    </row>
    <row r="3615">
      <c r="A3615" t="inlineStr">
        <is>
          <t>SPO-01926-1</t>
        </is>
      </c>
      <c r="B3615" t="inlineStr">
        <is>
          <t>SPO-01926</t>
        </is>
      </c>
      <c r="C3615" t="inlineStr">
        <is>
          <t>SUP-12</t>
        </is>
      </c>
      <c r="D3615" t="inlineStr">
        <is>
          <t>IT</t>
        </is>
      </c>
      <c r="E3615" t="inlineStr">
        <is>
          <t>IT-08</t>
        </is>
      </c>
      <c r="F3615" s="17" t="n">
        <v>46110</v>
      </c>
      <c r="G3615" s="17" t="n">
        <v>46120</v>
      </c>
      <c r="H3615" s="18" t="n">
        <v>5</v>
      </c>
      <c r="I3615" s="19" t="n">
        <v>282.41</v>
      </c>
      <c r="J3615" s="19" t="n">
        <v>245</v>
      </c>
      <c r="K3615" s="20" t="n">
        <v>0</v>
      </c>
      <c r="L3615" s="20" t="n">
        <v>0</v>
      </c>
      <c r="M3615" s="18" t="n">
        <v>5</v>
      </c>
      <c r="N3615" s="18" t="n">
        <v>5</v>
      </c>
      <c r="O3615" s="18" t="n">
        <v>0</v>
      </c>
      <c r="P3615" s="17" t="n">
        <v>46119</v>
      </c>
      <c r="Q3615" s="17" t="n">
        <v>46119</v>
      </c>
      <c r="R3615" s="17" t="n">
        <v>46119</v>
      </c>
      <c r="S3615" s="19">
        <f>H3615*I3615</f>
        <v/>
      </c>
      <c r="T3615" s="19">
        <f>H3615*J3615</f>
        <v/>
      </c>
      <c r="U3615">
        <f>IF(AND(K3615=0,G3615&lt;=Assumptions!$C$6),1,0)</f>
        <v/>
      </c>
      <c r="V3615">
        <f>IF(U3615=1,IF(M3615&gt;0,IF(P3615&lt;=G3615+Assumptions!$C$7,1,0),0),0)</f>
        <v/>
      </c>
      <c r="W3615">
        <f>IF(AND(U3615=1,M3615&gt;=H3615*(1-Assumptions!$C$8)),1,0)</f>
        <v/>
      </c>
      <c r="X3615">
        <f>IF(AND(U3615=1,N3615&gt;=H3615*(1-Assumptions!$C$8)),1,0)</f>
        <v/>
      </c>
      <c r="Y3615">
        <f>IF(ISNUMBER(Q3615),1,0)</f>
        <v/>
      </c>
      <c r="Z3615">
        <f>IF(AND(K3615=0,L3615=0,Y3615=0),1,0)</f>
        <v/>
      </c>
      <c r="AA3615">
        <f>IF(AND(Z3615=1,G3615&lt;Assumptions!$C$6),1,0)</f>
        <v/>
      </c>
      <c r="AB3615">
        <f>IF(U3615=0,"",IF(Y3615=1,MAX(0,Q3615-G3615),IF(L3615=1,MAX(0,R3615-G3615),MAX(0,Assumptions!$C$6-G3615))))</f>
        <v/>
      </c>
      <c r="AC3615">
        <f>IF(Y3615=1,Q3615-F3615,"")</f>
        <v/>
      </c>
      <c r="AD3615">
        <f>IF(Y3615=1,AC3615^2,"")</f>
        <v/>
      </c>
      <c r="AE3615" s="19">
        <f>IF(Z3615=1,(H3615-M3615)*I3615,0)</f>
        <v/>
      </c>
      <c r="AF3615">
        <f>IF(G3615&lt;EDATE(Assumptions!$C$6,-12)+1,"prior_12m","last_12m")</f>
        <v/>
      </c>
      <c r="AG3615" s="21">
        <f>DATE(YEAR(G3615),MONTH(G3615),1)</f>
        <v/>
      </c>
    </row>
    <row r="3616">
      <c r="A3616" t="inlineStr">
        <is>
          <t>SPO-01926-2</t>
        </is>
      </c>
      <c r="B3616" t="inlineStr">
        <is>
          <t>SPO-01926</t>
        </is>
      </c>
      <c r="C3616" t="inlineStr">
        <is>
          <t>SUP-12</t>
        </is>
      </c>
      <c r="D3616" t="inlineStr">
        <is>
          <t>IT</t>
        </is>
      </c>
      <c r="E3616" t="inlineStr">
        <is>
          <t>IT-03</t>
        </is>
      </c>
      <c r="F3616" s="17" t="n">
        <v>46110</v>
      </c>
      <c r="G3616" s="17" t="n">
        <v>46120</v>
      </c>
      <c r="H3616" s="18" t="n">
        <v>24</v>
      </c>
      <c r="I3616" s="19" t="n">
        <v>44.54</v>
      </c>
      <c r="J3616" s="19" t="n">
        <v>38</v>
      </c>
      <c r="K3616" s="20" t="n">
        <v>0</v>
      </c>
      <c r="L3616" s="20" t="n">
        <v>0</v>
      </c>
      <c r="M3616" s="18" t="n">
        <v>24</v>
      </c>
      <c r="N3616" s="18" t="n">
        <v>24</v>
      </c>
      <c r="O3616" s="18" t="n">
        <v>0</v>
      </c>
      <c r="P3616" s="17" t="n">
        <v>46119</v>
      </c>
      <c r="Q3616" s="17" t="n">
        <v>46119</v>
      </c>
      <c r="R3616" s="17" t="n">
        <v>46119</v>
      </c>
      <c r="S3616" s="19">
        <f>H3616*I3616</f>
        <v/>
      </c>
      <c r="T3616" s="19">
        <f>H3616*J3616</f>
        <v/>
      </c>
      <c r="U3616">
        <f>IF(AND(K3616=0,G3616&lt;=Assumptions!$C$6),1,0)</f>
        <v/>
      </c>
      <c r="V3616">
        <f>IF(U3616=1,IF(M3616&gt;0,IF(P3616&lt;=G3616+Assumptions!$C$7,1,0),0),0)</f>
        <v/>
      </c>
      <c r="W3616">
        <f>IF(AND(U3616=1,M3616&gt;=H3616*(1-Assumptions!$C$8)),1,0)</f>
        <v/>
      </c>
      <c r="X3616">
        <f>IF(AND(U3616=1,N3616&gt;=H3616*(1-Assumptions!$C$8)),1,0)</f>
        <v/>
      </c>
      <c r="Y3616">
        <f>IF(ISNUMBER(Q3616),1,0)</f>
        <v/>
      </c>
      <c r="Z3616">
        <f>IF(AND(K3616=0,L3616=0,Y3616=0),1,0)</f>
        <v/>
      </c>
      <c r="AA3616">
        <f>IF(AND(Z3616=1,G3616&lt;Assumptions!$C$6),1,0)</f>
        <v/>
      </c>
      <c r="AB3616">
        <f>IF(U3616=0,"",IF(Y3616=1,MAX(0,Q3616-G3616),IF(L3616=1,MAX(0,R3616-G3616),MAX(0,Assumptions!$C$6-G3616))))</f>
        <v/>
      </c>
      <c r="AC3616">
        <f>IF(Y3616=1,Q3616-F3616,"")</f>
        <v/>
      </c>
      <c r="AD3616">
        <f>IF(Y3616=1,AC3616^2,"")</f>
        <v/>
      </c>
      <c r="AE3616" s="19">
        <f>IF(Z3616=1,(H3616-M3616)*I3616,0)</f>
        <v/>
      </c>
      <c r="AF3616">
        <f>IF(G3616&lt;EDATE(Assumptions!$C$6,-12)+1,"prior_12m","last_12m")</f>
        <v/>
      </c>
      <c r="AG3616" s="21">
        <f>DATE(YEAR(G3616),MONTH(G3616),1)</f>
        <v/>
      </c>
    </row>
    <row r="3617">
      <c r="A3617" t="inlineStr">
        <is>
          <t>SPO-01927-1</t>
        </is>
      </c>
      <c r="B3617" t="inlineStr">
        <is>
          <t>SPO-01927</t>
        </is>
      </c>
      <c r="C3617" t="inlineStr">
        <is>
          <t>SUP-02</t>
        </is>
      </c>
      <c r="D3617" t="inlineStr">
        <is>
          <t>ELEC</t>
        </is>
      </c>
      <c r="E3617" t="inlineStr">
        <is>
          <t>ELEC-06</t>
        </is>
      </c>
      <c r="F3617" s="17" t="n">
        <v>46110</v>
      </c>
      <c r="G3617" s="17" t="n">
        <v>46126</v>
      </c>
      <c r="H3617" s="18" t="n">
        <v>14</v>
      </c>
      <c r="I3617" s="19" t="n">
        <v>146.05</v>
      </c>
      <c r="J3617" s="19" t="n">
        <v>145</v>
      </c>
      <c r="K3617" s="20" t="n">
        <v>0</v>
      </c>
      <c r="L3617" s="20" t="n">
        <v>0</v>
      </c>
      <c r="M3617" s="18" t="n">
        <v>14</v>
      </c>
      <c r="N3617" s="18" t="n">
        <v>8</v>
      </c>
      <c r="O3617" s="18" t="n">
        <v>0</v>
      </c>
      <c r="P3617" s="17" t="n">
        <v>46121</v>
      </c>
      <c r="Q3617" s="17" t="n">
        <v>46138</v>
      </c>
      <c r="R3617" s="17" t="n">
        <v>46138</v>
      </c>
      <c r="S3617" s="19">
        <f>H3617*I3617</f>
        <v/>
      </c>
      <c r="T3617" s="19">
        <f>H3617*J3617</f>
        <v/>
      </c>
      <c r="U3617">
        <f>IF(AND(K3617=0,G3617&lt;=Assumptions!$C$6),1,0)</f>
        <v/>
      </c>
      <c r="V3617">
        <f>IF(U3617=1,IF(M3617&gt;0,IF(P3617&lt;=G3617+Assumptions!$C$7,1,0),0),0)</f>
        <v/>
      </c>
      <c r="W3617">
        <f>IF(AND(U3617=1,M3617&gt;=H3617*(1-Assumptions!$C$8)),1,0)</f>
        <v/>
      </c>
      <c r="X3617">
        <f>IF(AND(U3617=1,N3617&gt;=H3617*(1-Assumptions!$C$8)),1,0)</f>
        <v/>
      </c>
      <c r="Y3617">
        <f>IF(ISNUMBER(Q3617),1,0)</f>
        <v/>
      </c>
      <c r="Z3617">
        <f>IF(AND(K3617=0,L3617=0,Y3617=0),1,0)</f>
        <v/>
      </c>
      <c r="AA3617">
        <f>IF(AND(Z3617=1,G3617&lt;Assumptions!$C$6),1,0)</f>
        <v/>
      </c>
      <c r="AB3617">
        <f>IF(U3617=0,"",IF(Y3617=1,MAX(0,Q3617-G3617),IF(L3617=1,MAX(0,R3617-G3617),MAX(0,Assumptions!$C$6-G3617))))</f>
        <v/>
      </c>
      <c r="AC3617">
        <f>IF(Y3617=1,Q3617-F3617,"")</f>
        <v/>
      </c>
      <c r="AD3617">
        <f>IF(Y3617=1,AC3617^2,"")</f>
        <v/>
      </c>
      <c r="AE3617" s="19">
        <f>IF(Z3617=1,(H3617-M3617)*I3617,0)</f>
        <v/>
      </c>
      <c r="AF3617">
        <f>IF(G3617&lt;EDATE(Assumptions!$C$6,-12)+1,"prior_12m","last_12m")</f>
        <v/>
      </c>
      <c r="AG3617" s="21">
        <f>DATE(YEAR(G3617),MONTH(G3617),1)</f>
        <v/>
      </c>
    </row>
    <row r="3618">
      <c r="A3618" t="inlineStr">
        <is>
          <t>SPO-01927-2</t>
        </is>
      </c>
      <c r="B3618" t="inlineStr">
        <is>
          <t>SPO-01927</t>
        </is>
      </c>
      <c r="C3618" t="inlineStr">
        <is>
          <t>SUP-02</t>
        </is>
      </c>
      <c r="D3618" t="inlineStr">
        <is>
          <t>ELEC</t>
        </is>
      </c>
      <c r="E3618" t="inlineStr">
        <is>
          <t>ELEC-05</t>
        </is>
      </c>
      <c r="F3618" s="17" t="n">
        <v>46110</v>
      </c>
      <c r="G3618" s="17" t="n">
        <v>46126</v>
      </c>
      <c r="H3618" s="18" t="n">
        <v>222</v>
      </c>
      <c r="I3618" s="19" t="n">
        <v>11.56</v>
      </c>
      <c r="J3618" s="19" t="n">
        <v>11.5</v>
      </c>
      <c r="K3618" s="20" t="n">
        <v>0</v>
      </c>
      <c r="L3618" s="20" t="n">
        <v>0</v>
      </c>
      <c r="M3618" s="18" t="n">
        <v>222</v>
      </c>
      <c r="N3618" s="18" t="n">
        <v>222</v>
      </c>
      <c r="O3618" s="18" t="n">
        <v>0</v>
      </c>
      <c r="P3618" s="17" t="n">
        <v>46123</v>
      </c>
      <c r="Q3618" s="17" t="n">
        <v>46123</v>
      </c>
      <c r="R3618" s="17" t="n">
        <v>46123</v>
      </c>
      <c r="S3618" s="19">
        <f>H3618*I3618</f>
        <v/>
      </c>
      <c r="T3618" s="19">
        <f>H3618*J3618</f>
        <v/>
      </c>
      <c r="U3618">
        <f>IF(AND(K3618=0,G3618&lt;=Assumptions!$C$6),1,0)</f>
        <v/>
      </c>
      <c r="V3618">
        <f>IF(U3618=1,IF(M3618&gt;0,IF(P3618&lt;=G3618+Assumptions!$C$7,1,0),0),0)</f>
        <v/>
      </c>
      <c r="W3618">
        <f>IF(AND(U3618=1,M3618&gt;=H3618*(1-Assumptions!$C$8)),1,0)</f>
        <v/>
      </c>
      <c r="X3618">
        <f>IF(AND(U3618=1,N3618&gt;=H3618*(1-Assumptions!$C$8)),1,0)</f>
        <v/>
      </c>
      <c r="Y3618">
        <f>IF(ISNUMBER(Q3618),1,0)</f>
        <v/>
      </c>
      <c r="Z3618">
        <f>IF(AND(K3618=0,L3618=0,Y3618=0),1,0)</f>
        <v/>
      </c>
      <c r="AA3618">
        <f>IF(AND(Z3618=1,G3618&lt;Assumptions!$C$6),1,0)</f>
        <v/>
      </c>
      <c r="AB3618">
        <f>IF(U3618=0,"",IF(Y3618=1,MAX(0,Q3618-G3618),IF(L3618=1,MAX(0,R3618-G3618),MAX(0,Assumptions!$C$6-G3618))))</f>
        <v/>
      </c>
      <c r="AC3618">
        <f>IF(Y3618=1,Q3618-F3618,"")</f>
        <v/>
      </c>
      <c r="AD3618">
        <f>IF(Y3618=1,AC3618^2,"")</f>
        <v/>
      </c>
      <c r="AE3618" s="19">
        <f>IF(Z3618=1,(H3618-M3618)*I3618,0)</f>
        <v/>
      </c>
      <c r="AF3618">
        <f>IF(G3618&lt;EDATE(Assumptions!$C$6,-12)+1,"prior_12m","last_12m")</f>
        <v/>
      </c>
      <c r="AG3618" s="21">
        <f>DATE(YEAR(G3618),MONTH(G3618),1)</f>
        <v/>
      </c>
    </row>
    <row r="3619">
      <c r="A3619" t="inlineStr">
        <is>
          <t>SPO-01928-1</t>
        </is>
      </c>
      <c r="B3619" t="inlineStr">
        <is>
          <t>SPO-01928</t>
        </is>
      </c>
      <c r="C3619" t="inlineStr">
        <is>
          <t>SUP-14</t>
        </is>
      </c>
      <c r="D3619" t="inlineStr">
        <is>
          <t>FLEET</t>
        </is>
      </c>
      <c r="E3619" t="inlineStr">
        <is>
          <t>FLEET-07</t>
        </is>
      </c>
      <c r="F3619" s="17" t="n">
        <v>46111</v>
      </c>
      <c r="G3619" s="17" t="n">
        <v>46125</v>
      </c>
      <c r="H3619" s="18" t="n">
        <v>20</v>
      </c>
      <c r="I3619" s="19" t="n">
        <v>124.3</v>
      </c>
      <c r="J3619" s="19" t="n">
        <v>118</v>
      </c>
      <c r="K3619" s="20" t="n">
        <v>0</v>
      </c>
      <c r="L3619" s="20" t="n">
        <v>0</v>
      </c>
      <c r="M3619" s="18" t="n">
        <v>20</v>
      </c>
      <c r="N3619" s="18" t="n">
        <v>20</v>
      </c>
      <c r="O3619" s="18" t="n">
        <v>0</v>
      </c>
      <c r="P3619" s="17" t="n">
        <v>46118</v>
      </c>
      <c r="Q3619" s="17" t="n">
        <v>46118</v>
      </c>
      <c r="R3619" s="17" t="n">
        <v>46118</v>
      </c>
      <c r="S3619" s="19">
        <f>H3619*I3619</f>
        <v/>
      </c>
      <c r="T3619" s="19">
        <f>H3619*J3619</f>
        <v/>
      </c>
      <c r="U3619">
        <f>IF(AND(K3619=0,G3619&lt;=Assumptions!$C$6),1,0)</f>
        <v/>
      </c>
      <c r="V3619">
        <f>IF(U3619=1,IF(M3619&gt;0,IF(P3619&lt;=G3619+Assumptions!$C$7,1,0),0),0)</f>
        <v/>
      </c>
      <c r="W3619">
        <f>IF(AND(U3619=1,M3619&gt;=H3619*(1-Assumptions!$C$8)),1,0)</f>
        <v/>
      </c>
      <c r="X3619">
        <f>IF(AND(U3619=1,N3619&gt;=H3619*(1-Assumptions!$C$8)),1,0)</f>
        <v/>
      </c>
      <c r="Y3619">
        <f>IF(ISNUMBER(Q3619),1,0)</f>
        <v/>
      </c>
      <c r="Z3619">
        <f>IF(AND(K3619=0,L3619=0,Y3619=0),1,0)</f>
        <v/>
      </c>
      <c r="AA3619">
        <f>IF(AND(Z3619=1,G3619&lt;Assumptions!$C$6),1,0)</f>
        <v/>
      </c>
      <c r="AB3619">
        <f>IF(U3619=0,"",IF(Y3619=1,MAX(0,Q3619-G3619),IF(L3619=1,MAX(0,R3619-G3619),MAX(0,Assumptions!$C$6-G3619))))</f>
        <v/>
      </c>
      <c r="AC3619">
        <f>IF(Y3619=1,Q3619-F3619,"")</f>
        <v/>
      </c>
      <c r="AD3619">
        <f>IF(Y3619=1,AC3619^2,"")</f>
        <v/>
      </c>
      <c r="AE3619" s="19">
        <f>IF(Z3619=1,(H3619-M3619)*I3619,0)</f>
        <v/>
      </c>
      <c r="AF3619">
        <f>IF(G3619&lt;EDATE(Assumptions!$C$6,-12)+1,"prior_12m","last_12m")</f>
        <v/>
      </c>
      <c r="AG3619" s="21">
        <f>DATE(YEAR(G3619),MONTH(G3619),1)</f>
        <v/>
      </c>
    </row>
    <row r="3620">
      <c r="A3620" t="inlineStr">
        <is>
          <t>SPO-01929-1</t>
        </is>
      </c>
      <c r="B3620" t="inlineStr">
        <is>
          <t>SPO-01929</t>
        </is>
      </c>
      <c r="C3620" t="inlineStr">
        <is>
          <t>SUP-07</t>
        </is>
      </c>
      <c r="D3620" t="inlineStr">
        <is>
          <t>MRO</t>
        </is>
      </c>
      <c r="E3620" t="inlineStr">
        <is>
          <t>MRO-01</t>
        </is>
      </c>
      <c r="F3620" s="17" t="n">
        <v>46111</v>
      </c>
      <c r="G3620" s="17" t="n">
        <v>46121</v>
      </c>
      <c r="H3620" s="18" t="n">
        <v>13</v>
      </c>
      <c r="I3620" s="19" t="n">
        <v>50.25</v>
      </c>
      <c r="J3620" s="19" t="n">
        <v>52</v>
      </c>
      <c r="K3620" s="20" t="n">
        <v>0</v>
      </c>
      <c r="L3620" s="20" t="n">
        <v>0</v>
      </c>
      <c r="M3620" s="18" t="n">
        <v>13</v>
      </c>
      <c r="N3620" s="18" t="n">
        <v>13</v>
      </c>
      <c r="O3620" s="18" t="n">
        <v>0</v>
      </c>
      <c r="P3620" s="17" t="n">
        <v>46118</v>
      </c>
      <c r="Q3620" s="17" t="n">
        <v>46118</v>
      </c>
      <c r="R3620" s="17" t="n">
        <v>46118</v>
      </c>
      <c r="S3620" s="19">
        <f>H3620*I3620</f>
        <v/>
      </c>
      <c r="T3620" s="19">
        <f>H3620*J3620</f>
        <v/>
      </c>
      <c r="U3620">
        <f>IF(AND(K3620=0,G3620&lt;=Assumptions!$C$6),1,0)</f>
        <v/>
      </c>
      <c r="V3620">
        <f>IF(U3620=1,IF(M3620&gt;0,IF(P3620&lt;=G3620+Assumptions!$C$7,1,0),0),0)</f>
        <v/>
      </c>
      <c r="W3620">
        <f>IF(AND(U3620=1,M3620&gt;=H3620*(1-Assumptions!$C$8)),1,0)</f>
        <v/>
      </c>
      <c r="X3620">
        <f>IF(AND(U3620=1,N3620&gt;=H3620*(1-Assumptions!$C$8)),1,0)</f>
        <v/>
      </c>
      <c r="Y3620">
        <f>IF(ISNUMBER(Q3620),1,0)</f>
        <v/>
      </c>
      <c r="Z3620">
        <f>IF(AND(K3620=0,L3620=0,Y3620=0),1,0)</f>
        <v/>
      </c>
      <c r="AA3620">
        <f>IF(AND(Z3620=1,G3620&lt;Assumptions!$C$6),1,0)</f>
        <v/>
      </c>
      <c r="AB3620">
        <f>IF(U3620=0,"",IF(Y3620=1,MAX(0,Q3620-G3620),IF(L3620=1,MAX(0,R3620-G3620),MAX(0,Assumptions!$C$6-G3620))))</f>
        <v/>
      </c>
      <c r="AC3620">
        <f>IF(Y3620=1,Q3620-F3620,"")</f>
        <v/>
      </c>
      <c r="AD3620">
        <f>IF(Y3620=1,AC3620^2,"")</f>
        <v/>
      </c>
      <c r="AE3620" s="19">
        <f>IF(Z3620=1,(H3620-M3620)*I3620,0)</f>
        <v/>
      </c>
      <c r="AF3620">
        <f>IF(G3620&lt;EDATE(Assumptions!$C$6,-12)+1,"prior_12m","last_12m")</f>
        <v/>
      </c>
      <c r="AG3620" s="21">
        <f>DATE(YEAR(G3620),MONTH(G3620),1)</f>
        <v/>
      </c>
    </row>
    <row r="3621">
      <c r="A3621" t="inlineStr">
        <is>
          <t>SPO-01930-1</t>
        </is>
      </c>
      <c r="B3621" t="inlineStr">
        <is>
          <t>SPO-01930</t>
        </is>
      </c>
      <c r="C3621" t="inlineStr">
        <is>
          <t>SUP-01</t>
        </is>
      </c>
      <c r="D3621" t="inlineStr">
        <is>
          <t>ELEC</t>
        </is>
      </c>
      <c r="E3621" t="inlineStr">
        <is>
          <t>ELEC-06</t>
        </is>
      </c>
      <c r="F3621" s="17" t="n">
        <v>46111</v>
      </c>
      <c r="G3621" s="17" t="n">
        <v>46129</v>
      </c>
      <c r="H3621" s="18" t="n">
        <v>36</v>
      </c>
      <c r="I3621" s="19" t="n">
        <v>143.8</v>
      </c>
      <c r="J3621" s="19" t="n">
        <v>145</v>
      </c>
      <c r="K3621" s="20" t="n">
        <v>0</v>
      </c>
      <c r="L3621" s="20" t="n">
        <v>0</v>
      </c>
      <c r="M3621" s="18" t="n">
        <v>36</v>
      </c>
      <c r="N3621" s="18" t="n">
        <v>36</v>
      </c>
      <c r="O3621" s="18" t="n">
        <v>0</v>
      </c>
      <c r="P3621" s="17" t="n">
        <v>46122</v>
      </c>
      <c r="Q3621" s="17" t="n">
        <v>46122</v>
      </c>
      <c r="R3621" s="17" t="n">
        <v>46122</v>
      </c>
      <c r="S3621" s="19">
        <f>H3621*I3621</f>
        <v/>
      </c>
      <c r="T3621" s="19">
        <f>H3621*J3621</f>
        <v/>
      </c>
      <c r="U3621">
        <f>IF(AND(K3621=0,G3621&lt;=Assumptions!$C$6),1,0)</f>
        <v/>
      </c>
      <c r="V3621">
        <f>IF(U3621=1,IF(M3621&gt;0,IF(P3621&lt;=G3621+Assumptions!$C$7,1,0),0),0)</f>
        <v/>
      </c>
      <c r="W3621">
        <f>IF(AND(U3621=1,M3621&gt;=H3621*(1-Assumptions!$C$8)),1,0)</f>
        <v/>
      </c>
      <c r="X3621">
        <f>IF(AND(U3621=1,N3621&gt;=H3621*(1-Assumptions!$C$8)),1,0)</f>
        <v/>
      </c>
      <c r="Y3621">
        <f>IF(ISNUMBER(Q3621),1,0)</f>
        <v/>
      </c>
      <c r="Z3621">
        <f>IF(AND(K3621=0,L3621=0,Y3621=0),1,0)</f>
        <v/>
      </c>
      <c r="AA3621">
        <f>IF(AND(Z3621=1,G3621&lt;Assumptions!$C$6),1,0)</f>
        <v/>
      </c>
      <c r="AB3621">
        <f>IF(U3621=0,"",IF(Y3621=1,MAX(0,Q3621-G3621),IF(L3621=1,MAX(0,R3621-G3621),MAX(0,Assumptions!$C$6-G3621))))</f>
        <v/>
      </c>
      <c r="AC3621">
        <f>IF(Y3621=1,Q3621-F3621,"")</f>
        <v/>
      </c>
      <c r="AD3621">
        <f>IF(Y3621=1,AC3621^2,"")</f>
        <v/>
      </c>
      <c r="AE3621" s="19">
        <f>IF(Z3621=1,(H3621-M3621)*I3621,0)</f>
        <v/>
      </c>
      <c r="AF3621">
        <f>IF(G3621&lt;EDATE(Assumptions!$C$6,-12)+1,"prior_12m","last_12m")</f>
        <v/>
      </c>
      <c r="AG3621" s="21">
        <f>DATE(YEAR(G3621),MONTH(G3621),1)</f>
        <v/>
      </c>
    </row>
    <row r="3622">
      <c r="A3622" t="inlineStr">
        <is>
          <t>SPO-01930-2</t>
        </is>
      </c>
      <c r="B3622" t="inlineStr">
        <is>
          <t>SPO-01930</t>
        </is>
      </c>
      <c r="C3622" t="inlineStr">
        <is>
          <t>SUP-01</t>
        </is>
      </c>
      <c r="D3622" t="inlineStr">
        <is>
          <t>ELEC</t>
        </is>
      </c>
      <c r="E3622" t="inlineStr">
        <is>
          <t>ELEC-04</t>
        </is>
      </c>
      <c r="F3622" s="17" t="n">
        <v>46111</v>
      </c>
      <c r="G3622" s="17" t="n">
        <v>46129</v>
      </c>
      <c r="H3622" s="18" t="n">
        <v>36</v>
      </c>
      <c r="I3622" s="19" t="n">
        <v>75.42</v>
      </c>
      <c r="J3622" s="19" t="n">
        <v>72</v>
      </c>
      <c r="K3622" s="20" t="n">
        <v>0</v>
      </c>
      <c r="L3622" s="20" t="n">
        <v>0</v>
      </c>
      <c r="M3622" s="18" t="n">
        <v>36</v>
      </c>
      <c r="N3622" s="18" t="n">
        <v>0</v>
      </c>
      <c r="O3622" s="18" t="n">
        <v>0</v>
      </c>
      <c r="P3622" s="17" t="n">
        <v>46130</v>
      </c>
      <c r="Q3622" s="17" t="n">
        <v>46130</v>
      </c>
      <c r="R3622" s="17" t="n">
        <v>46130</v>
      </c>
      <c r="S3622" s="19">
        <f>H3622*I3622</f>
        <v/>
      </c>
      <c r="T3622" s="19">
        <f>H3622*J3622</f>
        <v/>
      </c>
      <c r="U3622">
        <f>IF(AND(K3622=0,G3622&lt;=Assumptions!$C$6),1,0)</f>
        <v/>
      </c>
      <c r="V3622">
        <f>IF(U3622=1,IF(M3622&gt;0,IF(P3622&lt;=G3622+Assumptions!$C$7,1,0),0),0)</f>
        <v/>
      </c>
      <c r="W3622">
        <f>IF(AND(U3622=1,M3622&gt;=H3622*(1-Assumptions!$C$8)),1,0)</f>
        <v/>
      </c>
      <c r="X3622">
        <f>IF(AND(U3622=1,N3622&gt;=H3622*(1-Assumptions!$C$8)),1,0)</f>
        <v/>
      </c>
      <c r="Y3622">
        <f>IF(ISNUMBER(Q3622),1,0)</f>
        <v/>
      </c>
      <c r="Z3622">
        <f>IF(AND(K3622=0,L3622=0,Y3622=0),1,0)</f>
        <v/>
      </c>
      <c r="AA3622">
        <f>IF(AND(Z3622=1,G3622&lt;Assumptions!$C$6),1,0)</f>
        <v/>
      </c>
      <c r="AB3622">
        <f>IF(U3622=0,"",IF(Y3622=1,MAX(0,Q3622-G3622),IF(L3622=1,MAX(0,R3622-G3622),MAX(0,Assumptions!$C$6-G3622))))</f>
        <v/>
      </c>
      <c r="AC3622">
        <f>IF(Y3622=1,Q3622-F3622,"")</f>
        <v/>
      </c>
      <c r="AD3622">
        <f>IF(Y3622=1,AC3622^2,"")</f>
        <v/>
      </c>
      <c r="AE3622" s="19">
        <f>IF(Z3622=1,(H3622-M3622)*I3622,0)</f>
        <v/>
      </c>
      <c r="AF3622">
        <f>IF(G3622&lt;EDATE(Assumptions!$C$6,-12)+1,"prior_12m","last_12m")</f>
        <v/>
      </c>
      <c r="AG3622" s="21">
        <f>DATE(YEAR(G3622),MONTH(G3622),1)</f>
        <v/>
      </c>
    </row>
    <row r="3623">
      <c r="A3623" t="inlineStr">
        <is>
          <t>SPO-01931-1</t>
        </is>
      </c>
      <c r="B3623" t="inlineStr">
        <is>
          <t>SPO-01931</t>
        </is>
      </c>
      <c r="C3623" t="inlineStr">
        <is>
          <t>SUP-01</t>
        </is>
      </c>
      <c r="D3623" t="inlineStr">
        <is>
          <t>ELEC</t>
        </is>
      </c>
      <c r="E3623" t="inlineStr">
        <is>
          <t>ELEC-01</t>
        </is>
      </c>
      <c r="F3623" s="17" t="n">
        <v>46111</v>
      </c>
      <c r="G3623" s="17" t="n">
        <v>46129</v>
      </c>
      <c r="H3623" s="18" t="n">
        <v>53</v>
      </c>
      <c r="I3623" s="19" t="n">
        <v>36.99</v>
      </c>
      <c r="J3623" s="19" t="n">
        <v>38</v>
      </c>
      <c r="K3623" s="20" t="n">
        <v>0</v>
      </c>
      <c r="L3623" s="20" t="n">
        <v>0</v>
      </c>
      <c r="M3623" s="18" t="n">
        <v>53</v>
      </c>
      <c r="N3623" s="18" t="n">
        <v>0</v>
      </c>
      <c r="O3623" s="18" t="n">
        <v>0</v>
      </c>
      <c r="P3623" s="17" t="n">
        <v>46247</v>
      </c>
      <c r="Q3623" s="17" t="n">
        <v>46247</v>
      </c>
      <c r="R3623" s="17" t="n">
        <v>46247</v>
      </c>
      <c r="S3623" s="19">
        <f>H3623*I3623</f>
        <v/>
      </c>
      <c r="T3623" s="19">
        <f>H3623*J3623</f>
        <v/>
      </c>
      <c r="U3623">
        <f>IF(AND(K3623=0,G3623&lt;=Assumptions!$C$6),1,0)</f>
        <v/>
      </c>
      <c r="V3623">
        <f>IF(U3623=1,IF(M3623&gt;0,IF(P3623&lt;=G3623+Assumptions!$C$7,1,0),0),0)</f>
        <v/>
      </c>
      <c r="W3623">
        <f>IF(AND(U3623=1,M3623&gt;=H3623*(1-Assumptions!$C$8)),1,0)</f>
        <v/>
      </c>
      <c r="X3623">
        <f>IF(AND(U3623=1,N3623&gt;=H3623*(1-Assumptions!$C$8)),1,0)</f>
        <v/>
      </c>
      <c r="Y3623">
        <f>IF(ISNUMBER(Q3623),1,0)</f>
        <v/>
      </c>
      <c r="Z3623">
        <f>IF(AND(K3623=0,L3623=0,Y3623=0),1,0)</f>
        <v/>
      </c>
      <c r="AA3623">
        <f>IF(AND(Z3623=1,G3623&lt;Assumptions!$C$6),1,0)</f>
        <v/>
      </c>
      <c r="AB3623">
        <f>IF(U3623=0,"",IF(Y3623=1,MAX(0,Q3623-G3623),IF(L3623=1,MAX(0,R3623-G3623),MAX(0,Assumptions!$C$6-G3623))))</f>
        <v/>
      </c>
      <c r="AC3623">
        <f>IF(Y3623=1,Q3623-F3623,"")</f>
        <v/>
      </c>
      <c r="AD3623">
        <f>IF(Y3623=1,AC3623^2,"")</f>
        <v/>
      </c>
      <c r="AE3623" s="19">
        <f>IF(Z3623=1,(H3623-M3623)*I3623,0)</f>
        <v/>
      </c>
      <c r="AF3623">
        <f>IF(G3623&lt;EDATE(Assumptions!$C$6,-12)+1,"prior_12m","last_12m")</f>
        <v/>
      </c>
      <c r="AG3623" s="21">
        <f>DATE(YEAR(G3623),MONTH(G3623),1)</f>
        <v/>
      </c>
    </row>
    <row r="3624">
      <c r="A3624" t="inlineStr">
        <is>
          <t>SPO-01932-1</t>
        </is>
      </c>
      <c r="B3624" t="inlineStr">
        <is>
          <t>SPO-01932</t>
        </is>
      </c>
      <c r="C3624" t="inlineStr">
        <is>
          <t>SUP-02</t>
        </is>
      </c>
      <c r="D3624" t="inlineStr">
        <is>
          <t>ELEC</t>
        </is>
      </c>
      <c r="E3624" t="inlineStr">
        <is>
          <t>ELEC-03</t>
        </is>
      </c>
      <c r="F3624" s="17" t="n">
        <v>46112</v>
      </c>
      <c r="G3624" s="17" t="n">
        <v>46128</v>
      </c>
      <c r="H3624" s="18" t="n">
        <v>5</v>
      </c>
      <c r="I3624" s="19" t="n">
        <v>94.75</v>
      </c>
      <c r="J3624" s="19" t="n">
        <v>96</v>
      </c>
      <c r="K3624" s="20" t="n">
        <v>0</v>
      </c>
      <c r="L3624" s="20" t="n">
        <v>0</v>
      </c>
      <c r="M3624" s="18" t="n">
        <v>5</v>
      </c>
      <c r="N3624" s="18" t="n">
        <v>0</v>
      </c>
      <c r="O3624" s="18" t="n">
        <v>0</v>
      </c>
      <c r="P3624" s="17" t="n">
        <v>46129</v>
      </c>
      <c r="Q3624" s="17" t="n">
        <v>46129</v>
      </c>
      <c r="R3624" s="17" t="n">
        <v>46129</v>
      </c>
      <c r="S3624" s="19">
        <f>H3624*I3624</f>
        <v/>
      </c>
      <c r="T3624" s="19">
        <f>H3624*J3624</f>
        <v/>
      </c>
      <c r="U3624">
        <f>IF(AND(K3624=0,G3624&lt;=Assumptions!$C$6),1,0)</f>
        <v/>
      </c>
      <c r="V3624">
        <f>IF(U3624=1,IF(M3624&gt;0,IF(P3624&lt;=G3624+Assumptions!$C$7,1,0),0),0)</f>
        <v/>
      </c>
      <c r="W3624">
        <f>IF(AND(U3624=1,M3624&gt;=H3624*(1-Assumptions!$C$8)),1,0)</f>
        <v/>
      </c>
      <c r="X3624">
        <f>IF(AND(U3624=1,N3624&gt;=H3624*(1-Assumptions!$C$8)),1,0)</f>
        <v/>
      </c>
      <c r="Y3624">
        <f>IF(ISNUMBER(Q3624),1,0)</f>
        <v/>
      </c>
      <c r="Z3624">
        <f>IF(AND(K3624=0,L3624=0,Y3624=0),1,0)</f>
        <v/>
      </c>
      <c r="AA3624">
        <f>IF(AND(Z3624=1,G3624&lt;Assumptions!$C$6),1,0)</f>
        <v/>
      </c>
      <c r="AB3624">
        <f>IF(U3624=0,"",IF(Y3624=1,MAX(0,Q3624-G3624),IF(L3624=1,MAX(0,R3624-G3624),MAX(0,Assumptions!$C$6-G3624))))</f>
        <v/>
      </c>
      <c r="AC3624">
        <f>IF(Y3624=1,Q3624-F3624,"")</f>
        <v/>
      </c>
      <c r="AD3624">
        <f>IF(Y3624=1,AC3624^2,"")</f>
        <v/>
      </c>
      <c r="AE3624" s="19">
        <f>IF(Z3624=1,(H3624-M3624)*I3624,0)</f>
        <v/>
      </c>
      <c r="AF3624">
        <f>IF(G3624&lt;EDATE(Assumptions!$C$6,-12)+1,"prior_12m","last_12m")</f>
        <v/>
      </c>
      <c r="AG3624" s="21">
        <f>DATE(YEAR(G3624),MONTH(G3624),1)</f>
        <v/>
      </c>
    </row>
    <row r="3625">
      <c r="A3625" t="inlineStr">
        <is>
          <t>SPO-01932-2</t>
        </is>
      </c>
      <c r="B3625" t="inlineStr">
        <is>
          <t>SPO-01932</t>
        </is>
      </c>
      <c r="C3625" t="inlineStr">
        <is>
          <t>SUP-02</t>
        </is>
      </c>
      <c r="D3625" t="inlineStr">
        <is>
          <t>ELEC</t>
        </is>
      </c>
      <c r="E3625" t="inlineStr">
        <is>
          <t>ELEC-02</t>
        </is>
      </c>
      <c r="F3625" s="17" t="n">
        <v>46112</v>
      </c>
      <c r="G3625" s="17" t="n">
        <v>46128</v>
      </c>
      <c r="H3625" s="18" t="n">
        <v>356</v>
      </c>
      <c r="I3625" s="19" t="n">
        <v>4.59</v>
      </c>
      <c r="J3625" s="19" t="n">
        <v>4.2</v>
      </c>
      <c r="K3625" s="20" t="n">
        <v>0</v>
      </c>
      <c r="L3625" s="20" t="n">
        <v>0</v>
      </c>
      <c r="M3625" s="18" t="n">
        <v>356</v>
      </c>
      <c r="N3625" s="18" t="n">
        <v>356</v>
      </c>
      <c r="O3625" s="18" t="n">
        <v>0</v>
      </c>
      <c r="P3625" s="17" t="n">
        <v>46124</v>
      </c>
      <c r="Q3625" s="17" t="n">
        <v>46124</v>
      </c>
      <c r="R3625" s="17" t="n">
        <v>46124</v>
      </c>
      <c r="S3625" s="19">
        <f>H3625*I3625</f>
        <v/>
      </c>
      <c r="T3625" s="19">
        <f>H3625*J3625</f>
        <v/>
      </c>
      <c r="U3625">
        <f>IF(AND(K3625=0,G3625&lt;=Assumptions!$C$6),1,0)</f>
        <v/>
      </c>
      <c r="V3625">
        <f>IF(U3625=1,IF(M3625&gt;0,IF(P3625&lt;=G3625+Assumptions!$C$7,1,0),0),0)</f>
        <v/>
      </c>
      <c r="W3625">
        <f>IF(AND(U3625=1,M3625&gt;=H3625*(1-Assumptions!$C$8)),1,0)</f>
        <v/>
      </c>
      <c r="X3625">
        <f>IF(AND(U3625=1,N3625&gt;=H3625*(1-Assumptions!$C$8)),1,0)</f>
        <v/>
      </c>
      <c r="Y3625">
        <f>IF(ISNUMBER(Q3625),1,0)</f>
        <v/>
      </c>
      <c r="Z3625">
        <f>IF(AND(K3625=0,L3625=0,Y3625=0),1,0)</f>
        <v/>
      </c>
      <c r="AA3625">
        <f>IF(AND(Z3625=1,G3625&lt;Assumptions!$C$6),1,0)</f>
        <v/>
      </c>
      <c r="AB3625">
        <f>IF(U3625=0,"",IF(Y3625=1,MAX(0,Q3625-G3625),IF(L3625=1,MAX(0,R3625-G3625),MAX(0,Assumptions!$C$6-G3625))))</f>
        <v/>
      </c>
      <c r="AC3625">
        <f>IF(Y3625=1,Q3625-F3625,"")</f>
        <v/>
      </c>
      <c r="AD3625">
        <f>IF(Y3625=1,AC3625^2,"")</f>
        <v/>
      </c>
      <c r="AE3625" s="19">
        <f>IF(Z3625=1,(H3625-M3625)*I3625,0)</f>
        <v/>
      </c>
      <c r="AF3625">
        <f>IF(G3625&lt;EDATE(Assumptions!$C$6,-12)+1,"prior_12m","last_12m")</f>
        <v/>
      </c>
      <c r="AG3625" s="21">
        <f>DATE(YEAR(G3625),MONTH(G3625),1)</f>
        <v/>
      </c>
    </row>
    <row r="3626">
      <c r="A3626" t="inlineStr">
        <is>
          <t>SPO-01933-1</t>
        </is>
      </c>
      <c r="B3626" t="inlineStr">
        <is>
          <t>SPO-01933</t>
        </is>
      </c>
      <c r="C3626" t="inlineStr">
        <is>
          <t>SUP-01</t>
        </is>
      </c>
      <c r="D3626" t="inlineStr">
        <is>
          <t>ELEC</t>
        </is>
      </c>
      <c r="E3626" t="inlineStr">
        <is>
          <t>ELEC-05</t>
        </is>
      </c>
      <c r="F3626" s="17" t="n">
        <v>46113</v>
      </c>
      <c r="G3626" s="17" t="n">
        <v>46131</v>
      </c>
      <c r="H3626" s="18" t="n">
        <v>269</v>
      </c>
      <c r="I3626" s="19" t="n">
        <v>11.33</v>
      </c>
      <c r="J3626" s="19" t="n">
        <v>11.5</v>
      </c>
      <c r="K3626" s="20" t="n">
        <v>0</v>
      </c>
      <c r="L3626" s="20" t="n">
        <v>0</v>
      </c>
      <c r="M3626" s="18" t="n">
        <v>269</v>
      </c>
      <c r="N3626" s="18" t="n">
        <v>269</v>
      </c>
      <c r="O3626" s="18" t="n">
        <v>0</v>
      </c>
      <c r="P3626" s="17" t="n">
        <v>46124</v>
      </c>
      <c r="Q3626" s="17" t="n">
        <v>46124</v>
      </c>
      <c r="R3626" s="17" t="n">
        <v>46124</v>
      </c>
      <c r="S3626" s="19">
        <f>H3626*I3626</f>
        <v/>
      </c>
      <c r="T3626" s="19">
        <f>H3626*J3626</f>
        <v/>
      </c>
      <c r="U3626">
        <f>IF(AND(K3626=0,G3626&lt;=Assumptions!$C$6),1,0)</f>
        <v/>
      </c>
      <c r="V3626">
        <f>IF(U3626=1,IF(M3626&gt;0,IF(P3626&lt;=G3626+Assumptions!$C$7,1,0),0),0)</f>
        <v/>
      </c>
      <c r="W3626">
        <f>IF(AND(U3626=1,M3626&gt;=H3626*(1-Assumptions!$C$8)),1,0)</f>
        <v/>
      </c>
      <c r="X3626">
        <f>IF(AND(U3626=1,N3626&gt;=H3626*(1-Assumptions!$C$8)),1,0)</f>
        <v/>
      </c>
      <c r="Y3626">
        <f>IF(ISNUMBER(Q3626),1,0)</f>
        <v/>
      </c>
      <c r="Z3626">
        <f>IF(AND(K3626=0,L3626=0,Y3626=0),1,0)</f>
        <v/>
      </c>
      <c r="AA3626">
        <f>IF(AND(Z3626=1,G3626&lt;Assumptions!$C$6),1,0)</f>
        <v/>
      </c>
      <c r="AB3626">
        <f>IF(U3626=0,"",IF(Y3626=1,MAX(0,Q3626-G3626),IF(L3626=1,MAX(0,R3626-G3626),MAX(0,Assumptions!$C$6-G3626))))</f>
        <v/>
      </c>
      <c r="AC3626">
        <f>IF(Y3626=1,Q3626-F3626,"")</f>
        <v/>
      </c>
      <c r="AD3626">
        <f>IF(Y3626=1,AC3626^2,"")</f>
        <v/>
      </c>
      <c r="AE3626" s="19">
        <f>IF(Z3626=1,(H3626-M3626)*I3626,0)</f>
        <v/>
      </c>
      <c r="AF3626">
        <f>IF(G3626&lt;EDATE(Assumptions!$C$6,-12)+1,"prior_12m","last_12m")</f>
        <v/>
      </c>
      <c r="AG3626" s="21">
        <f>DATE(YEAR(G3626),MONTH(G3626),1)</f>
        <v/>
      </c>
    </row>
    <row r="3627">
      <c r="A3627" t="inlineStr">
        <is>
          <t>SPO-01934-1</t>
        </is>
      </c>
      <c r="B3627" t="inlineStr">
        <is>
          <t>SPO-01934</t>
        </is>
      </c>
      <c r="C3627" t="inlineStr">
        <is>
          <t>SUP-04</t>
        </is>
      </c>
      <c r="D3627" t="inlineStr">
        <is>
          <t>FLEET</t>
        </is>
      </c>
      <c r="E3627" t="inlineStr">
        <is>
          <t>FLEET-01</t>
        </is>
      </c>
      <c r="F3627" s="17" t="n">
        <v>46113</v>
      </c>
      <c r="G3627" s="17" t="n">
        <v>46126</v>
      </c>
      <c r="H3627" s="18" t="n">
        <v>39</v>
      </c>
      <c r="I3627" s="19" t="n">
        <v>62.7</v>
      </c>
      <c r="J3627" s="19" t="n">
        <v>64</v>
      </c>
      <c r="K3627" s="20" t="n">
        <v>0</v>
      </c>
      <c r="L3627" s="20" t="n">
        <v>0</v>
      </c>
      <c r="M3627" s="18" t="n">
        <v>39</v>
      </c>
      <c r="N3627" s="18" t="n">
        <v>39</v>
      </c>
      <c r="O3627" s="18" t="n">
        <v>0</v>
      </c>
      <c r="P3627" s="17" t="n">
        <v>46114</v>
      </c>
      <c r="Q3627" s="17" t="n">
        <v>46114</v>
      </c>
      <c r="R3627" s="17" t="n">
        <v>46114</v>
      </c>
      <c r="S3627" s="19">
        <f>H3627*I3627</f>
        <v/>
      </c>
      <c r="T3627" s="19">
        <f>H3627*J3627</f>
        <v/>
      </c>
      <c r="U3627">
        <f>IF(AND(K3627=0,G3627&lt;=Assumptions!$C$6),1,0)</f>
        <v/>
      </c>
      <c r="V3627">
        <f>IF(U3627=1,IF(M3627&gt;0,IF(P3627&lt;=G3627+Assumptions!$C$7,1,0),0),0)</f>
        <v/>
      </c>
      <c r="W3627">
        <f>IF(AND(U3627=1,M3627&gt;=H3627*(1-Assumptions!$C$8)),1,0)</f>
        <v/>
      </c>
      <c r="X3627">
        <f>IF(AND(U3627=1,N3627&gt;=H3627*(1-Assumptions!$C$8)),1,0)</f>
        <v/>
      </c>
      <c r="Y3627">
        <f>IF(ISNUMBER(Q3627),1,0)</f>
        <v/>
      </c>
      <c r="Z3627">
        <f>IF(AND(K3627=0,L3627=0,Y3627=0),1,0)</f>
        <v/>
      </c>
      <c r="AA3627">
        <f>IF(AND(Z3627=1,G3627&lt;Assumptions!$C$6),1,0)</f>
        <v/>
      </c>
      <c r="AB3627">
        <f>IF(U3627=0,"",IF(Y3627=1,MAX(0,Q3627-G3627),IF(L3627=1,MAX(0,R3627-G3627),MAX(0,Assumptions!$C$6-G3627))))</f>
        <v/>
      </c>
      <c r="AC3627">
        <f>IF(Y3627=1,Q3627-F3627,"")</f>
        <v/>
      </c>
      <c r="AD3627">
        <f>IF(Y3627=1,AC3627^2,"")</f>
        <v/>
      </c>
      <c r="AE3627" s="19">
        <f>IF(Z3627=1,(H3627-M3627)*I3627,0)</f>
        <v/>
      </c>
      <c r="AF3627">
        <f>IF(G3627&lt;EDATE(Assumptions!$C$6,-12)+1,"prior_12m","last_12m")</f>
        <v/>
      </c>
      <c r="AG3627" s="21">
        <f>DATE(YEAR(G3627),MONTH(G3627),1)</f>
        <v/>
      </c>
    </row>
    <row r="3628">
      <c r="A3628" t="inlineStr">
        <is>
          <t>SPO-01934-2</t>
        </is>
      </c>
      <c r="B3628" t="inlineStr">
        <is>
          <t>SPO-01934</t>
        </is>
      </c>
      <c r="C3628" t="inlineStr">
        <is>
          <t>SUP-04</t>
        </is>
      </c>
      <c r="D3628" t="inlineStr">
        <is>
          <t>FLEET</t>
        </is>
      </c>
      <c r="E3628" t="inlineStr">
        <is>
          <t>FLEET-03</t>
        </is>
      </c>
      <c r="F3628" s="17" t="n">
        <v>46113</v>
      </c>
      <c r="G3628" s="17" t="n">
        <v>46126</v>
      </c>
      <c r="H3628" s="18" t="n">
        <v>94</v>
      </c>
      <c r="I3628" s="19" t="n">
        <v>21.15</v>
      </c>
      <c r="J3628" s="19" t="n">
        <v>21</v>
      </c>
      <c r="K3628" s="20" t="n">
        <v>0</v>
      </c>
      <c r="L3628" s="20" t="n">
        <v>0</v>
      </c>
      <c r="M3628" s="18" t="n">
        <v>94</v>
      </c>
      <c r="N3628" s="18" t="n">
        <v>94</v>
      </c>
      <c r="O3628" s="18" t="n">
        <v>0</v>
      </c>
      <c r="P3628" s="17" t="n">
        <v>46114</v>
      </c>
      <c r="Q3628" s="17" t="n">
        <v>46114</v>
      </c>
      <c r="R3628" s="17" t="n">
        <v>46114</v>
      </c>
      <c r="S3628" s="19">
        <f>H3628*I3628</f>
        <v/>
      </c>
      <c r="T3628" s="19">
        <f>H3628*J3628</f>
        <v/>
      </c>
      <c r="U3628">
        <f>IF(AND(K3628=0,G3628&lt;=Assumptions!$C$6),1,0)</f>
        <v/>
      </c>
      <c r="V3628">
        <f>IF(U3628=1,IF(M3628&gt;0,IF(P3628&lt;=G3628+Assumptions!$C$7,1,0),0),0)</f>
        <v/>
      </c>
      <c r="W3628">
        <f>IF(AND(U3628=1,M3628&gt;=H3628*(1-Assumptions!$C$8)),1,0)</f>
        <v/>
      </c>
      <c r="X3628">
        <f>IF(AND(U3628=1,N3628&gt;=H3628*(1-Assumptions!$C$8)),1,0)</f>
        <v/>
      </c>
      <c r="Y3628">
        <f>IF(ISNUMBER(Q3628),1,0)</f>
        <v/>
      </c>
      <c r="Z3628">
        <f>IF(AND(K3628=0,L3628=0,Y3628=0),1,0)</f>
        <v/>
      </c>
      <c r="AA3628">
        <f>IF(AND(Z3628=1,G3628&lt;Assumptions!$C$6),1,0)</f>
        <v/>
      </c>
      <c r="AB3628">
        <f>IF(U3628=0,"",IF(Y3628=1,MAX(0,Q3628-G3628),IF(L3628=1,MAX(0,R3628-G3628),MAX(0,Assumptions!$C$6-G3628))))</f>
        <v/>
      </c>
      <c r="AC3628">
        <f>IF(Y3628=1,Q3628-F3628,"")</f>
        <v/>
      </c>
      <c r="AD3628">
        <f>IF(Y3628=1,AC3628^2,"")</f>
        <v/>
      </c>
      <c r="AE3628" s="19">
        <f>IF(Z3628=1,(H3628-M3628)*I3628,0)</f>
        <v/>
      </c>
      <c r="AF3628">
        <f>IF(G3628&lt;EDATE(Assumptions!$C$6,-12)+1,"prior_12m","last_12m")</f>
        <v/>
      </c>
      <c r="AG3628" s="21">
        <f>DATE(YEAR(G3628),MONTH(G3628),1)</f>
        <v/>
      </c>
    </row>
    <row r="3629">
      <c r="A3629" t="inlineStr">
        <is>
          <t>SPO-01934-3</t>
        </is>
      </c>
      <c r="B3629" t="inlineStr">
        <is>
          <t>SPO-01934</t>
        </is>
      </c>
      <c r="C3629" t="inlineStr">
        <is>
          <t>SUP-04</t>
        </is>
      </c>
      <c r="D3629" t="inlineStr">
        <is>
          <t>FLEET</t>
        </is>
      </c>
      <c r="E3629" t="inlineStr">
        <is>
          <t>FLEET-04</t>
        </is>
      </c>
      <c r="F3629" s="17" t="n">
        <v>46113</v>
      </c>
      <c r="G3629" s="17" t="n">
        <v>46126</v>
      </c>
      <c r="H3629" s="18" t="n">
        <v>337</v>
      </c>
      <c r="I3629" s="19" t="n">
        <v>8.85</v>
      </c>
      <c r="J3629" s="19" t="n">
        <v>9</v>
      </c>
      <c r="K3629" s="20" t="n">
        <v>0</v>
      </c>
      <c r="L3629" s="20" t="n">
        <v>0</v>
      </c>
      <c r="M3629" s="18" t="n">
        <v>337</v>
      </c>
      <c r="N3629" s="18" t="n">
        <v>0</v>
      </c>
      <c r="O3629" s="18" t="n">
        <v>0</v>
      </c>
      <c r="P3629" s="17" t="n">
        <v>46151</v>
      </c>
      <c r="Q3629" s="17" t="n">
        <v>46151</v>
      </c>
      <c r="R3629" s="17" t="n">
        <v>46151</v>
      </c>
      <c r="S3629" s="19">
        <f>H3629*I3629</f>
        <v/>
      </c>
      <c r="T3629" s="19">
        <f>H3629*J3629</f>
        <v/>
      </c>
      <c r="U3629">
        <f>IF(AND(K3629=0,G3629&lt;=Assumptions!$C$6),1,0)</f>
        <v/>
      </c>
      <c r="V3629">
        <f>IF(U3629=1,IF(M3629&gt;0,IF(P3629&lt;=G3629+Assumptions!$C$7,1,0),0),0)</f>
        <v/>
      </c>
      <c r="W3629">
        <f>IF(AND(U3629=1,M3629&gt;=H3629*(1-Assumptions!$C$8)),1,0)</f>
        <v/>
      </c>
      <c r="X3629">
        <f>IF(AND(U3629=1,N3629&gt;=H3629*(1-Assumptions!$C$8)),1,0)</f>
        <v/>
      </c>
      <c r="Y3629">
        <f>IF(ISNUMBER(Q3629),1,0)</f>
        <v/>
      </c>
      <c r="Z3629">
        <f>IF(AND(K3629=0,L3629=0,Y3629=0),1,0)</f>
        <v/>
      </c>
      <c r="AA3629">
        <f>IF(AND(Z3629=1,G3629&lt;Assumptions!$C$6),1,0)</f>
        <v/>
      </c>
      <c r="AB3629">
        <f>IF(U3629=0,"",IF(Y3629=1,MAX(0,Q3629-G3629),IF(L3629=1,MAX(0,R3629-G3629),MAX(0,Assumptions!$C$6-G3629))))</f>
        <v/>
      </c>
      <c r="AC3629">
        <f>IF(Y3629=1,Q3629-F3629,"")</f>
        <v/>
      </c>
      <c r="AD3629">
        <f>IF(Y3629=1,AC3629^2,"")</f>
        <v/>
      </c>
      <c r="AE3629" s="19">
        <f>IF(Z3629=1,(H3629-M3629)*I3629,0)</f>
        <v/>
      </c>
      <c r="AF3629">
        <f>IF(G3629&lt;EDATE(Assumptions!$C$6,-12)+1,"prior_12m","last_12m")</f>
        <v/>
      </c>
      <c r="AG3629" s="21">
        <f>DATE(YEAR(G3629),MONTH(G3629),1)</f>
        <v/>
      </c>
    </row>
    <row r="3630">
      <c r="A3630" t="inlineStr">
        <is>
          <t>SPO-01935-1</t>
        </is>
      </c>
      <c r="B3630" t="inlineStr">
        <is>
          <t>SPO-01935</t>
        </is>
      </c>
      <c r="C3630" t="inlineStr">
        <is>
          <t>SUP-02</t>
        </is>
      </c>
      <c r="D3630" t="inlineStr">
        <is>
          <t>ELEC</t>
        </is>
      </c>
      <c r="E3630" t="inlineStr">
        <is>
          <t>ELEC-08</t>
        </is>
      </c>
      <c r="F3630" s="17" t="n">
        <v>46113</v>
      </c>
      <c r="G3630" s="17" t="n">
        <v>46129</v>
      </c>
      <c r="H3630" s="18" t="n">
        <v>39</v>
      </c>
      <c r="I3630" s="19" t="n">
        <v>17.96</v>
      </c>
      <c r="J3630" s="19" t="n">
        <v>18</v>
      </c>
      <c r="K3630" s="20" t="n">
        <v>0</v>
      </c>
      <c r="L3630" s="20" t="n">
        <v>0</v>
      </c>
      <c r="M3630" s="18" t="n">
        <v>39</v>
      </c>
      <c r="N3630" s="18" t="n">
        <v>39</v>
      </c>
      <c r="O3630" s="18" t="n">
        <v>0</v>
      </c>
      <c r="P3630" s="17" t="n">
        <v>46125</v>
      </c>
      <c r="Q3630" s="17" t="n">
        <v>46125</v>
      </c>
      <c r="R3630" s="17" t="n">
        <v>46125</v>
      </c>
      <c r="S3630" s="19">
        <f>H3630*I3630</f>
        <v/>
      </c>
      <c r="T3630" s="19">
        <f>H3630*J3630</f>
        <v/>
      </c>
      <c r="U3630">
        <f>IF(AND(K3630=0,G3630&lt;=Assumptions!$C$6),1,0)</f>
        <v/>
      </c>
      <c r="V3630">
        <f>IF(U3630=1,IF(M3630&gt;0,IF(P3630&lt;=G3630+Assumptions!$C$7,1,0),0),0)</f>
        <v/>
      </c>
      <c r="W3630">
        <f>IF(AND(U3630=1,M3630&gt;=H3630*(1-Assumptions!$C$8)),1,0)</f>
        <v/>
      </c>
      <c r="X3630">
        <f>IF(AND(U3630=1,N3630&gt;=H3630*(1-Assumptions!$C$8)),1,0)</f>
        <v/>
      </c>
      <c r="Y3630">
        <f>IF(ISNUMBER(Q3630),1,0)</f>
        <v/>
      </c>
      <c r="Z3630">
        <f>IF(AND(K3630=0,L3630=0,Y3630=0),1,0)</f>
        <v/>
      </c>
      <c r="AA3630">
        <f>IF(AND(Z3630=1,G3630&lt;Assumptions!$C$6),1,0)</f>
        <v/>
      </c>
      <c r="AB3630">
        <f>IF(U3630=0,"",IF(Y3630=1,MAX(0,Q3630-G3630),IF(L3630=1,MAX(0,R3630-G3630),MAX(0,Assumptions!$C$6-G3630))))</f>
        <v/>
      </c>
      <c r="AC3630">
        <f>IF(Y3630=1,Q3630-F3630,"")</f>
        <v/>
      </c>
      <c r="AD3630">
        <f>IF(Y3630=1,AC3630^2,"")</f>
        <v/>
      </c>
      <c r="AE3630" s="19">
        <f>IF(Z3630=1,(H3630-M3630)*I3630,0)</f>
        <v/>
      </c>
      <c r="AF3630">
        <f>IF(G3630&lt;EDATE(Assumptions!$C$6,-12)+1,"prior_12m","last_12m")</f>
        <v/>
      </c>
      <c r="AG3630" s="21">
        <f>DATE(YEAR(G3630),MONTH(G3630),1)</f>
        <v/>
      </c>
    </row>
    <row r="3631">
      <c r="A3631" t="inlineStr">
        <is>
          <t>SPO-01935-2</t>
        </is>
      </c>
      <c r="B3631" t="inlineStr">
        <is>
          <t>SPO-01935</t>
        </is>
      </c>
      <c r="C3631" t="inlineStr">
        <is>
          <t>SUP-02</t>
        </is>
      </c>
      <c r="D3631" t="inlineStr">
        <is>
          <t>ELEC</t>
        </is>
      </c>
      <c r="E3631" t="inlineStr">
        <is>
          <t>ELEC-03</t>
        </is>
      </c>
      <c r="F3631" s="17" t="n">
        <v>46113</v>
      </c>
      <c r="G3631" s="17" t="n">
        <v>46129</v>
      </c>
      <c r="H3631" s="18" t="n">
        <v>17</v>
      </c>
      <c r="I3631" s="19" t="n">
        <v>96.06</v>
      </c>
      <c r="J3631" s="19" t="n">
        <v>96</v>
      </c>
      <c r="K3631" s="20" t="n">
        <v>0</v>
      </c>
      <c r="L3631" s="20" t="n">
        <v>0</v>
      </c>
      <c r="M3631" s="18" t="n">
        <v>17</v>
      </c>
      <c r="N3631" s="18" t="n">
        <v>17</v>
      </c>
      <c r="O3631" s="18" t="n">
        <v>0</v>
      </c>
      <c r="P3631" s="17" t="n">
        <v>46126</v>
      </c>
      <c r="Q3631" s="17" t="n">
        <v>46126</v>
      </c>
      <c r="R3631" s="17" t="n">
        <v>46126</v>
      </c>
      <c r="S3631" s="19">
        <f>H3631*I3631</f>
        <v/>
      </c>
      <c r="T3631" s="19">
        <f>H3631*J3631</f>
        <v/>
      </c>
      <c r="U3631">
        <f>IF(AND(K3631=0,G3631&lt;=Assumptions!$C$6),1,0)</f>
        <v/>
      </c>
      <c r="V3631">
        <f>IF(U3631=1,IF(M3631&gt;0,IF(P3631&lt;=G3631+Assumptions!$C$7,1,0),0),0)</f>
        <v/>
      </c>
      <c r="W3631">
        <f>IF(AND(U3631=1,M3631&gt;=H3631*(1-Assumptions!$C$8)),1,0)</f>
        <v/>
      </c>
      <c r="X3631">
        <f>IF(AND(U3631=1,N3631&gt;=H3631*(1-Assumptions!$C$8)),1,0)</f>
        <v/>
      </c>
      <c r="Y3631">
        <f>IF(ISNUMBER(Q3631),1,0)</f>
        <v/>
      </c>
      <c r="Z3631">
        <f>IF(AND(K3631=0,L3631=0,Y3631=0),1,0)</f>
        <v/>
      </c>
      <c r="AA3631">
        <f>IF(AND(Z3631=1,G3631&lt;Assumptions!$C$6),1,0)</f>
        <v/>
      </c>
      <c r="AB3631">
        <f>IF(U3631=0,"",IF(Y3631=1,MAX(0,Q3631-G3631),IF(L3631=1,MAX(0,R3631-G3631),MAX(0,Assumptions!$C$6-G3631))))</f>
        <v/>
      </c>
      <c r="AC3631">
        <f>IF(Y3631=1,Q3631-F3631,"")</f>
        <v/>
      </c>
      <c r="AD3631">
        <f>IF(Y3631=1,AC3631^2,"")</f>
        <v/>
      </c>
      <c r="AE3631" s="19">
        <f>IF(Z3631=1,(H3631-M3631)*I3631,0)</f>
        <v/>
      </c>
      <c r="AF3631">
        <f>IF(G3631&lt;EDATE(Assumptions!$C$6,-12)+1,"prior_12m","last_12m")</f>
        <v/>
      </c>
      <c r="AG3631" s="21">
        <f>DATE(YEAR(G3631),MONTH(G3631),1)</f>
        <v/>
      </c>
    </row>
    <row r="3632">
      <c r="A3632" t="inlineStr">
        <is>
          <t>SPO-01936-1</t>
        </is>
      </c>
      <c r="B3632" t="inlineStr">
        <is>
          <t>SPO-01936</t>
        </is>
      </c>
      <c r="C3632" t="inlineStr">
        <is>
          <t>SUP-05</t>
        </is>
      </c>
      <c r="D3632" t="inlineStr">
        <is>
          <t>FLEET</t>
        </is>
      </c>
      <c r="E3632" t="inlineStr">
        <is>
          <t>FLEET-04</t>
        </is>
      </c>
      <c r="F3632" s="17" t="n">
        <v>46113</v>
      </c>
      <c r="G3632" s="17" t="n">
        <v>46127</v>
      </c>
      <c r="H3632" s="18" t="n">
        <v>38</v>
      </c>
      <c r="I3632" s="19" t="n">
        <v>9.18</v>
      </c>
      <c r="J3632" s="19" t="n">
        <v>9</v>
      </c>
      <c r="K3632" s="20" t="n">
        <v>0</v>
      </c>
      <c r="L3632" s="20" t="n">
        <v>0</v>
      </c>
      <c r="M3632" s="18" t="n">
        <v>38</v>
      </c>
      <c r="N3632" s="18" t="n">
        <v>38</v>
      </c>
      <c r="O3632" s="18" t="n">
        <v>0</v>
      </c>
      <c r="P3632" s="17" t="n">
        <v>46122</v>
      </c>
      <c r="Q3632" s="17" t="n">
        <v>46122</v>
      </c>
      <c r="R3632" s="17" t="n">
        <v>46122</v>
      </c>
      <c r="S3632" s="19">
        <f>H3632*I3632</f>
        <v/>
      </c>
      <c r="T3632" s="19">
        <f>H3632*J3632</f>
        <v/>
      </c>
      <c r="U3632">
        <f>IF(AND(K3632=0,G3632&lt;=Assumptions!$C$6),1,0)</f>
        <v/>
      </c>
      <c r="V3632">
        <f>IF(U3632=1,IF(M3632&gt;0,IF(P3632&lt;=G3632+Assumptions!$C$7,1,0),0),0)</f>
        <v/>
      </c>
      <c r="W3632">
        <f>IF(AND(U3632=1,M3632&gt;=H3632*(1-Assumptions!$C$8)),1,0)</f>
        <v/>
      </c>
      <c r="X3632">
        <f>IF(AND(U3632=1,N3632&gt;=H3632*(1-Assumptions!$C$8)),1,0)</f>
        <v/>
      </c>
      <c r="Y3632">
        <f>IF(ISNUMBER(Q3632),1,0)</f>
        <v/>
      </c>
      <c r="Z3632">
        <f>IF(AND(K3632=0,L3632=0,Y3632=0),1,0)</f>
        <v/>
      </c>
      <c r="AA3632">
        <f>IF(AND(Z3632=1,G3632&lt;Assumptions!$C$6),1,0)</f>
        <v/>
      </c>
      <c r="AB3632">
        <f>IF(U3632=0,"",IF(Y3632=1,MAX(0,Q3632-G3632),IF(L3632=1,MAX(0,R3632-G3632),MAX(0,Assumptions!$C$6-G3632))))</f>
        <v/>
      </c>
      <c r="AC3632">
        <f>IF(Y3632=1,Q3632-F3632,"")</f>
        <v/>
      </c>
      <c r="AD3632">
        <f>IF(Y3632=1,AC3632^2,"")</f>
        <v/>
      </c>
      <c r="AE3632" s="19">
        <f>IF(Z3632=1,(H3632-M3632)*I3632,0)</f>
        <v/>
      </c>
      <c r="AF3632">
        <f>IF(G3632&lt;EDATE(Assumptions!$C$6,-12)+1,"prior_12m","last_12m")</f>
        <v/>
      </c>
      <c r="AG3632" s="21">
        <f>DATE(YEAR(G3632),MONTH(G3632),1)</f>
        <v/>
      </c>
    </row>
    <row r="3633">
      <c r="A3633" t="inlineStr">
        <is>
          <t>SPO-01937-1</t>
        </is>
      </c>
      <c r="B3633" t="inlineStr">
        <is>
          <t>SPO-01937</t>
        </is>
      </c>
      <c r="C3633" t="inlineStr">
        <is>
          <t>SUP-06</t>
        </is>
      </c>
      <c r="D3633" t="inlineStr">
        <is>
          <t>MRO</t>
        </is>
      </c>
      <c r="E3633" t="inlineStr">
        <is>
          <t>MRO-04</t>
        </is>
      </c>
      <c r="F3633" s="17" t="n">
        <v>46114</v>
      </c>
      <c r="G3633" s="17" t="n">
        <v>46122</v>
      </c>
      <c r="H3633" s="18" t="n">
        <v>22</v>
      </c>
      <c r="I3633" s="19" t="n">
        <v>59.15</v>
      </c>
      <c r="J3633" s="19" t="n">
        <v>58</v>
      </c>
      <c r="K3633" s="20" t="n">
        <v>0</v>
      </c>
      <c r="L3633" s="20" t="n">
        <v>0</v>
      </c>
      <c r="M3633" s="18" t="n">
        <v>22</v>
      </c>
      <c r="N3633" s="18" t="n">
        <v>22</v>
      </c>
      <c r="O3633" s="18" t="n">
        <v>0</v>
      </c>
      <c r="P3633" s="17" t="n">
        <v>46120</v>
      </c>
      <c r="Q3633" s="17" t="n">
        <v>46120</v>
      </c>
      <c r="R3633" s="17" t="n">
        <v>46120</v>
      </c>
      <c r="S3633" s="19">
        <f>H3633*I3633</f>
        <v/>
      </c>
      <c r="T3633" s="19">
        <f>H3633*J3633</f>
        <v/>
      </c>
      <c r="U3633">
        <f>IF(AND(K3633=0,G3633&lt;=Assumptions!$C$6),1,0)</f>
        <v/>
      </c>
      <c r="V3633">
        <f>IF(U3633=1,IF(M3633&gt;0,IF(P3633&lt;=G3633+Assumptions!$C$7,1,0),0),0)</f>
        <v/>
      </c>
      <c r="W3633">
        <f>IF(AND(U3633=1,M3633&gt;=H3633*(1-Assumptions!$C$8)),1,0)</f>
        <v/>
      </c>
      <c r="X3633">
        <f>IF(AND(U3633=1,N3633&gt;=H3633*(1-Assumptions!$C$8)),1,0)</f>
        <v/>
      </c>
      <c r="Y3633">
        <f>IF(ISNUMBER(Q3633),1,0)</f>
        <v/>
      </c>
      <c r="Z3633">
        <f>IF(AND(K3633=0,L3633=0,Y3633=0),1,0)</f>
        <v/>
      </c>
      <c r="AA3633">
        <f>IF(AND(Z3633=1,G3633&lt;Assumptions!$C$6),1,0)</f>
        <v/>
      </c>
      <c r="AB3633">
        <f>IF(U3633=0,"",IF(Y3633=1,MAX(0,Q3633-G3633),IF(L3633=1,MAX(0,R3633-G3633),MAX(0,Assumptions!$C$6-G3633))))</f>
        <v/>
      </c>
      <c r="AC3633">
        <f>IF(Y3633=1,Q3633-F3633,"")</f>
        <v/>
      </c>
      <c r="AD3633">
        <f>IF(Y3633=1,AC3633^2,"")</f>
        <v/>
      </c>
      <c r="AE3633" s="19">
        <f>IF(Z3633=1,(H3633-M3633)*I3633,0)</f>
        <v/>
      </c>
      <c r="AF3633">
        <f>IF(G3633&lt;EDATE(Assumptions!$C$6,-12)+1,"prior_12m","last_12m")</f>
        <v/>
      </c>
      <c r="AG3633" s="21">
        <f>DATE(YEAR(G3633),MONTH(G3633),1)</f>
        <v/>
      </c>
    </row>
    <row r="3634">
      <c r="A3634" t="inlineStr">
        <is>
          <t>SPO-01938-1</t>
        </is>
      </c>
      <c r="B3634" t="inlineStr">
        <is>
          <t>SPO-01938</t>
        </is>
      </c>
      <c r="C3634" t="inlineStr">
        <is>
          <t>SUP-01</t>
        </is>
      </c>
      <c r="D3634" t="inlineStr">
        <is>
          <t>ELEC</t>
        </is>
      </c>
      <c r="E3634" t="inlineStr">
        <is>
          <t>ELEC-07</t>
        </is>
      </c>
      <c r="F3634" s="17" t="n">
        <v>46114</v>
      </c>
      <c r="G3634" s="17" t="n">
        <v>46132</v>
      </c>
      <c r="H3634" s="18" t="n">
        <v>158</v>
      </c>
      <c r="I3634" s="19" t="n">
        <v>10.16</v>
      </c>
      <c r="J3634" s="19" t="n">
        <v>9.800000000000001</v>
      </c>
      <c r="K3634" s="20" t="n">
        <v>0</v>
      </c>
      <c r="L3634" s="20" t="n">
        <v>0</v>
      </c>
      <c r="M3634" s="18" t="n">
        <v>158</v>
      </c>
      <c r="N3634" s="18" t="n">
        <v>158</v>
      </c>
      <c r="O3634" s="18" t="n">
        <v>0</v>
      </c>
      <c r="P3634" s="17" t="n">
        <v>46129</v>
      </c>
      <c r="Q3634" s="17" t="n">
        <v>46129</v>
      </c>
      <c r="R3634" s="17" t="n">
        <v>46129</v>
      </c>
      <c r="S3634" s="19">
        <f>H3634*I3634</f>
        <v/>
      </c>
      <c r="T3634" s="19">
        <f>H3634*J3634</f>
        <v/>
      </c>
      <c r="U3634">
        <f>IF(AND(K3634=0,G3634&lt;=Assumptions!$C$6),1,0)</f>
        <v/>
      </c>
      <c r="V3634">
        <f>IF(U3634=1,IF(M3634&gt;0,IF(P3634&lt;=G3634+Assumptions!$C$7,1,0),0),0)</f>
        <v/>
      </c>
      <c r="W3634">
        <f>IF(AND(U3634=1,M3634&gt;=H3634*(1-Assumptions!$C$8)),1,0)</f>
        <v/>
      </c>
      <c r="X3634">
        <f>IF(AND(U3634=1,N3634&gt;=H3634*(1-Assumptions!$C$8)),1,0)</f>
        <v/>
      </c>
      <c r="Y3634">
        <f>IF(ISNUMBER(Q3634),1,0)</f>
        <v/>
      </c>
      <c r="Z3634">
        <f>IF(AND(K3634=0,L3634=0,Y3634=0),1,0)</f>
        <v/>
      </c>
      <c r="AA3634">
        <f>IF(AND(Z3634=1,G3634&lt;Assumptions!$C$6),1,0)</f>
        <v/>
      </c>
      <c r="AB3634">
        <f>IF(U3634=0,"",IF(Y3634=1,MAX(0,Q3634-G3634),IF(L3634=1,MAX(0,R3634-G3634),MAX(0,Assumptions!$C$6-G3634))))</f>
        <v/>
      </c>
      <c r="AC3634">
        <f>IF(Y3634=1,Q3634-F3634,"")</f>
        <v/>
      </c>
      <c r="AD3634">
        <f>IF(Y3634=1,AC3634^2,"")</f>
        <v/>
      </c>
      <c r="AE3634" s="19">
        <f>IF(Z3634=1,(H3634-M3634)*I3634,0)</f>
        <v/>
      </c>
      <c r="AF3634">
        <f>IF(G3634&lt;EDATE(Assumptions!$C$6,-12)+1,"prior_12m","last_12m")</f>
        <v/>
      </c>
      <c r="AG3634" s="21">
        <f>DATE(YEAR(G3634),MONTH(G3634),1)</f>
        <v/>
      </c>
    </row>
    <row r="3635">
      <c r="A3635" t="inlineStr">
        <is>
          <t>SPO-01939-1</t>
        </is>
      </c>
      <c r="B3635" t="inlineStr">
        <is>
          <t>SPO-01939</t>
        </is>
      </c>
      <c r="C3635" t="inlineStr">
        <is>
          <t>SUP-06</t>
        </is>
      </c>
      <c r="D3635" t="inlineStr">
        <is>
          <t>MRO</t>
        </is>
      </c>
      <c r="E3635" t="inlineStr">
        <is>
          <t>MRO-08</t>
        </is>
      </c>
      <c r="F3635" s="17" t="n">
        <v>46114</v>
      </c>
      <c r="G3635" s="17" t="n">
        <v>46122</v>
      </c>
      <c r="H3635" s="18" t="n">
        <v>202</v>
      </c>
      <c r="I3635" s="19" t="n">
        <v>6.87</v>
      </c>
      <c r="J3635" s="19" t="n">
        <v>7.2</v>
      </c>
      <c r="K3635" s="20" t="n">
        <v>0</v>
      </c>
      <c r="L3635" s="20" t="n">
        <v>0</v>
      </c>
      <c r="M3635" s="18" t="n">
        <v>202</v>
      </c>
      <c r="N3635" s="18" t="n">
        <v>202</v>
      </c>
      <c r="O3635" s="18" t="n">
        <v>0</v>
      </c>
      <c r="P3635" s="17" t="n">
        <v>46120</v>
      </c>
      <c r="Q3635" s="17" t="n">
        <v>46120</v>
      </c>
      <c r="R3635" s="17" t="n">
        <v>46120</v>
      </c>
      <c r="S3635" s="19">
        <f>H3635*I3635</f>
        <v/>
      </c>
      <c r="T3635" s="19">
        <f>H3635*J3635</f>
        <v/>
      </c>
      <c r="U3635">
        <f>IF(AND(K3635=0,G3635&lt;=Assumptions!$C$6),1,0)</f>
        <v/>
      </c>
      <c r="V3635">
        <f>IF(U3635=1,IF(M3635&gt;0,IF(P3635&lt;=G3635+Assumptions!$C$7,1,0),0),0)</f>
        <v/>
      </c>
      <c r="W3635">
        <f>IF(AND(U3635=1,M3635&gt;=H3635*(1-Assumptions!$C$8)),1,0)</f>
        <v/>
      </c>
      <c r="X3635">
        <f>IF(AND(U3635=1,N3635&gt;=H3635*(1-Assumptions!$C$8)),1,0)</f>
        <v/>
      </c>
      <c r="Y3635">
        <f>IF(ISNUMBER(Q3635),1,0)</f>
        <v/>
      </c>
      <c r="Z3635">
        <f>IF(AND(K3635=0,L3635=0,Y3635=0),1,0)</f>
        <v/>
      </c>
      <c r="AA3635">
        <f>IF(AND(Z3635=1,G3635&lt;Assumptions!$C$6),1,0)</f>
        <v/>
      </c>
      <c r="AB3635">
        <f>IF(U3635=0,"",IF(Y3635=1,MAX(0,Q3635-G3635),IF(L3635=1,MAX(0,R3635-G3635),MAX(0,Assumptions!$C$6-G3635))))</f>
        <v/>
      </c>
      <c r="AC3635">
        <f>IF(Y3635=1,Q3635-F3635,"")</f>
        <v/>
      </c>
      <c r="AD3635">
        <f>IF(Y3635=1,AC3635^2,"")</f>
        <v/>
      </c>
      <c r="AE3635" s="19">
        <f>IF(Z3635=1,(H3635-M3635)*I3635,0)</f>
        <v/>
      </c>
      <c r="AF3635">
        <f>IF(G3635&lt;EDATE(Assumptions!$C$6,-12)+1,"prior_12m","last_12m")</f>
        <v/>
      </c>
      <c r="AG3635" s="21">
        <f>DATE(YEAR(G3635),MONTH(G3635),1)</f>
        <v/>
      </c>
    </row>
    <row r="3636">
      <c r="A3636" t="inlineStr">
        <is>
          <t>SPO-01940-1</t>
        </is>
      </c>
      <c r="B3636" t="inlineStr">
        <is>
          <t>SPO-01940</t>
        </is>
      </c>
      <c r="C3636" t="inlineStr">
        <is>
          <t>SUP-01</t>
        </is>
      </c>
      <c r="D3636" t="inlineStr">
        <is>
          <t>ELEC</t>
        </is>
      </c>
      <c r="E3636" t="inlineStr">
        <is>
          <t>ELEC-01</t>
        </is>
      </c>
      <c r="F3636" s="17" t="n">
        <v>46114</v>
      </c>
      <c r="G3636" s="17" t="n">
        <v>46132</v>
      </c>
      <c r="H3636" s="18" t="n">
        <v>43</v>
      </c>
      <c r="I3636" s="19" t="n">
        <v>36.03</v>
      </c>
      <c r="J3636" s="19" t="n">
        <v>38</v>
      </c>
      <c r="K3636" s="20" t="n">
        <v>0</v>
      </c>
      <c r="L3636" s="20" t="n">
        <v>0</v>
      </c>
      <c r="M3636" s="18" t="n">
        <v>43</v>
      </c>
      <c r="N3636" s="18" t="n">
        <v>43</v>
      </c>
      <c r="O3636" s="18" t="n">
        <v>0</v>
      </c>
      <c r="P3636" s="17" t="n">
        <v>46122</v>
      </c>
      <c r="Q3636" s="17" t="n">
        <v>46122</v>
      </c>
      <c r="R3636" s="17" t="n">
        <v>46122</v>
      </c>
      <c r="S3636" s="19">
        <f>H3636*I3636</f>
        <v/>
      </c>
      <c r="T3636" s="19">
        <f>H3636*J3636</f>
        <v/>
      </c>
      <c r="U3636">
        <f>IF(AND(K3636=0,G3636&lt;=Assumptions!$C$6),1,0)</f>
        <v/>
      </c>
      <c r="V3636">
        <f>IF(U3636=1,IF(M3636&gt;0,IF(P3636&lt;=G3636+Assumptions!$C$7,1,0),0),0)</f>
        <v/>
      </c>
      <c r="W3636">
        <f>IF(AND(U3636=1,M3636&gt;=H3636*(1-Assumptions!$C$8)),1,0)</f>
        <v/>
      </c>
      <c r="X3636">
        <f>IF(AND(U3636=1,N3636&gt;=H3636*(1-Assumptions!$C$8)),1,0)</f>
        <v/>
      </c>
      <c r="Y3636">
        <f>IF(ISNUMBER(Q3636),1,0)</f>
        <v/>
      </c>
      <c r="Z3636">
        <f>IF(AND(K3636=0,L3636=0,Y3636=0),1,0)</f>
        <v/>
      </c>
      <c r="AA3636">
        <f>IF(AND(Z3636=1,G3636&lt;Assumptions!$C$6),1,0)</f>
        <v/>
      </c>
      <c r="AB3636">
        <f>IF(U3636=0,"",IF(Y3636=1,MAX(0,Q3636-G3636),IF(L3636=1,MAX(0,R3636-G3636),MAX(0,Assumptions!$C$6-G3636))))</f>
        <v/>
      </c>
      <c r="AC3636">
        <f>IF(Y3636=1,Q3636-F3636,"")</f>
        <v/>
      </c>
      <c r="AD3636">
        <f>IF(Y3636=1,AC3636^2,"")</f>
        <v/>
      </c>
      <c r="AE3636" s="19">
        <f>IF(Z3636=1,(H3636-M3636)*I3636,0)</f>
        <v/>
      </c>
      <c r="AF3636">
        <f>IF(G3636&lt;EDATE(Assumptions!$C$6,-12)+1,"prior_12m","last_12m")</f>
        <v/>
      </c>
      <c r="AG3636" s="21">
        <f>DATE(YEAR(G3636),MONTH(G3636),1)</f>
        <v/>
      </c>
    </row>
    <row r="3637">
      <c r="A3637" t="inlineStr">
        <is>
          <t>SPO-01940-2</t>
        </is>
      </c>
      <c r="B3637" t="inlineStr">
        <is>
          <t>SPO-01940</t>
        </is>
      </c>
      <c r="C3637" t="inlineStr">
        <is>
          <t>SUP-01</t>
        </is>
      </c>
      <c r="D3637" t="inlineStr">
        <is>
          <t>ELEC</t>
        </is>
      </c>
      <c r="E3637" t="inlineStr">
        <is>
          <t>ELEC-02</t>
        </is>
      </c>
      <c r="F3637" s="17" t="n">
        <v>46114</v>
      </c>
      <c r="G3637" s="17" t="n">
        <v>46132</v>
      </c>
      <c r="H3637" s="18" t="n">
        <v>1324</v>
      </c>
      <c r="I3637" s="19" t="n">
        <v>4.18</v>
      </c>
      <c r="J3637" s="19" t="n">
        <v>4.2</v>
      </c>
      <c r="K3637" s="20" t="n">
        <v>0</v>
      </c>
      <c r="L3637" s="20" t="n">
        <v>0</v>
      </c>
      <c r="M3637" s="18" t="n">
        <v>1324</v>
      </c>
      <c r="N3637" s="18" t="n">
        <v>0</v>
      </c>
      <c r="O3637" s="18" t="n">
        <v>0</v>
      </c>
      <c r="P3637" s="17" t="n">
        <v>46135</v>
      </c>
      <c r="Q3637" s="17" t="n">
        <v>46145</v>
      </c>
      <c r="R3637" s="17" t="n">
        <v>46145</v>
      </c>
      <c r="S3637" s="19">
        <f>H3637*I3637</f>
        <v/>
      </c>
      <c r="T3637" s="19">
        <f>H3637*J3637</f>
        <v/>
      </c>
      <c r="U3637">
        <f>IF(AND(K3637=0,G3637&lt;=Assumptions!$C$6),1,0)</f>
        <v/>
      </c>
      <c r="V3637">
        <f>IF(U3637=1,IF(M3637&gt;0,IF(P3637&lt;=G3637+Assumptions!$C$7,1,0),0),0)</f>
        <v/>
      </c>
      <c r="W3637">
        <f>IF(AND(U3637=1,M3637&gt;=H3637*(1-Assumptions!$C$8)),1,0)</f>
        <v/>
      </c>
      <c r="X3637">
        <f>IF(AND(U3637=1,N3637&gt;=H3637*(1-Assumptions!$C$8)),1,0)</f>
        <v/>
      </c>
      <c r="Y3637">
        <f>IF(ISNUMBER(Q3637),1,0)</f>
        <v/>
      </c>
      <c r="Z3637">
        <f>IF(AND(K3637=0,L3637=0,Y3637=0),1,0)</f>
        <v/>
      </c>
      <c r="AA3637">
        <f>IF(AND(Z3637=1,G3637&lt;Assumptions!$C$6),1,0)</f>
        <v/>
      </c>
      <c r="AB3637">
        <f>IF(U3637=0,"",IF(Y3637=1,MAX(0,Q3637-G3637),IF(L3637=1,MAX(0,R3637-G3637),MAX(0,Assumptions!$C$6-G3637))))</f>
        <v/>
      </c>
      <c r="AC3637">
        <f>IF(Y3637=1,Q3637-F3637,"")</f>
        <v/>
      </c>
      <c r="AD3637">
        <f>IF(Y3637=1,AC3637^2,"")</f>
        <v/>
      </c>
      <c r="AE3637" s="19">
        <f>IF(Z3637=1,(H3637-M3637)*I3637,0)</f>
        <v/>
      </c>
      <c r="AF3637">
        <f>IF(G3637&lt;EDATE(Assumptions!$C$6,-12)+1,"prior_12m","last_12m")</f>
        <v/>
      </c>
      <c r="AG3637" s="21">
        <f>DATE(YEAR(G3637),MONTH(G3637),1)</f>
        <v/>
      </c>
    </row>
    <row r="3638">
      <c r="A3638" t="inlineStr">
        <is>
          <t>SPO-01940-3</t>
        </is>
      </c>
      <c r="B3638" t="inlineStr">
        <is>
          <t>SPO-01940</t>
        </is>
      </c>
      <c r="C3638" t="inlineStr">
        <is>
          <t>SUP-01</t>
        </is>
      </c>
      <c r="D3638" t="inlineStr">
        <is>
          <t>ELEC</t>
        </is>
      </c>
      <c r="E3638" t="inlineStr">
        <is>
          <t>ELEC-04</t>
        </is>
      </c>
      <c r="F3638" s="17" t="n">
        <v>46114</v>
      </c>
      <c r="G3638" s="17" t="n">
        <v>46132</v>
      </c>
      <c r="H3638" s="18" t="n">
        <v>16</v>
      </c>
      <c r="I3638" s="19" t="n">
        <v>71.81999999999999</v>
      </c>
      <c r="J3638" s="19" t="n">
        <v>72</v>
      </c>
      <c r="K3638" s="20" t="n">
        <v>0</v>
      </c>
      <c r="L3638" s="20" t="n">
        <v>0</v>
      </c>
      <c r="M3638" s="18" t="n">
        <v>16</v>
      </c>
      <c r="N3638" s="18" t="n">
        <v>16</v>
      </c>
      <c r="O3638" s="18" t="n">
        <v>0</v>
      </c>
      <c r="P3638" s="17" t="n">
        <v>46119</v>
      </c>
      <c r="Q3638" s="17" t="n">
        <v>46119</v>
      </c>
      <c r="R3638" s="17" t="n">
        <v>46119</v>
      </c>
      <c r="S3638" s="19">
        <f>H3638*I3638</f>
        <v/>
      </c>
      <c r="T3638" s="19">
        <f>H3638*J3638</f>
        <v/>
      </c>
      <c r="U3638">
        <f>IF(AND(K3638=0,G3638&lt;=Assumptions!$C$6),1,0)</f>
        <v/>
      </c>
      <c r="V3638">
        <f>IF(U3638=1,IF(M3638&gt;0,IF(P3638&lt;=G3638+Assumptions!$C$7,1,0),0),0)</f>
        <v/>
      </c>
      <c r="W3638">
        <f>IF(AND(U3638=1,M3638&gt;=H3638*(1-Assumptions!$C$8)),1,0)</f>
        <v/>
      </c>
      <c r="X3638">
        <f>IF(AND(U3638=1,N3638&gt;=H3638*(1-Assumptions!$C$8)),1,0)</f>
        <v/>
      </c>
      <c r="Y3638">
        <f>IF(ISNUMBER(Q3638),1,0)</f>
        <v/>
      </c>
      <c r="Z3638">
        <f>IF(AND(K3638=0,L3638=0,Y3638=0),1,0)</f>
        <v/>
      </c>
      <c r="AA3638">
        <f>IF(AND(Z3638=1,G3638&lt;Assumptions!$C$6),1,0)</f>
        <v/>
      </c>
      <c r="AB3638">
        <f>IF(U3638=0,"",IF(Y3638=1,MAX(0,Q3638-G3638),IF(L3638=1,MAX(0,R3638-G3638),MAX(0,Assumptions!$C$6-G3638))))</f>
        <v/>
      </c>
      <c r="AC3638">
        <f>IF(Y3638=1,Q3638-F3638,"")</f>
        <v/>
      </c>
      <c r="AD3638">
        <f>IF(Y3638=1,AC3638^2,"")</f>
        <v/>
      </c>
      <c r="AE3638" s="19">
        <f>IF(Z3638=1,(H3638-M3638)*I3638,0)</f>
        <v/>
      </c>
      <c r="AF3638">
        <f>IF(G3638&lt;EDATE(Assumptions!$C$6,-12)+1,"prior_12m","last_12m")</f>
        <v/>
      </c>
      <c r="AG3638" s="21">
        <f>DATE(YEAR(G3638),MONTH(G3638),1)</f>
        <v/>
      </c>
    </row>
    <row r="3639">
      <c r="A3639" t="inlineStr">
        <is>
          <t>SPO-01940-4</t>
        </is>
      </c>
      <c r="B3639" t="inlineStr">
        <is>
          <t>SPO-01940</t>
        </is>
      </c>
      <c r="C3639" t="inlineStr">
        <is>
          <t>SUP-01</t>
        </is>
      </c>
      <c r="D3639" t="inlineStr">
        <is>
          <t>ELEC</t>
        </is>
      </c>
      <c r="E3639" t="inlineStr">
        <is>
          <t>ELEC-07</t>
        </is>
      </c>
      <c r="F3639" s="17" t="n">
        <v>46114</v>
      </c>
      <c r="G3639" s="17" t="n">
        <v>46132</v>
      </c>
      <c r="H3639" s="18" t="n">
        <v>136</v>
      </c>
      <c r="I3639" s="19" t="n">
        <v>10.16</v>
      </c>
      <c r="J3639" s="19" t="n">
        <v>9.800000000000001</v>
      </c>
      <c r="K3639" s="20" t="n">
        <v>0</v>
      </c>
      <c r="L3639" s="20" t="n">
        <v>0</v>
      </c>
      <c r="M3639" s="18" t="n">
        <v>136</v>
      </c>
      <c r="N3639" s="18" t="n">
        <v>136</v>
      </c>
      <c r="O3639" s="18" t="n">
        <v>0</v>
      </c>
      <c r="P3639" s="17" t="n">
        <v>46132</v>
      </c>
      <c r="Q3639" s="17" t="n">
        <v>46132</v>
      </c>
      <c r="R3639" s="17" t="n">
        <v>46132</v>
      </c>
      <c r="S3639" s="19">
        <f>H3639*I3639</f>
        <v/>
      </c>
      <c r="T3639" s="19">
        <f>H3639*J3639</f>
        <v/>
      </c>
      <c r="U3639">
        <f>IF(AND(K3639=0,G3639&lt;=Assumptions!$C$6),1,0)</f>
        <v/>
      </c>
      <c r="V3639">
        <f>IF(U3639=1,IF(M3639&gt;0,IF(P3639&lt;=G3639+Assumptions!$C$7,1,0),0),0)</f>
        <v/>
      </c>
      <c r="W3639">
        <f>IF(AND(U3639=1,M3639&gt;=H3639*(1-Assumptions!$C$8)),1,0)</f>
        <v/>
      </c>
      <c r="X3639">
        <f>IF(AND(U3639=1,N3639&gt;=H3639*(1-Assumptions!$C$8)),1,0)</f>
        <v/>
      </c>
      <c r="Y3639">
        <f>IF(ISNUMBER(Q3639),1,0)</f>
        <v/>
      </c>
      <c r="Z3639">
        <f>IF(AND(K3639=0,L3639=0,Y3639=0),1,0)</f>
        <v/>
      </c>
      <c r="AA3639">
        <f>IF(AND(Z3639=1,G3639&lt;Assumptions!$C$6),1,0)</f>
        <v/>
      </c>
      <c r="AB3639">
        <f>IF(U3639=0,"",IF(Y3639=1,MAX(0,Q3639-G3639),IF(L3639=1,MAX(0,R3639-G3639),MAX(0,Assumptions!$C$6-G3639))))</f>
        <v/>
      </c>
      <c r="AC3639">
        <f>IF(Y3639=1,Q3639-F3639,"")</f>
        <v/>
      </c>
      <c r="AD3639">
        <f>IF(Y3639=1,AC3639^2,"")</f>
        <v/>
      </c>
      <c r="AE3639" s="19">
        <f>IF(Z3639=1,(H3639-M3639)*I3639,0)</f>
        <v/>
      </c>
      <c r="AF3639">
        <f>IF(G3639&lt;EDATE(Assumptions!$C$6,-12)+1,"prior_12m","last_12m")</f>
        <v/>
      </c>
      <c r="AG3639" s="21">
        <f>DATE(YEAR(G3639),MONTH(G3639),1)</f>
        <v/>
      </c>
    </row>
    <row r="3640">
      <c r="A3640" t="inlineStr">
        <is>
          <t>SPO-01941-1</t>
        </is>
      </c>
      <c r="B3640" t="inlineStr">
        <is>
          <t>SPO-01941</t>
        </is>
      </c>
      <c r="C3640" t="inlineStr">
        <is>
          <t>SUP-04</t>
        </is>
      </c>
      <c r="D3640" t="inlineStr">
        <is>
          <t>FLEET</t>
        </is>
      </c>
      <c r="E3640" t="inlineStr">
        <is>
          <t>FLEET-02</t>
        </is>
      </c>
      <c r="F3640" s="17" t="n">
        <v>46114</v>
      </c>
      <c r="G3640" s="17" t="n">
        <v>46127</v>
      </c>
      <c r="H3640" s="18" t="n">
        <v>133</v>
      </c>
      <c r="I3640" s="19" t="n">
        <v>7.23</v>
      </c>
      <c r="J3640" s="19" t="n">
        <v>7.5</v>
      </c>
      <c r="K3640" s="20" t="n">
        <v>0</v>
      </c>
      <c r="L3640" s="20" t="n">
        <v>0</v>
      </c>
      <c r="M3640" s="18" t="n">
        <v>133</v>
      </c>
      <c r="N3640" s="18" t="n">
        <v>133</v>
      </c>
      <c r="O3640" s="18" t="n">
        <v>0</v>
      </c>
      <c r="P3640" s="17" t="n">
        <v>46116</v>
      </c>
      <c r="Q3640" s="17" t="n">
        <v>46116</v>
      </c>
      <c r="R3640" s="17" t="n">
        <v>46116</v>
      </c>
      <c r="S3640" s="19">
        <f>H3640*I3640</f>
        <v/>
      </c>
      <c r="T3640" s="19">
        <f>H3640*J3640</f>
        <v/>
      </c>
      <c r="U3640">
        <f>IF(AND(K3640=0,G3640&lt;=Assumptions!$C$6),1,0)</f>
        <v/>
      </c>
      <c r="V3640">
        <f>IF(U3640=1,IF(M3640&gt;0,IF(P3640&lt;=G3640+Assumptions!$C$7,1,0),0),0)</f>
        <v/>
      </c>
      <c r="W3640">
        <f>IF(AND(U3640=1,M3640&gt;=H3640*(1-Assumptions!$C$8)),1,0)</f>
        <v/>
      </c>
      <c r="X3640">
        <f>IF(AND(U3640=1,N3640&gt;=H3640*(1-Assumptions!$C$8)),1,0)</f>
        <v/>
      </c>
      <c r="Y3640">
        <f>IF(ISNUMBER(Q3640),1,0)</f>
        <v/>
      </c>
      <c r="Z3640">
        <f>IF(AND(K3640=0,L3640=0,Y3640=0),1,0)</f>
        <v/>
      </c>
      <c r="AA3640">
        <f>IF(AND(Z3640=1,G3640&lt;Assumptions!$C$6),1,0)</f>
        <v/>
      </c>
      <c r="AB3640">
        <f>IF(U3640=0,"",IF(Y3640=1,MAX(0,Q3640-G3640),IF(L3640=1,MAX(0,R3640-G3640),MAX(0,Assumptions!$C$6-G3640))))</f>
        <v/>
      </c>
      <c r="AC3640">
        <f>IF(Y3640=1,Q3640-F3640,"")</f>
        <v/>
      </c>
      <c r="AD3640">
        <f>IF(Y3640=1,AC3640^2,"")</f>
        <v/>
      </c>
      <c r="AE3640" s="19">
        <f>IF(Z3640=1,(H3640-M3640)*I3640,0)</f>
        <v/>
      </c>
      <c r="AF3640">
        <f>IF(G3640&lt;EDATE(Assumptions!$C$6,-12)+1,"prior_12m","last_12m")</f>
        <v/>
      </c>
      <c r="AG3640" s="21">
        <f>DATE(YEAR(G3640),MONTH(G3640),1)</f>
        <v/>
      </c>
    </row>
    <row r="3641">
      <c r="A3641" t="inlineStr">
        <is>
          <t>SPO-01941-2</t>
        </is>
      </c>
      <c r="B3641" t="inlineStr">
        <is>
          <t>SPO-01941</t>
        </is>
      </c>
      <c r="C3641" t="inlineStr">
        <is>
          <t>SUP-04</t>
        </is>
      </c>
      <c r="D3641" t="inlineStr">
        <is>
          <t>FLEET</t>
        </is>
      </c>
      <c r="E3641" t="inlineStr">
        <is>
          <t>FLEET-01</t>
        </is>
      </c>
      <c r="F3641" s="17" t="n">
        <v>46114</v>
      </c>
      <c r="G3641" s="17" t="n">
        <v>46127</v>
      </c>
      <c r="H3641" s="18" t="n">
        <v>31</v>
      </c>
      <c r="I3641" s="19" t="n">
        <v>65.66</v>
      </c>
      <c r="J3641" s="19" t="n">
        <v>64</v>
      </c>
      <c r="K3641" s="20" t="n">
        <v>0</v>
      </c>
      <c r="L3641" s="20" t="n">
        <v>0</v>
      </c>
      <c r="M3641" s="18" t="n">
        <v>31</v>
      </c>
      <c r="N3641" s="18" t="n">
        <v>0</v>
      </c>
      <c r="O3641" s="18" t="n">
        <v>0</v>
      </c>
      <c r="P3641" s="17" t="n">
        <v>46232</v>
      </c>
      <c r="Q3641" s="17" t="n">
        <v>46232</v>
      </c>
      <c r="R3641" s="17" t="n">
        <v>46232</v>
      </c>
      <c r="S3641" s="19">
        <f>H3641*I3641</f>
        <v/>
      </c>
      <c r="T3641" s="19">
        <f>H3641*J3641</f>
        <v/>
      </c>
      <c r="U3641">
        <f>IF(AND(K3641=0,G3641&lt;=Assumptions!$C$6),1,0)</f>
        <v/>
      </c>
      <c r="V3641">
        <f>IF(U3641=1,IF(M3641&gt;0,IF(P3641&lt;=G3641+Assumptions!$C$7,1,0),0),0)</f>
        <v/>
      </c>
      <c r="W3641">
        <f>IF(AND(U3641=1,M3641&gt;=H3641*(1-Assumptions!$C$8)),1,0)</f>
        <v/>
      </c>
      <c r="X3641">
        <f>IF(AND(U3641=1,N3641&gt;=H3641*(1-Assumptions!$C$8)),1,0)</f>
        <v/>
      </c>
      <c r="Y3641">
        <f>IF(ISNUMBER(Q3641),1,0)</f>
        <v/>
      </c>
      <c r="Z3641">
        <f>IF(AND(K3641=0,L3641=0,Y3641=0),1,0)</f>
        <v/>
      </c>
      <c r="AA3641">
        <f>IF(AND(Z3641=1,G3641&lt;Assumptions!$C$6),1,0)</f>
        <v/>
      </c>
      <c r="AB3641">
        <f>IF(U3641=0,"",IF(Y3641=1,MAX(0,Q3641-G3641),IF(L3641=1,MAX(0,R3641-G3641),MAX(0,Assumptions!$C$6-G3641))))</f>
        <v/>
      </c>
      <c r="AC3641">
        <f>IF(Y3641=1,Q3641-F3641,"")</f>
        <v/>
      </c>
      <c r="AD3641">
        <f>IF(Y3641=1,AC3641^2,"")</f>
        <v/>
      </c>
      <c r="AE3641" s="19">
        <f>IF(Z3641=1,(H3641-M3641)*I3641,0)</f>
        <v/>
      </c>
      <c r="AF3641">
        <f>IF(G3641&lt;EDATE(Assumptions!$C$6,-12)+1,"prior_12m","last_12m")</f>
        <v/>
      </c>
      <c r="AG3641" s="21">
        <f>DATE(YEAR(G3641),MONTH(G3641),1)</f>
        <v/>
      </c>
    </row>
    <row r="3642">
      <c r="A3642" t="inlineStr">
        <is>
          <t>SPO-01941-3</t>
        </is>
      </c>
      <c r="B3642" t="inlineStr">
        <is>
          <t>SPO-01941</t>
        </is>
      </c>
      <c r="C3642" t="inlineStr">
        <is>
          <t>SUP-04</t>
        </is>
      </c>
      <c r="D3642" t="inlineStr">
        <is>
          <t>FLEET</t>
        </is>
      </c>
      <c r="E3642" t="inlineStr">
        <is>
          <t>FLEET-03</t>
        </is>
      </c>
      <c r="F3642" s="17" t="n">
        <v>46114</v>
      </c>
      <c r="G3642" s="17" t="n">
        <v>46127</v>
      </c>
      <c r="H3642" s="18" t="n">
        <v>46</v>
      </c>
      <c r="I3642" s="19" t="n">
        <v>20.89</v>
      </c>
      <c r="J3642" s="19" t="n">
        <v>21</v>
      </c>
      <c r="K3642" s="20" t="n">
        <v>0</v>
      </c>
      <c r="L3642" s="20" t="n">
        <v>0</v>
      </c>
      <c r="M3642" s="18" t="n">
        <v>46</v>
      </c>
      <c r="N3642" s="18" t="n">
        <v>46</v>
      </c>
      <c r="O3642" s="18" t="n">
        <v>0</v>
      </c>
      <c r="P3642" s="17" t="n">
        <v>46118</v>
      </c>
      <c r="Q3642" s="17" t="n">
        <v>46118</v>
      </c>
      <c r="R3642" s="17" t="n">
        <v>46118</v>
      </c>
      <c r="S3642" s="19">
        <f>H3642*I3642</f>
        <v/>
      </c>
      <c r="T3642" s="19">
        <f>H3642*J3642</f>
        <v/>
      </c>
      <c r="U3642">
        <f>IF(AND(K3642=0,G3642&lt;=Assumptions!$C$6),1,0)</f>
        <v/>
      </c>
      <c r="V3642">
        <f>IF(U3642=1,IF(M3642&gt;0,IF(P3642&lt;=G3642+Assumptions!$C$7,1,0),0),0)</f>
        <v/>
      </c>
      <c r="W3642">
        <f>IF(AND(U3642=1,M3642&gt;=H3642*(1-Assumptions!$C$8)),1,0)</f>
        <v/>
      </c>
      <c r="X3642">
        <f>IF(AND(U3642=1,N3642&gt;=H3642*(1-Assumptions!$C$8)),1,0)</f>
        <v/>
      </c>
      <c r="Y3642">
        <f>IF(ISNUMBER(Q3642),1,0)</f>
        <v/>
      </c>
      <c r="Z3642">
        <f>IF(AND(K3642=0,L3642=0,Y3642=0),1,0)</f>
        <v/>
      </c>
      <c r="AA3642">
        <f>IF(AND(Z3642=1,G3642&lt;Assumptions!$C$6),1,0)</f>
        <v/>
      </c>
      <c r="AB3642">
        <f>IF(U3642=0,"",IF(Y3642=1,MAX(0,Q3642-G3642),IF(L3642=1,MAX(0,R3642-G3642),MAX(0,Assumptions!$C$6-G3642))))</f>
        <v/>
      </c>
      <c r="AC3642">
        <f>IF(Y3642=1,Q3642-F3642,"")</f>
        <v/>
      </c>
      <c r="AD3642">
        <f>IF(Y3642=1,AC3642^2,"")</f>
        <v/>
      </c>
      <c r="AE3642" s="19">
        <f>IF(Z3642=1,(H3642-M3642)*I3642,0)</f>
        <v/>
      </c>
      <c r="AF3642">
        <f>IF(G3642&lt;EDATE(Assumptions!$C$6,-12)+1,"prior_12m","last_12m")</f>
        <v/>
      </c>
      <c r="AG3642" s="21">
        <f>DATE(YEAR(G3642),MONTH(G3642),1)</f>
        <v/>
      </c>
    </row>
    <row r="3643">
      <c r="A3643" t="inlineStr">
        <is>
          <t>SPO-01941-4</t>
        </is>
      </c>
      <c r="B3643" t="inlineStr">
        <is>
          <t>SPO-01941</t>
        </is>
      </c>
      <c r="C3643" t="inlineStr">
        <is>
          <t>SUP-04</t>
        </is>
      </c>
      <c r="D3643" t="inlineStr">
        <is>
          <t>FLEET</t>
        </is>
      </c>
      <c r="E3643" t="inlineStr">
        <is>
          <t>FLEET-06</t>
        </is>
      </c>
      <c r="F3643" s="17" t="n">
        <v>46114</v>
      </c>
      <c r="G3643" s="17" t="n">
        <v>46127</v>
      </c>
      <c r="H3643" s="18" t="n">
        <v>55</v>
      </c>
      <c r="I3643" s="19" t="n">
        <v>32.97</v>
      </c>
      <c r="J3643" s="19" t="n">
        <v>33</v>
      </c>
      <c r="K3643" s="20" t="n">
        <v>0</v>
      </c>
      <c r="L3643" s="20" t="n">
        <v>0</v>
      </c>
      <c r="M3643" s="18" t="n">
        <v>55</v>
      </c>
      <c r="N3643" s="18" t="n">
        <v>55</v>
      </c>
      <c r="O3643" s="18" t="n">
        <v>0</v>
      </c>
      <c r="P3643" s="17" t="n">
        <v>46123</v>
      </c>
      <c r="Q3643" s="17" t="n">
        <v>46123</v>
      </c>
      <c r="R3643" s="17" t="n">
        <v>46123</v>
      </c>
      <c r="S3643" s="19">
        <f>H3643*I3643</f>
        <v/>
      </c>
      <c r="T3643" s="19">
        <f>H3643*J3643</f>
        <v/>
      </c>
      <c r="U3643">
        <f>IF(AND(K3643=0,G3643&lt;=Assumptions!$C$6),1,0)</f>
        <v/>
      </c>
      <c r="V3643">
        <f>IF(U3643=1,IF(M3643&gt;0,IF(P3643&lt;=G3643+Assumptions!$C$7,1,0),0),0)</f>
        <v/>
      </c>
      <c r="W3643">
        <f>IF(AND(U3643=1,M3643&gt;=H3643*(1-Assumptions!$C$8)),1,0)</f>
        <v/>
      </c>
      <c r="X3643">
        <f>IF(AND(U3643=1,N3643&gt;=H3643*(1-Assumptions!$C$8)),1,0)</f>
        <v/>
      </c>
      <c r="Y3643">
        <f>IF(ISNUMBER(Q3643),1,0)</f>
        <v/>
      </c>
      <c r="Z3643">
        <f>IF(AND(K3643=0,L3643=0,Y3643=0),1,0)</f>
        <v/>
      </c>
      <c r="AA3643">
        <f>IF(AND(Z3643=1,G3643&lt;Assumptions!$C$6),1,0)</f>
        <v/>
      </c>
      <c r="AB3643">
        <f>IF(U3643=0,"",IF(Y3643=1,MAX(0,Q3643-G3643),IF(L3643=1,MAX(0,R3643-G3643),MAX(0,Assumptions!$C$6-G3643))))</f>
        <v/>
      </c>
      <c r="AC3643">
        <f>IF(Y3643=1,Q3643-F3643,"")</f>
        <v/>
      </c>
      <c r="AD3643">
        <f>IF(Y3643=1,AC3643^2,"")</f>
        <v/>
      </c>
      <c r="AE3643" s="19">
        <f>IF(Z3643=1,(H3643-M3643)*I3643,0)</f>
        <v/>
      </c>
      <c r="AF3643">
        <f>IF(G3643&lt;EDATE(Assumptions!$C$6,-12)+1,"prior_12m","last_12m")</f>
        <v/>
      </c>
      <c r="AG3643" s="21">
        <f>DATE(YEAR(G3643),MONTH(G3643),1)</f>
        <v/>
      </c>
    </row>
    <row r="3644">
      <c r="A3644" t="inlineStr">
        <is>
          <t>SPO-01942-1</t>
        </is>
      </c>
      <c r="B3644" t="inlineStr">
        <is>
          <t>SPO-01942</t>
        </is>
      </c>
      <c r="C3644" t="inlineStr">
        <is>
          <t>SUP-04</t>
        </is>
      </c>
      <c r="D3644" t="inlineStr">
        <is>
          <t>FLEET</t>
        </is>
      </c>
      <c r="E3644" t="inlineStr">
        <is>
          <t>FLEET-08</t>
        </is>
      </c>
      <c r="F3644" s="17" t="n">
        <v>46114</v>
      </c>
      <c r="G3644" s="17" t="n">
        <v>46127</v>
      </c>
      <c r="H3644" s="18" t="n">
        <v>348</v>
      </c>
      <c r="I3644" s="19" t="n">
        <v>6.53</v>
      </c>
      <c r="J3644" s="19" t="n">
        <v>6.4</v>
      </c>
      <c r="K3644" s="20" t="n">
        <v>0</v>
      </c>
      <c r="L3644" s="20" t="n">
        <v>0</v>
      </c>
      <c r="M3644" s="18" t="n">
        <v>348</v>
      </c>
      <c r="N3644" s="18" t="n">
        <v>218</v>
      </c>
      <c r="O3644" s="18" t="n">
        <v>0</v>
      </c>
      <c r="P3644" s="17" t="n">
        <v>46123</v>
      </c>
      <c r="Q3644" s="17" t="n">
        <v>46136</v>
      </c>
      <c r="R3644" s="17" t="n">
        <v>46136</v>
      </c>
      <c r="S3644" s="19">
        <f>H3644*I3644</f>
        <v/>
      </c>
      <c r="T3644" s="19">
        <f>H3644*J3644</f>
        <v/>
      </c>
      <c r="U3644">
        <f>IF(AND(K3644=0,G3644&lt;=Assumptions!$C$6),1,0)</f>
        <v/>
      </c>
      <c r="V3644">
        <f>IF(U3644=1,IF(M3644&gt;0,IF(P3644&lt;=G3644+Assumptions!$C$7,1,0),0),0)</f>
        <v/>
      </c>
      <c r="W3644">
        <f>IF(AND(U3644=1,M3644&gt;=H3644*(1-Assumptions!$C$8)),1,0)</f>
        <v/>
      </c>
      <c r="X3644">
        <f>IF(AND(U3644=1,N3644&gt;=H3644*(1-Assumptions!$C$8)),1,0)</f>
        <v/>
      </c>
      <c r="Y3644">
        <f>IF(ISNUMBER(Q3644),1,0)</f>
        <v/>
      </c>
      <c r="Z3644">
        <f>IF(AND(K3644=0,L3644=0,Y3644=0),1,0)</f>
        <v/>
      </c>
      <c r="AA3644">
        <f>IF(AND(Z3644=1,G3644&lt;Assumptions!$C$6),1,0)</f>
        <v/>
      </c>
      <c r="AB3644">
        <f>IF(U3644=0,"",IF(Y3644=1,MAX(0,Q3644-G3644),IF(L3644=1,MAX(0,R3644-G3644),MAX(0,Assumptions!$C$6-G3644))))</f>
        <v/>
      </c>
      <c r="AC3644">
        <f>IF(Y3644=1,Q3644-F3644,"")</f>
        <v/>
      </c>
      <c r="AD3644">
        <f>IF(Y3644=1,AC3644^2,"")</f>
        <v/>
      </c>
      <c r="AE3644" s="19">
        <f>IF(Z3644=1,(H3644-M3644)*I3644,0)</f>
        <v/>
      </c>
      <c r="AF3644">
        <f>IF(G3644&lt;EDATE(Assumptions!$C$6,-12)+1,"prior_12m","last_12m")</f>
        <v/>
      </c>
      <c r="AG3644" s="21">
        <f>DATE(YEAR(G3644),MONTH(G3644),1)</f>
        <v/>
      </c>
    </row>
    <row r="3645">
      <c r="A3645" t="inlineStr">
        <is>
          <t>SPO-01943-1</t>
        </is>
      </c>
      <c r="B3645" t="inlineStr">
        <is>
          <t>SPO-01943</t>
        </is>
      </c>
      <c r="C3645" t="inlineStr">
        <is>
          <t>SUP-14</t>
        </is>
      </c>
      <c r="D3645" t="inlineStr">
        <is>
          <t>FLEET</t>
        </is>
      </c>
      <c r="E3645" t="inlineStr">
        <is>
          <t>FLEET-04</t>
        </is>
      </c>
      <c r="F3645" s="17" t="n">
        <v>46115</v>
      </c>
      <c r="G3645" s="17" t="n">
        <v>46129</v>
      </c>
      <c r="H3645" s="18" t="n">
        <v>203</v>
      </c>
      <c r="I3645" s="19" t="n">
        <v>8.6</v>
      </c>
      <c r="J3645" s="19" t="n">
        <v>9</v>
      </c>
      <c r="K3645" s="20" t="n">
        <v>0</v>
      </c>
      <c r="L3645" s="20" t="n">
        <v>0</v>
      </c>
      <c r="M3645" s="18" t="n">
        <v>203</v>
      </c>
      <c r="N3645" s="18" t="n">
        <v>203</v>
      </c>
      <c r="O3645" s="18" t="n">
        <v>0</v>
      </c>
      <c r="P3645" s="17" t="n">
        <v>46125</v>
      </c>
      <c r="Q3645" s="17" t="n">
        <v>46125</v>
      </c>
      <c r="R3645" s="17" t="n">
        <v>46125</v>
      </c>
      <c r="S3645" s="19">
        <f>H3645*I3645</f>
        <v/>
      </c>
      <c r="T3645" s="19">
        <f>H3645*J3645</f>
        <v/>
      </c>
      <c r="U3645">
        <f>IF(AND(K3645=0,G3645&lt;=Assumptions!$C$6),1,0)</f>
        <v/>
      </c>
      <c r="V3645">
        <f>IF(U3645=1,IF(M3645&gt;0,IF(P3645&lt;=G3645+Assumptions!$C$7,1,0),0),0)</f>
        <v/>
      </c>
      <c r="W3645">
        <f>IF(AND(U3645=1,M3645&gt;=H3645*(1-Assumptions!$C$8)),1,0)</f>
        <v/>
      </c>
      <c r="X3645">
        <f>IF(AND(U3645=1,N3645&gt;=H3645*(1-Assumptions!$C$8)),1,0)</f>
        <v/>
      </c>
      <c r="Y3645">
        <f>IF(ISNUMBER(Q3645),1,0)</f>
        <v/>
      </c>
      <c r="Z3645">
        <f>IF(AND(K3645=0,L3645=0,Y3645=0),1,0)</f>
        <v/>
      </c>
      <c r="AA3645">
        <f>IF(AND(Z3645=1,G3645&lt;Assumptions!$C$6),1,0)</f>
        <v/>
      </c>
      <c r="AB3645">
        <f>IF(U3645=0,"",IF(Y3645=1,MAX(0,Q3645-G3645),IF(L3645=1,MAX(0,R3645-G3645),MAX(0,Assumptions!$C$6-G3645))))</f>
        <v/>
      </c>
      <c r="AC3645">
        <f>IF(Y3645=1,Q3645-F3645,"")</f>
        <v/>
      </c>
      <c r="AD3645">
        <f>IF(Y3645=1,AC3645^2,"")</f>
        <v/>
      </c>
      <c r="AE3645" s="19">
        <f>IF(Z3645=1,(H3645-M3645)*I3645,0)</f>
        <v/>
      </c>
      <c r="AF3645">
        <f>IF(G3645&lt;EDATE(Assumptions!$C$6,-12)+1,"prior_12m","last_12m")</f>
        <v/>
      </c>
      <c r="AG3645" s="21">
        <f>DATE(YEAR(G3645),MONTH(G3645),1)</f>
        <v/>
      </c>
    </row>
    <row r="3646">
      <c r="A3646" t="inlineStr">
        <is>
          <t>SPO-01943-2</t>
        </is>
      </c>
      <c r="B3646" t="inlineStr">
        <is>
          <t>SPO-01943</t>
        </is>
      </c>
      <c r="C3646" t="inlineStr">
        <is>
          <t>SUP-14</t>
        </is>
      </c>
      <c r="D3646" t="inlineStr">
        <is>
          <t>FLEET</t>
        </is>
      </c>
      <c r="E3646" t="inlineStr">
        <is>
          <t>FLEET-03</t>
        </is>
      </c>
      <c r="F3646" s="17" t="n">
        <v>46115</v>
      </c>
      <c r="G3646" s="17" t="n">
        <v>46129</v>
      </c>
      <c r="H3646" s="18" t="n">
        <v>75</v>
      </c>
      <c r="I3646" s="19" t="n">
        <v>20.68</v>
      </c>
      <c r="J3646" s="19" t="n">
        <v>21</v>
      </c>
      <c r="K3646" s="20" t="n">
        <v>0</v>
      </c>
      <c r="L3646" s="20" t="n">
        <v>0</v>
      </c>
      <c r="M3646" s="18" t="n">
        <v>75</v>
      </c>
      <c r="N3646" s="18" t="n">
        <v>75</v>
      </c>
      <c r="O3646" s="18" t="n">
        <v>0</v>
      </c>
      <c r="P3646" s="17" t="n">
        <v>46122</v>
      </c>
      <c r="Q3646" s="17" t="n">
        <v>46122</v>
      </c>
      <c r="R3646" s="17" t="n">
        <v>46122</v>
      </c>
      <c r="S3646" s="19">
        <f>H3646*I3646</f>
        <v/>
      </c>
      <c r="T3646" s="19">
        <f>H3646*J3646</f>
        <v/>
      </c>
      <c r="U3646">
        <f>IF(AND(K3646=0,G3646&lt;=Assumptions!$C$6),1,0)</f>
        <v/>
      </c>
      <c r="V3646">
        <f>IF(U3646=1,IF(M3646&gt;0,IF(P3646&lt;=G3646+Assumptions!$C$7,1,0),0),0)</f>
        <v/>
      </c>
      <c r="W3646">
        <f>IF(AND(U3646=1,M3646&gt;=H3646*(1-Assumptions!$C$8)),1,0)</f>
        <v/>
      </c>
      <c r="X3646">
        <f>IF(AND(U3646=1,N3646&gt;=H3646*(1-Assumptions!$C$8)),1,0)</f>
        <v/>
      </c>
      <c r="Y3646">
        <f>IF(ISNUMBER(Q3646),1,0)</f>
        <v/>
      </c>
      <c r="Z3646">
        <f>IF(AND(K3646=0,L3646=0,Y3646=0),1,0)</f>
        <v/>
      </c>
      <c r="AA3646">
        <f>IF(AND(Z3646=1,G3646&lt;Assumptions!$C$6),1,0)</f>
        <v/>
      </c>
      <c r="AB3646">
        <f>IF(U3646=0,"",IF(Y3646=1,MAX(0,Q3646-G3646),IF(L3646=1,MAX(0,R3646-G3646),MAX(0,Assumptions!$C$6-G3646))))</f>
        <v/>
      </c>
      <c r="AC3646">
        <f>IF(Y3646=1,Q3646-F3646,"")</f>
        <v/>
      </c>
      <c r="AD3646">
        <f>IF(Y3646=1,AC3646^2,"")</f>
        <v/>
      </c>
      <c r="AE3646" s="19">
        <f>IF(Z3646=1,(H3646-M3646)*I3646,0)</f>
        <v/>
      </c>
      <c r="AF3646">
        <f>IF(G3646&lt;EDATE(Assumptions!$C$6,-12)+1,"prior_12m","last_12m")</f>
        <v/>
      </c>
      <c r="AG3646" s="21">
        <f>DATE(YEAR(G3646),MONTH(G3646),1)</f>
        <v/>
      </c>
    </row>
    <row r="3647">
      <c r="A3647" t="inlineStr">
        <is>
          <t>SPO-01943-3</t>
        </is>
      </c>
      <c r="B3647" t="inlineStr">
        <is>
          <t>SPO-01943</t>
        </is>
      </c>
      <c r="C3647" t="inlineStr">
        <is>
          <t>SUP-14</t>
        </is>
      </c>
      <c r="D3647" t="inlineStr">
        <is>
          <t>FLEET</t>
        </is>
      </c>
      <c r="E3647" t="inlineStr">
        <is>
          <t>FLEET-05</t>
        </is>
      </c>
      <c r="F3647" s="17" t="n">
        <v>46115</v>
      </c>
      <c r="G3647" s="17" t="n">
        <v>46129</v>
      </c>
      <c r="H3647" s="18" t="n">
        <v>11</v>
      </c>
      <c r="I3647" s="19" t="n">
        <v>163.16</v>
      </c>
      <c r="J3647" s="19" t="n">
        <v>168</v>
      </c>
      <c r="K3647" s="20" t="n">
        <v>0</v>
      </c>
      <c r="L3647" s="20" t="n">
        <v>0</v>
      </c>
      <c r="M3647" s="18" t="n">
        <v>11</v>
      </c>
      <c r="N3647" s="18" t="n">
        <v>11</v>
      </c>
      <c r="O3647" s="18" t="n">
        <v>0</v>
      </c>
      <c r="P3647" s="17" t="n">
        <v>46127</v>
      </c>
      <c r="Q3647" s="17" t="n">
        <v>46127</v>
      </c>
      <c r="R3647" s="17" t="n">
        <v>46127</v>
      </c>
      <c r="S3647" s="19">
        <f>H3647*I3647</f>
        <v/>
      </c>
      <c r="T3647" s="19">
        <f>H3647*J3647</f>
        <v/>
      </c>
      <c r="U3647">
        <f>IF(AND(K3647=0,G3647&lt;=Assumptions!$C$6),1,0)</f>
        <v/>
      </c>
      <c r="V3647">
        <f>IF(U3647=1,IF(M3647&gt;0,IF(P3647&lt;=G3647+Assumptions!$C$7,1,0),0),0)</f>
        <v/>
      </c>
      <c r="W3647">
        <f>IF(AND(U3647=1,M3647&gt;=H3647*(1-Assumptions!$C$8)),1,0)</f>
        <v/>
      </c>
      <c r="X3647">
        <f>IF(AND(U3647=1,N3647&gt;=H3647*(1-Assumptions!$C$8)),1,0)</f>
        <v/>
      </c>
      <c r="Y3647">
        <f>IF(ISNUMBER(Q3647),1,0)</f>
        <v/>
      </c>
      <c r="Z3647">
        <f>IF(AND(K3647=0,L3647=0,Y3647=0),1,0)</f>
        <v/>
      </c>
      <c r="AA3647">
        <f>IF(AND(Z3647=1,G3647&lt;Assumptions!$C$6),1,0)</f>
        <v/>
      </c>
      <c r="AB3647">
        <f>IF(U3647=0,"",IF(Y3647=1,MAX(0,Q3647-G3647),IF(L3647=1,MAX(0,R3647-G3647),MAX(0,Assumptions!$C$6-G3647))))</f>
        <v/>
      </c>
      <c r="AC3647">
        <f>IF(Y3647=1,Q3647-F3647,"")</f>
        <v/>
      </c>
      <c r="AD3647">
        <f>IF(Y3647=1,AC3647^2,"")</f>
        <v/>
      </c>
      <c r="AE3647" s="19">
        <f>IF(Z3647=1,(H3647-M3647)*I3647,0)</f>
        <v/>
      </c>
      <c r="AF3647">
        <f>IF(G3647&lt;EDATE(Assumptions!$C$6,-12)+1,"prior_12m","last_12m")</f>
        <v/>
      </c>
      <c r="AG3647" s="21">
        <f>DATE(YEAR(G3647),MONTH(G3647),1)</f>
        <v/>
      </c>
    </row>
    <row r="3648">
      <c r="A3648" t="inlineStr">
        <is>
          <t>SPO-01943-4</t>
        </is>
      </c>
      <c r="B3648" t="inlineStr">
        <is>
          <t>SPO-01943</t>
        </is>
      </c>
      <c r="C3648" t="inlineStr">
        <is>
          <t>SUP-14</t>
        </is>
      </c>
      <c r="D3648" t="inlineStr">
        <is>
          <t>FLEET</t>
        </is>
      </c>
      <c r="E3648" t="inlineStr">
        <is>
          <t>FLEET-08</t>
        </is>
      </c>
      <c r="F3648" s="17" t="n">
        <v>46115</v>
      </c>
      <c r="G3648" s="17" t="n">
        <v>46129</v>
      </c>
      <c r="H3648" s="18" t="n">
        <v>63</v>
      </c>
      <c r="I3648" s="19" t="n">
        <v>6.61</v>
      </c>
      <c r="J3648" s="19" t="n">
        <v>6.4</v>
      </c>
      <c r="K3648" s="20" t="n">
        <v>0</v>
      </c>
      <c r="L3648" s="20" t="n">
        <v>0</v>
      </c>
      <c r="M3648" s="18" t="n">
        <v>63</v>
      </c>
      <c r="N3648" s="18" t="n">
        <v>63</v>
      </c>
      <c r="O3648" s="18" t="n">
        <v>0</v>
      </c>
      <c r="P3648" s="17" t="n">
        <v>46124</v>
      </c>
      <c r="Q3648" s="17" t="n">
        <v>46124</v>
      </c>
      <c r="R3648" s="17" t="n">
        <v>46124</v>
      </c>
      <c r="S3648" s="19">
        <f>H3648*I3648</f>
        <v/>
      </c>
      <c r="T3648" s="19">
        <f>H3648*J3648</f>
        <v/>
      </c>
      <c r="U3648">
        <f>IF(AND(K3648=0,G3648&lt;=Assumptions!$C$6),1,0)</f>
        <v/>
      </c>
      <c r="V3648">
        <f>IF(U3648=1,IF(M3648&gt;0,IF(P3648&lt;=G3648+Assumptions!$C$7,1,0),0),0)</f>
        <v/>
      </c>
      <c r="W3648">
        <f>IF(AND(U3648=1,M3648&gt;=H3648*(1-Assumptions!$C$8)),1,0)</f>
        <v/>
      </c>
      <c r="X3648">
        <f>IF(AND(U3648=1,N3648&gt;=H3648*(1-Assumptions!$C$8)),1,0)</f>
        <v/>
      </c>
      <c r="Y3648">
        <f>IF(ISNUMBER(Q3648),1,0)</f>
        <v/>
      </c>
      <c r="Z3648">
        <f>IF(AND(K3648=0,L3648=0,Y3648=0),1,0)</f>
        <v/>
      </c>
      <c r="AA3648">
        <f>IF(AND(Z3648=1,G3648&lt;Assumptions!$C$6),1,0)</f>
        <v/>
      </c>
      <c r="AB3648">
        <f>IF(U3648=0,"",IF(Y3648=1,MAX(0,Q3648-G3648),IF(L3648=1,MAX(0,R3648-G3648),MAX(0,Assumptions!$C$6-G3648))))</f>
        <v/>
      </c>
      <c r="AC3648">
        <f>IF(Y3648=1,Q3648-F3648,"")</f>
        <v/>
      </c>
      <c r="AD3648">
        <f>IF(Y3648=1,AC3648^2,"")</f>
        <v/>
      </c>
      <c r="AE3648" s="19">
        <f>IF(Z3648=1,(H3648-M3648)*I3648,0)</f>
        <v/>
      </c>
      <c r="AF3648">
        <f>IF(G3648&lt;EDATE(Assumptions!$C$6,-12)+1,"prior_12m","last_12m")</f>
        <v/>
      </c>
      <c r="AG3648" s="21">
        <f>DATE(YEAR(G3648),MONTH(G3648),1)</f>
        <v/>
      </c>
    </row>
    <row r="3649">
      <c r="A3649" t="inlineStr">
        <is>
          <t>SPO-01944-1</t>
        </is>
      </c>
      <c r="B3649" t="inlineStr">
        <is>
          <t>SPO-01944</t>
        </is>
      </c>
      <c r="C3649" t="inlineStr">
        <is>
          <t>SUP-10</t>
        </is>
      </c>
      <c r="D3649" t="inlineStr">
        <is>
          <t>PPE</t>
        </is>
      </c>
      <c r="E3649" t="inlineStr">
        <is>
          <t>PPE-01</t>
        </is>
      </c>
      <c r="F3649" s="17" t="n">
        <v>46115</v>
      </c>
      <c r="G3649" s="17" t="n">
        <v>46128</v>
      </c>
      <c r="H3649" s="18" t="n">
        <v>210</v>
      </c>
      <c r="I3649" s="19" t="n">
        <v>4.71</v>
      </c>
      <c r="J3649" s="19" t="n">
        <v>4.8</v>
      </c>
      <c r="K3649" s="20" t="n">
        <v>0</v>
      </c>
      <c r="L3649" s="20" t="n">
        <v>0</v>
      </c>
      <c r="M3649" s="18" t="n">
        <v>210</v>
      </c>
      <c r="N3649" s="18" t="n">
        <v>120</v>
      </c>
      <c r="O3649" s="18" t="n">
        <v>0</v>
      </c>
      <c r="P3649" s="17" t="n">
        <v>46126</v>
      </c>
      <c r="Q3649" s="17" t="n">
        <v>46146</v>
      </c>
      <c r="R3649" s="17" t="n">
        <v>46146</v>
      </c>
      <c r="S3649" s="19">
        <f>H3649*I3649</f>
        <v/>
      </c>
      <c r="T3649" s="19">
        <f>H3649*J3649</f>
        <v/>
      </c>
      <c r="U3649">
        <f>IF(AND(K3649=0,G3649&lt;=Assumptions!$C$6),1,0)</f>
        <v/>
      </c>
      <c r="V3649">
        <f>IF(U3649=1,IF(M3649&gt;0,IF(P3649&lt;=G3649+Assumptions!$C$7,1,0),0),0)</f>
        <v/>
      </c>
      <c r="W3649">
        <f>IF(AND(U3649=1,M3649&gt;=H3649*(1-Assumptions!$C$8)),1,0)</f>
        <v/>
      </c>
      <c r="X3649">
        <f>IF(AND(U3649=1,N3649&gt;=H3649*(1-Assumptions!$C$8)),1,0)</f>
        <v/>
      </c>
      <c r="Y3649">
        <f>IF(ISNUMBER(Q3649),1,0)</f>
        <v/>
      </c>
      <c r="Z3649">
        <f>IF(AND(K3649=0,L3649=0,Y3649=0),1,0)</f>
        <v/>
      </c>
      <c r="AA3649">
        <f>IF(AND(Z3649=1,G3649&lt;Assumptions!$C$6),1,0)</f>
        <v/>
      </c>
      <c r="AB3649">
        <f>IF(U3649=0,"",IF(Y3649=1,MAX(0,Q3649-G3649),IF(L3649=1,MAX(0,R3649-G3649),MAX(0,Assumptions!$C$6-G3649))))</f>
        <v/>
      </c>
      <c r="AC3649">
        <f>IF(Y3649=1,Q3649-F3649,"")</f>
        <v/>
      </c>
      <c r="AD3649">
        <f>IF(Y3649=1,AC3649^2,"")</f>
        <v/>
      </c>
      <c r="AE3649" s="19">
        <f>IF(Z3649=1,(H3649-M3649)*I3649,0)</f>
        <v/>
      </c>
      <c r="AF3649">
        <f>IF(G3649&lt;EDATE(Assumptions!$C$6,-12)+1,"prior_12m","last_12m")</f>
        <v/>
      </c>
      <c r="AG3649" s="21">
        <f>DATE(YEAR(G3649),MONTH(G3649),1)</f>
        <v/>
      </c>
    </row>
    <row r="3650">
      <c r="A3650" t="inlineStr">
        <is>
          <t>SPO-01944-2</t>
        </is>
      </c>
      <c r="B3650" t="inlineStr">
        <is>
          <t>SPO-01944</t>
        </is>
      </c>
      <c r="C3650" t="inlineStr">
        <is>
          <t>SUP-10</t>
        </is>
      </c>
      <c r="D3650" t="inlineStr">
        <is>
          <t>PPE</t>
        </is>
      </c>
      <c r="E3650" t="inlineStr">
        <is>
          <t>PPE-04</t>
        </is>
      </c>
      <c r="F3650" s="17" t="n">
        <v>46115</v>
      </c>
      <c r="G3650" s="17" t="n">
        <v>46128</v>
      </c>
      <c r="H3650" s="18" t="n">
        <v>38</v>
      </c>
      <c r="I3650" s="19" t="n">
        <v>24.28</v>
      </c>
      <c r="J3650" s="19" t="n">
        <v>26</v>
      </c>
      <c r="K3650" s="20" t="n">
        <v>0</v>
      </c>
      <c r="L3650" s="20" t="n">
        <v>0</v>
      </c>
      <c r="M3650" s="18" t="n">
        <v>38</v>
      </c>
      <c r="N3650" s="18" t="n">
        <v>38</v>
      </c>
      <c r="O3650" s="18" t="n">
        <v>0</v>
      </c>
      <c r="P3650" s="17" t="n">
        <v>46122</v>
      </c>
      <c r="Q3650" s="17" t="n">
        <v>46122</v>
      </c>
      <c r="R3650" s="17" t="n">
        <v>46122</v>
      </c>
      <c r="S3650" s="19">
        <f>H3650*I3650</f>
        <v/>
      </c>
      <c r="T3650" s="19">
        <f>H3650*J3650</f>
        <v/>
      </c>
      <c r="U3650">
        <f>IF(AND(K3650=0,G3650&lt;=Assumptions!$C$6),1,0)</f>
        <v/>
      </c>
      <c r="V3650">
        <f>IF(U3650=1,IF(M3650&gt;0,IF(P3650&lt;=G3650+Assumptions!$C$7,1,0),0),0)</f>
        <v/>
      </c>
      <c r="W3650">
        <f>IF(AND(U3650=1,M3650&gt;=H3650*(1-Assumptions!$C$8)),1,0)</f>
        <v/>
      </c>
      <c r="X3650">
        <f>IF(AND(U3650=1,N3650&gt;=H3650*(1-Assumptions!$C$8)),1,0)</f>
        <v/>
      </c>
      <c r="Y3650">
        <f>IF(ISNUMBER(Q3650),1,0)</f>
        <v/>
      </c>
      <c r="Z3650">
        <f>IF(AND(K3650=0,L3650=0,Y3650=0),1,0)</f>
        <v/>
      </c>
      <c r="AA3650">
        <f>IF(AND(Z3650=1,G3650&lt;Assumptions!$C$6),1,0)</f>
        <v/>
      </c>
      <c r="AB3650">
        <f>IF(U3650=0,"",IF(Y3650=1,MAX(0,Q3650-G3650),IF(L3650=1,MAX(0,R3650-G3650),MAX(0,Assumptions!$C$6-G3650))))</f>
        <v/>
      </c>
      <c r="AC3650">
        <f>IF(Y3650=1,Q3650-F3650,"")</f>
        <v/>
      </c>
      <c r="AD3650">
        <f>IF(Y3650=1,AC3650^2,"")</f>
        <v/>
      </c>
      <c r="AE3650" s="19">
        <f>IF(Z3650=1,(H3650-M3650)*I3650,0)</f>
        <v/>
      </c>
      <c r="AF3650">
        <f>IF(G3650&lt;EDATE(Assumptions!$C$6,-12)+1,"prior_12m","last_12m")</f>
        <v/>
      </c>
      <c r="AG3650" s="21">
        <f>DATE(YEAR(G3650),MONTH(G3650),1)</f>
        <v/>
      </c>
    </row>
    <row r="3651">
      <c r="A3651" t="inlineStr">
        <is>
          <t>SPO-01945-1</t>
        </is>
      </c>
      <c r="B3651" t="inlineStr">
        <is>
          <t>SPO-01945</t>
        </is>
      </c>
      <c r="C3651" t="inlineStr">
        <is>
          <t>SUP-01</t>
        </is>
      </c>
      <c r="D3651" t="inlineStr">
        <is>
          <t>ELEC</t>
        </is>
      </c>
      <c r="E3651" t="inlineStr">
        <is>
          <t>ELEC-02</t>
        </is>
      </c>
      <c r="F3651" s="17" t="n">
        <v>46115</v>
      </c>
      <c r="G3651" s="17" t="n">
        <v>46133</v>
      </c>
      <c r="H3651" s="18" t="n">
        <v>576</v>
      </c>
      <c r="I3651" s="19" t="n">
        <v>4.31</v>
      </c>
      <c r="J3651" s="19" t="n">
        <v>4.2</v>
      </c>
      <c r="K3651" s="20" t="n">
        <v>0</v>
      </c>
      <c r="L3651" s="20" t="n">
        <v>0</v>
      </c>
      <c r="M3651" s="18" t="n">
        <v>576</v>
      </c>
      <c r="N3651" s="18" t="n">
        <v>0</v>
      </c>
      <c r="O3651" s="18" t="n">
        <v>0</v>
      </c>
      <c r="P3651" s="17" t="n">
        <v>46135</v>
      </c>
      <c r="Q3651" s="17" t="n">
        <v>46135</v>
      </c>
      <c r="R3651" s="17" t="n">
        <v>46135</v>
      </c>
      <c r="S3651" s="19">
        <f>H3651*I3651</f>
        <v/>
      </c>
      <c r="T3651" s="19">
        <f>H3651*J3651</f>
        <v/>
      </c>
      <c r="U3651">
        <f>IF(AND(K3651=0,G3651&lt;=Assumptions!$C$6),1,0)</f>
        <v/>
      </c>
      <c r="V3651">
        <f>IF(U3651=1,IF(M3651&gt;0,IF(P3651&lt;=G3651+Assumptions!$C$7,1,0),0),0)</f>
        <v/>
      </c>
      <c r="W3651">
        <f>IF(AND(U3651=1,M3651&gt;=H3651*(1-Assumptions!$C$8)),1,0)</f>
        <v/>
      </c>
      <c r="X3651">
        <f>IF(AND(U3651=1,N3651&gt;=H3651*(1-Assumptions!$C$8)),1,0)</f>
        <v/>
      </c>
      <c r="Y3651">
        <f>IF(ISNUMBER(Q3651),1,0)</f>
        <v/>
      </c>
      <c r="Z3651">
        <f>IF(AND(K3651=0,L3651=0,Y3651=0),1,0)</f>
        <v/>
      </c>
      <c r="AA3651">
        <f>IF(AND(Z3651=1,G3651&lt;Assumptions!$C$6),1,0)</f>
        <v/>
      </c>
      <c r="AB3651">
        <f>IF(U3651=0,"",IF(Y3651=1,MAX(0,Q3651-G3651),IF(L3651=1,MAX(0,R3651-G3651),MAX(0,Assumptions!$C$6-G3651))))</f>
        <v/>
      </c>
      <c r="AC3651">
        <f>IF(Y3651=1,Q3651-F3651,"")</f>
        <v/>
      </c>
      <c r="AD3651">
        <f>IF(Y3651=1,AC3651^2,"")</f>
        <v/>
      </c>
      <c r="AE3651" s="19">
        <f>IF(Z3651=1,(H3651-M3651)*I3651,0)</f>
        <v/>
      </c>
      <c r="AF3651">
        <f>IF(G3651&lt;EDATE(Assumptions!$C$6,-12)+1,"prior_12m","last_12m")</f>
        <v/>
      </c>
      <c r="AG3651" s="21">
        <f>DATE(YEAR(G3651),MONTH(G3651),1)</f>
        <v/>
      </c>
    </row>
    <row r="3652">
      <c r="A3652" t="inlineStr">
        <is>
          <t>SPO-01945-2</t>
        </is>
      </c>
      <c r="B3652" t="inlineStr">
        <is>
          <t>SPO-01945</t>
        </is>
      </c>
      <c r="C3652" t="inlineStr">
        <is>
          <t>SUP-01</t>
        </is>
      </c>
      <c r="D3652" t="inlineStr">
        <is>
          <t>ELEC</t>
        </is>
      </c>
      <c r="E3652" t="inlineStr">
        <is>
          <t>ELEC-01</t>
        </is>
      </c>
      <c r="F3652" s="17" t="n">
        <v>46115</v>
      </c>
      <c r="G3652" s="17" t="n">
        <v>46133</v>
      </c>
      <c r="H3652" s="18" t="n">
        <v>47</v>
      </c>
      <c r="I3652" s="19" t="n">
        <v>40.04</v>
      </c>
      <c r="J3652" s="19" t="n">
        <v>38</v>
      </c>
      <c r="K3652" s="20" t="n">
        <v>0</v>
      </c>
      <c r="L3652" s="20" t="n">
        <v>0</v>
      </c>
      <c r="M3652" s="18" t="n">
        <v>47</v>
      </c>
      <c r="N3652" s="18" t="n">
        <v>0</v>
      </c>
      <c r="O3652" s="18" t="n">
        <v>0</v>
      </c>
      <c r="P3652" s="17" t="n">
        <v>46140</v>
      </c>
      <c r="Q3652" s="17" t="n">
        <v>46140</v>
      </c>
      <c r="R3652" s="17" t="n">
        <v>46140</v>
      </c>
      <c r="S3652" s="19">
        <f>H3652*I3652</f>
        <v/>
      </c>
      <c r="T3652" s="19">
        <f>H3652*J3652</f>
        <v/>
      </c>
      <c r="U3652">
        <f>IF(AND(K3652=0,G3652&lt;=Assumptions!$C$6),1,0)</f>
        <v/>
      </c>
      <c r="V3652">
        <f>IF(U3652=1,IF(M3652&gt;0,IF(P3652&lt;=G3652+Assumptions!$C$7,1,0),0),0)</f>
        <v/>
      </c>
      <c r="W3652">
        <f>IF(AND(U3652=1,M3652&gt;=H3652*(1-Assumptions!$C$8)),1,0)</f>
        <v/>
      </c>
      <c r="X3652">
        <f>IF(AND(U3652=1,N3652&gt;=H3652*(1-Assumptions!$C$8)),1,0)</f>
        <v/>
      </c>
      <c r="Y3652">
        <f>IF(ISNUMBER(Q3652),1,0)</f>
        <v/>
      </c>
      <c r="Z3652">
        <f>IF(AND(K3652=0,L3652=0,Y3652=0),1,0)</f>
        <v/>
      </c>
      <c r="AA3652">
        <f>IF(AND(Z3652=1,G3652&lt;Assumptions!$C$6),1,0)</f>
        <v/>
      </c>
      <c r="AB3652">
        <f>IF(U3652=0,"",IF(Y3652=1,MAX(0,Q3652-G3652),IF(L3652=1,MAX(0,R3652-G3652),MAX(0,Assumptions!$C$6-G3652))))</f>
        <v/>
      </c>
      <c r="AC3652">
        <f>IF(Y3652=1,Q3652-F3652,"")</f>
        <v/>
      </c>
      <c r="AD3652">
        <f>IF(Y3652=1,AC3652^2,"")</f>
        <v/>
      </c>
      <c r="AE3652" s="19">
        <f>IF(Z3652=1,(H3652-M3652)*I3652,0)</f>
        <v/>
      </c>
      <c r="AF3652">
        <f>IF(G3652&lt;EDATE(Assumptions!$C$6,-12)+1,"prior_12m","last_12m")</f>
        <v/>
      </c>
      <c r="AG3652" s="21">
        <f>DATE(YEAR(G3652),MONTH(G3652),1)</f>
        <v/>
      </c>
    </row>
    <row r="3653">
      <c r="A3653" t="inlineStr">
        <is>
          <t>SPO-01946-1</t>
        </is>
      </c>
      <c r="B3653" t="inlineStr">
        <is>
          <t>SPO-01946</t>
        </is>
      </c>
      <c r="C3653" t="inlineStr">
        <is>
          <t>SUP-12</t>
        </is>
      </c>
      <c r="D3653" t="inlineStr">
        <is>
          <t>IT</t>
        </is>
      </c>
      <c r="E3653" t="inlineStr">
        <is>
          <t>IT-08</t>
        </is>
      </c>
      <c r="F3653" s="17" t="n">
        <v>46115</v>
      </c>
      <c r="G3653" s="17" t="n">
        <v>46125</v>
      </c>
      <c r="H3653" s="18" t="n">
        <v>14</v>
      </c>
      <c r="I3653" s="19" t="n">
        <v>275.57</v>
      </c>
      <c r="J3653" s="19" t="n">
        <v>245</v>
      </c>
      <c r="K3653" s="20" t="n">
        <v>0</v>
      </c>
      <c r="L3653" s="20" t="n">
        <v>0</v>
      </c>
      <c r="M3653" s="18" t="n">
        <v>14</v>
      </c>
      <c r="N3653" s="18" t="n">
        <v>14</v>
      </c>
      <c r="O3653" s="18" t="n">
        <v>0</v>
      </c>
      <c r="P3653" s="17" t="n">
        <v>46118</v>
      </c>
      <c r="Q3653" s="17" t="n">
        <v>46118</v>
      </c>
      <c r="R3653" s="17" t="n">
        <v>46118</v>
      </c>
      <c r="S3653" s="19">
        <f>H3653*I3653</f>
        <v/>
      </c>
      <c r="T3653" s="19">
        <f>H3653*J3653</f>
        <v/>
      </c>
      <c r="U3653">
        <f>IF(AND(K3653=0,G3653&lt;=Assumptions!$C$6),1,0)</f>
        <v/>
      </c>
      <c r="V3653">
        <f>IF(U3653=1,IF(M3653&gt;0,IF(P3653&lt;=G3653+Assumptions!$C$7,1,0),0),0)</f>
        <v/>
      </c>
      <c r="W3653">
        <f>IF(AND(U3653=1,M3653&gt;=H3653*(1-Assumptions!$C$8)),1,0)</f>
        <v/>
      </c>
      <c r="X3653">
        <f>IF(AND(U3653=1,N3653&gt;=H3653*(1-Assumptions!$C$8)),1,0)</f>
        <v/>
      </c>
      <c r="Y3653">
        <f>IF(ISNUMBER(Q3653),1,0)</f>
        <v/>
      </c>
      <c r="Z3653">
        <f>IF(AND(K3653=0,L3653=0,Y3653=0),1,0)</f>
        <v/>
      </c>
      <c r="AA3653">
        <f>IF(AND(Z3653=1,G3653&lt;Assumptions!$C$6),1,0)</f>
        <v/>
      </c>
      <c r="AB3653">
        <f>IF(U3653=0,"",IF(Y3653=1,MAX(0,Q3653-G3653),IF(L3653=1,MAX(0,R3653-G3653),MAX(0,Assumptions!$C$6-G3653))))</f>
        <v/>
      </c>
      <c r="AC3653">
        <f>IF(Y3653=1,Q3653-F3653,"")</f>
        <v/>
      </c>
      <c r="AD3653">
        <f>IF(Y3653=1,AC3653^2,"")</f>
        <v/>
      </c>
      <c r="AE3653" s="19">
        <f>IF(Z3653=1,(H3653-M3653)*I3653,0)</f>
        <v/>
      </c>
      <c r="AF3653">
        <f>IF(G3653&lt;EDATE(Assumptions!$C$6,-12)+1,"prior_12m","last_12m")</f>
        <v/>
      </c>
      <c r="AG3653" s="21">
        <f>DATE(YEAR(G3653),MONTH(G3653),1)</f>
        <v/>
      </c>
    </row>
    <row r="3654">
      <c r="A3654" t="inlineStr">
        <is>
          <t>SPO-01946-2</t>
        </is>
      </c>
      <c r="B3654" t="inlineStr">
        <is>
          <t>SPO-01946</t>
        </is>
      </c>
      <c r="C3654" t="inlineStr">
        <is>
          <t>SUP-12</t>
        </is>
      </c>
      <c r="D3654" t="inlineStr">
        <is>
          <t>IT</t>
        </is>
      </c>
      <c r="E3654" t="inlineStr">
        <is>
          <t>IT-02</t>
        </is>
      </c>
      <c r="F3654" s="17" t="n">
        <v>46115</v>
      </c>
      <c r="G3654" s="17" t="n">
        <v>46125</v>
      </c>
      <c r="H3654" s="18" t="n">
        <v>7</v>
      </c>
      <c r="I3654" s="19" t="n">
        <v>193.33</v>
      </c>
      <c r="J3654" s="19" t="n">
        <v>162</v>
      </c>
      <c r="K3654" s="20" t="n">
        <v>0</v>
      </c>
      <c r="L3654" s="20" t="n">
        <v>0</v>
      </c>
      <c r="M3654" s="18" t="n">
        <v>7</v>
      </c>
      <c r="N3654" s="18" t="n">
        <v>7</v>
      </c>
      <c r="O3654" s="18" t="n">
        <v>0</v>
      </c>
      <c r="P3654" s="17" t="n">
        <v>46123</v>
      </c>
      <c r="Q3654" s="17" t="n">
        <v>46123</v>
      </c>
      <c r="R3654" s="17" t="n">
        <v>46123</v>
      </c>
      <c r="S3654" s="19">
        <f>H3654*I3654</f>
        <v/>
      </c>
      <c r="T3654" s="19">
        <f>H3654*J3654</f>
        <v/>
      </c>
      <c r="U3654">
        <f>IF(AND(K3654=0,G3654&lt;=Assumptions!$C$6),1,0)</f>
        <v/>
      </c>
      <c r="V3654">
        <f>IF(U3654=1,IF(M3654&gt;0,IF(P3654&lt;=G3654+Assumptions!$C$7,1,0),0),0)</f>
        <v/>
      </c>
      <c r="W3654">
        <f>IF(AND(U3654=1,M3654&gt;=H3654*(1-Assumptions!$C$8)),1,0)</f>
        <v/>
      </c>
      <c r="X3654">
        <f>IF(AND(U3654=1,N3654&gt;=H3654*(1-Assumptions!$C$8)),1,0)</f>
        <v/>
      </c>
      <c r="Y3654">
        <f>IF(ISNUMBER(Q3654),1,0)</f>
        <v/>
      </c>
      <c r="Z3654">
        <f>IF(AND(K3654=0,L3654=0,Y3654=0),1,0)</f>
        <v/>
      </c>
      <c r="AA3654">
        <f>IF(AND(Z3654=1,G3654&lt;Assumptions!$C$6),1,0)</f>
        <v/>
      </c>
      <c r="AB3654">
        <f>IF(U3654=0,"",IF(Y3654=1,MAX(0,Q3654-G3654),IF(L3654=1,MAX(0,R3654-G3654),MAX(0,Assumptions!$C$6-G3654))))</f>
        <v/>
      </c>
      <c r="AC3654">
        <f>IF(Y3654=1,Q3654-F3654,"")</f>
        <v/>
      </c>
      <c r="AD3654">
        <f>IF(Y3654=1,AC3654^2,"")</f>
        <v/>
      </c>
      <c r="AE3654" s="19">
        <f>IF(Z3654=1,(H3654-M3654)*I3654,0)</f>
        <v/>
      </c>
      <c r="AF3654">
        <f>IF(G3654&lt;EDATE(Assumptions!$C$6,-12)+1,"prior_12m","last_12m")</f>
        <v/>
      </c>
      <c r="AG3654" s="21">
        <f>DATE(YEAR(G3654),MONTH(G3654),1)</f>
        <v/>
      </c>
    </row>
    <row r="3655">
      <c r="A3655" t="inlineStr">
        <is>
          <t>SPO-01947-1</t>
        </is>
      </c>
      <c r="B3655" t="inlineStr">
        <is>
          <t>SPO-01947</t>
        </is>
      </c>
      <c r="C3655" t="inlineStr">
        <is>
          <t>SUP-06</t>
        </is>
      </c>
      <c r="D3655" t="inlineStr">
        <is>
          <t>MRO</t>
        </is>
      </c>
      <c r="E3655" t="inlineStr">
        <is>
          <t>MRO-07</t>
        </is>
      </c>
      <c r="F3655" s="17" t="n">
        <v>46116</v>
      </c>
      <c r="G3655" s="17" t="n">
        <v>46124</v>
      </c>
      <c r="H3655" s="18" t="n">
        <v>194</v>
      </c>
      <c r="I3655" s="19" t="n">
        <v>13.71</v>
      </c>
      <c r="J3655" s="19" t="n">
        <v>14</v>
      </c>
      <c r="K3655" s="20" t="n">
        <v>0</v>
      </c>
      <c r="L3655" s="20" t="n">
        <v>0</v>
      </c>
      <c r="M3655" s="18" t="n">
        <v>194</v>
      </c>
      <c r="N3655" s="18" t="n">
        <v>194</v>
      </c>
      <c r="O3655" s="18" t="n">
        <v>0</v>
      </c>
      <c r="P3655" s="17" t="n">
        <v>46122</v>
      </c>
      <c r="Q3655" s="17" t="n">
        <v>46122</v>
      </c>
      <c r="R3655" s="17" t="n">
        <v>46122</v>
      </c>
      <c r="S3655" s="19">
        <f>H3655*I3655</f>
        <v/>
      </c>
      <c r="T3655" s="19">
        <f>H3655*J3655</f>
        <v/>
      </c>
      <c r="U3655">
        <f>IF(AND(K3655=0,G3655&lt;=Assumptions!$C$6),1,0)</f>
        <v/>
      </c>
      <c r="V3655">
        <f>IF(U3655=1,IF(M3655&gt;0,IF(P3655&lt;=G3655+Assumptions!$C$7,1,0),0),0)</f>
        <v/>
      </c>
      <c r="W3655">
        <f>IF(AND(U3655=1,M3655&gt;=H3655*(1-Assumptions!$C$8)),1,0)</f>
        <v/>
      </c>
      <c r="X3655">
        <f>IF(AND(U3655=1,N3655&gt;=H3655*(1-Assumptions!$C$8)),1,0)</f>
        <v/>
      </c>
      <c r="Y3655">
        <f>IF(ISNUMBER(Q3655),1,0)</f>
        <v/>
      </c>
      <c r="Z3655">
        <f>IF(AND(K3655=0,L3655=0,Y3655=0),1,0)</f>
        <v/>
      </c>
      <c r="AA3655">
        <f>IF(AND(Z3655=1,G3655&lt;Assumptions!$C$6),1,0)</f>
        <v/>
      </c>
      <c r="AB3655">
        <f>IF(U3655=0,"",IF(Y3655=1,MAX(0,Q3655-G3655),IF(L3655=1,MAX(0,R3655-G3655),MAX(0,Assumptions!$C$6-G3655))))</f>
        <v/>
      </c>
      <c r="AC3655">
        <f>IF(Y3655=1,Q3655-F3655,"")</f>
        <v/>
      </c>
      <c r="AD3655">
        <f>IF(Y3655=1,AC3655^2,"")</f>
        <v/>
      </c>
      <c r="AE3655" s="19">
        <f>IF(Z3655=1,(H3655-M3655)*I3655,0)</f>
        <v/>
      </c>
      <c r="AF3655">
        <f>IF(G3655&lt;EDATE(Assumptions!$C$6,-12)+1,"prior_12m","last_12m")</f>
        <v/>
      </c>
      <c r="AG3655" s="21">
        <f>DATE(YEAR(G3655),MONTH(G3655),1)</f>
        <v/>
      </c>
    </row>
    <row r="3656">
      <c r="A3656" t="inlineStr">
        <is>
          <t>SPO-01948-1</t>
        </is>
      </c>
      <c r="B3656" t="inlineStr">
        <is>
          <t>SPO-01948</t>
        </is>
      </c>
      <c r="C3656" t="inlineStr">
        <is>
          <t>SUP-02</t>
        </is>
      </c>
      <c r="D3656" t="inlineStr">
        <is>
          <t>ELEC</t>
        </is>
      </c>
      <c r="E3656" t="inlineStr">
        <is>
          <t>ELEC-02</t>
        </is>
      </c>
      <c r="F3656" s="17" t="n">
        <v>46116</v>
      </c>
      <c r="G3656" s="17" t="n">
        <v>46132</v>
      </c>
      <c r="H3656" s="18" t="n">
        <v>309</v>
      </c>
      <c r="I3656" s="19" t="n">
        <v>3.95</v>
      </c>
      <c r="J3656" s="19" t="n">
        <v>4.2</v>
      </c>
      <c r="K3656" s="20" t="n">
        <v>0</v>
      </c>
      <c r="L3656" s="20" t="n">
        <v>0</v>
      </c>
      <c r="M3656" s="18" t="n">
        <v>309</v>
      </c>
      <c r="N3656" s="18" t="n">
        <v>309</v>
      </c>
      <c r="O3656" s="18" t="n">
        <v>0</v>
      </c>
      <c r="P3656" s="17" t="n">
        <v>46131</v>
      </c>
      <c r="Q3656" s="17" t="n">
        <v>46131</v>
      </c>
      <c r="R3656" s="17" t="n">
        <v>46131</v>
      </c>
      <c r="S3656" s="19">
        <f>H3656*I3656</f>
        <v/>
      </c>
      <c r="T3656" s="19">
        <f>H3656*J3656</f>
        <v/>
      </c>
      <c r="U3656">
        <f>IF(AND(K3656=0,G3656&lt;=Assumptions!$C$6),1,0)</f>
        <v/>
      </c>
      <c r="V3656">
        <f>IF(U3656=1,IF(M3656&gt;0,IF(P3656&lt;=G3656+Assumptions!$C$7,1,0),0),0)</f>
        <v/>
      </c>
      <c r="W3656">
        <f>IF(AND(U3656=1,M3656&gt;=H3656*(1-Assumptions!$C$8)),1,0)</f>
        <v/>
      </c>
      <c r="X3656">
        <f>IF(AND(U3656=1,N3656&gt;=H3656*(1-Assumptions!$C$8)),1,0)</f>
        <v/>
      </c>
      <c r="Y3656">
        <f>IF(ISNUMBER(Q3656),1,0)</f>
        <v/>
      </c>
      <c r="Z3656">
        <f>IF(AND(K3656=0,L3656=0,Y3656=0),1,0)</f>
        <v/>
      </c>
      <c r="AA3656">
        <f>IF(AND(Z3656=1,G3656&lt;Assumptions!$C$6),1,0)</f>
        <v/>
      </c>
      <c r="AB3656">
        <f>IF(U3656=0,"",IF(Y3656=1,MAX(0,Q3656-G3656),IF(L3656=1,MAX(0,R3656-G3656),MAX(0,Assumptions!$C$6-G3656))))</f>
        <v/>
      </c>
      <c r="AC3656">
        <f>IF(Y3656=1,Q3656-F3656,"")</f>
        <v/>
      </c>
      <c r="AD3656">
        <f>IF(Y3656=1,AC3656^2,"")</f>
        <v/>
      </c>
      <c r="AE3656" s="19">
        <f>IF(Z3656=1,(H3656-M3656)*I3656,0)</f>
        <v/>
      </c>
      <c r="AF3656">
        <f>IF(G3656&lt;EDATE(Assumptions!$C$6,-12)+1,"prior_12m","last_12m")</f>
        <v/>
      </c>
      <c r="AG3656" s="21">
        <f>DATE(YEAR(G3656),MONTH(G3656),1)</f>
        <v/>
      </c>
    </row>
    <row r="3657">
      <c r="A3657" t="inlineStr">
        <is>
          <t>SPO-01949-1</t>
        </is>
      </c>
      <c r="B3657" t="inlineStr">
        <is>
          <t>SPO-01949</t>
        </is>
      </c>
      <c r="C3657" t="inlineStr">
        <is>
          <t>SUP-06</t>
        </is>
      </c>
      <c r="D3657" t="inlineStr">
        <is>
          <t>MRO</t>
        </is>
      </c>
      <c r="E3657" t="inlineStr">
        <is>
          <t>MRO-08</t>
        </is>
      </c>
      <c r="F3657" s="17" t="n">
        <v>46116</v>
      </c>
      <c r="G3657" s="17" t="n">
        <v>46124</v>
      </c>
      <c r="H3657" s="18" t="n">
        <v>262</v>
      </c>
      <c r="I3657" s="19" t="n">
        <v>7.03</v>
      </c>
      <c r="J3657" s="19" t="n">
        <v>7.2</v>
      </c>
      <c r="K3657" s="20" t="n">
        <v>0</v>
      </c>
      <c r="L3657" s="20" t="n">
        <v>0</v>
      </c>
      <c r="M3657" s="18" t="n">
        <v>262</v>
      </c>
      <c r="N3657" s="18" t="n">
        <v>262</v>
      </c>
      <c r="O3657" s="18" t="n">
        <v>0</v>
      </c>
      <c r="P3657" s="17" t="n">
        <v>46122</v>
      </c>
      <c r="Q3657" s="17" t="n">
        <v>46122</v>
      </c>
      <c r="R3657" s="17" t="n">
        <v>46122</v>
      </c>
      <c r="S3657" s="19">
        <f>H3657*I3657</f>
        <v/>
      </c>
      <c r="T3657" s="19">
        <f>H3657*J3657</f>
        <v/>
      </c>
      <c r="U3657">
        <f>IF(AND(K3657=0,G3657&lt;=Assumptions!$C$6),1,0)</f>
        <v/>
      </c>
      <c r="V3657">
        <f>IF(U3657=1,IF(M3657&gt;0,IF(P3657&lt;=G3657+Assumptions!$C$7,1,0),0),0)</f>
        <v/>
      </c>
      <c r="W3657">
        <f>IF(AND(U3657=1,M3657&gt;=H3657*(1-Assumptions!$C$8)),1,0)</f>
        <v/>
      </c>
      <c r="X3657">
        <f>IF(AND(U3657=1,N3657&gt;=H3657*(1-Assumptions!$C$8)),1,0)</f>
        <v/>
      </c>
      <c r="Y3657">
        <f>IF(ISNUMBER(Q3657),1,0)</f>
        <v/>
      </c>
      <c r="Z3657">
        <f>IF(AND(K3657=0,L3657=0,Y3657=0),1,0)</f>
        <v/>
      </c>
      <c r="AA3657">
        <f>IF(AND(Z3657=1,G3657&lt;Assumptions!$C$6),1,0)</f>
        <v/>
      </c>
      <c r="AB3657">
        <f>IF(U3657=0,"",IF(Y3657=1,MAX(0,Q3657-G3657),IF(L3657=1,MAX(0,R3657-G3657),MAX(0,Assumptions!$C$6-G3657))))</f>
        <v/>
      </c>
      <c r="AC3657">
        <f>IF(Y3657=1,Q3657-F3657,"")</f>
        <v/>
      </c>
      <c r="AD3657">
        <f>IF(Y3657=1,AC3657^2,"")</f>
        <v/>
      </c>
      <c r="AE3657" s="19">
        <f>IF(Z3657=1,(H3657-M3657)*I3657,0)</f>
        <v/>
      </c>
      <c r="AF3657">
        <f>IF(G3657&lt;EDATE(Assumptions!$C$6,-12)+1,"prior_12m","last_12m")</f>
        <v/>
      </c>
      <c r="AG3657" s="21">
        <f>DATE(YEAR(G3657),MONTH(G3657),1)</f>
        <v/>
      </c>
    </row>
    <row r="3658">
      <c r="A3658" t="inlineStr">
        <is>
          <t>SPO-01949-2</t>
        </is>
      </c>
      <c r="B3658" t="inlineStr">
        <is>
          <t>SPO-01949</t>
        </is>
      </c>
      <c r="C3658" t="inlineStr">
        <is>
          <t>SUP-06</t>
        </is>
      </c>
      <c r="D3658" t="inlineStr">
        <is>
          <t>MRO</t>
        </is>
      </c>
      <c r="E3658" t="inlineStr">
        <is>
          <t>MRO-05</t>
        </is>
      </c>
      <c r="F3658" s="17" t="n">
        <v>46116</v>
      </c>
      <c r="G3658" s="17" t="n">
        <v>46124</v>
      </c>
      <c r="H3658" s="18" t="n">
        <v>37</v>
      </c>
      <c r="I3658" s="19" t="n">
        <v>35.4</v>
      </c>
      <c r="J3658" s="19" t="n">
        <v>36</v>
      </c>
      <c r="K3658" s="20" t="n">
        <v>0</v>
      </c>
      <c r="L3658" s="20" t="n">
        <v>0</v>
      </c>
      <c r="M3658" s="18" t="n">
        <v>37</v>
      </c>
      <c r="N3658" s="18" t="n">
        <v>37</v>
      </c>
      <c r="O3658" s="18" t="n">
        <v>0</v>
      </c>
      <c r="P3658" s="17" t="n">
        <v>46124</v>
      </c>
      <c r="Q3658" s="17" t="n">
        <v>46124</v>
      </c>
      <c r="R3658" s="17" t="n">
        <v>46124</v>
      </c>
      <c r="S3658" s="19">
        <f>H3658*I3658</f>
        <v/>
      </c>
      <c r="T3658" s="19">
        <f>H3658*J3658</f>
        <v/>
      </c>
      <c r="U3658">
        <f>IF(AND(K3658=0,G3658&lt;=Assumptions!$C$6),1,0)</f>
        <v/>
      </c>
      <c r="V3658">
        <f>IF(U3658=1,IF(M3658&gt;0,IF(P3658&lt;=G3658+Assumptions!$C$7,1,0),0),0)</f>
        <v/>
      </c>
      <c r="W3658">
        <f>IF(AND(U3658=1,M3658&gt;=H3658*(1-Assumptions!$C$8)),1,0)</f>
        <v/>
      </c>
      <c r="X3658">
        <f>IF(AND(U3658=1,N3658&gt;=H3658*(1-Assumptions!$C$8)),1,0)</f>
        <v/>
      </c>
      <c r="Y3658">
        <f>IF(ISNUMBER(Q3658),1,0)</f>
        <v/>
      </c>
      <c r="Z3658">
        <f>IF(AND(K3658=0,L3658=0,Y3658=0),1,0)</f>
        <v/>
      </c>
      <c r="AA3658">
        <f>IF(AND(Z3658=1,G3658&lt;Assumptions!$C$6),1,0)</f>
        <v/>
      </c>
      <c r="AB3658">
        <f>IF(U3658=0,"",IF(Y3658=1,MAX(0,Q3658-G3658),IF(L3658=1,MAX(0,R3658-G3658),MAX(0,Assumptions!$C$6-G3658))))</f>
        <v/>
      </c>
      <c r="AC3658">
        <f>IF(Y3658=1,Q3658-F3658,"")</f>
        <v/>
      </c>
      <c r="AD3658">
        <f>IF(Y3658=1,AC3658^2,"")</f>
        <v/>
      </c>
      <c r="AE3658" s="19">
        <f>IF(Z3658=1,(H3658-M3658)*I3658,0)</f>
        <v/>
      </c>
      <c r="AF3658">
        <f>IF(G3658&lt;EDATE(Assumptions!$C$6,-12)+1,"prior_12m","last_12m")</f>
        <v/>
      </c>
      <c r="AG3658" s="21">
        <f>DATE(YEAR(G3658),MONTH(G3658),1)</f>
        <v/>
      </c>
    </row>
    <row r="3659">
      <c r="A3659" t="inlineStr">
        <is>
          <t>SPO-01950-1</t>
        </is>
      </c>
      <c r="B3659" t="inlineStr">
        <is>
          <t>SPO-01950</t>
        </is>
      </c>
      <c r="C3659" t="inlineStr">
        <is>
          <t>SUP-08</t>
        </is>
      </c>
      <c r="D3659" t="inlineStr">
        <is>
          <t>MRO</t>
        </is>
      </c>
      <c r="E3659" t="inlineStr">
        <is>
          <t>MRO-08</t>
        </is>
      </c>
      <c r="F3659" s="17" t="n">
        <v>46116</v>
      </c>
      <c r="G3659" s="17" t="n">
        <v>46127</v>
      </c>
      <c r="H3659" s="18" t="n">
        <v>462</v>
      </c>
      <c r="I3659" s="19" t="n">
        <v>7.23</v>
      </c>
      <c r="J3659" s="19" t="n">
        <v>7.2</v>
      </c>
      <c r="K3659" s="20" t="n">
        <v>0</v>
      </c>
      <c r="L3659" s="20" t="n">
        <v>0</v>
      </c>
      <c r="M3659" s="18" t="n">
        <v>462</v>
      </c>
      <c r="N3659" s="18" t="n">
        <v>462</v>
      </c>
      <c r="O3659" s="18" t="n">
        <v>0</v>
      </c>
      <c r="P3659" s="17" t="n">
        <v>46123</v>
      </c>
      <c r="Q3659" s="17" t="n">
        <v>46123</v>
      </c>
      <c r="R3659" s="17" t="n">
        <v>46123</v>
      </c>
      <c r="S3659" s="19">
        <f>H3659*I3659</f>
        <v/>
      </c>
      <c r="T3659" s="19">
        <f>H3659*J3659</f>
        <v/>
      </c>
      <c r="U3659">
        <f>IF(AND(K3659=0,G3659&lt;=Assumptions!$C$6),1,0)</f>
        <v/>
      </c>
      <c r="V3659">
        <f>IF(U3659=1,IF(M3659&gt;0,IF(P3659&lt;=G3659+Assumptions!$C$7,1,0),0),0)</f>
        <v/>
      </c>
      <c r="W3659">
        <f>IF(AND(U3659=1,M3659&gt;=H3659*(1-Assumptions!$C$8)),1,0)</f>
        <v/>
      </c>
      <c r="X3659">
        <f>IF(AND(U3659=1,N3659&gt;=H3659*(1-Assumptions!$C$8)),1,0)</f>
        <v/>
      </c>
      <c r="Y3659">
        <f>IF(ISNUMBER(Q3659),1,0)</f>
        <v/>
      </c>
      <c r="Z3659">
        <f>IF(AND(K3659=0,L3659=0,Y3659=0),1,0)</f>
        <v/>
      </c>
      <c r="AA3659">
        <f>IF(AND(Z3659=1,G3659&lt;Assumptions!$C$6),1,0)</f>
        <v/>
      </c>
      <c r="AB3659">
        <f>IF(U3659=0,"",IF(Y3659=1,MAX(0,Q3659-G3659),IF(L3659=1,MAX(0,R3659-G3659),MAX(0,Assumptions!$C$6-G3659))))</f>
        <v/>
      </c>
      <c r="AC3659">
        <f>IF(Y3659=1,Q3659-F3659,"")</f>
        <v/>
      </c>
      <c r="AD3659">
        <f>IF(Y3659=1,AC3659^2,"")</f>
        <v/>
      </c>
      <c r="AE3659" s="19">
        <f>IF(Z3659=1,(H3659-M3659)*I3659,0)</f>
        <v/>
      </c>
      <c r="AF3659">
        <f>IF(G3659&lt;EDATE(Assumptions!$C$6,-12)+1,"prior_12m","last_12m")</f>
        <v/>
      </c>
      <c r="AG3659" s="21">
        <f>DATE(YEAR(G3659),MONTH(G3659),1)</f>
        <v/>
      </c>
    </row>
    <row r="3660">
      <c r="A3660" t="inlineStr">
        <is>
          <t>SPO-01950-2</t>
        </is>
      </c>
      <c r="B3660" t="inlineStr">
        <is>
          <t>SPO-01950</t>
        </is>
      </c>
      <c r="C3660" t="inlineStr">
        <is>
          <t>SUP-08</t>
        </is>
      </c>
      <c r="D3660" t="inlineStr">
        <is>
          <t>MRO</t>
        </is>
      </c>
      <c r="E3660" t="inlineStr">
        <is>
          <t>MRO-01</t>
        </is>
      </c>
      <c r="F3660" s="17" t="n">
        <v>46116</v>
      </c>
      <c r="G3660" s="17" t="n">
        <v>46127</v>
      </c>
      <c r="H3660" s="18" t="n">
        <v>31</v>
      </c>
      <c r="I3660" s="19" t="n">
        <v>53.78</v>
      </c>
      <c r="J3660" s="19" t="n">
        <v>52</v>
      </c>
      <c r="K3660" s="20" t="n">
        <v>0</v>
      </c>
      <c r="L3660" s="20" t="n">
        <v>0</v>
      </c>
      <c r="M3660" s="18" t="n">
        <v>31</v>
      </c>
      <c r="N3660" s="18" t="n">
        <v>31</v>
      </c>
      <c r="O3660" s="18" t="n">
        <v>0</v>
      </c>
      <c r="P3660" s="17" t="n">
        <v>46125</v>
      </c>
      <c r="Q3660" s="17" t="n">
        <v>46125</v>
      </c>
      <c r="R3660" s="17" t="n">
        <v>46125</v>
      </c>
      <c r="S3660" s="19">
        <f>H3660*I3660</f>
        <v/>
      </c>
      <c r="T3660" s="19">
        <f>H3660*J3660</f>
        <v/>
      </c>
      <c r="U3660">
        <f>IF(AND(K3660=0,G3660&lt;=Assumptions!$C$6),1,0)</f>
        <v/>
      </c>
      <c r="V3660">
        <f>IF(U3660=1,IF(M3660&gt;0,IF(P3660&lt;=G3660+Assumptions!$C$7,1,0),0),0)</f>
        <v/>
      </c>
      <c r="W3660">
        <f>IF(AND(U3660=1,M3660&gt;=H3660*(1-Assumptions!$C$8)),1,0)</f>
        <v/>
      </c>
      <c r="X3660">
        <f>IF(AND(U3660=1,N3660&gt;=H3660*(1-Assumptions!$C$8)),1,0)</f>
        <v/>
      </c>
      <c r="Y3660">
        <f>IF(ISNUMBER(Q3660),1,0)</f>
        <v/>
      </c>
      <c r="Z3660">
        <f>IF(AND(K3660=0,L3660=0,Y3660=0),1,0)</f>
        <v/>
      </c>
      <c r="AA3660">
        <f>IF(AND(Z3660=1,G3660&lt;Assumptions!$C$6),1,0)</f>
        <v/>
      </c>
      <c r="AB3660">
        <f>IF(U3660=0,"",IF(Y3660=1,MAX(0,Q3660-G3660),IF(L3660=1,MAX(0,R3660-G3660),MAX(0,Assumptions!$C$6-G3660))))</f>
        <v/>
      </c>
      <c r="AC3660">
        <f>IF(Y3660=1,Q3660-F3660,"")</f>
        <v/>
      </c>
      <c r="AD3660">
        <f>IF(Y3660=1,AC3660^2,"")</f>
        <v/>
      </c>
      <c r="AE3660" s="19">
        <f>IF(Z3660=1,(H3660-M3660)*I3660,0)</f>
        <v/>
      </c>
      <c r="AF3660">
        <f>IF(G3660&lt;EDATE(Assumptions!$C$6,-12)+1,"prior_12m","last_12m")</f>
        <v/>
      </c>
      <c r="AG3660" s="21">
        <f>DATE(YEAR(G3660),MONTH(G3660),1)</f>
        <v/>
      </c>
    </row>
    <row r="3661">
      <c r="A3661" t="inlineStr">
        <is>
          <t>SPO-01951-1</t>
        </is>
      </c>
      <c r="B3661" t="inlineStr">
        <is>
          <t>SPO-01951</t>
        </is>
      </c>
      <c r="C3661" t="inlineStr">
        <is>
          <t>SUP-01</t>
        </is>
      </c>
      <c r="D3661" t="inlineStr">
        <is>
          <t>ELEC</t>
        </is>
      </c>
      <c r="E3661" t="inlineStr">
        <is>
          <t>ELEC-05</t>
        </is>
      </c>
      <c r="F3661" s="17" t="n">
        <v>46116</v>
      </c>
      <c r="G3661" s="17" t="n">
        <v>46134</v>
      </c>
      <c r="H3661" s="18" t="n">
        <v>192</v>
      </c>
      <c r="I3661" s="19" t="n">
        <v>12.18</v>
      </c>
      <c r="J3661" s="19" t="n">
        <v>11.5</v>
      </c>
      <c r="K3661" s="20" t="n">
        <v>0</v>
      </c>
      <c r="L3661" s="20" t="n">
        <v>0</v>
      </c>
      <c r="M3661" s="18" t="n">
        <v>192</v>
      </c>
      <c r="N3661" s="18" t="n">
        <v>192</v>
      </c>
      <c r="O3661" s="18" t="n">
        <v>0</v>
      </c>
      <c r="P3661" s="17" t="n">
        <v>46133</v>
      </c>
      <c r="Q3661" s="17" t="n">
        <v>46133</v>
      </c>
      <c r="R3661" s="17" t="n">
        <v>46133</v>
      </c>
      <c r="S3661" s="19">
        <f>H3661*I3661</f>
        <v/>
      </c>
      <c r="T3661" s="19">
        <f>H3661*J3661</f>
        <v/>
      </c>
      <c r="U3661">
        <f>IF(AND(K3661=0,G3661&lt;=Assumptions!$C$6),1,0)</f>
        <v/>
      </c>
      <c r="V3661">
        <f>IF(U3661=1,IF(M3661&gt;0,IF(P3661&lt;=G3661+Assumptions!$C$7,1,0),0),0)</f>
        <v/>
      </c>
      <c r="W3661">
        <f>IF(AND(U3661=1,M3661&gt;=H3661*(1-Assumptions!$C$8)),1,0)</f>
        <v/>
      </c>
      <c r="X3661">
        <f>IF(AND(U3661=1,N3661&gt;=H3661*(1-Assumptions!$C$8)),1,0)</f>
        <v/>
      </c>
      <c r="Y3661">
        <f>IF(ISNUMBER(Q3661),1,0)</f>
        <v/>
      </c>
      <c r="Z3661">
        <f>IF(AND(K3661=0,L3661=0,Y3661=0),1,0)</f>
        <v/>
      </c>
      <c r="AA3661">
        <f>IF(AND(Z3661=1,G3661&lt;Assumptions!$C$6),1,0)</f>
        <v/>
      </c>
      <c r="AB3661">
        <f>IF(U3661=0,"",IF(Y3661=1,MAX(0,Q3661-G3661),IF(L3661=1,MAX(0,R3661-G3661),MAX(0,Assumptions!$C$6-G3661))))</f>
        <v/>
      </c>
      <c r="AC3661">
        <f>IF(Y3661=1,Q3661-F3661,"")</f>
        <v/>
      </c>
      <c r="AD3661">
        <f>IF(Y3661=1,AC3661^2,"")</f>
        <v/>
      </c>
      <c r="AE3661" s="19">
        <f>IF(Z3661=1,(H3661-M3661)*I3661,0)</f>
        <v/>
      </c>
      <c r="AF3661">
        <f>IF(G3661&lt;EDATE(Assumptions!$C$6,-12)+1,"prior_12m","last_12m")</f>
        <v/>
      </c>
      <c r="AG3661" s="21">
        <f>DATE(YEAR(G3661),MONTH(G3661),1)</f>
        <v/>
      </c>
    </row>
    <row r="3662">
      <c r="A3662" t="inlineStr">
        <is>
          <t>SPO-01952-1</t>
        </is>
      </c>
      <c r="B3662" t="inlineStr">
        <is>
          <t>SPO-01952</t>
        </is>
      </c>
      <c r="C3662" t="inlineStr">
        <is>
          <t>SUP-14</t>
        </is>
      </c>
      <c r="D3662" t="inlineStr">
        <is>
          <t>FLEET</t>
        </is>
      </c>
      <c r="E3662" t="inlineStr">
        <is>
          <t>FLEET-02</t>
        </is>
      </c>
      <c r="F3662" s="17" t="n">
        <v>46116</v>
      </c>
      <c r="G3662" s="17" t="n">
        <v>46130</v>
      </c>
      <c r="H3662" s="18" t="n">
        <v>209</v>
      </c>
      <c r="I3662" s="19" t="n">
        <v>7.52</v>
      </c>
      <c r="J3662" s="19" t="n">
        <v>7.5</v>
      </c>
      <c r="K3662" s="20" t="n">
        <v>0</v>
      </c>
      <c r="L3662" s="20" t="n">
        <v>0</v>
      </c>
      <c r="M3662" s="18" t="n">
        <v>209</v>
      </c>
      <c r="N3662" s="18" t="n">
        <v>209</v>
      </c>
      <c r="O3662" s="18" t="n">
        <v>0</v>
      </c>
      <c r="P3662" s="17" t="n">
        <v>46129</v>
      </c>
      <c r="Q3662" s="17" t="n">
        <v>46129</v>
      </c>
      <c r="R3662" s="17" t="n">
        <v>46129</v>
      </c>
      <c r="S3662" s="19">
        <f>H3662*I3662</f>
        <v/>
      </c>
      <c r="T3662" s="19">
        <f>H3662*J3662</f>
        <v/>
      </c>
      <c r="U3662">
        <f>IF(AND(K3662=0,G3662&lt;=Assumptions!$C$6),1,0)</f>
        <v/>
      </c>
      <c r="V3662">
        <f>IF(U3662=1,IF(M3662&gt;0,IF(P3662&lt;=G3662+Assumptions!$C$7,1,0),0),0)</f>
        <v/>
      </c>
      <c r="W3662">
        <f>IF(AND(U3662=1,M3662&gt;=H3662*(1-Assumptions!$C$8)),1,0)</f>
        <v/>
      </c>
      <c r="X3662">
        <f>IF(AND(U3662=1,N3662&gt;=H3662*(1-Assumptions!$C$8)),1,0)</f>
        <v/>
      </c>
      <c r="Y3662">
        <f>IF(ISNUMBER(Q3662),1,0)</f>
        <v/>
      </c>
      <c r="Z3662">
        <f>IF(AND(K3662=0,L3662=0,Y3662=0),1,0)</f>
        <v/>
      </c>
      <c r="AA3662">
        <f>IF(AND(Z3662=1,G3662&lt;Assumptions!$C$6),1,0)</f>
        <v/>
      </c>
      <c r="AB3662">
        <f>IF(U3662=0,"",IF(Y3662=1,MAX(0,Q3662-G3662),IF(L3662=1,MAX(0,R3662-G3662),MAX(0,Assumptions!$C$6-G3662))))</f>
        <v/>
      </c>
      <c r="AC3662">
        <f>IF(Y3662=1,Q3662-F3662,"")</f>
        <v/>
      </c>
      <c r="AD3662">
        <f>IF(Y3662=1,AC3662^2,"")</f>
        <v/>
      </c>
      <c r="AE3662" s="19">
        <f>IF(Z3662=1,(H3662-M3662)*I3662,0)</f>
        <v/>
      </c>
      <c r="AF3662">
        <f>IF(G3662&lt;EDATE(Assumptions!$C$6,-12)+1,"prior_12m","last_12m")</f>
        <v/>
      </c>
      <c r="AG3662" s="21">
        <f>DATE(YEAR(G3662),MONTH(G3662),1)</f>
        <v/>
      </c>
    </row>
    <row r="3663">
      <c r="A3663" t="inlineStr">
        <is>
          <t>SPO-01953-1</t>
        </is>
      </c>
      <c r="B3663" t="inlineStr">
        <is>
          <t>SPO-01953</t>
        </is>
      </c>
      <c r="C3663" t="inlineStr">
        <is>
          <t>SUP-02</t>
        </is>
      </c>
      <c r="D3663" t="inlineStr">
        <is>
          <t>ELEC</t>
        </is>
      </c>
      <c r="E3663" t="inlineStr">
        <is>
          <t>ELEC-04</t>
        </is>
      </c>
      <c r="F3663" s="17" t="n">
        <v>46116</v>
      </c>
      <c r="G3663" s="17" t="n">
        <v>46132</v>
      </c>
      <c r="H3663" s="18" t="n">
        <v>31</v>
      </c>
      <c r="I3663" s="19" t="n">
        <v>69.06</v>
      </c>
      <c r="J3663" s="19" t="n">
        <v>72</v>
      </c>
      <c r="K3663" s="20" t="n">
        <v>0</v>
      </c>
      <c r="L3663" s="20" t="n">
        <v>0</v>
      </c>
      <c r="M3663" s="18" t="n">
        <v>31</v>
      </c>
      <c r="N3663" s="18" t="n">
        <v>31</v>
      </c>
      <c r="O3663" s="18" t="n">
        <v>0</v>
      </c>
      <c r="P3663" s="17" t="n">
        <v>46126</v>
      </c>
      <c r="Q3663" s="17" t="n">
        <v>46126</v>
      </c>
      <c r="R3663" s="17" t="n">
        <v>46126</v>
      </c>
      <c r="S3663" s="19">
        <f>H3663*I3663</f>
        <v/>
      </c>
      <c r="T3663" s="19">
        <f>H3663*J3663</f>
        <v/>
      </c>
      <c r="U3663">
        <f>IF(AND(K3663=0,G3663&lt;=Assumptions!$C$6),1,0)</f>
        <v/>
      </c>
      <c r="V3663">
        <f>IF(U3663=1,IF(M3663&gt;0,IF(P3663&lt;=G3663+Assumptions!$C$7,1,0),0),0)</f>
        <v/>
      </c>
      <c r="W3663">
        <f>IF(AND(U3663=1,M3663&gt;=H3663*(1-Assumptions!$C$8)),1,0)</f>
        <v/>
      </c>
      <c r="X3663">
        <f>IF(AND(U3663=1,N3663&gt;=H3663*(1-Assumptions!$C$8)),1,0)</f>
        <v/>
      </c>
      <c r="Y3663">
        <f>IF(ISNUMBER(Q3663),1,0)</f>
        <v/>
      </c>
      <c r="Z3663">
        <f>IF(AND(K3663=0,L3663=0,Y3663=0),1,0)</f>
        <v/>
      </c>
      <c r="AA3663">
        <f>IF(AND(Z3663=1,G3663&lt;Assumptions!$C$6),1,0)</f>
        <v/>
      </c>
      <c r="AB3663">
        <f>IF(U3663=0,"",IF(Y3663=1,MAX(0,Q3663-G3663),IF(L3663=1,MAX(0,R3663-G3663),MAX(0,Assumptions!$C$6-G3663))))</f>
        <v/>
      </c>
      <c r="AC3663">
        <f>IF(Y3663=1,Q3663-F3663,"")</f>
        <v/>
      </c>
      <c r="AD3663">
        <f>IF(Y3663=1,AC3663^2,"")</f>
        <v/>
      </c>
      <c r="AE3663" s="19">
        <f>IF(Z3663=1,(H3663-M3663)*I3663,0)</f>
        <v/>
      </c>
      <c r="AF3663">
        <f>IF(G3663&lt;EDATE(Assumptions!$C$6,-12)+1,"prior_12m","last_12m")</f>
        <v/>
      </c>
      <c r="AG3663" s="21">
        <f>DATE(YEAR(G3663),MONTH(G3663),1)</f>
        <v/>
      </c>
    </row>
    <row r="3664">
      <c r="A3664" t="inlineStr">
        <is>
          <t>SPO-01953-2</t>
        </is>
      </c>
      <c r="B3664" t="inlineStr">
        <is>
          <t>SPO-01953</t>
        </is>
      </c>
      <c r="C3664" t="inlineStr">
        <is>
          <t>SUP-02</t>
        </is>
      </c>
      <c r="D3664" t="inlineStr">
        <is>
          <t>ELEC</t>
        </is>
      </c>
      <c r="E3664" t="inlineStr">
        <is>
          <t>ELEC-05</t>
        </is>
      </c>
      <c r="F3664" s="17" t="n">
        <v>46116</v>
      </c>
      <c r="G3664" s="17" t="n">
        <v>46132</v>
      </c>
      <c r="H3664" s="18" t="n">
        <v>219</v>
      </c>
      <c r="I3664" s="19" t="n">
        <v>11.81</v>
      </c>
      <c r="J3664" s="19" t="n">
        <v>11.5</v>
      </c>
      <c r="K3664" s="20" t="n">
        <v>0</v>
      </c>
      <c r="L3664" s="20" t="n">
        <v>0</v>
      </c>
      <c r="M3664" s="18" t="n">
        <v>219</v>
      </c>
      <c r="N3664" s="18" t="n">
        <v>219</v>
      </c>
      <c r="O3664" s="18" t="n">
        <v>0</v>
      </c>
      <c r="P3664" s="17" t="n">
        <v>46130</v>
      </c>
      <c r="Q3664" s="17" t="n">
        <v>46130</v>
      </c>
      <c r="R3664" s="17" t="n">
        <v>46130</v>
      </c>
      <c r="S3664" s="19">
        <f>H3664*I3664</f>
        <v/>
      </c>
      <c r="T3664" s="19">
        <f>H3664*J3664</f>
        <v/>
      </c>
      <c r="U3664">
        <f>IF(AND(K3664=0,G3664&lt;=Assumptions!$C$6),1,0)</f>
        <v/>
      </c>
      <c r="V3664">
        <f>IF(U3664=1,IF(M3664&gt;0,IF(P3664&lt;=G3664+Assumptions!$C$7,1,0),0),0)</f>
        <v/>
      </c>
      <c r="W3664">
        <f>IF(AND(U3664=1,M3664&gt;=H3664*(1-Assumptions!$C$8)),1,0)</f>
        <v/>
      </c>
      <c r="X3664">
        <f>IF(AND(U3664=1,N3664&gt;=H3664*(1-Assumptions!$C$8)),1,0)</f>
        <v/>
      </c>
      <c r="Y3664">
        <f>IF(ISNUMBER(Q3664),1,0)</f>
        <v/>
      </c>
      <c r="Z3664">
        <f>IF(AND(K3664=0,L3664=0,Y3664=0),1,0)</f>
        <v/>
      </c>
      <c r="AA3664">
        <f>IF(AND(Z3664=1,G3664&lt;Assumptions!$C$6),1,0)</f>
        <v/>
      </c>
      <c r="AB3664">
        <f>IF(U3664=0,"",IF(Y3664=1,MAX(0,Q3664-G3664),IF(L3664=1,MAX(0,R3664-G3664),MAX(0,Assumptions!$C$6-G3664))))</f>
        <v/>
      </c>
      <c r="AC3664">
        <f>IF(Y3664=1,Q3664-F3664,"")</f>
        <v/>
      </c>
      <c r="AD3664">
        <f>IF(Y3664=1,AC3664^2,"")</f>
        <v/>
      </c>
      <c r="AE3664" s="19">
        <f>IF(Z3664=1,(H3664-M3664)*I3664,0)</f>
        <v/>
      </c>
      <c r="AF3664">
        <f>IF(G3664&lt;EDATE(Assumptions!$C$6,-12)+1,"prior_12m","last_12m")</f>
        <v/>
      </c>
      <c r="AG3664" s="21">
        <f>DATE(YEAR(G3664),MONTH(G3664),1)</f>
        <v/>
      </c>
    </row>
    <row r="3665">
      <c r="A3665" t="inlineStr">
        <is>
          <t>SPO-01954-1</t>
        </is>
      </c>
      <c r="B3665" t="inlineStr">
        <is>
          <t>SPO-01954</t>
        </is>
      </c>
      <c r="C3665" t="inlineStr">
        <is>
          <t>SUP-09</t>
        </is>
      </c>
      <c r="D3665" t="inlineStr">
        <is>
          <t>CHEM</t>
        </is>
      </c>
      <c r="E3665" t="inlineStr">
        <is>
          <t>CHEM-01</t>
        </is>
      </c>
      <c r="F3665" s="17" t="n">
        <v>46117</v>
      </c>
      <c r="G3665" s="17" t="n">
        <v>46131</v>
      </c>
      <c r="H3665" s="18" t="n">
        <v>3</v>
      </c>
      <c r="I3665" s="19" t="n">
        <v>627.85</v>
      </c>
      <c r="J3665" s="19" t="n">
        <v>640</v>
      </c>
      <c r="K3665" s="20" t="n">
        <v>0</v>
      </c>
      <c r="L3665" s="20" t="n">
        <v>0</v>
      </c>
      <c r="M3665" s="18" t="n">
        <v>3</v>
      </c>
      <c r="N3665" s="18" t="n">
        <v>3</v>
      </c>
      <c r="O3665" s="18" t="n">
        <v>0</v>
      </c>
      <c r="P3665" s="17" t="n">
        <v>46128</v>
      </c>
      <c r="Q3665" s="17" t="n">
        <v>46128</v>
      </c>
      <c r="R3665" s="17" t="n">
        <v>46128</v>
      </c>
      <c r="S3665" s="19">
        <f>H3665*I3665</f>
        <v/>
      </c>
      <c r="T3665" s="19">
        <f>H3665*J3665</f>
        <v/>
      </c>
      <c r="U3665">
        <f>IF(AND(K3665=0,G3665&lt;=Assumptions!$C$6),1,0)</f>
        <v/>
      </c>
      <c r="V3665">
        <f>IF(U3665=1,IF(M3665&gt;0,IF(P3665&lt;=G3665+Assumptions!$C$7,1,0),0),0)</f>
        <v/>
      </c>
      <c r="W3665">
        <f>IF(AND(U3665=1,M3665&gt;=H3665*(1-Assumptions!$C$8)),1,0)</f>
        <v/>
      </c>
      <c r="X3665">
        <f>IF(AND(U3665=1,N3665&gt;=H3665*(1-Assumptions!$C$8)),1,0)</f>
        <v/>
      </c>
      <c r="Y3665">
        <f>IF(ISNUMBER(Q3665),1,0)</f>
        <v/>
      </c>
      <c r="Z3665">
        <f>IF(AND(K3665=0,L3665=0,Y3665=0),1,0)</f>
        <v/>
      </c>
      <c r="AA3665">
        <f>IF(AND(Z3665=1,G3665&lt;Assumptions!$C$6),1,0)</f>
        <v/>
      </c>
      <c r="AB3665">
        <f>IF(U3665=0,"",IF(Y3665=1,MAX(0,Q3665-G3665),IF(L3665=1,MAX(0,R3665-G3665),MAX(0,Assumptions!$C$6-G3665))))</f>
        <v/>
      </c>
      <c r="AC3665">
        <f>IF(Y3665=1,Q3665-F3665,"")</f>
        <v/>
      </c>
      <c r="AD3665">
        <f>IF(Y3665=1,AC3665^2,"")</f>
        <v/>
      </c>
      <c r="AE3665" s="19">
        <f>IF(Z3665=1,(H3665-M3665)*I3665,0)</f>
        <v/>
      </c>
      <c r="AF3665">
        <f>IF(G3665&lt;EDATE(Assumptions!$C$6,-12)+1,"prior_12m","last_12m")</f>
        <v/>
      </c>
      <c r="AG3665" s="21">
        <f>DATE(YEAR(G3665),MONTH(G3665),1)</f>
        <v/>
      </c>
    </row>
    <row r="3666">
      <c r="A3666" t="inlineStr">
        <is>
          <t>SPO-01954-2</t>
        </is>
      </c>
      <c r="B3666" t="inlineStr">
        <is>
          <t>SPO-01954</t>
        </is>
      </c>
      <c r="C3666" t="inlineStr">
        <is>
          <t>SUP-09</t>
        </is>
      </c>
      <c r="D3666" t="inlineStr">
        <is>
          <t>CHEM</t>
        </is>
      </c>
      <c r="E3666" t="inlineStr">
        <is>
          <t>CHEM-03</t>
        </is>
      </c>
      <c r="F3666" s="17" t="n">
        <v>46117</v>
      </c>
      <c r="G3666" s="17" t="n">
        <v>46131</v>
      </c>
      <c r="H3666" s="18" t="n">
        <v>5</v>
      </c>
      <c r="I3666" s="19" t="n">
        <v>277.4</v>
      </c>
      <c r="J3666" s="19" t="n">
        <v>265</v>
      </c>
      <c r="K3666" s="20" t="n">
        <v>0</v>
      </c>
      <c r="L3666" s="20" t="n">
        <v>0</v>
      </c>
      <c r="M3666" s="18" t="n">
        <v>5</v>
      </c>
      <c r="N3666" s="18" t="n">
        <v>5</v>
      </c>
      <c r="O3666" s="18" t="n">
        <v>0</v>
      </c>
      <c r="P3666" s="17" t="n">
        <v>46126</v>
      </c>
      <c r="Q3666" s="17" t="n">
        <v>46126</v>
      </c>
      <c r="R3666" s="17" t="n">
        <v>46126</v>
      </c>
      <c r="S3666" s="19">
        <f>H3666*I3666</f>
        <v/>
      </c>
      <c r="T3666" s="19">
        <f>H3666*J3666</f>
        <v/>
      </c>
      <c r="U3666">
        <f>IF(AND(K3666=0,G3666&lt;=Assumptions!$C$6),1,0)</f>
        <v/>
      </c>
      <c r="V3666">
        <f>IF(U3666=1,IF(M3666&gt;0,IF(P3666&lt;=G3666+Assumptions!$C$7,1,0),0),0)</f>
        <v/>
      </c>
      <c r="W3666">
        <f>IF(AND(U3666=1,M3666&gt;=H3666*(1-Assumptions!$C$8)),1,0)</f>
        <v/>
      </c>
      <c r="X3666">
        <f>IF(AND(U3666=1,N3666&gt;=H3666*(1-Assumptions!$C$8)),1,0)</f>
        <v/>
      </c>
      <c r="Y3666">
        <f>IF(ISNUMBER(Q3666),1,0)</f>
        <v/>
      </c>
      <c r="Z3666">
        <f>IF(AND(K3666=0,L3666=0,Y3666=0),1,0)</f>
        <v/>
      </c>
      <c r="AA3666">
        <f>IF(AND(Z3666=1,G3666&lt;Assumptions!$C$6),1,0)</f>
        <v/>
      </c>
      <c r="AB3666">
        <f>IF(U3666=0,"",IF(Y3666=1,MAX(0,Q3666-G3666),IF(L3666=1,MAX(0,R3666-G3666),MAX(0,Assumptions!$C$6-G3666))))</f>
        <v/>
      </c>
      <c r="AC3666">
        <f>IF(Y3666=1,Q3666-F3666,"")</f>
        <v/>
      </c>
      <c r="AD3666">
        <f>IF(Y3666=1,AC3666^2,"")</f>
        <v/>
      </c>
      <c r="AE3666" s="19">
        <f>IF(Z3666=1,(H3666-M3666)*I3666,0)</f>
        <v/>
      </c>
      <c r="AF3666">
        <f>IF(G3666&lt;EDATE(Assumptions!$C$6,-12)+1,"prior_12m","last_12m")</f>
        <v/>
      </c>
      <c r="AG3666" s="21">
        <f>DATE(YEAR(G3666),MONTH(G3666),1)</f>
        <v/>
      </c>
    </row>
    <row r="3667">
      <c r="A3667" t="inlineStr">
        <is>
          <t>SPO-01954-3</t>
        </is>
      </c>
      <c r="B3667" t="inlineStr">
        <is>
          <t>SPO-01954</t>
        </is>
      </c>
      <c r="C3667" t="inlineStr">
        <is>
          <t>SUP-09</t>
        </is>
      </c>
      <c r="D3667" t="inlineStr">
        <is>
          <t>CHEM</t>
        </is>
      </c>
      <c r="E3667" t="inlineStr">
        <is>
          <t>CHEM-06</t>
        </is>
      </c>
      <c r="F3667" s="17" t="n">
        <v>46117</v>
      </c>
      <c r="G3667" s="17" t="n">
        <v>46131</v>
      </c>
      <c r="H3667" s="18" t="n">
        <v>1</v>
      </c>
      <c r="I3667" s="19" t="n">
        <v>384.6</v>
      </c>
      <c r="J3667" s="19" t="n">
        <v>380</v>
      </c>
      <c r="K3667" s="20" t="n">
        <v>0</v>
      </c>
      <c r="L3667" s="20" t="n">
        <v>0</v>
      </c>
      <c r="M3667" s="18" t="n">
        <v>1</v>
      </c>
      <c r="N3667" s="18" t="n">
        <v>1</v>
      </c>
      <c r="O3667" s="18" t="n">
        <v>0</v>
      </c>
      <c r="P3667" s="17" t="n">
        <v>46130</v>
      </c>
      <c r="Q3667" s="17" t="n">
        <v>46130</v>
      </c>
      <c r="R3667" s="17" t="n">
        <v>46130</v>
      </c>
      <c r="S3667" s="19">
        <f>H3667*I3667</f>
        <v/>
      </c>
      <c r="T3667" s="19">
        <f>H3667*J3667</f>
        <v/>
      </c>
      <c r="U3667">
        <f>IF(AND(K3667=0,G3667&lt;=Assumptions!$C$6),1,0)</f>
        <v/>
      </c>
      <c r="V3667">
        <f>IF(U3667=1,IF(M3667&gt;0,IF(P3667&lt;=G3667+Assumptions!$C$7,1,0),0),0)</f>
        <v/>
      </c>
      <c r="W3667">
        <f>IF(AND(U3667=1,M3667&gt;=H3667*(1-Assumptions!$C$8)),1,0)</f>
        <v/>
      </c>
      <c r="X3667">
        <f>IF(AND(U3667=1,N3667&gt;=H3667*(1-Assumptions!$C$8)),1,0)</f>
        <v/>
      </c>
      <c r="Y3667">
        <f>IF(ISNUMBER(Q3667),1,0)</f>
        <v/>
      </c>
      <c r="Z3667">
        <f>IF(AND(K3667=0,L3667=0,Y3667=0),1,0)</f>
        <v/>
      </c>
      <c r="AA3667">
        <f>IF(AND(Z3667=1,G3667&lt;Assumptions!$C$6),1,0)</f>
        <v/>
      </c>
      <c r="AB3667">
        <f>IF(U3667=0,"",IF(Y3667=1,MAX(0,Q3667-G3667),IF(L3667=1,MAX(0,R3667-G3667),MAX(0,Assumptions!$C$6-G3667))))</f>
        <v/>
      </c>
      <c r="AC3667">
        <f>IF(Y3667=1,Q3667-F3667,"")</f>
        <v/>
      </c>
      <c r="AD3667">
        <f>IF(Y3667=1,AC3667^2,"")</f>
        <v/>
      </c>
      <c r="AE3667" s="19">
        <f>IF(Z3667=1,(H3667-M3667)*I3667,0)</f>
        <v/>
      </c>
      <c r="AF3667">
        <f>IF(G3667&lt;EDATE(Assumptions!$C$6,-12)+1,"prior_12m","last_12m")</f>
        <v/>
      </c>
      <c r="AG3667" s="21">
        <f>DATE(YEAR(G3667),MONTH(G3667),1)</f>
        <v/>
      </c>
    </row>
    <row r="3668">
      <c r="A3668" t="inlineStr">
        <is>
          <t>SPO-01955-1</t>
        </is>
      </c>
      <c r="B3668" t="inlineStr">
        <is>
          <t>SPO-01955</t>
        </is>
      </c>
      <c r="C3668" t="inlineStr">
        <is>
          <t>SUP-12</t>
        </is>
      </c>
      <c r="D3668" t="inlineStr">
        <is>
          <t>IT</t>
        </is>
      </c>
      <c r="E3668" t="inlineStr">
        <is>
          <t>IT-03</t>
        </is>
      </c>
      <c r="F3668" s="17" t="n">
        <v>46117</v>
      </c>
      <c r="G3668" s="17" t="n">
        <v>46127</v>
      </c>
      <c r="H3668" s="18" t="n">
        <v>56</v>
      </c>
      <c r="I3668" s="19" t="n">
        <v>44.17</v>
      </c>
      <c r="J3668" s="19" t="n">
        <v>38</v>
      </c>
      <c r="K3668" s="20" t="n">
        <v>0</v>
      </c>
      <c r="L3668" s="20" t="n">
        <v>0</v>
      </c>
      <c r="M3668" s="18" t="n">
        <v>56</v>
      </c>
      <c r="N3668" s="18" t="n">
        <v>56</v>
      </c>
      <c r="O3668" s="18" t="n">
        <v>0</v>
      </c>
      <c r="P3668" s="17" t="n">
        <v>46123</v>
      </c>
      <c r="Q3668" s="17" t="n">
        <v>46123</v>
      </c>
      <c r="R3668" s="17" t="n">
        <v>46123</v>
      </c>
      <c r="S3668" s="19">
        <f>H3668*I3668</f>
        <v/>
      </c>
      <c r="T3668" s="19">
        <f>H3668*J3668</f>
        <v/>
      </c>
      <c r="U3668">
        <f>IF(AND(K3668=0,G3668&lt;=Assumptions!$C$6),1,0)</f>
        <v/>
      </c>
      <c r="V3668">
        <f>IF(U3668=1,IF(M3668&gt;0,IF(P3668&lt;=G3668+Assumptions!$C$7,1,0),0),0)</f>
        <v/>
      </c>
      <c r="W3668">
        <f>IF(AND(U3668=1,M3668&gt;=H3668*(1-Assumptions!$C$8)),1,0)</f>
        <v/>
      </c>
      <c r="X3668">
        <f>IF(AND(U3668=1,N3668&gt;=H3668*(1-Assumptions!$C$8)),1,0)</f>
        <v/>
      </c>
      <c r="Y3668">
        <f>IF(ISNUMBER(Q3668),1,0)</f>
        <v/>
      </c>
      <c r="Z3668">
        <f>IF(AND(K3668=0,L3668=0,Y3668=0),1,0)</f>
        <v/>
      </c>
      <c r="AA3668">
        <f>IF(AND(Z3668=1,G3668&lt;Assumptions!$C$6),1,0)</f>
        <v/>
      </c>
      <c r="AB3668">
        <f>IF(U3668=0,"",IF(Y3668=1,MAX(0,Q3668-G3668),IF(L3668=1,MAX(0,R3668-G3668),MAX(0,Assumptions!$C$6-G3668))))</f>
        <v/>
      </c>
      <c r="AC3668">
        <f>IF(Y3668=1,Q3668-F3668,"")</f>
        <v/>
      </c>
      <c r="AD3668">
        <f>IF(Y3668=1,AC3668^2,"")</f>
        <v/>
      </c>
      <c r="AE3668" s="19">
        <f>IF(Z3668=1,(H3668-M3668)*I3668,0)</f>
        <v/>
      </c>
      <c r="AF3668">
        <f>IF(G3668&lt;EDATE(Assumptions!$C$6,-12)+1,"prior_12m","last_12m")</f>
        <v/>
      </c>
      <c r="AG3668" s="21">
        <f>DATE(YEAR(G3668),MONTH(G3668),1)</f>
        <v/>
      </c>
    </row>
    <row r="3669">
      <c r="A3669" t="inlineStr">
        <is>
          <t>SPO-01955-2</t>
        </is>
      </c>
      <c r="B3669" t="inlineStr">
        <is>
          <t>SPO-01955</t>
        </is>
      </c>
      <c r="C3669" t="inlineStr">
        <is>
          <t>SUP-12</t>
        </is>
      </c>
      <c r="D3669" t="inlineStr">
        <is>
          <t>IT</t>
        </is>
      </c>
      <c r="E3669" t="inlineStr">
        <is>
          <t>IT-06</t>
        </is>
      </c>
      <c r="F3669" s="17" t="n">
        <v>46117</v>
      </c>
      <c r="G3669" s="17" t="n">
        <v>46127</v>
      </c>
      <c r="H3669" s="18" t="n">
        <v>6</v>
      </c>
      <c r="I3669" s="19" t="n">
        <v>93.97</v>
      </c>
      <c r="J3669" s="19" t="n">
        <v>89</v>
      </c>
      <c r="K3669" s="20" t="n">
        <v>0</v>
      </c>
      <c r="L3669" s="20" t="n">
        <v>0</v>
      </c>
      <c r="M3669" s="18" t="n">
        <v>6</v>
      </c>
      <c r="N3669" s="18" t="n">
        <v>6</v>
      </c>
      <c r="O3669" s="18" t="n">
        <v>0</v>
      </c>
      <c r="P3669" s="17" t="n">
        <v>46120</v>
      </c>
      <c r="Q3669" s="17" t="n">
        <v>46120</v>
      </c>
      <c r="R3669" s="17" t="n">
        <v>46120</v>
      </c>
      <c r="S3669" s="19">
        <f>H3669*I3669</f>
        <v/>
      </c>
      <c r="T3669" s="19">
        <f>H3669*J3669</f>
        <v/>
      </c>
      <c r="U3669">
        <f>IF(AND(K3669=0,G3669&lt;=Assumptions!$C$6),1,0)</f>
        <v/>
      </c>
      <c r="V3669">
        <f>IF(U3669=1,IF(M3669&gt;0,IF(P3669&lt;=G3669+Assumptions!$C$7,1,0),0),0)</f>
        <v/>
      </c>
      <c r="W3669">
        <f>IF(AND(U3669=1,M3669&gt;=H3669*(1-Assumptions!$C$8)),1,0)</f>
        <v/>
      </c>
      <c r="X3669">
        <f>IF(AND(U3669=1,N3669&gt;=H3669*(1-Assumptions!$C$8)),1,0)</f>
        <v/>
      </c>
      <c r="Y3669">
        <f>IF(ISNUMBER(Q3669),1,0)</f>
        <v/>
      </c>
      <c r="Z3669">
        <f>IF(AND(K3669=0,L3669=0,Y3669=0),1,0)</f>
        <v/>
      </c>
      <c r="AA3669">
        <f>IF(AND(Z3669=1,G3669&lt;Assumptions!$C$6),1,0)</f>
        <v/>
      </c>
      <c r="AB3669">
        <f>IF(U3669=0,"",IF(Y3669=1,MAX(0,Q3669-G3669),IF(L3669=1,MAX(0,R3669-G3669),MAX(0,Assumptions!$C$6-G3669))))</f>
        <v/>
      </c>
      <c r="AC3669">
        <f>IF(Y3669=1,Q3669-F3669,"")</f>
        <v/>
      </c>
      <c r="AD3669">
        <f>IF(Y3669=1,AC3669^2,"")</f>
        <v/>
      </c>
      <c r="AE3669" s="19">
        <f>IF(Z3669=1,(H3669-M3669)*I3669,0)</f>
        <v/>
      </c>
      <c r="AF3669">
        <f>IF(G3669&lt;EDATE(Assumptions!$C$6,-12)+1,"prior_12m","last_12m")</f>
        <v/>
      </c>
      <c r="AG3669" s="21">
        <f>DATE(YEAR(G3669),MONTH(G3669),1)</f>
        <v/>
      </c>
    </row>
    <row r="3670">
      <c r="A3670" t="inlineStr">
        <is>
          <t>SPO-01956-1</t>
        </is>
      </c>
      <c r="B3670" t="inlineStr">
        <is>
          <t>SPO-01956</t>
        </is>
      </c>
      <c r="C3670" t="inlineStr">
        <is>
          <t>SUP-01</t>
        </is>
      </c>
      <c r="D3670" t="inlineStr">
        <is>
          <t>ELEC</t>
        </is>
      </c>
      <c r="E3670" t="inlineStr">
        <is>
          <t>ELEC-07</t>
        </is>
      </c>
      <c r="F3670" s="17" t="n">
        <v>46117</v>
      </c>
      <c r="G3670" s="17" t="n">
        <v>46135</v>
      </c>
      <c r="H3670" s="18" t="n">
        <v>129</v>
      </c>
      <c r="I3670" s="19" t="n">
        <v>9.98</v>
      </c>
      <c r="J3670" s="19" t="n">
        <v>9.800000000000001</v>
      </c>
      <c r="K3670" s="20" t="n">
        <v>0</v>
      </c>
      <c r="L3670" s="20" t="n">
        <v>0</v>
      </c>
      <c r="M3670" s="18" t="n">
        <v>129</v>
      </c>
      <c r="N3670" s="18" t="n">
        <v>0</v>
      </c>
      <c r="O3670" s="18" t="n">
        <v>0</v>
      </c>
      <c r="P3670" s="17" t="n">
        <v>46235</v>
      </c>
      <c r="Q3670" s="17" t="n">
        <v>46235</v>
      </c>
      <c r="R3670" s="17" t="n">
        <v>46235</v>
      </c>
      <c r="S3670" s="19">
        <f>H3670*I3670</f>
        <v/>
      </c>
      <c r="T3670" s="19">
        <f>H3670*J3670</f>
        <v/>
      </c>
      <c r="U3670">
        <f>IF(AND(K3670=0,G3670&lt;=Assumptions!$C$6),1,0)</f>
        <v/>
      </c>
      <c r="V3670">
        <f>IF(U3670=1,IF(M3670&gt;0,IF(P3670&lt;=G3670+Assumptions!$C$7,1,0),0),0)</f>
        <v/>
      </c>
      <c r="W3670">
        <f>IF(AND(U3670=1,M3670&gt;=H3670*(1-Assumptions!$C$8)),1,0)</f>
        <v/>
      </c>
      <c r="X3670">
        <f>IF(AND(U3670=1,N3670&gt;=H3670*(1-Assumptions!$C$8)),1,0)</f>
        <v/>
      </c>
      <c r="Y3670">
        <f>IF(ISNUMBER(Q3670),1,0)</f>
        <v/>
      </c>
      <c r="Z3670">
        <f>IF(AND(K3670=0,L3670=0,Y3670=0),1,0)</f>
        <v/>
      </c>
      <c r="AA3670">
        <f>IF(AND(Z3670=1,G3670&lt;Assumptions!$C$6),1,0)</f>
        <v/>
      </c>
      <c r="AB3670">
        <f>IF(U3670=0,"",IF(Y3670=1,MAX(0,Q3670-G3670),IF(L3670=1,MAX(0,R3670-G3670),MAX(0,Assumptions!$C$6-G3670))))</f>
        <v/>
      </c>
      <c r="AC3670">
        <f>IF(Y3670=1,Q3670-F3670,"")</f>
        <v/>
      </c>
      <c r="AD3670">
        <f>IF(Y3670=1,AC3670^2,"")</f>
        <v/>
      </c>
      <c r="AE3670" s="19">
        <f>IF(Z3670=1,(H3670-M3670)*I3670,0)</f>
        <v/>
      </c>
      <c r="AF3670">
        <f>IF(G3670&lt;EDATE(Assumptions!$C$6,-12)+1,"prior_12m","last_12m")</f>
        <v/>
      </c>
      <c r="AG3670" s="21">
        <f>DATE(YEAR(G3670),MONTH(G3670),1)</f>
        <v/>
      </c>
    </row>
    <row r="3671">
      <c r="A3671" t="inlineStr">
        <is>
          <t>SPO-01957-1</t>
        </is>
      </c>
      <c r="B3671" t="inlineStr">
        <is>
          <t>SPO-01957</t>
        </is>
      </c>
      <c r="C3671" t="inlineStr">
        <is>
          <t>SUP-14</t>
        </is>
      </c>
      <c r="D3671" t="inlineStr">
        <is>
          <t>FLEET</t>
        </is>
      </c>
      <c r="E3671" t="inlineStr">
        <is>
          <t>FLEET-01</t>
        </is>
      </c>
      <c r="F3671" s="17" t="n">
        <v>46117</v>
      </c>
      <c r="G3671" s="17" t="n">
        <v>46131</v>
      </c>
      <c r="H3671" s="18" t="n">
        <v>33</v>
      </c>
      <c r="I3671" s="19" t="n">
        <v>63.26</v>
      </c>
      <c r="J3671" s="19" t="n">
        <v>64</v>
      </c>
      <c r="K3671" s="20" t="n">
        <v>0</v>
      </c>
      <c r="L3671" s="20" t="n">
        <v>0</v>
      </c>
      <c r="M3671" s="18" t="n">
        <v>33</v>
      </c>
      <c r="N3671" s="18" t="n">
        <v>33</v>
      </c>
      <c r="O3671" s="18" t="n">
        <v>0</v>
      </c>
      <c r="P3671" s="17" t="n">
        <v>46128</v>
      </c>
      <c r="Q3671" s="17" t="n">
        <v>46128</v>
      </c>
      <c r="R3671" s="17" t="n">
        <v>46128</v>
      </c>
      <c r="S3671" s="19">
        <f>H3671*I3671</f>
        <v/>
      </c>
      <c r="T3671" s="19">
        <f>H3671*J3671</f>
        <v/>
      </c>
      <c r="U3671">
        <f>IF(AND(K3671=0,G3671&lt;=Assumptions!$C$6),1,0)</f>
        <v/>
      </c>
      <c r="V3671">
        <f>IF(U3671=1,IF(M3671&gt;0,IF(P3671&lt;=G3671+Assumptions!$C$7,1,0),0),0)</f>
        <v/>
      </c>
      <c r="W3671">
        <f>IF(AND(U3671=1,M3671&gt;=H3671*(1-Assumptions!$C$8)),1,0)</f>
        <v/>
      </c>
      <c r="X3671">
        <f>IF(AND(U3671=1,N3671&gt;=H3671*(1-Assumptions!$C$8)),1,0)</f>
        <v/>
      </c>
      <c r="Y3671">
        <f>IF(ISNUMBER(Q3671),1,0)</f>
        <v/>
      </c>
      <c r="Z3671">
        <f>IF(AND(K3671=0,L3671=0,Y3671=0),1,0)</f>
        <v/>
      </c>
      <c r="AA3671">
        <f>IF(AND(Z3671=1,G3671&lt;Assumptions!$C$6),1,0)</f>
        <v/>
      </c>
      <c r="AB3671">
        <f>IF(U3671=0,"",IF(Y3671=1,MAX(0,Q3671-G3671),IF(L3671=1,MAX(0,R3671-G3671),MAX(0,Assumptions!$C$6-G3671))))</f>
        <v/>
      </c>
      <c r="AC3671">
        <f>IF(Y3671=1,Q3671-F3671,"")</f>
        <v/>
      </c>
      <c r="AD3671">
        <f>IF(Y3671=1,AC3671^2,"")</f>
        <v/>
      </c>
      <c r="AE3671" s="19">
        <f>IF(Z3671=1,(H3671-M3671)*I3671,0)</f>
        <v/>
      </c>
      <c r="AF3671">
        <f>IF(G3671&lt;EDATE(Assumptions!$C$6,-12)+1,"prior_12m","last_12m")</f>
        <v/>
      </c>
      <c r="AG3671" s="21">
        <f>DATE(YEAR(G3671),MONTH(G3671),1)</f>
        <v/>
      </c>
    </row>
    <row r="3672">
      <c r="A3672" t="inlineStr">
        <is>
          <t>SPO-01957-2</t>
        </is>
      </c>
      <c r="B3672" t="inlineStr">
        <is>
          <t>SPO-01957</t>
        </is>
      </c>
      <c r="C3672" t="inlineStr">
        <is>
          <t>SUP-14</t>
        </is>
      </c>
      <c r="D3672" t="inlineStr">
        <is>
          <t>FLEET</t>
        </is>
      </c>
      <c r="E3672" t="inlineStr">
        <is>
          <t>FLEET-05</t>
        </is>
      </c>
      <c r="F3672" s="17" t="n">
        <v>46117</v>
      </c>
      <c r="G3672" s="17" t="n">
        <v>46131</v>
      </c>
      <c r="H3672" s="18" t="n">
        <v>7</v>
      </c>
      <c r="I3672" s="19" t="n">
        <v>167.03</v>
      </c>
      <c r="J3672" s="19" t="n">
        <v>168</v>
      </c>
      <c r="K3672" s="20" t="n">
        <v>0</v>
      </c>
      <c r="L3672" s="20" t="n">
        <v>0</v>
      </c>
      <c r="M3672" s="18" t="n">
        <v>7</v>
      </c>
      <c r="N3672" s="18" t="n">
        <v>7</v>
      </c>
      <c r="O3672" s="18" t="n">
        <v>0</v>
      </c>
      <c r="P3672" s="17" t="n">
        <v>46125</v>
      </c>
      <c r="Q3672" s="17" t="n">
        <v>46125</v>
      </c>
      <c r="R3672" s="17" t="n">
        <v>46125</v>
      </c>
      <c r="S3672" s="19">
        <f>H3672*I3672</f>
        <v/>
      </c>
      <c r="T3672" s="19">
        <f>H3672*J3672</f>
        <v/>
      </c>
      <c r="U3672">
        <f>IF(AND(K3672=0,G3672&lt;=Assumptions!$C$6),1,0)</f>
        <v/>
      </c>
      <c r="V3672">
        <f>IF(U3672=1,IF(M3672&gt;0,IF(P3672&lt;=G3672+Assumptions!$C$7,1,0),0),0)</f>
        <v/>
      </c>
      <c r="W3672">
        <f>IF(AND(U3672=1,M3672&gt;=H3672*(1-Assumptions!$C$8)),1,0)</f>
        <v/>
      </c>
      <c r="X3672">
        <f>IF(AND(U3672=1,N3672&gt;=H3672*(1-Assumptions!$C$8)),1,0)</f>
        <v/>
      </c>
      <c r="Y3672">
        <f>IF(ISNUMBER(Q3672),1,0)</f>
        <v/>
      </c>
      <c r="Z3672">
        <f>IF(AND(K3672=0,L3672=0,Y3672=0),1,0)</f>
        <v/>
      </c>
      <c r="AA3672">
        <f>IF(AND(Z3672=1,G3672&lt;Assumptions!$C$6),1,0)</f>
        <v/>
      </c>
      <c r="AB3672">
        <f>IF(U3672=0,"",IF(Y3672=1,MAX(0,Q3672-G3672),IF(L3672=1,MAX(0,R3672-G3672),MAX(0,Assumptions!$C$6-G3672))))</f>
        <v/>
      </c>
      <c r="AC3672">
        <f>IF(Y3672=1,Q3672-F3672,"")</f>
        <v/>
      </c>
      <c r="AD3672">
        <f>IF(Y3672=1,AC3672^2,"")</f>
        <v/>
      </c>
      <c r="AE3672" s="19">
        <f>IF(Z3672=1,(H3672-M3672)*I3672,0)</f>
        <v/>
      </c>
      <c r="AF3672">
        <f>IF(G3672&lt;EDATE(Assumptions!$C$6,-12)+1,"prior_12m","last_12m")</f>
        <v/>
      </c>
      <c r="AG3672" s="21">
        <f>DATE(YEAR(G3672),MONTH(G3672),1)</f>
        <v/>
      </c>
    </row>
    <row r="3673">
      <c r="A3673" t="inlineStr">
        <is>
          <t>SPO-01958-1</t>
        </is>
      </c>
      <c r="B3673" t="inlineStr">
        <is>
          <t>SPO-01958</t>
        </is>
      </c>
      <c r="C3673" t="inlineStr">
        <is>
          <t>SUP-04</t>
        </is>
      </c>
      <c r="D3673" t="inlineStr">
        <is>
          <t>FLEET</t>
        </is>
      </c>
      <c r="E3673" t="inlineStr">
        <is>
          <t>FLEET-04</t>
        </is>
      </c>
      <c r="F3673" s="17" t="n">
        <v>46118</v>
      </c>
      <c r="G3673" s="17" t="n">
        <v>46131</v>
      </c>
      <c r="H3673" s="18" t="n">
        <v>86</v>
      </c>
      <c r="I3673" s="19" t="n">
        <v>9.050000000000001</v>
      </c>
      <c r="J3673" s="19" t="n">
        <v>9</v>
      </c>
      <c r="K3673" s="20" t="n">
        <v>0</v>
      </c>
      <c r="L3673" s="20" t="n">
        <v>0</v>
      </c>
      <c r="M3673" s="18" t="n">
        <v>86</v>
      </c>
      <c r="N3673" s="18" t="n">
        <v>86</v>
      </c>
      <c r="O3673" s="18" t="n">
        <v>0</v>
      </c>
      <c r="P3673" s="17" t="n">
        <v>46119</v>
      </c>
      <c r="Q3673" s="17" t="n">
        <v>46119</v>
      </c>
      <c r="R3673" s="17" t="n">
        <v>46119</v>
      </c>
      <c r="S3673" s="19">
        <f>H3673*I3673</f>
        <v/>
      </c>
      <c r="T3673" s="19">
        <f>H3673*J3673</f>
        <v/>
      </c>
      <c r="U3673">
        <f>IF(AND(K3673=0,G3673&lt;=Assumptions!$C$6),1,0)</f>
        <v/>
      </c>
      <c r="V3673">
        <f>IF(U3673=1,IF(M3673&gt;0,IF(P3673&lt;=G3673+Assumptions!$C$7,1,0),0),0)</f>
        <v/>
      </c>
      <c r="W3673">
        <f>IF(AND(U3673=1,M3673&gt;=H3673*(1-Assumptions!$C$8)),1,0)</f>
        <v/>
      </c>
      <c r="X3673">
        <f>IF(AND(U3673=1,N3673&gt;=H3673*(1-Assumptions!$C$8)),1,0)</f>
        <v/>
      </c>
      <c r="Y3673">
        <f>IF(ISNUMBER(Q3673),1,0)</f>
        <v/>
      </c>
      <c r="Z3673">
        <f>IF(AND(K3673=0,L3673=0,Y3673=0),1,0)</f>
        <v/>
      </c>
      <c r="AA3673">
        <f>IF(AND(Z3673=1,G3673&lt;Assumptions!$C$6),1,0)</f>
        <v/>
      </c>
      <c r="AB3673">
        <f>IF(U3673=0,"",IF(Y3673=1,MAX(0,Q3673-G3673),IF(L3673=1,MAX(0,R3673-G3673),MAX(0,Assumptions!$C$6-G3673))))</f>
        <v/>
      </c>
      <c r="AC3673">
        <f>IF(Y3673=1,Q3673-F3673,"")</f>
        <v/>
      </c>
      <c r="AD3673">
        <f>IF(Y3673=1,AC3673^2,"")</f>
        <v/>
      </c>
      <c r="AE3673" s="19">
        <f>IF(Z3673=1,(H3673-M3673)*I3673,0)</f>
        <v/>
      </c>
      <c r="AF3673">
        <f>IF(G3673&lt;EDATE(Assumptions!$C$6,-12)+1,"prior_12m","last_12m")</f>
        <v/>
      </c>
      <c r="AG3673" s="21">
        <f>DATE(YEAR(G3673),MONTH(G3673),1)</f>
        <v/>
      </c>
    </row>
    <row r="3674">
      <c r="A3674" t="inlineStr">
        <is>
          <t>SPO-01959-1</t>
        </is>
      </c>
      <c r="B3674" t="inlineStr">
        <is>
          <t>SPO-01959</t>
        </is>
      </c>
      <c r="C3674" t="inlineStr">
        <is>
          <t>SUP-12</t>
        </is>
      </c>
      <c r="D3674" t="inlineStr">
        <is>
          <t>IT</t>
        </is>
      </c>
      <c r="E3674" t="inlineStr">
        <is>
          <t>IT-02</t>
        </is>
      </c>
      <c r="F3674" s="17" t="n">
        <v>46118</v>
      </c>
      <c r="G3674" s="17" t="n">
        <v>46128</v>
      </c>
      <c r="H3674" s="18" t="n">
        <v>8</v>
      </c>
      <c r="I3674" s="19" t="n">
        <v>176.81</v>
      </c>
      <c r="J3674" s="19" t="n">
        <v>162</v>
      </c>
      <c r="K3674" s="20" t="n">
        <v>0</v>
      </c>
      <c r="L3674" s="20" t="n">
        <v>0</v>
      </c>
      <c r="M3674" s="18" t="n">
        <v>8</v>
      </c>
      <c r="N3674" s="18" t="n">
        <v>8</v>
      </c>
      <c r="O3674" s="18" t="n">
        <v>0</v>
      </c>
      <c r="P3674" s="17" t="n">
        <v>46127</v>
      </c>
      <c r="Q3674" s="17" t="n">
        <v>46127</v>
      </c>
      <c r="R3674" s="17" t="n">
        <v>46127</v>
      </c>
      <c r="S3674" s="19">
        <f>H3674*I3674</f>
        <v/>
      </c>
      <c r="T3674" s="19">
        <f>H3674*J3674</f>
        <v/>
      </c>
      <c r="U3674">
        <f>IF(AND(K3674=0,G3674&lt;=Assumptions!$C$6),1,0)</f>
        <v/>
      </c>
      <c r="V3674">
        <f>IF(U3674=1,IF(M3674&gt;0,IF(P3674&lt;=G3674+Assumptions!$C$7,1,0),0),0)</f>
        <v/>
      </c>
      <c r="W3674">
        <f>IF(AND(U3674=1,M3674&gt;=H3674*(1-Assumptions!$C$8)),1,0)</f>
        <v/>
      </c>
      <c r="X3674">
        <f>IF(AND(U3674=1,N3674&gt;=H3674*(1-Assumptions!$C$8)),1,0)</f>
        <v/>
      </c>
      <c r="Y3674">
        <f>IF(ISNUMBER(Q3674),1,0)</f>
        <v/>
      </c>
      <c r="Z3674">
        <f>IF(AND(K3674=0,L3674=0,Y3674=0),1,0)</f>
        <v/>
      </c>
      <c r="AA3674">
        <f>IF(AND(Z3674=1,G3674&lt;Assumptions!$C$6),1,0)</f>
        <v/>
      </c>
      <c r="AB3674">
        <f>IF(U3674=0,"",IF(Y3674=1,MAX(0,Q3674-G3674),IF(L3674=1,MAX(0,R3674-G3674),MAX(0,Assumptions!$C$6-G3674))))</f>
        <v/>
      </c>
      <c r="AC3674">
        <f>IF(Y3674=1,Q3674-F3674,"")</f>
        <v/>
      </c>
      <c r="AD3674">
        <f>IF(Y3674=1,AC3674^2,"")</f>
        <v/>
      </c>
      <c r="AE3674" s="19">
        <f>IF(Z3674=1,(H3674-M3674)*I3674,0)</f>
        <v/>
      </c>
      <c r="AF3674">
        <f>IF(G3674&lt;EDATE(Assumptions!$C$6,-12)+1,"prior_12m","last_12m")</f>
        <v/>
      </c>
      <c r="AG3674" s="21">
        <f>DATE(YEAR(G3674),MONTH(G3674),1)</f>
        <v/>
      </c>
    </row>
    <row r="3675">
      <c r="A3675" t="inlineStr">
        <is>
          <t>SPO-01959-2</t>
        </is>
      </c>
      <c r="B3675" t="inlineStr">
        <is>
          <t>SPO-01959</t>
        </is>
      </c>
      <c r="C3675" t="inlineStr">
        <is>
          <t>SUP-12</t>
        </is>
      </c>
      <c r="D3675" t="inlineStr">
        <is>
          <t>IT</t>
        </is>
      </c>
      <c r="E3675" t="inlineStr">
        <is>
          <t>IT-08</t>
        </is>
      </c>
      <c r="F3675" s="17" t="n">
        <v>46118</v>
      </c>
      <c r="G3675" s="17" t="n">
        <v>46128</v>
      </c>
      <c r="H3675" s="18" t="n">
        <v>14</v>
      </c>
      <c r="I3675" s="19" t="n">
        <v>276.1</v>
      </c>
      <c r="J3675" s="19" t="n">
        <v>245</v>
      </c>
      <c r="K3675" s="20" t="n">
        <v>0</v>
      </c>
      <c r="L3675" s="20" t="n">
        <v>0</v>
      </c>
      <c r="M3675" s="18" t="n">
        <v>14</v>
      </c>
      <c r="N3675" s="18" t="n">
        <v>14</v>
      </c>
      <c r="O3675" s="18" t="n">
        <v>0</v>
      </c>
      <c r="P3675" s="17" t="n">
        <v>46125</v>
      </c>
      <c r="Q3675" s="17" t="n">
        <v>46125</v>
      </c>
      <c r="R3675" s="17" t="n">
        <v>46125</v>
      </c>
      <c r="S3675" s="19">
        <f>H3675*I3675</f>
        <v/>
      </c>
      <c r="T3675" s="19">
        <f>H3675*J3675</f>
        <v/>
      </c>
      <c r="U3675">
        <f>IF(AND(K3675=0,G3675&lt;=Assumptions!$C$6),1,0)</f>
        <v/>
      </c>
      <c r="V3675">
        <f>IF(U3675=1,IF(M3675&gt;0,IF(P3675&lt;=G3675+Assumptions!$C$7,1,0),0),0)</f>
        <v/>
      </c>
      <c r="W3675">
        <f>IF(AND(U3675=1,M3675&gt;=H3675*(1-Assumptions!$C$8)),1,0)</f>
        <v/>
      </c>
      <c r="X3675">
        <f>IF(AND(U3675=1,N3675&gt;=H3675*(1-Assumptions!$C$8)),1,0)</f>
        <v/>
      </c>
      <c r="Y3675">
        <f>IF(ISNUMBER(Q3675),1,0)</f>
        <v/>
      </c>
      <c r="Z3675">
        <f>IF(AND(K3675=0,L3675=0,Y3675=0),1,0)</f>
        <v/>
      </c>
      <c r="AA3675">
        <f>IF(AND(Z3675=1,G3675&lt;Assumptions!$C$6),1,0)</f>
        <v/>
      </c>
      <c r="AB3675">
        <f>IF(U3675=0,"",IF(Y3675=1,MAX(0,Q3675-G3675),IF(L3675=1,MAX(0,R3675-G3675),MAX(0,Assumptions!$C$6-G3675))))</f>
        <v/>
      </c>
      <c r="AC3675">
        <f>IF(Y3675=1,Q3675-F3675,"")</f>
        <v/>
      </c>
      <c r="AD3675">
        <f>IF(Y3675=1,AC3675^2,"")</f>
        <v/>
      </c>
      <c r="AE3675" s="19">
        <f>IF(Z3675=1,(H3675-M3675)*I3675,0)</f>
        <v/>
      </c>
      <c r="AF3675">
        <f>IF(G3675&lt;EDATE(Assumptions!$C$6,-12)+1,"prior_12m","last_12m")</f>
        <v/>
      </c>
      <c r="AG3675" s="21">
        <f>DATE(YEAR(G3675),MONTH(G3675),1)</f>
        <v/>
      </c>
    </row>
    <row r="3676">
      <c r="A3676" t="inlineStr">
        <is>
          <t>SPO-01960-1</t>
        </is>
      </c>
      <c r="B3676" t="inlineStr">
        <is>
          <t>SPO-01960</t>
        </is>
      </c>
      <c r="C3676" t="inlineStr">
        <is>
          <t>SUP-08</t>
        </is>
      </c>
      <c r="D3676" t="inlineStr">
        <is>
          <t>PPE</t>
        </is>
      </c>
      <c r="E3676" t="inlineStr">
        <is>
          <t>PPE-02</t>
        </is>
      </c>
      <c r="F3676" s="17" t="n">
        <v>46118</v>
      </c>
      <c r="G3676" s="17" t="n">
        <v>46129</v>
      </c>
      <c r="H3676" s="18" t="n">
        <v>95</v>
      </c>
      <c r="I3676" s="19" t="n">
        <v>12.95</v>
      </c>
      <c r="J3676" s="19" t="n">
        <v>12.5</v>
      </c>
      <c r="K3676" s="20" t="n">
        <v>0</v>
      </c>
      <c r="L3676" s="20" t="n">
        <v>0</v>
      </c>
      <c r="M3676" s="18" t="n">
        <v>95</v>
      </c>
      <c r="N3676" s="18" t="n">
        <v>95</v>
      </c>
      <c r="O3676" s="18" t="n">
        <v>0</v>
      </c>
      <c r="P3676" s="17" t="n">
        <v>46124</v>
      </c>
      <c r="Q3676" s="17" t="n">
        <v>46124</v>
      </c>
      <c r="R3676" s="17" t="n">
        <v>46124</v>
      </c>
      <c r="S3676" s="19">
        <f>H3676*I3676</f>
        <v/>
      </c>
      <c r="T3676" s="19">
        <f>H3676*J3676</f>
        <v/>
      </c>
      <c r="U3676">
        <f>IF(AND(K3676=0,G3676&lt;=Assumptions!$C$6),1,0)</f>
        <v/>
      </c>
      <c r="V3676">
        <f>IF(U3676=1,IF(M3676&gt;0,IF(P3676&lt;=G3676+Assumptions!$C$7,1,0),0),0)</f>
        <v/>
      </c>
      <c r="W3676">
        <f>IF(AND(U3676=1,M3676&gt;=H3676*(1-Assumptions!$C$8)),1,0)</f>
        <v/>
      </c>
      <c r="X3676">
        <f>IF(AND(U3676=1,N3676&gt;=H3676*(1-Assumptions!$C$8)),1,0)</f>
        <v/>
      </c>
      <c r="Y3676">
        <f>IF(ISNUMBER(Q3676),1,0)</f>
        <v/>
      </c>
      <c r="Z3676">
        <f>IF(AND(K3676=0,L3676=0,Y3676=0),1,0)</f>
        <v/>
      </c>
      <c r="AA3676">
        <f>IF(AND(Z3676=1,G3676&lt;Assumptions!$C$6),1,0)</f>
        <v/>
      </c>
      <c r="AB3676">
        <f>IF(U3676=0,"",IF(Y3676=1,MAX(0,Q3676-G3676),IF(L3676=1,MAX(0,R3676-G3676),MAX(0,Assumptions!$C$6-G3676))))</f>
        <v/>
      </c>
      <c r="AC3676">
        <f>IF(Y3676=1,Q3676-F3676,"")</f>
        <v/>
      </c>
      <c r="AD3676">
        <f>IF(Y3676=1,AC3676^2,"")</f>
        <v/>
      </c>
      <c r="AE3676" s="19">
        <f>IF(Z3676=1,(H3676-M3676)*I3676,0)</f>
        <v/>
      </c>
      <c r="AF3676">
        <f>IF(G3676&lt;EDATE(Assumptions!$C$6,-12)+1,"prior_12m","last_12m")</f>
        <v/>
      </c>
      <c r="AG3676" s="21">
        <f>DATE(YEAR(G3676),MONTH(G3676),1)</f>
        <v/>
      </c>
    </row>
    <row r="3677">
      <c r="A3677" t="inlineStr">
        <is>
          <t>SPO-01960-2</t>
        </is>
      </c>
      <c r="B3677" t="inlineStr">
        <is>
          <t>SPO-01960</t>
        </is>
      </c>
      <c r="C3677" t="inlineStr">
        <is>
          <t>SUP-08</t>
        </is>
      </c>
      <c r="D3677" t="inlineStr">
        <is>
          <t>PPE</t>
        </is>
      </c>
      <c r="E3677" t="inlineStr">
        <is>
          <t>PPE-05</t>
        </is>
      </c>
      <c r="F3677" s="17" t="n">
        <v>46118</v>
      </c>
      <c r="G3677" s="17" t="n">
        <v>46129</v>
      </c>
      <c r="H3677" s="18" t="n">
        <v>92</v>
      </c>
      <c r="I3677" s="19" t="n">
        <v>10.42</v>
      </c>
      <c r="J3677" s="19" t="n">
        <v>11</v>
      </c>
      <c r="K3677" s="20" t="n">
        <v>0</v>
      </c>
      <c r="L3677" s="20" t="n">
        <v>0</v>
      </c>
      <c r="M3677" s="18" t="n">
        <v>92</v>
      </c>
      <c r="N3677" s="18" t="n">
        <v>92</v>
      </c>
      <c r="O3677" s="18" t="n">
        <v>0</v>
      </c>
      <c r="P3677" s="17" t="n">
        <v>46125</v>
      </c>
      <c r="Q3677" s="17" t="n">
        <v>46125</v>
      </c>
      <c r="R3677" s="17" t="n">
        <v>46125</v>
      </c>
      <c r="S3677" s="19">
        <f>H3677*I3677</f>
        <v/>
      </c>
      <c r="T3677" s="19">
        <f>H3677*J3677</f>
        <v/>
      </c>
      <c r="U3677">
        <f>IF(AND(K3677=0,G3677&lt;=Assumptions!$C$6),1,0)</f>
        <v/>
      </c>
      <c r="V3677">
        <f>IF(U3677=1,IF(M3677&gt;0,IF(P3677&lt;=G3677+Assumptions!$C$7,1,0),0),0)</f>
        <v/>
      </c>
      <c r="W3677">
        <f>IF(AND(U3677=1,M3677&gt;=H3677*(1-Assumptions!$C$8)),1,0)</f>
        <v/>
      </c>
      <c r="X3677">
        <f>IF(AND(U3677=1,N3677&gt;=H3677*(1-Assumptions!$C$8)),1,0)</f>
        <v/>
      </c>
      <c r="Y3677">
        <f>IF(ISNUMBER(Q3677),1,0)</f>
        <v/>
      </c>
      <c r="Z3677">
        <f>IF(AND(K3677=0,L3677=0,Y3677=0),1,0)</f>
        <v/>
      </c>
      <c r="AA3677">
        <f>IF(AND(Z3677=1,G3677&lt;Assumptions!$C$6),1,0)</f>
        <v/>
      </c>
      <c r="AB3677">
        <f>IF(U3677=0,"",IF(Y3677=1,MAX(0,Q3677-G3677),IF(L3677=1,MAX(0,R3677-G3677),MAX(0,Assumptions!$C$6-G3677))))</f>
        <v/>
      </c>
      <c r="AC3677">
        <f>IF(Y3677=1,Q3677-F3677,"")</f>
        <v/>
      </c>
      <c r="AD3677">
        <f>IF(Y3677=1,AC3677^2,"")</f>
        <v/>
      </c>
      <c r="AE3677" s="19">
        <f>IF(Z3677=1,(H3677-M3677)*I3677,0)</f>
        <v/>
      </c>
      <c r="AF3677">
        <f>IF(G3677&lt;EDATE(Assumptions!$C$6,-12)+1,"prior_12m","last_12m")</f>
        <v/>
      </c>
      <c r="AG3677" s="21">
        <f>DATE(YEAR(G3677),MONTH(G3677),1)</f>
        <v/>
      </c>
    </row>
    <row r="3678">
      <c r="A3678" t="inlineStr">
        <is>
          <t>SPO-01961-1</t>
        </is>
      </c>
      <c r="B3678" t="inlineStr">
        <is>
          <t>SPO-01961</t>
        </is>
      </c>
      <c r="C3678" t="inlineStr">
        <is>
          <t>SUP-14</t>
        </is>
      </c>
      <c r="D3678" t="inlineStr">
        <is>
          <t>FLEET</t>
        </is>
      </c>
      <c r="E3678" t="inlineStr">
        <is>
          <t>FLEET-07</t>
        </is>
      </c>
      <c r="F3678" s="17" t="n">
        <v>46118</v>
      </c>
      <c r="G3678" s="17" t="n">
        <v>46132</v>
      </c>
      <c r="H3678" s="18" t="n">
        <v>7</v>
      </c>
      <c r="I3678" s="19" t="n">
        <v>119.87</v>
      </c>
      <c r="J3678" s="19" t="n">
        <v>118</v>
      </c>
      <c r="K3678" s="20" t="n">
        <v>0</v>
      </c>
      <c r="L3678" s="20" t="n">
        <v>0</v>
      </c>
      <c r="M3678" s="18" t="n">
        <v>7</v>
      </c>
      <c r="N3678" s="18" t="n">
        <v>7</v>
      </c>
      <c r="O3678" s="18" t="n">
        <v>0</v>
      </c>
      <c r="P3678" s="17" t="n">
        <v>46132</v>
      </c>
      <c r="Q3678" s="17" t="n">
        <v>46132</v>
      </c>
      <c r="R3678" s="17" t="n">
        <v>46132</v>
      </c>
      <c r="S3678" s="19">
        <f>H3678*I3678</f>
        <v/>
      </c>
      <c r="T3678" s="19">
        <f>H3678*J3678</f>
        <v/>
      </c>
      <c r="U3678">
        <f>IF(AND(K3678=0,G3678&lt;=Assumptions!$C$6),1,0)</f>
        <v/>
      </c>
      <c r="V3678">
        <f>IF(U3678=1,IF(M3678&gt;0,IF(P3678&lt;=G3678+Assumptions!$C$7,1,0),0),0)</f>
        <v/>
      </c>
      <c r="W3678">
        <f>IF(AND(U3678=1,M3678&gt;=H3678*(1-Assumptions!$C$8)),1,0)</f>
        <v/>
      </c>
      <c r="X3678">
        <f>IF(AND(U3678=1,N3678&gt;=H3678*(1-Assumptions!$C$8)),1,0)</f>
        <v/>
      </c>
      <c r="Y3678">
        <f>IF(ISNUMBER(Q3678),1,0)</f>
        <v/>
      </c>
      <c r="Z3678">
        <f>IF(AND(K3678=0,L3678=0,Y3678=0),1,0)</f>
        <v/>
      </c>
      <c r="AA3678">
        <f>IF(AND(Z3678=1,G3678&lt;Assumptions!$C$6),1,0)</f>
        <v/>
      </c>
      <c r="AB3678">
        <f>IF(U3678=0,"",IF(Y3678=1,MAX(0,Q3678-G3678),IF(L3678=1,MAX(0,R3678-G3678),MAX(0,Assumptions!$C$6-G3678))))</f>
        <v/>
      </c>
      <c r="AC3678">
        <f>IF(Y3678=1,Q3678-F3678,"")</f>
        <v/>
      </c>
      <c r="AD3678">
        <f>IF(Y3678=1,AC3678^2,"")</f>
        <v/>
      </c>
      <c r="AE3678" s="19">
        <f>IF(Z3678=1,(H3678-M3678)*I3678,0)</f>
        <v/>
      </c>
      <c r="AF3678">
        <f>IF(G3678&lt;EDATE(Assumptions!$C$6,-12)+1,"prior_12m","last_12m")</f>
        <v/>
      </c>
      <c r="AG3678" s="21">
        <f>DATE(YEAR(G3678),MONTH(G3678),1)</f>
        <v/>
      </c>
    </row>
    <row r="3679">
      <c r="A3679" t="inlineStr">
        <is>
          <t>SPO-01961-2</t>
        </is>
      </c>
      <c r="B3679" t="inlineStr">
        <is>
          <t>SPO-01961</t>
        </is>
      </c>
      <c r="C3679" t="inlineStr">
        <is>
          <t>SUP-14</t>
        </is>
      </c>
      <c r="D3679" t="inlineStr">
        <is>
          <t>FLEET</t>
        </is>
      </c>
      <c r="E3679" t="inlineStr">
        <is>
          <t>FLEET-06</t>
        </is>
      </c>
      <c r="F3679" s="17" t="n">
        <v>46118</v>
      </c>
      <c r="G3679" s="17" t="n">
        <v>46132</v>
      </c>
      <c r="H3679" s="18" t="n">
        <v>87</v>
      </c>
      <c r="I3679" s="19" t="n">
        <v>35.56</v>
      </c>
      <c r="J3679" s="19" t="n">
        <v>33</v>
      </c>
      <c r="K3679" s="20" t="n">
        <v>0</v>
      </c>
      <c r="L3679" s="20" t="n">
        <v>0</v>
      </c>
      <c r="M3679" s="18" t="n">
        <v>87</v>
      </c>
      <c r="N3679" s="18" t="n">
        <v>87</v>
      </c>
      <c r="O3679" s="18" t="n">
        <v>0</v>
      </c>
      <c r="P3679" s="17" t="n">
        <v>46127</v>
      </c>
      <c r="Q3679" s="17" t="n">
        <v>46127</v>
      </c>
      <c r="R3679" s="17" t="n">
        <v>46127</v>
      </c>
      <c r="S3679" s="19">
        <f>H3679*I3679</f>
        <v/>
      </c>
      <c r="T3679" s="19">
        <f>H3679*J3679</f>
        <v/>
      </c>
      <c r="U3679">
        <f>IF(AND(K3679=0,G3679&lt;=Assumptions!$C$6),1,0)</f>
        <v/>
      </c>
      <c r="V3679">
        <f>IF(U3679=1,IF(M3679&gt;0,IF(P3679&lt;=G3679+Assumptions!$C$7,1,0),0),0)</f>
        <v/>
      </c>
      <c r="W3679">
        <f>IF(AND(U3679=1,M3679&gt;=H3679*(1-Assumptions!$C$8)),1,0)</f>
        <v/>
      </c>
      <c r="X3679">
        <f>IF(AND(U3679=1,N3679&gt;=H3679*(1-Assumptions!$C$8)),1,0)</f>
        <v/>
      </c>
      <c r="Y3679">
        <f>IF(ISNUMBER(Q3679),1,0)</f>
        <v/>
      </c>
      <c r="Z3679">
        <f>IF(AND(K3679=0,L3679=0,Y3679=0),1,0)</f>
        <v/>
      </c>
      <c r="AA3679">
        <f>IF(AND(Z3679=1,G3679&lt;Assumptions!$C$6),1,0)</f>
        <v/>
      </c>
      <c r="AB3679">
        <f>IF(U3679=0,"",IF(Y3679=1,MAX(0,Q3679-G3679),IF(L3679=1,MAX(0,R3679-G3679),MAX(0,Assumptions!$C$6-G3679))))</f>
        <v/>
      </c>
      <c r="AC3679">
        <f>IF(Y3679=1,Q3679-F3679,"")</f>
        <v/>
      </c>
      <c r="AD3679">
        <f>IF(Y3679=1,AC3679^2,"")</f>
        <v/>
      </c>
      <c r="AE3679" s="19">
        <f>IF(Z3679=1,(H3679-M3679)*I3679,0)</f>
        <v/>
      </c>
      <c r="AF3679">
        <f>IF(G3679&lt;EDATE(Assumptions!$C$6,-12)+1,"prior_12m","last_12m")</f>
        <v/>
      </c>
      <c r="AG3679" s="21">
        <f>DATE(YEAR(G3679),MONTH(G3679),1)</f>
        <v/>
      </c>
    </row>
    <row r="3680">
      <c r="A3680" t="inlineStr">
        <is>
          <t>SPO-01961-3</t>
        </is>
      </c>
      <c r="B3680" t="inlineStr">
        <is>
          <t>SPO-01961</t>
        </is>
      </c>
      <c r="C3680" t="inlineStr">
        <is>
          <t>SUP-14</t>
        </is>
      </c>
      <c r="D3680" t="inlineStr">
        <is>
          <t>FLEET</t>
        </is>
      </c>
      <c r="E3680" t="inlineStr">
        <is>
          <t>FLEET-04</t>
        </is>
      </c>
      <c r="F3680" s="17" t="n">
        <v>46118</v>
      </c>
      <c r="G3680" s="17" t="n">
        <v>46132</v>
      </c>
      <c r="H3680" s="18" t="n">
        <v>150</v>
      </c>
      <c r="I3680" s="19" t="n">
        <v>8.82</v>
      </c>
      <c r="J3680" s="19" t="n">
        <v>9</v>
      </c>
      <c r="K3680" s="20" t="n">
        <v>0</v>
      </c>
      <c r="L3680" s="20" t="n">
        <v>0</v>
      </c>
      <c r="M3680" s="18" t="n">
        <v>150</v>
      </c>
      <c r="N3680" s="18" t="n">
        <v>150</v>
      </c>
      <c r="O3680" s="18" t="n">
        <v>0</v>
      </c>
      <c r="P3680" s="17" t="n">
        <v>46127</v>
      </c>
      <c r="Q3680" s="17" t="n">
        <v>46127</v>
      </c>
      <c r="R3680" s="17" t="n">
        <v>46127</v>
      </c>
      <c r="S3680" s="19">
        <f>H3680*I3680</f>
        <v/>
      </c>
      <c r="T3680" s="19">
        <f>H3680*J3680</f>
        <v/>
      </c>
      <c r="U3680">
        <f>IF(AND(K3680=0,G3680&lt;=Assumptions!$C$6),1,0)</f>
        <v/>
      </c>
      <c r="V3680">
        <f>IF(U3680=1,IF(M3680&gt;0,IF(P3680&lt;=G3680+Assumptions!$C$7,1,0),0),0)</f>
        <v/>
      </c>
      <c r="W3680">
        <f>IF(AND(U3680=1,M3680&gt;=H3680*(1-Assumptions!$C$8)),1,0)</f>
        <v/>
      </c>
      <c r="X3680">
        <f>IF(AND(U3680=1,N3680&gt;=H3680*(1-Assumptions!$C$8)),1,0)</f>
        <v/>
      </c>
      <c r="Y3680">
        <f>IF(ISNUMBER(Q3680),1,0)</f>
        <v/>
      </c>
      <c r="Z3680">
        <f>IF(AND(K3680=0,L3680=0,Y3680=0),1,0)</f>
        <v/>
      </c>
      <c r="AA3680">
        <f>IF(AND(Z3680=1,G3680&lt;Assumptions!$C$6),1,0)</f>
        <v/>
      </c>
      <c r="AB3680">
        <f>IF(U3680=0,"",IF(Y3680=1,MAX(0,Q3680-G3680),IF(L3680=1,MAX(0,R3680-G3680),MAX(0,Assumptions!$C$6-G3680))))</f>
        <v/>
      </c>
      <c r="AC3680">
        <f>IF(Y3680=1,Q3680-F3680,"")</f>
        <v/>
      </c>
      <c r="AD3680">
        <f>IF(Y3680=1,AC3680^2,"")</f>
        <v/>
      </c>
      <c r="AE3680" s="19">
        <f>IF(Z3680=1,(H3680-M3680)*I3680,0)</f>
        <v/>
      </c>
      <c r="AF3680">
        <f>IF(G3680&lt;EDATE(Assumptions!$C$6,-12)+1,"prior_12m","last_12m")</f>
        <v/>
      </c>
      <c r="AG3680" s="21">
        <f>DATE(YEAR(G3680),MONTH(G3680),1)</f>
        <v/>
      </c>
    </row>
    <row r="3681">
      <c r="A3681" t="inlineStr">
        <is>
          <t>SPO-01962-1</t>
        </is>
      </c>
      <c r="B3681" t="inlineStr">
        <is>
          <t>SPO-01962</t>
        </is>
      </c>
      <c r="C3681" t="inlineStr">
        <is>
          <t>SUP-01</t>
        </is>
      </c>
      <c r="D3681" t="inlineStr">
        <is>
          <t>ELEC</t>
        </is>
      </c>
      <c r="E3681" t="inlineStr">
        <is>
          <t>ELEC-07</t>
        </is>
      </c>
      <c r="F3681" s="17" t="n">
        <v>46119</v>
      </c>
      <c r="G3681" s="17" t="n">
        <v>46137</v>
      </c>
      <c r="H3681" s="18" t="n">
        <v>171</v>
      </c>
      <c r="I3681" s="19" t="n">
        <v>9.69</v>
      </c>
      <c r="J3681" s="19" t="n">
        <v>9.800000000000001</v>
      </c>
      <c r="K3681" s="20" t="n">
        <v>0</v>
      </c>
      <c r="L3681" s="20" t="n">
        <v>0</v>
      </c>
      <c r="M3681" s="18" t="n">
        <v>171</v>
      </c>
      <c r="N3681" s="18" t="n">
        <v>171</v>
      </c>
      <c r="O3681" s="18" t="n">
        <v>0</v>
      </c>
      <c r="P3681" s="17" t="n">
        <v>46136</v>
      </c>
      <c r="Q3681" s="17" t="n">
        <v>46136</v>
      </c>
      <c r="R3681" s="17" t="n">
        <v>46136</v>
      </c>
      <c r="S3681" s="19">
        <f>H3681*I3681</f>
        <v/>
      </c>
      <c r="T3681" s="19">
        <f>H3681*J3681</f>
        <v/>
      </c>
      <c r="U3681">
        <f>IF(AND(K3681=0,G3681&lt;=Assumptions!$C$6),1,0)</f>
        <v/>
      </c>
      <c r="V3681">
        <f>IF(U3681=1,IF(M3681&gt;0,IF(P3681&lt;=G3681+Assumptions!$C$7,1,0),0),0)</f>
        <v/>
      </c>
      <c r="W3681">
        <f>IF(AND(U3681=1,M3681&gt;=H3681*(1-Assumptions!$C$8)),1,0)</f>
        <v/>
      </c>
      <c r="X3681">
        <f>IF(AND(U3681=1,N3681&gt;=H3681*(1-Assumptions!$C$8)),1,0)</f>
        <v/>
      </c>
      <c r="Y3681">
        <f>IF(ISNUMBER(Q3681),1,0)</f>
        <v/>
      </c>
      <c r="Z3681">
        <f>IF(AND(K3681=0,L3681=0,Y3681=0),1,0)</f>
        <v/>
      </c>
      <c r="AA3681">
        <f>IF(AND(Z3681=1,G3681&lt;Assumptions!$C$6),1,0)</f>
        <v/>
      </c>
      <c r="AB3681">
        <f>IF(U3681=0,"",IF(Y3681=1,MAX(0,Q3681-G3681),IF(L3681=1,MAX(0,R3681-G3681),MAX(0,Assumptions!$C$6-G3681))))</f>
        <v/>
      </c>
      <c r="AC3681">
        <f>IF(Y3681=1,Q3681-F3681,"")</f>
        <v/>
      </c>
      <c r="AD3681">
        <f>IF(Y3681=1,AC3681^2,"")</f>
        <v/>
      </c>
      <c r="AE3681" s="19">
        <f>IF(Z3681=1,(H3681-M3681)*I3681,0)</f>
        <v/>
      </c>
      <c r="AF3681">
        <f>IF(G3681&lt;EDATE(Assumptions!$C$6,-12)+1,"prior_12m","last_12m")</f>
        <v/>
      </c>
      <c r="AG3681" s="21">
        <f>DATE(YEAR(G3681),MONTH(G3681),1)</f>
        <v/>
      </c>
    </row>
    <row r="3682">
      <c r="A3682" t="inlineStr">
        <is>
          <t>SPO-01962-2</t>
        </is>
      </c>
      <c r="B3682" t="inlineStr">
        <is>
          <t>SPO-01962</t>
        </is>
      </c>
      <c r="C3682" t="inlineStr">
        <is>
          <t>SUP-01</t>
        </is>
      </c>
      <c r="D3682" t="inlineStr">
        <is>
          <t>ELEC</t>
        </is>
      </c>
      <c r="E3682" t="inlineStr">
        <is>
          <t>ELEC-04</t>
        </is>
      </c>
      <c r="F3682" s="17" t="n">
        <v>46119</v>
      </c>
      <c r="G3682" s="17" t="n">
        <v>46137</v>
      </c>
      <c r="H3682" s="18" t="n">
        <v>58</v>
      </c>
      <c r="I3682" s="19" t="n">
        <v>71.39</v>
      </c>
      <c r="J3682" s="19" t="n">
        <v>72</v>
      </c>
      <c r="K3682" s="20" t="n">
        <v>0</v>
      </c>
      <c r="L3682" s="20" t="n">
        <v>0</v>
      </c>
      <c r="M3682" s="18" t="n">
        <v>58</v>
      </c>
      <c r="N3682" s="18" t="n">
        <v>58</v>
      </c>
      <c r="O3682" s="18" t="n">
        <v>0</v>
      </c>
      <c r="P3682" s="17" t="n">
        <v>46127</v>
      </c>
      <c r="Q3682" s="17" t="n">
        <v>46127</v>
      </c>
      <c r="R3682" s="17" t="n">
        <v>46127</v>
      </c>
      <c r="S3682" s="19">
        <f>H3682*I3682</f>
        <v/>
      </c>
      <c r="T3682" s="19">
        <f>H3682*J3682</f>
        <v/>
      </c>
      <c r="U3682">
        <f>IF(AND(K3682=0,G3682&lt;=Assumptions!$C$6),1,0)</f>
        <v/>
      </c>
      <c r="V3682">
        <f>IF(U3682=1,IF(M3682&gt;0,IF(P3682&lt;=G3682+Assumptions!$C$7,1,0),0),0)</f>
        <v/>
      </c>
      <c r="W3682">
        <f>IF(AND(U3682=1,M3682&gt;=H3682*(1-Assumptions!$C$8)),1,0)</f>
        <v/>
      </c>
      <c r="X3682">
        <f>IF(AND(U3682=1,N3682&gt;=H3682*(1-Assumptions!$C$8)),1,0)</f>
        <v/>
      </c>
      <c r="Y3682">
        <f>IF(ISNUMBER(Q3682),1,0)</f>
        <v/>
      </c>
      <c r="Z3682">
        <f>IF(AND(K3682=0,L3682=0,Y3682=0),1,0)</f>
        <v/>
      </c>
      <c r="AA3682">
        <f>IF(AND(Z3682=1,G3682&lt;Assumptions!$C$6),1,0)</f>
        <v/>
      </c>
      <c r="AB3682">
        <f>IF(U3682=0,"",IF(Y3682=1,MAX(0,Q3682-G3682),IF(L3682=1,MAX(0,R3682-G3682),MAX(0,Assumptions!$C$6-G3682))))</f>
        <v/>
      </c>
      <c r="AC3682">
        <f>IF(Y3682=1,Q3682-F3682,"")</f>
        <v/>
      </c>
      <c r="AD3682">
        <f>IF(Y3682=1,AC3682^2,"")</f>
        <v/>
      </c>
      <c r="AE3682" s="19">
        <f>IF(Z3682=1,(H3682-M3682)*I3682,0)</f>
        <v/>
      </c>
      <c r="AF3682">
        <f>IF(G3682&lt;EDATE(Assumptions!$C$6,-12)+1,"prior_12m","last_12m")</f>
        <v/>
      </c>
      <c r="AG3682" s="21">
        <f>DATE(YEAR(G3682),MONTH(G3682),1)</f>
        <v/>
      </c>
    </row>
    <row r="3683">
      <c r="A3683" t="inlineStr">
        <is>
          <t>SPO-01963-1</t>
        </is>
      </c>
      <c r="B3683" t="inlineStr">
        <is>
          <t>SPO-01963</t>
        </is>
      </c>
      <c r="C3683" t="inlineStr">
        <is>
          <t>SUP-02</t>
        </is>
      </c>
      <c r="D3683" t="inlineStr">
        <is>
          <t>ELEC</t>
        </is>
      </c>
      <c r="E3683" t="inlineStr">
        <is>
          <t>ELEC-05</t>
        </is>
      </c>
      <c r="F3683" s="17" t="n">
        <v>46119</v>
      </c>
      <c r="G3683" s="17" t="n">
        <v>46135</v>
      </c>
      <c r="H3683" s="18" t="n">
        <v>162</v>
      </c>
      <c r="I3683" s="19" t="n">
        <v>11.54</v>
      </c>
      <c r="J3683" s="19" t="n">
        <v>11.5</v>
      </c>
      <c r="K3683" s="20" t="n">
        <v>0</v>
      </c>
      <c r="L3683" s="20" t="n">
        <v>0</v>
      </c>
      <c r="M3683" s="18" t="n">
        <v>162</v>
      </c>
      <c r="N3683" s="18" t="n">
        <v>162</v>
      </c>
      <c r="O3683" s="18" t="n">
        <v>0</v>
      </c>
      <c r="P3683" s="17" t="n">
        <v>46130</v>
      </c>
      <c r="Q3683" s="17" t="n">
        <v>46130</v>
      </c>
      <c r="R3683" s="17" t="n">
        <v>46130</v>
      </c>
      <c r="S3683" s="19">
        <f>H3683*I3683</f>
        <v/>
      </c>
      <c r="T3683" s="19">
        <f>H3683*J3683</f>
        <v/>
      </c>
      <c r="U3683">
        <f>IF(AND(K3683=0,G3683&lt;=Assumptions!$C$6),1,0)</f>
        <v/>
      </c>
      <c r="V3683">
        <f>IF(U3683=1,IF(M3683&gt;0,IF(P3683&lt;=G3683+Assumptions!$C$7,1,0),0),0)</f>
        <v/>
      </c>
      <c r="W3683">
        <f>IF(AND(U3683=1,M3683&gt;=H3683*(1-Assumptions!$C$8)),1,0)</f>
        <v/>
      </c>
      <c r="X3683">
        <f>IF(AND(U3683=1,N3683&gt;=H3683*(1-Assumptions!$C$8)),1,0)</f>
        <v/>
      </c>
      <c r="Y3683">
        <f>IF(ISNUMBER(Q3683),1,0)</f>
        <v/>
      </c>
      <c r="Z3683">
        <f>IF(AND(K3683=0,L3683=0,Y3683=0),1,0)</f>
        <v/>
      </c>
      <c r="AA3683">
        <f>IF(AND(Z3683=1,G3683&lt;Assumptions!$C$6),1,0)</f>
        <v/>
      </c>
      <c r="AB3683">
        <f>IF(U3683=0,"",IF(Y3683=1,MAX(0,Q3683-G3683),IF(L3683=1,MAX(0,R3683-G3683),MAX(0,Assumptions!$C$6-G3683))))</f>
        <v/>
      </c>
      <c r="AC3683">
        <f>IF(Y3683=1,Q3683-F3683,"")</f>
        <v/>
      </c>
      <c r="AD3683">
        <f>IF(Y3683=1,AC3683^2,"")</f>
        <v/>
      </c>
      <c r="AE3683" s="19">
        <f>IF(Z3683=1,(H3683-M3683)*I3683,0)</f>
        <v/>
      </c>
      <c r="AF3683">
        <f>IF(G3683&lt;EDATE(Assumptions!$C$6,-12)+1,"prior_12m","last_12m")</f>
        <v/>
      </c>
      <c r="AG3683" s="21">
        <f>DATE(YEAR(G3683),MONTH(G3683),1)</f>
        <v/>
      </c>
    </row>
    <row r="3684">
      <c r="A3684" t="inlineStr">
        <is>
          <t>SPO-01963-2</t>
        </is>
      </c>
      <c r="B3684" t="inlineStr">
        <is>
          <t>SPO-01963</t>
        </is>
      </c>
      <c r="C3684" t="inlineStr">
        <is>
          <t>SUP-02</t>
        </is>
      </c>
      <c r="D3684" t="inlineStr">
        <is>
          <t>ELEC</t>
        </is>
      </c>
      <c r="E3684" t="inlineStr">
        <is>
          <t>ELEC-04</t>
        </is>
      </c>
      <c r="F3684" s="17" t="n">
        <v>46119</v>
      </c>
      <c r="G3684" s="17" t="n">
        <v>46135</v>
      </c>
      <c r="H3684" s="18" t="n">
        <v>32</v>
      </c>
      <c r="I3684" s="19" t="n">
        <v>70.31999999999999</v>
      </c>
      <c r="J3684" s="19" t="n">
        <v>72</v>
      </c>
      <c r="K3684" s="20" t="n">
        <v>0</v>
      </c>
      <c r="L3684" s="20" t="n">
        <v>0</v>
      </c>
      <c r="M3684" s="18" t="n">
        <v>32</v>
      </c>
      <c r="N3684" s="18" t="n">
        <v>32</v>
      </c>
      <c r="O3684" s="18" t="n">
        <v>0</v>
      </c>
      <c r="P3684" s="17" t="n">
        <v>46131</v>
      </c>
      <c r="Q3684" s="17" t="n">
        <v>46131</v>
      </c>
      <c r="R3684" s="17" t="n">
        <v>46131</v>
      </c>
      <c r="S3684" s="19">
        <f>H3684*I3684</f>
        <v/>
      </c>
      <c r="T3684" s="19">
        <f>H3684*J3684</f>
        <v/>
      </c>
      <c r="U3684">
        <f>IF(AND(K3684=0,G3684&lt;=Assumptions!$C$6),1,0)</f>
        <v/>
      </c>
      <c r="V3684">
        <f>IF(U3684=1,IF(M3684&gt;0,IF(P3684&lt;=G3684+Assumptions!$C$7,1,0),0),0)</f>
        <v/>
      </c>
      <c r="W3684">
        <f>IF(AND(U3684=1,M3684&gt;=H3684*(1-Assumptions!$C$8)),1,0)</f>
        <v/>
      </c>
      <c r="X3684">
        <f>IF(AND(U3684=1,N3684&gt;=H3684*(1-Assumptions!$C$8)),1,0)</f>
        <v/>
      </c>
      <c r="Y3684">
        <f>IF(ISNUMBER(Q3684),1,0)</f>
        <v/>
      </c>
      <c r="Z3684">
        <f>IF(AND(K3684=0,L3684=0,Y3684=0),1,0)</f>
        <v/>
      </c>
      <c r="AA3684">
        <f>IF(AND(Z3684=1,G3684&lt;Assumptions!$C$6),1,0)</f>
        <v/>
      </c>
      <c r="AB3684">
        <f>IF(U3684=0,"",IF(Y3684=1,MAX(0,Q3684-G3684),IF(L3684=1,MAX(0,R3684-G3684),MAX(0,Assumptions!$C$6-G3684))))</f>
        <v/>
      </c>
      <c r="AC3684">
        <f>IF(Y3684=1,Q3684-F3684,"")</f>
        <v/>
      </c>
      <c r="AD3684">
        <f>IF(Y3684=1,AC3684^2,"")</f>
        <v/>
      </c>
      <c r="AE3684" s="19">
        <f>IF(Z3684=1,(H3684-M3684)*I3684,0)</f>
        <v/>
      </c>
      <c r="AF3684">
        <f>IF(G3684&lt;EDATE(Assumptions!$C$6,-12)+1,"prior_12m","last_12m")</f>
        <v/>
      </c>
      <c r="AG3684" s="21">
        <f>DATE(YEAR(G3684),MONTH(G3684),1)</f>
        <v/>
      </c>
    </row>
    <row r="3685">
      <c r="A3685" t="inlineStr">
        <is>
          <t>SPO-01963-3</t>
        </is>
      </c>
      <c r="B3685" t="inlineStr">
        <is>
          <t>SPO-01963</t>
        </is>
      </c>
      <c r="C3685" t="inlineStr">
        <is>
          <t>SUP-02</t>
        </is>
      </c>
      <c r="D3685" t="inlineStr">
        <is>
          <t>ELEC</t>
        </is>
      </c>
      <c r="E3685" t="inlineStr">
        <is>
          <t>ELEC-08</t>
        </is>
      </c>
      <c r="F3685" s="17" t="n">
        <v>46119</v>
      </c>
      <c r="G3685" s="17" t="n">
        <v>46135</v>
      </c>
      <c r="H3685" s="18" t="n">
        <v>136</v>
      </c>
      <c r="I3685" s="19" t="n">
        <v>18.87</v>
      </c>
      <c r="J3685" s="19" t="n">
        <v>18</v>
      </c>
      <c r="K3685" s="20" t="n">
        <v>0</v>
      </c>
      <c r="L3685" s="20" t="n">
        <v>0</v>
      </c>
      <c r="M3685" s="18" t="n">
        <v>136</v>
      </c>
      <c r="N3685" s="18" t="n">
        <v>136</v>
      </c>
      <c r="O3685" s="18" t="n">
        <v>0</v>
      </c>
      <c r="P3685" s="17" t="n">
        <v>46130</v>
      </c>
      <c r="Q3685" s="17" t="n">
        <v>46130</v>
      </c>
      <c r="R3685" s="17" t="n">
        <v>46130</v>
      </c>
      <c r="S3685" s="19">
        <f>H3685*I3685</f>
        <v/>
      </c>
      <c r="T3685" s="19">
        <f>H3685*J3685</f>
        <v/>
      </c>
      <c r="U3685">
        <f>IF(AND(K3685=0,G3685&lt;=Assumptions!$C$6),1,0)</f>
        <v/>
      </c>
      <c r="V3685">
        <f>IF(U3685=1,IF(M3685&gt;0,IF(P3685&lt;=G3685+Assumptions!$C$7,1,0),0),0)</f>
        <v/>
      </c>
      <c r="W3685">
        <f>IF(AND(U3685=1,M3685&gt;=H3685*(1-Assumptions!$C$8)),1,0)</f>
        <v/>
      </c>
      <c r="X3685">
        <f>IF(AND(U3685=1,N3685&gt;=H3685*(1-Assumptions!$C$8)),1,0)</f>
        <v/>
      </c>
      <c r="Y3685">
        <f>IF(ISNUMBER(Q3685),1,0)</f>
        <v/>
      </c>
      <c r="Z3685">
        <f>IF(AND(K3685=0,L3685=0,Y3685=0),1,0)</f>
        <v/>
      </c>
      <c r="AA3685">
        <f>IF(AND(Z3685=1,G3685&lt;Assumptions!$C$6),1,0)</f>
        <v/>
      </c>
      <c r="AB3685">
        <f>IF(U3685=0,"",IF(Y3685=1,MAX(0,Q3685-G3685),IF(L3685=1,MAX(0,R3685-G3685),MAX(0,Assumptions!$C$6-G3685))))</f>
        <v/>
      </c>
      <c r="AC3685">
        <f>IF(Y3685=1,Q3685-F3685,"")</f>
        <v/>
      </c>
      <c r="AD3685">
        <f>IF(Y3685=1,AC3685^2,"")</f>
        <v/>
      </c>
      <c r="AE3685" s="19">
        <f>IF(Z3685=1,(H3685-M3685)*I3685,0)</f>
        <v/>
      </c>
      <c r="AF3685">
        <f>IF(G3685&lt;EDATE(Assumptions!$C$6,-12)+1,"prior_12m","last_12m")</f>
        <v/>
      </c>
      <c r="AG3685" s="21">
        <f>DATE(YEAR(G3685),MONTH(G3685),1)</f>
        <v/>
      </c>
    </row>
    <row r="3686">
      <c r="A3686" t="inlineStr">
        <is>
          <t>SPO-01963-4</t>
        </is>
      </c>
      <c r="B3686" t="inlineStr">
        <is>
          <t>SPO-01963</t>
        </is>
      </c>
      <c r="C3686" t="inlineStr">
        <is>
          <t>SUP-02</t>
        </is>
      </c>
      <c r="D3686" t="inlineStr">
        <is>
          <t>ELEC</t>
        </is>
      </c>
      <c r="E3686" t="inlineStr">
        <is>
          <t>ELEC-03</t>
        </is>
      </c>
      <c r="F3686" s="17" t="n">
        <v>46119</v>
      </c>
      <c r="G3686" s="17" t="n">
        <v>46135</v>
      </c>
      <c r="H3686" s="18" t="n">
        <v>32</v>
      </c>
      <c r="I3686" s="19" t="n">
        <v>94.34999999999999</v>
      </c>
      <c r="J3686" s="19" t="n">
        <v>96</v>
      </c>
      <c r="K3686" s="20" t="n">
        <v>0</v>
      </c>
      <c r="L3686" s="20" t="n">
        <v>0</v>
      </c>
      <c r="M3686" s="18" t="n">
        <v>32</v>
      </c>
      <c r="N3686" s="18" t="n">
        <v>32</v>
      </c>
      <c r="O3686" s="18" t="n">
        <v>0</v>
      </c>
      <c r="P3686" s="17" t="n">
        <v>46133</v>
      </c>
      <c r="Q3686" s="17" t="n">
        <v>46133</v>
      </c>
      <c r="R3686" s="17" t="n">
        <v>46133</v>
      </c>
      <c r="S3686" s="19">
        <f>H3686*I3686</f>
        <v/>
      </c>
      <c r="T3686" s="19">
        <f>H3686*J3686</f>
        <v/>
      </c>
      <c r="U3686">
        <f>IF(AND(K3686=0,G3686&lt;=Assumptions!$C$6),1,0)</f>
        <v/>
      </c>
      <c r="V3686">
        <f>IF(U3686=1,IF(M3686&gt;0,IF(P3686&lt;=G3686+Assumptions!$C$7,1,0),0),0)</f>
        <v/>
      </c>
      <c r="W3686">
        <f>IF(AND(U3686=1,M3686&gt;=H3686*(1-Assumptions!$C$8)),1,0)</f>
        <v/>
      </c>
      <c r="X3686">
        <f>IF(AND(U3686=1,N3686&gt;=H3686*(1-Assumptions!$C$8)),1,0)</f>
        <v/>
      </c>
      <c r="Y3686">
        <f>IF(ISNUMBER(Q3686),1,0)</f>
        <v/>
      </c>
      <c r="Z3686">
        <f>IF(AND(K3686=0,L3686=0,Y3686=0),1,0)</f>
        <v/>
      </c>
      <c r="AA3686">
        <f>IF(AND(Z3686=1,G3686&lt;Assumptions!$C$6),1,0)</f>
        <v/>
      </c>
      <c r="AB3686">
        <f>IF(U3686=0,"",IF(Y3686=1,MAX(0,Q3686-G3686),IF(L3686=1,MAX(0,R3686-G3686),MAX(0,Assumptions!$C$6-G3686))))</f>
        <v/>
      </c>
      <c r="AC3686">
        <f>IF(Y3686=1,Q3686-F3686,"")</f>
        <v/>
      </c>
      <c r="AD3686">
        <f>IF(Y3686=1,AC3686^2,"")</f>
        <v/>
      </c>
      <c r="AE3686" s="19">
        <f>IF(Z3686=1,(H3686-M3686)*I3686,0)</f>
        <v/>
      </c>
      <c r="AF3686">
        <f>IF(G3686&lt;EDATE(Assumptions!$C$6,-12)+1,"prior_12m","last_12m")</f>
        <v/>
      </c>
      <c r="AG3686" s="21">
        <f>DATE(YEAR(G3686),MONTH(G3686),1)</f>
        <v/>
      </c>
    </row>
    <row r="3687">
      <c r="A3687" t="inlineStr">
        <is>
          <t>SPO-01964-1</t>
        </is>
      </c>
      <c r="B3687" t="inlineStr">
        <is>
          <t>SPO-01964</t>
        </is>
      </c>
      <c r="C3687" t="inlineStr">
        <is>
          <t>SUP-12</t>
        </is>
      </c>
      <c r="D3687" t="inlineStr">
        <is>
          <t>IT</t>
        </is>
      </c>
      <c r="E3687" t="inlineStr">
        <is>
          <t>IT-08</t>
        </is>
      </c>
      <c r="F3687" s="17" t="n">
        <v>46119</v>
      </c>
      <c r="G3687" s="17" t="n">
        <v>46129</v>
      </c>
      <c r="H3687" s="18" t="n">
        <v>7</v>
      </c>
      <c r="I3687" s="19" t="n">
        <v>277.32</v>
      </c>
      <c r="J3687" s="19" t="n">
        <v>245</v>
      </c>
      <c r="K3687" s="20" t="n">
        <v>0</v>
      </c>
      <c r="L3687" s="20" t="n">
        <v>0</v>
      </c>
      <c r="M3687" s="18" t="n">
        <v>7</v>
      </c>
      <c r="N3687" s="18" t="n">
        <v>7</v>
      </c>
      <c r="O3687" s="18" t="n">
        <v>0</v>
      </c>
      <c r="P3687" s="17" t="n">
        <v>46126</v>
      </c>
      <c r="Q3687" s="17" t="n">
        <v>46126</v>
      </c>
      <c r="R3687" s="17" t="n">
        <v>46126</v>
      </c>
      <c r="S3687" s="19">
        <f>H3687*I3687</f>
        <v/>
      </c>
      <c r="T3687" s="19">
        <f>H3687*J3687</f>
        <v/>
      </c>
      <c r="U3687">
        <f>IF(AND(K3687=0,G3687&lt;=Assumptions!$C$6),1,0)</f>
        <v/>
      </c>
      <c r="V3687">
        <f>IF(U3687=1,IF(M3687&gt;0,IF(P3687&lt;=G3687+Assumptions!$C$7,1,0),0),0)</f>
        <v/>
      </c>
      <c r="W3687">
        <f>IF(AND(U3687=1,M3687&gt;=H3687*(1-Assumptions!$C$8)),1,0)</f>
        <v/>
      </c>
      <c r="X3687">
        <f>IF(AND(U3687=1,N3687&gt;=H3687*(1-Assumptions!$C$8)),1,0)</f>
        <v/>
      </c>
      <c r="Y3687">
        <f>IF(ISNUMBER(Q3687),1,0)</f>
        <v/>
      </c>
      <c r="Z3687">
        <f>IF(AND(K3687=0,L3687=0,Y3687=0),1,0)</f>
        <v/>
      </c>
      <c r="AA3687">
        <f>IF(AND(Z3687=1,G3687&lt;Assumptions!$C$6),1,0)</f>
        <v/>
      </c>
      <c r="AB3687">
        <f>IF(U3687=0,"",IF(Y3687=1,MAX(0,Q3687-G3687),IF(L3687=1,MAX(0,R3687-G3687),MAX(0,Assumptions!$C$6-G3687))))</f>
        <v/>
      </c>
      <c r="AC3687">
        <f>IF(Y3687=1,Q3687-F3687,"")</f>
        <v/>
      </c>
      <c r="AD3687">
        <f>IF(Y3687=1,AC3687^2,"")</f>
        <v/>
      </c>
      <c r="AE3687" s="19">
        <f>IF(Z3687=1,(H3687-M3687)*I3687,0)</f>
        <v/>
      </c>
      <c r="AF3687">
        <f>IF(G3687&lt;EDATE(Assumptions!$C$6,-12)+1,"prior_12m","last_12m")</f>
        <v/>
      </c>
      <c r="AG3687" s="21">
        <f>DATE(YEAR(G3687),MONTH(G3687),1)</f>
        <v/>
      </c>
    </row>
    <row r="3688">
      <c r="A3688" t="inlineStr">
        <is>
          <t>SPO-01965-1</t>
        </is>
      </c>
      <c r="B3688" t="inlineStr">
        <is>
          <t>SPO-01965</t>
        </is>
      </c>
      <c r="C3688" t="inlineStr">
        <is>
          <t>SUP-09</t>
        </is>
      </c>
      <c r="D3688" t="inlineStr">
        <is>
          <t>CHEM</t>
        </is>
      </c>
      <c r="E3688" t="inlineStr">
        <is>
          <t>CHEM-01</t>
        </is>
      </c>
      <c r="F3688" s="17" t="n">
        <v>46119</v>
      </c>
      <c r="G3688" s="17" t="n">
        <v>46133</v>
      </c>
      <c r="H3688" s="18" t="n">
        <v>2</v>
      </c>
      <c r="I3688" s="19" t="n">
        <v>675.6799999999999</v>
      </c>
      <c r="J3688" s="19" t="n">
        <v>640</v>
      </c>
      <c r="K3688" s="20" t="n">
        <v>0</v>
      </c>
      <c r="L3688" s="20" t="n">
        <v>0</v>
      </c>
      <c r="M3688" s="18" t="n">
        <v>2</v>
      </c>
      <c r="N3688" s="18" t="n">
        <v>2</v>
      </c>
      <c r="O3688" s="18" t="n">
        <v>0</v>
      </c>
      <c r="P3688" s="17" t="n">
        <v>46130</v>
      </c>
      <c r="Q3688" s="17" t="n">
        <v>46130</v>
      </c>
      <c r="R3688" s="17" t="n">
        <v>46130</v>
      </c>
      <c r="S3688" s="19">
        <f>H3688*I3688</f>
        <v/>
      </c>
      <c r="T3688" s="19">
        <f>H3688*J3688</f>
        <v/>
      </c>
      <c r="U3688">
        <f>IF(AND(K3688=0,G3688&lt;=Assumptions!$C$6),1,0)</f>
        <v/>
      </c>
      <c r="V3688">
        <f>IF(U3688=1,IF(M3688&gt;0,IF(P3688&lt;=G3688+Assumptions!$C$7,1,0),0),0)</f>
        <v/>
      </c>
      <c r="W3688">
        <f>IF(AND(U3688=1,M3688&gt;=H3688*(1-Assumptions!$C$8)),1,0)</f>
        <v/>
      </c>
      <c r="X3688">
        <f>IF(AND(U3688=1,N3688&gt;=H3688*(1-Assumptions!$C$8)),1,0)</f>
        <v/>
      </c>
      <c r="Y3688">
        <f>IF(ISNUMBER(Q3688),1,0)</f>
        <v/>
      </c>
      <c r="Z3688">
        <f>IF(AND(K3688=0,L3688=0,Y3688=0),1,0)</f>
        <v/>
      </c>
      <c r="AA3688">
        <f>IF(AND(Z3688=1,G3688&lt;Assumptions!$C$6),1,0)</f>
        <v/>
      </c>
      <c r="AB3688">
        <f>IF(U3688=0,"",IF(Y3688=1,MAX(0,Q3688-G3688),IF(L3688=1,MAX(0,R3688-G3688),MAX(0,Assumptions!$C$6-G3688))))</f>
        <v/>
      </c>
      <c r="AC3688">
        <f>IF(Y3688=1,Q3688-F3688,"")</f>
        <v/>
      </c>
      <c r="AD3688">
        <f>IF(Y3688=1,AC3688^2,"")</f>
        <v/>
      </c>
      <c r="AE3688" s="19">
        <f>IF(Z3688=1,(H3688-M3688)*I3688,0)</f>
        <v/>
      </c>
      <c r="AF3688">
        <f>IF(G3688&lt;EDATE(Assumptions!$C$6,-12)+1,"prior_12m","last_12m")</f>
        <v/>
      </c>
      <c r="AG3688" s="21">
        <f>DATE(YEAR(G3688),MONTH(G3688),1)</f>
        <v/>
      </c>
    </row>
    <row r="3689">
      <c r="A3689" t="inlineStr">
        <is>
          <t>SPO-01965-2</t>
        </is>
      </c>
      <c r="B3689" t="inlineStr">
        <is>
          <t>SPO-01965</t>
        </is>
      </c>
      <c r="C3689" t="inlineStr">
        <is>
          <t>SUP-09</t>
        </is>
      </c>
      <c r="D3689" t="inlineStr">
        <is>
          <t>CHEM</t>
        </is>
      </c>
      <c r="E3689" t="inlineStr">
        <is>
          <t>CHEM-04</t>
        </is>
      </c>
      <c r="F3689" s="17" t="n">
        <v>46119</v>
      </c>
      <c r="G3689" s="17" t="n">
        <v>46133</v>
      </c>
      <c r="H3689" s="18" t="n">
        <v>2</v>
      </c>
      <c r="I3689" s="19" t="n">
        <v>892.23</v>
      </c>
      <c r="J3689" s="19" t="n">
        <v>820</v>
      </c>
      <c r="K3689" s="20" t="n">
        <v>0</v>
      </c>
      <c r="L3689" s="20" t="n">
        <v>0</v>
      </c>
      <c r="M3689" s="18" t="n">
        <v>2</v>
      </c>
      <c r="N3689" s="18" t="n">
        <v>2</v>
      </c>
      <c r="O3689" s="18" t="n">
        <v>0</v>
      </c>
      <c r="P3689" s="17" t="n">
        <v>46132</v>
      </c>
      <c r="Q3689" s="17" t="n">
        <v>46132</v>
      </c>
      <c r="R3689" s="17" t="n">
        <v>46132</v>
      </c>
      <c r="S3689" s="19">
        <f>H3689*I3689</f>
        <v/>
      </c>
      <c r="T3689" s="19">
        <f>H3689*J3689</f>
        <v/>
      </c>
      <c r="U3689">
        <f>IF(AND(K3689=0,G3689&lt;=Assumptions!$C$6),1,0)</f>
        <v/>
      </c>
      <c r="V3689">
        <f>IF(U3689=1,IF(M3689&gt;0,IF(P3689&lt;=G3689+Assumptions!$C$7,1,0),0),0)</f>
        <v/>
      </c>
      <c r="W3689">
        <f>IF(AND(U3689=1,M3689&gt;=H3689*(1-Assumptions!$C$8)),1,0)</f>
        <v/>
      </c>
      <c r="X3689">
        <f>IF(AND(U3689=1,N3689&gt;=H3689*(1-Assumptions!$C$8)),1,0)</f>
        <v/>
      </c>
      <c r="Y3689">
        <f>IF(ISNUMBER(Q3689),1,0)</f>
        <v/>
      </c>
      <c r="Z3689">
        <f>IF(AND(K3689=0,L3689=0,Y3689=0),1,0)</f>
        <v/>
      </c>
      <c r="AA3689">
        <f>IF(AND(Z3689=1,G3689&lt;Assumptions!$C$6),1,0)</f>
        <v/>
      </c>
      <c r="AB3689">
        <f>IF(U3689=0,"",IF(Y3689=1,MAX(0,Q3689-G3689),IF(L3689=1,MAX(0,R3689-G3689),MAX(0,Assumptions!$C$6-G3689))))</f>
        <v/>
      </c>
      <c r="AC3689">
        <f>IF(Y3689=1,Q3689-F3689,"")</f>
        <v/>
      </c>
      <c r="AD3689">
        <f>IF(Y3689=1,AC3689^2,"")</f>
        <v/>
      </c>
      <c r="AE3689" s="19">
        <f>IF(Z3689=1,(H3689-M3689)*I3689,0)</f>
        <v/>
      </c>
      <c r="AF3689">
        <f>IF(G3689&lt;EDATE(Assumptions!$C$6,-12)+1,"prior_12m","last_12m")</f>
        <v/>
      </c>
      <c r="AG3689" s="21">
        <f>DATE(YEAR(G3689),MONTH(G3689),1)</f>
        <v/>
      </c>
    </row>
    <row r="3690">
      <c r="A3690" t="inlineStr">
        <is>
          <t>SPO-01965-3</t>
        </is>
      </c>
      <c r="B3690" t="inlineStr">
        <is>
          <t>SPO-01965</t>
        </is>
      </c>
      <c r="C3690" t="inlineStr">
        <is>
          <t>SUP-09</t>
        </is>
      </c>
      <c r="D3690" t="inlineStr">
        <is>
          <t>CHEM</t>
        </is>
      </c>
      <c r="E3690" t="inlineStr">
        <is>
          <t>CHEM-03</t>
        </is>
      </c>
      <c r="F3690" s="17" t="n">
        <v>46119</v>
      </c>
      <c r="G3690" s="17" t="n">
        <v>46133</v>
      </c>
      <c r="H3690" s="18" t="n">
        <v>6</v>
      </c>
      <c r="I3690" s="19" t="n">
        <v>281.54</v>
      </c>
      <c r="J3690" s="19" t="n">
        <v>265</v>
      </c>
      <c r="K3690" s="20" t="n">
        <v>0</v>
      </c>
      <c r="L3690" s="20" t="n">
        <v>0</v>
      </c>
      <c r="M3690" s="18" t="n">
        <v>6</v>
      </c>
      <c r="N3690" s="18" t="n">
        <v>6</v>
      </c>
      <c r="O3690" s="18" t="n">
        <v>0</v>
      </c>
      <c r="P3690" s="17" t="n">
        <v>46130</v>
      </c>
      <c r="Q3690" s="17" t="n">
        <v>46130</v>
      </c>
      <c r="R3690" s="17" t="n">
        <v>46130</v>
      </c>
      <c r="S3690" s="19">
        <f>H3690*I3690</f>
        <v/>
      </c>
      <c r="T3690" s="19">
        <f>H3690*J3690</f>
        <v/>
      </c>
      <c r="U3690">
        <f>IF(AND(K3690=0,G3690&lt;=Assumptions!$C$6),1,0)</f>
        <v/>
      </c>
      <c r="V3690">
        <f>IF(U3690=1,IF(M3690&gt;0,IF(P3690&lt;=G3690+Assumptions!$C$7,1,0),0),0)</f>
        <v/>
      </c>
      <c r="W3690">
        <f>IF(AND(U3690=1,M3690&gt;=H3690*(1-Assumptions!$C$8)),1,0)</f>
        <v/>
      </c>
      <c r="X3690">
        <f>IF(AND(U3690=1,N3690&gt;=H3690*(1-Assumptions!$C$8)),1,0)</f>
        <v/>
      </c>
      <c r="Y3690">
        <f>IF(ISNUMBER(Q3690),1,0)</f>
        <v/>
      </c>
      <c r="Z3690">
        <f>IF(AND(K3690=0,L3690=0,Y3690=0),1,0)</f>
        <v/>
      </c>
      <c r="AA3690">
        <f>IF(AND(Z3690=1,G3690&lt;Assumptions!$C$6),1,0)</f>
        <v/>
      </c>
      <c r="AB3690">
        <f>IF(U3690=0,"",IF(Y3690=1,MAX(0,Q3690-G3690),IF(L3690=1,MAX(0,R3690-G3690),MAX(0,Assumptions!$C$6-G3690))))</f>
        <v/>
      </c>
      <c r="AC3690">
        <f>IF(Y3690=1,Q3690-F3690,"")</f>
        <v/>
      </c>
      <c r="AD3690">
        <f>IF(Y3690=1,AC3690^2,"")</f>
        <v/>
      </c>
      <c r="AE3690" s="19">
        <f>IF(Z3690=1,(H3690-M3690)*I3690,0)</f>
        <v/>
      </c>
      <c r="AF3690">
        <f>IF(G3690&lt;EDATE(Assumptions!$C$6,-12)+1,"prior_12m","last_12m")</f>
        <v/>
      </c>
      <c r="AG3690" s="21">
        <f>DATE(YEAR(G3690),MONTH(G3690),1)</f>
        <v/>
      </c>
    </row>
    <row r="3691">
      <c r="A3691" t="inlineStr">
        <is>
          <t>SPO-01966-1</t>
        </is>
      </c>
      <c r="B3691" t="inlineStr">
        <is>
          <t>SPO-01966</t>
        </is>
      </c>
      <c r="C3691" t="inlineStr">
        <is>
          <t>SUP-08</t>
        </is>
      </c>
      <c r="D3691" t="inlineStr">
        <is>
          <t>MRO</t>
        </is>
      </c>
      <c r="E3691" t="inlineStr">
        <is>
          <t>MRO-08</t>
        </is>
      </c>
      <c r="F3691" s="17" t="n">
        <v>46119</v>
      </c>
      <c r="G3691" s="17" t="n">
        <v>46130</v>
      </c>
      <c r="H3691" s="18" t="n">
        <v>144</v>
      </c>
      <c r="I3691" s="19" t="n">
        <v>6.94</v>
      </c>
      <c r="J3691" s="19" t="n">
        <v>7.2</v>
      </c>
      <c r="K3691" s="20" t="n">
        <v>0</v>
      </c>
      <c r="L3691" s="20" t="n">
        <v>0</v>
      </c>
      <c r="M3691" s="18" t="n">
        <v>144</v>
      </c>
      <c r="N3691" s="18" t="n">
        <v>144</v>
      </c>
      <c r="O3691" s="18" t="n">
        <v>0</v>
      </c>
      <c r="P3691" s="17" t="n">
        <v>46125</v>
      </c>
      <c r="Q3691" s="17" t="n">
        <v>46125</v>
      </c>
      <c r="R3691" s="17" t="n">
        <v>46125</v>
      </c>
      <c r="S3691" s="19">
        <f>H3691*I3691</f>
        <v/>
      </c>
      <c r="T3691" s="19">
        <f>H3691*J3691</f>
        <v/>
      </c>
      <c r="U3691">
        <f>IF(AND(K3691=0,G3691&lt;=Assumptions!$C$6),1,0)</f>
        <v/>
      </c>
      <c r="V3691">
        <f>IF(U3691=1,IF(M3691&gt;0,IF(P3691&lt;=G3691+Assumptions!$C$7,1,0),0),0)</f>
        <v/>
      </c>
      <c r="W3691">
        <f>IF(AND(U3691=1,M3691&gt;=H3691*(1-Assumptions!$C$8)),1,0)</f>
        <v/>
      </c>
      <c r="X3691">
        <f>IF(AND(U3691=1,N3691&gt;=H3691*(1-Assumptions!$C$8)),1,0)</f>
        <v/>
      </c>
      <c r="Y3691">
        <f>IF(ISNUMBER(Q3691),1,0)</f>
        <v/>
      </c>
      <c r="Z3691">
        <f>IF(AND(K3691=0,L3691=0,Y3691=0),1,0)</f>
        <v/>
      </c>
      <c r="AA3691">
        <f>IF(AND(Z3691=1,G3691&lt;Assumptions!$C$6),1,0)</f>
        <v/>
      </c>
      <c r="AB3691">
        <f>IF(U3691=0,"",IF(Y3691=1,MAX(0,Q3691-G3691),IF(L3691=1,MAX(0,R3691-G3691),MAX(0,Assumptions!$C$6-G3691))))</f>
        <v/>
      </c>
      <c r="AC3691">
        <f>IF(Y3691=1,Q3691-F3691,"")</f>
        <v/>
      </c>
      <c r="AD3691">
        <f>IF(Y3691=1,AC3691^2,"")</f>
        <v/>
      </c>
      <c r="AE3691" s="19">
        <f>IF(Z3691=1,(H3691-M3691)*I3691,0)</f>
        <v/>
      </c>
      <c r="AF3691">
        <f>IF(G3691&lt;EDATE(Assumptions!$C$6,-12)+1,"prior_12m","last_12m")</f>
        <v/>
      </c>
      <c r="AG3691" s="21">
        <f>DATE(YEAR(G3691),MONTH(G3691),1)</f>
        <v/>
      </c>
    </row>
    <row r="3692">
      <c r="A3692" t="inlineStr">
        <is>
          <t>SPO-01966-2</t>
        </is>
      </c>
      <c r="B3692" t="inlineStr">
        <is>
          <t>SPO-01966</t>
        </is>
      </c>
      <c r="C3692" t="inlineStr">
        <is>
          <t>SUP-08</t>
        </is>
      </c>
      <c r="D3692" t="inlineStr">
        <is>
          <t>MRO</t>
        </is>
      </c>
      <c r="E3692" t="inlineStr">
        <is>
          <t>MRO-01</t>
        </is>
      </c>
      <c r="F3692" s="17" t="n">
        <v>46119</v>
      </c>
      <c r="G3692" s="17" t="n">
        <v>46130</v>
      </c>
      <c r="H3692" s="18" t="n">
        <v>28</v>
      </c>
      <c r="I3692" s="19" t="n">
        <v>50.12</v>
      </c>
      <c r="J3692" s="19" t="n">
        <v>52</v>
      </c>
      <c r="K3692" s="20" t="n">
        <v>0</v>
      </c>
      <c r="L3692" s="20" t="n">
        <v>0</v>
      </c>
      <c r="M3692" s="18" t="n">
        <v>28</v>
      </c>
      <c r="N3692" s="18" t="n">
        <v>28</v>
      </c>
      <c r="O3692" s="18" t="n">
        <v>0</v>
      </c>
      <c r="P3692" s="17" t="n">
        <v>46130</v>
      </c>
      <c r="Q3692" s="17" t="n">
        <v>46130</v>
      </c>
      <c r="R3692" s="17" t="n">
        <v>46130</v>
      </c>
      <c r="S3692" s="19">
        <f>H3692*I3692</f>
        <v/>
      </c>
      <c r="T3692" s="19">
        <f>H3692*J3692</f>
        <v/>
      </c>
      <c r="U3692">
        <f>IF(AND(K3692=0,G3692&lt;=Assumptions!$C$6),1,0)</f>
        <v/>
      </c>
      <c r="V3692">
        <f>IF(U3692=1,IF(M3692&gt;0,IF(P3692&lt;=G3692+Assumptions!$C$7,1,0),0),0)</f>
        <v/>
      </c>
      <c r="W3692">
        <f>IF(AND(U3692=1,M3692&gt;=H3692*(1-Assumptions!$C$8)),1,0)</f>
        <v/>
      </c>
      <c r="X3692">
        <f>IF(AND(U3692=1,N3692&gt;=H3692*(1-Assumptions!$C$8)),1,0)</f>
        <v/>
      </c>
      <c r="Y3692">
        <f>IF(ISNUMBER(Q3692),1,0)</f>
        <v/>
      </c>
      <c r="Z3692">
        <f>IF(AND(K3692=0,L3692=0,Y3692=0),1,0)</f>
        <v/>
      </c>
      <c r="AA3692">
        <f>IF(AND(Z3692=1,G3692&lt;Assumptions!$C$6),1,0)</f>
        <v/>
      </c>
      <c r="AB3692">
        <f>IF(U3692=0,"",IF(Y3692=1,MAX(0,Q3692-G3692),IF(L3692=1,MAX(0,R3692-G3692),MAX(0,Assumptions!$C$6-G3692))))</f>
        <v/>
      </c>
      <c r="AC3692">
        <f>IF(Y3692=1,Q3692-F3692,"")</f>
        <v/>
      </c>
      <c r="AD3692">
        <f>IF(Y3692=1,AC3692^2,"")</f>
        <v/>
      </c>
      <c r="AE3692" s="19">
        <f>IF(Z3692=1,(H3692-M3692)*I3692,0)</f>
        <v/>
      </c>
      <c r="AF3692">
        <f>IF(G3692&lt;EDATE(Assumptions!$C$6,-12)+1,"prior_12m","last_12m")</f>
        <v/>
      </c>
      <c r="AG3692" s="21">
        <f>DATE(YEAR(G3692),MONTH(G3692),1)</f>
        <v/>
      </c>
    </row>
    <row r="3693">
      <c r="A3693" t="inlineStr">
        <is>
          <t>SPO-01966-3</t>
        </is>
      </c>
      <c r="B3693" t="inlineStr">
        <is>
          <t>SPO-01966</t>
        </is>
      </c>
      <c r="C3693" t="inlineStr">
        <is>
          <t>SUP-08</t>
        </is>
      </c>
      <c r="D3693" t="inlineStr">
        <is>
          <t>MRO</t>
        </is>
      </c>
      <c r="E3693" t="inlineStr">
        <is>
          <t>MRO-05</t>
        </is>
      </c>
      <c r="F3693" s="17" t="n">
        <v>46119</v>
      </c>
      <c r="G3693" s="17" t="n">
        <v>46130</v>
      </c>
      <c r="H3693" s="18" t="n">
        <v>48</v>
      </c>
      <c r="I3693" s="19" t="n">
        <v>36.49</v>
      </c>
      <c r="J3693" s="19" t="n">
        <v>36</v>
      </c>
      <c r="K3693" s="20" t="n">
        <v>0</v>
      </c>
      <c r="L3693" s="20" t="n">
        <v>0</v>
      </c>
      <c r="M3693" s="18" t="n">
        <v>48</v>
      </c>
      <c r="N3693" s="18" t="n">
        <v>48</v>
      </c>
      <c r="O3693" s="18" t="n">
        <v>0</v>
      </c>
      <c r="P3693" s="17" t="n">
        <v>46128</v>
      </c>
      <c r="Q3693" s="17" t="n">
        <v>46128</v>
      </c>
      <c r="R3693" s="17" t="n">
        <v>46128</v>
      </c>
      <c r="S3693" s="19">
        <f>H3693*I3693</f>
        <v/>
      </c>
      <c r="T3693" s="19">
        <f>H3693*J3693</f>
        <v/>
      </c>
      <c r="U3693">
        <f>IF(AND(K3693=0,G3693&lt;=Assumptions!$C$6),1,0)</f>
        <v/>
      </c>
      <c r="V3693">
        <f>IF(U3693=1,IF(M3693&gt;0,IF(P3693&lt;=G3693+Assumptions!$C$7,1,0),0),0)</f>
        <v/>
      </c>
      <c r="W3693">
        <f>IF(AND(U3693=1,M3693&gt;=H3693*(1-Assumptions!$C$8)),1,0)</f>
        <v/>
      </c>
      <c r="X3693">
        <f>IF(AND(U3693=1,N3693&gt;=H3693*(1-Assumptions!$C$8)),1,0)</f>
        <v/>
      </c>
      <c r="Y3693">
        <f>IF(ISNUMBER(Q3693),1,0)</f>
        <v/>
      </c>
      <c r="Z3693">
        <f>IF(AND(K3693=0,L3693=0,Y3693=0),1,0)</f>
        <v/>
      </c>
      <c r="AA3693">
        <f>IF(AND(Z3693=1,G3693&lt;Assumptions!$C$6),1,0)</f>
        <v/>
      </c>
      <c r="AB3693">
        <f>IF(U3693=0,"",IF(Y3693=1,MAX(0,Q3693-G3693),IF(L3693=1,MAX(0,R3693-G3693),MAX(0,Assumptions!$C$6-G3693))))</f>
        <v/>
      </c>
      <c r="AC3693">
        <f>IF(Y3693=1,Q3693-F3693,"")</f>
        <v/>
      </c>
      <c r="AD3693">
        <f>IF(Y3693=1,AC3693^2,"")</f>
        <v/>
      </c>
      <c r="AE3693" s="19">
        <f>IF(Z3693=1,(H3693-M3693)*I3693,0)</f>
        <v/>
      </c>
      <c r="AF3693">
        <f>IF(G3693&lt;EDATE(Assumptions!$C$6,-12)+1,"prior_12m","last_12m")</f>
        <v/>
      </c>
      <c r="AG3693" s="21">
        <f>DATE(YEAR(G3693),MONTH(G3693),1)</f>
        <v/>
      </c>
    </row>
    <row r="3694">
      <c r="A3694" t="inlineStr">
        <is>
          <t>SPO-01966-4</t>
        </is>
      </c>
      <c r="B3694" t="inlineStr">
        <is>
          <t>SPO-01966</t>
        </is>
      </c>
      <c r="C3694" t="inlineStr">
        <is>
          <t>SUP-08</t>
        </is>
      </c>
      <c r="D3694" t="inlineStr">
        <is>
          <t>MRO</t>
        </is>
      </c>
      <c r="E3694" t="inlineStr">
        <is>
          <t>MRO-03</t>
        </is>
      </c>
      <c r="F3694" s="17" t="n">
        <v>46119</v>
      </c>
      <c r="G3694" s="17" t="n">
        <v>46130</v>
      </c>
      <c r="H3694" s="18" t="n">
        <v>197</v>
      </c>
      <c r="I3694" s="19" t="n">
        <v>8.529999999999999</v>
      </c>
      <c r="J3694" s="19" t="n">
        <v>8.9</v>
      </c>
      <c r="K3694" s="20" t="n">
        <v>0</v>
      </c>
      <c r="L3694" s="20" t="n">
        <v>0</v>
      </c>
      <c r="M3694" s="18" t="n">
        <v>197</v>
      </c>
      <c r="N3694" s="18" t="n">
        <v>197</v>
      </c>
      <c r="O3694" s="18" t="n">
        <v>0</v>
      </c>
      <c r="P3694" s="17" t="n">
        <v>46126</v>
      </c>
      <c r="Q3694" s="17" t="n">
        <v>46126</v>
      </c>
      <c r="R3694" s="17" t="n">
        <v>46126</v>
      </c>
      <c r="S3694" s="19">
        <f>H3694*I3694</f>
        <v/>
      </c>
      <c r="T3694" s="19">
        <f>H3694*J3694</f>
        <v/>
      </c>
      <c r="U3694">
        <f>IF(AND(K3694=0,G3694&lt;=Assumptions!$C$6),1,0)</f>
        <v/>
      </c>
      <c r="V3694">
        <f>IF(U3694=1,IF(M3694&gt;0,IF(P3694&lt;=G3694+Assumptions!$C$7,1,0),0),0)</f>
        <v/>
      </c>
      <c r="W3694">
        <f>IF(AND(U3694=1,M3694&gt;=H3694*(1-Assumptions!$C$8)),1,0)</f>
        <v/>
      </c>
      <c r="X3694">
        <f>IF(AND(U3694=1,N3694&gt;=H3694*(1-Assumptions!$C$8)),1,0)</f>
        <v/>
      </c>
      <c r="Y3694">
        <f>IF(ISNUMBER(Q3694),1,0)</f>
        <v/>
      </c>
      <c r="Z3694">
        <f>IF(AND(K3694=0,L3694=0,Y3694=0),1,0)</f>
        <v/>
      </c>
      <c r="AA3694">
        <f>IF(AND(Z3694=1,G3694&lt;Assumptions!$C$6),1,0)</f>
        <v/>
      </c>
      <c r="AB3694">
        <f>IF(U3694=0,"",IF(Y3694=1,MAX(0,Q3694-G3694),IF(L3694=1,MAX(0,R3694-G3694),MAX(0,Assumptions!$C$6-G3694))))</f>
        <v/>
      </c>
      <c r="AC3694">
        <f>IF(Y3694=1,Q3694-F3694,"")</f>
        <v/>
      </c>
      <c r="AD3694">
        <f>IF(Y3694=1,AC3694^2,"")</f>
        <v/>
      </c>
      <c r="AE3694" s="19">
        <f>IF(Z3694=1,(H3694-M3694)*I3694,0)</f>
        <v/>
      </c>
      <c r="AF3694">
        <f>IF(G3694&lt;EDATE(Assumptions!$C$6,-12)+1,"prior_12m","last_12m")</f>
        <v/>
      </c>
      <c r="AG3694" s="21">
        <f>DATE(YEAR(G3694),MONTH(G3694),1)</f>
        <v/>
      </c>
    </row>
    <row r="3695">
      <c r="A3695" t="inlineStr">
        <is>
          <t>SPO-01967-1</t>
        </is>
      </c>
      <c r="B3695" t="inlineStr">
        <is>
          <t>SPO-01967</t>
        </is>
      </c>
      <c r="C3695" t="inlineStr">
        <is>
          <t>SUP-11</t>
        </is>
      </c>
      <c r="D3695" t="inlineStr">
        <is>
          <t>PPE</t>
        </is>
      </c>
      <c r="E3695" t="inlineStr">
        <is>
          <t>PPE-08</t>
        </is>
      </c>
      <c r="F3695" s="17" t="n">
        <v>46119</v>
      </c>
      <c r="G3695" s="17" t="n">
        <v>46131</v>
      </c>
      <c r="H3695" s="18" t="n">
        <v>33</v>
      </c>
      <c r="I3695" s="19" t="n">
        <v>66.28</v>
      </c>
      <c r="J3695" s="19" t="n">
        <v>64</v>
      </c>
      <c r="K3695" s="20" t="n">
        <v>0</v>
      </c>
      <c r="L3695" s="20" t="n">
        <v>0</v>
      </c>
      <c r="M3695" s="18" t="n">
        <v>33</v>
      </c>
      <c r="N3695" s="18" t="n">
        <v>33</v>
      </c>
      <c r="O3695" s="18" t="n">
        <v>0</v>
      </c>
      <c r="P3695" s="17" t="n">
        <v>46127</v>
      </c>
      <c r="Q3695" s="17" t="n">
        <v>46127</v>
      </c>
      <c r="R3695" s="17" t="n">
        <v>46127</v>
      </c>
      <c r="S3695" s="19">
        <f>H3695*I3695</f>
        <v/>
      </c>
      <c r="T3695" s="19">
        <f>H3695*J3695</f>
        <v/>
      </c>
      <c r="U3695">
        <f>IF(AND(K3695=0,G3695&lt;=Assumptions!$C$6),1,0)</f>
        <v/>
      </c>
      <c r="V3695">
        <f>IF(U3695=1,IF(M3695&gt;0,IF(P3695&lt;=G3695+Assumptions!$C$7,1,0),0),0)</f>
        <v/>
      </c>
      <c r="W3695">
        <f>IF(AND(U3695=1,M3695&gt;=H3695*(1-Assumptions!$C$8)),1,0)</f>
        <v/>
      </c>
      <c r="X3695">
        <f>IF(AND(U3695=1,N3695&gt;=H3695*(1-Assumptions!$C$8)),1,0)</f>
        <v/>
      </c>
      <c r="Y3695">
        <f>IF(ISNUMBER(Q3695),1,0)</f>
        <v/>
      </c>
      <c r="Z3695">
        <f>IF(AND(K3695=0,L3695=0,Y3695=0),1,0)</f>
        <v/>
      </c>
      <c r="AA3695">
        <f>IF(AND(Z3695=1,G3695&lt;Assumptions!$C$6),1,0)</f>
        <v/>
      </c>
      <c r="AB3695">
        <f>IF(U3695=0,"",IF(Y3695=1,MAX(0,Q3695-G3695),IF(L3695=1,MAX(0,R3695-G3695),MAX(0,Assumptions!$C$6-G3695))))</f>
        <v/>
      </c>
      <c r="AC3695">
        <f>IF(Y3695=1,Q3695-F3695,"")</f>
        <v/>
      </c>
      <c r="AD3695">
        <f>IF(Y3695=1,AC3695^2,"")</f>
        <v/>
      </c>
      <c r="AE3695" s="19">
        <f>IF(Z3695=1,(H3695-M3695)*I3695,0)</f>
        <v/>
      </c>
      <c r="AF3695">
        <f>IF(G3695&lt;EDATE(Assumptions!$C$6,-12)+1,"prior_12m","last_12m")</f>
        <v/>
      </c>
      <c r="AG3695" s="21">
        <f>DATE(YEAR(G3695),MONTH(G3695),1)</f>
        <v/>
      </c>
    </row>
    <row r="3696">
      <c r="A3696" t="inlineStr">
        <is>
          <t>SPO-01968-1</t>
        </is>
      </c>
      <c r="B3696" t="inlineStr">
        <is>
          <t>SPO-01968</t>
        </is>
      </c>
      <c r="C3696" t="inlineStr">
        <is>
          <t>SUP-01</t>
        </is>
      </c>
      <c r="D3696" t="inlineStr">
        <is>
          <t>ELEC</t>
        </is>
      </c>
      <c r="E3696" t="inlineStr">
        <is>
          <t>ELEC-06</t>
        </is>
      </c>
      <c r="F3696" s="17" t="n">
        <v>46120</v>
      </c>
      <c r="G3696" s="17" t="n">
        <v>46138</v>
      </c>
      <c r="H3696" s="18" t="n">
        <v>13</v>
      </c>
      <c r="I3696" s="19" t="n">
        <v>153.28</v>
      </c>
      <c r="J3696" s="19" t="n">
        <v>145</v>
      </c>
      <c r="K3696" s="20" t="n">
        <v>0</v>
      </c>
      <c r="L3696" s="20" t="n">
        <v>0</v>
      </c>
      <c r="M3696" s="18" t="n">
        <v>13</v>
      </c>
      <c r="N3696" s="18" t="n">
        <v>13</v>
      </c>
      <c r="O3696" s="18" t="n">
        <v>4</v>
      </c>
      <c r="P3696" s="17" t="n">
        <v>46131</v>
      </c>
      <c r="Q3696" s="17" t="n">
        <v>46131</v>
      </c>
      <c r="R3696" s="17" t="n">
        <v>46131</v>
      </c>
      <c r="S3696" s="19">
        <f>H3696*I3696</f>
        <v/>
      </c>
      <c r="T3696" s="19">
        <f>H3696*J3696</f>
        <v/>
      </c>
      <c r="U3696">
        <f>IF(AND(K3696=0,G3696&lt;=Assumptions!$C$6),1,0)</f>
        <v/>
      </c>
      <c r="V3696">
        <f>IF(U3696=1,IF(M3696&gt;0,IF(P3696&lt;=G3696+Assumptions!$C$7,1,0),0),0)</f>
        <v/>
      </c>
      <c r="W3696">
        <f>IF(AND(U3696=1,M3696&gt;=H3696*(1-Assumptions!$C$8)),1,0)</f>
        <v/>
      </c>
      <c r="X3696">
        <f>IF(AND(U3696=1,N3696&gt;=H3696*(1-Assumptions!$C$8)),1,0)</f>
        <v/>
      </c>
      <c r="Y3696">
        <f>IF(ISNUMBER(Q3696),1,0)</f>
        <v/>
      </c>
      <c r="Z3696">
        <f>IF(AND(K3696=0,L3696=0,Y3696=0),1,0)</f>
        <v/>
      </c>
      <c r="AA3696">
        <f>IF(AND(Z3696=1,G3696&lt;Assumptions!$C$6),1,0)</f>
        <v/>
      </c>
      <c r="AB3696">
        <f>IF(U3696=0,"",IF(Y3696=1,MAX(0,Q3696-G3696),IF(L3696=1,MAX(0,R3696-G3696),MAX(0,Assumptions!$C$6-G3696))))</f>
        <v/>
      </c>
      <c r="AC3696">
        <f>IF(Y3696=1,Q3696-F3696,"")</f>
        <v/>
      </c>
      <c r="AD3696">
        <f>IF(Y3696=1,AC3696^2,"")</f>
        <v/>
      </c>
      <c r="AE3696" s="19">
        <f>IF(Z3696=1,(H3696-M3696)*I3696,0)</f>
        <v/>
      </c>
      <c r="AF3696">
        <f>IF(G3696&lt;EDATE(Assumptions!$C$6,-12)+1,"prior_12m","last_12m")</f>
        <v/>
      </c>
      <c r="AG3696" s="21">
        <f>DATE(YEAR(G3696),MONTH(G3696),1)</f>
        <v/>
      </c>
    </row>
    <row r="3697">
      <c r="A3697" t="inlineStr">
        <is>
          <t>SPO-01969-1</t>
        </is>
      </c>
      <c r="B3697" t="inlineStr">
        <is>
          <t>SPO-01969</t>
        </is>
      </c>
      <c r="C3697" t="inlineStr">
        <is>
          <t>SUP-05</t>
        </is>
      </c>
      <c r="D3697" t="inlineStr">
        <is>
          <t>FLEET</t>
        </is>
      </c>
      <c r="E3697" t="inlineStr">
        <is>
          <t>FLEET-03</t>
        </is>
      </c>
      <c r="F3697" s="17" t="n">
        <v>46120</v>
      </c>
      <c r="G3697" s="17" t="n">
        <v>46134</v>
      </c>
      <c r="H3697" s="18" t="n">
        <v>27</v>
      </c>
      <c r="I3697" s="19" t="n">
        <v>22.58</v>
      </c>
      <c r="J3697" s="19" t="n">
        <v>21</v>
      </c>
      <c r="K3697" s="20" t="n">
        <v>0</v>
      </c>
      <c r="L3697" s="20" t="n">
        <v>0</v>
      </c>
      <c r="M3697" s="18" t="n">
        <v>27</v>
      </c>
      <c r="N3697" s="18" t="n">
        <v>27</v>
      </c>
      <c r="O3697" s="18" t="n">
        <v>0</v>
      </c>
      <c r="P3697" s="17" t="n">
        <v>46132</v>
      </c>
      <c r="Q3697" s="17" t="n">
        <v>46132</v>
      </c>
      <c r="R3697" s="17" t="n">
        <v>46132</v>
      </c>
      <c r="S3697" s="19">
        <f>H3697*I3697</f>
        <v/>
      </c>
      <c r="T3697" s="19">
        <f>H3697*J3697</f>
        <v/>
      </c>
      <c r="U3697">
        <f>IF(AND(K3697=0,G3697&lt;=Assumptions!$C$6),1,0)</f>
        <v/>
      </c>
      <c r="V3697">
        <f>IF(U3697=1,IF(M3697&gt;0,IF(P3697&lt;=G3697+Assumptions!$C$7,1,0),0),0)</f>
        <v/>
      </c>
      <c r="W3697">
        <f>IF(AND(U3697=1,M3697&gt;=H3697*(1-Assumptions!$C$8)),1,0)</f>
        <v/>
      </c>
      <c r="X3697">
        <f>IF(AND(U3697=1,N3697&gt;=H3697*(1-Assumptions!$C$8)),1,0)</f>
        <v/>
      </c>
      <c r="Y3697">
        <f>IF(ISNUMBER(Q3697),1,0)</f>
        <v/>
      </c>
      <c r="Z3697">
        <f>IF(AND(K3697=0,L3697=0,Y3697=0),1,0)</f>
        <v/>
      </c>
      <c r="AA3697">
        <f>IF(AND(Z3697=1,G3697&lt;Assumptions!$C$6),1,0)</f>
        <v/>
      </c>
      <c r="AB3697">
        <f>IF(U3697=0,"",IF(Y3697=1,MAX(0,Q3697-G3697),IF(L3697=1,MAX(0,R3697-G3697),MAX(0,Assumptions!$C$6-G3697))))</f>
        <v/>
      </c>
      <c r="AC3697">
        <f>IF(Y3697=1,Q3697-F3697,"")</f>
        <v/>
      </c>
      <c r="AD3697">
        <f>IF(Y3697=1,AC3697^2,"")</f>
        <v/>
      </c>
      <c r="AE3697" s="19">
        <f>IF(Z3697=1,(H3697-M3697)*I3697,0)</f>
        <v/>
      </c>
      <c r="AF3697">
        <f>IF(G3697&lt;EDATE(Assumptions!$C$6,-12)+1,"prior_12m","last_12m")</f>
        <v/>
      </c>
      <c r="AG3697" s="21">
        <f>DATE(YEAR(G3697),MONTH(G3697),1)</f>
        <v/>
      </c>
    </row>
    <row r="3698">
      <c r="A3698" t="inlineStr">
        <is>
          <t>SPO-01970-1</t>
        </is>
      </c>
      <c r="B3698" t="inlineStr">
        <is>
          <t>SPO-01970</t>
        </is>
      </c>
      <c r="C3698" t="inlineStr">
        <is>
          <t>SUP-01</t>
        </is>
      </c>
      <c r="D3698" t="inlineStr">
        <is>
          <t>ELEC</t>
        </is>
      </c>
      <c r="E3698" t="inlineStr">
        <is>
          <t>ELEC-01</t>
        </is>
      </c>
      <c r="F3698" s="17" t="n">
        <v>46120</v>
      </c>
      <c r="G3698" s="17" t="n">
        <v>46138</v>
      </c>
      <c r="H3698" s="18" t="n">
        <v>43</v>
      </c>
      <c r="I3698" s="19" t="n">
        <v>37.67</v>
      </c>
      <c r="J3698" s="19" t="n">
        <v>38</v>
      </c>
      <c r="K3698" s="20" t="n">
        <v>0</v>
      </c>
      <c r="L3698" s="20" t="n">
        <v>0</v>
      </c>
      <c r="M3698" s="18" t="n">
        <v>43</v>
      </c>
      <c r="N3698" s="18" t="n">
        <v>0</v>
      </c>
      <c r="O3698" s="18" t="n">
        <v>0</v>
      </c>
      <c r="P3698" s="17" t="n">
        <v>46252</v>
      </c>
      <c r="Q3698" s="17" t="n">
        <v>46252</v>
      </c>
      <c r="R3698" s="17" t="n">
        <v>46252</v>
      </c>
      <c r="S3698" s="19">
        <f>H3698*I3698</f>
        <v/>
      </c>
      <c r="T3698" s="19">
        <f>H3698*J3698</f>
        <v/>
      </c>
      <c r="U3698">
        <f>IF(AND(K3698=0,G3698&lt;=Assumptions!$C$6),1,0)</f>
        <v/>
      </c>
      <c r="V3698">
        <f>IF(U3698=1,IF(M3698&gt;0,IF(P3698&lt;=G3698+Assumptions!$C$7,1,0),0),0)</f>
        <v/>
      </c>
      <c r="W3698">
        <f>IF(AND(U3698=1,M3698&gt;=H3698*(1-Assumptions!$C$8)),1,0)</f>
        <v/>
      </c>
      <c r="X3698">
        <f>IF(AND(U3698=1,N3698&gt;=H3698*(1-Assumptions!$C$8)),1,0)</f>
        <v/>
      </c>
      <c r="Y3698">
        <f>IF(ISNUMBER(Q3698),1,0)</f>
        <v/>
      </c>
      <c r="Z3698">
        <f>IF(AND(K3698=0,L3698=0,Y3698=0),1,0)</f>
        <v/>
      </c>
      <c r="AA3698">
        <f>IF(AND(Z3698=1,G3698&lt;Assumptions!$C$6),1,0)</f>
        <v/>
      </c>
      <c r="AB3698">
        <f>IF(U3698=0,"",IF(Y3698=1,MAX(0,Q3698-G3698),IF(L3698=1,MAX(0,R3698-G3698),MAX(0,Assumptions!$C$6-G3698))))</f>
        <v/>
      </c>
      <c r="AC3698">
        <f>IF(Y3698=1,Q3698-F3698,"")</f>
        <v/>
      </c>
      <c r="AD3698">
        <f>IF(Y3698=1,AC3698^2,"")</f>
        <v/>
      </c>
      <c r="AE3698" s="19">
        <f>IF(Z3698=1,(H3698-M3698)*I3698,0)</f>
        <v/>
      </c>
      <c r="AF3698">
        <f>IF(G3698&lt;EDATE(Assumptions!$C$6,-12)+1,"prior_12m","last_12m")</f>
        <v/>
      </c>
      <c r="AG3698" s="21">
        <f>DATE(YEAR(G3698),MONTH(G3698),1)</f>
        <v/>
      </c>
    </row>
    <row r="3699">
      <c r="A3699" t="inlineStr">
        <is>
          <t>SPO-01970-2</t>
        </is>
      </c>
      <c r="B3699" t="inlineStr">
        <is>
          <t>SPO-01970</t>
        </is>
      </c>
      <c r="C3699" t="inlineStr">
        <is>
          <t>SUP-01</t>
        </is>
      </c>
      <c r="D3699" t="inlineStr">
        <is>
          <t>ELEC</t>
        </is>
      </c>
      <c r="E3699" t="inlineStr">
        <is>
          <t>ELEC-03</t>
        </is>
      </c>
      <c r="F3699" s="17" t="n">
        <v>46120</v>
      </c>
      <c r="G3699" s="17" t="n">
        <v>46138</v>
      </c>
      <c r="H3699" s="18" t="n">
        <v>23</v>
      </c>
      <c r="I3699" s="19" t="n">
        <v>97.58</v>
      </c>
      <c r="J3699" s="19" t="n">
        <v>96</v>
      </c>
      <c r="K3699" s="20" t="n">
        <v>0</v>
      </c>
      <c r="L3699" s="20" t="n">
        <v>0</v>
      </c>
      <c r="M3699" s="18" t="n">
        <v>23</v>
      </c>
      <c r="N3699" s="18" t="n">
        <v>23</v>
      </c>
      <c r="O3699" s="18" t="n">
        <v>0</v>
      </c>
      <c r="P3699" s="17" t="n">
        <v>46124</v>
      </c>
      <c r="Q3699" s="17" t="n">
        <v>46124</v>
      </c>
      <c r="R3699" s="17" t="n">
        <v>46124</v>
      </c>
      <c r="S3699" s="19">
        <f>H3699*I3699</f>
        <v/>
      </c>
      <c r="T3699" s="19">
        <f>H3699*J3699</f>
        <v/>
      </c>
      <c r="U3699">
        <f>IF(AND(K3699=0,G3699&lt;=Assumptions!$C$6),1,0)</f>
        <v/>
      </c>
      <c r="V3699">
        <f>IF(U3699=1,IF(M3699&gt;0,IF(P3699&lt;=G3699+Assumptions!$C$7,1,0),0),0)</f>
        <v/>
      </c>
      <c r="W3699">
        <f>IF(AND(U3699=1,M3699&gt;=H3699*(1-Assumptions!$C$8)),1,0)</f>
        <v/>
      </c>
      <c r="X3699">
        <f>IF(AND(U3699=1,N3699&gt;=H3699*(1-Assumptions!$C$8)),1,0)</f>
        <v/>
      </c>
      <c r="Y3699">
        <f>IF(ISNUMBER(Q3699),1,0)</f>
        <v/>
      </c>
      <c r="Z3699">
        <f>IF(AND(K3699=0,L3699=0,Y3699=0),1,0)</f>
        <v/>
      </c>
      <c r="AA3699">
        <f>IF(AND(Z3699=1,G3699&lt;Assumptions!$C$6),1,0)</f>
        <v/>
      </c>
      <c r="AB3699">
        <f>IF(U3699=0,"",IF(Y3699=1,MAX(0,Q3699-G3699),IF(L3699=1,MAX(0,R3699-G3699),MAX(0,Assumptions!$C$6-G3699))))</f>
        <v/>
      </c>
      <c r="AC3699">
        <f>IF(Y3699=1,Q3699-F3699,"")</f>
        <v/>
      </c>
      <c r="AD3699">
        <f>IF(Y3699=1,AC3699^2,"")</f>
        <v/>
      </c>
      <c r="AE3699" s="19">
        <f>IF(Z3699=1,(H3699-M3699)*I3699,0)</f>
        <v/>
      </c>
      <c r="AF3699">
        <f>IF(G3699&lt;EDATE(Assumptions!$C$6,-12)+1,"prior_12m","last_12m")</f>
        <v/>
      </c>
      <c r="AG3699" s="21">
        <f>DATE(YEAR(G3699),MONTH(G3699),1)</f>
        <v/>
      </c>
    </row>
    <row r="3700">
      <c r="A3700" t="inlineStr">
        <is>
          <t>SPO-01970-3</t>
        </is>
      </c>
      <c r="B3700" t="inlineStr">
        <is>
          <t>SPO-01970</t>
        </is>
      </c>
      <c r="C3700" t="inlineStr">
        <is>
          <t>SUP-01</t>
        </is>
      </c>
      <c r="D3700" t="inlineStr">
        <is>
          <t>ELEC</t>
        </is>
      </c>
      <c r="E3700" t="inlineStr">
        <is>
          <t>ELEC-02</t>
        </is>
      </c>
      <c r="F3700" s="17" t="n">
        <v>46120</v>
      </c>
      <c r="G3700" s="17" t="n">
        <v>46138</v>
      </c>
      <c r="H3700" s="18" t="n">
        <v>1087</v>
      </c>
      <c r="I3700" s="19" t="n">
        <v>4.15</v>
      </c>
      <c r="J3700" s="19" t="n">
        <v>4.2</v>
      </c>
      <c r="K3700" s="20" t="n">
        <v>0</v>
      </c>
      <c r="L3700" s="20" t="n">
        <v>0</v>
      </c>
      <c r="M3700" s="18" t="n">
        <v>1087</v>
      </c>
      <c r="N3700" s="18" t="n">
        <v>1087</v>
      </c>
      <c r="O3700" s="18" t="n">
        <v>0</v>
      </c>
      <c r="P3700" s="17" t="n">
        <v>46130</v>
      </c>
      <c r="Q3700" s="17" t="n">
        <v>46130</v>
      </c>
      <c r="R3700" s="17" t="n">
        <v>46130</v>
      </c>
      <c r="S3700" s="19">
        <f>H3700*I3700</f>
        <v/>
      </c>
      <c r="T3700" s="19">
        <f>H3700*J3700</f>
        <v/>
      </c>
      <c r="U3700">
        <f>IF(AND(K3700=0,G3700&lt;=Assumptions!$C$6),1,0)</f>
        <v/>
      </c>
      <c r="V3700">
        <f>IF(U3700=1,IF(M3700&gt;0,IF(P3700&lt;=G3700+Assumptions!$C$7,1,0),0),0)</f>
        <v/>
      </c>
      <c r="W3700">
        <f>IF(AND(U3700=1,M3700&gt;=H3700*(1-Assumptions!$C$8)),1,0)</f>
        <v/>
      </c>
      <c r="X3700">
        <f>IF(AND(U3700=1,N3700&gt;=H3700*(1-Assumptions!$C$8)),1,0)</f>
        <v/>
      </c>
      <c r="Y3700">
        <f>IF(ISNUMBER(Q3700),1,0)</f>
        <v/>
      </c>
      <c r="Z3700">
        <f>IF(AND(K3700=0,L3700=0,Y3700=0),1,0)</f>
        <v/>
      </c>
      <c r="AA3700">
        <f>IF(AND(Z3700=1,G3700&lt;Assumptions!$C$6),1,0)</f>
        <v/>
      </c>
      <c r="AB3700">
        <f>IF(U3700=0,"",IF(Y3700=1,MAX(0,Q3700-G3700),IF(L3700=1,MAX(0,R3700-G3700),MAX(0,Assumptions!$C$6-G3700))))</f>
        <v/>
      </c>
      <c r="AC3700">
        <f>IF(Y3700=1,Q3700-F3700,"")</f>
        <v/>
      </c>
      <c r="AD3700">
        <f>IF(Y3700=1,AC3700^2,"")</f>
        <v/>
      </c>
      <c r="AE3700" s="19">
        <f>IF(Z3700=1,(H3700-M3700)*I3700,0)</f>
        <v/>
      </c>
      <c r="AF3700">
        <f>IF(G3700&lt;EDATE(Assumptions!$C$6,-12)+1,"prior_12m","last_12m")</f>
        <v/>
      </c>
      <c r="AG3700" s="21">
        <f>DATE(YEAR(G3700),MONTH(G3700),1)</f>
        <v/>
      </c>
    </row>
    <row r="3701">
      <c r="A3701" t="inlineStr">
        <is>
          <t>SPO-01971-1</t>
        </is>
      </c>
      <c r="B3701" t="inlineStr">
        <is>
          <t>SPO-01971</t>
        </is>
      </c>
      <c r="C3701" t="inlineStr">
        <is>
          <t>SUP-11</t>
        </is>
      </c>
      <c r="D3701" t="inlineStr">
        <is>
          <t>PPE</t>
        </is>
      </c>
      <c r="E3701" t="inlineStr">
        <is>
          <t>PPE-08</t>
        </is>
      </c>
      <c r="F3701" s="17" t="n">
        <v>46121</v>
      </c>
      <c r="G3701" s="17" t="n">
        <v>46133</v>
      </c>
      <c r="H3701" s="18" t="n">
        <v>14</v>
      </c>
      <c r="I3701" s="19" t="n">
        <v>62.47</v>
      </c>
      <c r="J3701" s="19" t="n">
        <v>64</v>
      </c>
      <c r="K3701" s="20" t="n">
        <v>0</v>
      </c>
      <c r="L3701" s="20" t="n">
        <v>0</v>
      </c>
      <c r="M3701" s="18" t="n">
        <v>14</v>
      </c>
      <c r="N3701" s="18" t="n">
        <v>14</v>
      </c>
      <c r="O3701" s="18" t="n">
        <v>0</v>
      </c>
      <c r="P3701" s="17" t="n">
        <v>46132</v>
      </c>
      <c r="Q3701" s="17" t="n">
        <v>46132</v>
      </c>
      <c r="R3701" s="17" t="n">
        <v>46132</v>
      </c>
      <c r="S3701" s="19">
        <f>H3701*I3701</f>
        <v/>
      </c>
      <c r="T3701" s="19">
        <f>H3701*J3701</f>
        <v/>
      </c>
      <c r="U3701">
        <f>IF(AND(K3701=0,G3701&lt;=Assumptions!$C$6),1,0)</f>
        <v/>
      </c>
      <c r="V3701">
        <f>IF(U3701=1,IF(M3701&gt;0,IF(P3701&lt;=G3701+Assumptions!$C$7,1,0),0),0)</f>
        <v/>
      </c>
      <c r="W3701">
        <f>IF(AND(U3701=1,M3701&gt;=H3701*(1-Assumptions!$C$8)),1,0)</f>
        <v/>
      </c>
      <c r="X3701">
        <f>IF(AND(U3701=1,N3701&gt;=H3701*(1-Assumptions!$C$8)),1,0)</f>
        <v/>
      </c>
      <c r="Y3701">
        <f>IF(ISNUMBER(Q3701),1,0)</f>
        <v/>
      </c>
      <c r="Z3701">
        <f>IF(AND(K3701=0,L3701=0,Y3701=0),1,0)</f>
        <v/>
      </c>
      <c r="AA3701">
        <f>IF(AND(Z3701=1,G3701&lt;Assumptions!$C$6),1,0)</f>
        <v/>
      </c>
      <c r="AB3701">
        <f>IF(U3701=0,"",IF(Y3701=1,MAX(0,Q3701-G3701),IF(L3701=1,MAX(0,R3701-G3701),MAX(0,Assumptions!$C$6-G3701))))</f>
        <v/>
      </c>
      <c r="AC3701">
        <f>IF(Y3701=1,Q3701-F3701,"")</f>
        <v/>
      </c>
      <c r="AD3701">
        <f>IF(Y3701=1,AC3701^2,"")</f>
        <v/>
      </c>
      <c r="AE3701" s="19">
        <f>IF(Z3701=1,(H3701-M3701)*I3701,0)</f>
        <v/>
      </c>
      <c r="AF3701">
        <f>IF(G3701&lt;EDATE(Assumptions!$C$6,-12)+1,"prior_12m","last_12m")</f>
        <v/>
      </c>
      <c r="AG3701" s="21">
        <f>DATE(YEAR(G3701),MONTH(G3701),1)</f>
        <v/>
      </c>
    </row>
    <row r="3702">
      <c r="A3702" t="inlineStr">
        <is>
          <t>SPO-01971-2</t>
        </is>
      </c>
      <c r="B3702" t="inlineStr">
        <is>
          <t>SPO-01971</t>
        </is>
      </c>
      <c r="C3702" t="inlineStr">
        <is>
          <t>SUP-11</t>
        </is>
      </c>
      <c r="D3702" t="inlineStr">
        <is>
          <t>PPE</t>
        </is>
      </c>
      <c r="E3702" t="inlineStr">
        <is>
          <t>PPE-06</t>
        </is>
      </c>
      <c r="F3702" s="17" t="n">
        <v>46121</v>
      </c>
      <c r="G3702" s="17" t="n">
        <v>46133</v>
      </c>
      <c r="H3702" s="18" t="n">
        <v>4</v>
      </c>
      <c r="I3702" s="19" t="n">
        <v>109.58</v>
      </c>
      <c r="J3702" s="19" t="n">
        <v>115</v>
      </c>
      <c r="K3702" s="20" t="n">
        <v>0</v>
      </c>
      <c r="L3702" s="20" t="n">
        <v>0</v>
      </c>
      <c r="M3702" s="18" t="n">
        <v>4</v>
      </c>
      <c r="N3702" s="18" t="n">
        <v>4</v>
      </c>
      <c r="O3702" s="18" t="n">
        <v>0</v>
      </c>
      <c r="P3702" s="17" t="n">
        <v>46131</v>
      </c>
      <c r="Q3702" s="17" t="n">
        <v>46131</v>
      </c>
      <c r="R3702" s="17" t="n">
        <v>46131</v>
      </c>
      <c r="S3702" s="19">
        <f>H3702*I3702</f>
        <v/>
      </c>
      <c r="T3702" s="19">
        <f>H3702*J3702</f>
        <v/>
      </c>
      <c r="U3702">
        <f>IF(AND(K3702=0,G3702&lt;=Assumptions!$C$6),1,0)</f>
        <v/>
      </c>
      <c r="V3702">
        <f>IF(U3702=1,IF(M3702&gt;0,IF(P3702&lt;=G3702+Assumptions!$C$7,1,0),0),0)</f>
        <v/>
      </c>
      <c r="W3702">
        <f>IF(AND(U3702=1,M3702&gt;=H3702*(1-Assumptions!$C$8)),1,0)</f>
        <v/>
      </c>
      <c r="X3702">
        <f>IF(AND(U3702=1,N3702&gt;=H3702*(1-Assumptions!$C$8)),1,0)</f>
        <v/>
      </c>
      <c r="Y3702">
        <f>IF(ISNUMBER(Q3702),1,0)</f>
        <v/>
      </c>
      <c r="Z3702">
        <f>IF(AND(K3702=0,L3702=0,Y3702=0),1,0)</f>
        <v/>
      </c>
      <c r="AA3702">
        <f>IF(AND(Z3702=1,G3702&lt;Assumptions!$C$6),1,0)</f>
        <v/>
      </c>
      <c r="AB3702">
        <f>IF(U3702=0,"",IF(Y3702=1,MAX(0,Q3702-G3702),IF(L3702=1,MAX(0,R3702-G3702),MAX(0,Assumptions!$C$6-G3702))))</f>
        <v/>
      </c>
      <c r="AC3702">
        <f>IF(Y3702=1,Q3702-F3702,"")</f>
        <v/>
      </c>
      <c r="AD3702">
        <f>IF(Y3702=1,AC3702^2,"")</f>
        <v/>
      </c>
      <c r="AE3702" s="19">
        <f>IF(Z3702=1,(H3702-M3702)*I3702,0)</f>
        <v/>
      </c>
      <c r="AF3702">
        <f>IF(G3702&lt;EDATE(Assumptions!$C$6,-12)+1,"prior_12m","last_12m")</f>
        <v/>
      </c>
      <c r="AG3702" s="21">
        <f>DATE(YEAR(G3702),MONTH(G3702),1)</f>
        <v/>
      </c>
    </row>
    <row r="3703">
      <c r="A3703" t="inlineStr">
        <is>
          <t>SPO-01972-1</t>
        </is>
      </c>
      <c r="B3703" t="inlineStr">
        <is>
          <t>SPO-01972</t>
        </is>
      </c>
      <c r="C3703" t="inlineStr">
        <is>
          <t>SUP-09</t>
        </is>
      </c>
      <c r="D3703" t="inlineStr">
        <is>
          <t>CHEM</t>
        </is>
      </c>
      <c r="E3703" t="inlineStr">
        <is>
          <t>CHEM-01</t>
        </is>
      </c>
      <c r="F3703" s="17" t="n">
        <v>46121</v>
      </c>
      <c r="G3703" s="17" t="n">
        <v>46135</v>
      </c>
      <c r="H3703" s="18" t="n">
        <v>2</v>
      </c>
      <c r="I3703" s="19" t="n">
        <v>659.6</v>
      </c>
      <c r="J3703" s="19" t="n">
        <v>640</v>
      </c>
      <c r="K3703" s="20" t="n">
        <v>0</v>
      </c>
      <c r="L3703" s="20" t="n">
        <v>0</v>
      </c>
      <c r="M3703" s="18" t="n">
        <v>2</v>
      </c>
      <c r="N3703" s="18" t="n">
        <v>2</v>
      </c>
      <c r="O3703" s="18" t="n">
        <v>0</v>
      </c>
      <c r="P3703" s="17" t="n">
        <v>46133</v>
      </c>
      <c r="Q3703" s="17" t="n">
        <v>46133</v>
      </c>
      <c r="R3703" s="17" t="n">
        <v>46133</v>
      </c>
      <c r="S3703" s="19">
        <f>H3703*I3703</f>
        <v/>
      </c>
      <c r="T3703" s="19">
        <f>H3703*J3703</f>
        <v/>
      </c>
      <c r="U3703">
        <f>IF(AND(K3703=0,G3703&lt;=Assumptions!$C$6),1,0)</f>
        <v/>
      </c>
      <c r="V3703">
        <f>IF(U3703=1,IF(M3703&gt;0,IF(P3703&lt;=G3703+Assumptions!$C$7,1,0),0),0)</f>
        <v/>
      </c>
      <c r="W3703">
        <f>IF(AND(U3703=1,M3703&gt;=H3703*(1-Assumptions!$C$8)),1,0)</f>
        <v/>
      </c>
      <c r="X3703">
        <f>IF(AND(U3703=1,N3703&gt;=H3703*(1-Assumptions!$C$8)),1,0)</f>
        <v/>
      </c>
      <c r="Y3703">
        <f>IF(ISNUMBER(Q3703),1,0)</f>
        <v/>
      </c>
      <c r="Z3703">
        <f>IF(AND(K3703=0,L3703=0,Y3703=0),1,0)</f>
        <v/>
      </c>
      <c r="AA3703">
        <f>IF(AND(Z3703=1,G3703&lt;Assumptions!$C$6),1,0)</f>
        <v/>
      </c>
      <c r="AB3703">
        <f>IF(U3703=0,"",IF(Y3703=1,MAX(0,Q3703-G3703),IF(L3703=1,MAX(0,R3703-G3703),MAX(0,Assumptions!$C$6-G3703))))</f>
        <v/>
      </c>
      <c r="AC3703">
        <f>IF(Y3703=1,Q3703-F3703,"")</f>
        <v/>
      </c>
      <c r="AD3703">
        <f>IF(Y3703=1,AC3703^2,"")</f>
        <v/>
      </c>
      <c r="AE3703" s="19">
        <f>IF(Z3703=1,(H3703-M3703)*I3703,0)</f>
        <v/>
      </c>
      <c r="AF3703">
        <f>IF(G3703&lt;EDATE(Assumptions!$C$6,-12)+1,"prior_12m","last_12m")</f>
        <v/>
      </c>
      <c r="AG3703" s="21">
        <f>DATE(YEAR(G3703),MONTH(G3703),1)</f>
        <v/>
      </c>
    </row>
    <row r="3704">
      <c r="A3704" t="inlineStr">
        <is>
          <t>SPO-01973-1</t>
        </is>
      </c>
      <c r="B3704" t="inlineStr">
        <is>
          <t>SPO-01973</t>
        </is>
      </c>
      <c r="C3704" t="inlineStr">
        <is>
          <t>SUP-02</t>
        </is>
      </c>
      <c r="D3704" t="inlineStr">
        <is>
          <t>ELEC</t>
        </is>
      </c>
      <c r="E3704" t="inlineStr">
        <is>
          <t>ELEC-05</t>
        </is>
      </c>
      <c r="F3704" s="17" t="n">
        <v>46121</v>
      </c>
      <c r="G3704" s="17" t="n">
        <v>46137</v>
      </c>
      <c r="H3704" s="18" t="n">
        <v>235</v>
      </c>
      <c r="I3704" s="19" t="n">
        <v>11.56</v>
      </c>
      <c r="J3704" s="19" t="n">
        <v>11.5</v>
      </c>
      <c r="K3704" s="20" t="n">
        <v>0</v>
      </c>
      <c r="L3704" s="20" t="n">
        <v>0</v>
      </c>
      <c r="M3704" s="18" t="n">
        <v>235</v>
      </c>
      <c r="N3704" s="18" t="n">
        <v>235</v>
      </c>
      <c r="O3704" s="18" t="n">
        <v>0</v>
      </c>
      <c r="P3704" s="17" t="n">
        <v>46131</v>
      </c>
      <c r="Q3704" s="17" t="n">
        <v>46131</v>
      </c>
      <c r="R3704" s="17" t="n">
        <v>46131</v>
      </c>
      <c r="S3704" s="19">
        <f>H3704*I3704</f>
        <v/>
      </c>
      <c r="T3704" s="19">
        <f>H3704*J3704</f>
        <v/>
      </c>
      <c r="U3704">
        <f>IF(AND(K3704=0,G3704&lt;=Assumptions!$C$6),1,0)</f>
        <v/>
      </c>
      <c r="V3704">
        <f>IF(U3704=1,IF(M3704&gt;0,IF(P3704&lt;=G3704+Assumptions!$C$7,1,0),0),0)</f>
        <v/>
      </c>
      <c r="W3704">
        <f>IF(AND(U3704=1,M3704&gt;=H3704*(1-Assumptions!$C$8)),1,0)</f>
        <v/>
      </c>
      <c r="X3704">
        <f>IF(AND(U3704=1,N3704&gt;=H3704*(1-Assumptions!$C$8)),1,0)</f>
        <v/>
      </c>
      <c r="Y3704">
        <f>IF(ISNUMBER(Q3704),1,0)</f>
        <v/>
      </c>
      <c r="Z3704">
        <f>IF(AND(K3704=0,L3704=0,Y3704=0),1,0)</f>
        <v/>
      </c>
      <c r="AA3704">
        <f>IF(AND(Z3704=1,G3704&lt;Assumptions!$C$6),1,0)</f>
        <v/>
      </c>
      <c r="AB3704">
        <f>IF(U3704=0,"",IF(Y3704=1,MAX(0,Q3704-G3704),IF(L3704=1,MAX(0,R3704-G3704),MAX(0,Assumptions!$C$6-G3704))))</f>
        <v/>
      </c>
      <c r="AC3704">
        <f>IF(Y3704=1,Q3704-F3704,"")</f>
        <v/>
      </c>
      <c r="AD3704">
        <f>IF(Y3704=1,AC3704^2,"")</f>
        <v/>
      </c>
      <c r="AE3704" s="19">
        <f>IF(Z3704=1,(H3704-M3704)*I3704,0)</f>
        <v/>
      </c>
      <c r="AF3704">
        <f>IF(G3704&lt;EDATE(Assumptions!$C$6,-12)+1,"prior_12m","last_12m")</f>
        <v/>
      </c>
      <c r="AG3704" s="21">
        <f>DATE(YEAR(G3704),MONTH(G3704),1)</f>
        <v/>
      </c>
    </row>
    <row r="3705">
      <c r="A3705" t="inlineStr">
        <is>
          <t>SPO-01974-1</t>
        </is>
      </c>
      <c r="B3705" t="inlineStr">
        <is>
          <t>SPO-01974</t>
        </is>
      </c>
      <c r="C3705" t="inlineStr">
        <is>
          <t>SUP-08</t>
        </is>
      </c>
      <c r="D3705" t="inlineStr">
        <is>
          <t>PPE</t>
        </is>
      </c>
      <c r="E3705" t="inlineStr">
        <is>
          <t>PPE-04</t>
        </is>
      </c>
      <c r="F3705" s="17" t="n">
        <v>46121</v>
      </c>
      <c r="G3705" s="17" t="n">
        <v>46132</v>
      </c>
      <c r="H3705" s="18" t="n">
        <v>65</v>
      </c>
      <c r="I3705" s="19" t="n">
        <v>25.37</v>
      </c>
      <c r="J3705" s="19" t="n">
        <v>26</v>
      </c>
      <c r="K3705" s="20" t="n">
        <v>0</v>
      </c>
      <c r="L3705" s="20" t="n">
        <v>0</v>
      </c>
      <c r="M3705" s="18" t="n">
        <v>65</v>
      </c>
      <c r="N3705" s="18" t="n">
        <v>65</v>
      </c>
      <c r="O3705" s="18" t="n">
        <v>0</v>
      </c>
      <c r="P3705" s="17" t="n">
        <v>46131</v>
      </c>
      <c r="Q3705" s="17" t="n">
        <v>46131</v>
      </c>
      <c r="R3705" s="17" t="n">
        <v>46131</v>
      </c>
      <c r="S3705" s="19">
        <f>H3705*I3705</f>
        <v/>
      </c>
      <c r="T3705" s="19">
        <f>H3705*J3705</f>
        <v/>
      </c>
      <c r="U3705">
        <f>IF(AND(K3705=0,G3705&lt;=Assumptions!$C$6),1,0)</f>
        <v/>
      </c>
      <c r="V3705">
        <f>IF(U3705=1,IF(M3705&gt;0,IF(P3705&lt;=G3705+Assumptions!$C$7,1,0),0),0)</f>
        <v/>
      </c>
      <c r="W3705">
        <f>IF(AND(U3705=1,M3705&gt;=H3705*(1-Assumptions!$C$8)),1,0)</f>
        <v/>
      </c>
      <c r="X3705">
        <f>IF(AND(U3705=1,N3705&gt;=H3705*(1-Assumptions!$C$8)),1,0)</f>
        <v/>
      </c>
      <c r="Y3705">
        <f>IF(ISNUMBER(Q3705),1,0)</f>
        <v/>
      </c>
      <c r="Z3705">
        <f>IF(AND(K3705=0,L3705=0,Y3705=0),1,0)</f>
        <v/>
      </c>
      <c r="AA3705">
        <f>IF(AND(Z3705=1,G3705&lt;Assumptions!$C$6),1,0)</f>
        <v/>
      </c>
      <c r="AB3705">
        <f>IF(U3705=0,"",IF(Y3705=1,MAX(0,Q3705-G3705),IF(L3705=1,MAX(0,R3705-G3705),MAX(0,Assumptions!$C$6-G3705))))</f>
        <v/>
      </c>
      <c r="AC3705">
        <f>IF(Y3705=1,Q3705-F3705,"")</f>
        <v/>
      </c>
      <c r="AD3705">
        <f>IF(Y3705=1,AC3705^2,"")</f>
        <v/>
      </c>
      <c r="AE3705" s="19">
        <f>IF(Z3705=1,(H3705-M3705)*I3705,0)</f>
        <v/>
      </c>
      <c r="AF3705">
        <f>IF(G3705&lt;EDATE(Assumptions!$C$6,-12)+1,"prior_12m","last_12m")</f>
        <v/>
      </c>
      <c r="AG3705" s="21">
        <f>DATE(YEAR(G3705),MONTH(G3705),1)</f>
        <v/>
      </c>
    </row>
    <row r="3706">
      <c r="A3706" t="inlineStr">
        <is>
          <t>SPO-01974-2</t>
        </is>
      </c>
      <c r="B3706" t="inlineStr">
        <is>
          <t>SPO-01974</t>
        </is>
      </c>
      <c r="C3706" t="inlineStr">
        <is>
          <t>SUP-08</t>
        </is>
      </c>
      <c r="D3706" t="inlineStr">
        <is>
          <t>PPE</t>
        </is>
      </c>
      <c r="E3706" t="inlineStr">
        <is>
          <t>PPE-02</t>
        </is>
      </c>
      <c r="F3706" s="17" t="n">
        <v>46121</v>
      </c>
      <c r="G3706" s="17" t="n">
        <v>46132</v>
      </c>
      <c r="H3706" s="18" t="n">
        <v>240</v>
      </c>
      <c r="I3706" s="19" t="n">
        <v>12.93</v>
      </c>
      <c r="J3706" s="19" t="n">
        <v>12.5</v>
      </c>
      <c r="K3706" s="20" t="n">
        <v>0</v>
      </c>
      <c r="L3706" s="20" t="n">
        <v>0</v>
      </c>
      <c r="M3706" s="18" t="n">
        <v>240</v>
      </c>
      <c r="N3706" s="18" t="n">
        <v>240</v>
      </c>
      <c r="O3706" s="18" t="n">
        <v>0</v>
      </c>
      <c r="P3706" s="17" t="n">
        <v>46129</v>
      </c>
      <c r="Q3706" s="17" t="n">
        <v>46129</v>
      </c>
      <c r="R3706" s="17" t="n">
        <v>46129</v>
      </c>
      <c r="S3706" s="19">
        <f>H3706*I3706</f>
        <v/>
      </c>
      <c r="T3706" s="19">
        <f>H3706*J3706</f>
        <v/>
      </c>
      <c r="U3706">
        <f>IF(AND(K3706=0,G3706&lt;=Assumptions!$C$6),1,0)</f>
        <v/>
      </c>
      <c r="V3706">
        <f>IF(U3706=1,IF(M3706&gt;0,IF(P3706&lt;=G3706+Assumptions!$C$7,1,0),0),0)</f>
        <v/>
      </c>
      <c r="W3706">
        <f>IF(AND(U3706=1,M3706&gt;=H3706*(1-Assumptions!$C$8)),1,0)</f>
        <v/>
      </c>
      <c r="X3706">
        <f>IF(AND(U3706=1,N3706&gt;=H3706*(1-Assumptions!$C$8)),1,0)</f>
        <v/>
      </c>
      <c r="Y3706">
        <f>IF(ISNUMBER(Q3706),1,0)</f>
        <v/>
      </c>
      <c r="Z3706">
        <f>IF(AND(K3706=0,L3706=0,Y3706=0),1,0)</f>
        <v/>
      </c>
      <c r="AA3706">
        <f>IF(AND(Z3706=1,G3706&lt;Assumptions!$C$6),1,0)</f>
        <v/>
      </c>
      <c r="AB3706">
        <f>IF(U3706=0,"",IF(Y3706=1,MAX(0,Q3706-G3706),IF(L3706=1,MAX(0,R3706-G3706),MAX(0,Assumptions!$C$6-G3706))))</f>
        <v/>
      </c>
      <c r="AC3706">
        <f>IF(Y3706=1,Q3706-F3706,"")</f>
        <v/>
      </c>
      <c r="AD3706">
        <f>IF(Y3706=1,AC3706^2,"")</f>
        <v/>
      </c>
      <c r="AE3706" s="19">
        <f>IF(Z3706=1,(H3706-M3706)*I3706,0)</f>
        <v/>
      </c>
      <c r="AF3706">
        <f>IF(G3706&lt;EDATE(Assumptions!$C$6,-12)+1,"prior_12m","last_12m")</f>
        <v/>
      </c>
      <c r="AG3706" s="21">
        <f>DATE(YEAR(G3706),MONTH(G3706),1)</f>
        <v/>
      </c>
    </row>
    <row r="3707">
      <c r="A3707" t="inlineStr">
        <is>
          <t>SPO-01974-3</t>
        </is>
      </c>
      <c r="B3707" t="inlineStr">
        <is>
          <t>SPO-01974</t>
        </is>
      </c>
      <c r="C3707" t="inlineStr">
        <is>
          <t>SUP-08</t>
        </is>
      </c>
      <c r="D3707" t="inlineStr">
        <is>
          <t>PPE</t>
        </is>
      </c>
      <c r="E3707" t="inlineStr">
        <is>
          <t>PPE-01</t>
        </is>
      </c>
      <c r="F3707" s="17" t="n">
        <v>46121</v>
      </c>
      <c r="G3707" s="17" t="n">
        <v>46132</v>
      </c>
      <c r="H3707" s="18" t="n">
        <v>275</v>
      </c>
      <c r="I3707" s="19" t="n">
        <v>4.96</v>
      </c>
      <c r="J3707" s="19" t="n">
        <v>4.8</v>
      </c>
      <c r="K3707" s="20" t="n">
        <v>0</v>
      </c>
      <c r="L3707" s="20" t="n">
        <v>0</v>
      </c>
      <c r="M3707" s="18" t="n">
        <v>275</v>
      </c>
      <c r="N3707" s="18" t="n">
        <v>275</v>
      </c>
      <c r="O3707" s="18" t="n">
        <v>0</v>
      </c>
      <c r="P3707" s="17" t="n">
        <v>46130</v>
      </c>
      <c r="Q3707" s="17" t="n">
        <v>46130</v>
      </c>
      <c r="R3707" s="17" t="n">
        <v>46130</v>
      </c>
      <c r="S3707" s="19">
        <f>H3707*I3707</f>
        <v/>
      </c>
      <c r="T3707" s="19">
        <f>H3707*J3707</f>
        <v/>
      </c>
      <c r="U3707">
        <f>IF(AND(K3707=0,G3707&lt;=Assumptions!$C$6),1,0)</f>
        <v/>
      </c>
      <c r="V3707">
        <f>IF(U3707=1,IF(M3707&gt;0,IF(P3707&lt;=G3707+Assumptions!$C$7,1,0),0),0)</f>
        <v/>
      </c>
      <c r="W3707">
        <f>IF(AND(U3707=1,M3707&gt;=H3707*(1-Assumptions!$C$8)),1,0)</f>
        <v/>
      </c>
      <c r="X3707">
        <f>IF(AND(U3707=1,N3707&gt;=H3707*(1-Assumptions!$C$8)),1,0)</f>
        <v/>
      </c>
      <c r="Y3707">
        <f>IF(ISNUMBER(Q3707),1,0)</f>
        <v/>
      </c>
      <c r="Z3707">
        <f>IF(AND(K3707=0,L3707=0,Y3707=0),1,0)</f>
        <v/>
      </c>
      <c r="AA3707">
        <f>IF(AND(Z3707=1,G3707&lt;Assumptions!$C$6),1,0)</f>
        <v/>
      </c>
      <c r="AB3707">
        <f>IF(U3707=0,"",IF(Y3707=1,MAX(0,Q3707-G3707),IF(L3707=1,MAX(0,R3707-G3707),MAX(0,Assumptions!$C$6-G3707))))</f>
        <v/>
      </c>
      <c r="AC3707">
        <f>IF(Y3707=1,Q3707-F3707,"")</f>
        <v/>
      </c>
      <c r="AD3707">
        <f>IF(Y3707=1,AC3707^2,"")</f>
        <v/>
      </c>
      <c r="AE3707" s="19">
        <f>IF(Z3707=1,(H3707-M3707)*I3707,0)</f>
        <v/>
      </c>
      <c r="AF3707">
        <f>IF(G3707&lt;EDATE(Assumptions!$C$6,-12)+1,"prior_12m","last_12m")</f>
        <v/>
      </c>
      <c r="AG3707" s="21">
        <f>DATE(YEAR(G3707),MONTH(G3707),1)</f>
        <v/>
      </c>
    </row>
    <row r="3708">
      <c r="A3708" t="inlineStr">
        <is>
          <t>SPO-01974-4</t>
        </is>
      </c>
      <c r="B3708" t="inlineStr">
        <is>
          <t>SPO-01974</t>
        </is>
      </c>
      <c r="C3708" t="inlineStr">
        <is>
          <t>SUP-08</t>
        </is>
      </c>
      <c r="D3708" t="inlineStr">
        <is>
          <t>PPE</t>
        </is>
      </c>
      <c r="E3708" t="inlineStr">
        <is>
          <t>PPE-05</t>
        </is>
      </c>
      <c r="F3708" s="17" t="n">
        <v>46121</v>
      </c>
      <c r="G3708" s="17" t="n">
        <v>46132</v>
      </c>
      <c r="H3708" s="18" t="n">
        <v>44</v>
      </c>
      <c r="I3708" s="19" t="n">
        <v>10.73</v>
      </c>
      <c r="J3708" s="19" t="n">
        <v>11</v>
      </c>
      <c r="K3708" s="20" t="n">
        <v>0</v>
      </c>
      <c r="L3708" s="20" t="n">
        <v>0</v>
      </c>
      <c r="M3708" s="18" t="n">
        <v>44</v>
      </c>
      <c r="N3708" s="18" t="n">
        <v>44</v>
      </c>
      <c r="O3708" s="18" t="n">
        <v>0</v>
      </c>
      <c r="P3708" s="17" t="n">
        <v>46128</v>
      </c>
      <c r="Q3708" s="17" t="n">
        <v>46128</v>
      </c>
      <c r="R3708" s="17" t="n">
        <v>46128</v>
      </c>
      <c r="S3708" s="19">
        <f>H3708*I3708</f>
        <v/>
      </c>
      <c r="T3708" s="19">
        <f>H3708*J3708</f>
        <v/>
      </c>
      <c r="U3708">
        <f>IF(AND(K3708=0,G3708&lt;=Assumptions!$C$6),1,0)</f>
        <v/>
      </c>
      <c r="V3708">
        <f>IF(U3708=1,IF(M3708&gt;0,IF(P3708&lt;=G3708+Assumptions!$C$7,1,0),0),0)</f>
        <v/>
      </c>
      <c r="W3708">
        <f>IF(AND(U3708=1,M3708&gt;=H3708*(1-Assumptions!$C$8)),1,0)</f>
        <v/>
      </c>
      <c r="X3708">
        <f>IF(AND(U3708=1,N3708&gt;=H3708*(1-Assumptions!$C$8)),1,0)</f>
        <v/>
      </c>
      <c r="Y3708">
        <f>IF(ISNUMBER(Q3708),1,0)</f>
        <v/>
      </c>
      <c r="Z3708">
        <f>IF(AND(K3708=0,L3708=0,Y3708=0),1,0)</f>
        <v/>
      </c>
      <c r="AA3708">
        <f>IF(AND(Z3708=1,G3708&lt;Assumptions!$C$6),1,0)</f>
        <v/>
      </c>
      <c r="AB3708">
        <f>IF(U3708=0,"",IF(Y3708=1,MAX(0,Q3708-G3708),IF(L3708=1,MAX(0,R3708-G3708),MAX(0,Assumptions!$C$6-G3708))))</f>
        <v/>
      </c>
      <c r="AC3708">
        <f>IF(Y3708=1,Q3708-F3708,"")</f>
        <v/>
      </c>
      <c r="AD3708">
        <f>IF(Y3708=1,AC3708^2,"")</f>
        <v/>
      </c>
      <c r="AE3708" s="19">
        <f>IF(Z3708=1,(H3708-M3708)*I3708,0)</f>
        <v/>
      </c>
      <c r="AF3708">
        <f>IF(G3708&lt;EDATE(Assumptions!$C$6,-12)+1,"prior_12m","last_12m")</f>
        <v/>
      </c>
      <c r="AG3708" s="21">
        <f>DATE(YEAR(G3708),MONTH(G3708),1)</f>
        <v/>
      </c>
    </row>
    <row r="3709">
      <c r="A3709" t="inlineStr">
        <is>
          <t>SPO-01975-1</t>
        </is>
      </c>
      <c r="B3709" t="inlineStr">
        <is>
          <t>SPO-01975</t>
        </is>
      </c>
      <c r="C3709" t="inlineStr">
        <is>
          <t>SUP-06</t>
        </is>
      </c>
      <c r="D3709" t="inlineStr">
        <is>
          <t>MRO</t>
        </is>
      </c>
      <c r="E3709" t="inlineStr">
        <is>
          <t>MRO-04</t>
        </is>
      </c>
      <c r="F3709" s="17" t="n">
        <v>46121</v>
      </c>
      <c r="G3709" s="17" t="n">
        <v>46129</v>
      </c>
      <c r="H3709" s="18" t="n">
        <v>34</v>
      </c>
      <c r="I3709" s="19" t="n">
        <v>57.59</v>
      </c>
      <c r="J3709" s="19" t="n">
        <v>58</v>
      </c>
      <c r="K3709" s="20" t="n">
        <v>0</v>
      </c>
      <c r="L3709" s="20" t="n">
        <v>0</v>
      </c>
      <c r="M3709" s="18" t="n">
        <v>34</v>
      </c>
      <c r="N3709" s="18" t="n">
        <v>34</v>
      </c>
      <c r="O3709" s="18" t="n">
        <v>0</v>
      </c>
      <c r="P3709" s="17" t="n">
        <v>46126</v>
      </c>
      <c r="Q3709" s="17" t="n">
        <v>46126</v>
      </c>
      <c r="R3709" s="17" t="n">
        <v>46126</v>
      </c>
      <c r="S3709" s="19">
        <f>H3709*I3709</f>
        <v/>
      </c>
      <c r="T3709" s="19">
        <f>H3709*J3709</f>
        <v/>
      </c>
      <c r="U3709">
        <f>IF(AND(K3709=0,G3709&lt;=Assumptions!$C$6),1,0)</f>
        <v/>
      </c>
      <c r="V3709">
        <f>IF(U3709=1,IF(M3709&gt;0,IF(P3709&lt;=G3709+Assumptions!$C$7,1,0),0),0)</f>
        <v/>
      </c>
      <c r="W3709">
        <f>IF(AND(U3709=1,M3709&gt;=H3709*(1-Assumptions!$C$8)),1,0)</f>
        <v/>
      </c>
      <c r="X3709">
        <f>IF(AND(U3709=1,N3709&gt;=H3709*(1-Assumptions!$C$8)),1,0)</f>
        <v/>
      </c>
      <c r="Y3709">
        <f>IF(ISNUMBER(Q3709),1,0)</f>
        <v/>
      </c>
      <c r="Z3709">
        <f>IF(AND(K3709=0,L3709=0,Y3709=0),1,0)</f>
        <v/>
      </c>
      <c r="AA3709">
        <f>IF(AND(Z3709=1,G3709&lt;Assumptions!$C$6),1,0)</f>
        <v/>
      </c>
      <c r="AB3709">
        <f>IF(U3709=0,"",IF(Y3709=1,MAX(0,Q3709-G3709),IF(L3709=1,MAX(0,R3709-G3709),MAX(0,Assumptions!$C$6-G3709))))</f>
        <v/>
      </c>
      <c r="AC3709">
        <f>IF(Y3709=1,Q3709-F3709,"")</f>
        <v/>
      </c>
      <c r="AD3709">
        <f>IF(Y3709=1,AC3709^2,"")</f>
        <v/>
      </c>
      <c r="AE3709" s="19">
        <f>IF(Z3709=1,(H3709-M3709)*I3709,0)</f>
        <v/>
      </c>
      <c r="AF3709">
        <f>IF(G3709&lt;EDATE(Assumptions!$C$6,-12)+1,"prior_12m","last_12m")</f>
        <v/>
      </c>
      <c r="AG3709" s="21">
        <f>DATE(YEAR(G3709),MONTH(G3709),1)</f>
        <v/>
      </c>
    </row>
    <row r="3710">
      <c r="A3710" t="inlineStr">
        <is>
          <t>SPO-01976-1</t>
        </is>
      </c>
      <c r="B3710" t="inlineStr">
        <is>
          <t>SPO-01976</t>
        </is>
      </c>
      <c r="C3710" t="inlineStr">
        <is>
          <t>SUP-12</t>
        </is>
      </c>
      <c r="D3710" t="inlineStr">
        <is>
          <t>IT</t>
        </is>
      </c>
      <c r="E3710" t="inlineStr">
        <is>
          <t>IT-02</t>
        </is>
      </c>
      <c r="F3710" s="17" t="n">
        <v>46121</v>
      </c>
      <c r="G3710" s="17" t="n">
        <v>46131</v>
      </c>
      <c r="H3710" s="18" t="n">
        <v>16</v>
      </c>
      <c r="I3710" s="19" t="n">
        <v>187.24</v>
      </c>
      <c r="J3710" s="19" t="n">
        <v>162</v>
      </c>
      <c r="K3710" s="20" t="n">
        <v>0</v>
      </c>
      <c r="L3710" s="20" t="n">
        <v>0</v>
      </c>
      <c r="M3710" s="18" t="n">
        <v>16</v>
      </c>
      <c r="N3710" s="18" t="n">
        <v>16</v>
      </c>
      <c r="O3710" s="18" t="n">
        <v>0</v>
      </c>
      <c r="P3710" s="17" t="n">
        <v>46126</v>
      </c>
      <c r="Q3710" s="17" t="n">
        <v>46126</v>
      </c>
      <c r="R3710" s="17" t="n">
        <v>46126</v>
      </c>
      <c r="S3710" s="19">
        <f>H3710*I3710</f>
        <v/>
      </c>
      <c r="T3710" s="19">
        <f>H3710*J3710</f>
        <v/>
      </c>
      <c r="U3710">
        <f>IF(AND(K3710=0,G3710&lt;=Assumptions!$C$6),1,0)</f>
        <v/>
      </c>
      <c r="V3710">
        <f>IF(U3710=1,IF(M3710&gt;0,IF(P3710&lt;=G3710+Assumptions!$C$7,1,0),0),0)</f>
        <v/>
      </c>
      <c r="W3710">
        <f>IF(AND(U3710=1,M3710&gt;=H3710*(1-Assumptions!$C$8)),1,0)</f>
        <v/>
      </c>
      <c r="X3710">
        <f>IF(AND(U3710=1,N3710&gt;=H3710*(1-Assumptions!$C$8)),1,0)</f>
        <v/>
      </c>
      <c r="Y3710">
        <f>IF(ISNUMBER(Q3710),1,0)</f>
        <v/>
      </c>
      <c r="Z3710">
        <f>IF(AND(K3710=0,L3710=0,Y3710=0),1,0)</f>
        <v/>
      </c>
      <c r="AA3710">
        <f>IF(AND(Z3710=1,G3710&lt;Assumptions!$C$6),1,0)</f>
        <v/>
      </c>
      <c r="AB3710">
        <f>IF(U3710=0,"",IF(Y3710=1,MAX(0,Q3710-G3710),IF(L3710=1,MAX(0,R3710-G3710),MAX(0,Assumptions!$C$6-G3710))))</f>
        <v/>
      </c>
      <c r="AC3710">
        <f>IF(Y3710=1,Q3710-F3710,"")</f>
        <v/>
      </c>
      <c r="AD3710">
        <f>IF(Y3710=1,AC3710^2,"")</f>
        <v/>
      </c>
      <c r="AE3710" s="19">
        <f>IF(Z3710=1,(H3710-M3710)*I3710,0)</f>
        <v/>
      </c>
      <c r="AF3710">
        <f>IF(G3710&lt;EDATE(Assumptions!$C$6,-12)+1,"prior_12m","last_12m")</f>
        <v/>
      </c>
      <c r="AG3710" s="21">
        <f>DATE(YEAR(G3710),MONTH(G3710),1)</f>
        <v/>
      </c>
    </row>
    <row r="3711">
      <c r="A3711" t="inlineStr">
        <is>
          <t>SPO-01977-1</t>
        </is>
      </c>
      <c r="B3711" t="inlineStr">
        <is>
          <t>SPO-01977</t>
        </is>
      </c>
      <c r="C3711" t="inlineStr">
        <is>
          <t>SUP-01</t>
        </is>
      </c>
      <c r="D3711" t="inlineStr">
        <is>
          <t>ELEC</t>
        </is>
      </c>
      <c r="E3711" t="inlineStr">
        <is>
          <t>ELEC-01</t>
        </is>
      </c>
      <c r="F3711" s="17" t="n">
        <v>46121</v>
      </c>
      <c r="G3711" s="17" t="n">
        <v>46139</v>
      </c>
      <c r="H3711" s="18" t="n">
        <v>45</v>
      </c>
      <c r="I3711" s="19" t="n">
        <v>37.92</v>
      </c>
      <c r="J3711" s="19" t="n">
        <v>38</v>
      </c>
      <c r="K3711" s="20" t="n">
        <v>0</v>
      </c>
      <c r="L3711" s="20" t="n">
        <v>0</v>
      </c>
      <c r="M3711" s="18" t="n">
        <v>45</v>
      </c>
      <c r="N3711" s="18" t="n">
        <v>45</v>
      </c>
      <c r="O3711" s="18" t="n">
        <v>0</v>
      </c>
      <c r="P3711" s="17" t="n">
        <v>46139</v>
      </c>
      <c r="Q3711" s="17" t="n">
        <v>46139</v>
      </c>
      <c r="R3711" s="17" t="n">
        <v>46139</v>
      </c>
      <c r="S3711" s="19">
        <f>H3711*I3711</f>
        <v/>
      </c>
      <c r="T3711" s="19">
        <f>H3711*J3711</f>
        <v/>
      </c>
      <c r="U3711">
        <f>IF(AND(K3711=0,G3711&lt;=Assumptions!$C$6),1,0)</f>
        <v/>
      </c>
      <c r="V3711">
        <f>IF(U3711=1,IF(M3711&gt;0,IF(P3711&lt;=G3711+Assumptions!$C$7,1,0),0),0)</f>
        <v/>
      </c>
      <c r="W3711">
        <f>IF(AND(U3711=1,M3711&gt;=H3711*(1-Assumptions!$C$8)),1,0)</f>
        <v/>
      </c>
      <c r="X3711">
        <f>IF(AND(U3711=1,N3711&gt;=H3711*(1-Assumptions!$C$8)),1,0)</f>
        <v/>
      </c>
      <c r="Y3711">
        <f>IF(ISNUMBER(Q3711),1,0)</f>
        <v/>
      </c>
      <c r="Z3711">
        <f>IF(AND(K3711=0,L3711=0,Y3711=0),1,0)</f>
        <v/>
      </c>
      <c r="AA3711">
        <f>IF(AND(Z3711=1,G3711&lt;Assumptions!$C$6),1,0)</f>
        <v/>
      </c>
      <c r="AB3711">
        <f>IF(U3711=0,"",IF(Y3711=1,MAX(0,Q3711-G3711),IF(L3711=1,MAX(0,R3711-G3711),MAX(0,Assumptions!$C$6-G3711))))</f>
        <v/>
      </c>
      <c r="AC3711">
        <f>IF(Y3711=1,Q3711-F3711,"")</f>
        <v/>
      </c>
      <c r="AD3711">
        <f>IF(Y3711=1,AC3711^2,"")</f>
        <v/>
      </c>
      <c r="AE3711" s="19">
        <f>IF(Z3711=1,(H3711-M3711)*I3711,0)</f>
        <v/>
      </c>
      <c r="AF3711">
        <f>IF(G3711&lt;EDATE(Assumptions!$C$6,-12)+1,"prior_12m","last_12m")</f>
        <v/>
      </c>
      <c r="AG3711" s="21">
        <f>DATE(YEAR(G3711),MONTH(G3711),1)</f>
        <v/>
      </c>
    </row>
    <row r="3712">
      <c r="A3712" t="inlineStr">
        <is>
          <t>SPO-01977-2</t>
        </is>
      </c>
      <c r="B3712" t="inlineStr">
        <is>
          <t>SPO-01977</t>
        </is>
      </c>
      <c r="C3712" t="inlineStr">
        <is>
          <t>SUP-01</t>
        </is>
      </c>
      <c r="D3712" t="inlineStr">
        <is>
          <t>ELEC</t>
        </is>
      </c>
      <c r="E3712" t="inlineStr">
        <is>
          <t>ELEC-02</t>
        </is>
      </c>
      <c r="F3712" s="17" t="n">
        <v>46121</v>
      </c>
      <c r="G3712" s="17" t="n">
        <v>46139</v>
      </c>
      <c r="H3712" s="18" t="n">
        <v>726</v>
      </c>
      <c r="I3712" s="19" t="n">
        <v>4.37</v>
      </c>
      <c r="J3712" s="19" t="n">
        <v>4.2</v>
      </c>
      <c r="K3712" s="20" t="n">
        <v>0</v>
      </c>
      <c r="L3712" s="20" t="n">
        <v>0</v>
      </c>
      <c r="M3712" s="18" t="n">
        <v>726</v>
      </c>
      <c r="N3712" s="18" t="n">
        <v>726</v>
      </c>
      <c r="O3712" s="18" t="n">
        <v>0</v>
      </c>
      <c r="P3712" s="17" t="n">
        <v>46134</v>
      </c>
      <c r="Q3712" s="17" t="n">
        <v>46134</v>
      </c>
      <c r="R3712" s="17" t="n">
        <v>46134</v>
      </c>
      <c r="S3712" s="19">
        <f>H3712*I3712</f>
        <v/>
      </c>
      <c r="T3712" s="19">
        <f>H3712*J3712</f>
        <v/>
      </c>
      <c r="U3712">
        <f>IF(AND(K3712=0,G3712&lt;=Assumptions!$C$6),1,0)</f>
        <v/>
      </c>
      <c r="V3712">
        <f>IF(U3712=1,IF(M3712&gt;0,IF(P3712&lt;=G3712+Assumptions!$C$7,1,0),0),0)</f>
        <v/>
      </c>
      <c r="W3712">
        <f>IF(AND(U3712=1,M3712&gt;=H3712*(1-Assumptions!$C$8)),1,0)</f>
        <v/>
      </c>
      <c r="X3712">
        <f>IF(AND(U3712=1,N3712&gt;=H3712*(1-Assumptions!$C$8)),1,0)</f>
        <v/>
      </c>
      <c r="Y3712">
        <f>IF(ISNUMBER(Q3712),1,0)</f>
        <v/>
      </c>
      <c r="Z3712">
        <f>IF(AND(K3712=0,L3712=0,Y3712=0),1,0)</f>
        <v/>
      </c>
      <c r="AA3712">
        <f>IF(AND(Z3712=1,G3712&lt;Assumptions!$C$6),1,0)</f>
        <v/>
      </c>
      <c r="AB3712">
        <f>IF(U3712=0,"",IF(Y3712=1,MAX(0,Q3712-G3712),IF(L3712=1,MAX(0,R3712-G3712),MAX(0,Assumptions!$C$6-G3712))))</f>
        <v/>
      </c>
      <c r="AC3712">
        <f>IF(Y3712=1,Q3712-F3712,"")</f>
        <v/>
      </c>
      <c r="AD3712">
        <f>IF(Y3712=1,AC3712^2,"")</f>
        <v/>
      </c>
      <c r="AE3712" s="19">
        <f>IF(Z3712=1,(H3712-M3712)*I3712,0)</f>
        <v/>
      </c>
      <c r="AF3712">
        <f>IF(G3712&lt;EDATE(Assumptions!$C$6,-12)+1,"prior_12m","last_12m")</f>
        <v/>
      </c>
      <c r="AG3712" s="21">
        <f>DATE(YEAR(G3712),MONTH(G3712),1)</f>
        <v/>
      </c>
    </row>
    <row r="3713">
      <c r="A3713" t="inlineStr">
        <is>
          <t>SPO-01978-1</t>
        </is>
      </c>
      <c r="B3713" t="inlineStr">
        <is>
          <t>SPO-01978</t>
        </is>
      </c>
      <c r="C3713" t="inlineStr">
        <is>
          <t>SUP-02</t>
        </is>
      </c>
      <c r="D3713" t="inlineStr">
        <is>
          <t>ELEC</t>
        </is>
      </c>
      <c r="E3713" t="inlineStr">
        <is>
          <t>ELEC-04</t>
        </is>
      </c>
      <c r="F3713" s="17" t="n">
        <v>46121</v>
      </c>
      <c r="G3713" s="17" t="n">
        <v>46137</v>
      </c>
      <c r="H3713" s="18" t="n">
        <v>48</v>
      </c>
      <c r="I3713" s="19" t="n">
        <v>68.95999999999999</v>
      </c>
      <c r="J3713" s="19" t="n">
        <v>72</v>
      </c>
      <c r="K3713" s="20" t="n">
        <v>0</v>
      </c>
      <c r="L3713" s="20" t="n">
        <v>0</v>
      </c>
      <c r="M3713" s="18" t="n">
        <v>48</v>
      </c>
      <c r="N3713" s="18" t="n">
        <v>48</v>
      </c>
      <c r="O3713" s="18" t="n">
        <v>0</v>
      </c>
      <c r="P3713" s="17" t="n">
        <v>46135</v>
      </c>
      <c r="Q3713" s="17" t="n">
        <v>46135</v>
      </c>
      <c r="R3713" s="17" t="n">
        <v>46135</v>
      </c>
      <c r="S3713" s="19">
        <f>H3713*I3713</f>
        <v/>
      </c>
      <c r="T3713" s="19">
        <f>H3713*J3713</f>
        <v/>
      </c>
      <c r="U3713">
        <f>IF(AND(K3713=0,G3713&lt;=Assumptions!$C$6),1,0)</f>
        <v/>
      </c>
      <c r="V3713">
        <f>IF(U3713=1,IF(M3713&gt;0,IF(P3713&lt;=G3713+Assumptions!$C$7,1,0),0),0)</f>
        <v/>
      </c>
      <c r="W3713">
        <f>IF(AND(U3713=1,M3713&gt;=H3713*(1-Assumptions!$C$8)),1,0)</f>
        <v/>
      </c>
      <c r="X3713">
        <f>IF(AND(U3713=1,N3713&gt;=H3713*(1-Assumptions!$C$8)),1,0)</f>
        <v/>
      </c>
      <c r="Y3713">
        <f>IF(ISNUMBER(Q3713),1,0)</f>
        <v/>
      </c>
      <c r="Z3713">
        <f>IF(AND(K3713=0,L3713=0,Y3713=0),1,0)</f>
        <v/>
      </c>
      <c r="AA3713">
        <f>IF(AND(Z3713=1,G3713&lt;Assumptions!$C$6),1,0)</f>
        <v/>
      </c>
      <c r="AB3713">
        <f>IF(U3713=0,"",IF(Y3713=1,MAX(0,Q3713-G3713),IF(L3713=1,MAX(0,R3713-G3713),MAX(0,Assumptions!$C$6-G3713))))</f>
        <v/>
      </c>
      <c r="AC3713">
        <f>IF(Y3713=1,Q3713-F3713,"")</f>
        <v/>
      </c>
      <c r="AD3713">
        <f>IF(Y3713=1,AC3713^2,"")</f>
        <v/>
      </c>
      <c r="AE3713" s="19">
        <f>IF(Z3713=1,(H3713-M3713)*I3713,0)</f>
        <v/>
      </c>
      <c r="AF3713">
        <f>IF(G3713&lt;EDATE(Assumptions!$C$6,-12)+1,"prior_12m","last_12m")</f>
        <v/>
      </c>
      <c r="AG3713" s="21">
        <f>DATE(YEAR(G3713),MONTH(G3713),1)</f>
        <v/>
      </c>
    </row>
    <row r="3714">
      <c r="A3714" t="inlineStr">
        <is>
          <t>SPO-01978-2</t>
        </is>
      </c>
      <c r="B3714" t="inlineStr">
        <is>
          <t>SPO-01978</t>
        </is>
      </c>
      <c r="C3714" t="inlineStr">
        <is>
          <t>SUP-02</t>
        </is>
      </c>
      <c r="D3714" t="inlineStr">
        <is>
          <t>ELEC</t>
        </is>
      </c>
      <c r="E3714" t="inlineStr">
        <is>
          <t>ELEC-02</t>
        </is>
      </c>
      <c r="F3714" s="17" t="n">
        <v>46121</v>
      </c>
      <c r="G3714" s="17" t="n">
        <v>46137</v>
      </c>
      <c r="H3714" s="18" t="n">
        <v>452</v>
      </c>
      <c r="I3714" s="19" t="n">
        <v>4.37</v>
      </c>
      <c r="J3714" s="19" t="n">
        <v>4.2</v>
      </c>
      <c r="K3714" s="20" t="n">
        <v>0</v>
      </c>
      <c r="L3714" s="20" t="n">
        <v>0</v>
      </c>
      <c r="M3714" s="18" t="n">
        <v>452</v>
      </c>
      <c r="N3714" s="18" t="n">
        <v>452</v>
      </c>
      <c r="O3714" s="18" t="n">
        <v>0</v>
      </c>
      <c r="P3714" s="17" t="n">
        <v>46133</v>
      </c>
      <c r="Q3714" s="17" t="n">
        <v>46133</v>
      </c>
      <c r="R3714" s="17" t="n">
        <v>46133</v>
      </c>
      <c r="S3714" s="19">
        <f>H3714*I3714</f>
        <v/>
      </c>
      <c r="T3714" s="19">
        <f>H3714*J3714</f>
        <v/>
      </c>
      <c r="U3714">
        <f>IF(AND(K3714=0,G3714&lt;=Assumptions!$C$6),1,0)</f>
        <v/>
      </c>
      <c r="V3714">
        <f>IF(U3714=1,IF(M3714&gt;0,IF(P3714&lt;=G3714+Assumptions!$C$7,1,0),0),0)</f>
        <v/>
      </c>
      <c r="W3714">
        <f>IF(AND(U3714=1,M3714&gt;=H3714*(1-Assumptions!$C$8)),1,0)</f>
        <v/>
      </c>
      <c r="X3714">
        <f>IF(AND(U3714=1,N3714&gt;=H3714*(1-Assumptions!$C$8)),1,0)</f>
        <v/>
      </c>
      <c r="Y3714">
        <f>IF(ISNUMBER(Q3714),1,0)</f>
        <v/>
      </c>
      <c r="Z3714">
        <f>IF(AND(K3714=0,L3714=0,Y3714=0),1,0)</f>
        <v/>
      </c>
      <c r="AA3714">
        <f>IF(AND(Z3714=1,G3714&lt;Assumptions!$C$6),1,0)</f>
        <v/>
      </c>
      <c r="AB3714">
        <f>IF(U3714=0,"",IF(Y3714=1,MAX(0,Q3714-G3714),IF(L3714=1,MAX(0,R3714-G3714),MAX(0,Assumptions!$C$6-G3714))))</f>
        <v/>
      </c>
      <c r="AC3714">
        <f>IF(Y3714=1,Q3714-F3714,"")</f>
        <v/>
      </c>
      <c r="AD3714">
        <f>IF(Y3714=1,AC3714^2,"")</f>
        <v/>
      </c>
      <c r="AE3714" s="19">
        <f>IF(Z3714=1,(H3714-M3714)*I3714,0)</f>
        <v/>
      </c>
      <c r="AF3714">
        <f>IF(G3714&lt;EDATE(Assumptions!$C$6,-12)+1,"prior_12m","last_12m")</f>
        <v/>
      </c>
      <c r="AG3714" s="21">
        <f>DATE(YEAR(G3714),MONTH(G3714),1)</f>
        <v/>
      </c>
    </row>
    <row r="3715">
      <c r="A3715" t="inlineStr">
        <is>
          <t>SPO-01978-3</t>
        </is>
      </c>
      <c r="B3715" t="inlineStr">
        <is>
          <t>SPO-01978</t>
        </is>
      </c>
      <c r="C3715" t="inlineStr">
        <is>
          <t>SUP-02</t>
        </is>
      </c>
      <c r="D3715" t="inlineStr">
        <is>
          <t>ELEC</t>
        </is>
      </c>
      <c r="E3715" t="inlineStr">
        <is>
          <t>ELEC-06</t>
        </is>
      </c>
      <c r="F3715" s="17" t="n">
        <v>46121</v>
      </c>
      <c r="G3715" s="17" t="n">
        <v>46137</v>
      </c>
      <c r="H3715" s="18" t="n">
        <v>8</v>
      </c>
      <c r="I3715" s="19" t="n">
        <v>149.07</v>
      </c>
      <c r="J3715" s="19" t="n">
        <v>145</v>
      </c>
      <c r="K3715" s="20" t="n">
        <v>0</v>
      </c>
      <c r="L3715" s="20" t="n">
        <v>0</v>
      </c>
      <c r="M3715" s="18" t="n">
        <v>8</v>
      </c>
      <c r="N3715" s="18" t="n">
        <v>8</v>
      </c>
      <c r="O3715" s="18" t="n">
        <v>0</v>
      </c>
      <c r="P3715" s="17" t="n">
        <v>46132</v>
      </c>
      <c r="Q3715" s="17" t="n">
        <v>46132</v>
      </c>
      <c r="R3715" s="17" t="n">
        <v>46132</v>
      </c>
      <c r="S3715" s="19">
        <f>H3715*I3715</f>
        <v/>
      </c>
      <c r="T3715" s="19">
        <f>H3715*J3715</f>
        <v/>
      </c>
      <c r="U3715">
        <f>IF(AND(K3715=0,G3715&lt;=Assumptions!$C$6),1,0)</f>
        <v/>
      </c>
      <c r="V3715">
        <f>IF(U3715=1,IF(M3715&gt;0,IF(P3715&lt;=G3715+Assumptions!$C$7,1,0),0),0)</f>
        <v/>
      </c>
      <c r="W3715">
        <f>IF(AND(U3715=1,M3715&gt;=H3715*(1-Assumptions!$C$8)),1,0)</f>
        <v/>
      </c>
      <c r="X3715">
        <f>IF(AND(U3715=1,N3715&gt;=H3715*(1-Assumptions!$C$8)),1,0)</f>
        <v/>
      </c>
      <c r="Y3715">
        <f>IF(ISNUMBER(Q3715),1,0)</f>
        <v/>
      </c>
      <c r="Z3715">
        <f>IF(AND(K3715=0,L3715=0,Y3715=0),1,0)</f>
        <v/>
      </c>
      <c r="AA3715">
        <f>IF(AND(Z3715=1,G3715&lt;Assumptions!$C$6),1,0)</f>
        <v/>
      </c>
      <c r="AB3715">
        <f>IF(U3715=0,"",IF(Y3715=1,MAX(0,Q3715-G3715),IF(L3715=1,MAX(0,R3715-G3715),MAX(0,Assumptions!$C$6-G3715))))</f>
        <v/>
      </c>
      <c r="AC3715">
        <f>IF(Y3715=1,Q3715-F3715,"")</f>
        <v/>
      </c>
      <c r="AD3715">
        <f>IF(Y3715=1,AC3715^2,"")</f>
        <v/>
      </c>
      <c r="AE3715" s="19">
        <f>IF(Z3715=1,(H3715-M3715)*I3715,0)</f>
        <v/>
      </c>
      <c r="AF3715">
        <f>IF(G3715&lt;EDATE(Assumptions!$C$6,-12)+1,"prior_12m","last_12m")</f>
        <v/>
      </c>
      <c r="AG3715" s="21">
        <f>DATE(YEAR(G3715),MONTH(G3715),1)</f>
        <v/>
      </c>
    </row>
    <row r="3716">
      <c r="A3716" t="inlineStr">
        <is>
          <t>SPO-01978-4</t>
        </is>
      </c>
      <c r="B3716" t="inlineStr">
        <is>
          <t>SPO-01978</t>
        </is>
      </c>
      <c r="C3716" t="inlineStr">
        <is>
          <t>SUP-02</t>
        </is>
      </c>
      <c r="D3716" t="inlineStr">
        <is>
          <t>ELEC</t>
        </is>
      </c>
      <c r="E3716" t="inlineStr">
        <is>
          <t>ELEC-05</t>
        </is>
      </c>
      <c r="F3716" s="17" t="n">
        <v>46121</v>
      </c>
      <c r="G3716" s="17" t="n">
        <v>46137</v>
      </c>
      <c r="H3716" s="18" t="n">
        <v>107</v>
      </c>
      <c r="I3716" s="19" t="n">
        <v>11.68</v>
      </c>
      <c r="J3716" s="19" t="n">
        <v>11.5</v>
      </c>
      <c r="K3716" s="20" t="n">
        <v>0</v>
      </c>
      <c r="L3716" s="20" t="n">
        <v>0</v>
      </c>
      <c r="M3716" s="18" t="n">
        <v>107</v>
      </c>
      <c r="N3716" s="18" t="n">
        <v>107</v>
      </c>
      <c r="O3716" s="18" t="n">
        <v>0</v>
      </c>
      <c r="P3716" s="17" t="n">
        <v>46134</v>
      </c>
      <c r="Q3716" s="17" t="n">
        <v>46134</v>
      </c>
      <c r="R3716" s="17" t="n">
        <v>46134</v>
      </c>
      <c r="S3716" s="19">
        <f>H3716*I3716</f>
        <v/>
      </c>
      <c r="T3716" s="19">
        <f>H3716*J3716</f>
        <v/>
      </c>
      <c r="U3716">
        <f>IF(AND(K3716=0,G3716&lt;=Assumptions!$C$6),1,0)</f>
        <v/>
      </c>
      <c r="V3716">
        <f>IF(U3716=1,IF(M3716&gt;0,IF(P3716&lt;=G3716+Assumptions!$C$7,1,0),0),0)</f>
        <v/>
      </c>
      <c r="W3716">
        <f>IF(AND(U3716=1,M3716&gt;=H3716*(1-Assumptions!$C$8)),1,0)</f>
        <v/>
      </c>
      <c r="X3716">
        <f>IF(AND(U3716=1,N3716&gt;=H3716*(1-Assumptions!$C$8)),1,0)</f>
        <v/>
      </c>
      <c r="Y3716">
        <f>IF(ISNUMBER(Q3716),1,0)</f>
        <v/>
      </c>
      <c r="Z3716">
        <f>IF(AND(K3716=0,L3716=0,Y3716=0),1,0)</f>
        <v/>
      </c>
      <c r="AA3716">
        <f>IF(AND(Z3716=1,G3716&lt;Assumptions!$C$6),1,0)</f>
        <v/>
      </c>
      <c r="AB3716">
        <f>IF(U3716=0,"",IF(Y3716=1,MAX(0,Q3716-G3716),IF(L3716=1,MAX(0,R3716-G3716),MAX(0,Assumptions!$C$6-G3716))))</f>
        <v/>
      </c>
      <c r="AC3716">
        <f>IF(Y3716=1,Q3716-F3716,"")</f>
        <v/>
      </c>
      <c r="AD3716">
        <f>IF(Y3716=1,AC3716^2,"")</f>
        <v/>
      </c>
      <c r="AE3716" s="19">
        <f>IF(Z3716=1,(H3716-M3716)*I3716,0)</f>
        <v/>
      </c>
      <c r="AF3716">
        <f>IF(G3716&lt;EDATE(Assumptions!$C$6,-12)+1,"prior_12m","last_12m")</f>
        <v/>
      </c>
      <c r="AG3716" s="21">
        <f>DATE(YEAR(G3716),MONTH(G3716),1)</f>
        <v/>
      </c>
    </row>
    <row r="3717">
      <c r="A3717" t="inlineStr">
        <is>
          <t>SPO-01979-1</t>
        </is>
      </c>
      <c r="B3717" t="inlineStr">
        <is>
          <t>SPO-01979</t>
        </is>
      </c>
      <c r="C3717" t="inlineStr">
        <is>
          <t>SUP-08</t>
        </is>
      </c>
      <c r="D3717" t="inlineStr">
        <is>
          <t>MRO</t>
        </is>
      </c>
      <c r="E3717" t="inlineStr">
        <is>
          <t>MRO-08</t>
        </is>
      </c>
      <c r="F3717" s="17" t="n">
        <v>46122</v>
      </c>
      <c r="G3717" s="17" t="n">
        <v>46133</v>
      </c>
      <c r="H3717" s="18" t="n">
        <v>238</v>
      </c>
      <c r="I3717" s="19" t="n">
        <v>7.36</v>
      </c>
      <c r="J3717" s="19" t="n">
        <v>7.2</v>
      </c>
      <c r="K3717" s="20" t="n">
        <v>0</v>
      </c>
      <c r="L3717" s="20" t="n">
        <v>0</v>
      </c>
      <c r="M3717" s="18" t="n">
        <v>238</v>
      </c>
      <c r="N3717" s="18" t="n">
        <v>238</v>
      </c>
      <c r="O3717" s="18" t="n">
        <v>0</v>
      </c>
      <c r="P3717" s="17" t="n">
        <v>46132</v>
      </c>
      <c r="Q3717" s="17" t="n">
        <v>46132</v>
      </c>
      <c r="R3717" s="17" t="n">
        <v>46132</v>
      </c>
      <c r="S3717" s="19">
        <f>H3717*I3717</f>
        <v/>
      </c>
      <c r="T3717" s="19">
        <f>H3717*J3717</f>
        <v/>
      </c>
      <c r="U3717">
        <f>IF(AND(K3717=0,G3717&lt;=Assumptions!$C$6),1,0)</f>
        <v/>
      </c>
      <c r="V3717">
        <f>IF(U3717=1,IF(M3717&gt;0,IF(P3717&lt;=G3717+Assumptions!$C$7,1,0),0),0)</f>
        <v/>
      </c>
      <c r="W3717">
        <f>IF(AND(U3717=1,M3717&gt;=H3717*(1-Assumptions!$C$8)),1,0)</f>
        <v/>
      </c>
      <c r="X3717">
        <f>IF(AND(U3717=1,N3717&gt;=H3717*(1-Assumptions!$C$8)),1,0)</f>
        <v/>
      </c>
      <c r="Y3717">
        <f>IF(ISNUMBER(Q3717),1,0)</f>
        <v/>
      </c>
      <c r="Z3717">
        <f>IF(AND(K3717=0,L3717=0,Y3717=0),1,0)</f>
        <v/>
      </c>
      <c r="AA3717">
        <f>IF(AND(Z3717=1,G3717&lt;Assumptions!$C$6),1,0)</f>
        <v/>
      </c>
      <c r="AB3717">
        <f>IF(U3717=0,"",IF(Y3717=1,MAX(0,Q3717-G3717),IF(L3717=1,MAX(0,R3717-G3717),MAX(0,Assumptions!$C$6-G3717))))</f>
        <v/>
      </c>
      <c r="AC3717">
        <f>IF(Y3717=1,Q3717-F3717,"")</f>
        <v/>
      </c>
      <c r="AD3717">
        <f>IF(Y3717=1,AC3717^2,"")</f>
        <v/>
      </c>
      <c r="AE3717" s="19">
        <f>IF(Z3717=1,(H3717-M3717)*I3717,0)</f>
        <v/>
      </c>
      <c r="AF3717">
        <f>IF(G3717&lt;EDATE(Assumptions!$C$6,-12)+1,"prior_12m","last_12m")</f>
        <v/>
      </c>
      <c r="AG3717" s="21">
        <f>DATE(YEAR(G3717),MONTH(G3717),1)</f>
        <v/>
      </c>
    </row>
    <row r="3718">
      <c r="A3718" t="inlineStr">
        <is>
          <t>SPO-01980-1</t>
        </is>
      </c>
      <c r="B3718" t="inlineStr">
        <is>
          <t>SPO-01980</t>
        </is>
      </c>
      <c r="C3718" t="inlineStr">
        <is>
          <t>SUP-06</t>
        </is>
      </c>
      <c r="D3718" t="inlineStr">
        <is>
          <t>MRO</t>
        </is>
      </c>
      <c r="E3718" t="inlineStr">
        <is>
          <t>MRO-07</t>
        </is>
      </c>
      <c r="F3718" s="17" t="n">
        <v>46123</v>
      </c>
      <c r="G3718" s="17" t="n">
        <v>46131</v>
      </c>
      <c r="H3718" s="18" t="n">
        <v>201</v>
      </c>
      <c r="I3718" s="19" t="n">
        <v>14.79</v>
      </c>
      <c r="J3718" s="19" t="n">
        <v>14</v>
      </c>
      <c r="K3718" s="20" t="n">
        <v>0</v>
      </c>
      <c r="L3718" s="20" t="n">
        <v>0</v>
      </c>
      <c r="M3718" s="18" t="n">
        <v>201</v>
      </c>
      <c r="N3718" s="18" t="n">
        <v>201</v>
      </c>
      <c r="O3718" s="18" t="n">
        <v>0</v>
      </c>
      <c r="P3718" s="17" t="n">
        <v>46130</v>
      </c>
      <c r="Q3718" s="17" t="n">
        <v>46130</v>
      </c>
      <c r="R3718" s="17" t="n">
        <v>46130</v>
      </c>
      <c r="S3718" s="19">
        <f>H3718*I3718</f>
        <v/>
      </c>
      <c r="T3718" s="19">
        <f>H3718*J3718</f>
        <v/>
      </c>
      <c r="U3718">
        <f>IF(AND(K3718=0,G3718&lt;=Assumptions!$C$6),1,0)</f>
        <v/>
      </c>
      <c r="V3718">
        <f>IF(U3718=1,IF(M3718&gt;0,IF(P3718&lt;=G3718+Assumptions!$C$7,1,0),0),0)</f>
        <v/>
      </c>
      <c r="W3718">
        <f>IF(AND(U3718=1,M3718&gt;=H3718*(1-Assumptions!$C$8)),1,0)</f>
        <v/>
      </c>
      <c r="X3718">
        <f>IF(AND(U3718=1,N3718&gt;=H3718*(1-Assumptions!$C$8)),1,0)</f>
        <v/>
      </c>
      <c r="Y3718">
        <f>IF(ISNUMBER(Q3718),1,0)</f>
        <v/>
      </c>
      <c r="Z3718">
        <f>IF(AND(K3718=0,L3718=0,Y3718=0),1,0)</f>
        <v/>
      </c>
      <c r="AA3718">
        <f>IF(AND(Z3718=1,G3718&lt;Assumptions!$C$6),1,0)</f>
        <v/>
      </c>
      <c r="AB3718">
        <f>IF(U3718=0,"",IF(Y3718=1,MAX(0,Q3718-G3718),IF(L3718=1,MAX(0,R3718-G3718),MAX(0,Assumptions!$C$6-G3718))))</f>
        <v/>
      </c>
      <c r="AC3718">
        <f>IF(Y3718=1,Q3718-F3718,"")</f>
        <v/>
      </c>
      <c r="AD3718">
        <f>IF(Y3718=1,AC3718^2,"")</f>
        <v/>
      </c>
      <c r="AE3718" s="19">
        <f>IF(Z3718=1,(H3718-M3718)*I3718,0)</f>
        <v/>
      </c>
      <c r="AF3718">
        <f>IF(G3718&lt;EDATE(Assumptions!$C$6,-12)+1,"prior_12m","last_12m")</f>
        <v/>
      </c>
      <c r="AG3718" s="21">
        <f>DATE(YEAR(G3718),MONTH(G3718),1)</f>
        <v/>
      </c>
    </row>
    <row r="3719">
      <c r="A3719" t="inlineStr">
        <is>
          <t>SPO-01980-2</t>
        </is>
      </c>
      <c r="B3719" t="inlineStr">
        <is>
          <t>SPO-01980</t>
        </is>
      </c>
      <c r="C3719" t="inlineStr">
        <is>
          <t>SUP-06</t>
        </is>
      </c>
      <c r="D3719" t="inlineStr">
        <is>
          <t>MRO</t>
        </is>
      </c>
      <c r="E3719" t="inlineStr">
        <is>
          <t>MRO-05</t>
        </is>
      </c>
      <c r="F3719" s="17" t="n">
        <v>46123</v>
      </c>
      <c r="G3719" s="17" t="n">
        <v>46131</v>
      </c>
      <c r="H3719" s="18" t="n">
        <v>57</v>
      </c>
      <c r="I3719" s="19" t="n">
        <v>36.75</v>
      </c>
      <c r="J3719" s="19" t="n">
        <v>36</v>
      </c>
      <c r="K3719" s="20" t="n">
        <v>0</v>
      </c>
      <c r="L3719" s="20" t="n">
        <v>0</v>
      </c>
      <c r="M3719" s="18" t="n">
        <v>57</v>
      </c>
      <c r="N3719" s="18" t="n">
        <v>57</v>
      </c>
      <c r="O3719" s="18" t="n">
        <v>0</v>
      </c>
      <c r="P3719" s="17" t="n">
        <v>46129</v>
      </c>
      <c r="Q3719" s="17" t="n">
        <v>46129</v>
      </c>
      <c r="R3719" s="17" t="n">
        <v>46129</v>
      </c>
      <c r="S3719" s="19">
        <f>H3719*I3719</f>
        <v/>
      </c>
      <c r="T3719" s="19">
        <f>H3719*J3719</f>
        <v/>
      </c>
      <c r="U3719">
        <f>IF(AND(K3719=0,G3719&lt;=Assumptions!$C$6),1,0)</f>
        <v/>
      </c>
      <c r="V3719">
        <f>IF(U3719=1,IF(M3719&gt;0,IF(P3719&lt;=G3719+Assumptions!$C$7,1,0),0),0)</f>
        <v/>
      </c>
      <c r="W3719">
        <f>IF(AND(U3719=1,M3719&gt;=H3719*(1-Assumptions!$C$8)),1,0)</f>
        <v/>
      </c>
      <c r="X3719">
        <f>IF(AND(U3719=1,N3719&gt;=H3719*(1-Assumptions!$C$8)),1,0)</f>
        <v/>
      </c>
      <c r="Y3719">
        <f>IF(ISNUMBER(Q3719),1,0)</f>
        <v/>
      </c>
      <c r="Z3719">
        <f>IF(AND(K3719=0,L3719=0,Y3719=0),1,0)</f>
        <v/>
      </c>
      <c r="AA3719">
        <f>IF(AND(Z3719=1,G3719&lt;Assumptions!$C$6),1,0)</f>
        <v/>
      </c>
      <c r="AB3719">
        <f>IF(U3719=0,"",IF(Y3719=1,MAX(0,Q3719-G3719),IF(L3719=1,MAX(0,R3719-G3719),MAX(0,Assumptions!$C$6-G3719))))</f>
        <v/>
      </c>
      <c r="AC3719">
        <f>IF(Y3719=1,Q3719-F3719,"")</f>
        <v/>
      </c>
      <c r="AD3719">
        <f>IF(Y3719=1,AC3719^2,"")</f>
        <v/>
      </c>
      <c r="AE3719" s="19">
        <f>IF(Z3719=1,(H3719-M3719)*I3719,0)</f>
        <v/>
      </c>
      <c r="AF3719">
        <f>IF(G3719&lt;EDATE(Assumptions!$C$6,-12)+1,"prior_12m","last_12m")</f>
        <v/>
      </c>
      <c r="AG3719" s="21">
        <f>DATE(YEAR(G3719),MONTH(G3719),1)</f>
        <v/>
      </c>
    </row>
    <row r="3720">
      <c r="A3720" t="inlineStr">
        <is>
          <t>SPO-01981-1</t>
        </is>
      </c>
      <c r="B3720" t="inlineStr">
        <is>
          <t>SPO-01981</t>
        </is>
      </c>
      <c r="C3720" t="inlineStr">
        <is>
          <t>SUP-01</t>
        </is>
      </c>
      <c r="D3720" t="inlineStr">
        <is>
          <t>ELEC</t>
        </is>
      </c>
      <c r="E3720" t="inlineStr">
        <is>
          <t>ELEC-05</t>
        </is>
      </c>
      <c r="F3720" s="17" t="n">
        <v>46123</v>
      </c>
      <c r="G3720" s="17" t="n">
        <v>46141</v>
      </c>
      <c r="H3720" s="18" t="n">
        <v>221</v>
      </c>
      <c r="I3720" s="19" t="n">
        <v>12.03</v>
      </c>
      <c r="J3720" s="19" t="n">
        <v>11.5</v>
      </c>
      <c r="K3720" s="20" t="n">
        <v>0</v>
      </c>
      <c r="L3720" s="20" t="n">
        <v>1</v>
      </c>
      <c r="M3720" s="18" t="n">
        <v>120</v>
      </c>
      <c r="N3720" s="18" t="n">
        <v>0</v>
      </c>
      <c r="O3720" s="18" t="n">
        <v>0</v>
      </c>
      <c r="P3720" s="17" t="n">
        <v>46143</v>
      </c>
      <c r="Q3720" s="17" t="n"/>
      <c r="R3720" s="17" t="n">
        <v>46143</v>
      </c>
      <c r="S3720" s="19">
        <f>H3720*I3720</f>
        <v/>
      </c>
      <c r="T3720" s="19">
        <f>H3720*J3720</f>
        <v/>
      </c>
      <c r="U3720">
        <f>IF(AND(K3720=0,G3720&lt;=Assumptions!$C$6),1,0)</f>
        <v/>
      </c>
      <c r="V3720">
        <f>IF(U3720=1,IF(M3720&gt;0,IF(P3720&lt;=G3720+Assumptions!$C$7,1,0),0),0)</f>
        <v/>
      </c>
      <c r="W3720">
        <f>IF(AND(U3720=1,M3720&gt;=H3720*(1-Assumptions!$C$8)),1,0)</f>
        <v/>
      </c>
      <c r="X3720">
        <f>IF(AND(U3720=1,N3720&gt;=H3720*(1-Assumptions!$C$8)),1,0)</f>
        <v/>
      </c>
      <c r="Y3720">
        <f>IF(ISNUMBER(Q3720),1,0)</f>
        <v/>
      </c>
      <c r="Z3720">
        <f>IF(AND(K3720=0,L3720=0,Y3720=0),1,0)</f>
        <v/>
      </c>
      <c r="AA3720">
        <f>IF(AND(Z3720=1,G3720&lt;Assumptions!$C$6),1,0)</f>
        <v/>
      </c>
      <c r="AB3720">
        <f>IF(U3720=0,"",IF(Y3720=1,MAX(0,Q3720-G3720),IF(L3720=1,MAX(0,R3720-G3720),MAX(0,Assumptions!$C$6-G3720))))</f>
        <v/>
      </c>
      <c r="AC3720">
        <f>IF(Y3720=1,Q3720-F3720,"")</f>
        <v/>
      </c>
      <c r="AD3720">
        <f>IF(Y3720=1,AC3720^2,"")</f>
        <v/>
      </c>
      <c r="AE3720" s="19">
        <f>IF(Z3720=1,(H3720-M3720)*I3720,0)</f>
        <v/>
      </c>
      <c r="AF3720">
        <f>IF(G3720&lt;EDATE(Assumptions!$C$6,-12)+1,"prior_12m","last_12m")</f>
        <v/>
      </c>
      <c r="AG3720" s="21">
        <f>DATE(YEAR(G3720),MONTH(G3720),1)</f>
        <v/>
      </c>
    </row>
    <row r="3721">
      <c r="A3721" t="inlineStr">
        <is>
          <t>SPO-01981-2</t>
        </is>
      </c>
      <c r="B3721" t="inlineStr">
        <is>
          <t>SPO-01981</t>
        </is>
      </c>
      <c r="C3721" t="inlineStr">
        <is>
          <t>SUP-01</t>
        </is>
      </c>
      <c r="D3721" t="inlineStr">
        <is>
          <t>ELEC</t>
        </is>
      </c>
      <c r="E3721" t="inlineStr">
        <is>
          <t>ELEC-03</t>
        </is>
      </c>
      <c r="F3721" s="17" t="n">
        <v>46123</v>
      </c>
      <c r="G3721" s="17" t="n">
        <v>46141</v>
      </c>
      <c r="H3721" s="18" t="n">
        <v>26</v>
      </c>
      <c r="I3721" s="19" t="n">
        <v>95.37</v>
      </c>
      <c r="J3721" s="19" t="n">
        <v>96</v>
      </c>
      <c r="K3721" s="20" t="n">
        <v>0</v>
      </c>
      <c r="L3721" s="20" t="n">
        <v>0</v>
      </c>
      <c r="M3721" s="18" t="n">
        <v>26</v>
      </c>
      <c r="N3721" s="18" t="n">
        <v>26</v>
      </c>
      <c r="O3721" s="18" t="n">
        <v>0</v>
      </c>
      <c r="P3721" s="17" t="n">
        <v>46140</v>
      </c>
      <c r="Q3721" s="17" t="n">
        <v>46140</v>
      </c>
      <c r="R3721" s="17" t="n">
        <v>46140</v>
      </c>
      <c r="S3721" s="19">
        <f>H3721*I3721</f>
        <v/>
      </c>
      <c r="T3721" s="19">
        <f>H3721*J3721</f>
        <v/>
      </c>
      <c r="U3721">
        <f>IF(AND(K3721=0,G3721&lt;=Assumptions!$C$6),1,0)</f>
        <v/>
      </c>
      <c r="V3721">
        <f>IF(U3721=1,IF(M3721&gt;0,IF(P3721&lt;=G3721+Assumptions!$C$7,1,0),0),0)</f>
        <v/>
      </c>
      <c r="W3721">
        <f>IF(AND(U3721=1,M3721&gt;=H3721*(1-Assumptions!$C$8)),1,0)</f>
        <v/>
      </c>
      <c r="X3721">
        <f>IF(AND(U3721=1,N3721&gt;=H3721*(1-Assumptions!$C$8)),1,0)</f>
        <v/>
      </c>
      <c r="Y3721">
        <f>IF(ISNUMBER(Q3721),1,0)</f>
        <v/>
      </c>
      <c r="Z3721">
        <f>IF(AND(K3721=0,L3721=0,Y3721=0),1,0)</f>
        <v/>
      </c>
      <c r="AA3721">
        <f>IF(AND(Z3721=1,G3721&lt;Assumptions!$C$6),1,0)</f>
        <v/>
      </c>
      <c r="AB3721">
        <f>IF(U3721=0,"",IF(Y3721=1,MAX(0,Q3721-G3721),IF(L3721=1,MAX(0,R3721-G3721),MAX(0,Assumptions!$C$6-G3721))))</f>
        <v/>
      </c>
      <c r="AC3721">
        <f>IF(Y3721=1,Q3721-F3721,"")</f>
        <v/>
      </c>
      <c r="AD3721">
        <f>IF(Y3721=1,AC3721^2,"")</f>
        <v/>
      </c>
      <c r="AE3721" s="19">
        <f>IF(Z3721=1,(H3721-M3721)*I3721,0)</f>
        <v/>
      </c>
      <c r="AF3721">
        <f>IF(G3721&lt;EDATE(Assumptions!$C$6,-12)+1,"prior_12m","last_12m")</f>
        <v/>
      </c>
      <c r="AG3721" s="21">
        <f>DATE(YEAR(G3721),MONTH(G3721),1)</f>
        <v/>
      </c>
    </row>
    <row r="3722">
      <c r="A3722" t="inlineStr">
        <is>
          <t>SPO-01981-3</t>
        </is>
      </c>
      <c r="B3722" t="inlineStr">
        <is>
          <t>SPO-01981</t>
        </is>
      </c>
      <c r="C3722" t="inlineStr">
        <is>
          <t>SUP-01</t>
        </is>
      </c>
      <c r="D3722" t="inlineStr">
        <is>
          <t>ELEC</t>
        </is>
      </c>
      <c r="E3722" t="inlineStr">
        <is>
          <t>ELEC-01</t>
        </is>
      </c>
      <c r="F3722" s="17" t="n">
        <v>46123</v>
      </c>
      <c r="G3722" s="17" t="n">
        <v>46141</v>
      </c>
      <c r="H3722" s="18" t="n">
        <v>118</v>
      </c>
      <c r="I3722" s="19" t="n">
        <v>39.59</v>
      </c>
      <c r="J3722" s="19" t="n">
        <v>38</v>
      </c>
      <c r="K3722" s="20" t="n">
        <v>0</v>
      </c>
      <c r="L3722" s="20" t="n">
        <v>0</v>
      </c>
      <c r="M3722" s="18" t="n">
        <v>118</v>
      </c>
      <c r="N3722" s="18" t="n">
        <v>0</v>
      </c>
      <c r="O3722" s="18" t="n">
        <v>0</v>
      </c>
      <c r="P3722" s="17" t="n">
        <v>46180</v>
      </c>
      <c r="Q3722" s="17" t="n">
        <v>46180</v>
      </c>
      <c r="R3722" s="17" t="n">
        <v>46180</v>
      </c>
      <c r="S3722" s="19">
        <f>H3722*I3722</f>
        <v/>
      </c>
      <c r="T3722" s="19">
        <f>H3722*J3722</f>
        <v/>
      </c>
      <c r="U3722">
        <f>IF(AND(K3722=0,G3722&lt;=Assumptions!$C$6),1,0)</f>
        <v/>
      </c>
      <c r="V3722">
        <f>IF(U3722=1,IF(M3722&gt;0,IF(P3722&lt;=G3722+Assumptions!$C$7,1,0),0),0)</f>
        <v/>
      </c>
      <c r="W3722">
        <f>IF(AND(U3722=1,M3722&gt;=H3722*(1-Assumptions!$C$8)),1,0)</f>
        <v/>
      </c>
      <c r="X3722">
        <f>IF(AND(U3722=1,N3722&gt;=H3722*(1-Assumptions!$C$8)),1,0)</f>
        <v/>
      </c>
      <c r="Y3722">
        <f>IF(ISNUMBER(Q3722),1,0)</f>
        <v/>
      </c>
      <c r="Z3722">
        <f>IF(AND(K3722=0,L3722=0,Y3722=0),1,0)</f>
        <v/>
      </c>
      <c r="AA3722">
        <f>IF(AND(Z3722=1,G3722&lt;Assumptions!$C$6),1,0)</f>
        <v/>
      </c>
      <c r="AB3722">
        <f>IF(U3722=0,"",IF(Y3722=1,MAX(0,Q3722-G3722),IF(L3722=1,MAX(0,R3722-G3722),MAX(0,Assumptions!$C$6-G3722))))</f>
        <v/>
      </c>
      <c r="AC3722">
        <f>IF(Y3722=1,Q3722-F3722,"")</f>
        <v/>
      </c>
      <c r="AD3722">
        <f>IF(Y3722=1,AC3722^2,"")</f>
        <v/>
      </c>
      <c r="AE3722" s="19">
        <f>IF(Z3722=1,(H3722-M3722)*I3722,0)</f>
        <v/>
      </c>
      <c r="AF3722">
        <f>IF(G3722&lt;EDATE(Assumptions!$C$6,-12)+1,"prior_12m","last_12m")</f>
        <v/>
      </c>
      <c r="AG3722" s="21">
        <f>DATE(YEAR(G3722),MONTH(G3722),1)</f>
        <v/>
      </c>
    </row>
    <row r="3723">
      <c r="A3723" t="inlineStr">
        <is>
          <t>SPO-01982-1</t>
        </is>
      </c>
      <c r="B3723" t="inlineStr">
        <is>
          <t>SPO-01982</t>
        </is>
      </c>
      <c r="C3723" t="inlineStr">
        <is>
          <t>SUP-02</t>
        </is>
      </c>
      <c r="D3723" t="inlineStr">
        <is>
          <t>ELEC</t>
        </is>
      </c>
      <c r="E3723" t="inlineStr">
        <is>
          <t>ELEC-01</t>
        </is>
      </c>
      <c r="F3723" s="17" t="n">
        <v>46123</v>
      </c>
      <c r="G3723" s="17" t="n">
        <v>46139</v>
      </c>
      <c r="H3723" s="18" t="n">
        <v>46</v>
      </c>
      <c r="I3723" s="19" t="n">
        <v>37.5</v>
      </c>
      <c r="J3723" s="19" t="n">
        <v>38</v>
      </c>
      <c r="K3723" s="20" t="n">
        <v>0</v>
      </c>
      <c r="L3723" s="20" t="n">
        <v>0</v>
      </c>
      <c r="M3723" s="18" t="n">
        <v>46</v>
      </c>
      <c r="N3723" s="18" t="n">
        <v>46</v>
      </c>
      <c r="O3723" s="18" t="n">
        <v>0</v>
      </c>
      <c r="P3723" s="17" t="n">
        <v>46138</v>
      </c>
      <c r="Q3723" s="17" t="n">
        <v>46138</v>
      </c>
      <c r="R3723" s="17" t="n">
        <v>46138</v>
      </c>
      <c r="S3723" s="19">
        <f>H3723*I3723</f>
        <v/>
      </c>
      <c r="T3723" s="19">
        <f>H3723*J3723</f>
        <v/>
      </c>
      <c r="U3723">
        <f>IF(AND(K3723=0,G3723&lt;=Assumptions!$C$6),1,0)</f>
        <v/>
      </c>
      <c r="V3723">
        <f>IF(U3723=1,IF(M3723&gt;0,IF(P3723&lt;=G3723+Assumptions!$C$7,1,0),0),0)</f>
        <v/>
      </c>
      <c r="W3723">
        <f>IF(AND(U3723=1,M3723&gt;=H3723*(1-Assumptions!$C$8)),1,0)</f>
        <v/>
      </c>
      <c r="X3723">
        <f>IF(AND(U3723=1,N3723&gt;=H3723*(1-Assumptions!$C$8)),1,0)</f>
        <v/>
      </c>
      <c r="Y3723">
        <f>IF(ISNUMBER(Q3723),1,0)</f>
        <v/>
      </c>
      <c r="Z3723">
        <f>IF(AND(K3723=0,L3723=0,Y3723=0),1,0)</f>
        <v/>
      </c>
      <c r="AA3723">
        <f>IF(AND(Z3723=1,G3723&lt;Assumptions!$C$6),1,0)</f>
        <v/>
      </c>
      <c r="AB3723">
        <f>IF(U3723=0,"",IF(Y3723=1,MAX(0,Q3723-G3723),IF(L3723=1,MAX(0,R3723-G3723),MAX(0,Assumptions!$C$6-G3723))))</f>
        <v/>
      </c>
      <c r="AC3723">
        <f>IF(Y3723=1,Q3723-F3723,"")</f>
        <v/>
      </c>
      <c r="AD3723">
        <f>IF(Y3723=1,AC3723^2,"")</f>
        <v/>
      </c>
      <c r="AE3723" s="19">
        <f>IF(Z3723=1,(H3723-M3723)*I3723,0)</f>
        <v/>
      </c>
      <c r="AF3723">
        <f>IF(G3723&lt;EDATE(Assumptions!$C$6,-12)+1,"prior_12m","last_12m")</f>
        <v/>
      </c>
      <c r="AG3723" s="21">
        <f>DATE(YEAR(G3723),MONTH(G3723),1)</f>
        <v/>
      </c>
    </row>
    <row r="3724">
      <c r="A3724" t="inlineStr">
        <is>
          <t>SPO-01983-1</t>
        </is>
      </c>
      <c r="B3724" t="inlineStr">
        <is>
          <t>SPO-01983</t>
        </is>
      </c>
      <c r="C3724" t="inlineStr">
        <is>
          <t>SUP-01</t>
        </is>
      </c>
      <c r="D3724" t="inlineStr">
        <is>
          <t>ELEC</t>
        </is>
      </c>
      <c r="E3724" t="inlineStr">
        <is>
          <t>ELEC-07</t>
        </is>
      </c>
      <c r="F3724" s="17" t="n">
        <v>46123</v>
      </c>
      <c r="G3724" s="17" t="n">
        <v>46141</v>
      </c>
      <c r="H3724" s="18" t="n">
        <v>490</v>
      </c>
      <c r="I3724" s="19" t="n">
        <v>9.68</v>
      </c>
      <c r="J3724" s="19" t="n">
        <v>9.800000000000001</v>
      </c>
      <c r="K3724" s="20" t="n">
        <v>0</v>
      </c>
      <c r="L3724" s="20" t="n">
        <v>0</v>
      </c>
      <c r="M3724" s="18" t="n">
        <v>490</v>
      </c>
      <c r="N3724" s="18" t="n">
        <v>490</v>
      </c>
      <c r="O3724" s="18" t="n">
        <v>0</v>
      </c>
      <c r="P3724" s="17" t="n">
        <v>46141</v>
      </c>
      <c r="Q3724" s="17" t="n">
        <v>46141</v>
      </c>
      <c r="R3724" s="17" t="n">
        <v>46141</v>
      </c>
      <c r="S3724" s="19">
        <f>H3724*I3724</f>
        <v/>
      </c>
      <c r="T3724" s="19">
        <f>H3724*J3724</f>
        <v/>
      </c>
      <c r="U3724">
        <f>IF(AND(K3724=0,G3724&lt;=Assumptions!$C$6),1,0)</f>
        <v/>
      </c>
      <c r="V3724">
        <f>IF(U3724=1,IF(M3724&gt;0,IF(P3724&lt;=G3724+Assumptions!$C$7,1,0),0),0)</f>
        <v/>
      </c>
      <c r="W3724">
        <f>IF(AND(U3724=1,M3724&gt;=H3724*(1-Assumptions!$C$8)),1,0)</f>
        <v/>
      </c>
      <c r="X3724">
        <f>IF(AND(U3724=1,N3724&gt;=H3724*(1-Assumptions!$C$8)),1,0)</f>
        <v/>
      </c>
      <c r="Y3724">
        <f>IF(ISNUMBER(Q3724),1,0)</f>
        <v/>
      </c>
      <c r="Z3724">
        <f>IF(AND(K3724=0,L3724=0,Y3724=0),1,0)</f>
        <v/>
      </c>
      <c r="AA3724">
        <f>IF(AND(Z3724=1,G3724&lt;Assumptions!$C$6),1,0)</f>
        <v/>
      </c>
      <c r="AB3724">
        <f>IF(U3724=0,"",IF(Y3724=1,MAX(0,Q3724-G3724),IF(L3724=1,MAX(0,R3724-G3724),MAX(0,Assumptions!$C$6-G3724))))</f>
        <v/>
      </c>
      <c r="AC3724">
        <f>IF(Y3724=1,Q3724-F3724,"")</f>
        <v/>
      </c>
      <c r="AD3724">
        <f>IF(Y3724=1,AC3724^2,"")</f>
        <v/>
      </c>
      <c r="AE3724" s="19">
        <f>IF(Z3724=1,(H3724-M3724)*I3724,0)</f>
        <v/>
      </c>
      <c r="AF3724">
        <f>IF(G3724&lt;EDATE(Assumptions!$C$6,-12)+1,"prior_12m","last_12m")</f>
        <v/>
      </c>
      <c r="AG3724" s="21">
        <f>DATE(YEAR(G3724),MONTH(G3724),1)</f>
        <v/>
      </c>
    </row>
    <row r="3725">
      <c r="A3725" t="inlineStr">
        <is>
          <t>SPO-01984-1</t>
        </is>
      </c>
      <c r="B3725" t="inlineStr">
        <is>
          <t>SPO-01984</t>
        </is>
      </c>
      <c r="C3725" t="inlineStr">
        <is>
          <t>SUP-09</t>
        </is>
      </c>
      <c r="D3725" t="inlineStr">
        <is>
          <t>CHEM</t>
        </is>
      </c>
      <c r="E3725" t="inlineStr">
        <is>
          <t>CHEM-01</t>
        </is>
      </c>
      <c r="F3725" s="17" t="n">
        <v>46124</v>
      </c>
      <c r="G3725" s="17" t="n">
        <v>46138</v>
      </c>
      <c r="H3725" s="18" t="n">
        <v>4</v>
      </c>
      <c r="I3725" s="19" t="n">
        <v>623.76</v>
      </c>
      <c r="J3725" s="19" t="n">
        <v>640</v>
      </c>
      <c r="K3725" s="20" t="n">
        <v>0</v>
      </c>
      <c r="L3725" s="20" t="n">
        <v>0</v>
      </c>
      <c r="M3725" s="18" t="n">
        <v>4</v>
      </c>
      <c r="N3725" s="18" t="n">
        <v>4</v>
      </c>
      <c r="O3725" s="18" t="n">
        <v>0</v>
      </c>
      <c r="P3725" s="17" t="n">
        <v>46137</v>
      </c>
      <c r="Q3725" s="17" t="n">
        <v>46137</v>
      </c>
      <c r="R3725" s="17" t="n">
        <v>46137</v>
      </c>
      <c r="S3725" s="19">
        <f>H3725*I3725</f>
        <v/>
      </c>
      <c r="T3725" s="19">
        <f>H3725*J3725</f>
        <v/>
      </c>
      <c r="U3725">
        <f>IF(AND(K3725=0,G3725&lt;=Assumptions!$C$6),1,0)</f>
        <v/>
      </c>
      <c r="V3725">
        <f>IF(U3725=1,IF(M3725&gt;0,IF(P3725&lt;=G3725+Assumptions!$C$7,1,0),0),0)</f>
        <v/>
      </c>
      <c r="W3725">
        <f>IF(AND(U3725=1,M3725&gt;=H3725*(1-Assumptions!$C$8)),1,0)</f>
        <v/>
      </c>
      <c r="X3725">
        <f>IF(AND(U3725=1,N3725&gt;=H3725*(1-Assumptions!$C$8)),1,0)</f>
        <v/>
      </c>
      <c r="Y3725">
        <f>IF(ISNUMBER(Q3725),1,0)</f>
        <v/>
      </c>
      <c r="Z3725">
        <f>IF(AND(K3725=0,L3725=0,Y3725=0),1,0)</f>
        <v/>
      </c>
      <c r="AA3725">
        <f>IF(AND(Z3725=1,G3725&lt;Assumptions!$C$6),1,0)</f>
        <v/>
      </c>
      <c r="AB3725">
        <f>IF(U3725=0,"",IF(Y3725=1,MAX(0,Q3725-G3725),IF(L3725=1,MAX(0,R3725-G3725),MAX(0,Assumptions!$C$6-G3725))))</f>
        <v/>
      </c>
      <c r="AC3725">
        <f>IF(Y3725=1,Q3725-F3725,"")</f>
        <v/>
      </c>
      <c r="AD3725">
        <f>IF(Y3725=1,AC3725^2,"")</f>
        <v/>
      </c>
      <c r="AE3725" s="19">
        <f>IF(Z3725=1,(H3725-M3725)*I3725,0)</f>
        <v/>
      </c>
      <c r="AF3725">
        <f>IF(G3725&lt;EDATE(Assumptions!$C$6,-12)+1,"prior_12m","last_12m")</f>
        <v/>
      </c>
      <c r="AG3725" s="21">
        <f>DATE(YEAR(G3725),MONTH(G3725),1)</f>
        <v/>
      </c>
    </row>
    <row r="3726">
      <c r="A3726" t="inlineStr">
        <is>
          <t>SPO-01985-1</t>
        </is>
      </c>
      <c r="B3726" t="inlineStr">
        <is>
          <t>SPO-01985</t>
        </is>
      </c>
      <c r="C3726" t="inlineStr">
        <is>
          <t>SUP-14</t>
        </is>
      </c>
      <c r="D3726" t="inlineStr">
        <is>
          <t>FLEET</t>
        </is>
      </c>
      <c r="E3726" t="inlineStr">
        <is>
          <t>FLEET-04</t>
        </is>
      </c>
      <c r="F3726" s="17" t="n">
        <v>46124</v>
      </c>
      <c r="G3726" s="17" t="n">
        <v>46138</v>
      </c>
      <c r="H3726" s="18" t="n">
        <v>129</v>
      </c>
      <c r="I3726" s="19" t="n">
        <v>9</v>
      </c>
      <c r="J3726" s="19" t="n">
        <v>9</v>
      </c>
      <c r="K3726" s="20" t="n">
        <v>0</v>
      </c>
      <c r="L3726" s="20" t="n">
        <v>0</v>
      </c>
      <c r="M3726" s="18" t="n">
        <v>129</v>
      </c>
      <c r="N3726" s="18" t="n">
        <v>129</v>
      </c>
      <c r="O3726" s="18" t="n">
        <v>0</v>
      </c>
      <c r="P3726" s="17" t="n">
        <v>46133</v>
      </c>
      <c r="Q3726" s="17" t="n">
        <v>46133</v>
      </c>
      <c r="R3726" s="17" t="n">
        <v>46133</v>
      </c>
      <c r="S3726" s="19">
        <f>H3726*I3726</f>
        <v/>
      </c>
      <c r="T3726" s="19">
        <f>H3726*J3726</f>
        <v/>
      </c>
      <c r="U3726">
        <f>IF(AND(K3726=0,G3726&lt;=Assumptions!$C$6),1,0)</f>
        <v/>
      </c>
      <c r="V3726">
        <f>IF(U3726=1,IF(M3726&gt;0,IF(P3726&lt;=G3726+Assumptions!$C$7,1,0),0),0)</f>
        <v/>
      </c>
      <c r="W3726">
        <f>IF(AND(U3726=1,M3726&gt;=H3726*(1-Assumptions!$C$8)),1,0)</f>
        <v/>
      </c>
      <c r="X3726">
        <f>IF(AND(U3726=1,N3726&gt;=H3726*(1-Assumptions!$C$8)),1,0)</f>
        <v/>
      </c>
      <c r="Y3726">
        <f>IF(ISNUMBER(Q3726),1,0)</f>
        <v/>
      </c>
      <c r="Z3726">
        <f>IF(AND(K3726=0,L3726=0,Y3726=0),1,0)</f>
        <v/>
      </c>
      <c r="AA3726">
        <f>IF(AND(Z3726=1,G3726&lt;Assumptions!$C$6),1,0)</f>
        <v/>
      </c>
      <c r="AB3726">
        <f>IF(U3726=0,"",IF(Y3726=1,MAX(0,Q3726-G3726),IF(L3726=1,MAX(0,R3726-G3726),MAX(0,Assumptions!$C$6-G3726))))</f>
        <v/>
      </c>
      <c r="AC3726">
        <f>IF(Y3726=1,Q3726-F3726,"")</f>
        <v/>
      </c>
      <c r="AD3726">
        <f>IF(Y3726=1,AC3726^2,"")</f>
        <v/>
      </c>
      <c r="AE3726" s="19">
        <f>IF(Z3726=1,(H3726-M3726)*I3726,0)</f>
        <v/>
      </c>
      <c r="AF3726">
        <f>IF(G3726&lt;EDATE(Assumptions!$C$6,-12)+1,"prior_12m","last_12m")</f>
        <v/>
      </c>
      <c r="AG3726" s="21">
        <f>DATE(YEAR(G3726),MONTH(G3726),1)</f>
        <v/>
      </c>
    </row>
    <row r="3727">
      <c r="A3727" t="inlineStr">
        <is>
          <t>SPO-01986-1</t>
        </is>
      </c>
      <c r="B3727" t="inlineStr">
        <is>
          <t>SPO-01986</t>
        </is>
      </c>
      <c r="C3727" t="inlineStr">
        <is>
          <t>SUP-05</t>
        </is>
      </c>
      <c r="D3727" t="inlineStr">
        <is>
          <t>FLEET</t>
        </is>
      </c>
      <c r="E3727" t="inlineStr">
        <is>
          <t>FLEET-06</t>
        </is>
      </c>
      <c r="F3727" s="17" t="n">
        <v>46124</v>
      </c>
      <c r="G3727" s="17" t="n">
        <v>46138</v>
      </c>
      <c r="H3727" s="18" t="n">
        <v>52</v>
      </c>
      <c r="I3727" s="19" t="n">
        <v>34.58</v>
      </c>
      <c r="J3727" s="19" t="n">
        <v>33</v>
      </c>
      <c r="K3727" s="20" t="n">
        <v>0</v>
      </c>
      <c r="L3727" s="20" t="n">
        <v>0</v>
      </c>
      <c r="M3727" s="18" t="n">
        <v>52</v>
      </c>
      <c r="N3727" s="18" t="n">
        <v>52</v>
      </c>
      <c r="O3727" s="18" t="n">
        <v>0</v>
      </c>
      <c r="P3727" s="17" t="n">
        <v>46133</v>
      </c>
      <c r="Q3727" s="17" t="n">
        <v>46133</v>
      </c>
      <c r="R3727" s="17" t="n">
        <v>46133</v>
      </c>
      <c r="S3727" s="19">
        <f>H3727*I3727</f>
        <v/>
      </c>
      <c r="T3727" s="19">
        <f>H3727*J3727</f>
        <v/>
      </c>
      <c r="U3727">
        <f>IF(AND(K3727=0,G3727&lt;=Assumptions!$C$6),1,0)</f>
        <v/>
      </c>
      <c r="V3727">
        <f>IF(U3727=1,IF(M3727&gt;0,IF(P3727&lt;=G3727+Assumptions!$C$7,1,0),0),0)</f>
        <v/>
      </c>
      <c r="W3727">
        <f>IF(AND(U3727=1,M3727&gt;=H3727*(1-Assumptions!$C$8)),1,0)</f>
        <v/>
      </c>
      <c r="X3727">
        <f>IF(AND(U3727=1,N3727&gt;=H3727*(1-Assumptions!$C$8)),1,0)</f>
        <v/>
      </c>
      <c r="Y3727">
        <f>IF(ISNUMBER(Q3727),1,0)</f>
        <v/>
      </c>
      <c r="Z3727">
        <f>IF(AND(K3727=0,L3727=0,Y3727=0),1,0)</f>
        <v/>
      </c>
      <c r="AA3727">
        <f>IF(AND(Z3727=1,G3727&lt;Assumptions!$C$6),1,0)</f>
        <v/>
      </c>
      <c r="AB3727">
        <f>IF(U3727=0,"",IF(Y3727=1,MAX(0,Q3727-G3727),IF(L3727=1,MAX(0,R3727-G3727),MAX(0,Assumptions!$C$6-G3727))))</f>
        <v/>
      </c>
      <c r="AC3727">
        <f>IF(Y3727=1,Q3727-F3727,"")</f>
        <v/>
      </c>
      <c r="AD3727">
        <f>IF(Y3727=1,AC3727^2,"")</f>
        <v/>
      </c>
      <c r="AE3727" s="19">
        <f>IF(Z3727=1,(H3727-M3727)*I3727,0)</f>
        <v/>
      </c>
      <c r="AF3727">
        <f>IF(G3727&lt;EDATE(Assumptions!$C$6,-12)+1,"prior_12m","last_12m")</f>
        <v/>
      </c>
      <c r="AG3727" s="21">
        <f>DATE(YEAR(G3727),MONTH(G3727),1)</f>
        <v/>
      </c>
    </row>
    <row r="3728">
      <c r="A3728" t="inlineStr">
        <is>
          <t>SPO-01987-1</t>
        </is>
      </c>
      <c r="B3728" t="inlineStr">
        <is>
          <t>SPO-01987</t>
        </is>
      </c>
      <c r="C3728" t="inlineStr">
        <is>
          <t>SUP-01</t>
        </is>
      </c>
      <c r="D3728" t="inlineStr">
        <is>
          <t>ELEC</t>
        </is>
      </c>
      <c r="E3728" t="inlineStr">
        <is>
          <t>ELEC-05</t>
        </is>
      </c>
      <c r="F3728" s="17" t="n">
        <v>46124</v>
      </c>
      <c r="G3728" s="17" t="n">
        <v>46142</v>
      </c>
      <c r="H3728" s="18" t="n">
        <v>519</v>
      </c>
      <c r="I3728" s="19" t="n">
        <v>11.45</v>
      </c>
      <c r="J3728" s="19" t="n">
        <v>11.5</v>
      </c>
      <c r="K3728" s="20" t="n">
        <v>0</v>
      </c>
      <c r="L3728" s="20" t="n">
        <v>0</v>
      </c>
      <c r="M3728" s="18" t="n">
        <v>519</v>
      </c>
      <c r="N3728" s="18" t="n">
        <v>519</v>
      </c>
      <c r="O3728" s="18" t="n">
        <v>0</v>
      </c>
      <c r="P3728" s="17" t="n">
        <v>46134</v>
      </c>
      <c r="Q3728" s="17" t="n">
        <v>46134</v>
      </c>
      <c r="R3728" s="17" t="n">
        <v>46134</v>
      </c>
      <c r="S3728" s="19">
        <f>H3728*I3728</f>
        <v/>
      </c>
      <c r="T3728" s="19">
        <f>H3728*J3728</f>
        <v/>
      </c>
      <c r="U3728">
        <f>IF(AND(K3728=0,G3728&lt;=Assumptions!$C$6),1,0)</f>
        <v/>
      </c>
      <c r="V3728">
        <f>IF(U3728=1,IF(M3728&gt;0,IF(P3728&lt;=G3728+Assumptions!$C$7,1,0),0),0)</f>
        <v/>
      </c>
      <c r="W3728">
        <f>IF(AND(U3728=1,M3728&gt;=H3728*(1-Assumptions!$C$8)),1,0)</f>
        <v/>
      </c>
      <c r="X3728">
        <f>IF(AND(U3728=1,N3728&gt;=H3728*(1-Assumptions!$C$8)),1,0)</f>
        <v/>
      </c>
      <c r="Y3728">
        <f>IF(ISNUMBER(Q3728),1,0)</f>
        <v/>
      </c>
      <c r="Z3728">
        <f>IF(AND(K3728=0,L3728=0,Y3728=0),1,0)</f>
        <v/>
      </c>
      <c r="AA3728">
        <f>IF(AND(Z3728=1,G3728&lt;Assumptions!$C$6),1,0)</f>
        <v/>
      </c>
      <c r="AB3728">
        <f>IF(U3728=0,"",IF(Y3728=1,MAX(0,Q3728-G3728),IF(L3728=1,MAX(0,R3728-G3728),MAX(0,Assumptions!$C$6-G3728))))</f>
        <v/>
      </c>
      <c r="AC3728">
        <f>IF(Y3728=1,Q3728-F3728,"")</f>
        <v/>
      </c>
      <c r="AD3728">
        <f>IF(Y3728=1,AC3728^2,"")</f>
        <v/>
      </c>
      <c r="AE3728" s="19">
        <f>IF(Z3728=1,(H3728-M3728)*I3728,0)</f>
        <v/>
      </c>
      <c r="AF3728">
        <f>IF(G3728&lt;EDATE(Assumptions!$C$6,-12)+1,"prior_12m","last_12m")</f>
        <v/>
      </c>
      <c r="AG3728" s="21">
        <f>DATE(YEAR(G3728),MONTH(G3728),1)</f>
        <v/>
      </c>
    </row>
    <row r="3729">
      <c r="A3729" t="inlineStr">
        <is>
          <t>SPO-01987-2</t>
        </is>
      </c>
      <c r="B3729" t="inlineStr">
        <is>
          <t>SPO-01987</t>
        </is>
      </c>
      <c r="C3729" t="inlineStr">
        <is>
          <t>SUP-01</t>
        </is>
      </c>
      <c r="D3729" t="inlineStr">
        <is>
          <t>ELEC</t>
        </is>
      </c>
      <c r="E3729" t="inlineStr">
        <is>
          <t>ELEC-08</t>
        </is>
      </c>
      <c r="F3729" s="17" t="n">
        <v>46124</v>
      </c>
      <c r="G3729" s="17" t="n">
        <v>46142</v>
      </c>
      <c r="H3729" s="18" t="n">
        <v>72</v>
      </c>
      <c r="I3729" s="19" t="n">
        <v>18.14</v>
      </c>
      <c r="J3729" s="19" t="n">
        <v>18</v>
      </c>
      <c r="K3729" s="20" t="n">
        <v>0</v>
      </c>
      <c r="L3729" s="20" t="n">
        <v>0</v>
      </c>
      <c r="M3729" s="18" t="n">
        <v>72</v>
      </c>
      <c r="N3729" s="18" t="n">
        <v>0</v>
      </c>
      <c r="O3729" s="18" t="n">
        <v>0</v>
      </c>
      <c r="P3729" s="17" t="n">
        <v>46150</v>
      </c>
      <c r="Q3729" s="17" t="n">
        <v>46150</v>
      </c>
      <c r="R3729" s="17" t="n">
        <v>46150</v>
      </c>
      <c r="S3729" s="19">
        <f>H3729*I3729</f>
        <v/>
      </c>
      <c r="T3729" s="19">
        <f>H3729*J3729</f>
        <v/>
      </c>
      <c r="U3729">
        <f>IF(AND(K3729=0,G3729&lt;=Assumptions!$C$6),1,0)</f>
        <v/>
      </c>
      <c r="V3729">
        <f>IF(U3729=1,IF(M3729&gt;0,IF(P3729&lt;=G3729+Assumptions!$C$7,1,0),0),0)</f>
        <v/>
      </c>
      <c r="W3729">
        <f>IF(AND(U3729=1,M3729&gt;=H3729*(1-Assumptions!$C$8)),1,0)</f>
        <v/>
      </c>
      <c r="X3729">
        <f>IF(AND(U3729=1,N3729&gt;=H3729*(1-Assumptions!$C$8)),1,0)</f>
        <v/>
      </c>
      <c r="Y3729">
        <f>IF(ISNUMBER(Q3729),1,0)</f>
        <v/>
      </c>
      <c r="Z3729">
        <f>IF(AND(K3729=0,L3729=0,Y3729=0),1,0)</f>
        <v/>
      </c>
      <c r="AA3729">
        <f>IF(AND(Z3729=1,G3729&lt;Assumptions!$C$6),1,0)</f>
        <v/>
      </c>
      <c r="AB3729">
        <f>IF(U3729=0,"",IF(Y3729=1,MAX(0,Q3729-G3729),IF(L3729=1,MAX(0,R3729-G3729),MAX(0,Assumptions!$C$6-G3729))))</f>
        <v/>
      </c>
      <c r="AC3729">
        <f>IF(Y3729=1,Q3729-F3729,"")</f>
        <v/>
      </c>
      <c r="AD3729">
        <f>IF(Y3729=1,AC3729^2,"")</f>
        <v/>
      </c>
      <c r="AE3729" s="19">
        <f>IF(Z3729=1,(H3729-M3729)*I3729,0)</f>
        <v/>
      </c>
      <c r="AF3729">
        <f>IF(G3729&lt;EDATE(Assumptions!$C$6,-12)+1,"prior_12m","last_12m")</f>
        <v/>
      </c>
      <c r="AG3729" s="21">
        <f>DATE(YEAR(G3729),MONTH(G3729),1)</f>
        <v/>
      </c>
    </row>
    <row r="3730">
      <c r="A3730" t="inlineStr">
        <is>
          <t>SPO-01987-3</t>
        </is>
      </c>
      <c r="B3730" t="inlineStr">
        <is>
          <t>SPO-01987</t>
        </is>
      </c>
      <c r="C3730" t="inlineStr">
        <is>
          <t>SUP-01</t>
        </is>
      </c>
      <c r="D3730" t="inlineStr">
        <is>
          <t>ELEC</t>
        </is>
      </c>
      <c r="E3730" t="inlineStr">
        <is>
          <t>ELEC-02</t>
        </is>
      </c>
      <c r="F3730" s="17" t="n">
        <v>46124</v>
      </c>
      <c r="G3730" s="17" t="n">
        <v>46142</v>
      </c>
      <c r="H3730" s="18" t="n">
        <v>597</v>
      </c>
      <c r="I3730" s="19" t="n">
        <v>4.2</v>
      </c>
      <c r="J3730" s="19" t="n">
        <v>4.2</v>
      </c>
      <c r="K3730" s="20" t="n">
        <v>0</v>
      </c>
      <c r="L3730" s="20" t="n">
        <v>0</v>
      </c>
      <c r="M3730" s="18" t="n">
        <v>597</v>
      </c>
      <c r="N3730" s="18" t="n">
        <v>0</v>
      </c>
      <c r="O3730" s="18" t="n">
        <v>0</v>
      </c>
      <c r="P3730" s="17" t="n">
        <v>46145</v>
      </c>
      <c r="Q3730" s="17" t="n">
        <v>46145</v>
      </c>
      <c r="R3730" s="17" t="n">
        <v>46145</v>
      </c>
      <c r="S3730" s="19">
        <f>H3730*I3730</f>
        <v/>
      </c>
      <c r="T3730" s="19">
        <f>H3730*J3730</f>
        <v/>
      </c>
      <c r="U3730">
        <f>IF(AND(K3730=0,G3730&lt;=Assumptions!$C$6),1,0)</f>
        <v/>
      </c>
      <c r="V3730">
        <f>IF(U3730=1,IF(M3730&gt;0,IF(P3730&lt;=G3730+Assumptions!$C$7,1,0),0),0)</f>
        <v/>
      </c>
      <c r="W3730">
        <f>IF(AND(U3730=1,M3730&gt;=H3730*(1-Assumptions!$C$8)),1,0)</f>
        <v/>
      </c>
      <c r="X3730">
        <f>IF(AND(U3730=1,N3730&gt;=H3730*(1-Assumptions!$C$8)),1,0)</f>
        <v/>
      </c>
      <c r="Y3730">
        <f>IF(ISNUMBER(Q3730),1,0)</f>
        <v/>
      </c>
      <c r="Z3730">
        <f>IF(AND(K3730=0,L3730=0,Y3730=0),1,0)</f>
        <v/>
      </c>
      <c r="AA3730">
        <f>IF(AND(Z3730=1,G3730&lt;Assumptions!$C$6),1,0)</f>
        <v/>
      </c>
      <c r="AB3730">
        <f>IF(U3730=0,"",IF(Y3730=1,MAX(0,Q3730-G3730),IF(L3730=1,MAX(0,R3730-G3730),MAX(0,Assumptions!$C$6-G3730))))</f>
        <v/>
      </c>
      <c r="AC3730">
        <f>IF(Y3730=1,Q3730-F3730,"")</f>
        <v/>
      </c>
      <c r="AD3730">
        <f>IF(Y3730=1,AC3730^2,"")</f>
        <v/>
      </c>
      <c r="AE3730" s="19">
        <f>IF(Z3730=1,(H3730-M3730)*I3730,0)</f>
        <v/>
      </c>
      <c r="AF3730">
        <f>IF(G3730&lt;EDATE(Assumptions!$C$6,-12)+1,"prior_12m","last_12m")</f>
        <v/>
      </c>
      <c r="AG3730" s="21">
        <f>DATE(YEAR(G3730),MONTH(G3730),1)</f>
        <v/>
      </c>
    </row>
    <row r="3731">
      <c r="A3731" t="inlineStr">
        <is>
          <t>SPO-01988-1</t>
        </is>
      </c>
      <c r="B3731" t="inlineStr">
        <is>
          <t>SPO-01988</t>
        </is>
      </c>
      <c r="C3731" t="inlineStr">
        <is>
          <t>SUP-04</t>
        </is>
      </c>
      <c r="D3731" t="inlineStr">
        <is>
          <t>FLEET</t>
        </is>
      </c>
      <c r="E3731" t="inlineStr">
        <is>
          <t>FLEET-08</t>
        </is>
      </c>
      <c r="F3731" s="17" t="n">
        <v>46126</v>
      </c>
      <c r="G3731" s="17" t="n">
        <v>46139</v>
      </c>
      <c r="H3731" s="18" t="n">
        <v>279</v>
      </c>
      <c r="I3731" s="19" t="n">
        <v>6.4</v>
      </c>
      <c r="J3731" s="19" t="n">
        <v>6.4</v>
      </c>
      <c r="K3731" s="20" t="n">
        <v>0</v>
      </c>
      <c r="L3731" s="20" t="n">
        <v>0</v>
      </c>
      <c r="M3731" s="18" t="n">
        <v>279</v>
      </c>
      <c r="N3731" s="18" t="n">
        <v>279</v>
      </c>
      <c r="O3731" s="18" t="n">
        <v>0</v>
      </c>
      <c r="P3731" s="17" t="n">
        <v>46138</v>
      </c>
      <c r="Q3731" s="17" t="n">
        <v>46138</v>
      </c>
      <c r="R3731" s="17" t="n">
        <v>46138</v>
      </c>
      <c r="S3731" s="19">
        <f>H3731*I3731</f>
        <v/>
      </c>
      <c r="T3731" s="19">
        <f>H3731*J3731</f>
        <v/>
      </c>
      <c r="U3731">
        <f>IF(AND(K3731=0,G3731&lt;=Assumptions!$C$6),1,0)</f>
        <v/>
      </c>
      <c r="V3731">
        <f>IF(U3731=1,IF(M3731&gt;0,IF(P3731&lt;=G3731+Assumptions!$C$7,1,0),0),0)</f>
        <v/>
      </c>
      <c r="W3731">
        <f>IF(AND(U3731=1,M3731&gt;=H3731*(1-Assumptions!$C$8)),1,0)</f>
        <v/>
      </c>
      <c r="X3731">
        <f>IF(AND(U3731=1,N3731&gt;=H3731*(1-Assumptions!$C$8)),1,0)</f>
        <v/>
      </c>
      <c r="Y3731">
        <f>IF(ISNUMBER(Q3731),1,0)</f>
        <v/>
      </c>
      <c r="Z3731">
        <f>IF(AND(K3731=0,L3731=0,Y3731=0),1,0)</f>
        <v/>
      </c>
      <c r="AA3731">
        <f>IF(AND(Z3731=1,G3731&lt;Assumptions!$C$6),1,0)</f>
        <v/>
      </c>
      <c r="AB3731">
        <f>IF(U3731=0,"",IF(Y3731=1,MAX(0,Q3731-G3731),IF(L3731=1,MAX(0,R3731-G3731),MAX(0,Assumptions!$C$6-G3731))))</f>
        <v/>
      </c>
      <c r="AC3731">
        <f>IF(Y3731=1,Q3731-F3731,"")</f>
        <v/>
      </c>
      <c r="AD3731">
        <f>IF(Y3731=1,AC3731^2,"")</f>
        <v/>
      </c>
      <c r="AE3731" s="19">
        <f>IF(Z3731=1,(H3731-M3731)*I3731,0)</f>
        <v/>
      </c>
      <c r="AF3731">
        <f>IF(G3731&lt;EDATE(Assumptions!$C$6,-12)+1,"prior_12m","last_12m")</f>
        <v/>
      </c>
      <c r="AG3731" s="21">
        <f>DATE(YEAR(G3731),MONTH(G3731),1)</f>
        <v/>
      </c>
    </row>
    <row r="3732">
      <c r="A3732" t="inlineStr">
        <is>
          <t>SPO-01988-2</t>
        </is>
      </c>
      <c r="B3732" t="inlineStr">
        <is>
          <t>SPO-01988</t>
        </is>
      </c>
      <c r="C3732" t="inlineStr">
        <is>
          <t>SUP-04</t>
        </is>
      </c>
      <c r="D3732" t="inlineStr">
        <is>
          <t>FLEET</t>
        </is>
      </c>
      <c r="E3732" t="inlineStr">
        <is>
          <t>FLEET-05</t>
        </is>
      </c>
      <c r="F3732" s="17" t="n">
        <v>46126</v>
      </c>
      <c r="G3732" s="17" t="n">
        <v>46139</v>
      </c>
      <c r="H3732" s="18" t="n">
        <v>5</v>
      </c>
      <c r="I3732" s="19" t="n">
        <v>163.04</v>
      </c>
      <c r="J3732" s="19" t="n">
        <v>168</v>
      </c>
      <c r="K3732" s="20" t="n">
        <v>0</v>
      </c>
      <c r="L3732" s="20" t="n">
        <v>0</v>
      </c>
      <c r="M3732" s="18" t="n">
        <v>5</v>
      </c>
      <c r="N3732" s="18" t="n">
        <v>0</v>
      </c>
      <c r="O3732" s="18" t="n">
        <v>0</v>
      </c>
      <c r="P3732" s="17" t="n">
        <v>46145</v>
      </c>
      <c r="Q3732" s="17" t="n">
        <v>46145</v>
      </c>
      <c r="R3732" s="17" t="n">
        <v>46145</v>
      </c>
      <c r="S3732" s="19">
        <f>H3732*I3732</f>
        <v/>
      </c>
      <c r="T3732" s="19">
        <f>H3732*J3732</f>
        <v/>
      </c>
      <c r="U3732">
        <f>IF(AND(K3732=0,G3732&lt;=Assumptions!$C$6),1,0)</f>
        <v/>
      </c>
      <c r="V3732">
        <f>IF(U3732=1,IF(M3732&gt;0,IF(P3732&lt;=G3732+Assumptions!$C$7,1,0),0),0)</f>
        <v/>
      </c>
      <c r="W3732">
        <f>IF(AND(U3732=1,M3732&gt;=H3732*(1-Assumptions!$C$8)),1,0)</f>
        <v/>
      </c>
      <c r="X3732">
        <f>IF(AND(U3732=1,N3732&gt;=H3732*(1-Assumptions!$C$8)),1,0)</f>
        <v/>
      </c>
      <c r="Y3732">
        <f>IF(ISNUMBER(Q3732),1,0)</f>
        <v/>
      </c>
      <c r="Z3732">
        <f>IF(AND(K3732=0,L3732=0,Y3732=0),1,0)</f>
        <v/>
      </c>
      <c r="AA3732">
        <f>IF(AND(Z3732=1,G3732&lt;Assumptions!$C$6),1,0)</f>
        <v/>
      </c>
      <c r="AB3732">
        <f>IF(U3732=0,"",IF(Y3732=1,MAX(0,Q3732-G3732),IF(L3732=1,MAX(0,R3732-G3732),MAX(0,Assumptions!$C$6-G3732))))</f>
        <v/>
      </c>
      <c r="AC3732">
        <f>IF(Y3732=1,Q3732-F3732,"")</f>
        <v/>
      </c>
      <c r="AD3732">
        <f>IF(Y3732=1,AC3732^2,"")</f>
        <v/>
      </c>
      <c r="AE3732" s="19">
        <f>IF(Z3732=1,(H3732-M3732)*I3732,0)</f>
        <v/>
      </c>
      <c r="AF3732">
        <f>IF(G3732&lt;EDATE(Assumptions!$C$6,-12)+1,"prior_12m","last_12m")</f>
        <v/>
      </c>
      <c r="AG3732" s="21">
        <f>DATE(YEAR(G3732),MONTH(G3732),1)</f>
        <v/>
      </c>
    </row>
    <row r="3733">
      <c r="A3733" t="inlineStr">
        <is>
          <t>SPO-01988-3</t>
        </is>
      </c>
      <c r="B3733" t="inlineStr">
        <is>
          <t>SPO-01988</t>
        </is>
      </c>
      <c r="C3733" t="inlineStr">
        <is>
          <t>SUP-04</t>
        </is>
      </c>
      <c r="D3733" t="inlineStr">
        <is>
          <t>FLEET</t>
        </is>
      </c>
      <c r="E3733" t="inlineStr">
        <is>
          <t>FLEET-02</t>
        </is>
      </c>
      <c r="F3733" s="17" t="n">
        <v>46126</v>
      </c>
      <c r="G3733" s="17" t="n">
        <v>46139</v>
      </c>
      <c r="H3733" s="18" t="n">
        <v>305</v>
      </c>
      <c r="I3733" s="19" t="n">
        <v>7.71</v>
      </c>
      <c r="J3733" s="19" t="n">
        <v>7.5</v>
      </c>
      <c r="K3733" s="20" t="n">
        <v>0</v>
      </c>
      <c r="L3733" s="20" t="n">
        <v>0</v>
      </c>
      <c r="M3733" s="18" t="n">
        <v>305</v>
      </c>
      <c r="N3733" s="18" t="n">
        <v>0</v>
      </c>
      <c r="O3733" s="18" t="n">
        <v>0</v>
      </c>
      <c r="P3733" s="17" t="n">
        <v>46143</v>
      </c>
      <c r="Q3733" s="17" t="n">
        <v>46143</v>
      </c>
      <c r="R3733" s="17" t="n">
        <v>46143</v>
      </c>
      <c r="S3733" s="19">
        <f>H3733*I3733</f>
        <v/>
      </c>
      <c r="T3733" s="19">
        <f>H3733*J3733</f>
        <v/>
      </c>
      <c r="U3733">
        <f>IF(AND(K3733=0,G3733&lt;=Assumptions!$C$6),1,0)</f>
        <v/>
      </c>
      <c r="V3733">
        <f>IF(U3733=1,IF(M3733&gt;0,IF(P3733&lt;=G3733+Assumptions!$C$7,1,0),0),0)</f>
        <v/>
      </c>
      <c r="W3733">
        <f>IF(AND(U3733=1,M3733&gt;=H3733*(1-Assumptions!$C$8)),1,0)</f>
        <v/>
      </c>
      <c r="X3733">
        <f>IF(AND(U3733=1,N3733&gt;=H3733*(1-Assumptions!$C$8)),1,0)</f>
        <v/>
      </c>
      <c r="Y3733">
        <f>IF(ISNUMBER(Q3733),1,0)</f>
        <v/>
      </c>
      <c r="Z3733">
        <f>IF(AND(K3733=0,L3733=0,Y3733=0),1,0)</f>
        <v/>
      </c>
      <c r="AA3733">
        <f>IF(AND(Z3733=1,G3733&lt;Assumptions!$C$6),1,0)</f>
        <v/>
      </c>
      <c r="AB3733">
        <f>IF(U3733=0,"",IF(Y3733=1,MAX(0,Q3733-G3733),IF(L3733=1,MAX(0,R3733-G3733),MAX(0,Assumptions!$C$6-G3733))))</f>
        <v/>
      </c>
      <c r="AC3733">
        <f>IF(Y3733=1,Q3733-F3733,"")</f>
        <v/>
      </c>
      <c r="AD3733">
        <f>IF(Y3733=1,AC3733^2,"")</f>
        <v/>
      </c>
      <c r="AE3733" s="19">
        <f>IF(Z3733=1,(H3733-M3733)*I3733,0)</f>
        <v/>
      </c>
      <c r="AF3733">
        <f>IF(G3733&lt;EDATE(Assumptions!$C$6,-12)+1,"prior_12m","last_12m")</f>
        <v/>
      </c>
      <c r="AG3733" s="21">
        <f>DATE(YEAR(G3733),MONTH(G3733),1)</f>
        <v/>
      </c>
    </row>
    <row r="3734">
      <c r="A3734" t="inlineStr">
        <is>
          <t>SPO-01988-4</t>
        </is>
      </c>
      <c r="B3734" t="inlineStr">
        <is>
          <t>SPO-01988</t>
        </is>
      </c>
      <c r="C3734" t="inlineStr">
        <is>
          <t>SUP-04</t>
        </is>
      </c>
      <c r="D3734" t="inlineStr">
        <is>
          <t>FLEET</t>
        </is>
      </c>
      <c r="E3734" t="inlineStr">
        <is>
          <t>FLEET-04</t>
        </is>
      </c>
      <c r="F3734" s="17" t="n">
        <v>46126</v>
      </c>
      <c r="G3734" s="17" t="n">
        <v>46139</v>
      </c>
      <c r="H3734" s="18" t="n">
        <v>399</v>
      </c>
      <c r="I3734" s="19" t="n">
        <v>9.01</v>
      </c>
      <c r="J3734" s="19" t="n">
        <v>9</v>
      </c>
      <c r="K3734" s="20" t="n">
        <v>0</v>
      </c>
      <c r="L3734" s="20" t="n">
        <v>0</v>
      </c>
      <c r="M3734" s="18" t="n">
        <v>399</v>
      </c>
      <c r="N3734" s="18" t="n">
        <v>0</v>
      </c>
      <c r="O3734" s="18" t="n">
        <v>0</v>
      </c>
      <c r="P3734" s="17" t="n">
        <v>46145</v>
      </c>
      <c r="Q3734" s="17" t="n">
        <v>46145</v>
      </c>
      <c r="R3734" s="17" t="n">
        <v>46145</v>
      </c>
      <c r="S3734" s="19">
        <f>H3734*I3734</f>
        <v/>
      </c>
      <c r="T3734" s="19">
        <f>H3734*J3734</f>
        <v/>
      </c>
      <c r="U3734">
        <f>IF(AND(K3734=0,G3734&lt;=Assumptions!$C$6),1,0)</f>
        <v/>
      </c>
      <c r="V3734">
        <f>IF(U3734=1,IF(M3734&gt;0,IF(P3734&lt;=G3734+Assumptions!$C$7,1,0),0),0)</f>
        <v/>
      </c>
      <c r="W3734">
        <f>IF(AND(U3734=1,M3734&gt;=H3734*(1-Assumptions!$C$8)),1,0)</f>
        <v/>
      </c>
      <c r="X3734">
        <f>IF(AND(U3734=1,N3734&gt;=H3734*(1-Assumptions!$C$8)),1,0)</f>
        <v/>
      </c>
      <c r="Y3734">
        <f>IF(ISNUMBER(Q3734),1,0)</f>
        <v/>
      </c>
      <c r="Z3734">
        <f>IF(AND(K3734=0,L3734=0,Y3734=0),1,0)</f>
        <v/>
      </c>
      <c r="AA3734">
        <f>IF(AND(Z3734=1,G3734&lt;Assumptions!$C$6),1,0)</f>
        <v/>
      </c>
      <c r="AB3734">
        <f>IF(U3734=0,"",IF(Y3734=1,MAX(0,Q3734-G3734),IF(L3734=1,MAX(0,R3734-G3734),MAX(0,Assumptions!$C$6-G3734))))</f>
        <v/>
      </c>
      <c r="AC3734">
        <f>IF(Y3734=1,Q3734-F3734,"")</f>
        <v/>
      </c>
      <c r="AD3734">
        <f>IF(Y3734=1,AC3734^2,"")</f>
        <v/>
      </c>
      <c r="AE3734" s="19">
        <f>IF(Z3734=1,(H3734-M3734)*I3734,0)</f>
        <v/>
      </c>
      <c r="AF3734">
        <f>IF(G3734&lt;EDATE(Assumptions!$C$6,-12)+1,"prior_12m","last_12m")</f>
        <v/>
      </c>
      <c r="AG3734" s="21">
        <f>DATE(YEAR(G3734),MONTH(G3734),1)</f>
        <v/>
      </c>
    </row>
    <row r="3735">
      <c r="A3735" t="inlineStr">
        <is>
          <t>SPO-01989-1</t>
        </is>
      </c>
      <c r="B3735" t="inlineStr">
        <is>
          <t>SPO-01989</t>
        </is>
      </c>
      <c r="C3735" t="inlineStr">
        <is>
          <t>SUP-05</t>
        </is>
      </c>
      <c r="D3735" t="inlineStr">
        <is>
          <t>FLEET</t>
        </is>
      </c>
      <c r="E3735" t="inlineStr">
        <is>
          <t>FLEET-03</t>
        </is>
      </c>
      <c r="F3735" s="17" t="n">
        <v>46126</v>
      </c>
      <c r="G3735" s="17" t="n">
        <v>46140</v>
      </c>
      <c r="H3735" s="18" t="n">
        <v>125</v>
      </c>
      <c r="I3735" s="19" t="n">
        <v>20.96</v>
      </c>
      <c r="J3735" s="19" t="n">
        <v>21</v>
      </c>
      <c r="K3735" s="20" t="n">
        <v>0</v>
      </c>
      <c r="L3735" s="20" t="n">
        <v>0</v>
      </c>
      <c r="M3735" s="18" t="n">
        <v>125</v>
      </c>
      <c r="N3735" s="18" t="n">
        <v>125</v>
      </c>
      <c r="O3735" s="18" t="n">
        <v>0</v>
      </c>
      <c r="P3735" s="17" t="n">
        <v>46135</v>
      </c>
      <c r="Q3735" s="17" t="n">
        <v>46135</v>
      </c>
      <c r="R3735" s="17" t="n">
        <v>46135</v>
      </c>
      <c r="S3735" s="19">
        <f>H3735*I3735</f>
        <v/>
      </c>
      <c r="T3735" s="19">
        <f>H3735*J3735</f>
        <v/>
      </c>
      <c r="U3735">
        <f>IF(AND(K3735=0,G3735&lt;=Assumptions!$C$6),1,0)</f>
        <v/>
      </c>
      <c r="V3735">
        <f>IF(U3735=1,IF(M3735&gt;0,IF(P3735&lt;=G3735+Assumptions!$C$7,1,0),0),0)</f>
        <v/>
      </c>
      <c r="W3735">
        <f>IF(AND(U3735=1,M3735&gt;=H3735*(1-Assumptions!$C$8)),1,0)</f>
        <v/>
      </c>
      <c r="X3735">
        <f>IF(AND(U3735=1,N3735&gt;=H3735*(1-Assumptions!$C$8)),1,0)</f>
        <v/>
      </c>
      <c r="Y3735">
        <f>IF(ISNUMBER(Q3735),1,0)</f>
        <v/>
      </c>
      <c r="Z3735">
        <f>IF(AND(K3735=0,L3735=0,Y3735=0),1,0)</f>
        <v/>
      </c>
      <c r="AA3735">
        <f>IF(AND(Z3735=1,G3735&lt;Assumptions!$C$6),1,0)</f>
        <v/>
      </c>
      <c r="AB3735">
        <f>IF(U3735=0,"",IF(Y3735=1,MAX(0,Q3735-G3735),IF(L3735=1,MAX(0,R3735-G3735),MAX(0,Assumptions!$C$6-G3735))))</f>
        <v/>
      </c>
      <c r="AC3735">
        <f>IF(Y3735=1,Q3735-F3735,"")</f>
        <v/>
      </c>
      <c r="AD3735">
        <f>IF(Y3735=1,AC3735^2,"")</f>
        <v/>
      </c>
      <c r="AE3735" s="19">
        <f>IF(Z3735=1,(H3735-M3735)*I3735,0)</f>
        <v/>
      </c>
      <c r="AF3735">
        <f>IF(G3735&lt;EDATE(Assumptions!$C$6,-12)+1,"prior_12m","last_12m")</f>
        <v/>
      </c>
      <c r="AG3735" s="21">
        <f>DATE(YEAR(G3735),MONTH(G3735),1)</f>
        <v/>
      </c>
    </row>
    <row r="3736">
      <c r="A3736" t="inlineStr">
        <is>
          <t>SPO-01990-1</t>
        </is>
      </c>
      <c r="B3736" t="inlineStr">
        <is>
          <t>SPO-01990</t>
        </is>
      </c>
      <c r="C3736" t="inlineStr">
        <is>
          <t>SUP-06</t>
        </is>
      </c>
      <c r="D3736" t="inlineStr">
        <is>
          <t>MRO</t>
        </is>
      </c>
      <c r="E3736" t="inlineStr">
        <is>
          <t>MRO-03</t>
        </is>
      </c>
      <c r="F3736" s="17" t="n">
        <v>46127</v>
      </c>
      <c r="G3736" s="17" t="n">
        <v>46135</v>
      </c>
      <c r="H3736" s="18" t="n">
        <v>213</v>
      </c>
      <c r="I3736" s="19" t="n">
        <v>8.69</v>
      </c>
      <c r="J3736" s="19" t="n">
        <v>8.9</v>
      </c>
      <c r="K3736" s="20" t="n">
        <v>0</v>
      </c>
      <c r="L3736" s="20" t="n">
        <v>0</v>
      </c>
      <c r="M3736" s="18" t="n">
        <v>213</v>
      </c>
      <c r="N3736" s="18" t="n">
        <v>213</v>
      </c>
      <c r="O3736" s="18" t="n">
        <v>0</v>
      </c>
      <c r="P3736" s="17" t="n">
        <v>46133</v>
      </c>
      <c r="Q3736" s="17" t="n">
        <v>46133</v>
      </c>
      <c r="R3736" s="17" t="n">
        <v>46133</v>
      </c>
      <c r="S3736" s="19">
        <f>H3736*I3736</f>
        <v/>
      </c>
      <c r="T3736" s="19">
        <f>H3736*J3736</f>
        <v/>
      </c>
      <c r="U3736">
        <f>IF(AND(K3736=0,G3736&lt;=Assumptions!$C$6),1,0)</f>
        <v/>
      </c>
      <c r="V3736">
        <f>IF(U3736=1,IF(M3736&gt;0,IF(P3736&lt;=G3736+Assumptions!$C$7,1,0),0),0)</f>
        <v/>
      </c>
      <c r="W3736">
        <f>IF(AND(U3736=1,M3736&gt;=H3736*(1-Assumptions!$C$8)),1,0)</f>
        <v/>
      </c>
      <c r="X3736">
        <f>IF(AND(U3736=1,N3736&gt;=H3736*(1-Assumptions!$C$8)),1,0)</f>
        <v/>
      </c>
      <c r="Y3736">
        <f>IF(ISNUMBER(Q3736),1,0)</f>
        <v/>
      </c>
      <c r="Z3736">
        <f>IF(AND(K3736=0,L3736=0,Y3736=0),1,0)</f>
        <v/>
      </c>
      <c r="AA3736">
        <f>IF(AND(Z3736=1,G3736&lt;Assumptions!$C$6),1,0)</f>
        <v/>
      </c>
      <c r="AB3736">
        <f>IF(U3736=0,"",IF(Y3736=1,MAX(0,Q3736-G3736),IF(L3736=1,MAX(0,R3736-G3736),MAX(0,Assumptions!$C$6-G3736))))</f>
        <v/>
      </c>
      <c r="AC3736">
        <f>IF(Y3736=1,Q3736-F3736,"")</f>
        <v/>
      </c>
      <c r="AD3736">
        <f>IF(Y3736=1,AC3736^2,"")</f>
        <v/>
      </c>
      <c r="AE3736" s="19">
        <f>IF(Z3736=1,(H3736-M3736)*I3736,0)</f>
        <v/>
      </c>
      <c r="AF3736">
        <f>IF(G3736&lt;EDATE(Assumptions!$C$6,-12)+1,"prior_12m","last_12m")</f>
        <v/>
      </c>
      <c r="AG3736" s="21">
        <f>DATE(YEAR(G3736),MONTH(G3736),1)</f>
        <v/>
      </c>
    </row>
    <row r="3737">
      <c r="A3737" t="inlineStr">
        <is>
          <t>SPO-01990-2</t>
        </is>
      </c>
      <c r="B3737" t="inlineStr">
        <is>
          <t>SPO-01990</t>
        </is>
      </c>
      <c r="C3737" t="inlineStr">
        <is>
          <t>SUP-06</t>
        </is>
      </c>
      <c r="D3737" t="inlineStr">
        <is>
          <t>MRO</t>
        </is>
      </c>
      <c r="E3737" t="inlineStr">
        <is>
          <t>MRO-05</t>
        </is>
      </c>
      <c r="F3737" s="17" t="n">
        <v>46127</v>
      </c>
      <c r="G3737" s="17" t="n">
        <v>46135</v>
      </c>
      <c r="H3737" s="18" t="n">
        <v>79</v>
      </c>
      <c r="I3737" s="19" t="n">
        <v>34.17</v>
      </c>
      <c r="J3737" s="19" t="n">
        <v>36</v>
      </c>
      <c r="K3737" s="20" t="n">
        <v>0</v>
      </c>
      <c r="L3737" s="20" t="n">
        <v>0</v>
      </c>
      <c r="M3737" s="18" t="n">
        <v>79</v>
      </c>
      <c r="N3737" s="18" t="n">
        <v>79</v>
      </c>
      <c r="O3737" s="18" t="n">
        <v>0</v>
      </c>
      <c r="P3737" s="17" t="n">
        <v>46134</v>
      </c>
      <c r="Q3737" s="17" t="n">
        <v>46134</v>
      </c>
      <c r="R3737" s="17" t="n">
        <v>46134</v>
      </c>
      <c r="S3737" s="19">
        <f>H3737*I3737</f>
        <v/>
      </c>
      <c r="T3737" s="19">
        <f>H3737*J3737</f>
        <v/>
      </c>
      <c r="U3737">
        <f>IF(AND(K3737=0,G3737&lt;=Assumptions!$C$6),1,0)</f>
        <v/>
      </c>
      <c r="V3737">
        <f>IF(U3737=1,IF(M3737&gt;0,IF(P3737&lt;=G3737+Assumptions!$C$7,1,0),0),0)</f>
        <v/>
      </c>
      <c r="W3737">
        <f>IF(AND(U3737=1,M3737&gt;=H3737*(1-Assumptions!$C$8)),1,0)</f>
        <v/>
      </c>
      <c r="X3737">
        <f>IF(AND(U3737=1,N3737&gt;=H3737*(1-Assumptions!$C$8)),1,0)</f>
        <v/>
      </c>
      <c r="Y3737">
        <f>IF(ISNUMBER(Q3737),1,0)</f>
        <v/>
      </c>
      <c r="Z3737">
        <f>IF(AND(K3737=0,L3737=0,Y3737=0),1,0)</f>
        <v/>
      </c>
      <c r="AA3737">
        <f>IF(AND(Z3737=1,G3737&lt;Assumptions!$C$6),1,0)</f>
        <v/>
      </c>
      <c r="AB3737">
        <f>IF(U3737=0,"",IF(Y3737=1,MAX(0,Q3737-G3737),IF(L3737=1,MAX(0,R3737-G3737),MAX(0,Assumptions!$C$6-G3737))))</f>
        <v/>
      </c>
      <c r="AC3737">
        <f>IF(Y3737=1,Q3737-F3737,"")</f>
        <v/>
      </c>
      <c r="AD3737">
        <f>IF(Y3737=1,AC3737^2,"")</f>
        <v/>
      </c>
      <c r="AE3737" s="19">
        <f>IF(Z3737=1,(H3737-M3737)*I3737,0)</f>
        <v/>
      </c>
      <c r="AF3737">
        <f>IF(G3737&lt;EDATE(Assumptions!$C$6,-12)+1,"prior_12m","last_12m")</f>
        <v/>
      </c>
      <c r="AG3737" s="21">
        <f>DATE(YEAR(G3737),MONTH(G3737),1)</f>
        <v/>
      </c>
    </row>
    <row r="3738">
      <c r="A3738" t="inlineStr">
        <is>
          <t>SPO-01991-1</t>
        </is>
      </c>
      <c r="B3738" t="inlineStr">
        <is>
          <t>SPO-01991</t>
        </is>
      </c>
      <c r="C3738" t="inlineStr">
        <is>
          <t>SUP-08</t>
        </is>
      </c>
      <c r="D3738" t="inlineStr">
        <is>
          <t>PPE</t>
        </is>
      </c>
      <c r="E3738" t="inlineStr">
        <is>
          <t>PPE-03</t>
        </is>
      </c>
      <c r="F3738" s="17" t="n">
        <v>46127</v>
      </c>
      <c r="G3738" s="17" t="n">
        <v>46138</v>
      </c>
      <c r="H3738" s="18" t="n">
        <v>43</v>
      </c>
      <c r="I3738" s="19" t="n">
        <v>22.19</v>
      </c>
      <c r="J3738" s="19" t="n">
        <v>21</v>
      </c>
      <c r="K3738" s="20" t="n">
        <v>0</v>
      </c>
      <c r="L3738" s="20" t="n">
        <v>0</v>
      </c>
      <c r="M3738" s="18" t="n">
        <v>43</v>
      </c>
      <c r="N3738" s="18" t="n">
        <v>43</v>
      </c>
      <c r="O3738" s="18" t="n">
        <v>0</v>
      </c>
      <c r="P3738" s="17" t="n">
        <v>46136</v>
      </c>
      <c r="Q3738" s="17" t="n">
        <v>46136</v>
      </c>
      <c r="R3738" s="17" t="n">
        <v>46136</v>
      </c>
      <c r="S3738" s="19">
        <f>H3738*I3738</f>
        <v/>
      </c>
      <c r="T3738" s="19">
        <f>H3738*J3738</f>
        <v/>
      </c>
      <c r="U3738">
        <f>IF(AND(K3738=0,G3738&lt;=Assumptions!$C$6),1,0)</f>
        <v/>
      </c>
      <c r="V3738">
        <f>IF(U3738=1,IF(M3738&gt;0,IF(P3738&lt;=G3738+Assumptions!$C$7,1,0),0),0)</f>
        <v/>
      </c>
      <c r="W3738">
        <f>IF(AND(U3738=1,M3738&gt;=H3738*(1-Assumptions!$C$8)),1,0)</f>
        <v/>
      </c>
      <c r="X3738">
        <f>IF(AND(U3738=1,N3738&gt;=H3738*(1-Assumptions!$C$8)),1,0)</f>
        <v/>
      </c>
      <c r="Y3738">
        <f>IF(ISNUMBER(Q3738),1,0)</f>
        <v/>
      </c>
      <c r="Z3738">
        <f>IF(AND(K3738=0,L3738=0,Y3738=0),1,0)</f>
        <v/>
      </c>
      <c r="AA3738">
        <f>IF(AND(Z3738=1,G3738&lt;Assumptions!$C$6),1,0)</f>
        <v/>
      </c>
      <c r="AB3738">
        <f>IF(U3738=0,"",IF(Y3738=1,MAX(0,Q3738-G3738),IF(L3738=1,MAX(0,R3738-G3738),MAX(0,Assumptions!$C$6-G3738))))</f>
        <v/>
      </c>
      <c r="AC3738">
        <f>IF(Y3738=1,Q3738-F3738,"")</f>
        <v/>
      </c>
      <c r="AD3738">
        <f>IF(Y3738=1,AC3738^2,"")</f>
        <v/>
      </c>
      <c r="AE3738" s="19">
        <f>IF(Z3738=1,(H3738-M3738)*I3738,0)</f>
        <v/>
      </c>
      <c r="AF3738">
        <f>IF(G3738&lt;EDATE(Assumptions!$C$6,-12)+1,"prior_12m","last_12m")</f>
        <v/>
      </c>
      <c r="AG3738" s="21">
        <f>DATE(YEAR(G3738),MONTH(G3738),1)</f>
        <v/>
      </c>
    </row>
    <row r="3739">
      <c r="A3739" t="inlineStr">
        <is>
          <t>SPO-01992-1</t>
        </is>
      </c>
      <c r="B3739" t="inlineStr">
        <is>
          <t>SPO-01992</t>
        </is>
      </c>
      <c r="C3739" t="inlineStr">
        <is>
          <t>SUP-12</t>
        </is>
      </c>
      <c r="D3739" t="inlineStr">
        <is>
          <t>IT</t>
        </is>
      </c>
      <c r="E3739" t="inlineStr">
        <is>
          <t>IT-04</t>
        </is>
      </c>
      <c r="F3739" s="17" t="n">
        <v>46127</v>
      </c>
      <c r="G3739" s="17" t="n">
        <v>46137</v>
      </c>
      <c r="H3739" s="18" t="n">
        <v>128</v>
      </c>
      <c r="I3739" s="19" t="n">
        <v>13.87</v>
      </c>
      <c r="J3739" s="19" t="n">
        <v>12</v>
      </c>
      <c r="K3739" s="20" t="n">
        <v>0</v>
      </c>
      <c r="L3739" s="20" t="n">
        <v>0</v>
      </c>
      <c r="M3739" s="18" t="n">
        <v>128</v>
      </c>
      <c r="N3739" s="18" t="n">
        <v>128</v>
      </c>
      <c r="O3739" s="18" t="n">
        <v>0</v>
      </c>
      <c r="P3739" s="17" t="n">
        <v>46133</v>
      </c>
      <c r="Q3739" s="17" t="n">
        <v>46133</v>
      </c>
      <c r="R3739" s="17" t="n">
        <v>46133</v>
      </c>
      <c r="S3739" s="19">
        <f>H3739*I3739</f>
        <v/>
      </c>
      <c r="T3739" s="19">
        <f>H3739*J3739</f>
        <v/>
      </c>
      <c r="U3739">
        <f>IF(AND(K3739=0,G3739&lt;=Assumptions!$C$6),1,0)</f>
        <v/>
      </c>
      <c r="V3739">
        <f>IF(U3739=1,IF(M3739&gt;0,IF(P3739&lt;=G3739+Assumptions!$C$7,1,0),0),0)</f>
        <v/>
      </c>
      <c r="W3739">
        <f>IF(AND(U3739=1,M3739&gt;=H3739*(1-Assumptions!$C$8)),1,0)</f>
        <v/>
      </c>
      <c r="X3739">
        <f>IF(AND(U3739=1,N3739&gt;=H3739*(1-Assumptions!$C$8)),1,0)</f>
        <v/>
      </c>
      <c r="Y3739">
        <f>IF(ISNUMBER(Q3739),1,0)</f>
        <v/>
      </c>
      <c r="Z3739">
        <f>IF(AND(K3739=0,L3739=0,Y3739=0),1,0)</f>
        <v/>
      </c>
      <c r="AA3739">
        <f>IF(AND(Z3739=1,G3739&lt;Assumptions!$C$6),1,0)</f>
        <v/>
      </c>
      <c r="AB3739">
        <f>IF(U3739=0,"",IF(Y3739=1,MAX(0,Q3739-G3739),IF(L3739=1,MAX(0,R3739-G3739),MAX(0,Assumptions!$C$6-G3739))))</f>
        <v/>
      </c>
      <c r="AC3739">
        <f>IF(Y3739=1,Q3739-F3739,"")</f>
        <v/>
      </c>
      <c r="AD3739">
        <f>IF(Y3739=1,AC3739^2,"")</f>
        <v/>
      </c>
      <c r="AE3739" s="19">
        <f>IF(Z3739=1,(H3739-M3739)*I3739,0)</f>
        <v/>
      </c>
      <c r="AF3739">
        <f>IF(G3739&lt;EDATE(Assumptions!$C$6,-12)+1,"prior_12m","last_12m")</f>
        <v/>
      </c>
      <c r="AG3739" s="21">
        <f>DATE(YEAR(G3739),MONTH(G3739),1)</f>
        <v/>
      </c>
    </row>
    <row r="3740">
      <c r="A3740" t="inlineStr">
        <is>
          <t>SPO-01992-2</t>
        </is>
      </c>
      <c r="B3740" t="inlineStr">
        <is>
          <t>SPO-01992</t>
        </is>
      </c>
      <c r="C3740" t="inlineStr">
        <is>
          <t>SUP-12</t>
        </is>
      </c>
      <c r="D3740" t="inlineStr">
        <is>
          <t>IT</t>
        </is>
      </c>
      <c r="E3740" t="inlineStr">
        <is>
          <t>IT-06</t>
        </is>
      </c>
      <c r="F3740" s="17" t="n">
        <v>46127</v>
      </c>
      <c r="G3740" s="17" t="n">
        <v>46137</v>
      </c>
      <c r="H3740" s="18" t="n">
        <v>17</v>
      </c>
      <c r="I3740" s="19" t="n">
        <v>102.94</v>
      </c>
      <c r="J3740" s="19" t="n">
        <v>89</v>
      </c>
      <c r="K3740" s="20" t="n">
        <v>0</v>
      </c>
      <c r="L3740" s="20" t="n">
        <v>0</v>
      </c>
      <c r="M3740" s="18" t="n">
        <v>17</v>
      </c>
      <c r="N3740" s="18" t="n">
        <v>17</v>
      </c>
      <c r="O3740" s="18" t="n">
        <v>0</v>
      </c>
      <c r="P3740" s="17" t="n">
        <v>46137</v>
      </c>
      <c r="Q3740" s="17" t="n">
        <v>46137</v>
      </c>
      <c r="R3740" s="17" t="n">
        <v>46137</v>
      </c>
      <c r="S3740" s="19">
        <f>H3740*I3740</f>
        <v/>
      </c>
      <c r="T3740" s="19">
        <f>H3740*J3740</f>
        <v/>
      </c>
      <c r="U3740">
        <f>IF(AND(K3740=0,G3740&lt;=Assumptions!$C$6),1,0)</f>
        <v/>
      </c>
      <c r="V3740">
        <f>IF(U3740=1,IF(M3740&gt;0,IF(P3740&lt;=G3740+Assumptions!$C$7,1,0),0),0)</f>
        <v/>
      </c>
      <c r="W3740">
        <f>IF(AND(U3740=1,M3740&gt;=H3740*(1-Assumptions!$C$8)),1,0)</f>
        <v/>
      </c>
      <c r="X3740">
        <f>IF(AND(U3740=1,N3740&gt;=H3740*(1-Assumptions!$C$8)),1,0)</f>
        <v/>
      </c>
      <c r="Y3740">
        <f>IF(ISNUMBER(Q3740),1,0)</f>
        <v/>
      </c>
      <c r="Z3740">
        <f>IF(AND(K3740=0,L3740=0,Y3740=0),1,0)</f>
        <v/>
      </c>
      <c r="AA3740">
        <f>IF(AND(Z3740=1,G3740&lt;Assumptions!$C$6),1,0)</f>
        <v/>
      </c>
      <c r="AB3740">
        <f>IF(U3740=0,"",IF(Y3740=1,MAX(0,Q3740-G3740),IF(L3740=1,MAX(0,R3740-G3740),MAX(0,Assumptions!$C$6-G3740))))</f>
        <v/>
      </c>
      <c r="AC3740">
        <f>IF(Y3740=1,Q3740-F3740,"")</f>
        <v/>
      </c>
      <c r="AD3740">
        <f>IF(Y3740=1,AC3740^2,"")</f>
        <v/>
      </c>
      <c r="AE3740" s="19">
        <f>IF(Z3740=1,(H3740-M3740)*I3740,0)</f>
        <v/>
      </c>
      <c r="AF3740">
        <f>IF(G3740&lt;EDATE(Assumptions!$C$6,-12)+1,"prior_12m","last_12m")</f>
        <v/>
      </c>
      <c r="AG3740" s="21">
        <f>DATE(YEAR(G3740),MONTH(G3740),1)</f>
        <v/>
      </c>
    </row>
    <row r="3741">
      <c r="A3741" t="inlineStr">
        <is>
          <t>SPO-01992-3</t>
        </is>
      </c>
      <c r="B3741" t="inlineStr">
        <is>
          <t>SPO-01992</t>
        </is>
      </c>
      <c r="C3741" t="inlineStr">
        <is>
          <t>SUP-12</t>
        </is>
      </c>
      <c r="D3741" t="inlineStr">
        <is>
          <t>IT</t>
        </is>
      </c>
      <c r="E3741" t="inlineStr">
        <is>
          <t>IT-02</t>
        </is>
      </c>
      <c r="F3741" s="17" t="n">
        <v>46127</v>
      </c>
      <c r="G3741" s="17" t="n">
        <v>46137</v>
      </c>
      <c r="H3741" s="18" t="n">
        <v>8</v>
      </c>
      <c r="I3741" s="19" t="n">
        <v>168.9</v>
      </c>
      <c r="J3741" s="19" t="n">
        <v>162</v>
      </c>
      <c r="K3741" s="20" t="n">
        <v>0</v>
      </c>
      <c r="L3741" s="20" t="n">
        <v>0</v>
      </c>
      <c r="M3741" s="18" t="n">
        <v>8</v>
      </c>
      <c r="N3741" s="18" t="n">
        <v>8</v>
      </c>
      <c r="O3741" s="18" t="n">
        <v>0</v>
      </c>
      <c r="P3741" s="17" t="n">
        <v>46134</v>
      </c>
      <c r="Q3741" s="17" t="n">
        <v>46134</v>
      </c>
      <c r="R3741" s="17" t="n">
        <v>46134</v>
      </c>
      <c r="S3741" s="19">
        <f>H3741*I3741</f>
        <v/>
      </c>
      <c r="T3741" s="19">
        <f>H3741*J3741</f>
        <v/>
      </c>
      <c r="U3741">
        <f>IF(AND(K3741=0,G3741&lt;=Assumptions!$C$6),1,0)</f>
        <v/>
      </c>
      <c r="V3741">
        <f>IF(U3741=1,IF(M3741&gt;0,IF(P3741&lt;=G3741+Assumptions!$C$7,1,0),0),0)</f>
        <v/>
      </c>
      <c r="W3741">
        <f>IF(AND(U3741=1,M3741&gt;=H3741*(1-Assumptions!$C$8)),1,0)</f>
        <v/>
      </c>
      <c r="X3741">
        <f>IF(AND(U3741=1,N3741&gt;=H3741*(1-Assumptions!$C$8)),1,0)</f>
        <v/>
      </c>
      <c r="Y3741">
        <f>IF(ISNUMBER(Q3741),1,0)</f>
        <v/>
      </c>
      <c r="Z3741">
        <f>IF(AND(K3741=0,L3741=0,Y3741=0),1,0)</f>
        <v/>
      </c>
      <c r="AA3741">
        <f>IF(AND(Z3741=1,G3741&lt;Assumptions!$C$6),1,0)</f>
        <v/>
      </c>
      <c r="AB3741">
        <f>IF(U3741=0,"",IF(Y3741=1,MAX(0,Q3741-G3741),IF(L3741=1,MAX(0,R3741-G3741),MAX(0,Assumptions!$C$6-G3741))))</f>
        <v/>
      </c>
      <c r="AC3741">
        <f>IF(Y3741=1,Q3741-F3741,"")</f>
        <v/>
      </c>
      <c r="AD3741">
        <f>IF(Y3741=1,AC3741^2,"")</f>
        <v/>
      </c>
      <c r="AE3741" s="19">
        <f>IF(Z3741=1,(H3741-M3741)*I3741,0)</f>
        <v/>
      </c>
      <c r="AF3741">
        <f>IF(G3741&lt;EDATE(Assumptions!$C$6,-12)+1,"prior_12m","last_12m")</f>
        <v/>
      </c>
      <c r="AG3741" s="21">
        <f>DATE(YEAR(G3741),MONTH(G3741),1)</f>
        <v/>
      </c>
    </row>
    <row r="3742">
      <c r="A3742" t="inlineStr">
        <is>
          <t>SPO-01993-1</t>
        </is>
      </c>
      <c r="B3742" t="inlineStr">
        <is>
          <t>SPO-01993</t>
        </is>
      </c>
      <c r="C3742" t="inlineStr">
        <is>
          <t>SUP-04</t>
        </is>
      </c>
      <c r="D3742" t="inlineStr">
        <is>
          <t>FLEET</t>
        </is>
      </c>
      <c r="E3742" t="inlineStr">
        <is>
          <t>FLEET-05</t>
        </is>
      </c>
      <c r="F3742" s="17" t="n">
        <v>46127</v>
      </c>
      <c r="G3742" s="17" t="n">
        <v>46140</v>
      </c>
      <c r="H3742" s="18" t="n">
        <v>7</v>
      </c>
      <c r="I3742" s="19" t="n">
        <v>164.06</v>
      </c>
      <c r="J3742" s="19" t="n">
        <v>168</v>
      </c>
      <c r="K3742" s="20" t="n">
        <v>0</v>
      </c>
      <c r="L3742" s="20" t="n">
        <v>0</v>
      </c>
      <c r="M3742" s="18" t="n">
        <v>7</v>
      </c>
      <c r="N3742" s="18" t="n">
        <v>0</v>
      </c>
      <c r="O3742" s="18" t="n">
        <v>0</v>
      </c>
      <c r="P3742" s="17" t="n">
        <v>46142</v>
      </c>
      <c r="Q3742" s="17" t="n">
        <v>46142</v>
      </c>
      <c r="R3742" s="17" t="n">
        <v>46142</v>
      </c>
      <c r="S3742" s="19">
        <f>H3742*I3742</f>
        <v/>
      </c>
      <c r="T3742" s="19">
        <f>H3742*J3742</f>
        <v/>
      </c>
      <c r="U3742">
        <f>IF(AND(K3742=0,G3742&lt;=Assumptions!$C$6),1,0)</f>
        <v/>
      </c>
      <c r="V3742">
        <f>IF(U3742=1,IF(M3742&gt;0,IF(P3742&lt;=G3742+Assumptions!$C$7,1,0),0),0)</f>
        <v/>
      </c>
      <c r="W3742">
        <f>IF(AND(U3742=1,M3742&gt;=H3742*(1-Assumptions!$C$8)),1,0)</f>
        <v/>
      </c>
      <c r="X3742">
        <f>IF(AND(U3742=1,N3742&gt;=H3742*(1-Assumptions!$C$8)),1,0)</f>
        <v/>
      </c>
      <c r="Y3742">
        <f>IF(ISNUMBER(Q3742),1,0)</f>
        <v/>
      </c>
      <c r="Z3742">
        <f>IF(AND(K3742=0,L3742=0,Y3742=0),1,0)</f>
        <v/>
      </c>
      <c r="AA3742">
        <f>IF(AND(Z3742=1,G3742&lt;Assumptions!$C$6),1,0)</f>
        <v/>
      </c>
      <c r="AB3742">
        <f>IF(U3742=0,"",IF(Y3742=1,MAX(0,Q3742-G3742),IF(L3742=1,MAX(0,R3742-G3742),MAX(0,Assumptions!$C$6-G3742))))</f>
        <v/>
      </c>
      <c r="AC3742">
        <f>IF(Y3742=1,Q3742-F3742,"")</f>
        <v/>
      </c>
      <c r="AD3742">
        <f>IF(Y3742=1,AC3742^2,"")</f>
        <v/>
      </c>
      <c r="AE3742" s="19">
        <f>IF(Z3742=1,(H3742-M3742)*I3742,0)</f>
        <v/>
      </c>
      <c r="AF3742">
        <f>IF(G3742&lt;EDATE(Assumptions!$C$6,-12)+1,"prior_12m","last_12m")</f>
        <v/>
      </c>
      <c r="AG3742" s="21">
        <f>DATE(YEAR(G3742),MONTH(G3742),1)</f>
        <v/>
      </c>
    </row>
    <row r="3743">
      <c r="A3743" t="inlineStr">
        <is>
          <t>SPO-01993-2</t>
        </is>
      </c>
      <c r="B3743" t="inlineStr">
        <is>
          <t>SPO-01993</t>
        </is>
      </c>
      <c r="C3743" t="inlineStr">
        <is>
          <t>SUP-04</t>
        </is>
      </c>
      <c r="D3743" t="inlineStr">
        <is>
          <t>FLEET</t>
        </is>
      </c>
      <c r="E3743" t="inlineStr">
        <is>
          <t>FLEET-06</t>
        </is>
      </c>
      <c r="F3743" s="17" t="n">
        <v>46127</v>
      </c>
      <c r="G3743" s="17" t="n">
        <v>46140</v>
      </c>
      <c r="H3743" s="18" t="n">
        <v>34</v>
      </c>
      <c r="I3743" s="19" t="n">
        <v>33.34</v>
      </c>
      <c r="J3743" s="19" t="n">
        <v>33</v>
      </c>
      <c r="K3743" s="20" t="n">
        <v>0</v>
      </c>
      <c r="L3743" s="20" t="n">
        <v>0</v>
      </c>
      <c r="M3743" s="18" t="n">
        <v>34</v>
      </c>
      <c r="N3743" s="18" t="n">
        <v>34</v>
      </c>
      <c r="O3743" s="18" t="n">
        <v>3</v>
      </c>
      <c r="P3743" s="17" t="n">
        <v>46136</v>
      </c>
      <c r="Q3743" s="17" t="n">
        <v>46136</v>
      </c>
      <c r="R3743" s="17" t="n">
        <v>46136</v>
      </c>
      <c r="S3743" s="19">
        <f>H3743*I3743</f>
        <v/>
      </c>
      <c r="T3743" s="19">
        <f>H3743*J3743</f>
        <v/>
      </c>
      <c r="U3743">
        <f>IF(AND(K3743=0,G3743&lt;=Assumptions!$C$6),1,0)</f>
        <v/>
      </c>
      <c r="V3743">
        <f>IF(U3743=1,IF(M3743&gt;0,IF(P3743&lt;=G3743+Assumptions!$C$7,1,0),0),0)</f>
        <v/>
      </c>
      <c r="W3743">
        <f>IF(AND(U3743=1,M3743&gt;=H3743*(1-Assumptions!$C$8)),1,0)</f>
        <v/>
      </c>
      <c r="X3743">
        <f>IF(AND(U3743=1,N3743&gt;=H3743*(1-Assumptions!$C$8)),1,0)</f>
        <v/>
      </c>
      <c r="Y3743">
        <f>IF(ISNUMBER(Q3743),1,0)</f>
        <v/>
      </c>
      <c r="Z3743">
        <f>IF(AND(K3743=0,L3743=0,Y3743=0),1,0)</f>
        <v/>
      </c>
      <c r="AA3743">
        <f>IF(AND(Z3743=1,G3743&lt;Assumptions!$C$6),1,0)</f>
        <v/>
      </c>
      <c r="AB3743">
        <f>IF(U3743=0,"",IF(Y3743=1,MAX(0,Q3743-G3743),IF(L3743=1,MAX(0,R3743-G3743),MAX(0,Assumptions!$C$6-G3743))))</f>
        <v/>
      </c>
      <c r="AC3743">
        <f>IF(Y3743=1,Q3743-F3743,"")</f>
        <v/>
      </c>
      <c r="AD3743">
        <f>IF(Y3743=1,AC3743^2,"")</f>
        <v/>
      </c>
      <c r="AE3743" s="19">
        <f>IF(Z3743=1,(H3743-M3743)*I3743,0)</f>
        <v/>
      </c>
      <c r="AF3743">
        <f>IF(G3743&lt;EDATE(Assumptions!$C$6,-12)+1,"prior_12m","last_12m")</f>
        <v/>
      </c>
      <c r="AG3743" s="21">
        <f>DATE(YEAR(G3743),MONTH(G3743),1)</f>
        <v/>
      </c>
    </row>
    <row r="3744">
      <c r="A3744" t="inlineStr">
        <is>
          <t>SPO-01994-1</t>
        </is>
      </c>
      <c r="B3744" t="inlineStr">
        <is>
          <t>SPO-01994</t>
        </is>
      </c>
      <c r="C3744" t="inlineStr">
        <is>
          <t>SUP-04</t>
        </is>
      </c>
      <c r="D3744" t="inlineStr">
        <is>
          <t>FLEET</t>
        </is>
      </c>
      <c r="E3744" t="inlineStr">
        <is>
          <t>FLEET-01</t>
        </is>
      </c>
      <c r="F3744" s="17" t="n">
        <v>46127</v>
      </c>
      <c r="G3744" s="17" t="n">
        <v>46140</v>
      </c>
      <c r="H3744" s="18" t="n">
        <v>13</v>
      </c>
      <c r="I3744" s="19" t="n">
        <v>65.43000000000001</v>
      </c>
      <c r="J3744" s="19" t="n">
        <v>64</v>
      </c>
      <c r="K3744" s="20" t="n">
        <v>0</v>
      </c>
      <c r="L3744" s="20" t="n">
        <v>0</v>
      </c>
      <c r="M3744" s="18" t="n">
        <v>13</v>
      </c>
      <c r="N3744" s="18" t="n">
        <v>0</v>
      </c>
      <c r="O3744" s="18" t="n">
        <v>0</v>
      </c>
      <c r="P3744" s="17" t="n">
        <v>46230</v>
      </c>
      <c r="Q3744" s="17" t="n">
        <v>46230</v>
      </c>
      <c r="R3744" s="17" t="n">
        <v>46230</v>
      </c>
      <c r="S3744" s="19">
        <f>H3744*I3744</f>
        <v/>
      </c>
      <c r="T3744" s="19">
        <f>H3744*J3744</f>
        <v/>
      </c>
      <c r="U3744">
        <f>IF(AND(K3744=0,G3744&lt;=Assumptions!$C$6),1,0)</f>
        <v/>
      </c>
      <c r="V3744">
        <f>IF(U3744=1,IF(M3744&gt;0,IF(P3744&lt;=G3744+Assumptions!$C$7,1,0),0),0)</f>
        <v/>
      </c>
      <c r="W3744">
        <f>IF(AND(U3744=1,M3744&gt;=H3744*(1-Assumptions!$C$8)),1,0)</f>
        <v/>
      </c>
      <c r="X3744">
        <f>IF(AND(U3744=1,N3744&gt;=H3744*(1-Assumptions!$C$8)),1,0)</f>
        <v/>
      </c>
      <c r="Y3744">
        <f>IF(ISNUMBER(Q3744),1,0)</f>
        <v/>
      </c>
      <c r="Z3744">
        <f>IF(AND(K3744=0,L3744=0,Y3744=0),1,0)</f>
        <v/>
      </c>
      <c r="AA3744">
        <f>IF(AND(Z3744=1,G3744&lt;Assumptions!$C$6),1,0)</f>
        <v/>
      </c>
      <c r="AB3744">
        <f>IF(U3744=0,"",IF(Y3744=1,MAX(0,Q3744-G3744),IF(L3744=1,MAX(0,R3744-G3744),MAX(0,Assumptions!$C$6-G3744))))</f>
        <v/>
      </c>
      <c r="AC3744">
        <f>IF(Y3744=1,Q3744-F3744,"")</f>
        <v/>
      </c>
      <c r="AD3744">
        <f>IF(Y3744=1,AC3744^2,"")</f>
        <v/>
      </c>
      <c r="AE3744" s="19">
        <f>IF(Z3744=1,(H3744-M3744)*I3744,0)</f>
        <v/>
      </c>
      <c r="AF3744">
        <f>IF(G3744&lt;EDATE(Assumptions!$C$6,-12)+1,"prior_12m","last_12m")</f>
        <v/>
      </c>
      <c r="AG3744" s="21">
        <f>DATE(YEAR(G3744),MONTH(G3744),1)</f>
        <v/>
      </c>
    </row>
    <row r="3745">
      <c r="A3745" t="inlineStr">
        <is>
          <t>SPO-01995-1</t>
        </is>
      </c>
      <c r="B3745" t="inlineStr">
        <is>
          <t>SPO-01995</t>
        </is>
      </c>
      <c r="C3745" t="inlineStr">
        <is>
          <t>SUP-09</t>
        </is>
      </c>
      <c r="D3745" t="inlineStr">
        <is>
          <t>CHEM</t>
        </is>
      </c>
      <c r="E3745" t="inlineStr">
        <is>
          <t>CHEM-03</t>
        </is>
      </c>
      <c r="F3745" s="17" t="n">
        <v>46128</v>
      </c>
      <c r="G3745" s="17" t="n">
        <v>46142</v>
      </c>
      <c r="H3745" s="18" t="n">
        <v>10</v>
      </c>
      <c r="I3745" s="19" t="n">
        <v>286.22</v>
      </c>
      <c r="J3745" s="19" t="n">
        <v>265</v>
      </c>
      <c r="K3745" s="20" t="n">
        <v>0</v>
      </c>
      <c r="L3745" s="20" t="n">
        <v>0</v>
      </c>
      <c r="M3745" s="18" t="n">
        <v>10</v>
      </c>
      <c r="N3745" s="18" t="n">
        <v>10</v>
      </c>
      <c r="O3745" s="18" t="n">
        <v>0</v>
      </c>
      <c r="P3745" s="17" t="n">
        <v>46140</v>
      </c>
      <c r="Q3745" s="17" t="n">
        <v>46140</v>
      </c>
      <c r="R3745" s="17" t="n">
        <v>46140</v>
      </c>
      <c r="S3745" s="19">
        <f>H3745*I3745</f>
        <v/>
      </c>
      <c r="T3745" s="19">
        <f>H3745*J3745</f>
        <v/>
      </c>
      <c r="U3745">
        <f>IF(AND(K3745=0,G3745&lt;=Assumptions!$C$6),1,0)</f>
        <v/>
      </c>
      <c r="V3745">
        <f>IF(U3745=1,IF(M3745&gt;0,IF(P3745&lt;=G3745+Assumptions!$C$7,1,0),0),0)</f>
        <v/>
      </c>
      <c r="W3745">
        <f>IF(AND(U3745=1,M3745&gt;=H3745*(1-Assumptions!$C$8)),1,0)</f>
        <v/>
      </c>
      <c r="X3745">
        <f>IF(AND(U3745=1,N3745&gt;=H3745*(1-Assumptions!$C$8)),1,0)</f>
        <v/>
      </c>
      <c r="Y3745">
        <f>IF(ISNUMBER(Q3745),1,0)</f>
        <v/>
      </c>
      <c r="Z3745">
        <f>IF(AND(K3745=0,L3745=0,Y3745=0),1,0)</f>
        <v/>
      </c>
      <c r="AA3745">
        <f>IF(AND(Z3745=1,G3745&lt;Assumptions!$C$6),1,0)</f>
        <v/>
      </c>
      <c r="AB3745">
        <f>IF(U3745=0,"",IF(Y3745=1,MAX(0,Q3745-G3745),IF(L3745=1,MAX(0,R3745-G3745),MAX(0,Assumptions!$C$6-G3745))))</f>
        <v/>
      </c>
      <c r="AC3745">
        <f>IF(Y3745=1,Q3745-F3745,"")</f>
        <v/>
      </c>
      <c r="AD3745">
        <f>IF(Y3745=1,AC3745^2,"")</f>
        <v/>
      </c>
      <c r="AE3745" s="19">
        <f>IF(Z3745=1,(H3745-M3745)*I3745,0)</f>
        <v/>
      </c>
      <c r="AF3745">
        <f>IF(G3745&lt;EDATE(Assumptions!$C$6,-12)+1,"prior_12m","last_12m")</f>
        <v/>
      </c>
      <c r="AG3745" s="21">
        <f>DATE(YEAR(G3745),MONTH(G3745),1)</f>
        <v/>
      </c>
    </row>
    <row r="3746">
      <c r="A3746" t="inlineStr">
        <is>
          <t>SPO-01996-1</t>
        </is>
      </c>
      <c r="B3746" t="inlineStr">
        <is>
          <t>SPO-01996</t>
        </is>
      </c>
      <c r="C3746" t="inlineStr">
        <is>
          <t>SUP-10</t>
        </is>
      </c>
      <c r="D3746" t="inlineStr">
        <is>
          <t>PPE</t>
        </is>
      </c>
      <c r="E3746" t="inlineStr">
        <is>
          <t>PPE-08</t>
        </is>
      </c>
      <c r="F3746" s="17" t="n">
        <v>46128</v>
      </c>
      <c r="G3746" s="17" t="n">
        <v>46141</v>
      </c>
      <c r="H3746" s="18" t="n">
        <v>19</v>
      </c>
      <c r="I3746" s="19" t="n">
        <v>60.15</v>
      </c>
      <c r="J3746" s="19" t="n">
        <v>64</v>
      </c>
      <c r="K3746" s="20" t="n">
        <v>0</v>
      </c>
      <c r="L3746" s="20" t="n">
        <v>0</v>
      </c>
      <c r="M3746" s="18" t="n">
        <v>19</v>
      </c>
      <c r="N3746" s="18" t="n">
        <v>19</v>
      </c>
      <c r="O3746" s="18" t="n">
        <v>1</v>
      </c>
      <c r="P3746" s="17" t="n">
        <v>46137</v>
      </c>
      <c r="Q3746" s="17" t="n">
        <v>46137</v>
      </c>
      <c r="R3746" s="17" t="n">
        <v>46137</v>
      </c>
      <c r="S3746" s="19">
        <f>H3746*I3746</f>
        <v/>
      </c>
      <c r="T3746" s="19">
        <f>H3746*J3746</f>
        <v/>
      </c>
      <c r="U3746">
        <f>IF(AND(K3746=0,G3746&lt;=Assumptions!$C$6),1,0)</f>
        <v/>
      </c>
      <c r="V3746">
        <f>IF(U3746=1,IF(M3746&gt;0,IF(P3746&lt;=G3746+Assumptions!$C$7,1,0),0),0)</f>
        <v/>
      </c>
      <c r="W3746">
        <f>IF(AND(U3746=1,M3746&gt;=H3746*(1-Assumptions!$C$8)),1,0)</f>
        <v/>
      </c>
      <c r="X3746">
        <f>IF(AND(U3746=1,N3746&gt;=H3746*(1-Assumptions!$C$8)),1,0)</f>
        <v/>
      </c>
      <c r="Y3746">
        <f>IF(ISNUMBER(Q3746),1,0)</f>
        <v/>
      </c>
      <c r="Z3746">
        <f>IF(AND(K3746=0,L3746=0,Y3746=0),1,0)</f>
        <v/>
      </c>
      <c r="AA3746">
        <f>IF(AND(Z3746=1,G3746&lt;Assumptions!$C$6),1,0)</f>
        <v/>
      </c>
      <c r="AB3746">
        <f>IF(U3746=0,"",IF(Y3746=1,MAX(0,Q3746-G3746),IF(L3746=1,MAX(0,R3746-G3746),MAX(0,Assumptions!$C$6-G3746))))</f>
        <v/>
      </c>
      <c r="AC3746">
        <f>IF(Y3746=1,Q3746-F3746,"")</f>
        <v/>
      </c>
      <c r="AD3746">
        <f>IF(Y3746=1,AC3746^2,"")</f>
        <v/>
      </c>
      <c r="AE3746" s="19">
        <f>IF(Z3746=1,(H3746-M3746)*I3746,0)</f>
        <v/>
      </c>
      <c r="AF3746">
        <f>IF(G3746&lt;EDATE(Assumptions!$C$6,-12)+1,"prior_12m","last_12m")</f>
        <v/>
      </c>
      <c r="AG3746" s="21">
        <f>DATE(YEAR(G3746),MONTH(G3746),1)</f>
        <v/>
      </c>
    </row>
    <row r="3747">
      <c r="A3747" t="inlineStr">
        <is>
          <t>SPO-01997-1</t>
        </is>
      </c>
      <c r="B3747" t="inlineStr">
        <is>
          <t>SPO-01997</t>
        </is>
      </c>
      <c r="C3747" t="inlineStr">
        <is>
          <t>SUP-10</t>
        </is>
      </c>
      <c r="D3747" t="inlineStr">
        <is>
          <t>PPE</t>
        </is>
      </c>
      <c r="E3747" t="inlineStr">
        <is>
          <t>PPE-03</t>
        </is>
      </c>
      <c r="F3747" s="17" t="n">
        <v>46129</v>
      </c>
      <c r="G3747" s="17" t="n">
        <v>46142</v>
      </c>
      <c r="H3747" s="18" t="n">
        <v>41</v>
      </c>
      <c r="I3747" s="19" t="n">
        <v>20.87</v>
      </c>
      <c r="J3747" s="19" t="n">
        <v>21</v>
      </c>
      <c r="K3747" s="20" t="n">
        <v>0</v>
      </c>
      <c r="L3747" s="20" t="n">
        <v>0</v>
      </c>
      <c r="M3747" s="18" t="n">
        <v>41</v>
      </c>
      <c r="N3747" s="18" t="n">
        <v>24</v>
      </c>
      <c r="O3747" s="18" t="n">
        <v>0</v>
      </c>
      <c r="P3747" s="17" t="n">
        <v>46136</v>
      </c>
      <c r="Q3747" s="17" t="n">
        <v>46147</v>
      </c>
      <c r="R3747" s="17" t="n">
        <v>46147</v>
      </c>
      <c r="S3747" s="19">
        <f>H3747*I3747</f>
        <v/>
      </c>
      <c r="T3747" s="19">
        <f>H3747*J3747</f>
        <v/>
      </c>
      <c r="U3747">
        <f>IF(AND(K3747=0,G3747&lt;=Assumptions!$C$6),1,0)</f>
        <v/>
      </c>
      <c r="V3747">
        <f>IF(U3747=1,IF(M3747&gt;0,IF(P3747&lt;=G3747+Assumptions!$C$7,1,0),0),0)</f>
        <v/>
      </c>
      <c r="W3747">
        <f>IF(AND(U3747=1,M3747&gt;=H3747*(1-Assumptions!$C$8)),1,0)</f>
        <v/>
      </c>
      <c r="X3747">
        <f>IF(AND(U3747=1,N3747&gt;=H3747*(1-Assumptions!$C$8)),1,0)</f>
        <v/>
      </c>
      <c r="Y3747">
        <f>IF(ISNUMBER(Q3747),1,0)</f>
        <v/>
      </c>
      <c r="Z3747">
        <f>IF(AND(K3747=0,L3747=0,Y3747=0),1,0)</f>
        <v/>
      </c>
      <c r="AA3747">
        <f>IF(AND(Z3747=1,G3747&lt;Assumptions!$C$6),1,0)</f>
        <v/>
      </c>
      <c r="AB3747">
        <f>IF(U3747=0,"",IF(Y3747=1,MAX(0,Q3747-G3747),IF(L3747=1,MAX(0,R3747-G3747),MAX(0,Assumptions!$C$6-G3747))))</f>
        <v/>
      </c>
      <c r="AC3747">
        <f>IF(Y3747=1,Q3747-F3747,"")</f>
        <v/>
      </c>
      <c r="AD3747">
        <f>IF(Y3747=1,AC3747^2,"")</f>
        <v/>
      </c>
      <c r="AE3747" s="19">
        <f>IF(Z3747=1,(H3747-M3747)*I3747,0)</f>
        <v/>
      </c>
      <c r="AF3747">
        <f>IF(G3747&lt;EDATE(Assumptions!$C$6,-12)+1,"prior_12m","last_12m")</f>
        <v/>
      </c>
      <c r="AG3747" s="21">
        <f>DATE(YEAR(G3747),MONTH(G3747),1)</f>
        <v/>
      </c>
    </row>
    <row r="3748">
      <c r="A3748" t="inlineStr">
        <is>
          <t>SPO-01998-1</t>
        </is>
      </c>
      <c r="B3748" t="inlineStr">
        <is>
          <t>SPO-01998</t>
        </is>
      </c>
      <c r="C3748" t="inlineStr">
        <is>
          <t>SUP-12</t>
        </is>
      </c>
      <c r="D3748" t="inlineStr">
        <is>
          <t>IT</t>
        </is>
      </c>
      <c r="E3748" t="inlineStr">
        <is>
          <t>IT-04</t>
        </is>
      </c>
      <c r="F3748" s="17" t="n">
        <v>46129</v>
      </c>
      <c r="G3748" s="17" t="n">
        <v>46139</v>
      </c>
      <c r="H3748" s="18" t="n">
        <v>95</v>
      </c>
      <c r="I3748" s="19" t="n">
        <v>13.31</v>
      </c>
      <c r="J3748" s="19" t="n">
        <v>12</v>
      </c>
      <c r="K3748" s="20" t="n">
        <v>0</v>
      </c>
      <c r="L3748" s="20" t="n">
        <v>0</v>
      </c>
      <c r="M3748" s="18" t="n">
        <v>95</v>
      </c>
      <c r="N3748" s="18" t="n">
        <v>95</v>
      </c>
      <c r="O3748" s="18" t="n">
        <v>0</v>
      </c>
      <c r="P3748" s="17" t="n">
        <v>46136</v>
      </c>
      <c r="Q3748" s="17" t="n">
        <v>46136</v>
      </c>
      <c r="R3748" s="17" t="n">
        <v>46136</v>
      </c>
      <c r="S3748" s="19">
        <f>H3748*I3748</f>
        <v/>
      </c>
      <c r="T3748" s="19">
        <f>H3748*J3748</f>
        <v/>
      </c>
      <c r="U3748">
        <f>IF(AND(K3748=0,G3748&lt;=Assumptions!$C$6),1,0)</f>
        <v/>
      </c>
      <c r="V3748">
        <f>IF(U3748=1,IF(M3748&gt;0,IF(P3748&lt;=G3748+Assumptions!$C$7,1,0),0),0)</f>
        <v/>
      </c>
      <c r="W3748">
        <f>IF(AND(U3748=1,M3748&gt;=H3748*(1-Assumptions!$C$8)),1,0)</f>
        <v/>
      </c>
      <c r="X3748">
        <f>IF(AND(U3748=1,N3748&gt;=H3748*(1-Assumptions!$C$8)),1,0)</f>
        <v/>
      </c>
      <c r="Y3748">
        <f>IF(ISNUMBER(Q3748),1,0)</f>
        <v/>
      </c>
      <c r="Z3748">
        <f>IF(AND(K3748=0,L3748=0,Y3748=0),1,0)</f>
        <v/>
      </c>
      <c r="AA3748">
        <f>IF(AND(Z3748=1,G3748&lt;Assumptions!$C$6),1,0)</f>
        <v/>
      </c>
      <c r="AB3748">
        <f>IF(U3748=0,"",IF(Y3748=1,MAX(0,Q3748-G3748),IF(L3748=1,MAX(0,R3748-G3748),MAX(0,Assumptions!$C$6-G3748))))</f>
        <v/>
      </c>
      <c r="AC3748">
        <f>IF(Y3748=1,Q3748-F3748,"")</f>
        <v/>
      </c>
      <c r="AD3748">
        <f>IF(Y3748=1,AC3748^2,"")</f>
        <v/>
      </c>
      <c r="AE3748" s="19">
        <f>IF(Z3748=1,(H3748-M3748)*I3748,0)</f>
        <v/>
      </c>
      <c r="AF3748">
        <f>IF(G3748&lt;EDATE(Assumptions!$C$6,-12)+1,"prior_12m","last_12m")</f>
        <v/>
      </c>
      <c r="AG3748" s="21">
        <f>DATE(YEAR(G3748),MONTH(G3748),1)</f>
        <v/>
      </c>
    </row>
    <row r="3749">
      <c r="A3749" t="inlineStr">
        <is>
          <t>SPO-01999-1</t>
        </is>
      </c>
      <c r="B3749" t="inlineStr">
        <is>
          <t>SPO-01999</t>
        </is>
      </c>
      <c r="C3749" t="inlineStr">
        <is>
          <t>SUP-11</t>
        </is>
      </c>
      <c r="D3749" t="inlineStr">
        <is>
          <t>PPE</t>
        </is>
      </c>
      <c r="E3749" t="inlineStr">
        <is>
          <t>PPE-08</t>
        </is>
      </c>
      <c r="F3749" s="17" t="n">
        <v>46129</v>
      </c>
      <c r="G3749" s="17" t="n">
        <v>46141</v>
      </c>
      <c r="H3749" s="18" t="n">
        <v>20</v>
      </c>
      <c r="I3749" s="19" t="n">
        <v>67.73</v>
      </c>
      <c r="J3749" s="19" t="n">
        <v>64</v>
      </c>
      <c r="K3749" s="20" t="n">
        <v>0</v>
      </c>
      <c r="L3749" s="20" t="n">
        <v>0</v>
      </c>
      <c r="M3749" s="18" t="n">
        <v>20</v>
      </c>
      <c r="N3749" s="18" t="n">
        <v>20</v>
      </c>
      <c r="O3749" s="18" t="n">
        <v>0</v>
      </c>
      <c r="P3749" s="17" t="n">
        <v>46139</v>
      </c>
      <c r="Q3749" s="17" t="n">
        <v>46139</v>
      </c>
      <c r="R3749" s="17" t="n">
        <v>46139</v>
      </c>
      <c r="S3749" s="19">
        <f>H3749*I3749</f>
        <v/>
      </c>
      <c r="T3749" s="19">
        <f>H3749*J3749</f>
        <v/>
      </c>
      <c r="U3749">
        <f>IF(AND(K3749=0,G3749&lt;=Assumptions!$C$6),1,0)</f>
        <v/>
      </c>
      <c r="V3749">
        <f>IF(U3749=1,IF(M3749&gt;0,IF(P3749&lt;=G3749+Assumptions!$C$7,1,0),0),0)</f>
        <v/>
      </c>
      <c r="W3749">
        <f>IF(AND(U3749=1,M3749&gt;=H3749*(1-Assumptions!$C$8)),1,0)</f>
        <v/>
      </c>
      <c r="X3749">
        <f>IF(AND(U3749=1,N3749&gt;=H3749*(1-Assumptions!$C$8)),1,0)</f>
        <v/>
      </c>
      <c r="Y3749">
        <f>IF(ISNUMBER(Q3749),1,0)</f>
        <v/>
      </c>
      <c r="Z3749">
        <f>IF(AND(K3749=0,L3749=0,Y3749=0),1,0)</f>
        <v/>
      </c>
      <c r="AA3749">
        <f>IF(AND(Z3749=1,G3749&lt;Assumptions!$C$6),1,0)</f>
        <v/>
      </c>
      <c r="AB3749">
        <f>IF(U3749=0,"",IF(Y3749=1,MAX(0,Q3749-G3749),IF(L3749=1,MAX(0,R3749-G3749),MAX(0,Assumptions!$C$6-G3749))))</f>
        <v/>
      </c>
      <c r="AC3749">
        <f>IF(Y3749=1,Q3749-F3749,"")</f>
        <v/>
      </c>
      <c r="AD3749">
        <f>IF(Y3749=1,AC3749^2,"")</f>
        <v/>
      </c>
      <c r="AE3749" s="19">
        <f>IF(Z3749=1,(H3749-M3749)*I3749,0)</f>
        <v/>
      </c>
      <c r="AF3749">
        <f>IF(G3749&lt;EDATE(Assumptions!$C$6,-12)+1,"prior_12m","last_12m")</f>
        <v/>
      </c>
      <c r="AG3749" s="21">
        <f>DATE(YEAR(G3749),MONTH(G3749),1)</f>
        <v/>
      </c>
    </row>
    <row r="3750">
      <c r="A3750" t="inlineStr">
        <is>
          <t>SPO-01999-2</t>
        </is>
      </c>
      <c r="B3750" t="inlineStr">
        <is>
          <t>SPO-01999</t>
        </is>
      </c>
      <c r="C3750" t="inlineStr">
        <is>
          <t>SUP-11</t>
        </is>
      </c>
      <c r="D3750" t="inlineStr">
        <is>
          <t>PPE</t>
        </is>
      </c>
      <c r="E3750" t="inlineStr">
        <is>
          <t>PPE-07</t>
        </is>
      </c>
      <c r="F3750" s="17" t="n">
        <v>46129</v>
      </c>
      <c r="G3750" s="17" t="n">
        <v>46141</v>
      </c>
      <c r="H3750" s="18" t="n">
        <v>25</v>
      </c>
      <c r="I3750" s="19" t="n">
        <v>32.24</v>
      </c>
      <c r="J3750" s="19" t="n">
        <v>31</v>
      </c>
      <c r="K3750" s="20" t="n">
        <v>0</v>
      </c>
      <c r="L3750" s="20" t="n">
        <v>0</v>
      </c>
      <c r="M3750" s="18" t="n">
        <v>25</v>
      </c>
      <c r="N3750" s="18" t="n">
        <v>25</v>
      </c>
      <c r="O3750" s="18" t="n">
        <v>0</v>
      </c>
      <c r="P3750" s="17" t="n">
        <v>46140</v>
      </c>
      <c r="Q3750" s="17" t="n">
        <v>46140</v>
      </c>
      <c r="R3750" s="17" t="n">
        <v>46140</v>
      </c>
      <c r="S3750" s="19">
        <f>H3750*I3750</f>
        <v/>
      </c>
      <c r="T3750" s="19">
        <f>H3750*J3750</f>
        <v/>
      </c>
      <c r="U3750">
        <f>IF(AND(K3750=0,G3750&lt;=Assumptions!$C$6),1,0)</f>
        <v/>
      </c>
      <c r="V3750">
        <f>IF(U3750=1,IF(M3750&gt;0,IF(P3750&lt;=G3750+Assumptions!$C$7,1,0),0),0)</f>
        <v/>
      </c>
      <c r="W3750">
        <f>IF(AND(U3750=1,M3750&gt;=H3750*(1-Assumptions!$C$8)),1,0)</f>
        <v/>
      </c>
      <c r="X3750">
        <f>IF(AND(U3750=1,N3750&gt;=H3750*(1-Assumptions!$C$8)),1,0)</f>
        <v/>
      </c>
      <c r="Y3750">
        <f>IF(ISNUMBER(Q3750),1,0)</f>
        <v/>
      </c>
      <c r="Z3750">
        <f>IF(AND(K3750=0,L3750=0,Y3750=0),1,0)</f>
        <v/>
      </c>
      <c r="AA3750">
        <f>IF(AND(Z3750=1,G3750&lt;Assumptions!$C$6),1,0)</f>
        <v/>
      </c>
      <c r="AB3750">
        <f>IF(U3750=0,"",IF(Y3750=1,MAX(0,Q3750-G3750),IF(L3750=1,MAX(0,R3750-G3750),MAX(0,Assumptions!$C$6-G3750))))</f>
        <v/>
      </c>
      <c r="AC3750">
        <f>IF(Y3750=1,Q3750-F3750,"")</f>
        <v/>
      </c>
      <c r="AD3750">
        <f>IF(Y3750=1,AC3750^2,"")</f>
        <v/>
      </c>
      <c r="AE3750" s="19">
        <f>IF(Z3750=1,(H3750-M3750)*I3750,0)</f>
        <v/>
      </c>
      <c r="AF3750">
        <f>IF(G3750&lt;EDATE(Assumptions!$C$6,-12)+1,"prior_12m","last_12m")</f>
        <v/>
      </c>
      <c r="AG3750" s="21">
        <f>DATE(YEAR(G3750),MONTH(G3750),1)</f>
        <v/>
      </c>
    </row>
    <row r="3751">
      <c r="A3751" t="inlineStr">
        <is>
          <t>SPO-02000-1</t>
        </is>
      </c>
      <c r="B3751" t="inlineStr">
        <is>
          <t>SPO-02000</t>
        </is>
      </c>
      <c r="C3751" t="inlineStr">
        <is>
          <t>SUP-05</t>
        </is>
      </c>
      <c r="D3751" t="inlineStr">
        <is>
          <t>FLEET</t>
        </is>
      </c>
      <c r="E3751" t="inlineStr">
        <is>
          <t>FLEET-05</t>
        </is>
      </c>
      <c r="F3751" s="17" t="n">
        <v>46129</v>
      </c>
      <c r="G3751" s="17" t="n">
        <v>46143</v>
      </c>
      <c r="H3751" s="18" t="n">
        <v>10</v>
      </c>
      <c r="I3751" s="19" t="n">
        <v>171.21</v>
      </c>
      <c r="J3751" s="19" t="n">
        <v>168</v>
      </c>
      <c r="K3751" s="20" t="n">
        <v>0</v>
      </c>
      <c r="L3751" s="20" t="n">
        <v>0</v>
      </c>
      <c r="M3751" s="18" t="n">
        <v>10</v>
      </c>
      <c r="N3751" s="18" t="n">
        <v>10</v>
      </c>
      <c r="O3751" s="18" t="n">
        <v>0</v>
      </c>
      <c r="P3751" s="17" t="n">
        <v>46141</v>
      </c>
      <c r="Q3751" s="17" t="n">
        <v>46141</v>
      </c>
      <c r="R3751" s="17" t="n">
        <v>46141</v>
      </c>
      <c r="S3751" s="19">
        <f>H3751*I3751</f>
        <v/>
      </c>
      <c r="T3751" s="19">
        <f>H3751*J3751</f>
        <v/>
      </c>
      <c r="U3751">
        <f>IF(AND(K3751=0,G3751&lt;=Assumptions!$C$6),1,0)</f>
        <v/>
      </c>
      <c r="V3751">
        <f>IF(U3751=1,IF(M3751&gt;0,IF(P3751&lt;=G3751+Assumptions!$C$7,1,0),0),0)</f>
        <v/>
      </c>
      <c r="W3751">
        <f>IF(AND(U3751=1,M3751&gt;=H3751*(1-Assumptions!$C$8)),1,0)</f>
        <v/>
      </c>
      <c r="X3751">
        <f>IF(AND(U3751=1,N3751&gt;=H3751*(1-Assumptions!$C$8)),1,0)</f>
        <v/>
      </c>
      <c r="Y3751">
        <f>IF(ISNUMBER(Q3751),1,0)</f>
        <v/>
      </c>
      <c r="Z3751">
        <f>IF(AND(K3751=0,L3751=0,Y3751=0),1,0)</f>
        <v/>
      </c>
      <c r="AA3751">
        <f>IF(AND(Z3751=1,G3751&lt;Assumptions!$C$6),1,0)</f>
        <v/>
      </c>
      <c r="AB3751">
        <f>IF(U3751=0,"",IF(Y3751=1,MAX(0,Q3751-G3751),IF(L3751=1,MAX(0,R3751-G3751),MAX(0,Assumptions!$C$6-G3751))))</f>
        <v/>
      </c>
      <c r="AC3751">
        <f>IF(Y3751=1,Q3751-F3751,"")</f>
        <v/>
      </c>
      <c r="AD3751">
        <f>IF(Y3751=1,AC3751^2,"")</f>
        <v/>
      </c>
      <c r="AE3751" s="19">
        <f>IF(Z3751=1,(H3751-M3751)*I3751,0)</f>
        <v/>
      </c>
      <c r="AF3751">
        <f>IF(G3751&lt;EDATE(Assumptions!$C$6,-12)+1,"prior_12m","last_12m")</f>
        <v/>
      </c>
      <c r="AG3751" s="21">
        <f>DATE(YEAR(G3751),MONTH(G3751),1)</f>
        <v/>
      </c>
    </row>
    <row r="3752">
      <c r="A3752" t="inlineStr">
        <is>
          <t>SPO-02000-2</t>
        </is>
      </c>
      <c r="B3752" t="inlineStr">
        <is>
          <t>SPO-02000</t>
        </is>
      </c>
      <c r="C3752" t="inlineStr">
        <is>
          <t>SUP-05</t>
        </is>
      </c>
      <c r="D3752" t="inlineStr">
        <is>
          <t>FLEET</t>
        </is>
      </c>
      <c r="E3752" t="inlineStr">
        <is>
          <t>FLEET-01</t>
        </is>
      </c>
      <c r="F3752" s="17" t="n">
        <v>46129</v>
      </c>
      <c r="G3752" s="17" t="n">
        <v>46143</v>
      </c>
      <c r="H3752" s="18" t="n">
        <v>25</v>
      </c>
      <c r="I3752" s="19" t="n">
        <v>66.79000000000001</v>
      </c>
      <c r="J3752" s="19" t="n">
        <v>64</v>
      </c>
      <c r="K3752" s="20" t="n">
        <v>0</v>
      </c>
      <c r="L3752" s="20" t="n">
        <v>0</v>
      </c>
      <c r="M3752" s="18" t="n">
        <v>25</v>
      </c>
      <c r="N3752" s="18" t="n">
        <v>25</v>
      </c>
      <c r="O3752" s="18" t="n">
        <v>0</v>
      </c>
      <c r="P3752" s="17" t="n">
        <v>46143</v>
      </c>
      <c r="Q3752" s="17" t="n">
        <v>46143</v>
      </c>
      <c r="R3752" s="17" t="n">
        <v>46143</v>
      </c>
      <c r="S3752" s="19">
        <f>H3752*I3752</f>
        <v/>
      </c>
      <c r="T3752" s="19">
        <f>H3752*J3752</f>
        <v/>
      </c>
      <c r="U3752">
        <f>IF(AND(K3752=0,G3752&lt;=Assumptions!$C$6),1,0)</f>
        <v/>
      </c>
      <c r="V3752">
        <f>IF(U3752=1,IF(M3752&gt;0,IF(P3752&lt;=G3752+Assumptions!$C$7,1,0),0),0)</f>
        <v/>
      </c>
      <c r="W3752">
        <f>IF(AND(U3752=1,M3752&gt;=H3752*(1-Assumptions!$C$8)),1,0)</f>
        <v/>
      </c>
      <c r="X3752">
        <f>IF(AND(U3752=1,N3752&gt;=H3752*(1-Assumptions!$C$8)),1,0)</f>
        <v/>
      </c>
      <c r="Y3752">
        <f>IF(ISNUMBER(Q3752),1,0)</f>
        <v/>
      </c>
      <c r="Z3752">
        <f>IF(AND(K3752=0,L3752=0,Y3752=0),1,0)</f>
        <v/>
      </c>
      <c r="AA3752">
        <f>IF(AND(Z3752=1,G3752&lt;Assumptions!$C$6),1,0)</f>
        <v/>
      </c>
      <c r="AB3752">
        <f>IF(U3752=0,"",IF(Y3752=1,MAX(0,Q3752-G3752),IF(L3752=1,MAX(0,R3752-G3752),MAX(0,Assumptions!$C$6-G3752))))</f>
        <v/>
      </c>
      <c r="AC3752">
        <f>IF(Y3752=1,Q3752-F3752,"")</f>
        <v/>
      </c>
      <c r="AD3752">
        <f>IF(Y3752=1,AC3752^2,"")</f>
        <v/>
      </c>
      <c r="AE3752" s="19">
        <f>IF(Z3752=1,(H3752-M3752)*I3752,0)</f>
        <v/>
      </c>
      <c r="AF3752">
        <f>IF(G3752&lt;EDATE(Assumptions!$C$6,-12)+1,"prior_12m","last_12m")</f>
        <v/>
      </c>
      <c r="AG3752" s="21">
        <f>DATE(YEAR(G3752),MONTH(G3752),1)</f>
        <v/>
      </c>
    </row>
    <row r="3753">
      <c r="A3753" t="inlineStr">
        <is>
          <t>SPO-02001-1</t>
        </is>
      </c>
      <c r="B3753" t="inlineStr">
        <is>
          <t>SPO-02001</t>
        </is>
      </c>
      <c r="C3753" t="inlineStr">
        <is>
          <t>SUP-02</t>
        </is>
      </c>
      <c r="D3753" t="inlineStr">
        <is>
          <t>ELEC</t>
        </is>
      </c>
      <c r="E3753" t="inlineStr">
        <is>
          <t>ELEC-02</t>
        </is>
      </c>
      <c r="F3753" s="17" t="n">
        <v>46129</v>
      </c>
      <c r="G3753" s="17" t="n">
        <v>46145</v>
      </c>
      <c r="H3753" s="18" t="n">
        <v>320</v>
      </c>
      <c r="I3753" s="19" t="n">
        <v>4.06</v>
      </c>
      <c r="J3753" s="19" t="n">
        <v>4.2</v>
      </c>
      <c r="K3753" s="20" t="n">
        <v>0</v>
      </c>
      <c r="L3753" s="20" t="n">
        <v>0</v>
      </c>
      <c r="M3753" s="18" t="n">
        <v>320</v>
      </c>
      <c r="N3753" s="18" t="n">
        <v>320</v>
      </c>
      <c r="O3753" s="18" t="n">
        <v>0</v>
      </c>
      <c r="P3753" s="17" t="n">
        <v>46142</v>
      </c>
      <c r="Q3753" s="17" t="n">
        <v>46142</v>
      </c>
      <c r="R3753" s="17" t="n">
        <v>46142</v>
      </c>
      <c r="S3753" s="19">
        <f>H3753*I3753</f>
        <v/>
      </c>
      <c r="T3753" s="19">
        <f>H3753*J3753</f>
        <v/>
      </c>
      <c r="U3753">
        <f>IF(AND(K3753=0,G3753&lt;=Assumptions!$C$6),1,0)</f>
        <v/>
      </c>
      <c r="V3753">
        <f>IF(U3753=1,IF(M3753&gt;0,IF(P3753&lt;=G3753+Assumptions!$C$7,1,0),0),0)</f>
        <v/>
      </c>
      <c r="W3753">
        <f>IF(AND(U3753=1,M3753&gt;=H3753*(1-Assumptions!$C$8)),1,0)</f>
        <v/>
      </c>
      <c r="X3753">
        <f>IF(AND(U3753=1,N3753&gt;=H3753*(1-Assumptions!$C$8)),1,0)</f>
        <v/>
      </c>
      <c r="Y3753">
        <f>IF(ISNUMBER(Q3753),1,0)</f>
        <v/>
      </c>
      <c r="Z3753">
        <f>IF(AND(K3753=0,L3753=0,Y3753=0),1,0)</f>
        <v/>
      </c>
      <c r="AA3753">
        <f>IF(AND(Z3753=1,G3753&lt;Assumptions!$C$6),1,0)</f>
        <v/>
      </c>
      <c r="AB3753">
        <f>IF(U3753=0,"",IF(Y3753=1,MAX(0,Q3753-G3753),IF(L3753=1,MAX(0,R3753-G3753),MAX(0,Assumptions!$C$6-G3753))))</f>
        <v/>
      </c>
      <c r="AC3753">
        <f>IF(Y3753=1,Q3753-F3753,"")</f>
        <v/>
      </c>
      <c r="AD3753">
        <f>IF(Y3753=1,AC3753^2,"")</f>
        <v/>
      </c>
      <c r="AE3753" s="19">
        <f>IF(Z3753=1,(H3753-M3753)*I3753,0)</f>
        <v/>
      </c>
      <c r="AF3753">
        <f>IF(G3753&lt;EDATE(Assumptions!$C$6,-12)+1,"prior_12m","last_12m")</f>
        <v/>
      </c>
      <c r="AG3753" s="21">
        <f>DATE(YEAR(G3753),MONTH(G3753),1)</f>
        <v/>
      </c>
    </row>
    <row r="3754">
      <c r="A3754" t="inlineStr">
        <is>
          <t>SPO-02001-2</t>
        </is>
      </c>
      <c r="B3754" t="inlineStr">
        <is>
          <t>SPO-02001</t>
        </is>
      </c>
      <c r="C3754" t="inlineStr">
        <is>
          <t>SUP-02</t>
        </is>
      </c>
      <c r="D3754" t="inlineStr">
        <is>
          <t>ELEC</t>
        </is>
      </c>
      <c r="E3754" t="inlineStr">
        <is>
          <t>ELEC-07</t>
        </is>
      </c>
      <c r="F3754" s="17" t="n">
        <v>46129</v>
      </c>
      <c r="G3754" s="17" t="n">
        <v>46145</v>
      </c>
      <c r="H3754" s="18" t="n">
        <v>196</v>
      </c>
      <c r="I3754" s="19" t="n">
        <v>10.13</v>
      </c>
      <c r="J3754" s="19" t="n">
        <v>9.800000000000001</v>
      </c>
      <c r="K3754" s="20" t="n">
        <v>0</v>
      </c>
      <c r="L3754" s="20" t="n">
        <v>0</v>
      </c>
      <c r="M3754" s="18" t="n">
        <v>196</v>
      </c>
      <c r="N3754" s="18" t="n">
        <v>196</v>
      </c>
      <c r="O3754" s="18" t="n">
        <v>0</v>
      </c>
      <c r="P3754" s="17" t="n">
        <v>46142</v>
      </c>
      <c r="Q3754" s="17" t="n">
        <v>46142</v>
      </c>
      <c r="R3754" s="17" t="n">
        <v>46142</v>
      </c>
      <c r="S3754" s="19">
        <f>H3754*I3754</f>
        <v/>
      </c>
      <c r="T3754" s="19">
        <f>H3754*J3754</f>
        <v/>
      </c>
      <c r="U3754">
        <f>IF(AND(K3754=0,G3754&lt;=Assumptions!$C$6),1,0)</f>
        <v/>
      </c>
      <c r="V3754">
        <f>IF(U3754=1,IF(M3754&gt;0,IF(P3754&lt;=G3754+Assumptions!$C$7,1,0),0),0)</f>
        <v/>
      </c>
      <c r="W3754">
        <f>IF(AND(U3754=1,M3754&gt;=H3754*(1-Assumptions!$C$8)),1,0)</f>
        <v/>
      </c>
      <c r="X3754">
        <f>IF(AND(U3754=1,N3754&gt;=H3754*(1-Assumptions!$C$8)),1,0)</f>
        <v/>
      </c>
      <c r="Y3754">
        <f>IF(ISNUMBER(Q3754),1,0)</f>
        <v/>
      </c>
      <c r="Z3754">
        <f>IF(AND(K3754=0,L3754=0,Y3754=0),1,0)</f>
        <v/>
      </c>
      <c r="AA3754">
        <f>IF(AND(Z3754=1,G3754&lt;Assumptions!$C$6),1,0)</f>
        <v/>
      </c>
      <c r="AB3754">
        <f>IF(U3754=0,"",IF(Y3754=1,MAX(0,Q3754-G3754),IF(L3754=1,MAX(0,R3754-G3754),MAX(0,Assumptions!$C$6-G3754))))</f>
        <v/>
      </c>
      <c r="AC3754">
        <f>IF(Y3754=1,Q3754-F3754,"")</f>
        <v/>
      </c>
      <c r="AD3754">
        <f>IF(Y3754=1,AC3754^2,"")</f>
        <v/>
      </c>
      <c r="AE3754" s="19">
        <f>IF(Z3754=1,(H3754-M3754)*I3754,0)</f>
        <v/>
      </c>
      <c r="AF3754">
        <f>IF(G3754&lt;EDATE(Assumptions!$C$6,-12)+1,"prior_12m","last_12m")</f>
        <v/>
      </c>
      <c r="AG3754" s="21">
        <f>DATE(YEAR(G3754),MONTH(G3754),1)</f>
        <v/>
      </c>
    </row>
    <row r="3755">
      <c r="A3755" t="inlineStr">
        <is>
          <t>SPO-02002-1</t>
        </is>
      </c>
      <c r="B3755" t="inlineStr">
        <is>
          <t>SPO-02002</t>
        </is>
      </c>
      <c r="C3755" t="inlineStr">
        <is>
          <t>SUP-01</t>
        </is>
      </c>
      <c r="D3755" t="inlineStr">
        <is>
          <t>ELEC</t>
        </is>
      </c>
      <c r="E3755" t="inlineStr">
        <is>
          <t>ELEC-01</t>
        </is>
      </c>
      <c r="F3755" s="17" t="n">
        <v>46130</v>
      </c>
      <c r="G3755" s="17" t="n">
        <v>46148</v>
      </c>
      <c r="H3755" s="18" t="n">
        <v>33</v>
      </c>
      <c r="I3755" s="19" t="n">
        <v>38.96</v>
      </c>
      <c r="J3755" s="19" t="n">
        <v>38</v>
      </c>
      <c r="K3755" s="20" t="n">
        <v>0</v>
      </c>
      <c r="L3755" s="20" t="n">
        <v>0</v>
      </c>
      <c r="M3755" s="18" t="n">
        <v>33</v>
      </c>
      <c r="N3755" s="18" t="n">
        <v>33</v>
      </c>
      <c r="O3755" s="18" t="n">
        <v>0</v>
      </c>
      <c r="P3755" s="17" t="n">
        <v>46143</v>
      </c>
      <c r="Q3755" s="17" t="n">
        <v>46143</v>
      </c>
      <c r="R3755" s="17" t="n">
        <v>46143</v>
      </c>
      <c r="S3755" s="19">
        <f>H3755*I3755</f>
        <v/>
      </c>
      <c r="T3755" s="19">
        <f>H3755*J3755</f>
        <v/>
      </c>
      <c r="U3755">
        <f>IF(AND(K3755=0,G3755&lt;=Assumptions!$C$6),1,0)</f>
        <v/>
      </c>
      <c r="V3755">
        <f>IF(U3755=1,IF(M3755&gt;0,IF(P3755&lt;=G3755+Assumptions!$C$7,1,0),0),0)</f>
        <v/>
      </c>
      <c r="W3755">
        <f>IF(AND(U3755=1,M3755&gt;=H3755*(1-Assumptions!$C$8)),1,0)</f>
        <v/>
      </c>
      <c r="X3755">
        <f>IF(AND(U3755=1,N3755&gt;=H3755*(1-Assumptions!$C$8)),1,0)</f>
        <v/>
      </c>
      <c r="Y3755">
        <f>IF(ISNUMBER(Q3755),1,0)</f>
        <v/>
      </c>
      <c r="Z3755">
        <f>IF(AND(K3755=0,L3755=0,Y3755=0),1,0)</f>
        <v/>
      </c>
      <c r="AA3755">
        <f>IF(AND(Z3755=1,G3755&lt;Assumptions!$C$6),1,0)</f>
        <v/>
      </c>
      <c r="AB3755">
        <f>IF(U3755=0,"",IF(Y3755=1,MAX(0,Q3755-G3755),IF(L3755=1,MAX(0,R3755-G3755),MAX(0,Assumptions!$C$6-G3755))))</f>
        <v/>
      </c>
      <c r="AC3755">
        <f>IF(Y3755=1,Q3755-F3755,"")</f>
        <v/>
      </c>
      <c r="AD3755">
        <f>IF(Y3755=1,AC3755^2,"")</f>
        <v/>
      </c>
      <c r="AE3755" s="19">
        <f>IF(Z3755=1,(H3755-M3755)*I3755,0)</f>
        <v/>
      </c>
      <c r="AF3755">
        <f>IF(G3755&lt;EDATE(Assumptions!$C$6,-12)+1,"prior_12m","last_12m")</f>
        <v/>
      </c>
      <c r="AG3755" s="21">
        <f>DATE(YEAR(G3755),MONTH(G3755),1)</f>
        <v/>
      </c>
    </row>
    <row r="3756">
      <c r="A3756" t="inlineStr">
        <is>
          <t>SPO-02003-1</t>
        </is>
      </c>
      <c r="B3756" t="inlineStr">
        <is>
          <t>SPO-02003</t>
        </is>
      </c>
      <c r="C3756" t="inlineStr">
        <is>
          <t>SUP-08</t>
        </is>
      </c>
      <c r="D3756" t="inlineStr">
        <is>
          <t>PPE</t>
        </is>
      </c>
      <c r="E3756" t="inlineStr">
        <is>
          <t>PPE-06</t>
        </is>
      </c>
      <c r="F3756" s="17" t="n">
        <v>46130</v>
      </c>
      <c r="G3756" s="17" t="n">
        <v>46141</v>
      </c>
      <c r="H3756" s="18" t="n">
        <v>9</v>
      </c>
      <c r="I3756" s="19" t="n">
        <v>111.2</v>
      </c>
      <c r="J3756" s="19" t="n">
        <v>115</v>
      </c>
      <c r="K3756" s="20" t="n">
        <v>0</v>
      </c>
      <c r="L3756" s="20" t="n">
        <v>0</v>
      </c>
      <c r="M3756" s="18" t="n">
        <v>9</v>
      </c>
      <c r="N3756" s="18" t="n">
        <v>9</v>
      </c>
      <c r="O3756" s="18" t="n">
        <v>0</v>
      </c>
      <c r="P3756" s="17" t="n">
        <v>46141</v>
      </c>
      <c r="Q3756" s="17" t="n">
        <v>46141</v>
      </c>
      <c r="R3756" s="17" t="n">
        <v>46141</v>
      </c>
      <c r="S3756" s="19">
        <f>H3756*I3756</f>
        <v/>
      </c>
      <c r="T3756" s="19">
        <f>H3756*J3756</f>
        <v/>
      </c>
      <c r="U3756">
        <f>IF(AND(K3756=0,G3756&lt;=Assumptions!$C$6),1,0)</f>
        <v/>
      </c>
      <c r="V3756">
        <f>IF(U3756=1,IF(M3756&gt;0,IF(P3756&lt;=G3756+Assumptions!$C$7,1,0),0),0)</f>
        <v/>
      </c>
      <c r="W3756">
        <f>IF(AND(U3756=1,M3756&gt;=H3756*(1-Assumptions!$C$8)),1,0)</f>
        <v/>
      </c>
      <c r="X3756">
        <f>IF(AND(U3756=1,N3756&gt;=H3756*(1-Assumptions!$C$8)),1,0)</f>
        <v/>
      </c>
      <c r="Y3756">
        <f>IF(ISNUMBER(Q3756),1,0)</f>
        <v/>
      </c>
      <c r="Z3756">
        <f>IF(AND(K3756=0,L3756=0,Y3756=0),1,0)</f>
        <v/>
      </c>
      <c r="AA3756">
        <f>IF(AND(Z3756=1,G3756&lt;Assumptions!$C$6),1,0)</f>
        <v/>
      </c>
      <c r="AB3756">
        <f>IF(U3756=0,"",IF(Y3756=1,MAX(0,Q3756-G3756),IF(L3756=1,MAX(0,R3756-G3756),MAX(0,Assumptions!$C$6-G3756))))</f>
        <v/>
      </c>
      <c r="AC3756">
        <f>IF(Y3756=1,Q3756-F3756,"")</f>
        <v/>
      </c>
      <c r="AD3756">
        <f>IF(Y3756=1,AC3756^2,"")</f>
        <v/>
      </c>
      <c r="AE3756" s="19">
        <f>IF(Z3756=1,(H3756-M3756)*I3756,0)</f>
        <v/>
      </c>
      <c r="AF3756">
        <f>IF(G3756&lt;EDATE(Assumptions!$C$6,-12)+1,"prior_12m","last_12m")</f>
        <v/>
      </c>
      <c r="AG3756" s="21">
        <f>DATE(YEAR(G3756),MONTH(G3756),1)</f>
        <v/>
      </c>
    </row>
    <row r="3757">
      <c r="A3757" t="inlineStr">
        <is>
          <t>SPO-02003-2</t>
        </is>
      </c>
      <c r="B3757" t="inlineStr">
        <is>
          <t>SPO-02003</t>
        </is>
      </c>
      <c r="C3757" t="inlineStr">
        <is>
          <t>SUP-08</t>
        </is>
      </c>
      <c r="D3757" t="inlineStr">
        <is>
          <t>PPE</t>
        </is>
      </c>
      <c r="E3757" t="inlineStr">
        <is>
          <t>PPE-05</t>
        </is>
      </c>
      <c r="F3757" s="17" t="n">
        <v>46130</v>
      </c>
      <c r="G3757" s="17" t="n">
        <v>46141</v>
      </c>
      <c r="H3757" s="18" t="n">
        <v>118</v>
      </c>
      <c r="I3757" s="19" t="n">
        <v>10.71</v>
      </c>
      <c r="J3757" s="19" t="n">
        <v>11</v>
      </c>
      <c r="K3757" s="20" t="n">
        <v>0</v>
      </c>
      <c r="L3757" s="20" t="n">
        <v>0</v>
      </c>
      <c r="M3757" s="18" t="n">
        <v>118</v>
      </c>
      <c r="N3757" s="18" t="n">
        <v>0</v>
      </c>
      <c r="O3757" s="18" t="n">
        <v>0</v>
      </c>
      <c r="P3757" s="17" t="n">
        <v>46143</v>
      </c>
      <c r="Q3757" s="17" t="n">
        <v>46143</v>
      </c>
      <c r="R3757" s="17" t="n">
        <v>46143</v>
      </c>
      <c r="S3757" s="19">
        <f>H3757*I3757</f>
        <v/>
      </c>
      <c r="T3757" s="19">
        <f>H3757*J3757</f>
        <v/>
      </c>
      <c r="U3757">
        <f>IF(AND(K3757=0,G3757&lt;=Assumptions!$C$6),1,0)</f>
        <v/>
      </c>
      <c r="V3757">
        <f>IF(U3757=1,IF(M3757&gt;0,IF(P3757&lt;=G3757+Assumptions!$C$7,1,0),0),0)</f>
        <v/>
      </c>
      <c r="W3757">
        <f>IF(AND(U3757=1,M3757&gt;=H3757*(1-Assumptions!$C$8)),1,0)</f>
        <v/>
      </c>
      <c r="X3757">
        <f>IF(AND(U3757=1,N3757&gt;=H3757*(1-Assumptions!$C$8)),1,0)</f>
        <v/>
      </c>
      <c r="Y3757">
        <f>IF(ISNUMBER(Q3757),1,0)</f>
        <v/>
      </c>
      <c r="Z3757">
        <f>IF(AND(K3757=0,L3757=0,Y3757=0),1,0)</f>
        <v/>
      </c>
      <c r="AA3757">
        <f>IF(AND(Z3757=1,G3757&lt;Assumptions!$C$6),1,0)</f>
        <v/>
      </c>
      <c r="AB3757">
        <f>IF(U3757=0,"",IF(Y3757=1,MAX(0,Q3757-G3757),IF(L3757=1,MAX(0,R3757-G3757),MAX(0,Assumptions!$C$6-G3757))))</f>
        <v/>
      </c>
      <c r="AC3757">
        <f>IF(Y3757=1,Q3757-F3757,"")</f>
        <v/>
      </c>
      <c r="AD3757">
        <f>IF(Y3757=1,AC3757^2,"")</f>
        <v/>
      </c>
      <c r="AE3757" s="19">
        <f>IF(Z3757=1,(H3757-M3757)*I3757,0)</f>
        <v/>
      </c>
      <c r="AF3757">
        <f>IF(G3757&lt;EDATE(Assumptions!$C$6,-12)+1,"prior_12m","last_12m")</f>
        <v/>
      </c>
      <c r="AG3757" s="21">
        <f>DATE(YEAR(G3757),MONTH(G3757),1)</f>
        <v/>
      </c>
    </row>
    <row r="3758">
      <c r="A3758" t="inlineStr">
        <is>
          <t>SPO-02004-1</t>
        </is>
      </c>
      <c r="B3758" t="inlineStr">
        <is>
          <t>SPO-02004</t>
        </is>
      </c>
      <c r="C3758" t="inlineStr">
        <is>
          <t>SUP-02</t>
        </is>
      </c>
      <c r="D3758" t="inlineStr">
        <is>
          <t>ELEC</t>
        </is>
      </c>
      <c r="E3758" t="inlineStr">
        <is>
          <t>ELEC-03</t>
        </is>
      </c>
      <c r="F3758" s="17" t="n">
        <v>46130</v>
      </c>
      <c r="G3758" s="17" t="n">
        <v>46146</v>
      </c>
      <c r="H3758" s="18" t="n">
        <v>25</v>
      </c>
      <c r="I3758" s="19" t="n">
        <v>98.66</v>
      </c>
      <c r="J3758" s="19" t="n">
        <v>96</v>
      </c>
      <c r="K3758" s="20" t="n">
        <v>0</v>
      </c>
      <c r="L3758" s="20" t="n">
        <v>0</v>
      </c>
      <c r="M3758" s="18" t="n">
        <v>25</v>
      </c>
      <c r="N3758" s="18" t="n">
        <v>25</v>
      </c>
      <c r="O3758" s="18" t="n">
        <v>0</v>
      </c>
      <c r="P3758" s="17" t="n">
        <v>46144</v>
      </c>
      <c r="Q3758" s="17" t="n">
        <v>46144</v>
      </c>
      <c r="R3758" s="17" t="n">
        <v>46144</v>
      </c>
      <c r="S3758" s="19">
        <f>H3758*I3758</f>
        <v/>
      </c>
      <c r="T3758" s="19">
        <f>H3758*J3758</f>
        <v/>
      </c>
      <c r="U3758">
        <f>IF(AND(K3758=0,G3758&lt;=Assumptions!$C$6),1,0)</f>
        <v/>
      </c>
      <c r="V3758">
        <f>IF(U3758=1,IF(M3758&gt;0,IF(P3758&lt;=G3758+Assumptions!$C$7,1,0),0),0)</f>
        <v/>
      </c>
      <c r="W3758">
        <f>IF(AND(U3758=1,M3758&gt;=H3758*(1-Assumptions!$C$8)),1,0)</f>
        <v/>
      </c>
      <c r="X3758">
        <f>IF(AND(U3758=1,N3758&gt;=H3758*(1-Assumptions!$C$8)),1,0)</f>
        <v/>
      </c>
      <c r="Y3758">
        <f>IF(ISNUMBER(Q3758),1,0)</f>
        <v/>
      </c>
      <c r="Z3758">
        <f>IF(AND(K3758=0,L3758=0,Y3758=0),1,0)</f>
        <v/>
      </c>
      <c r="AA3758">
        <f>IF(AND(Z3758=1,G3758&lt;Assumptions!$C$6),1,0)</f>
        <v/>
      </c>
      <c r="AB3758">
        <f>IF(U3758=0,"",IF(Y3758=1,MAX(0,Q3758-G3758),IF(L3758=1,MAX(0,R3758-G3758),MAX(0,Assumptions!$C$6-G3758))))</f>
        <v/>
      </c>
      <c r="AC3758">
        <f>IF(Y3758=1,Q3758-F3758,"")</f>
        <v/>
      </c>
      <c r="AD3758">
        <f>IF(Y3758=1,AC3758^2,"")</f>
        <v/>
      </c>
      <c r="AE3758" s="19">
        <f>IF(Z3758=1,(H3758-M3758)*I3758,0)</f>
        <v/>
      </c>
      <c r="AF3758">
        <f>IF(G3758&lt;EDATE(Assumptions!$C$6,-12)+1,"prior_12m","last_12m")</f>
        <v/>
      </c>
      <c r="AG3758" s="21">
        <f>DATE(YEAR(G3758),MONTH(G3758),1)</f>
        <v/>
      </c>
    </row>
    <row r="3759">
      <c r="A3759" t="inlineStr">
        <is>
          <t>SPO-02004-2</t>
        </is>
      </c>
      <c r="B3759" t="inlineStr">
        <is>
          <t>SPO-02004</t>
        </is>
      </c>
      <c r="C3759" t="inlineStr">
        <is>
          <t>SUP-02</t>
        </is>
      </c>
      <c r="D3759" t="inlineStr">
        <is>
          <t>ELEC</t>
        </is>
      </c>
      <c r="E3759" t="inlineStr">
        <is>
          <t>ELEC-01</t>
        </is>
      </c>
      <c r="F3759" s="17" t="n">
        <v>46130</v>
      </c>
      <c r="G3759" s="17" t="n">
        <v>46146</v>
      </c>
      <c r="H3759" s="18" t="n">
        <v>46</v>
      </c>
      <c r="I3759" s="19" t="n">
        <v>36.35</v>
      </c>
      <c r="J3759" s="19" t="n">
        <v>38</v>
      </c>
      <c r="K3759" s="20" t="n">
        <v>0</v>
      </c>
      <c r="L3759" s="20" t="n">
        <v>0</v>
      </c>
      <c r="M3759" s="18" t="n">
        <v>46</v>
      </c>
      <c r="N3759" s="18" t="n">
        <v>46</v>
      </c>
      <c r="O3759" s="18" t="n">
        <v>0</v>
      </c>
      <c r="P3759" s="17" t="n">
        <v>46143</v>
      </c>
      <c r="Q3759" s="17" t="n">
        <v>46143</v>
      </c>
      <c r="R3759" s="17" t="n">
        <v>46143</v>
      </c>
      <c r="S3759" s="19">
        <f>H3759*I3759</f>
        <v/>
      </c>
      <c r="T3759" s="19">
        <f>H3759*J3759</f>
        <v/>
      </c>
      <c r="U3759">
        <f>IF(AND(K3759=0,G3759&lt;=Assumptions!$C$6),1,0)</f>
        <v/>
      </c>
      <c r="V3759">
        <f>IF(U3759=1,IF(M3759&gt;0,IF(P3759&lt;=G3759+Assumptions!$C$7,1,0),0),0)</f>
        <v/>
      </c>
      <c r="W3759">
        <f>IF(AND(U3759=1,M3759&gt;=H3759*(1-Assumptions!$C$8)),1,0)</f>
        <v/>
      </c>
      <c r="X3759">
        <f>IF(AND(U3759=1,N3759&gt;=H3759*(1-Assumptions!$C$8)),1,0)</f>
        <v/>
      </c>
      <c r="Y3759">
        <f>IF(ISNUMBER(Q3759),1,0)</f>
        <v/>
      </c>
      <c r="Z3759">
        <f>IF(AND(K3759=0,L3759=0,Y3759=0),1,0)</f>
        <v/>
      </c>
      <c r="AA3759">
        <f>IF(AND(Z3759=1,G3759&lt;Assumptions!$C$6),1,0)</f>
        <v/>
      </c>
      <c r="AB3759">
        <f>IF(U3759=0,"",IF(Y3759=1,MAX(0,Q3759-G3759),IF(L3759=1,MAX(0,R3759-G3759),MAX(0,Assumptions!$C$6-G3759))))</f>
        <v/>
      </c>
      <c r="AC3759">
        <f>IF(Y3759=1,Q3759-F3759,"")</f>
        <v/>
      </c>
      <c r="AD3759">
        <f>IF(Y3759=1,AC3759^2,"")</f>
        <v/>
      </c>
      <c r="AE3759" s="19">
        <f>IF(Z3759=1,(H3759-M3759)*I3759,0)</f>
        <v/>
      </c>
      <c r="AF3759">
        <f>IF(G3759&lt;EDATE(Assumptions!$C$6,-12)+1,"prior_12m","last_12m")</f>
        <v/>
      </c>
      <c r="AG3759" s="21">
        <f>DATE(YEAR(G3759),MONTH(G3759),1)</f>
        <v/>
      </c>
    </row>
    <row r="3760">
      <c r="A3760" t="inlineStr">
        <is>
          <t>SPO-02004-3</t>
        </is>
      </c>
      <c r="B3760" t="inlineStr">
        <is>
          <t>SPO-02004</t>
        </is>
      </c>
      <c r="C3760" t="inlineStr">
        <is>
          <t>SUP-02</t>
        </is>
      </c>
      <c r="D3760" t="inlineStr">
        <is>
          <t>ELEC</t>
        </is>
      </c>
      <c r="E3760" t="inlineStr">
        <is>
          <t>ELEC-06</t>
        </is>
      </c>
      <c r="F3760" s="17" t="n">
        <v>46130</v>
      </c>
      <c r="G3760" s="17" t="n">
        <v>46146</v>
      </c>
      <c r="H3760" s="18" t="n">
        <v>8</v>
      </c>
      <c r="I3760" s="19" t="n">
        <v>143.19</v>
      </c>
      <c r="J3760" s="19" t="n">
        <v>145</v>
      </c>
      <c r="K3760" s="20" t="n">
        <v>0</v>
      </c>
      <c r="L3760" s="20" t="n">
        <v>0</v>
      </c>
      <c r="M3760" s="18" t="n">
        <v>8</v>
      </c>
      <c r="N3760" s="18" t="n">
        <v>8</v>
      </c>
      <c r="O3760" s="18" t="n">
        <v>0</v>
      </c>
      <c r="P3760" s="17" t="n">
        <v>46144</v>
      </c>
      <c r="Q3760" s="17" t="n">
        <v>46144</v>
      </c>
      <c r="R3760" s="17" t="n">
        <v>46144</v>
      </c>
      <c r="S3760" s="19">
        <f>H3760*I3760</f>
        <v/>
      </c>
      <c r="T3760" s="19">
        <f>H3760*J3760</f>
        <v/>
      </c>
      <c r="U3760">
        <f>IF(AND(K3760=0,G3760&lt;=Assumptions!$C$6),1,0)</f>
        <v/>
      </c>
      <c r="V3760">
        <f>IF(U3760=1,IF(M3760&gt;0,IF(P3760&lt;=G3760+Assumptions!$C$7,1,0),0),0)</f>
        <v/>
      </c>
      <c r="W3760">
        <f>IF(AND(U3760=1,M3760&gt;=H3760*(1-Assumptions!$C$8)),1,0)</f>
        <v/>
      </c>
      <c r="X3760">
        <f>IF(AND(U3760=1,N3760&gt;=H3760*(1-Assumptions!$C$8)),1,0)</f>
        <v/>
      </c>
      <c r="Y3760">
        <f>IF(ISNUMBER(Q3760),1,0)</f>
        <v/>
      </c>
      <c r="Z3760">
        <f>IF(AND(K3760=0,L3760=0,Y3760=0),1,0)</f>
        <v/>
      </c>
      <c r="AA3760">
        <f>IF(AND(Z3760=1,G3760&lt;Assumptions!$C$6),1,0)</f>
        <v/>
      </c>
      <c r="AB3760">
        <f>IF(U3760=0,"",IF(Y3760=1,MAX(0,Q3760-G3760),IF(L3760=1,MAX(0,R3760-G3760),MAX(0,Assumptions!$C$6-G3760))))</f>
        <v/>
      </c>
      <c r="AC3760">
        <f>IF(Y3760=1,Q3760-F3760,"")</f>
        <v/>
      </c>
      <c r="AD3760">
        <f>IF(Y3760=1,AC3760^2,"")</f>
        <v/>
      </c>
      <c r="AE3760" s="19">
        <f>IF(Z3760=1,(H3760-M3760)*I3760,0)</f>
        <v/>
      </c>
      <c r="AF3760">
        <f>IF(G3760&lt;EDATE(Assumptions!$C$6,-12)+1,"prior_12m","last_12m")</f>
        <v/>
      </c>
      <c r="AG3760" s="21">
        <f>DATE(YEAR(G3760),MONTH(G3760),1)</f>
        <v/>
      </c>
    </row>
    <row r="3761">
      <c r="A3761" t="inlineStr">
        <is>
          <t>SPO-02005-1</t>
        </is>
      </c>
      <c r="B3761" t="inlineStr">
        <is>
          <t>SPO-02005</t>
        </is>
      </c>
      <c r="C3761" t="inlineStr">
        <is>
          <t>SUP-14</t>
        </is>
      </c>
      <c r="D3761" t="inlineStr">
        <is>
          <t>FLEET</t>
        </is>
      </c>
      <c r="E3761" t="inlineStr">
        <is>
          <t>FLEET-01</t>
        </is>
      </c>
      <c r="F3761" s="17" t="n">
        <v>46130</v>
      </c>
      <c r="G3761" s="17" t="n">
        <v>46144</v>
      </c>
      <c r="H3761" s="18" t="n">
        <v>15</v>
      </c>
      <c r="I3761" s="19" t="n">
        <v>64.03</v>
      </c>
      <c r="J3761" s="19" t="n">
        <v>64</v>
      </c>
      <c r="K3761" s="20" t="n">
        <v>0</v>
      </c>
      <c r="L3761" s="20" t="n">
        <v>0</v>
      </c>
      <c r="M3761" s="18" t="n">
        <v>15</v>
      </c>
      <c r="N3761" s="18" t="n">
        <v>15</v>
      </c>
      <c r="O3761" s="18" t="n">
        <v>0</v>
      </c>
      <c r="P3761" s="17" t="n">
        <v>46142</v>
      </c>
      <c r="Q3761" s="17" t="n">
        <v>46142</v>
      </c>
      <c r="R3761" s="17" t="n">
        <v>46142</v>
      </c>
      <c r="S3761" s="19">
        <f>H3761*I3761</f>
        <v/>
      </c>
      <c r="T3761" s="19">
        <f>H3761*J3761</f>
        <v/>
      </c>
      <c r="U3761">
        <f>IF(AND(K3761=0,G3761&lt;=Assumptions!$C$6),1,0)</f>
        <v/>
      </c>
      <c r="V3761">
        <f>IF(U3761=1,IF(M3761&gt;0,IF(P3761&lt;=G3761+Assumptions!$C$7,1,0),0),0)</f>
        <v/>
      </c>
      <c r="W3761">
        <f>IF(AND(U3761=1,M3761&gt;=H3761*(1-Assumptions!$C$8)),1,0)</f>
        <v/>
      </c>
      <c r="X3761">
        <f>IF(AND(U3761=1,N3761&gt;=H3761*(1-Assumptions!$C$8)),1,0)</f>
        <v/>
      </c>
      <c r="Y3761">
        <f>IF(ISNUMBER(Q3761),1,0)</f>
        <v/>
      </c>
      <c r="Z3761">
        <f>IF(AND(K3761=0,L3761=0,Y3761=0),1,0)</f>
        <v/>
      </c>
      <c r="AA3761">
        <f>IF(AND(Z3761=1,G3761&lt;Assumptions!$C$6),1,0)</f>
        <v/>
      </c>
      <c r="AB3761">
        <f>IF(U3761=0,"",IF(Y3761=1,MAX(0,Q3761-G3761),IF(L3761=1,MAX(0,R3761-G3761),MAX(0,Assumptions!$C$6-G3761))))</f>
        <v/>
      </c>
      <c r="AC3761">
        <f>IF(Y3761=1,Q3761-F3761,"")</f>
        <v/>
      </c>
      <c r="AD3761">
        <f>IF(Y3761=1,AC3761^2,"")</f>
        <v/>
      </c>
      <c r="AE3761" s="19">
        <f>IF(Z3761=1,(H3761-M3761)*I3761,0)</f>
        <v/>
      </c>
      <c r="AF3761">
        <f>IF(G3761&lt;EDATE(Assumptions!$C$6,-12)+1,"prior_12m","last_12m")</f>
        <v/>
      </c>
      <c r="AG3761" s="21">
        <f>DATE(YEAR(G3761),MONTH(G3761),1)</f>
        <v/>
      </c>
    </row>
    <row r="3762">
      <c r="A3762" t="inlineStr">
        <is>
          <t>SPO-02006-1</t>
        </is>
      </c>
      <c r="B3762" t="inlineStr">
        <is>
          <t>SPO-02006</t>
        </is>
      </c>
      <c r="C3762" t="inlineStr">
        <is>
          <t>SUP-08</t>
        </is>
      </c>
      <c r="D3762" t="inlineStr">
        <is>
          <t>PPE</t>
        </is>
      </c>
      <c r="E3762" t="inlineStr">
        <is>
          <t>PPE-08</t>
        </is>
      </c>
      <c r="F3762" s="17" t="n">
        <v>46130</v>
      </c>
      <c r="G3762" s="17" t="n">
        <v>46141</v>
      </c>
      <c r="H3762" s="18" t="n">
        <v>46</v>
      </c>
      <c r="I3762" s="19" t="n">
        <v>64.20999999999999</v>
      </c>
      <c r="J3762" s="19" t="n">
        <v>64</v>
      </c>
      <c r="K3762" s="20" t="n">
        <v>0</v>
      </c>
      <c r="L3762" s="20" t="n">
        <v>0</v>
      </c>
      <c r="M3762" s="18" t="n">
        <v>46</v>
      </c>
      <c r="N3762" s="18" t="n">
        <v>46</v>
      </c>
      <c r="O3762" s="18" t="n">
        <v>0</v>
      </c>
      <c r="P3762" s="17" t="n">
        <v>46139</v>
      </c>
      <c r="Q3762" s="17" t="n">
        <v>46139</v>
      </c>
      <c r="R3762" s="17" t="n">
        <v>46139</v>
      </c>
      <c r="S3762" s="19">
        <f>H3762*I3762</f>
        <v/>
      </c>
      <c r="T3762" s="19">
        <f>H3762*J3762</f>
        <v/>
      </c>
      <c r="U3762">
        <f>IF(AND(K3762=0,G3762&lt;=Assumptions!$C$6),1,0)</f>
        <v/>
      </c>
      <c r="V3762">
        <f>IF(U3762=1,IF(M3762&gt;0,IF(P3762&lt;=G3762+Assumptions!$C$7,1,0),0),0)</f>
        <v/>
      </c>
      <c r="W3762">
        <f>IF(AND(U3762=1,M3762&gt;=H3762*(1-Assumptions!$C$8)),1,0)</f>
        <v/>
      </c>
      <c r="X3762">
        <f>IF(AND(U3762=1,N3762&gt;=H3762*(1-Assumptions!$C$8)),1,0)</f>
        <v/>
      </c>
      <c r="Y3762">
        <f>IF(ISNUMBER(Q3762),1,0)</f>
        <v/>
      </c>
      <c r="Z3762">
        <f>IF(AND(K3762=0,L3762=0,Y3762=0),1,0)</f>
        <v/>
      </c>
      <c r="AA3762">
        <f>IF(AND(Z3762=1,G3762&lt;Assumptions!$C$6),1,0)</f>
        <v/>
      </c>
      <c r="AB3762">
        <f>IF(U3762=0,"",IF(Y3762=1,MAX(0,Q3762-G3762),IF(L3762=1,MAX(0,R3762-G3762),MAX(0,Assumptions!$C$6-G3762))))</f>
        <v/>
      </c>
      <c r="AC3762">
        <f>IF(Y3762=1,Q3762-F3762,"")</f>
        <v/>
      </c>
      <c r="AD3762">
        <f>IF(Y3762=1,AC3762^2,"")</f>
        <v/>
      </c>
      <c r="AE3762" s="19">
        <f>IF(Z3762=1,(H3762-M3762)*I3762,0)</f>
        <v/>
      </c>
      <c r="AF3762">
        <f>IF(G3762&lt;EDATE(Assumptions!$C$6,-12)+1,"prior_12m","last_12m")</f>
        <v/>
      </c>
      <c r="AG3762" s="21">
        <f>DATE(YEAR(G3762),MONTH(G3762),1)</f>
        <v/>
      </c>
    </row>
    <row r="3763">
      <c r="A3763" t="inlineStr">
        <is>
          <t>SPO-02006-2</t>
        </is>
      </c>
      <c r="B3763" t="inlineStr">
        <is>
          <t>SPO-02006</t>
        </is>
      </c>
      <c r="C3763" t="inlineStr">
        <is>
          <t>SUP-08</t>
        </is>
      </c>
      <c r="D3763" t="inlineStr">
        <is>
          <t>PPE</t>
        </is>
      </c>
      <c r="E3763" t="inlineStr">
        <is>
          <t>PPE-05</t>
        </is>
      </c>
      <c r="F3763" s="17" t="n">
        <v>46130</v>
      </c>
      <c r="G3763" s="17" t="n">
        <v>46141</v>
      </c>
      <c r="H3763" s="18" t="n">
        <v>160</v>
      </c>
      <c r="I3763" s="19" t="n">
        <v>10.36</v>
      </c>
      <c r="J3763" s="19" t="n">
        <v>11</v>
      </c>
      <c r="K3763" s="20" t="n">
        <v>0</v>
      </c>
      <c r="L3763" s="20" t="n">
        <v>0</v>
      </c>
      <c r="M3763" s="18" t="n">
        <v>160</v>
      </c>
      <c r="N3763" s="18" t="n">
        <v>160</v>
      </c>
      <c r="O3763" s="18" t="n">
        <v>0</v>
      </c>
      <c r="P3763" s="17" t="n">
        <v>46139</v>
      </c>
      <c r="Q3763" s="17" t="n">
        <v>46139</v>
      </c>
      <c r="R3763" s="17" t="n">
        <v>46139</v>
      </c>
      <c r="S3763" s="19">
        <f>H3763*I3763</f>
        <v/>
      </c>
      <c r="T3763" s="19">
        <f>H3763*J3763</f>
        <v/>
      </c>
      <c r="U3763">
        <f>IF(AND(K3763=0,G3763&lt;=Assumptions!$C$6),1,0)</f>
        <v/>
      </c>
      <c r="V3763">
        <f>IF(U3763=1,IF(M3763&gt;0,IF(P3763&lt;=G3763+Assumptions!$C$7,1,0),0),0)</f>
        <v/>
      </c>
      <c r="W3763">
        <f>IF(AND(U3763=1,M3763&gt;=H3763*(1-Assumptions!$C$8)),1,0)</f>
        <v/>
      </c>
      <c r="X3763">
        <f>IF(AND(U3763=1,N3763&gt;=H3763*(1-Assumptions!$C$8)),1,0)</f>
        <v/>
      </c>
      <c r="Y3763">
        <f>IF(ISNUMBER(Q3763),1,0)</f>
        <v/>
      </c>
      <c r="Z3763">
        <f>IF(AND(K3763=0,L3763=0,Y3763=0),1,0)</f>
        <v/>
      </c>
      <c r="AA3763">
        <f>IF(AND(Z3763=1,G3763&lt;Assumptions!$C$6),1,0)</f>
        <v/>
      </c>
      <c r="AB3763">
        <f>IF(U3763=0,"",IF(Y3763=1,MAX(0,Q3763-G3763),IF(L3763=1,MAX(0,R3763-G3763),MAX(0,Assumptions!$C$6-G3763))))</f>
        <v/>
      </c>
      <c r="AC3763">
        <f>IF(Y3763=1,Q3763-F3763,"")</f>
        <v/>
      </c>
      <c r="AD3763">
        <f>IF(Y3763=1,AC3763^2,"")</f>
        <v/>
      </c>
      <c r="AE3763" s="19">
        <f>IF(Z3763=1,(H3763-M3763)*I3763,0)</f>
        <v/>
      </c>
      <c r="AF3763">
        <f>IF(G3763&lt;EDATE(Assumptions!$C$6,-12)+1,"prior_12m","last_12m")</f>
        <v/>
      </c>
      <c r="AG3763" s="21">
        <f>DATE(YEAR(G3763),MONTH(G3763),1)</f>
        <v/>
      </c>
    </row>
    <row r="3764">
      <c r="A3764" t="inlineStr">
        <is>
          <t>SPO-02007-1</t>
        </is>
      </c>
      <c r="B3764" t="inlineStr">
        <is>
          <t>SPO-02007</t>
        </is>
      </c>
      <c r="C3764" t="inlineStr">
        <is>
          <t>SUP-02</t>
        </is>
      </c>
      <c r="D3764" t="inlineStr">
        <is>
          <t>ELEC</t>
        </is>
      </c>
      <c r="E3764" t="inlineStr">
        <is>
          <t>ELEC-08</t>
        </is>
      </c>
      <c r="F3764" s="17" t="n">
        <v>46130</v>
      </c>
      <c r="G3764" s="17" t="n">
        <v>46146</v>
      </c>
      <c r="H3764" s="18" t="n">
        <v>31</v>
      </c>
      <c r="I3764" s="19" t="n">
        <v>17.89</v>
      </c>
      <c r="J3764" s="19" t="n">
        <v>18</v>
      </c>
      <c r="K3764" s="20" t="n">
        <v>0</v>
      </c>
      <c r="L3764" s="20" t="n">
        <v>0</v>
      </c>
      <c r="M3764" s="18" t="n">
        <v>31</v>
      </c>
      <c r="N3764" s="18" t="n">
        <v>31</v>
      </c>
      <c r="O3764" s="18" t="n">
        <v>0</v>
      </c>
      <c r="P3764" s="17" t="n">
        <v>46139</v>
      </c>
      <c r="Q3764" s="17" t="n">
        <v>46139</v>
      </c>
      <c r="R3764" s="17" t="n">
        <v>46139</v>
      </c>
      <c r="S3764" s="19">
        <f>H3764*I3764</f>
        <v/>
      </c>
      <c r="T3764" s="19">
        <f>H3764*J3764</f>
        <v/>
      </c>
      <c r="U3764">
        <f>IF(AND(K3764=0,G3764&lt;=Assumptions!$C$6),1,0)</f>
        <v/>
      </c>
      <c r="V3764">
        <f>IF(U3764=1,IF(M3764&gt;0,IF(P3764&lt;=G3764+Assumptions!$C$7,1,0),0),0)</f>
        <v/>
      </c>
      <c r="W3764">
        <f>IF(AND(U3764=1,M3764&gt;=H3764*(1-Assumptions!$C$8)),1,0)</f>
        <v/>
      </c>
      <c r="X3764">
        <f>IF(AND(U3764=1,N3764&gt;=H3764*(1-Assumptions!$C$8)),1,0)</f>
        <v/>
      </c>
      <c r="Y3764">
        <f>IF(ISNUMBER(Q3764),1,0)</f>
        <v/>
      </c>
      <c r="Z3764">
        <f>IF(AND(K3764=0,L3764=0,Y3764=0),1,0)</f>
        <v/>
      </c>
      <c r="AA3764">
        <f>IF(AND(Z3764=1,G3764&lt;Assumptions!$C$6),1,0)</f>
        <v/>
      </c>
      <c r="AB3764">
        <f>IF(U3764=0,"",IF(Y3764=1,MAX(0,Q3764-G3764),IF(L3764=1,MAX(0,R3764-G3764),MAX(0,Assumptions!$C$6-G3764))))</f>
        <v/>
      </c>
      <c r="AC3764">
        <f>IF(Y3764=1,Q3764-F3764,"")</f>
        <v/>
      </c>
      <c r="AD3764">
        <f>IF(Y3764=1,AC3764^2,"")</f>
        <v/>
      </c>
      <c r="AE3764" s="19">
        <f>IF(Z3764=1,(H3764-M3764)*I3764,0)</f>
        <v/>
      </c>
      <c r="AF3764">
        <f>IF(G3764&lt;EDATE(Assumptions!$C$6,-12)+1,"prior_12m","last_12m")</f>
        <v/>
      </c>
      <c r="AG3764" s="21">
        <f>DATE(YEAR(G3764),MONTH(G3764),1)</f>
        <v/>
      </c>
    </row>
    <row r="3765">
      <c r="A3765" t="inlineStr">
        <is>
          <t>SPO-02008-1</t>
        </is>
      </c>
      <c r="B3765" t="inlineStr">
        <is>
          <t>SPO-02008</t>
        </is>
      </c>
      <c r="C3765" t="inlineStr">
        <is>
          <t>SUP-06</t>
        </is>
      </c>
      <c r="D3765" t="inlineStr">
        <is>
          <t>MRO</t>
        </is>
      </c>
      <c r="E3765" t="inlineStr">
        <is>
          <t>MRO-02</t>
        </is>
      </c>
      <c r="F3765" s="17" t="n">
        <v>46130</v>
      </c>
      <c r="G3765" s="17" t="n">
        <v>46138</v>
      </c>
      <c r="H3765" s="18" t="n">
        <v>43</v>
      </c>
      <c r="I3765" s="19" t="n">
        <v>42.4</v>
      </c>
      <c r="J3765" s="19" t="n">
        <v>41</v>
      </c>
      <c r="K3765" s="20" t="n">
        <v>0</v>
      </c>
      <c r="L3765" s="20" t="n">
        <v>0</v>
      </c>
      <c r="M3765" s="18" t="n">
        <v>43</v>
      </c>
      <c r="N3765" s="18" t="n">
        <v>43</v>
      </c>
      <c r="O3765" s="18" t="n">
        <v>0</v>
      </c>
      <c r="P3765" s="17" t="n">
        <v>46136</v>
      </c>
      <c r="Q3765" s="17" t="n">
        <v>46136</v>
      </c>
      <c r="R3765" s="17" t="n">
        <v>46136</v>
      </c>
      <c r="S3765" s="19">
        <f>H3765*I3765</f>
        <v/>
      </c>
      <c r="T3765" s="19">
        <f>H3765*J3765</f>
        <v/>
      </c>
      <c r="U3765">
        <f>IF(AND(K3765=0,G3765&lt;=Assumptions!$C$6),1,0)</f>
        <v/>
      </c>
      <c r="V3765">
        <f>IF(U3765=1,IF(M3765&gt;0,IF(P3765&lt;=G3765+Assumptions!$C$7,1,0),0),0)</f>
        <v/>
      </c>
      <c r="W3765">
        <f>IF(AND(U3765=1,M3765&gt;=H3765*(1-Assumptions!$C$8)),1,0)</f>
        <v/>
      </c>
      <c r="X3765">
        <f>IF(AND(U3765=1,N3765&gt;=H3765*(1-Assumptions!$C$8)),1,0)</f>
        <v/>
      </c>
      <c r="Y3765">
        <f>IF(ISNUMBER(Q3765),1,0)</f>
        <v/>
      </c>
      <c r="Z3765">
        <f>IF(AND(K3765=0,L3765=0,Y3765=0),1,0)</f>
        <v/>
      </c>
      <c r="AA3765">
        <f>IF(AND(Z3765=1,G3765&lt;Assumptions!$C$6),1,0)</f>
        <v/>
      </c>
      <c r="AB3765">
        <f>IF(U3765=0,"",IF(Y3765=1,MAX(0,Q3765-G3765),IF(L3765=1,MAX(0,R3765-G3765),MAX(0,Assumptions!$C$6-G3765))))</f>
        <v/>
      </c>
      <c r="AC3765">
        <f>IF(Y3765=1,Q3765-F3765,"")</f>
        <v/>
      </c>
      <c r="AD3765">
        <f>IF(Y3765=1,AC3765^2,"")</f>
        <v/>
      </c>
      <c r="AE3765" s="19">
        <f>IF(Z3765=1,(H3765-M3765)*I3765,0)</f>
        <v/>
      </c>
      <c r="AF3765">
        <f>IF(G3765&lt;EDATE(Assumptions!$C$6,-12)+1,"prior_12m","last_12m")</f>
        <v/>
      </c>
      <c r="AG3765" s="21">
        <f>DATE(YEAR(G3765),MONTH(G3765),1)</f>
        <v/>
      </c>
    </row>
    <row r="3766">
      <c r="A3766" t="inlineStr">
        <is>
          <t>SPO-02009-1</t>
        </is>
      </c>
      <c r="B3766" t="inlineStr">
        <is>
          <t>SPO-02009</t>
        </is>
      </c>
      <c r="C3766" t="inlineStr">
        <is>
          <t>SUP-06</t>
        </is>
      </c>
      <c r="D3766" t="inlineStr">
        <is>
          <t>MRO</t>
        </is>
      </c>
      <c r="E3766" t="inlineStr">
        <is>
          <t>MRO-04</t>
        </is>
      </c>
      <c r="F3766" s="17" t="n">
        <v>46131</v>
      </c>
      <c r="G3766" s="17" t="n">
        <v>46139</v>
      </c>
      <c r="H3766" s="18" t="n">
        <v>39</v>
      </c>
      <c r="I3766" s="19" t="n">
        <v>57.04</v>
      </c>
      <c r="J3766" s="19" t="n">
        <v>58</v>
      </c>
      <c r="K3766" s="20" t="n">
        <v>0</v>
      </c>
      <c r="L3766" s="20" t="n">
        <v>0</v>
      </c>
      <c r="M3766" s="18" t="n">
        <v>39</v>
      </c>
      <c r="N3766" s="18" t="n">
        <v>39</v>
      </c>
      <c r="O3766" s="18" t="n">
        <v>0</v>
      </c>
      <c r="P3766" s="17" t="n">
        <v>46136</v>
      </c>
      <c r="Q3766" s="17" t="n">
        <v>46136</v>
      </c>
      <c r="R3766" s="17" t="n">
        <v>46136</v>
      </c>
      <c r="S3766" s="19">
        <f>H3766*I3766</f>
        <v/>
      </c>
      <c r="T3766" s="19">
        <f>H3766*J3766</f>
        <v/>
      </c>
      <c r="U3766">
        <f>IF(AND(K3766=0,G3766&lt;=Assumptions!$C$6),1,0)</f>
        <v/>
      </c>
      <c r="V3766">
        <f>IF(U3766=1,IF(M3766&gt;0,IF(P3766&lt;=G3766+Assumptions!$C$7,1,0),0),0)</f>
        <v/>
      </c>
      <c r="W3766">
        <f>IF(AND(U3766=1,M3766&gt;=H3766*(1-Assumptions!$C$8)),1,0)</f>
        <v/>
      </c>
      <c r="X3766">
        <f>IF(AND(U3766=1,N3766&gt;=H3766*(1-Assumptions!$C$8)),1,0)</f>
        <v/>
      </c>
      <c r="Y3766">
        <f>IF(ISNUMBER(Q3766),1,0)</f>
        <v/>
      </c>
      <c r="Z3766">
        <f>IF(AND(K3766=0,L3766=0,Y3766=0),1,0)</f>
        <v/>
      </c>
      <c r="AA3766">
        <f>IF(AND(Z3766=1,G3766&lt;Assumptions!$C$6),1,0)</f>
        <v/>
      </c>
      <c r="AB3766">
        <f>IF(U3766=0,"",IF(Y3766=1,MAX(0,Q3766-G3766),IF(L3766=1,MAX(0,R3766-G3766),MAX(0,Assumptions!$C$6-G3766))))</f>
        <v/>
      </c>
      <c r="AC3766">
        <f>IF(Y3766=1,Q3766-F3766,"")</f>
        <v/>
      </c>
      <c r="AD3766">
        <f>IF(Y3766=1,AC3766^2,"")</f>
        <v/>
      </c>
      <c r="AE3766" s="19">
        <f>IF(Z3766=1,(H3766-M3766)*I3766,0)</f>
        <v/>
      </c>
      <c r="AF3766">
        <f>IF(G3766&lt;EDATE(Assumptions!$C$6,-12)+1,"prior_12m","last_12m")</f>
        <v/>
      </c>
      <c r="AG3766" s="21">
        <f>DATE(YEAR(G3766),MONTH(G3766),1)</f>
        <v/>
      </c>
    </row>
    <row r="3767">
      <c r="A3767" t="inlineStr">
        <is>
          <t>SPO-02009-2</t>
        </is>
      </c>
      <c r="B3767" t="inlineStr">
        <is>
          <t>SPO-02009</t>
        </is>
      </c>
      <c r="C3767" t="inlineStr">
        <is>
          <t>SUP-06</t>
        </is>
      </c>
      <c r="D3767" t="inlineStr">
        <is>
          <t>MRO</t>
        </is>
      </c>
      <c r="E3767" t="inlineStr">
        <is>
          <t>MRO-07</t>
        </is>
      </c>
      <c r="F3767" s="17" t="n">
        <v>46131</v>
      </c>
      <c r="G3767" s="17" t="n">
        <v>46139</v>
      </c>
      <c r="H3767" s="18" t="n">
        <v>91</v>
      </c>
      <c r="I3767" s="19" t="n">
        <v>13.19</v>
      </c>
      <c r="J3767" s="19" t="n">
        <v>14</v>
      </c>
      <c r="K3767" s="20" t="n">
        <v>0</v>
      </c>
      <c r="L3767" s="20" t="n">
        <v>0</v>
      </c>
      <c r="M3767" s="18" t="n">
        <v>91</v>
      </c>
      <c r="N3767" s="18" t="n">
        <v>91</v>
      </c>
      <c r="O3767" s="18" t="n">
        <v>0</v>
      </c>
      <c r="P3767" s="17" t="n">
        <v>46137</v>
      </c>
      <c r="Q3767" s="17" t="n">
        <v>46137</v>
      </c>
      <c r="R3767" s="17" t="n">
        <v>46137</v>
      </c>
      <c r="S3767" s="19">
        <f>H3767*I3767</f>
        <v/>
      </c>
      <c r="T3767" s="19">
        <f>H3767*J3767</f>
        <v/>
      </c>
      <c r="U3767">
        <f>IF(AND(K3767=0,G3767&lt;=Assumptions!$C$6),1,0)</f>
        <v/>
      </c>
      <c r="V3767">
        <f>IF(U3767=1,IF(M3767&gt;0,IF(P3767&lt;=G3767+Assumptions!$C$7,1,0),0),0)</f>
        <v/>
      </c>
      <c r="W3767">
        <f>IF(AND(U3767=1,M3767&gt;=H3767*(1-Assumptions!$C$8)),1,0)</f>
        <v/>
      </c>
      <c r="X3767">
        <f>IF(AND(U3767=1,N3767&gt;=H3767*(1-Assumptions!$C$8)),1,0)</f>
        <v/>
      </c>
      <c r="Y3767">
        <f>IF(ISNUMBER(Q3767),1,0)</f>
        <v/>
      </c>
      <c r="Z3767">
        <f>IF(AND(K3767=0,L3767=0,Y3767=0),1,0)</f>
        <v/>
      </c>
      <c r="AA3767">
        <f>IF(AND(Z3767=1,G3767&lt;Assumptions!$C$6),1,0)</f>
        <v/>
      </c>
      <c r="AB3767">
        <f>IF(U3767=0,"",IF(Y3767=1,MAX(0,Q3767-G3767),IF(L3767=1,MAX(0,R3767-G3767),MAX(0,Assumptions!$C$6-G3767))))</f>
        <v/>
      </c>
      <c r="AC3767">
        <f>IF(Y3767=1,Q3767-F3767,"")</f>
        <v/>
      </c>
      <c r="AD3767">
        <f>IF(Y3767=1,AC3767^2,"")</f>
        <v/>
      </c>
      <c r="AE3767" s="19">
        <f>IF(Z3767=1,(H3767-M3767)*I3767,0)</f>
        <v/>
      </c>
      <c r="AF3767">
        <f>IF(G3767&lt;EDATE(Assumptions!$C$6,-12)+1,"prior_12m","last_12m")</f>
        <v/>
      </c>
      <c r="AG3767" s="21">
        <f>DATE(YEAR(G3767),MONTH(G3767),1)</f>
        <v/>
      </c>
    </row>
    <row r="3768">
      <c r="A3768" t="inlineStr">
        <is>
          <t>SPO-02010-1</t>
        </is>
      </c>
      <c r="B3768" t="inlineStr">
        <is>
          <t>SPO-02010</t>
        </is>
      </c>
      <c r="C3768" t="inlineStr">
        <is>
          <t>SUP-06</t>
        </is>
      </c>
      <c r="D3768" t="inlineStr">
        <is>
          <t>MRO</t>
        </is>
      </c>
      <c r="E3768" t="inlineStr">
        <is>
          <t>MRO-05</t>
        </is>
      </c>
      <c r="F3768" s="17" t="n">
        <v>46131</v>
      </c>
      <c r="G3768" s="17" t="n">
        <v>46139</v>
      </c>
      <c r="H3768" s="18" t="n">
        <v>33</v>
      </c>
      <c r="I3768" s="19" t="n">
        <v>35</v>
      </c>
      <c r="J3768" s="19" t="n">
        <v>36</v>
      </c>
      <c r="K3768" s="20" t="n">
        <v>0</v>
      </c>
      <c r="L3768" s="20" t="n">
        <v>0</v>
      </c>
      <c r="M3768" s="18" t="n">
        <v>33</v>
      </c>
      <c r="N3768" s="18" t="n">
        <v>33</v>
      </c>
      <c r="O3768" s="18" t="n">
        <v>0</v>
      </c>
      <c r="P3768" s="17" t="n">
        <v>46137</v>
      </c>
      <c r="Q3768" s="17" t="n">
        <v>46137</v>
      </c>
      <c r="R3768" s="17" t="n">
        <v>46137</v>
      </c>
      <c r="S3768" s="19">
        <f>H3768*I3768</f>
        <v/>
      </c>
      <c r="T3768" s="19">
        <f>H3768*J3768</f>
        <v/>
      </c>
      <c r="U3768">
        <f>IF(AND(K3768=0,G3768&lt;=Assumptions!$C$6),1,0)</f>
        <v/>
      </c>
      <c r="V3768">
        <f>IF(U3768=1,IF(M3768&gt;0,IF(P3768&lt;=G3768+Assumptions!$C$7,1,0),0),0)</f>
        <v/>
      </c>
      <c r="W3768">
        <f>IF(AND(U3768=1,M3768&gt;=H3768*(1-Assumptions!$C$8)),1,0)</f>
        <v/>
      </c>
      <c r="X3768">
        <f>IF(AND(U3768=1,N3768&gt;=H3768*(1-Assumptions!$C$8)),1,0)</f>
        <v/>
      </c>
      <c r="Y3768">
        <f>IF(ISNUMBER(Q3768),1,0)</f>
        <v/>
      </c>
      <c r="Z3768">
        <f>IF(AND(K3768=0,L3768=0,Y3768=0),1,0)</f>
        <v/>
      </c>
      <c r="AA3768">
        <f>IF(AND(Z3768=1,G3768&lt;Assumptions!$C$6),1,0)</f>
        <v/>
      </c>
      <c r="AB3768">
        <f>IF(U3768=0,"",IF(Y3768=1,MAX(0,Q3768-G3768),IF(L3768=1,MAX(0,R3768-G3768),MAX(0,Assumptions!$C$6-G3768))))</f>
        <v/>
      </c>
      <c r="AC3768">
        <f>IF(Y3768=1,Q3768-F3768,"")</f>
        <v/>
      </c>
      <c r="AD3768">
        <f>IF(Y3768=1,AC3768^2,"")</f>
        <v/>
      </c>
      <c r="AE3768" s="19">
        <f>IF(Z3768=1,(H3768-M3768)*I3768,0)</f>
        <v/>
      </c>
      <c r="AF3768">
        <f>IF(G3768&lt;EDATE(Assumptions!$C$6,-12)+1,"prior_12m","last_12m")</f>
        <v/>
      </c>
      <c r="AG3768" s="21">
        <f>DATE(YEAR(G3768),MONTH(G3768),1)</f>
        <v/>
      </c>
    </row>
    <row r="3769">
      <c r="A3769" t="inlineStr">
        <is>
          <t>SPO-02011-1</t>
        </is>
      </c>
      <c r="B3769" t="inlineStr">
        <is>
          <t>SPO-02011</t>
        </is>
      </c>
      <c r="C3769" t="inlineStr">
        <is>
          <t>SUP-12</t>
        </is>
      </c>
      <c r="D3769" t="inlineStr">
        <is>
          <t>IT</t>
        </is>
      </c>
      <c r="E3769" t="inlineStr">
        <is>
          <t>IT-08</t>
        </is>
      </c>
      <c r="F3769" s="17" t="n">
        <v>46131</v>
      </c>
      <c r="G3769" s="17" t="n">
        <v>46141</v>
      </c>
      <c r="H3769" s="18" t="n">
        <v>8</v>
      </c>
      <c r="I3769" s="19" t="n">
        <v>275.07</v>
      </c>
      <c r="J3769" s="19" t="n">
        <v>245</v>
      </c>
      <c r="K3769" s="20" t="n">
        <v>0</v>
      </c>
      <c r="L3769" s="20" t="n">
        <v>0</v>
      </c>
      <c r="M3769" s="18" t="n">
        <v>8</v>
      </c>
      <c r="N3769" s="18" t="n">
        <v>8</v>
      </c>
      <c r="O3769" s="18" t="n">
        <v>0</v>
      </c>
      <c r="P3769" s="17" t="n">
        <v>46139</v>
      </c>
      <c r="Q3769" s="17" t="n">
        <v>46139</v>
      </c>
      <c r="R3769" s="17" t="n">
        <v>46139</v>
      </c>
      <c r="S3769" s="19">
        <f>H3769*I3769</f>
        <v/>
      </c>
      <c r="T3769" s="19">
        <f>H3769*J3769</f>
        <v/>
      </c>
      <c r="U3769">
        <f>IF(AND(K3769=0,G3769&lt;=Assumptions!$C$6),1,0)</f>
        <v/>
      </c>
      <c r="V3769">
        <f>IF(U3769=1,IF(M3769&gt;0,IF(P3769&lt;=G3769+Assumptions!$C$7,1,0),0),0)</f>
        <v/>
      </c>
      <c r="W3769">
        <f>IF(AND(U3769=1,M3769&gt;=H3769*(1-Assumptions!$C$8)),1,0)</f>
        <v/>
      </c>
      <c r="X3769">
        <f>IF(AND(U3769=1,N3769&gt;=H3769*(1-Assumptions!$C$8)),1,0)</f>
        <v/>
      </c>
      <c r="Y3769">
        <f>IF(ISNUMBER(Q3769),1,0)</f>
        <v/>
      </c>
      <c r="Z3769">
        <f>IF(AND(K3769=0,L3769=0,Y3769=0),1,0)</f>
        <v/>
      </c>
      <c r="AA3769">
        <f>IF(AND(Z3769=1,G3769&lt;Assumptions!$C$6),1,0)</f>
        <v/>
      </c>
      <c r="AB3769">
        <f>IF(U3769=0,"",IF(Y3769=1,MAX(0,Q3769-G3769),IF(L3769=1,MAX(0,R3769-G3769),MAX(0,Assumptions!$C$6-G3769))))</f>
        <v/>
      </c>
      <c r="AC3769">
        <f>IF(Y3769=1,Q3769-F3769,"")</f>
        <v/>
      </c>
      <c r="AD3769">
        <f>IF(Y3769=1,AC3769^2,"")</f>
        <v/>
      </c>
      <c r="AE3769" s="19">
        <f>IF(Z3769=1,(H3769-M3769)*I3769,0)</f>
        <v/>
      </c>
      <c r="AF3769">
        <f>IF(G3769&lt;EDATE(Assumptions!$C$6,-12)+1,"prior_12m","last_12m")</f>
        <v/>
      </c>
      <c r="AG3769" s="21">
        <f>DATE(YEAR(G3769),MONTH(G3769),1)</f>
        <v/>
      </c>
    </row>
    <row r="3770">
      <c r="A3770" t="inlineStr">
        <is>
          <t>SPO-02011-2</t>
        </is>
      </c>
      <c r="B3770" t="inlineStr">
        <is>
          <t>SPO-02011</t>
        </is>
      </c>
      <c r="C3770" t="inlineStr">
        <is>
          <t>SUP-12</t>
        </is>
      </c>
      <c r="D3770" t="inlineStr">
        <is>
          <t>IT</t>
        </is>
      </c>
      <c r="E3770" t="inlineStr">
        <is>
          <t>IT-05</t>
        </is>
      </c>
      <c r="F3770" s="17" t="n">
        <v>46131</v>
      </c>
      <c r="G3770" s="17" t="n">
        <v>46141</v>
      </c>
      <c r="H3770" s="18" t="n">
        <v>4</v>
      </c>
      <c r="I3770" s="19" t="n">
        <v>741.1900000000001</v>
      </c>
      <c r="J3770" s="19" t="n">
        <v>640</v>
      </c>
      <c r="K3770" s="20" t="n">
        <v>0</v>
      </c>
      <c r="L3770" s="20" t="n">
        <v>0</v>
      </c>
      <c r="M3770" s="18" t="n">
        <v>4</v>
      </c>
      <c r="N3770" s="18" t="n">
        <v>4</v>
      </c>
      <c r="O3770" s="18" t="n">
        <v>0</v>
      </c>
      <c r="P3770" s="17" t="n">
        <v>46138</v>
      </c>
      <c r="Q3770" s="17" t="n">
        <v>46138</v>
      </c>
      <c r="R3770" s="17" t="n">
        <v>46138</v>
      </c>
      <c r="S3770" s="19">
        <f>H3770*I3770</f>
        <v/>
      </c>
      <c r="T3770" s="19">
        <f>H3770*J3770</f>
        <v/>
      </c>
      <c r="U3770">
        <f>IF(AND(K3770=0,G3770&lt;=Assumptions!$C$6),1,0)</f>
        <v/>
      </c>
      <c r="V3770">
        <f>IF(U3770=1,IF(M3770&gt;0,IF(P3770&lt;=G3770+Assumptions!$C$7,1,0),0),0)</f>
        <v/>
      </c>
      <c r="W3770">
        <f>IF(AND(U3770=1,M3770&gt;=H3770*(1-Assumptions!$C$8)),1,0)</f>
        <v/>
      </c>
      <c r="X3770">
        <f>IF(AND(U3770=1,N3770&gt;=H3770*(1-Assumptions!$C$8)),1,0)</f>
        <v/>
      </c>
      <c r="Y3770">
        <f>IF(ISNUMBER(Q3770),1,0)</f>
        <v/>
      </c>
      <c r="Z3770">
        <f>IF(AND(K3770=0,L3770=0,Y3770=0),1,0)</f>
        <v/>
      </c>
      <c r="AA3770">
        <f>IF(AND(Z3770=1,G3770&lt;Assumptions!$C$6),1,0)</f>
        <v/>
      </c>
      <c r="AB3770">
        <f>IF(U3770=0,"",IF(Y3770=1,MAX(0,Q3770-G3770),IF(L3770=1,MAX(0,R3770-G3770),MAX(0,Assumptions!$C$6-G3770))))</f>
        <v/>
      </c>
      <c r="AC3770">
        <f>IF(Y3770=1,Q3770-F3770,"")</f>
        <v/>
      </c>
      <c r="AD3770">
        <f>IF(Y3770=1,AC3770^2,"")</f>
        <v/>
      </c>
      <c r="AE3770" s="19">
        <f>IF(Z3770=1,(H3770-M3770)*I3770,0)</f>
        <v/>
      </c>
      <c r="AF3770">
        <f>IF(G3770&lt;EDATE(Assumptions!$C$6,-12)+1,"prior_12m","last_12m")</f>
        <v/>
      </c>
      <c r="AG3770" s="21">
        <f>DATE(YEAR(G3770),MONTH(G3770),1)</f>
        <v/>
      </c>
    </row>
    <row r="3771">
      <c r="A3771" t="inlineStr">
        <is>
          <t>SPO-02011-3</t>
        </is>
      </c>
      <c r="B3771" t="inlineStr">
        <is>
          <t>SPO-02011</t>
        </is>
      </c>
      <c r="C3771" t="inlineStr">
        <is>
          <t>SUP-12</t>
        </is>
      </c>
      <c r="D3771" t="inlineStr">
        <is>
          <t>IT</t>
        </is>
      </c>
      <c r="E3771" t="inlineStr">
        <is>
          <t>IT-03</t>
        </is>
      </c>
      <c r="F3771" s="17" t="n">
        <v>46131</v>
      </c>
      <c r="G3771" s="17" t="n">
        <v>46141</v>
      </c>
      <c r="H3771" s="18" t="n">
        <v>25</v>
      </c>
      <c r="I3771" s="19" t="n">
        <v>42.83</v>
      </c>
      <c r="J3771" s="19" t="n">
        <v>38</v>
      </c>
      <c r="K3771" s="20" t="n">
        <v>0</v>
      </c>
      <c r="L3771" s="20" t="n">
        <v>0</v>
      </c>
      <c r="M3771" s="18" t="n">
        <v>25</v>
      </c>
      <c r="N3771" s="18" t="n">
        <v>25</v>
      </c>
      <c r="O3771" s="18" t="n">
        <v>0</v>
      </c>
      <c r="P3771" s="17" t="n">
        <v>46141</v>
      </c>
      <c r="Q3771" s="17" t="n">
        <v>46141</v>
      </c>
      <c r="R3771" s="17" t="n">
        <v>46141</v>
      </c>
      <c r="S3771" s="19">
        <f>H3771*I3771</f>
        <v/>
      </c>
      <c r="T3771" s="19">
        <f>H3771*J3771</f>
        <v/>
      </c>
      <c r="U3771">
        <f>IF(AND(K3771=0,G3771&lt;=Assumptions!$C$6),1,0)</f>
        <v/>
      </c>
      <c r="V3771">
        <f>IF(U3771=1,IF(M3771&gt;0,IF(P3771&lt;=G3771+Assumptions!$C$7,1,0),0),0)</f>
        <v/>
      </c>
      <c r="W3771">
        <f>IF(AND(U3771=1,M3771&gt;=H3771*(1-Assumptions!$C$8)),1,0)</f>
        <v/>
      </c>
      <c r="X3771">
        <f>IF(AND(U3771=1,N3771&gt;=H3771*(1-Assumptions!$C$8)),1,0)</f>
        <v/>
      </c>
      <c r="Y3771">
        <f>IF(ISNUMBER(Q3771),1,0)</f>
        <v/>
      </c>
      <c r="Z3771">
        <f>IF(AND(K3771=0,L3771=0,Y3771=0),1,0)</f>
        <v/>
      </c>
      <c r="AA3771">
        <f>IF(AND(Z3771=1,G3771&lt;Assumptions!$C$6),1,0)</f>
        <v/>
      </c>
      <c r="AB3771">
        <f>IF(U3771=0,"",IF(Y3771=1,MAX(0,Q3771-G3771),IF(L3771=1,MAX(0,R3771-G3771),MAX(0,Assumptions!$C$6-G3771))))</f>
        <v/>
      </c>
      <c r="AC3771">
        <f>IF(Y3771=1,Q3771-F3771,"")</f>
        <v/>
      </c>
      <c r="AD3771">
        <f>IF(Y3771=1,AC3771^2,"")</f>
        <v/>
      </c>
      <c r="AE3771" s="19">
        <f>IF(Z3771=1,(H3771-M3771)*I3771,0)</f>
        <v/>
      </c>
      <c r="AF3771">
        <f>IF(G3771&lt;EDATE(Assumptions!$C$6,-12)+1,"prior_12m","last_12m")</f>
        <v/>
      </c>
      <c r="AG3771" s="21">
        <f>DATE(YEAR(G3771),MONTH(G3771),1)</f>
        <v/>
      </c>
    </row>
    <row r="3772">
      <c r="A3772" t="inlineStr">
        <is>
          <t>SPO-02011-4</t>
        </is>
      </c>
      <c r="B3772" t="inlineStr">
        <is>
          <t>SPO-02011</t>
        </is>
      </c>
      <c r="C3772" t="inlineStr">
        <is>
          <t>SUP-12</t>
        </is>
      </c>
      <c r="D3772" t="inlineStr">
        <is>
          <t>IT</t>
        </is>
      </c>
      <c r="E3772" t="inlineStr">
        <is>
          <t>IT-04</t>
        </is>
      </c>
      <c r="F3772" s="17" t="n">
        <v>46131</v>
      </c>
      <c r="G3772" s="17" t="n">
        <v>46141</v>
      </c>
      <c r="H3772" s="18" t="n">
        <v>249</v>
      </c>
      <c r="I3772" s="19" t="n">
        <v>13.47</v>
      </c>
      <c r="J3772" s="19" t="n">
        <v>12</v>
      </c>
      <c r="K3772" s="20" t="n">
        <v>0</v>
      </c>
      <c r="L3772" s="20" t="n">
        <v>0</v>
      </c>
      <c r="M3772" s="18" t="n">
        <v>249</v>
      </c>
      <c r="N3772" s="18" t="n">
        <v>249</v>
      </c>
      <c r="O3772" s="18" t="n">
        <v>0</v>
      </c>
      <c r="P3772" s="17" t="n">
        <v>46137</v>
      </c>
      <c r="Q3772" s="17" t="n">
        <v>46137</v>
      </c>
      <c r="R3772" s="17" t="n">
        <v>46137</v>
      </c>
      <c r="S3772" s="19">
        <f>H3772*I3772</f>
        <v/>
      </c>
      <c r="T3772" s="19">
        <f>H3772*J3772</f>
        <v/>
      </c>
      <c r="U3772">
        <f>IF(AND(K3772=0,G3772&lt;=Assumptions!$C$6),1,0)</f>
        <v/>
      </c>
      <c r="V3772">
        <f>IF(U3772=1,IF(M3772&gt;0,IF(P3772&lt;=G3772+Assumptions!$C$7,1,0),0),0)</f>
        <v/>
      </c>
      <c r="W3772">
        <f>IF(AND(U3772=1,M3772&gt;=H3772*(1-Assumptions!$C$8)),1,0)</f>
        <v/>
      </c>
      <c r="X3772">
        <f>IF(AND(U3772=1,N3772&gt;=H3772*(1-Assumptions!$C$8)),1,0)</f>
        <v/>
      </c>
      <c r="Y3772">
        <f>IF(ISNUMBER(Q3772),1,0)</f>
        <v/>
      </c>
      <c r="Z3772">
        <f>IF(AND(K3772=0,L3772=0,Y3772=0),1,0)</f>
        <v/>
      </c>
      <c r="AA3772">
        <f>IF(AND(Z3772=1,G3772&lt;Assumptions!$C$6),1,0)</f>
        <v/>
      </c>
      <c r="AB3772">
        <f>IF(U3772=0,"",IF(Y3772=1,MAX(0,Q3772-G3772),IF(L3772=1,MAX(0,R3772-G3772),MAX(0,Assumptions!$C$6-G3772))))</f>
        <v/>
      </c>
      <c r="AC3772">
        <f>IF(Y3772=1,Q3772-F3772,"")</f>
        <v/>
      </c>
      <c r="AD3772">
        <f>IF(Y3772=1,AC3772^2,"")</f>
        <v/>
      </c>
      <c r="AE3772" s="19">
        <f>IF(Z3772=1,(H3772-M3772)*I3772,0)</f>
        <v/>
      </c>
      <c r="AF3772">
        <f>IF(G3772&lt;EDATE(Assumptions!$C$6,-12)+1,"prior_12m","last_12m")</f>
        <v/>
      </c>
      <c r="AG3772" s="21">
        <f>DATE(YEAR(G3772),MONTH(G3772),1)</f>
        <v/>
      </c>
    </row>
    <row r="3773">
      <c r="A3773" t="inlineStr">
        <is>
          <t>SPO-02012-1</t>
        </is>
      </c>
      <c r="B3773" t="inlineStr">
        <is>
          <t>SPO-02012</t>
        </is>
      </c>
      <c r="C3773" t="inlineStr">
        <is>
          <t>SUP-01</t>
        </is>
      </c>
      <c r="D3773" t="inlineStr">
        <is>
          <t>ELEC</t>
        </is>
      </c>
      <c r="E3773" t="inlineStr">
        <is>
          <t>ELEC-01</t>
        </is>
      </c>
      <c r="F3773" s="17" t="n">
        <v>46131</v>
      </c>
      <c r="G3773" s="17" t="n">
        <v>46149</v>
      </c>
      <c r="H3773" s="18" t="n">
        <v>77</v>
      </c>
      <c r="I3773" s="19" t="n">
        <v>38.96</v>
      </c>
      <c r="J3773" s="19" t="n">
        <v>38</v>
      </c>
      <c r="K3773" s="20" t="n">
        <v>0</v>
      </c>
      <c r="L3773" s="20" t="n">
        <v>0</v>
      </c>
      <c r="M3773" s="18" t="n">
        <v>77</v>
      </c>
      <c r="N3773" s="18" t="n">
        <v>61</v>
      </c>
      <c r="O3773" s="18" t="n">
        <v>0</v>
      </c>
      <c r="P3773" s="17" t="n">
        <v>46149</v>
      </c>
      <c r="Q3773" s="17" t="n">
        <v>46158</v>
      </c>
      <c r="R3773" s="17" t="n">
        <v>46158</v>
      </c>
      <c r="S3773" s="19">
        <f>H3773*I3773</f>
        <v/>
      </c>
      <c r="T3773" s="19">
        <f>H3773*J3773</f>
        <v/>
      </c>
      <c r="U3773">
        <f>IF(AND(K3773=0,G3773&lt;=Assumptions!$C$6),1,0)</f>
        <v/>
      </c>
      <c r="V3773">
        <f>IF(U3773=1,IF(M3773&gt;0,IF(P3773&lt;=G3773+Assumptions!$C$7,1,0),0),0)</f>
        <v/>
      </c>
      <c r="W3773">
        <f>IF(AND(U3773=1,M3773&gt;=H3773*(1-Assumptions!$C$8)),1,0)</f>
        <v/>
      </c>
      <c r="X3773">
        <f>IF(AND(U3773=1,N3773&gt;=H3773*(1-Assumptions!$C$8)),1,0)</f>
        <v/>
      </c>
      <c r="Y3773">
        <f>IF(ISNUMBER(Q3773),1,0)</f>
        <v/>
      </c>
      <c r="Z3773">
        <f>IF(AND(K3773=0,L3773=0,Y3773=0),1,0)</f>
        <v/>
      </c>
      <c r="AA3773">
        <f>IF(AND(Z3773=1,G3773&lt;Assumptions!$C$6),1,0)</f>
        <v/>
      </c>
      <c r="AB3773">
        <f>IF(U3773=0,"",IF(Y3773=1,MAX(0,Q3773-G3773),IF(L3773=1,MAX(0,R3773-G3773),MAX(0,Assumptions!$C$6-G3773))))</f>
        <v/>
      </c>
      <c r="AC3773">
        <f>IF(Y3773=1,Q3773-F3773,"")</f>
        <v/>
      </c>
      <c r="AD3773">
        <f>IF(Y3773=1,AC3773^2,"")</f>
        <v/>
      </c>
      <c r="AE3773" s="19">
        <f>IF(Z3773=1,(H3773-M3773)*I3773,0)</f>
        <v/>
      </c>
      <c r="AF3773">
        <f>IF(G3773&lt;EDATE(Assumptions!$C$6,-12)+1,"prior_12m","last_12m")</f>
        <v/>
      </c>
      <c r="AG3773" s="21">
        <f>DATE(YEAR(G3773),MONTH(G3773),1)</f>
        <v/>
      </c>
    </row>
    <row r="3774">
      <c r="A3774" t="inlineStr">
        <is>
          <t>SPO-02013-1</t>
        </is>
      </c>
      <c r="B3774" t="inlineStr">
        <is>
          <t>SPO-02013</t>
        </is>
      </c>
      <c r="C3774" t="inlineStr">
        <is>
          <t>SUP-01</t>
        </is>
      </c>
      <c r="D3774" t="inlineStr">
        <is>
          <t>ELEC</t>
        </is>
      </c>
      <c r="E3774" t="inlineStr">
        <is>
          <t>ELEC-06</t>
        </is>
      </c>
      <c r="F3774" s="17" t="n">
        <v>46131</v>
      </c>
      <c r="G3774" s="17" t="n">
        <v>46149</v>
      </c>
      <c r="H3774" s="18" t="n">
        <v>8</v>
      </c>
      <c r="I3774" s="19" t="n">
        <v>148.56</v>
      </c>
      <c r="J3774" s="19" t="n">
        <v>145</v>
      </c>
      <c r="K3774" s="20" t="n">
        <v>0</v>
      </c>
      <c r="L3774" s="20" t="n">
        <v>0</v>
      </c>
      <c r="M3774" s="18" t="n">
        <v>8</v>
      </c>
      <c r="N3774" s="18" t="n">
        <v>8</v>
      </c>
      <c r="O3774" s="18" t="n">
        <v>0</v>
      </c>
      <c r="P3774" s="17" t="n">
        <v>46138</v>
      </c>
      <c r="Q3774" s="17" t="n">
        <v>46138</v>
      </c>
      <c r="R3774" s="17" t="n">
        <v>46138</v>
      </c>
      <c r="S3774" s="19">
        <f>H3774*I3774</f>
        <v/>
      </c>
      <c r="T3774" s="19">
        <f>H3774*J3774</f>
        <v/>
      </c>
      <c r="U3774">
        <f>IF(AND(K3774=0,G3774&lt;=Assumptions!$C$6),1,0)</f>
        <v/>
      </c>
      <c r="V3774">
        <f>IF(U3774=1,IF(M3774&gt;0,IF(P3774&lt;=G3774+Assumptions!$C$7,1,0),0),0)</f>
        <v/>
      </c>
      <c r="W3774">
        <f>IF(AND(U3774=1,M3774&gt;=H3774*(1-Assumptions!$C$8)),1,0)</f>
        <v/>
      </c>
      <c r="X3774">
        <f>IF(AND(U3774=1,N3774&gt;=H3774*(1-Assumptions!$C$8)),1,0)</f>
        <v/>
      </c>
      <c r="Y3774">
        <f>IF(ISNUMBER(Q3774),1,0)</f>
        <v/>
      </c>
      <c r="Z3774">
        <f>IF(AND(K3774=0,L3774=0,Y3774=0),1,0)</f>
        <v/>
      </c>
      <c r="AA3774">
        <f>IF(AND(Z3774=1,G3774&lt;Assumptions!$C$6),1,0)</f>
        <v/>
      </c>
      <c r="AB3774">
        <f>IF(U3774=0,"",IF(Y3774=1,MAX(0,Q3774-G3774),IF(L3774=1,MAX(0,R3774-G3774),MAX(0,Assumptions!$C$6-G3774))))</f>
        <v/>
      </c>
      <c r="AC3774">
        <f>IF(Y3774=1,Q3774-F3774,"")</f>
        <v/>
      </c>
      <c r="AD3774">
        <f>IF(Y3774=1,AC3774^2,"")</f>
        <v/>
      </c>
      <c r="AE3774" s="19">
        <f>IF(Z3774=1,(H3774-M3774)*I3774,0)</f>
        <v/>
      </c>
      <c r="AF3774">
        <f>IF(G3774&lt;EDATE(Assumptions!$C$6,-12)+1,"prior_12m","last_12m")</f>
        <v/>
      </c>
      <c r="AG3774" s="21">
        <f>DATE(YEAR(G3774),MONTH(G3774),1)</f>
        <v/>
      </c>
    </row>
    <row r="3775">
      <c r="A3775" t="inlineStr">
        <is>
          <t>SPO-02014-1</t>
        </is>
      </c>
      <c r="B3775" t="inlineStr">
        <is>
          <t>SPO-02014</t>
        </is>
      </c>
      <c r="C3775" t="inlineStr">
        <is>
          <t>SUP-07</t>
        </is>
      </c>
      <c r="D3775" t="inlineStr">
        <is>
          <t>MRO</t>
        </is>
      </c>
      <c r="E3775" t="inlineStr">
        <is>
          <t>MRO-08</t>
        </is>
      </c>
      <c r="F3775" s="17" t="n">
        <v>46131</v>
      </c>
      <c r="G3775" s="17" t="n">
        <v>46141</v>
      </c>
      <c r="H3775" s="18" t="n">
        <v>388</v>
      </c>
      <c r="I3775" s="19" t="n">
        <v>7.12</v>
      </c>
      <c r="J3775" s="19" t="n">
        <v>7.2</v>
      </c>
      <c r="K3775" s="20" t="n">
        <v>0</v>
      </c>
      <c r="L3775" s="20" t="n">
        <v>0</v>
      </c>
      <c r="M3775" s="18" t="n">
        <v>388</v>
      </c>
      <c r="N3775" s="18" t="n">
        <v>283</v>
      </c>
      <c r="O3775" s="18" t="n">
        <v>0</v>
      </c>
      <c r="P3775" s="17" t="n">
        <v>46141</v>
      </c>
      <c r="Q3775" s="17" t="n">
        <v>46153</v>
      </c>
      <c r="R3775" s="17" t="n">
        <v>46153</v>
      </c>
      <c r="S3775" s="19">
        <f>H3775*I3775</f>
        <v/>
      </c>
      <c r="T3775" s="19">
        <f>H3775*J3775</f>
        <v/>
      </c>
      <c r="U3775">
        <f>IF(AND(K3775=0,G3775&lt;=Assumptions!$C$6),1,0)</f>
        <v/>
      </c>
      <c r="V3775">
        <f>IF(U3775=1,IF(M3775&gt;0,IF(P3775&lt;=G3775+Assumptions!$C$7,1,0),0),0)</f>
        <v/>
      </c>
      <c r="W3775">
        <f>IF(AND(U3775=1,M3775&gt;=H3775*(1-Assumptions!$C$8)),1,0)</f>
        <v/>
      </c>
      <c r="X3775">
        <f>IF(AND(U3775=1,N3775&gt;=H3775*(1-Assumptions!$C$8)),1,0)</f>
        <v/>
      </c>
      <c r="Y3775">
        <f>IF(ISNUMBER(Q3775),1,0)</f>
        <v/>
      </c>
      <c r="Z3775">
        <f>IF(AND(K3775=0,L3775=0,Y3775=0),1,0)</f>
        <v/>
      </c>
      <c r="AA3775">
        <f>IF(AND(Z3775=1,G3775&lt;Assumptions!$C$6),1,0)</f>
        <v/>
      </c>
      <c r="AB3775">
        <f>IF(U3775=0,"",IF(Y3775=1,MAX(0,Q3775-G3775),IF(L3775=1,MAX(0,R3775-G3775),MAX(0,Assumptions!$C$6-G3775))))</f>
        <v/>
      </c>
      <c r="AC3775">
        <f>IF(Y3775=1,Q3775-F3775,"")</f>
        <v/>
      </c>
      <c r="AD3775">
        <f>IF(Y3775=1,AC3775^2,"")</f>
        <v/>
      </c>
      <c r="AE3775" s="19">
        <f>IF(Z3775=1,(H3775-M3775)*I3775,0)</f>
        <v/>
      </c>
      <c r="AF3775">
        <f>IF(G3775&lt;EDATE(Assumptions!$C$6,-12)+1,"prior_12m","last_12m")</f>
        <v/>
      </c>
      <c r="AG3775" s="21">
        <f>DATE(YEAR(G3775),MONTH(G3775),1)</f>
        <v/>
      </c>
    </row>
    <row r="3776">
      <c r="A3776" t="inlineStr">
        <is>
          <t>SPO-02014-2</t>
        </is>
      </c>
      <c r="B3776" t="inlineStr">
        <is>
          <t>SPO-02014</t>
        </is>
      </c>
      <c r="C3776" t="inlineStr">
        <is>
          <t>SUP-07</t>
        </is>
      </c>
      <c r="D3776" t="inlineStr">
        <is>
          <t>MRO</t>
        </is>
      </c>
      <c r="E3776" t="inlineStr">
        <is>
          <t>MRO-03</t>
        </is>
      </c>
      <c r="F3776" s="17" t="n">
        <v>46131</v>
      </c>
      <c r="G3776" s="17" t="n">
        <v>46141</v>
      </c>
      <c r="H3776" s="18" t="n">
        <v>208</v>
      </c>
      <c r="I3776" s="19" t="n">
        <v>8.640000000000001</v>
      </c>
      <c r="J3776" s="19" t="n">
        <v>8.9</v>
      </c>
      <c r="K3776" s="20" t="n">
        <v>0</v>
      </c>
      <c r="L3776" s="20" t="n">
        <v>0</v>
      </c>
      <c r="M3776" s="18" t="n">
        <v>208</v>
      </c>
      <c r="N3776" s="18" t="n">
        <v>208</v>
      </c>
      <c r="O3776" s="18" t="n">
        <v>0</v>
      </c>
      <c r="P3776" s="17" t="n">
        <v>46139</v>
      </c>
      <c r="Q3776" s="17" t="n">
        <v>46139</v>
      </c>
      <c r="R3776" s="17" t="n">
        <v>46139</v>
      </c>
      <c r="S3776" s="19">
        <f>H3776*I3776</f>
        <v/>
      </c>
      <c r="T3776" s="19">
        <f>H3776*J3776</f>
        <v/>
      </c>
      <c r="U3776">
        <f>IF(AND(K3776=0,G3776&lt;=Assumptions!$C$6),1,0)</f>
        <v/>
      </c>
      <c r="V3776">
        <f>IF(U3776=1,IF(M3776&gt;0,IF(P3776&lt;=G3776+Assumptions!$C$7,1,0),0),0)</f>
        <v/>
      </c>
      <c r="W3776">
        <f>IF(AND(U3776=1,M3776&gt;=H3776*(1-Assumptions!$C$8)),1,0)</f>
        <v/>
      </c>
      <c r="X3776">
        <f>IF(AND(U3776=1,N3776&gt;=H3776*(1-Assumptions!$C$8)),1,0)</f>
        <v/>
      </c>
      <c r="Y3776">
        <f>IF(ISNUMBER(Q3776),1,0)</f>
        <v/>
      </c>
      <c r="Z3776">
        <f>IF(AND(K3776=0,L3776=0,Y3776=0),1,0)</f>
        <v/>
      </c>
      <c r="AA3776">
        <f>IF(AND(Z3776=1,G3776&lt;Assumptions!$C$6),1,0)</f>
        <v/>
      </c>
      <c r="AB3776">
        <f>IF(U3776=0,"",IF(Y3776=1,MAX(0,Q3776-G3776),IF(L3776=1,MAX(0,R3776-G3776),MAX(0,Assumptions!$C$6-G3776))))</f>
        <v/>
      </c>
      <c r="AC3776">
        <f>IF(Y3776=1,Q3776-F3776,"")</f>
        <v/>
      </c>
      <c r="AD3776">
        <f>IF(Y3776=1,AC3776^2,"")</f>
        <v/>
      </c>
      <c r="AE3776" s="19">
        <f>IF(Z3776=1,(H3776-M3776)*I3776,0)</f>
        <v/>
      </c>
      <c r="AF3776">
        <f>IF(G3776&lt;EDATE(Assumptions!$C$6,-12)+1,"prior_12m","last_12m")</f>
        <v/>
      </c>
      <c r="AG3776" s="21">
        <f>DATE(YEAR(G3776),MONTH(G3776),1)</f>
        <v/>
      </c>
    </row>
    <row r="3777">
      <c r="A3777" t="inlineStr">
        <is>
          <t>SPO-02015-1</t>
        </is>
      </c>
      <c r="B3777" t="inlineStr">
        <is>
          <t>SPO-02015</t>
        </is>
      </c>
      <c r="C3777" t="inlineStr">
        <is>
          <t>SUP-01</t>
        </is>
      </c>
      <c r="D3777" t="inlineStr">
        <is>
          <t>ELEC</t>
        </is>
      </c>
      <c r="E3777" t="inlineStr">
        <is>
          <t>ELEC-06</t>
        </is>
      </c>
      <c r="F3777" s="17" t="n">
        <v>46131</v>
      </c>
      <c r="G3777" s="17" t="n">
        <v>46149</v>
      </c>
      <c r="H3777" s="18" t="n">
        <v>50</v>
      </c>
      <c r="I3777" s="19" t="n">
        <v>147.46</v>
      </c>
      <c r="J3777" s="19" t="n">
        <v>145</v>
      </c>
      <c r="K3777" s="20" t="n">
        <v>0</v>
      </c>
      <c r="L3777" s="20" t="n">
        <v>0</v>
      </c>
      <c r="M3777" s="18" t="n">
        <v>50</v>
      </c>
      <c r="N3777" s="18" t="n">
        <v>50</v>
      </c>
      <c r="O3777" s="18" t="n">
        <v>0</v>
      </c>
      <c r="P3777" s="17" t="n">
        <v>46145</v>
      </c>
      <c r="Q3777" s="17" t="n">
        <v>46145</v>
      </c>
      <c r="R3777" s="17" t="n">
        <v>46145</v>
      </c>
      <c r="S3777" s="19">
        <f>H3777*I3777</f>
        <v/>
      </c>
      <c r="T3777" s="19">
        <f>H3777*J3777</f>
        <v/>
      </c>
      <c r="U3777">
        <f>IF(AND(K3777=0,G3777&lt;=Assumptions!$C$6),1,0)</f>
        <v/>
      </c>
      <c r="V3777">
        <f>IF(U3777=1,IF(M3777&gt;0,IF(P3777&lt;=G3777+Assumptions!$C$7,1,0),0),0)</f>
        <v/>
      </c>
      <c r="W3777">
        <f>IF(AND(U3777=1,M3777&gt;=H3777*(1-Assumptions!$C$8)),1,0)</f>
        <v/>
      </c>
      <c r="X3777">
        <f>IF(AND(U3777=1,N3777&gt;=H3777*(1-Assumptions!$C$8)),1,0)</f>
        <v/>
      </c>
      <c r="Y3777">
        <f>IF(ISNUMBER(Q3777),1,0)</f>
        <v/>
      </c>
      <c r="Z3777">
        <f>IF(AND(K3777=0,L3777=0,Y3777=0),1,0)</f>
        <v/>
      </c>
      <c r="AA3777">
        <f>IF(AND(Z3777=1,G3777&lt;Assumptions!$C$6),1,0)</f>
        <v/>
      </c>
      <c r="AB3777">
        <f>IF(U3777=0,"",IF(Y3777=1,MAX(0,Q3777-G3777),IF(L3777=1,MAX(0,R3777-G3777),MAX(0,Assumptions!$C$6-G3777))))</f>
        <v/>
      </c>
      <c r="AC3777">
        <f>IF(Y3777=1,Q3777-F3777,"")</f>
        <v/>
      </c>
      <c r="AD3777">
        <f>IF(Y3777=1,AC3777^2,"")</f>
        <v/>
      </c>
      <c r="AE3777" s="19">
        <f>IF(Z3777=1,(H3777-M3777)*I3777,0)</f>
        <v/>
      </c>
      <c r="AF3777">
        <f>IF(G3777&lt;EDATE(Assumptions!$C$6,-12)+1,"prior_12m","last_12m")</f>
        <v/>
      </c>
      <c r="AG3777" s="21">
        <f>DATE(YEAR(G3777),MONTH(G3777),1)</f>
        <v/>
      </c>
    </row>
    <row r="3778">
      <c r="A3778" t="inlineStr">
        <is>
          <t>SPO-02015-2</t>
        </is>
      </c>
      <c r="B3778" t="inlineStr">
        <is>
          <t>SPO-02015</t>
        </is>
      </c>
      <c r="C3778" t="inlineStr">
        <is>
          <t>SUP-01</t>
        </is>
      </c>
      <c r="D3778" t="inlineStr">
        <is>
          <t>ELEC</t>
        </is>
      </c>
      <c r="E3778" t="inlineStr">
        <is>
          <t>ELEC-07</t>
        </is>
      </c>
      <c r="F3778" s="17" t="n">
        <v>46131</v>
      </c>
      <c r="G3778" s="17" t="n">
        <v>46149</v>
      </c>
      <c r="H3778" s="18" t="n">
        <v>96</v>
      </c>
      <c r="I3778" s="19" t="n">
        <v>10.09</v>
      </c>
      <c r="J3778" s="19" t="n">
        <v>9.800000000000001</v>
      </c>
      <c r="K3778" s="20" t="n">
        <v>0</v>
      </c>
      <c r="L3778" s="20" t="n">
        <v>0</v>
      </c>
      <c r="M3778" s="18" t="n">
        <v>96</v>
      </c>
      <c r="N3778" s="18" t="n">
        <v>96</v>
      </c>
      <c r="O3778" s="18" t="n">
        <v>0</v>
      </c>
      <c r="P3778" s="17" t="n">
        <v>46142</v>
      </c>
      <c r="Q3778" s="17" t="n">
        <v>46142</v>
      </c>
      <c r="R3778" s="17" t="n">
        <v>46142</v>
      </c>
      <c r="S3778" s="19">
        <f>H3778*I3778</f>
        <v/>
      </c>
      <c r="T3778" s="19">
        <f>H3778*J3778</f>
        <v/>
      </c>
      <c r="U3778">
        <f>IF(AND(K3778=0,G3778&lt;=Assumptions!$C$6),1,0)</f>
        <v/>
      </c>
      <c r="V3778">
        <f>IF(U3778=1,IF(M3778&gt;0,IF(P3778&lt;=G3778+Assumptions!$C$7,1,0),0),0)</f>
        <v/>
      </c>
      <c r="W3778">
        <f>IF(AND(U3778=1,M3778&gt;=H3778*(1-Assumptions!$C$8)),1,0)</f>
        <v/>
      </c>
      <c r="X3778">
        <f>IF(AND(U3778=1,N3778&gt;=H3778*(1-Assumptions!$C$8)),1,0)</f>
        <v/>
      </c>
      <c r="Y3778">
        <f>IF(ISNUMBER(Q3778),1,0)</f>
        <v/>
      </c>
      <c r="Z3778">
        <f>IF(AND(K3778=0,L3778=0,Y3778=0),1,0)</f>
        <v/>
      </c>
      <c r="AA3778">
        <f>IF(AND(Z3778=1,G3778&lt;Assumptions!$C$6),1,0)</f>
        <v/>
      </c>
      <c r="AB3778">
        <f>IF(U3778=0,"",IF(Y3778=1,MAX(0,Q3778-G3778),IF(L3778=1,MAX(0,R3778-G3778),MAX(0,Assumptions!$C$6-G3778))))</f>
        <v/>
      </c>
      <c r="AC3778">
        <f>IF(Y3778=1,Q3778-F3778,"")</f>
        <v/>
      </c>
      <c r="AD3778">
        <f>IF(Y3778=1,AC3778^2,"")</f>
        <v/>
      </c>
      <c r="AE3778" s="19">
        <f>IF(Z3778=1,(H3778-M3778)*I3778,0)</f>
        <v/>
      </c>
      <c r="AF3778">
        <f>IF(G3778&lt;EDATE(Assumptions!$C$6,-12)+1,"prior_12m","last_12m")</f>
        <v/>
      </c>
      <c r="AG3778" s="21">
        <f>DATE(YEAR(G3778),MONTH(G3778),1)</f>
        <v/>
      </c>
    </row>
    <row r="3779">
      <c r="A3779" t="inlineStr">
        <is>
          <t>SPO-02016-1</t>
        </is>
      </c>
      <c r="B3779" t="inlineStr">
        <is>
          <t>SPO-02016</t>
        </is>
      </c>
      <c r="C3779" t="inlineStr">
        <is>
          <t>SUP-01</t>
        </is>
      </c>
      <c r="D3779" t="inlineStr">
        <is>
          <t>ELEC</t>
        </is>
      </c>
      <c r="E3779" t="inlineStr">
        <is>
          <t>ELEC-05</t>
        </is>
      </c>
      <c r="F3779" s="17" t="n">
        <v>46132</v>
      </c>
      <c r="G3779" s="17" t="n">
        <v>46150</v>
      </c>
      <c r="H3779" s="18" t="n">
        <v>91</v>
      </c>
      <c r="I3779" s="19" t="n">
        <v>12.1</v>
      </c>
      <c r="J3779" s="19" t="n">
        <v>11.5</v>
      </c>
      <c r="K3779" s="20" t="n">
        <v>0</v>
      </c>
      <c r="L3779" s="20" t="n">
        <v>0</v>
      </c>
      <c r="M3779" s="18" t="n">
        <v>91</v>
      </c>
      <c r="N3779" s="18" t="n">
        <v>0</v>
      </c>
      <c r="O3779" s="18" t="n">
        <v>0</v>
      </c>
      <c r="P3779" s="17" t="n">
        <v>46151</v>
      </c>
      <c r="Q3779" s="17" t="n">
        <v>46151</v>
      </c>
      <c r="R3779" s="17" t="n">
        <v>46151</v>
      </c>
      <c r="S3779" s="19">
        <f>H3779*I3779</f>
        <v/>
      </c>
      <c r="T3779" s="19">
        <f>H3779*J3779</f>
        <v/>
      </c>
      <c r="U3779">
        <f>IF(AND(K3779=0,G3779&lt;=Assumptions!$C$6),1,0)</f>
        <v/>
      </c>
      <c r="V3779">
        <f>IF(U3779=1,IF(M3779&gt;0,IF(P3779&lt;=G3779+Assumptions!$C$7,1,0),0),0)</f>
        <v/>
      </c>
      <c r="W3779">
        <f>IF(AND(U3779=1,M3779&gt;=H3779*(1-Assumptions!$C$8)),1,0)</f>
        <v/>
      </c>
      <c r="X3779">
        <f>IF(AND(U3779=1,N3779&gt;=H3779*(1-Assumptions!$C$8)),1,0)</f>
        <v/>
      </c>
      <c r="Y3779">
        <f>IF(ISNUMBER(Q3779),1,0)</f>
        <v/>
      </c>
      <c r="Z3779">
        <f>IF(AND(K3779=0,L3779=0,Y3779=0),1,0)</f>
        <v/>
      </c>
      <c r="AA3779">
        <f>IF(AND(Z3779=1,G3779&lt;Assumptions!$C$6),1,0)</f>
        <v/>
      </c>
      <c r="AB3779">
        <f>IF(U3779=0,"",IF(Y3779=1,MAX(0,Q3779-G3779),IF(L3779=1,MAX(0,R3779-G3779),MAX(0,Assumptions!$C$6-G3779))))</f>
        <v/>
      </c>
      <c r="AC3779">
        <f>IF(Y3779=1,Q3779-F3779,"")</f>
        <v/>
      </c>
      <c r="AD3779">
        <f>IF(Y3779=1,AC3779^2,"")</f>
        <v/>
      </c>
      <c r="AE3779" s="19">
        <f>IF(Z3779=1,(H3779-M3779)*I3779,0)</f>
        <v/>
      </c>
      <c r="AF3779">
        <f>IF(G3779&lt;EDATE(Assumptions!$C$6,-12)+1,"prior_12m","last_12m")</f>
        <v/>
      </c>
      <c r="AG3779" s="21">
        <f>DATE(YEAR(G3779),MONTH(G3779),1)</f>
        <v/>
      </c>
    </row>
    <row r="3780">
      <c r="A3780" t="inlineStr">
        <is>
          <t>SPO-02016-2</t>
        </is>
      </c>
      <c r="B3780" t="inlineStr">
        <is>
          <t>SPO-02016</t>
        </is>
      </c>
      <c r="C3780" t="inlineStr">
        <is>
          <t>SUP-01</t>
        </is>
      </c>
      <c r="D3780" t="inlineStr">
        <is>
          <t>ELEC</t>
        </is>
      </c>
      <c r="E3780" t="inlineStr">
        <is>
          <t>ELEC-01</t>
        </is>
      </c>
      <c r="F3780" s="17" t="n">
        <v>46132</v>
      </c>
      <c r="G3780" s="17" t="n">
        <v>46150</v>
      </c>
      <c r="H3780" s="18" t="n">
        <v>72</v>
      </c>
      <c r="I3780" s="19" t="n">
        <v>36.7</v>
      </c>
      <c r="J3780" s="19" t="n">
        <v>38</v>
      </c>
      <c r="K3780" s="20" t="n">
        <v>0</v>
      </c>
      <c r="L3780" s="20" t="n">
        <v>0</v>
      </c>
      <c r="M3780" s="18" t="n">
        <v>72</v>
      </c>
      <c r="N3780" s="18" t="n">
        <v>72</v>
      </c>
      <c r="O3780" s="18" t="n">
        <v>0</v>
      </c>
      <c r="P3780" s="17" t="n">
        <v>46139</v>
      </c>
      <c r="Q3780" s="17" t="n">
        <v>46139</v>
      </c>
      <c r="R3780" s="17" t="n">
        <v>46139</v>
      </c>
      <c r="S3780" s="19">
        <f>H3780*I3780</f>
        <v/>
      </c>
      <c r="T3780" s="19">
        <f>H3780*J3780</f>
        <v/>
      </c>
      <c r="U3780">
        <f>IF(AND(K3780=0,G3780&lt;=Assumptions!$C$6),1,0)</f>
        <v/>
      </c>
      <c r="V3780">
        <f>IF(U3780=1,IF(M3780&gt;0,IF(P3780&lt;=G3780+Assumptions!$C$7,1,0),0),0)</f>
        <v/>
      </c>
      <c r="W3780">
        <f>IF(AND(U3780=1,M3780&gt;=H3780*(1-Assumptions!$C$8)),1,0)</f>
        <v/>
      </c>
      <c r="X3780">
        <f>IF(AND(U3780=1,N3780&gt;=H3780*(1-Assumptions!$C$8)),1,0)</f>
        <v/>
      </c>
      <c r="Y3780">
        <f>IF(ISNUMBER(Q3780),1,0)</f>
        <v/>
      </c>
      <c r="Z3780">
        <f>IF(AND(K3780=0,L3780=0,Y3780=0),1,0)</f>
        <v/>
      </c>
      <c r="AA3780">
        <f>IF(AND(Z3780=1,G3780&lt;Assumptions!$C$6),1,0)</f>
        <v/>
      </c>
      <c r="AB3780">
        <f>IF(U3780=0,"",IF(Y3780=1,MAX(0,Q3780-G3780),IF(L3780=1,MAX(0,R3780-G3780),MAX(0,Assumptions!$C$6-G3780))))</f>
        <v/>
      </c>
      <c r="AC3780">
        <f>IF(Y3780=1,Q3780-F3780,"")</f>
        <v/>
      </c>
      <c r="AD3780">
        <f>IF(Y3780=1,AC3780^2,"")</f>
        <v/>
      </c>
      <c r="AE3780" s="19">
        <f>IF(Z3780=1,(H3780-M3780)*I3780,0)</f>
        <v/>
      </c>
      <c r="AF3780">
        <f>IF(G3780&lt;EDATE(Assumptions!$C$6,-12)+1,"prior_12m","last_12m")</f>
        <v/>
      </c>
      <c r="AG3780" s="21">
        <f>DATE(YEAR(G3780),MONTH(G3780),1)</f>
        <v/>
      </c>
    </row>
    <row r="3781">
      <c r="A3781" t="inlineStr">
        <is>
          <t>SPO-02016-3</t>
        </is>
      </c>
      <c r="B3781" t="inlineStr">
        <is>
          <t>SPO-02016</t>
        </is>
      </c>
      <c r="C3781" t="inlineStr">
        <is>
          <t>SUP-01</t>
        </is>
      </c>
      <c r="D3781" t="inlineStr">
        <is>
          <t>ELEC</t>
        </is>
      </c>
      <c r="E3781" t="inlineStr">
        <is>
          <t>ELEC-04</t>
        </is>
      </c>
      <c r="F3781" s="17" t="n">
        <v>46132</v>
      </c>
      <c r="G3781" s="17" t="n">
        <v>46150</v>
      </c>
      <c r="H3781" s="18" t="n">
        <v>60</v>
      </c>
      <c r="I3781" s="19" t="n">
        <v>75.75</v>
      </c>
      <c r="J3781" s="19" t="n">
        <v>72</v>
      </c>
      <c r="K3781" s="20" t="n">
        <v>0</v>
      </c>
      <c r="L3781" s="20" t="n">
        <v>0</v>
      </c>
      <c r="M3781" s="18" t="n">
        <v>60</v>
      </c>
      <c r="N3781" s="18" t="n">
        <v>60</v>
      </c>
      <c r="O3781" s="18" t="n">
        <v>0</v>
      </c>
      <c r="P3781" s="17" t="n">
        <v>46145</v>
      </c>
      <c r="Q3781" s="17" t="n">
        <v>46145</v>
      </c>
      <c r="R3781" s="17" t="n">
        <v>46145</v>
      </c>
      <c r="S3781" s="19">
        <f>H3781*I3781</f>
        <v/>
      </c>
      <c r="T3781" s="19">
        <f>H3781*J3781</f>
        <v/>
      </c>
      <c r="U3781">
        <f>IF(AND(K3781=0,G3781&lt;=Assumptions!$C$6),1,0)</f>
        <v/>
      </c>
      <c r="V3781">
        <f>IF(U3781=1,IF(M3781&gt;0,IF(P3781&lt;=G3781+Assumptions!$C$7,1,0),0),0)</f>
        <v/>
      </c>
      <c r="W3781">
        <f>IF(AND(U3781=1,M3781&gt;=H3781*(1-Assumptions!$C$8)),1,0)</f>
        <v/>
      </c>
      <c r="X3781">
        <f>IF(AND(U3781=1,N3781&gt;=H3781*(1-Assumptions!$C$8)),1,0)</f>
        <v/>
      </c>
      <c r="Y3781">
        <f>IF(ISNUMBER(Q3781),1,0)</f>
        <v/>
      </c>
      <c r="Z3781">
        <f>IF(AND(K3781=0,L3781=0,Y3781=0),1,0)</f>
        <v/>
      </c>
      <c r="AA3781">
        <f>IF(AND(Z3781=1,G3781&lt;Assumptions!$C$6),1,0)</f>
        <v/>
      </c>
      <c r="AB3781">
        <f>IF(U3781=0,"",IF(Y3781=1,MAX(0,Q3781-G3781),IF(L3781=1,MAX(0,R3781-G3781),MAX(0,Assumptions!$C$6-G3781))))</f>
        <v/>
      </c>
      <c r="AC3781">
        <f>IF(Y3781=1,Q3781-F3781,"")</f>
        <v/>
      </c>
      <c r="AD3781">
        <f>IF(Y3781=1,AC3781^2,"")</f>
        <v/>
      </c>
      <c r="AE3781" s="19">
        <f>IF(Z3781=1,(H3781-M3781)*I3781,0)</f>
        <v/>
      </c>
      <c r="AF3781">
        <f>IF(G3781&lt;EDATE(Assumptions!$C$6,-12)+1,"prior_12m","last_12m")</f>
        <v/>
      </c>
      <c r="AG3781" s="21">
        <f>DATE(YEAR(G3781),MONTH(G3781),1)</f>
        <v/>
      </c>
    </row>
    <row r="3782">
      <c r="A3782" t="inlineStr">
        <is>
          <t>SPO-02016-4</t>
        </is>
      </c>
      <c r="B3782" t="inlineStr">
        <is>
          <t>SPO-02016</t>
        </is>
      </c>
      <c r="C3782" t="inlineStr">
        <is>
          <t>SUP-01</t>
        </is>
      </c>
      <c r="D3782" t="inlineStr">
        <is>
          <t>ELEC</t>
        </is>
      </c>
      <c r="E3782" t="inlineStr">
        <is>
          <t>ELEC-03</t>
        </is>
      </c>
      <c r="F3782" s="17" t="n">
        <v>46132</v>
      </c>
      <c r="G3782" s="17" t="n">
        <v>46150</v>
      </c>
      <c r="H3782" s="18" t="n">
        <v>52</v>
      </c>
      <c r="I3782" s="19" t="n">
        <v>94.2</v>
      </c>
      <c r="J3782" s="19" t="n">
        <v>96</v>
      </c>
      <c r="K3782" s="20" t="n">
        <v>0</v>
      </c>
      <c r="L3782" s="20" t="n">
        <v>0</v>
      </c>
      <c r="M3782" s="18" t="n">
        <v>52</v>
      </c>
      <c r="N3782" s="18" t="n">
        <v>52</v>
      </c>
      <c r="O3782" s="18" t="n">
        <v>0</v>
      </c>
      <c r="P3782" s="17" t="n">
        <v>46142</v>
      </c>
      <c r="Q3782" s="17" t="n">
        <v>46142</v>
      </c>
      <c r="R3782" s="17" t="n">
        <v>46142</v>
      </c>
      <c r="S3782" s="19">
        <f>H3782*I3782</f>
        <v/>
      </c>
      <c r="T3782" s="19">
        <f>H3782*J3782</f>
        <v/>
      </c>
      <c r="U3782">
        <f>IF(AND(K3782=0,G3782&lt;=Assumptions!$C$6),1,0)</f>
        <v/>
      </c>
      <c r="V3782">
        <f>IF(U3782=1,IF(M3782&gt;0,IF(P3782&lt;=G3782+Assumptions!$C$7,1,0),0),0)</f>
        <v/>
      </c>
      <c r="W3782">
        <f>IF(AND(U3782=1,M3782&gt;=H3782*(1-Assumptions!$C$8)),1,0)</f>
        <v/>
      </c>
      <c r="X3782">
        <f>IF(AND(U3782=1,N3782&gt;=H3782*(1-Assumptions!$C$8)),1,0)</f>
        <v/>
      </c>
      <c r="Y3782">
        <f>IF(ISNUMBER(Q3782),1,0)</f>
        <v/>
      </c>
      <c r="Z3782">
        <f>IF(AND(K3782=0,L3782=0,Y3782=0),1,0)</f>
        <v/>
      </c>
      <c r="AA3782">
        <f>IF(AND(Z3782=1,G3782&lt;Assumptions!$C$6),1,0)</f>
        <v/>
      </c>
      <c r="AB3782">
        <f>IF(U3782=0,"",IF(Y3782=1,MAX(0,Q3782-G3782),IF(L3782=1,MAX(0,R3782-G3782),MAX(0,Assumptions!$C$6-G3782))))</f>
        <v/>
      </c>
      <c r="AC3782">
        <f>IF(Y3782=1,Q3782-F3782,"")</f>
        <v/>
      </c>
      <c r="AD3782">
        <f>IF(Y3782=1,AC3782^2,"")</f>
        <v/>
      </c>
      <c r="AE3782" s="19">
        <f>IF(Z3782=1,(H3782-M3782)*I3782,0)</f>
        <v/>
      </c>
      <c r="AF3782">
        <f>IF(G3782&lt;EDATE(Assumptions!$C$6,-12)+1,"prior_12m","last_12m")</f>
        <v/>
      </c>
      <c r="AG3782" s="21">
        <f>DATE(YEAR(G3782),MONTH(G3782),1)</f>
        <v/>
      </c>
    </row>
    <row r="3783">
      <c r="A3783" t="inlineStr">
        <is>
          <t>SPO-02017-1</t>
        </is>
      </c>
      <c r="B3783" t="inlineStr">
        <is>
          <t>SPO-02017</t>
        </is>
      </c>
      <c r="C3783" t="inlineStr">
        <is>
          <t>SUP-02</t>
        </is>
      </c>
      <c r="D3783" t="inlineStr">
        <is>
          <t>ELEC</t>
        </is>
      </c>
      <c r="E3783" t="inlineStr">
        <is>
          <t>ELEC-07</t>
        </is>
      </c>
      <c r="F3783" s="17" t="n">
        <v>46132</v>
      </c>
      <c r="G3783" s="17" t="n">
        <v>46148</v>
      </c>
      <c r="H3783" s="18" t="n">
        <v>154</v>
      </c>
      <c r="I3783" s="19" t="n">
        <v>10.1</v>
      </c>
      <c r="J3783" s="19" t="n">
        <v>9.800000000000001</v>
      </c>
      <c r="K3783" s="20" t="n">
        <v>0</v>
      </c>
      <c r="L3783" s="20" t="n">
        <v>0</v>
      </c>
      <c r="M3783" s="18" t="n">
        <v>154</v>
      </c>
      <c r="N3783" s="18" t="n">
        <v>154</v>
      </c>
      <c r="O3783" s="18" t="n">
        <v>0</v>
      </c>
      <c r="P3783" s="17" t="n">
        <v>46141</v>
      </c>
      <c r="Q3783" s="17" t="n">
        <v>46141</v>
      </c>
      <c r="R3783" s="17" t="n">
        <v>46141</v>
      </c>
      <c r="S3783" s="19">
        <f>H3783*I3783</f>
        <v/>
      </c>
      <c r="T3783" s="19">
        <f>H3783*J3783</f>
        <v/>
      </c>
      <c r="U3783">
        <f>IF(AND(K3783=0,G3783&lt;=Assumptions!$C$6),1,0)</f>
        <v/>
      </c>
      <c r="V3783">
        <f>IF(U3783=1,IF(M3783&gt;0,IF(P3783&lt;=G3783+Assumptions!$C$7,1,0),0),0)</f>
        <v/>
      </c>
      <c r="W3783">
        <f>IF(AND(U3783=1,M3783&gt;=H3783*(1-Assumptions!$C$8)),1,0)</f>
        <v/>
      </c>
      <c r="X3783">
        <f>IF(AND(U3783=1,N3783&gt;=H3783*(1-Assumptions!$C$8)),1,0)</f>
        <v/>
      </c>
      <c r="Y3783">
        <f>IF(ISNUMBER(Q3783),1,0)</f>
        <v/>
      </c>
      <c r="Z3783">
        <f>IF(AND(K3783=0,L3783=0,Y3783=0),1,0)</f>
        <v/>
      </c>
      <c r="AA3783">
        <f>IF(AND(Z3783=1,G3783&lt;Assumptions!$C$6),1,0)</f>
        <v/>
      </c>
      <c r="AB3783">
        <f>IF(U3783=0,"",IF(Y3783=1,MAX(0,Q3783-G3783),IF(L3783=1,MAX(0,R3783-G3783),MAX(0,Assumptions!$C$6-G3783))))</f>
        <v/>
      </c>
      <c r="AC3783">
        <f>IF(Y3783=1,Q3783-F3783,"")</f>
        <v/>
      </c>
      <c r="AD3783">
        <f>IF(Y3783=1,AC3783^2,"")</f>
        <v/>
      </c>
      <c r="AE3783" s="19">
        <f>IF(Z3783=1,(H3783-M3783)*I3783,0)</f>
        <v/>
      </c>
      <c r="AF3783">
        <f>IF(G3783&lt;EDATE(Assumptions!$C$6,-12)+1,"prior_12m","last_12m")</f>
        <v/>
      </c>
      <c r="AG3783" s="21">
        <f>DATE(YEAR(G3783),MONTH(G3783),1)</f>
        <v/>
      </c>
    </row>
    <row r="3784">
      <c r="A3784" t="inlineStr">
        <is>
          <t>SPO-02017-2</t>
        </is>
      </c>
      <c r="B3784" t="inlineStr">
        <is>
          <t>SPO-02017</t>
        </is>
      </c>
      <c r="C3784" t="inlineStr">
        <is>
          <t>SUP-02</t>
        </is>
      </c>
      <c r="D3784" t="inlineStr">
        <is>
          <t>ELEC</t>
        </is>
      </c>
      <c r="E3784" t="inlineStr">
        <is>
          <t>ELEC-03</t>
        </is>
      </c>
      <c r="F3784" s="17" t="n">
        <v>46132</v>
      </c>
      <c r="G3784" s="17" t="n">
        <v>46148</v>
      </c>
      <c r="H3784" s="18" t="n">
        <v>7</v>
      </c>
      <c r="I3784" s="19" t="n">
        <v>96.53</v>
      </c>
      <c r="J3784" s="19" t="n">
        <v>96</v>
      </c>
      <c r="K3784" s="20" t="n">
        <v>0</v>
      </c>
      <c r="L3784" s="20" t="n">
        <v>0</v>
      </c>
      <c r="M3784" s="18" t="n">
        <v>7</v>
      </c>
      <c r="N3784" s="18" t="n">
        <v>7</v>
      </c>
      <c r="O3784" s="18" t="n">
        <v>0</v>
      </c>
      <c r="P3784" s="17" t="n">
        <v>46144</v>
      </c>
      <c r="Q3784" s="17" t="n">
        <v>46144</v>
      </c>
      <c r="R3784" s="17" t="n">
        <v>46144</v>
      </c>
      <c r="S3784" s="19">
        <f>H3784*I3784</f>
        <v/>
      </c>
      <c r="T3784" s="19">
        <f>H3784*J3784</f>
        <v/>
      </c>
      <c r="U3784">
        <f>IF(AND(K3784=0,G3784&lt;=Assumptions!$C$6),1,0)</f>
        <v/>
      </c>
      <c r="V3784">
        <f>IF(U3784=1,IF(M3784&gt;0,IF(P3784&lt;=G3784+Assumptions!$C$7,1,0),0),0)</f>
        <v/>
      </c>
      <c r="W3784">
        <f>IF(AND(U3784=1,M3784&gt;=H3784*(1-Assumptions!$C$8)),1,0)</f>
        <v/>
      </c>
      <c r="X3784">
        <f>IF(AND(U3784=1,N3784&gt;=H3784*(1-Assumptions!$C$8)),1,0)</f>
        <v/>
      </c>
      <c r="Y3784">
        <f>IF(ISNUMBER(Q3784),1,0)</f>
        <v/>
      </c>
      <c r="Z3784">
        <f>IF(AND(K3784=0,L3784=0,Y3784=0),1,0)</f>
        <v/>
      </c>
      <c r="AA3784">
        <f>IF(AND(Z3784=1,G3784&lt;Assumptions!$C$6),1,0)</f>
        <v/>
      </c>
      <c r="AB3784">
        <f>IF(U3784=0,"",IF(Y3784=1,MAX(0,Q3784-G3784),IF(L3784=1,MAX(0,R3784-G3784),MAX(0,Assumptions!$C$6-G3784))))</f>
        <v/>
      </c>
      <c r="AC3784">
        <f>IF(Y3784=1,Q3784-F3784,"")</f>
        <v/>
      </c>
      <c r="AD3784">
        <f>IF(Y3784=1,AC3784^2,"")</f>
        <v/>
      </c>
      <c r="AE3784" s="19">
        <f>IF(Z3784=1,(H3784-M3784)*I3784,0)</f>
        <v/>
      </c>
      <c r="AF3784">
        <f>IF(G3784&lt;EDATE(Assumptions!$C$6,-12)+1,"prior_12m","last_12m")</f>
        <v/>
      </c>
      <c r="AG3784" s="21">
        <f>DATE(YEAR(G3784),MONTH(G3784),1)</f>
        <v/>
      </c>
    </row>
    <row r="3785">
      <c r="A3785" t="inlineStr">
        <is>
          <t>SPO-02018-1</t>
        </is>
      </c>
      <c r="B3785" t="inlineStr">
        <is>
          <t>SPO-02018</t>
        </is>
      </c>
      <c r="C3785" t="inlineStr">
        <is>
          <t>SUP-05</t>
        </is>
      </c>
      <c r="D3785" t="inlineStr">
        <is>
          <t>FLEET</t>
        </is>
      </c>
      <c r="E3785" t="inlineStr">
        <is>
          <t>FLEET-07</t>
        </is>
      </c>
      <c r="F3785" s="17" t="n">
        <v>46132</v>
      </c>
      <c r="G3785" s="17" t="n">
        <v>46146</v>
      </c>
      <c r="H3785" s="18" t="n">
        <v>15</v>
      </c>
      <c r="I3785" s="19" t="n">
        <v>113.65</v>
      </c>
      <c r="J3785" s="19" t="n">
        <v>118</v>
      </c>
      <c r="K3785" s="20" t="n">
        <v>0</v>
      </c>
      <c r="L3785" s="20" t="n">
        <v>0</v>
      </c>
      <c r="M3785" s="18" t="n">
        <v>15</v>
      </c>
      <c r="N3785" s="18" t="n">
        <v>15</v>
      </c>
      <c r="O3785" s="18" t="n">
        <v>0</v>
      </c>
      <c r="P3785" s="17" t="n">
        <v>46138</v>
      </c>
      <c r="Q3785" s="17" t="n">
        <v>46138</v>
      </c>
      <c r="R3785" s="17" t="n">
        <v>46138</v>
      </c>
      <c r="S3785" s="19">
        <f>H3785*I3785</f>
        <v/>
      </c>
      <c r="T3785" s="19">
        <f>H3785*J3785</f>
        <v/>
      </c>
      <c r="U3785">
        <f>IF(AND(K3785=0,G3785&lt;=Assumptions!$C$6),1,0)</f>
        <v/>
      </c>
      <c r="V3785">
        <f>IF(U3785=1,IF(M3785&gt;0,IF(P3785&lt;=G3785+Assumptions!$C$7,1,0),0),0)</f>
        <v/>
      </c>
      <c r="W3785">
        <f>IF(AND(U3785=1,M3785&gt;=H3785*(1-Assumptions!$C$8)),1,0)</f>
        <v/>
      </c>
      <c r="X3785">
        <f>IF(AND(U3785=1,N3785&gt;=H3785*(1-Assumptions!$C$8)),1,0)</f>
        <v/>
      </c>
      <c r="Y3785">
        <f>IF(ISNUMBER(Q3785),1,0)</f>
        <v/>
      </c>
      <c r="Z3785">
        <f>IF(AND(K3785=0,L3785=0,Y3785=0),1,0)</f>
        <v/>
      </c>
      <c r="AA3785">
        <f>IF(AND(Z3785=1,G3785&lt;Assumptions!$C$6),1,0)</f>
        <v/>
      </c>
      <c r="AB3785">
        <f>IF(U3785=0,"",IF(Y3785=1,MAX(0,Q3785-G3785),IF(L3785=1,MAX(0,R3785-G3785),MAX(0,Assumptions!$C$6-G3785))))</f>
        <v/>
      </c>
      <c r="AC3785">
        <f>IF(Y3785=1,Q3785-F3785,"")</f>
        <v/>
      </c>
      <c r="AD3785">
        <f>IF(Y3785=1,AC3785^2,"")</f>
        <v/>
      </c>
      <c r="AE3785" s="19">
        <f>IF(Z3785=1,(H3785-M3785)*I3785,0)</f>
        <v/>
      </c>
      <c r="AF3785">
        <f>IF(G3785&lt;EDATE(Assumptions!$C$6,-12)+1,"prior_12m","last_12m")</f>
        <v/>
      </c>
      <c r="AG3785" s="21">
        <f>DATE(YEAR(G3785),MONTH(G3785),1)</f>
        <v/>
      </c>
    </row>
    <row r="3786">
      <c r="A3786" t="inlineStr">
        <is>
          <t>SPO-02018-2</t>
        </is>
      </c>
      <c r="B3786" t="inlineStr">
        <is>
          <t>SPO-02018</t>
        </is>
      </c>
      <c r="C3786" t="inlineStr">
        <is>
          <t>SUP-05</t>
        </is>
      </c>
      <c r="D3786" t="inlineStr">
        <is>
          <t>FLEET</t>
        </is>
      </c>
      <c r="E3786" t="inlineStr">
        <is>
          <t>FLEET-01</t>
        </is>
      </c>
      <c r="F3786" s="17" t="n">
        <v>46132</v>
      </c>
      <c r="G3786" s="17" t="n">
        <v>46146</v>
      </c>
      <c r="H3786" s="18" t="n">
        <v>49</v>
      </c>
      <c r="I3786" s="19" t="n">
        <v>60.45</v>
      </c>
      <c r="J3786" s="19" t="n">
        <v>64</v>
      </c>
      <c r="K3786" s="20" t="n">
        <v>0</v>
      </c>
      <c r="L3786" s="20" t="n">
        <v>0</v>
      </c>
      <c r="M3786" s="18" t="n">
        <v>49</v>
      </c>
      <c r="N3786" s="18" t="n">
        <v>49</v>
      </c>
      <c r="O3786" s="18" t="n">
        <v>0</v>
      </c>
      <c r="P3786" s="17" t="n">
        <v>46142</v>
      </c>
      <c r="Q3786" s="17" t="n">
        <v>46142</v>
      </c>
      <c r="R3786" s="17" t="n">
        <v>46142</v>
      </c>
      <c r="S3786" s="19">
        <f>H3786*I3786</f>
        <v/>
      </c>
      <c r="T3786" s="19">
        <f>H3786*J3786</f>
        <v/>
      </c>
      <c r="U3786">
        <f>IF(AND(K3786=0,G3786&lt;=Assumptions!$C$6),1,0)</f>
        <v/>
      </c>
      <c r="V3786">
        <f>IF(U3786=1,IF(M3786&gt;0,IF(P3786&lt;=G3786+Assumptions!$C$7,1,0),0),0)</f>
        <v/>
      </c>
      <c r="W3786">
        <f>IF(AND(U3786=1,M3786&gt;=H3786*(1-Assumptions!$C$8)),1,0)</f>
        <v/>
      </c>
      <c r="X3786">
        <f>IF(AND(U3786=1,N3786&gt;=H3786*(1-Assumptions!$C$8)),1,0)</f>
        <v/>
      </c>
      <c r="Y3786">
        <f>IF(ISNUMBER(Q3786),1,0)</f>
        <v/>
      </c>
      <c r="Z3786">
        <f>IF(AND(K3786=0,L3786=0,Y3786=0),1,0)</f>
        <v/>
      </c>
      <c r="AA3786">
        <f>IF(AND(Z3786=1,G3786&lt;Assumptions!$C$6),1,0)</f>
        <v/>
      </c>
      <c r="AB3786">
        <f>IF(U3786=0,"",IF(Y3786=1,MAX(0,Q3786-G3786),IF(L3786=1,MAX(0,R3786-G3786),MAX(0,Assumptions!$C$6-G3786))))</f>
        <v/>
      </c>
      <c r="AC3786">
        <f>IF(Y3786=1,Q3786-F3786,"")</f>
        <v/>
      </c>
      <c r="AD3786">
        <f>IF(Y3786=1,AC3786^2,"")</f>
        <v/>
      </c>
      <c r="AE3786" s="19">
        <f>IF(Z3786=1,(H3786-M3786)*I3786,0)</f>
        <v/>
      </c>
      <c r="AF3786">
        <f>IF(G3786&lt;EDATE(Assumptions!$C$6,-12)+1,"prior_12m","last_12m")</f>
        <v/>
      </c>
      <c r="AG3786" s="21">
        <f>DATE(YEAR(G3786),MONTH(G3786),1)</f>
        <v/>
      </c>
    </row>
    <row r="3787">
      <c r="A3787" t="inlineStr">
        <is>
          <t>SPO-02018-3</t>
        </is>
      </c>
      <c r="B3787" t="inlineStr">
        <is>
          <t>SPO-02018</t>
        </is>
      </c>
      <c r="C3787" t="inlineStr">
        <is>
          <t>SUP-05</t>
        </is>
      </c>
      <c r="D3787" t="inlineStr">
        <is>
          <t>FLEET</t>
        </is>
      </c>
      <c r="E3787" t="inlineStr">
        <is>
          <t>FLEET-04</t>
        </is>
      </c>
      <c r="F3787" s="17" t="n">
        <v>46132</v>
      </c>
      <c r="G3787" s="17" t="n">
        <v>46146</v>
      </c>
      <c r="H3787" s="18" t="n">
        <v>390</v>
      </c>
      <c r="I3787" s="19" t="n">
        <v>9.01</v>
      </c>
      <c r="J3787" s="19" t="n">
        <v>9</v>
      </c>
      <c r="K3787" s="20" t="n">
        <v>0</v>
      </c>
      <c r="L3787" s="20" t="n">
        <v>0</v>
      </c>
      <c r="M3787" s="18" t="n">
        <v>390</v>
      </c>
      <c r="N3787" s="18" t="n">
        <v>390</v>
      </c>
      <c r="O3787" s="18" t="n">
        <v>0</v>
      </c>
      <c r="P3787" s="17" t="n">
        <v>46143</v>
      </c>
      <c r="Q3787" s="17" t="n">
        <v>46143</v>
      </c>
      <c r="R3787" s="17" t="n">
        <v>46143</v>
      </c>
      <c r="S3787" s="19">
        <f>H3787*I3787</f>
        <v/>
      </c>
      <c r="T3787" s="19">
        <f>H3787*J3787</f>
        <v/>
      </c>
      <c r="U3787">
        <f>IF(AND(K3787=0,G3787&lt;=Assumptions!$C$6),1,0)</f>
        <v/>
      </c>
      <c r="V3787">
        <f>IF(U3787=1,IF(M3787&gt;0,IF(P3787&lt;=G3787+Assumptions!$C$7,1,0),0),0)</f>
        <v/>
      </c>
      <c r="W3787">
        <f>IF(AND(U3787=1,M3787&gt;=H3787*(1-Assumptions!$C$8)),1,0)</f>
        <v/>
      </c>
      <c r="X3787">
        <f>IF(AND(U3787=1,N3787&gt;=H3787*(1-Assumptions!$C$8)),1,0)</f>
        <v/>
      </c>
      <c r="Y3787">
        <f>IF(ISNUMBER(Q3787),1,0)</f>
        <v/>
      </c>
      <c r="Z3787">
        <f>IF(AND(K3787=0,L3787=0,Y3787=0),1,0)</f>
        <v/>
      </c>
      <c r="AA3787">
        <f>IF(AND(Z3787=1,G3787&lt;Assumptions!$C$6),1,0)</f>
        <v/>
      </c>
      <c r="AB3787">
        <f>IF(U3787=0,"",IF(Y3787=1,MAX(0,Q3787-G3787),IF(L3787=1,MAX(0,R3787-G3787),MAX(0,Assumptions!$C$6-G3787))))</f>
        <v/>
      </c>
      <c r="AC3787">
        <f>IF(Y3787=1,Q3787-F3787,"")</f>
        <v/>
      </c>
      <c r="AD3787">
        <f>IF(Y3787=1,AC3787^2,"")</f>
        <v/>
      </c>
      <c r="AE3787" s="19">
        <f>IF(Z3787=1,(H3787-M3787)*I3787,0)</f>
        <v/>
      </c>
      <c r="AF3787">
        <f>IF(G3787&lt;EDATE(Assumptions!$C$6,-12)+1,"prior_12m","last_12m")</f>
        <v/>
      </c>
      <c r="AG3787" s="21">
        <f>DATE(YEAR(G3787),MONTH(G3787),1)</f>
        <v/>
      </c>
    </row>
    <row r="3788">
      <c r="A3788" t="inlineStr">
        <is>
          <t>SPO-02019-1</t>
        </is>
      </c>
      <c r="B3788" t="inlineStr">
        <is>
          <t>SPO-02019</t>
        </is>
      </c>
      <c r="C3788" t="inlineStr">
        <is>
          <t>SUP-01</t>
        </is>
      </c>
      <c r="D3788" t="inlineStr">
        <is>
          <t>ELEC</t>
        </is>
      </c>
      <c r="E3788" t="inlineStr">
        <is>
          <t>ELEC-01</t>
        </is>
      </c>
      <c r="F3788" s="17" t="n">
        <v>46132</v>
      </c>
      <c r="G3788" s="17" t="n">
        <v>46150</v>
      </c>
      <c r="H3788" s="18" t="n">
        <v>130</v>
      </c>
      <c r="I3788" s="19" t="n">
        <v>38.39</v>
      </c>
      <c r="J3788" s="19" t="n">
        <v>38</v>
      </c>
      <c r="K3788" s="20" t="n">
        <v>0</v>
      </c>
      <c r="L3788" s="20" t="n">
        <v>0</v>
      </c>
      <c r="M3788" s="18" t="n">
        <v>130</v>
      </c>
      <c r="N3788" s="18" t="n">
        <v>0</v>
      </c>
      <c r="O3788" s="18" t="n">
        <v>0</v>
      </c>
      <c r="P3788" s="17" t="n">
        <v>46153</v>
      </c>
      <c r="Q3788" s="17" t="n">
        <v>46153</v>
      </c>
      <c r="R3788" s="17" t="n">
        <v>46153</v>
      </c>
      <c r="S3788" s="19">
        <f>H3788*I3788</f>
        <v/>
      </c>
      <c r="T3788" s="19">
        <f>H3788*J3788</f>
        <v/>
      </c>
      <c r="U3788">
        <f>IF(AND(K3788=0,G3788&lt;=Assumptions!$C$6),1,0)</f>
        <v/>
      </c>
      <c r="V3788">
        <f>IF(U3788=1,IF(M3788&gt;0,IF(P3788&lt;=G3788+Assumptions!$C$7,1,0),0),0)</f>
        <v/>
      </c>
      <c r="W3788">
        <f>IF(AND(U3788=1,M3788&gt;=H3788*(1-Assumptions!$C$8)),1,0)</f>
        <v/>
      </c>
      <c r="X3788">
        <f>IF(AND(U3788=1,N3788&gt;=H3788*(1-Assumptions!$C$8)),1,0)</f>
        <v/>
      </c>
      <c r="Y3788">
        <f>IF(ISNUMBER(Q3788),1,0)</f>
        <v/>
      </c>
      <c r="Z3788">
        <f>IF(AND(K3788=0,L3788=0,Y3788=0),1,0)</f>
        <v/>
      </c>
      <c r="AA3788">
        <f>IF(AND(Z3788=1,G3788&lt;Assumptions!$C$6),1,0)</f>
        <v/>
      </c>
      <c r="AB3788">
        <f>IF(U3788=0,"",IF(Y3788=1,MAX(0,Q3788-G3788),IF(L3788=1,MAX(0,R3788-G3788),MAX(0,Assumptions!$C$6-G3788))))</f>
        <v/>
      </c>
      <c r="AC3788">
        <f>IF(Y3788=1,Q3788-F3788,"")</f>
        <v/>
      </c>
      <c r="AD3788">
        <f>IF(Y3788=1,AC3788^2,"")</f>
        <v/>
      </c>
      <c r="AE3788" s="19">
        <f>IF(Z3788=1,(H3788-M3788)*I3788,0)</f>
        <v/>
      </c>
      <c r="AF3788">
        <f>IF(G3788&lt;EDATE(Assumptions!$C$6,-12)+1,"prior_12m","last_12m")</f>
        <v/>
      </c>
      <c r="AG3788" s="21">
        <f>DATE(YEAR(G3788),MONTH(G3788),1)</f>
        <v/>
      </c>
    </row>
    <row r="3789">
      <c r="A3789" t="inlineStr">
        <is>
          <t>SPO-02019-2</t>
        </is>
      </c>
      <c r="B3789" t="inlineStr">
        <is>
          <t>SPO-02019</t>
        </is>
      </c>
      <c r="C3789" t="inlineStr">
        <is>
          <t>SUP-01</t>
        </is>
      </c>
      <c r="D3789" t="inlineStr">
        <is>
          <t>ELEC</t>
        </is>
      </c>
      <c r="E3789" t="inlineStr">
        <is>
          <t>ELEC-06</t>
        </is>
      </c>
      <c r="F3789" s="17" t="n">
        <v>46132</v>
      </c>
      <c r="G3789" s="17" t="n">
        <v>46150</v>
      </c>
      <c r="H3789" s="18" t="n">
        <v>12</v>
      </c>
      <c r="I3789" s="19" t="n">
        <v>143.88</v>
      </c>
      <c r="J3789" s="19" t="n">
        <v>145</v>
      </c>
      <c r="K3789" s="20" t="n">
        <v>0</v>
      </c>
      <c r="L3789" s="20" t="n">
        <v>0</v>
      </c>
      <c r="M3789" s="18" t="n">
        <v>12</v>
      </c>
      <c r="N3789" s="18" t="n">
        <v>12</v>
      </c>
      <c r="O3789" s="18" t="n">
        <v>0</v>
      </c>
      <c r="P3789" s="17" t="n">
        <v>46142</v>
      </c>
      <c r="Q3789" s="17" t="n">
        <v>46142</v>
      </c>
      <c r="R3789" s="17" t="n">
        <v>46142</v>
      </c>
      <c r="S3789" s="19">
        <f>H3789*I3789</f>
        <v/>
      </c>
      <c r="T3789" s="19">
        <f>H3789*J3789</f>
        <v/>
      </c>
      <c r="U3789">
        <f>IF(AND(K3789=0,G3789&lt;=Assumptions!$C$6),1,0)</f>
        <v/>
      </c>
      <c r="V3789">
        <f>IF(U3789=1,IF(M3789&gt;0,IF(P3789&lt;=G3789+Assumptions!$C$7,1,0),0),0)</f>
        <v/>
      </c>
      <c r="W3789">
        <f>IF(AND(U3789=1,M3789&gt;=H3789*(1-Assumptions!$C$8)),1,0)</f>
        <v/>
      </c>
      <c r="X3789">
        <f>IF(AND(U3789=1,N3789&gt;=H3789*(1-Assumptions!$C$8)),1,0)</f>
        <v/>
      </c>
      <c r="Y3789">
        <f>IF(ISNUMBER(Q3789),1,0)</f>
        <v/>
      </c>
      <c r="Z3789">
        <f>IF(AND(K3789=0,L3789=0,Y3789=0),1,0)</f>
        <v/>
      </c>
      <c r="AA3789">
        <f>IF(AND(Z3789=1,G3789&lt;Assumptions!$C$6),1,0)</f>
        <v/>
      </c>
      <c r="AB3789">
        <f>IF(U3789=0,"",IF(Y3789=1,MAX(0,Q3789-G3789),IF(L3789=1,MAX(0,R3789-G3789),MAX(0,Assumptions!$C$6-G3789))))</f>
        <v/>
      </c>
      <c r="AC3789">
        <f>IF(Y3789=1,Q3789-F3789,"")</f>
        <v/>
      </c>
      <c r="AD3789">
        <f>IF(Y3789=1,AC3789^2,"")</f>
        <v/>
      </c>
      <c r="AE3789" s="19">
        <f>IF(Z3789=1,(H3789-M3789)*I3789,0)</f>
        <v/>
      </c>
      <c r="AF3789">
        <f>IF(G3789&lt;EDATE(Assumptions!$C$6,-12)+1,"prior_12m","last_12m")</f>
        <v/>
      </c>
      <c r="AG3789" s="21">
        <f>DATE(YEAR(G3789),MONTH(G3789),1)</f>
        <v/>
      </c>
    </row>
    <row r="3790">
      <c r="A3790" t="inlineStr">
        <is>
          <t>SPO-02020-1</t>
        </is>
      </c>
      <c r="B3790" t="inlineStr">
        <is>
          <t>SPO-02020</t>
        </is>
      </c>
      <c r="C3790" t="inlineStr">
        <is>
          <t>SUP-01</t>
        </is>
      </c>
      <c r="D3790" t="inlineStr">
        <is>
          <t>ELEC</t>
        </is>
      </c>
      <c r="E3790" t="inlineStr">
        <is>
          <t>ELEC-05</t>
        </is>
      </c>
      <c r="F3790" s="17" t="n">
        <v>46132</v>
      </c>
      <c r="G3790" s="17" t="n">
        <v>46150</v>
      </c>
      <c r="H3790" s="18" t="n">
        <v>183</v>
      </c>
      <c r="I3790" s="19" t="n">
        <v>11.78</v>
      </c>
      <c r="J3790" s="19" t="n">
        <v>11.5</v>
      </c>
      <c r="K3790" s="20" t="n">
        <v>0</v>
      </c>
      <c r="L3790" s="20" t="n">
        <v>0</v>
      </c>
      <c r="M3790" s="18" t="n">
        <v>183</v>
      </c>
      <c r="N3790" s="18" t="n">
        <v>0</v>
      </c>
      <c r="O3790" s="18" t="n">
        <v>0</v>
      </c>
      <c r="P3790" s="17" t="n">
        <v>46156</v>
      </c>
      <c r="Q3790" s="17" t="n">
        <v>46156</v>
      </c>
      <c r="R3790" s="17" t="n">
        <v>46156</v>
      </c>
      <c r="S3790" s="19">
        <f>H3790*I3790</f>
        <v/>
      </c>
      <c r="T3790" s="19">
        <f>H3790*J3790</f>
        <v/>
      </c>
      <c r="U3790">
        <f>IF(AND(K3790=0,G3790&lt;=Assumptions!$C$6),1,0)</f>
        <v/>
      </c>
      <c r="V3790">
        <f>IF(U3790=1,IF(M3790&gt;0,IF(P3790&lt;=G3790+Assumptions!$C$7,1,0),0),0)</f>
        <v/>
      </c>
      <c r="W3790">
        <f>IF(AND(U3790=1,M3790&gt;=H3790*(1-Assumptions!$C$8)),1,0)</f>
        <v/>
      </c>
      <c r="X3790">
        <f>IF(AND(U3790=1,N3790&gt;=H3790*(1-Assumptions!$C$8)),1,0)</f>
        <v/>
      </c>
      <c r="Y3790">
        <f>IF(ISNUMBER(Q3790),1,0)</f>
        <v/>
      </c>
      <c r="Z3790">
        <f>IF(AND(K3790=0,L3790=0,Y3790=0),1,0)</f>
        <v/>
      </c>
      <c r="AA3790">
        <f>IF(AND(Z3790=1,G3790&lt;Assumptions!$C$6),1,0)</f>
        <v/>
      </c>
      <c r="AB3790">
        <f>IF(U3790=0,"",IF(Y3790=1,MAX(0,Q3790-G3790),IF(L3790=1,MAX(0,R3790-G3790),MAX(0,Assumptions!$C$6-G3790))))</f>
        <v/>
      </c>
      <c r="AC3790">
        <f>IF(Y3790=1,Q3790-F3790,"")</f>
        <v/>
      </c>
      <c r="AD3790">
        <f>IF(Y3790=1,AC3790^2,"")</f>
        <v/>
      </c>
      <c r="AE3790" s="19">
        <f>IF(Z3790=1,(H3790-M3790)*I3790,0)</f>
        <v/>
      </c>
      <c r="AF3790">
        <f>IF(G3790&lt;EDATE(Assumptions!$C$6,-12)+1,"prior_12m","last_12m")</f>
        <v/>
      </c>
      <c r="AG3790" s="21">
        <f>DATE(YEAR(G3790),MONTH(G3790),1)</f>
        <v/>
      </c>
    </row>
    <row r="3791">
      <c r="A3791" t="inlineStr">
        <is>
          <t>SPO-02021-1</t>
        </is>
      </c>
      <c r="B3791" t="inlineStr">
        <is>
          <t>SPO-02021</t>
        </is>
      </c>
      <c r="C3791" t="inlineStr">
        <is>
          <t>SUP-02</t>
        </is>
      </c>
      <c r="D3791" t="inlineStr">
        <is>
          <t>ELEC</t>
        </is>
      </c>
      <c r="E3791" t="inlineStr">
        <is>
          <t>ELEC-07</t>
        </is>
      </c>
      <c r="F3791" s="17" t="n">
        <v>46132</v>
      </c>
      <c r="G3791" s="17" t="n">
        <v>46148</v>
      </c>
      <c r="H3791" s="18" t="n">
        <v>66</v>
      </c>
      <c r="I3791" s="19" t="n">
        <v>9.529999999999999</v>
      </c>
      <c r="J3791" s="19" t="n">
        <v>9.800000000000001</v>
      </c>
      <c r="K3791" s="20" t="n">
        <v>0</v>
      </c>
      <c r="L3791" s="20" t="n">
        <v>0</v>
      </c>
      <c r="M3791" s="18" t="n">
        <v>66</v>
      </c>
      <c r="N3791" s="18" t="n">
        <v>66</v>
      </c>
      <c r="O3791" s="18" t="n">
        <v>0</v>
      </c>
      <c r="P3791" s="17" t="n">
        <v>46145</v>
      </c>
      <c r="Q3791" s="17" t="n">
        <v>46145</v>
      </c>
      <c r="R3791" s="17" t="n">
        <v>46145</v>
      </c>
      <c r="S3791" s="19">
        <f>H3791*I3791</f>
        <v/>
      </c>
      <c r="T3791" s="19">
        <f>H3791*J3791</f>
        <v/>
      </c>
      <c r="U3791">
        <f>IF(AND(K3791=0,G3791&lt;=Assumptions!$C$6),1,0)</f>
        <v/>
      </c>
      <c r="V3791">
        <f>IF(U3791=1,IF(M3791&gt;0,IF(P3791&lt;=G3791+Assumptions!$C$7,1,0),0),0)</f>
        <v/>
      </c>
      <c r="W3791">
        <f>IF(AND(U3791=1,M3791&gt;=H3791*(1-Assumptions!$C$8)),1,0)</f>
        <v/>
      </c>
      <c r="X3791">
        <f>IF(AND(U3791=1,N3791&gt;=H3791*(1-Assumptions!$C$8)),1,0)</f>
        <v/>
      </c>
      <c r="Y3791">
        <f>IF(ISNUMBER(Q3791),1,0)</f>
        <v/>
      </c>
      <c r="Z3791">
        <f>IF(AND(K3791=0,L3791=0,Y3791=0),1,0)</f>
        <v/>
      </c>
      <c r="AA3791">
        <f>IF(AND(Z3791=1,G3791&lt;Assumptions!$C$6),1,0)</f>
        <v/>
      </c>
      <c r="AB3791">
        <f>IF(U3791=0,"",IF(Y3791=1,MAX(0,Q3791-G3791),IF(L3791=1,MAX(0,R3791-G3791),MAX(0,Assumptions!$C$6-G3791))))</f>
        <v/>
      </c>
      <c r="AC3791">
        <f>IF(Y3791=1,Q3791-F3791,"")</f>
        <v/>
      </c>
      <c r="AD3791">
        <f>IF(Y3791=1,AC3791^2,"")</f>
        <v/>
      </c>
      <c r="AE3791" s="19">
        <f>IF(Z3791=1,(H3791-M3791)*I3791,0)</f>
        <v/>
      </c>
      <c r="AF3791">
        <f>IF(G3791&lt;EDATE(Assumptions!$C$6,-12)+1,"prior_12m","last_12m")</f>
        <v/>
      </c>
      <c r="AG3791" s="21">
        <f>DATE(YEAR(G3791),MONTH(G3791),1)</f>
        <v/>
      </c>
    </row>
    <row r="3792">
      <c r="A3792" t="inlineStr">
        <is>
          <t>SPO-02022-1</t>
        </is>
      </c>
      <c r="B3792" t="inlineStr">
        <is>
          <t>SPO-02022</t>
        </is>
      </c>
      <c r="C3792" t="inlineStr">
        <is>
          <t>SUP-04</t>
        </is>
      </c>
      <c r="D3792" t="inlineStr">
        <is>
          <t>FLEET</t>
        </is>
      </c>
      <c r="E3792" t="inlineStr">
        <is>
          <t>FLEET-01</t>
        </is>
      </c>
      <c r="F3792" s="17" t="n">
        <v>46133</v>
      </c>
      <c r="G3792" s="17" t="n">
        <v>46146</v>
      </c>
      <c r="H3792" s="18" t="n">
        <v>25</v>
      </c>
      <c r="I3792" s="19" t="n">
        <v>65.22</v>
      </c>
      <c r="J3792" s="19" t="n">
        <v>64</v>
      </c>
      <c r="K3792" s="20" t="n">
        <v>0</v>
      </c>
      <c r="L3792" s="20" t="n">
        <v>0</v>
      </c>
      <c r="M3792" s="18" t="n">
        <v>25</v>
      </c>
      <c r="N3792" s="18" t="n">
        <v>0</v>
      </c>
      <c r="O3792" s="18" t="n">
        <v>0</v>
      </c>
      <c r="P3792" s="17" t="n">
        <v>46152</v>
      </c>
      <c r="Q3792" s="17" t="n">
        <v>46152</v>
      </c>
      <c r="R3792" s="17" t="n">
        <v>46152</v>
      </c>
      <c r="S3792" s="19">
        <f>H3792*I3792</f>
        <v/>
      </c>
      <c r="T3792" s="19">
        <f>H3792*J3792</f>
        <v/>
      </c>
      <c r="U3792">
        <f>IF(AND(K3792=0,G3792&lt;=Assumptions!$C$6),1,0)</f>
        <v/>
      </c>
      <c r="V3792">
        <f>IF(U3792=1,IF(M3792&gt;0,IF(P3792&lt;=G3792+Assumptions!$C$7,1,0),0),0)</f>
        <v/>
      </c>
      <c r="W3792">
        <f>IF(AND(U3792=1,M3792&gt;=H3792*(1-Assumptions!$C$8)),1,0)</f>
        <v/>
      </c>
      <c r="X3792">
        <f>IF(AND(U3792=1,N3792&gt;=H3792*(1-Assumptions!$C$8)),1,0)</f>
        <v/>
      </c>
      <c r="Y3792">
        <f>IF(ISNUMBER(Q3792),1,0)</f>
        <v/>
      </c>
      <c r="Z3792">
        <f>IF(AND(K3792=0,L3792=0,Y3792=0),1,0)</f>
        <v/>
      </c>
      <c r="AA3792">
        <f>IF(AND(Z3792=1,G3792&lt;Assumptions!$C$6),1,0)</f>
        <v/>
      </c>
      <c r="AB3792">
        <f>IF(U3792=0,"",IF(Y3792=1,MAX(0,Q3792-G3792),IF(L3792=1,MAX(0,R3792-G3792),MAX(0,Assumptions!$C$6-G3792))))</f>
        <v/>
      </c>
      <c r="AC3792">
        <f>IF(Y3792=1,Q3792-F3792,"")</f>
        <v/>
      </c>
      <c r="AD3792">
        <f>IF(Y3792=1,AC3792^2,"")</f>
        <v/>
      </c>
      <c r="AE3792" s="19">
        <f>IF(Z3792=1,(H3792-M3792)*I3792,0)</f>
        <v/>
      </c>
      <c r="AF3792">
        <f>IF(G3792&lt;EDATE(Assumptions!$C$6,-12)+1,"prior_12m","last_12m")</f>
        <v/>
      </c>
      <c r="AG3792" s="21">
        <f>DATE(YEAR(G3792),MONTH(G3792),1)</f>
        <v/>
      </c>
    </row>
    <row r="3793">
      <c r="A3793" t="inlineStr">
        <is>
          <t>SPO-02022-2</t>
        </is>
      </c>
      <c r="B3793" t="inlineStr">
        <is>
          <t>SPO-02022</t>
        </is>
      </c>
      <c r="C3793" t="inlineStr">
        <is>
          <t>SUP-04</t>
        </is>
      </c>
      <c r="D3793" t="inlineStr">
        <is>
          <t>FLEET</t>
        </is>
      </c>
      <c r="E3793" t="inlineStr">
        <is>
          <t>FLEET-04</t>
        </is>
      </c>
      <c r="F3793" s="17" t="n">
        <v>46133</v>
      </c>
      <c r="G3793" s="17" t="n">
        <v>46146</v>
      </c>
      <c r="H3793" s="18" t="n">
        <v>202</v>
      </c>
      <c r="I3793" s="19" t="n">
        <v>9.130000000000001</v>
      </c>
      <c r="J3793" s="19" t="n">
        <v>9</v>
      </c>
      <c r="K3793" s="20" t="n">
        <v>0</v>
      </c>
      <c r="L3793" s="20" t="n">
        <v>0</v>
      </c>
      <c r="M3793" s="18" t="n">
        <v>202</v>
      </c>
      <c r="N3793" s="18" t="n">
        <v>202</v>
      </c>
      <c r="O3793" s="18" t="n">
        <v>0</v>
      </c>
      <c r="P3793" s="17" t="n">
        <v>46141</v>
      </c>
      <c r="Q3793" s="17" t="n">
        <v>46141</v>
      </c>
      <c r="R3793" s="17" t="n">
        <v>46141</v>
      </c>
      <c r="S3793" s="19">
        <f>H3793*I3793</f>
        <v/>
      </c>
      <c r="T3793" s="19">
        <f>H3793*J3793</f>
        <v/>
      </c>
      <c r="U3793">
        <f>IF(AND(K3793=0,G3793&lt;=Assumptions!$C$6),1,0)</f>
        <v/>
      </c>
      <c r="V3793">
        <f>IF(U3793=1,IF(M3793&gt;0,IF(P3793&lt;=G3793+Assumptions!$C$7,1,0),0),0)</f>
        <v/>
      </c>
      <c r="W3793">
        <f>IF(AND(U3793=1,M3793&gt;=H3793*(1-Assumptions!$C$8)),1,0)</f>
        <v/>
      </c>
      <c r="X3793">
        <f>IF(AND(U3793=1,N3793&gt;=H3793*(1-Assumptions!$C$8)),1,0)</f>
        <v/>
      </c>
      <c r="Y3793">
        <f>IF(ISNUMBER(Q3793),1,0)</f>
        <v/>
      </c>
      <c r="Z3793">
        <f>IF(AND(K3793=0,L3793=0,Y3793=0),1,0)</f>
        <v/>
      </c>
      <c r="AA3793">
        <f>IF(AND(Z3793=1,G3793&lt;Assumptions!$C$6),1,0)</f>
        <v/>
      </c>
      <c r="AB3793">
        <f>IF(U3793=0,"",IF(Y3793=1,MAX(0,Q3793-G3793),IF(L3793=1,MAX(0,R3793-G3793),MAX(0,Assumptions!$C$6-G3793))))</f>
        <v/>
      </c>
      <c r="AC3793">
        <f>IF(Y3793=1,Q3793-F3793,"")</f>
        <v/>
      </c>
      <c r="AD3793">
        <f>IF(Y3793=1,AC3793^2,"")</f>
        <v/>
      </c>
      <c r="AE3793" s="19">
        <f>IF(Z3793=1,(H3793-M3793)*I3793,0)</f>
        <v/>
      </c>
      <c r="AF3793">
        <f>IF(G3793&lt;EDATE(Assumptions!$C$6,-12)+1,"prior_12m","last_12m")</f>
        <v/>
      </c>
      <c r="AG3793" s="21">
        <f>DATE(YEAR(G3793),MONTH(G3793),1)</f>
        <v/>
      </c>
    </row>
    <row r="3794">
      <c r="A3794" t="inlineStr">
        <is>
          <t>SPO-02022-3</t>
        </is>
      </c>
      <c r="B3794" t="inlineStr">
        <is>
          <t>SPO-02022</t>
        </is>
      </c>
      <c r="C3794" t="inlineStr">
        <is>
          <t>SUP-04</t>
        </is>
      </c>
      <c r="D3794" t="inlineStr">
        <is>
          <t>FLEET</t>
        </is>
      </c>
      <c r="E3794" t="inlineStr">
        <is>
          <t>FLEET-06</t>
        </is>
      </c>
      <c r="F3794" s="17" t="n">
        <v>46133</v>
      </c>
      <c r="G3794" s="17" t="n">
        <v>46146</v>
      </c>
      <c r="H3794" s="18" t="n">
        <v>239</v>
      </c>
      <c r="I3794" s="19" t="n">
        <v>32.24</v>
      </c>
      <c r="J3794" s="19" t="n">
        <v>33</v>
      </c>
      <c r="K3794" s="20" t="n">
        <v>0</v>
      </c>
      <c r="L3794" s="20" t="n">
        <v>0</v>
      </c>
      <c r="M3794" s="18" t="n">
        <v>239</v>
      </c>
      <c r="N3794" s="18" t="n">
        <v>0</v>
      </c>
      <c r="O3794" s="18" t="n">
        <v>0</v>
      </c>
      <c r="P3794" s="17" t="n">
        <v>46209</v>
      </c>
      <c r="Q3794" s="17" t="n">
        <v>46209</v>
      </c>
      <c r="R3794" s="17" t="n">
        <v>46209</v>
      </c>
      <c r="S3794" s="19">
        <f>H3794*I3794</f>
        <v/>
      </c>
      <c r="T3794" s="19">
        <f>H3794*J3794</f>
        <v/>
      </c>
      <c r="U3794">
        <f>IF(AND(K3794=0,G3794&lt;=Assumptions!$C$6),1,0)</f>
        <v/>
      </c>
      <c r="V3794">
        <f>IF(U3794=1,IF(M3794&gt;0,IF(P3794&lt;=G3794+Assumptions!$C$7,1,0),0),0)</f>
        <v/>
      </c>
      <c r="W3794">
        <f>IF(AND(U3794=1,M3794&gt;=H3794*(1-Assumptions!$C$8)),1,0)</f>
        <v/>
      </c>
      <c r="X3794">
        <f>IF(AND(U3794=1,N3794&gt;=H3794*(1-Assumptions!$C$8)),1,0)</f>
        <v/>
      </c>
      <c r="Y3794">
        <f>IF(ISNUMBER(Q3794),1,0)</f>
        <v/>
      </c>
      <c r="Z3794">
        <f>IF(AND(K3794=0,L3794=0,Y3794=0),1,0)</f>
        <v/>
      </c>
      <c r="AA3794">
        <f>IF(AND(Z3794=1,G3794&lt;Assumptions!$C$6),1,0)</f>
        <v/>
      </c>
      <c r="AB3794">
        <f>IF(U3794=0,"",IF(Y3794=1,MAX(0,Q3794-G3794),IF(L3794=1,MAX(0,R3794-G3794),MAX(0,Assumptions!$C$6-G3794))))</f>
        <v/>
      </c>
      <c r="AC3794">
        <f>IF(Y3794=1,Q3794-F3794,"")</f>
        <v/>
      </c>
      <c r="AD3794">
        <f>IF(Y3794=1,AC3794^2,"")</f>
        <v/>
      </c>
      <c r="AE3794" s="19">
        <f>IF(Z3794=1,(H3794-M3794)*I3794,0)</f>
        <v/>
      </c>
      <c r="AF3794">
        <f>IF(G3794&lt;EDATE(Assumptions!$C$6,-12)+1,"prior_12m","last_12m")</f>
        <v/>
      </c>
      <c r="AG3794" s="21">
        <f>DATE(YEAR(G3794),MONTH(G3794),1)</f>
        <v/>
      </c>
    </row>
    <row r="3795">
      <c r="A3795" t="inlineStr">
        <is>
          <t>SPO-02023-1</t>
        </is>
      </c>
      <c r="B3795" t="inlineStr">
        <is>
          <t>SPO-02023</t>
        </is>
      </c>
      <c r="C3795" t="inlineStr">
        <is>
          <t>SUP-02</t>
        </is>
      </c>
      <c r="D3795" t="inlineStr">
        <is>
          <t>ELEC</t>
        </is>
      </c>
      <c r="E3795" t="inlineStr">
        <is>
          <t>ELEC-02</t>
        </is>
      </c>
      <c r="F3795" s="17" t="n">
        <v>46133</v>
      </c>
      <c r="G3795" s="17" t="n">
        <v>46149</v>
      </c>
      <c r="H3795" s="18" t="n">
        <v>331</v>
      </c>
      <c r="I3795" s="19" t="n">
        <v>4.14</v>
      </c>
      <c r="J3795" s="19" t="n">
        <v>4.2</v>
      </c>
      <c r="K3795" s="20" t="n">
        <v>0</v>
      </c>
      <c r="L3795" s="20" t="n">
        <v>0</v>
      </c>
      <c r="M3795" s="18" t="n">
        <v>331</v>
      </c>
      <c r="N3795" s="18" t="n">
        <v>223</v>
      </c>
      <c r="O3795" s="18" t="n">
        <v>0</v>
      </c>
      <c r="P3795" s="17" t="n">
        <v>46146</v>
      </c>
      <c r="Q3795" s="17" t="n">
        <v>46165</v>
      </c>
      <c r="R3795" s="17" t="n">
        <v>46165</v>
      </c>
      <c r="S3795" s="19">
        <f>H3795*I3795</f>
        <v/>
      </c>
      <c r="T3795" s="19">
        <f>H3795*J3795</f>
        <v/>
      </c>
      <c r="U3795">
        <f>IF(AND(K3795=0,G3795&lt;=Assumptions!$C$6),1,0)</f>
        <v/>
      </c>
      <c r="V3795">
        <f>IF(U3795=1,IF(M3795&gt;0,IF(P3795&lt;=G3795+Assumptions!$C$7,1,0),0),0)</f>
        <v/>
      </c>
      <c r="W3795">
        <f>IF(AND(U3795=1,M3795&gt;=H3795*(1-Assumptions!$C$8)),1,0)</f>
        <v/>
      </c>
      <c r="X3795">
        <f>IF(AND(U3795=1,N3795&gt;=H3795*(1-Assumptions!$C$8)),1,0)</f>
        <v/>
      </c>
      <c r="Y3795">
        <f>IF(ISNUMBER(Q3795),1,0)</f>
        <v/>
      </c>
      <c r="Z3795">
        <f>IF(AND(K3795=0,L3795=0,Y3795=0),1,0)</f>
        <v/>
      </c>
      <c r="AA3795">
        <f>IF(AND(Z3795=1,G3795&lt;Assumptions!$C$6),1,0)</f>
        <v/>
      </c>
      <c r="AB3795">
        <f>IF(U3795=0,"",IF(Y3795=1,MAX(0,Q3795-G3795),IF(L3795=1,MAX(0,R3795-G3795),MAX(0,Assumptions!$C$6-G3795))))</f>
        <v/>
      </c>
      <c r="AC3795">
        <f>IF(Y3795=1,Q3795-F3795,"")</f>
        <v/>
      </c>
      <c r="AD3795">
        <f>IF(Y3795=1,AC3795^2,"")</f>
        <v/>
      </c>
      <c r="AE3795" s="19">
        <f>IF(Z3795=1,(H3795-M3795)*I3795,0)</f>
        <v/>
      </c>
      <c r="AF3795">
        <f>IF(G3795&lt;EDATE(Assumptions!$C$6,-12)+1,"prior_12m","last_12m")</f>
        <v/>
      </c>
      <c r="AG3795" s="21">
        <f>DATE(YEAR(G3795),MONTH(G3795),1)</f>
        <v/>
      </c>
    </row>
    <row r="3796">
      <c r="A3796" t="inlineStr">
        <is>
          <t>SPO-02024-1</t>
        </is>
      </c>
      <c r="B3796" t="inlineStr">
        <is>
          <t>SPO-02024</t>
        </is>
      </c>
      <c r="C3796" t="inlineStr">
        <is>
          <t>SUP-04</t>
        </is>
      </c>
      <c r="D3796" t="inlineStr">
        <is>
          <t>FLEET</t>
        </is>
      </c>
      <c r="E3796" t="inlineStr">
        <is>
          <t>FLEET-03</t>
        </is>
      </c>
      <c r="F3796" s="17" t="n">
        <v>46134</v>
      </c>
      <c r="G3796" s="17" t="n">
        <v>46147</v>
      </c>
      <c r="H3796" s="18" t="n">
        <v>139</v>
      </c>
      <c r="I3796" s="19" t="n">
        <v>22.04</v>
      </c>
      <c r="J3796" s="19" t="n">
        <v>21</v>
      </c>
      <c r="K3796" s="20" t="n">
        <v>0</v>
      </c>
      <c r="L3796" s="20" t="n">
        <v>0</v>
      </c>
      <c r="M3796" s="18" t="n">
        <v>139</v>
      </c>
      <c r="N3796" s="18" t="n">
        <v>139</v>
      </c>
      <c r="O3796" s="18" t="n">
        <v>0</v>
      </c>
      <c r="P3796" s="17" t="n">
        <v>46146</v>
      </c>
      <c r="Q3796" s="17" t="n">
        <v>46146</v>
      </c>
      <c r="R3796" s="17" t="n">
        <v>46146</v>
      </c>
      <c r="S3796" s="19">
        <f>H3796*I3796</f>
        <v/>
      </c>
      <c r="T3796" s="19">
        <f>H3796*J3796</f>
        <v/>
      </c>
      <c r="U3796">
        <f>IF(AND(K3796=0,G3796&lt;=Assumptions!$C$6),1,0)</f>
        <v/>
      </c>
      <c r="V3796">
        <f>IF(U3796=1,IF(M3796&gt;0,IF(P3796&lt;=G3796+Assumptions!$C$7,1,0),0),0)</f>
        <v/>
      </c>
      <c r="W3796">
        <f>IF(AND(U3796=1,M3796&gt;=H3796*(1-Assumptions!$C$8)),1,0)</f>
        <v/>
      </c>
      <c r="X3796">
        <f>IF(AND(U3796=1,N3796&gt;=H3796*(1-Assumptions!$C$8)),1,0)</f>
        <v/>
      </c>
      <c r="Y3796">
        <f>IF(ISNUMBER(Q3796),1,0)</f>
        <v/>
      </c>
      <c r="Z3796">
        <f>IF(AND(K3796=0,L3796=0,Y3796=0),1,0)</f>
        <v/>
      </c>
      <c r="AA3796">
        <f>IF(AND(Z3796=1,G3796&lt;Assumptions!$C$6),1,0)</f>
        <v/>
      </c>
      <c r="AB3796">
        <f>IF(U3796=0,"",IF(Y3796=1,MAX(0,Q3796-G3796),IF(L3796=1,MAX(0,R3796-G3796),MAX(0,Assumptions!$C$6-G3796))))</f>
        <v/>
      </c>
      <c r="AC3796">
        <f>IF(Y3796=1,Q3796-F3796,"")</f>
        <v/>
      </c>
      <c r="AD3796">
        <f>IF(Y3796=1,AC3796^2,"")</f>
        <v/>
      </c>
      <c r="AE3796" s="19">
        <f>IF(Z3796=1,(H3796-M3796)*I3796,0)</f>
        <v/>
      </c>
      <c r="AF3796">
        <f>IF(G3796&lt;EDATE(Assumptions!$C$6,-12)+1,"prior_12m","last_12m")</f>
        <v/>
      </c>
      <c r="AG3796" s="21">
        <f>DATE(YEAR(G3796),MONTH(G3796),1)</f>
        <v/>
      </c>
    </row>
    <row r="3797">
      <c r="A3797" t="inlineStr">
        <is>
          <t>SPO-02025-1</t>
        </is>
      </c>
      <c r="B3797" t="inlineStr">
        <is>
          <t>SPO-02025</t>
        </is>
      </c>
      <c r="C3797" t="inlineStr">
        <is>
          <t>SUP-11</t>
        </is>
      </c>
      <c r="D3797" t="inlineStr">
        <is>
          <t>PPE</t>
        </is>
      </c>
      <c r="E3797" t="inlineStr">
        <is>
          <t>PPE-05</t>
        </is>
      </c>
      <c r="F3797" s="17" t="n">
        <v>46134</v>
      </c>
      <c r="G3797" s="17" t="n">
        <v>46146</v>
      </c>
      <c r="H3797" s="18" t="n">
        <v>220</v>
      </c>
      <c r="I3797" s="19" t="n">
        <v>10.71</v>
      </c>
      <c r="J3797" s="19" t="n">
        <v>11</v>
      </c>
      <c r="K3797" s="20" t="n">
        <v>0</v>
      </c>
      <c r="L3797" s="20" t="n">
        <v>0</v>
      </c>
      <c r="M3797" s="18" t="n">
        <v>220</v>
      </c>
      <c r="N3797" s="18" t="n">
        <v>220</v>
      </c>
      <c r="O3797" s="18" t="n">
        <v>0</v>
      </c>
      <c r="P3797" s="17" t="n">
        <v>46142</v>
      </c>
      <c r="Q3797" s="17" t="n">
        <v>46142</v>
      </c>
      <c r="R3797" s="17" t="n">
        <v>46142</v>
      </c>
      <c r="S3797" s="19">
        <f>H3797*I3797</f>
        <v/>
      </c>
      <c r="T3797" s="19">
        <f>H3797*J3797</f>
        <v/>
      </c>
      <c r="U3797">
        <f>IF(AND(K3797=0,G3797&lt;=Assumptions!$C$6),1,0)</f>
        <v/>
      </c>
      <c r="V3797">
        <f>IF(U3797=1,IF(M3797&gt;0,IF(P3797&lt;=G3797+Assumptions!$C$7,1,0),0),0)</f>
        <v/>
      </c>
      <c r="W3797">
        <f>IF(AND(U3797=1,M3797&gt;=H3797*(1-Assumptions!$C$8)),1,0)</f>
        <v/>
      </c>
      <c r="X3797">
        <f>IF(AND(U3797=1,N3797&gt;=H3797*(1-Assumptions!$C$8)),1,0)</f>
        <v/>
      </c>
      <c r="Y3797">
        <f>IF(ISNUMBER(Q3797),1,0)</f>
        <v/>
      </c>
      <c r="Z3797">
        <f>IF(AND(K3797=0,L3797=0,Y3797=0),1,0)</f>
        <v/>
      </c>
      <c r="AA3797">
        <f>IF(AND(Z3797=1,G3797&lt;Assumptions!$C$6),1,0)</f>
        <v/>
      </c>
      <c r="AB3797">
        <f>IF(U3797=0,"",IF(Y3797=1,MAX(0,Q3797-G3797),IF(L3797=1,MAX(0,R3797-G3797),MAX(0,Assumptions!$C$6-G3797))))</f>
        <v/>
      </c>
      <c r="AC3797">
        <f>IF(Y3797=1,Q3797-F3797,"")</f>
        <v/>
      </c>
      <c r="AD3797">
        <f>IF(Y3797=1,AC3797^2,"")</f>
        <v/>
      </c>
      <c r="AE3797" s="19">
        <f>IF(Z3797=1,(H3797-M3797)*I3797,0)</f>
        <v/>
      </c>
      <c r="AF3797">
        <f>IF(G3797&lt;EDATE(Assumptions!$C$6,-12)+1,"prior_12m","last_12m")</f>
        <v/>
      </c>
      <c r="AG3797" s="21">
        <f>DATE(YEAR(G3797),MONTH(G3797),1)</f>
        <v/>
      </c>
    </row>
    <row r="3798">
      <c r="A3798" t="inlineStr">
        <is>
          <t>SPO-02025-2</t>
        </is>
      </c>
      <c r="B3798" t="inlineStr">
        <is>
          <t>SPO-02025</t>
        </is>
      </c>
      <c r="C3798" t="inlineStr">
        <is>
          <t>SUP-11</t>
        </is>
      </c>
      <c r="D3798" t="inlineStr">
        <is>
          <t>PPE</t>
        </is>
      </c>
      <c r="E3798" t="inlineStr">
        <is>
          <t>PPE-03</t>
        </is>
      </c>
      <c r="F3798" s="17" t="n">
        <v>46134</v>
      </c>
      <c r="G3798" s="17" t="n">
        <v>46146</v>
      </c>
      <c r="H3798" s="18" t="n">
        <v>118</v>
      </c>
      <c r="I3798" s="19" t="n">
        <v>20.68</v>
      </c>
      <c r="J3798" s="19" t="n">
        <v>21</v>
      </c>
      <c r="K3798" s="20" t="n">
        <v>0</v>
      </c>
      <c r="L3798" s="20" t="n">
        <v>0</v>
      </c>
      <c r="M3798" s="18" t="n">
        <v>118</v>
      </c>
      <c r="N3798" s="18" t="n">
        <v>118</v>
      </c>
      <c r="O3798" s="18" t="n">
        <v>0</v>
      </c>
      <c r="P3798" s="17" t="n">
        <v>46146</v>
      </c>
      <c r="Q3798" s="17" t="n">
        <v>46146</v>
      </c>
      <c r="R3798" s="17" t="n">
        <v>46146</v>
      </c>
      <c r="S3798" s="19">
        <f>H3798*I3798</f>
        <v/>
      </c>
      <c r="T3798" s="19">
        <f>H3798*J3798</f>
        <v/>
      </c>
      <c r="U3798">
        <f>IF(AND(K3798=0,G3798&lt;=Assumptions!$C$6),1,0)</f>
        <v/>
      </c>
      <c r="V3798">
        <f>IF(U3798=1,IF(M3798&gt;0,IF(P3798&lt;=G3798+Assumptions!$C$7,1,0),0),0)</f>
        <v/>
      </c>
      <c r="W3798">
        <f>IF(AND(U3798=1,M3798&gt;=H3798*(1-Assumptions!$C$8)),1,0)</f>
        <v/>
      </c>
      <c r="X3798">
        <f>IF(AND(U3798=1,N3798&gt;=H3798*(1-Assumptions!$C$8)),1,0)</f>
        <v/>
      </c>
      <c r="Y3798">
        <f>IF(ISNUMBER(Q3798),1,0)</f>
        <v/>
      </c>
      <c r="Z3798">
        <f>IF(AND(K3798=0,L3798=0,Y3798=0),1,0)</f>
        <v/>
      </c>
      <c r="AA3798">
        <f>IF(AND(Z3798=1,G3798&lt;Assumptions!$C$6),1,0)</f>
        <v/>
      </c>
      <c r="AB3798">
        <f>IF(U3798=0,"",IF(Y3798=1,MAX(0,Q3798-G3798),IF(L3798=1,MAX(0,R3798-G3798),MAX(0,Assumptions!$C$6-G3798))))</f>
        <v/>
      </c>
      <c r="AC3798">
        <f>IF(Y3798=1,Q3798-F3798,"")</f>
        <v/>
      </c>
      <c r="AD3798">
        <f>IF(Y3798=1,AC3798^2,"")</f>
        <v/>
      </c>
      <c r="AE3798" s="19">
        <f>IF(Z3798=1,(H3798-M3798)*I3798,0)</f>
        <v/>
      </c>
      <c r="AF3798">
        <f>IF(G3798&lt;EDATE(Assumptions!$C$6,-12)+1,"prior_12m","last_12m")</f>
        <v/>
      </c>
      <c r="AG3798" s="21">
        <f>DATE(YEAR(G3798),MONTH(G3798),1)</f>
        <v/>
      </c>
    </row>
    <row r="3799">
      <c r="A3799" t="inlineStr">
        <is>
          <t>SPO-02025-3</t>
        </is>
      </c>
      <c r="B3799" t="inlineStr">
        <is>
          <t>SPO-02025</t>
        </is>
      </c>
      <c r="C3799" t="inlineStr">
        <is>
          <t>SUP-11</t>
        </is>
      </c>
      <c r="D3799" t="inlineStr">
        <is>
          <t>PPE</t>
        </is>
      </c>
      <c r="E3799" t="inlineStr">
        <is>
          <t>PPE-08</t>
        </is>
      </c>
      <c r="F3799" s="17" t="n">
        <v>46134</v>
      </c>
      <c r="G3799" s="17" t="n">
        <v>46146</v>
      </c>
      <c r="H3799" s="18" t="n">
        <v>18</v>
      </c>
      <c r="I3799" s="19" t="n">
        <v>63.13</v>
      </c>
      <c r="J3799" s="19" t="n">
        <v>64</v>
      </c>
      <c r="K3799" s="20" t="n">
        <v>0</v>
      </c>
      <c r="L3799" s="20" t="n">
        <v>0</v>
      </c>
      <c r="M3799" s="18" t="n">
        <v>18</v>
      </c>
      <c r="N3799" s="18" t="n">
        <v>18</v>
      </c>
      <c r="O3799" s="18" t="n">
        <v>0</v>
      </c>
      <c r="P3799" s="17" t="n">
        <v>46143</v>
      </c>
      <c r="Q3799" s="17" t="n">
        <v>46143</v>
      </c>
      <c r="R3799" s="17" t="n">
        <v>46143</v>
      </c>
      <c r="S3799" s="19">
        <f>H3799*I3799</f>
        <v/>
      </c>
      <c r="T3799" s="19">
        <f>H3799*J3799</f>
        <v/>
      </c>
      <c r="U3799">
        <f>IF(AND(K3799=0,G3799&lt;=Assumptions!$C$6),1,0)</f>
        <v/>
      </c>
      <c r="V3799">
        <f>IF(U3799=1,IF(M3799&gt;0,IF(P3799&lt;=G3799+Assumptions!$C$7,1,0),0),0)</f>
        <v/>
      </c>
      <c r="W3799">
        <f>IF(AND(U3799=1,M3799&gt;=H3799*(1-Assumptions!$C$8)),1,0)</f>
        <v/>
      </c>
      <c r="X3799">
        <f>IF(AND(U3799=1,N3799&gt;=H3799*(1-Assumptions!$C$8)),1,0)</f>
        <v/>
      </c>
      <c r="Y3799">
        <f>IF(ISNUMBER(Q3799),1,0)</f>
        <v/>
      </c>
      <c r="Z3799">
        <f>IF(AND(K3799=0,L3799=0,Y3799=0),1,0)</f>
        <v/>
      </c>
      <c r="AA3799">
        <f>IF(AND(Z3799=1,G3799&lt;Assumptions!$C$6),1,0)</f>
        <v/>
      </c>
      <c r="AB3799">
        <f>IF(U3799=0,"",IF(Y3799=1,MAX(0,Q3799-G3799),IF(L3799=1,MAX(0,R3799-G3799),MAX(0,Assumptions!$C$6-G3799))))</f>
        <v/>
      </c>
      <c r="AC3799">
        <f>IF(Y3799=1,Q3799-F3799,"")</f>
        <v/>
      </c>
      <c r="AD3799">
        <f>IF(Y3799=1,AC3799^2,"")</f>
        <v/>
      </c>
      <c r="AE3799" s="19">
        <f>IF(Z3799=1,(H3799-M3799)*I3799,0)</f>
        <v/>
      </c>
      <c r="AF3799">
        <f>IF(G3799&lt;EDATE(Assumptions!$C$6,-12)+1,"prior_12m","last_12m")</f>
        <v/>
      </c>
      <c r="AG3799" s="21">
        <f>DATE(YEAR(G3799),MONTH(G3799),1)</f>
        <v/>
      </c>
    </row>
    <row r="3800">
      <c r="A3800" t="inlineStr">
        <is>
          <t>SPO-02026-1</t>
        </is>
      </c>
      <c r="B3800" t="inlineStr">
        <is>
          <t>SPO-02026</t>
        </is>
      </c>
      <c r="C3800" t="inlineStr">
        <is>
          <t>SUP-02</t>
        </is>
      </c>
      <c r="D3800" t="inlineStr">
        <is>
          <t>ELEC</t>
        </is>
      </c>
      <c r="E3800" t="inlineStr">
        <is>
          <t>ELEC-02</t>
        </is>
      </c>
      <c r="F3800" s="17" t="n">
        <v>46134</v>
      </c>
      <c r="G3800" s="17" t="n">
        <v>46150</v>
      </c>
      <c r="H3800" s="18" t="n">
        <v>236</v>
      </c>
      <c r="I3800" s="19" t="n">
        <v>4.14</v>
      </c>
      <c r="J3800" s="19" t="n">
        <v>4.2</v>
      </c>
      <c r="K3800" s="20" t="n">
        <v>0</v>
      </c>
      <c r="L3800" s="20" t="n">
        <v>0</v>
      </c>
      <c r="M3800" s="18" t="n">
        <v>236</v>
      </c>
      <c r="N3800" s="18" t="n">
        <v>236</v>
      </c>
      <c r="O3800" s="18" t="n">
        <v>0</v>
      </c>
      <c r="P3800" s="17" t="n">
        <v>46147</v>
      </c>
      <c r="Q3800" s="17" t="n">
        <v>46147</v>
      </c>
      <c r="R3800" s="17" t="n">
        <v>46147</v>
      </c>
      <c r="S3800" s="19">
        <f>H3800*I3800</f>
        <v/>
      </c>
      <c r="T3800" s="19">
        <f>H3800*J3800</f>
        <v/>
      </c>
      <c r="U3800">
        <f>IF(AND(K3800=0,G3800&lt;=Assumptions!$C$6),1,0)</f>
        <v/>
      </c>
      <c r="V3800">
        <f>IF(U3800=1,IF(M3800&gt;0,IF(P3800&lt;=G3800+Assumptions!$C$7,1,0),0),0)</f>
        <v/>
      </c>
      <c r="W3800">
        <f>IF(AND(U3800=1,M3800&gt;=H3800*(1-Assumptions!$C$8)),1,0)</f>
        <v/>
      </c>
      <c r="X3800">
        <f>IF(AND(U3800=1,N3800&gt;=H3800*(1-Assumptions!$C$8)),1,0)</f>
        <v/>
      </c>
      <c r="Y3800">
        <f>IF(ISNUMBER(Q3800),1,0)</f>
        <v/>
      </c>
      <c r="Z3800">
        <f>IF(AND(K3800=0,L3800=0,Y3800=0),1,0)</f>
        <v/>
      </c>
      <c r="AA3800">
        <f>IF(AND(Z3800=1,G3800&lt;Assumptions!$C$6),1,0)</f>
        <v/>
      </c>
      <c r="AB3800">
        <f>IF(U3800=0,"",IF(Y3800=1,MAX(0,Q3800-G3800),IF(L3800=1,MAX(0,R3800-G3800),MAX(0,Assumptions!$C$6-G3800))))</f>
        <v/>
      </c>
      <c r="AC3800">
        <f>IF(Y3800=1,Q3800-F3800,"")</f>
        <v/>
      </c>
      <c r="AD3800">
        <f>IF(Y3800=1,AC3800^2,"")</f>
        <v/>
      </c>
      <c r="AE3800" s="19">
        <f>IF(Z3800=1,(H3800-M3800)*I3800,0)</f>
        <v/>
      </c>
      <c r="AF3800">
        <f>IF(G3800&lt;EDATE(Assumptions!$C$6,-12)+1,"prior_12m","last_12m")</f>
        <v/>
      </c>
      <c r="AG3800" s="21">
        <f>DATE(YEAR(G3800),MONTH(G3800),1)</f>
        <v/>
      </c>
    </row>
    <row r="3801">
      <c r="A3801" t="inlineStr">
        <is>
          <t>SPO-02027-1</t>
        </is>
      </c>
      <c r="B3801" t="inlineStr">
        <is>
          <t>SPO-02027</t>
        </is>
      </c>
      <c r="C3801" t="inlineStr">
        <is>
          <t>SUP-12</t>
        </is>
      </c>
      <c r="D3801" t="inlineStr">
        <is>
          <t>IT</t>
        </is>
      </c>
      <c r="E3801" t="inlineStr">
        <is>
          <t>IT-05</t>
        </is>
      </c>
      <c r="F3801" s="17" t="n">
        <v>46134</v>
      </c>
      <c r="G3801" s="17" t="n">
        <v>46144</v>
      </c>
      <c r="H3801" s="18" t="n">
        <v>2</v>
      </c>
      <c r="I3801" s="19" t="n">
        <v>731.47</v>
      </c>
      <c r="J3801" s="19" t="n">
        <v>640</v>
      </c>
      <c r="K3801" s="20" t="n">
        <v>0</v>
      </c>
      <c r="L3801" s="20" t="n">
        <v>0</v>
      </c>
      <c r="M3801" s="18" t="n">
        <v>2</v>
      </c>
      <c r="N3801" s="18" t="n">
        <v>2</v>
      </c>
      <c r="O3801" s="18" t="n">
        <v>0</v>
      </c>
      <c r="P3801" s="17" t="n">
        <v>46138</v>
      </c>
      <c r="Q3801" s="17" t="n">
        <v>46138</v>
      </c>
      <c r="R3801" s="17" t="n">
        <v>46138</v>
      </c>
      <c r="S3801" s="19">
        <f>H3801*I3801</f>
        <v/>
      </c>
      <c r="T3801" s="19">
        <f>H3801*J3801</f>
        <v/>
      </c>
      <c r="U3801">
        <f>IF(AND(K3801=0,G3801&lt;=Assumptions!$C$6),1,0)</f>
        <v/>
      </c>
      <c r="V3801">
        <f>IF(U3801=1,IF(M3801&gt;0,IF(P3801&lt;=G3801+Assumptions!$C$7,1,0),0),0)</f>
        <v/>
      </c>
      <c r="W3801">
        <f>IF(AND(U3801=1,M3801&gt;=H3801*(1-Assumptions!$C$8)),1,0)</f>
        <v/>
      </c>
      <c r="X3801">
        <f>IF(AND(U3801=1,N3801&gt;=H3801*(1-Assumptions!$C$8)),1,0)</f>
        <v/>
      </c>
      <c r="Y3801">
        <f>IF(ISNUMBER(Q3801),1,0)</f>
        <v/>
      </c>
      <c r="Z3801">
        <f>IF(AND(K3801=0,L3801=0,Y3801=0),1,0)</f>
        <v/>
      </c>
      <c r="AA3801">
        <f>IF(AND(Z3801=1,G3801&lt;Assumptions!$C$6),1,0)</f>
        <v/>
      </c>
      <c r="AB3801">
        <f>IF(U3801=0,"",IF(Y3801=1,MAX(0,Q3801-G3801),IF(L3801=1,MAX(0,R3801-G3801),MAX(0,Assumptions!$C$6-G3801))))</f>
        <v/>
      </c>
      <c r="AC3801">
        <f>IF(Y3801=1,Q3801-F3801,"")</f>
        <v/>
      </c>
      <c r="AD3801">
        <f>IF(Y3801=1,AC3801^2,"")</f>
        <v/>
      </c>
      <c r="AE3801" s="19">
        <f>IF(Z3801=1,(H3801-M3801)*I3801,0)</f>
        <v/>
      </c>
      <c r="AF3801">
        <f>IF(G3801&lt;EDATE(Assumptions!$C$6,-12)+1,"prior_12m","last_12m")</f>
        <v/>
      </c>
      <c r="AG3801" s="21">
        <f>DATE(YEAR(G3801),MONTH(G3801),1)</f>
        <v/>
      </c>
    </row>
    <row r="3802">
      <c r="A3802" t="inlineStr">
        <is>
          <t>SPO-02028-1</t>
        </is>
      </c>
      <c r="B3802" t="inlineStr">
        <is>
          <t>SPO-02028</t>
        </is>
      </c>
      <c r="C3802" t="inlineStr">
        <is>
          <t>SUP-04</t>
        </is>
      </c>
      <c r="D3802" t="inlineStr">
        <is>
          <t>FLEET</t>
        </is>
      </c>
      <c r="E3802" t="inlineStr">
        <is>
          <t>FLEET-02</t>
        </is>
      </c>
      <c r="F3802" s="17" t="n">
        <v>46135</v>
      </c>
      <c r="G3802" s="17" t="n">
        <v>46148</v>
      </c>
      <c r="H3802" s="18" t="n">
        <v>185</v>
      </c>
      <c r="I3802" s="19" t="n">
        <v>7.44</v>
      </c>
      <c r="J3802" s="19" t="n">
        <v>7.5</v>
      </c>
      <c r="K3802" s="20" t="n">
        <v>0</v>
      </c>
      <c r="L3802" s="20" t="n">
        <v>0</v>
      </c>
      <c r="M3802" s="18" t="n">
        <v>185</v>
      </c>
      <c r="N3802" s="18" t="n">
        <v>0</v>
      </c>
      <c r="O3802" s="18" t="n">
        <v>0</v>
      </c>
      <c r="P3802" s="17" t="n">
        <v>46152</v>
      </c>
      <c r="Q3802" s="17" t="n">
        <v>46152</v>
      </c>
      <c r="R3802" s="17" t="n">
        <v>46152</v>
      </c>
      <c r="S3802" s="19">
        <f>H3802*I3802</f>
        <v/>
      </c>
      <c r="T3802" s="19">
        <f>H3802*J3802</f>
        <v/>
      </c>
      <c r="U3802">
        <f>IF(AND(K3802=0,G3802&lt;=Assumptions!$C$6),1,0)</f>
        <v/>
      </c>
      <c r="V3802">
        <f>IF(U3802=1,IF(M3802&gt;0,IF(P3802&lt;=G3802+Assumptions!$C$7,1,0),0),0)</f>
        <v/>
      </c>
      <c r="W3802">
        <f>IF(AND(U3802=1,M3802&gt;=H3802*(1-Assumptions!$C$8)),1,0)</f>
        <v/>
      </c>
      <c r="X3802">
        <f>IF(AND(U3802=1,N3802&gt;=H3802*(1-Assumptions!$C$8)),1,0)</f>
        <v/>
      </c>
      <c r="Y3802">
        <f>IF(ISNUMBER(Q3802),1,0)</f>
        <v/>
      </c>
      <c r="Z3802">
        <f>IF(AND(K3802=0,L3802=0,Y3802=0),1,0)</f>
        <v/>
      </c>
      <c r="AA3802">
        <f>IF(AND(Z3802=1,G3802&lt;Assumptions!$C$6),1,0)</f>
        <v/>
      </c>
      <c r="AB3802">
        <f>IF(U3802=0,"",IF(Y3802=1,MAX(0,Q3802-G3802),IF(L3802=1,MAX(0,R3802-G3802),MAX(0,Assumptions!$C$6-G3802))))</f>
        <v/>
      </c>
      <c r="AC3802">
        <f>IF(Y3802=1,Q3802-F3802,"")</f>
        <v/>
      </c>
      <c r="AD3802">
        <f>IF(Y3802=1,AC3802^2,"")</f>
        <v/>
      </c>
      <c r="AE3802" s="19">
        <f>IF(Z3802=1,(H3802-M3802)*I3802,0)</f>
        <v/>
      </c>
      <c r="AF3802">
        <f>IF(G3802&lt;EDATE(Assumptions!$C$6,-12)+1,"prior_12m","last_12m")</f>
        <v/>
      </c>
      <c r="AG3802" s="21">
        <f>DATE(YEAR(G3802),MONTH(G3802),1)</f>
        <v/>
      </c>
    </row>
    <row r="3803">
      <c r="A3803" t="inlineStr">
        <is>
          <t>SPO-02028-2</t>
        </is>
      </c>
      <c r="B3803" t="inlineStr">
        <is>
          <t>SPO-02028</t>
        </is>
      </c>
      <c r="C3803" t="inlineStr">
        <is>
          <t>SUP-04</t>
        </is>
      </c>
      <c r="D3803" t="inlineStr">
        <is>
          <t>FLEET</t>
        </is>
      </c>
      <c r="E3803" t="inlineStr">
        <is>
          <t>FLEET-06</t>
        </is>
      </c>
      <c r="F3803" s="17" t="n">
        <v>46135</v>
      </c>
      <c r="G3803" s="17" t="n">
        <v>46148</v>
      </c>
      <c r="H3803" s="18" t="n">
        <v>85</v>
      </c>
      <c r="I3803" s="19" t="n">
        <v>32.34</v>
      </c>
      <c r="J3803" s="19" t="n">
        <v>33</v>
      </c>
      <c r="K3803" s="20" t="n">
        <v>0</v>
      </c>
      <c r="L3803" s="20" t="n">
        <v>0</v>
      </c>
      <c r="M3803" s="18" t="n">
        <v>85</v>
      </c>
      <c r="N3803" s="18" t="n">
        <v>0</v>
      </c>
      <c r="O3803" s="18" t="n">
        <v>0</v>
      </c>
      <c r="P3803" s="17" t="n">
        <v>46151</v>
      </c>
      <c r="Q3803" s="17" t="n">
        <v>46151</v>
      </c>
      <c r="R3803" s="17" t="n">
        <v>46151</v>
      </c>
      <c r="S3803" s="19">
        <f>H3803*I3803</f>
        <v/>
      </c>
      <c r="T3803" s="19">
        <f>H3803*J3803</f>
        <v/>
      </c>
      <c r="U3803">
        <f>IF(AND(K3803=0,G3803&lt;=Assumptions!$C$6),1,0)</f>
        <v/>
      </c>
      <c r="V3803">
        <f>IF(U3803=1,IF(M3803&gt;0,IF(P3803&lt;=G3803+Assumptions!$C$7,1,0),0),0)</f>
        <v/>
      </c>
      <c r="W3803">
        <f>IF(AND(U3803=1,M3803&gt;=H3803*(1-Assumptions!$C$8)),1,0)</f>
        <v/>
      </c>
      <c r="X3803">
        <f>IF(AND(U3803=1,N3803&gt;=H3803*(1-Assumptions!$C$8)),1,0)</f>
        <v/>
      </c>
      <c r="Y3803">
        <f>IF(ISNUMBER(Q3803),1,0)</f>
        <v/>
      </c>
      <c r="Z3803">
        <f>IF(AND(K3803=0,L3803=0,Y3803=0),1,0)</f>
        <v/>
      </c>
      <c r="AA3803">
        <f>IF(AND(Z3803=1,G3803&lt;Assumptions!$C$6),1,0)</f>
        <v/>
      </c>
      <c r="AB3803">
        <f>IF(U3803=0,"",IF(Y3803=1,MAX(0,Q3803-G3803),IF(L3803=1,MAX(0,R3803-G3803),MAX(0,Assumptions!$C$6-G3803))))</f>
        <v/>
      </c>
      <c r="AC3803">
        <f>IF(Y3803=1,Q3803-F3803,"")</f>
        <v/>
      </c>
      <c r="AD3803">
        <f>IF(Y3803=1,AC3803^2,"")</f>
        <v/>
      </c>
      <c r="AE3803" s="19">
        <f>IF(Z3803=1,(H3803-M3803)*I3803,0)</f>
        <v/>
      </c>
      <c r="AF3803">
        <f>IF(G3803&lt;EDATE(Assumptions!$C$6,-12)+1,"prior_12m","last_12m")</f>
        <v/>
      </c>
      <c r="AG3803" s="21">
        <f>DATE(YEAR(G3803),MONTH(G3803),1)</f>
        <v/>
      </c>
    </row>
    <row r="3804">
      <c r="A3804" t="inlineStr">
        <is>
          <t>SPO-02028-3</t>
        </is>
      </c>
      <c r="B3804" t="inlineStr">
        <is>
          <t>SPO-02028</t>
        </is>
      </c>
      <c r="C3804" t="inlineStr">
        <is>
          <t>SUP-04</t>
        </is>
      </c>
      <c r="D3804" t="inlineStr">
        <is>
          <t>FLEET</t>
        </is>
      </c>
      <c r="E3804" t="inlineStr">
        <is>
          <t>FLEET-05</t>
        </is>
      </c>
      <c r="F3804" s="17" t="n">
        <v>46135</v>
      </c>
      <c r="G3804" s="17" t="n">
        <v>46148</v>
      </c>
      <c r="H3804" s="18" t="n">
        <v>15</v>
      </c>
      <c r="I3804" s="19" t="n">
        <v>163.68</v>
      </c>
      <c r="J3804" s="19" t="n">
        <v>168</v>
      </c>
      <c r="K3804" s="20" t="n">
        <v>0</v>
      </c>
      <c r="L3804" s="20" t="n">
        <v>0</v>
      </c>
      <c r="M3804" s="18" t="n">
        <v>15</v>
      </c>
      <c r="N3804" s="18" t="n">
        <v>0</v>
      </c>
      <c r="O3804" s="18" t="n">
        <v>0</v>
      </c>
      <c r="P3804" s="17" t="n">
        <v>46152</v>
      </c>
      <c r="Q3804" s="17" t="n">
        <v>46152</v>
      </c>
      <c r="R3804" s="17" t="n">
        <v>46152</v>
      </c>
      <c r="S3804" s="19">
        <f>H3804*I3804</f>
        <v/>
      </c>
      <c r="T3804" s="19">
        <f>H3804*J3804</f>
        <v/>
      </c>
      <c r="U3804">
        <f>IF(AND(K3804=0,G3804&lt;=Assumptions!$C$6),1,0)</f>
        <v/>
      </c>
      <c r="V3804">
        <f>IF(U3804=1,IF(M3804&gt;0,IF(P3804&lt;=G3804+Assumptions!$C$7,1,0),0),0)</f>
        <v/>
      </c>
      <c r="W3804">
        <f>IF(AND(U3804=1,M3804&gt;=H3804*(1-Assumptions!$C$8)),1,0)</f>
        <v/>
      </c>
      <c r="X3804">
        <f>IF(AND(U3804=1,N3804&gt;=H3804*(1-Assumptions!$C$8)),1,0)</f>
        <v/>
      </c>
      <c r="Y3804">
        <f>IF(ISNUMBER(Q3804),1,0)</f>
        <v/>
      </c>
      <c r="Z3804">
        <f>IF(AND(K3804=0,L3804=0,Y3804=0),1,0)</f>
        <v/>
      </c>
      <c r="AA3804">
        <f>IF(AND(Z3804=1,G3804&lt;Assumptions!$C$6),1,0)</f>
        <v/>
      </c>
      <c r="AB3804">
        <f>IF(U3804=0,"",IF(Y3804=1,MAX(0,Q3804-G3804),IF(L3804=1,MAX(0,R3804-G3804),MAX(0,Assumptions!$C$6-G3804))))</f>
        <v/>
      </c>
      <c r="AC3804">
        <f>IF(Y3804=1,Q3804-F3804,"")</f>
        <v/>
      </c>
      <c r="AD3804">
        <f>IF(Y3804=1,AC3804^2,"")</f>
        <v/>
      </c>
      <c r="AE3804" s="19">
        <f>IF(Z3804=1,(H3804-M3804)*I3804,0)</f>
        <v/>
      </c>
      <c r="AF3804">
        <f>IF(G3804&lt;EDATE(Assumptions!$C$6,-12)+1,"prior_12m","last_12m")</f>
        <v/>
      </c>
      <c r="AG3804" s="21">
        <f>DATE(YEAR(G3804),MONTH(G3804),1)</f>
        <v/>
      </c>
    </row>
    <row r="3805">
      <c r="A3805" t="inlineStr">
        <is>
          <t>SPO-02029-1</t>
        </is>
      </c>
      <c r="B3805" t="inlineStr">
        <is>
          <t>SPO-02029</t>
        </is>
      </c>
      <c r="C3805" t="inlineStr">
        <is>
          <t>SUP-08</t>
        </is>
      </c>
      <c r="D3805" t="inlineStr">
        <is>
          <t>PPE</t>
        </is>
      </c>
      <c r="E3805" t="inlineStr">
        <is>
          <t>PPE-07</t>
        </is>
      </c>
      <c r="F3805" s="17" t="n">
        <v>46135</v>
      </c>
      <c r="G3805" s="17" t="n">
        <v>46146</v>
      </c>
      <c r="H3805" s="18" t="n">
        <v>21</v>
      </c>
      <c r="I3805" s="19" t="n">
        <v>31.27</v>
      </c>
      <c r="J3805" s="19" t="n">
        <v>31</v>
      </c>
      <c r="K3805" s="20" t="n">
        <v>0</v>
      </c>
      <c r="L3805" s="20" t="n">
        <v>0</v>
      </c>
      <c r="M3805" s="18" t="n">
        <v>21</v>
      </c>
      <c r="N3805" s="18" t="n">
        <v>21</v>
      </c>
      <c r="O3805" s="18" t="n">
        <v>0</v>
      </c>
      <c r="P3805" s="17" t="n">
        <v>46145</v>
      </c>
      <c r="Q3805" s="17" t="n">
        <v>46145</v>
      </c>
      <c r="R3805" s="17" t="n">
        <v>46145</v>
      </c>
      <c r="S3805" s="19">
        <f>H3805*I3805</f>
        <v/>
      </c>
      <c r="T3805" s="19">
        <f>H3805*J3805</f>
        <v/>
      </c>
      <c r="U3805">
        <f>IF(AND(K3805=0,G3805&lt;=Assumptions!$C$6),1,0)</f>
        <v/>
      </c>
      <c r="V3805">
        <f>IF(U3805=1,IF(M3805&gt;0,IF(P3805&lt;=G3805+Assumptions!$C$7,1,0),0),0)</f>
        <v/>
      </c>
      <c r="W3805">
        <f>IF(AND(U3805=1,M3805&gt;=H3805*(1-Assumptions!$C$8)),1,0)</f>
        <v/>
      </c>
      <c r="X3805">
        <f>IF(AND(U3805=1,N3805&gt;=H3805*(1-Assumptions!$C$8)),1,0)</f>
        <v/>
      </c>
      <c r="Y3805">
        <f>IF(ISNUMBER(Q3805),1,0)</f>
        <v/>
      </c>
      <c r="Z3805">
        <f>IF(AND(K3805=0,L3805=0,Y3805=0),1,0)</f>
        <v/>
      </c>
      <c r="AA3805">
        <f>IF(AND(Z3805=1,G3805&lt;Assumptions!$C$6),1,0)</f>
        <v/>
      </c>
      <c r="AB3805">
        <f>IF(U3805=0,"",IF(Y3805=1,MAX(0,Q3805-G3805),IF(L3805=1,MAX(0,R3805-G3805),MAX(0,Assumptions!$C$6-G3805))))</f>
        <v/>
      </c>
      <c r="AC3805">
        <f>IF(Y3805=1,Q3805-F3805,"")</f>
        <v/>
      </c>
      <c r="AD3805">
        <f>IF(Y3805=1,AC3805^2,"")</f>
        <v/>
      </c>
      <c r="AE3805" s="19">
        <f>IF(Z3805=1,(H3805-M3805)*I3805,0)</f>
        <v/>
      </c>
      <c r="AF3805">
        <f>IF(G3805&lt;EDATE(Assumptions!$C$6,-12)+1,"prior_12m","last_12m")</f>
        <v/>
      </c>
      <c r="AG3805" s="21">
        <f>DATE(YEAR(G3805),MONTH(G3805),1)</f>
        <v/>
      </c>
    </row>
    <row r="3806">
      <c r="A3806" t="inlineStr">
        <is>
          <t>SPO-02030-1</t>
        </is>
      </c>
      <c r="B3806" t="inlineStr">
        <is>
          <t>SPO-02030</t>
        </is>
      </c>
      <c r="C3806" t="inlineStr">
        <is>
          <t>SUP-10</t>
        </is>
      </c>
      <c r="D3806" t="inlineStr">
        <is>
          <t>PPE</t>
        </is>
      </c>
      <c r="E3806" t="inlineStr">
        <is>
          <t>PPE-07</t>
        </is>
      </c>
      <c r="F3806" s="17" t="n">
        <v>46135</v>
      </c>
      <c r="G3806" s="17" t="n">
        <v>46148</v>
      </c>
      <c r="H3806" s="18" t="n">
        <v>32</v>
      </c>
      <c r="I3806" s="19" t="n">
        <v>30.24</v>
      </c>
      <c r="J3806" s="19" t="n">
        <v>31</v>
      </c>
      <c r="K3806" s="20" t="n">
        <v>0</v>
      </c>
      <c r="L3806" s="20" t="n">
        <v>0</v>
      </c>
      <c r="M3806" s="18" t="n">
        <v>32</v>
      </c>
      <c r="N3806" s="18" t="n">
        <v>32</v>
      </c>
      <c r="O3806" s="18" t="n">
        <v>0</v>
      </c>
      <c r="P3806" s="17" t="n">
        <v>46146</v>
      </c>
      <c r="Q3806" s="17" t="n">
        <v>46146</v>
      </c>
      <c r="R3806" s="17" t="n">
        <v>46146</v>
      </c>
      <c r="S3806" s="19">
        <f>H3806*I3806</f>
        <v/>
      </c>
      <c r="T3806" s="19">
        <f>H3806*J3806</f>
        <v/>
      </c>
      <c r="U3806">
        <f>IF(AND(K3806=0,G3806&lt;=Assumptions!$C$6),1,0)</f>
        <v/>
      </c>
      <c r="V3806">
        <f>IF(U3806=1,IF(M3806&gt;0,IF(P3806&lt;=G3806+Assumptions!$C$7,1,0),0),0)</f>
        <v/>
      </c>
      <c r="W3806">
        <f>IF(AND(U3806=1,M3806&gt;=H3806*(1-Assumptions!$C$8)),1,0)</f>
        <v/>
      </c>
      <c r="X3806">
        <f>IF(AND(U3806=1,N3806&gt;=H3806*(1-Assumptions!$C$8)),1,0)</f>
        <v/>
      </c>
      <c r="Y3806">
        <f>IF(ISNUMBER(Q3806),1,0)</f>
        <v/>
      </c>
      <c r="Z3806">
        <f>IF(AND(K3806=0,L3806=0,Y3806=0),1,0)</f>
        <v/>
      </c>
      <c r="AA3806">
        <f>IF(AND(Z3806=1,G3806&lt;Assumptions!$C$6),1,0)</f>
        <v/>
      </c>
      <c r="AB3806">
        <f>IF(U3806=0,"",IF(Y3806=1,MAX(0,Q3806-G3806),IF(L3806=1,MAX(0,R3806-G3806),MAX(0,Assumptions!$C$6-G3806))))</f>
        <v/>
      </c>
      <c r="AC3806">
        <f>IF(Y3806=1,Q3806-F3806,"")</f>
        <v/>
      </c>
      <c r="AD3806">
        <f>IF(Y3806=1,AC3806^2,"")</f>
        <v/>
      </c>
      <c r="AE3806" s="19">
        <f>IF(Z3806=1,(H3806-M3806)*I3806,0)</f>
        <v/>
      </c>
      <c r="AF3806">
        <f>IF(G3806&lt;EDATE(Assumptions!$C$6,-12)+1,"prior_12m","last_12m")</f>
        <v/>
      </c>
      <c r="AG3806" s="21">
        <f>DATE(YEAR(G3806),MONTH(G3806),1)</f>
        <v/>
      </c>
    </row>
    <row r="3807">
      <c r="A3807" t="inlineStr">
        <is>
          <t>SPO-02030-2</t>
        </is>
      </c>
      <c r="B3807" t="inlineStr">
        <is>
          <t>SPO-02030</t>
        </is>
      </c>
      <c r="C3807" t="inlineStr">
        <is>
          <t>SUP-10</t>
        </is>
      </c>
      <c r="D3807" t="inlineStr">
        <is>
          <t>PPE</t>
        </is>
      </c>
      <c r="E3807" t="inlineStr">
        <is>
          <t>PPE-06</t>
        </is>
      </c>
      <c r="F3807" s="17" t="n">
        <v>46135</v>
      </c>
      <c r="G3807" s="17" t="n">
        <v>46148</v>
      </c>
      <c r="H3807" s="18" t="n">
        <v>10</v>
      </c>
      <c r="I3807" s="19" t="n">
        <v>109.32</v>
      </c>
      <c r="J3807" s="19" t="n">
        <v>115</v>
      </c>
      <c r="K3807" s="20" t="n">
        <v>0</v>
      </c>
      <c r="L3807" s="20" t="n">
        <v>0</v>
      </c>
      <c r="M3807" s="18" t="n">
        <v>10</v>
      </c>
      <c r="N3807" s="18" t="n">
        <v>10</v>
      </c>
      <c r="O3807" s="18" t="n">
        <v>0</v>
      </c>
      <c r="P3807" s="17" t="n">
        <v>46145</v>
      </c>
      <c r="Q3807" s="17" t="n">
        <v>46145</v>
      </c>
      <c r="R3807" s="17" t="n">
        <v>46145</v>
      </c>
      <c r="S3807" s="19">
        <f>H3807*I3807</f>
        <v/>
      </c>
      <c r="T3807" s="19">
        <f>H3807*J3807</f>
        <v/>
      </c>
      <c r="U3807">
        <f>IF(AND(K3807=0,G3807&lt;=Assumptions!$C$6),1,0)</f>
        <v/>
      </c>
      <c r="V3807">
        <f>IF(U3807=1,IF(M3807&gt;0,IF(P3807&lt;=G3807+Assumptions!$C$7,1,0),0),0)</f>
        <v/>
      </c>
      <c r="W3807">
        <f>IF(AND(U3807=1,M3807&gt;=H3807*(1-Assumptions!$C$8)),1,0)</f>
        <v/>
      </c>
      <c r="X3807">
        <f>IF(AND(U3807=1,N3807&gt;=H3807*(1-Assumptions!$C$8)),1,0)</f>
        <v/>
      </c>
      <c r="Y3807">
        <f>IF(ISNUMBER(Q3807),1,0)</f>
        <v/>
      </c>
      <c r="Z3807">
        <f>IF(AND(K3807=0,L3807=0,Y3807=0),1,0)</f>
        <v/>
      </c>
      <c r="AA3807">
        <f>IF(AND(Z3807=1,G3807&lt;Assumptions!$C$6),1,0)</f>
        <v/>
      </c>
      <c r="AB3807">
        <f>IF(U3807=0,"",IF(Y3807=1,MAX(0,Q3807-G3807),IF(L3807=1,MAX(0,R3807-G3807),MAX(0,Assumptions!$C$6-G3807))))</f>
        <v/>
      </c>
      <c r="AC3807">
        <f>IF(Y3807=1,Q3807-F3807,"")</f>
        <v/>
      </c>
      <c r="AD3807">
        <f>IF(Y3807=1,AC3807^2,"")</f>
        <v/>
      </c>
      <c r="AE3807" s="19">
        <f>IF(Z3807=1,(H3807-M3807)*I3807,0)</f>
        <v/>
      </c>
      <c r="AF3807">
        <f>IF(G3807&lt;EDATE(Assumptions!$C$6,-12)+1,"prior_12m","last_12m")</f>
        <v/>
      </c>
      <c r="AG3807" s="21">
        <f>DATE(YEAR(G3807),MONTH(G3807),1)</f>
        <v/>
      </c>
    </row>
    <row r="3808">
      <c r="A3808" t="inlineStr">
        <is>
          <t>SPO-02030-3</t>
        </is>
      </c>
      <c r="B3808" t="inlineStr">
        <is>
          <t>SPO-02030</t>
        </is>
      </c>
      <c r="C3808" t="inlineStr">
        <is>
          <t>SUP-10</t>
        </is>
      </c>
      <c r="D3808" t="inlineStr">
        <is>
          <t>PPE</t>
        </is>
      </c>
      <c r="E3808" t="inlineStr">
        <is>
          <t>PPE-02</t>
        </is>
      </c>
      <c r="F3808" s="17" t="n">
        <v>46135</v>
      </c>
      <c r="G3808" s="17" t="n">
        <v>46148</v>
      </c>
      <c r="H3808" s="18" t="n">
        <v>75</v>
      </c>
      <c r="I3808" s="19" t="n">
        <v>11.66</v>
      </c>
      <c r="J3808" s="19" t="n">
        <v>12.5</v>
      </c>
      <c r="K3808" s="20" t="n">
        <v>0</v>
      </c>
      <c r="L3808" s="20" t="n">
        <v>0</v>
      </c>
      <c r="M3808" s="18" t="n">
        <v>75</v>
      </c>
      <c r="N3808" s="18" t="n">
        <v>75</v>
      </c>
      <c r="O3808" s="18" t="n">
        <v>0</v>
      </c>
      <c r="P3808" s="17" t="n">
        <v>46145</v>
      </c>
      <c r="Q3808" s="17" t="n">
        <v>46145</v>
      </c>
      <c r="R3808" s="17" t="n">
        <v>46145</v>
      </c>
      <c r="S3808" s="19">
        <f>H3808*I3808</f>
        <v/>
      </c>
      <c r="T3808" s="19">
        <f>H3808*J3808</f>
        <v/>
      </c>
      <c r="U3808">
        <f>IF(AND(K3808=0,G3808&lt;=Assumptions!$C$6),1,0)</f>
        <v/>
      </c>
      <c r="V3808">
        <f>IF(U3808=1,IF(M3808&gt;0,IF(P3808&lt;=G3808+Assumptions!$C$7,1,0),0),0)</f>
        <v/>
      </c>
      <c r="W3808">
        <f>IF(AND(U3808=1,M3808&gt;=H3808*(1-Assumptions!$C$8)),1,0)</f>
        <v/>
      </c>
      <c r="X3808">
        <f>IF(AND(U3808=1,N3808&gt;=H3808*(1-Assumptions!$C$8)),1,0)</f>
        <v/>
      </c>
      <c r="Y3808">
        <f>IF(ISNUMBER(Q3808),1,0)</f>
        <v/>
      </c>
      <c r="Z3808">
        <f>IF(AND(K3808=0,L3808=0,Y3808=0),1,0)</f>
        <v/>
      </c>
      <c r="AA3808">
        <f>IF(AND(Z3808=1,G3808&lt;Assumptions!$C$6),1,0)</f>
        <v/>
      </c>
      <c r="AB3808">
        <f>IF(U3808=0,"",IF(Y3808=1,MAX(0,Q3808-G3808),IF(L3808=1,MAX(0,R3808-G3808),MAX(0,Assumptions!$C$6-G3808))))</f>
        <v/>
      </c>
      <c r="AC3808">
        <f>IF(Y3808=1,Q3808-F3808,"")</f>
        <v/>
      </c>
      <c r="AD3808">
        <f>IF(Y3808=1,AC3808^2,"")</f>
        <v/>
      </c>
      <c r="AE3808" s="19">
        <f>IF(Z3808=1,(H3808-M3808)*I3808,0)</f>
        <v/>
      </c>
      <c r="AF3808">
        <f>IF(G3808&lt;EDATE(Assumptions!$C$6,-12)+1,"prior_12m","last_12m")</f>
        <v/>
      </c>
      <c r="AG3808" s="21">
        <f>DATE(YEAR(G3808),MONTH(G3808),1)</f>
        <v/>
      </c>
    </row>
    <row r="3809">
      <c r="A3809" t="inlineStr">
        <is>
          <t>SPO-02031-1</t>
        </is>
      </c>
      <c r="B3809" t="inlineStr">
        <is>
          <t>SPO-02031</t>
        </is>
      </c>
      <c r="C3809" t="inlineStr">
        <is>
          <t>SUP-11</t>
        </is>
      </c>
      <c r="D3809" t="inlineStr">
        <is>
          <t>PPE</t>
        </is>
      </c>
      <c r="E3809" t="inlineStr">
        <is>
          <t>PPE-08</t>
        </is>
      </c>
      <c r="F3809" s="17" t="n">
        <v>46136</v>
      </c>
      <c r="G3809" s="17" t="n">
        <v>46148</v>
      </c>
      <c r="H3809" s="18" t="n">
        <v>63</v>
      </c>
      <c r="I3809" s="19" t="n">
        <v>66.92</v>
      </c>
      <c r="J3809" s="19" t="n">
        <v>64</v>
      </c>
      <c r="K3809" s="20" t="n">
        <v>0</v>
      </c>
      <c r="L3809" s="20" t="n">
        <v>0</v>
      </c>
      <c r="M3809" s="18" t="n">
        <v>63</v>
      </c>
      <c r="N3809" s="18" t="n">
        <v>63</v>
      </c>
      <c r="O3809" s="18" t="n">
        <v>0</v>
      </c>
      <c r="P3809" s="17" t="n">
        <v>46146</v>
      </c>
      <c r="Q3809" s="17" t="n">
        <v>46146</v>
      </c>
      <c r="R3809" s="17" t="n">
        <v>46146</v>
      </c>
      <c r="S3809" s="19">
        <f>H3809*I3809</f>
        <v/>
      </c>
      <c r="T3809" s="19">
        <f>H3809*J3809</f>
        <v/>
      </c>
      <c r="U3809">
        <f>IF(AND(K3809=0,G3809&lt;=Assumptions!$C$6),1,0)</f>
        <v/>
      </c>
      <c r="V3809">
        <f>IF(U3809=1,IF(M3809&gt;0,IF(P3809&lt;=G3809+Assumptions!$C$7,1,0),0),0)</f>
        <v/>
      </c>
      <c r="W3809">
        <f>IF(AND(U3809=1,M3809&gt;=H3809*(1-Assumptions!$C$8)),1,0)</f>
        <v/>
      </c>
      <c r="X3809">
        <f>IF(AND(U3809=1,N3809&gt;=H3809*(1-Assumptions!$C$8)),1,0)</f>
        <v/>
      </c>
      <c r="Y3809">
        <f>IF(ISNUMBER(Q3809),1,0)</f>
        <v/>
      </c>
      <c r="Z3809">
        <f>IF(AND(K3809=0,L3809=0,Y3809=0),1,0)</f>
        <v/>
      </c>
      <c r="AA3809">
        <f>IF(AND(Z3809=1,G3809&lt;Assumptions!$C$6),1,0)</f>
        <v/>
      </c>
      <c r="AB3809">
        <f>IF(U3809=0,"",IF(Y3809=1,MAX(0,Q3809-G3809),IF(L3809=1,MAX(0,R3809-G3809),MAX(0,Assumptions!$C$6-G3809))))</f>
        <v/>
      </c>
      <c r="AC3809">
        <f>IF(Y3809=1,Q3809-F3809,"")</f>
        <v/>
      </c>
      <c r="AD3809">
        <f>IF(Y3809=1,AC3809^2,"")</f>
        <v/>
      </c>
      <c r="AE3809" s="19">
        <f>IF(Z3809=1,(H3809-M3809)*I3809,0)</f>
        <v/>
      </c>
      <c r="AF3809">
        <f>IF(G3809&lt;EDATE(Assumptions!$C$6,-12)+1,"prior_12m","last_12m")</f>
        <v/>
      </c>
      <c r="AG3809" s="21">
        <f>DATE(YEAR(G3809),MONTH(G3809),1)</f>
        <v/>
      </c>
    </row>
    <row r="3810">
      <c r="A3810" t="inlineStr">
        <is>
          <t>SPO-02032-1</t>
        </is>
      </c>
      <c r="B3810" t="inlineStr">
        <is>
          <t>SPO-02032</t>
        </is>
      </c>
      <c r="C3810" t="inlineStr">
        <is>
          <t>SUP-14</t>
        </is>
      </c>
      <c r="D3810" t="inlineStr">
        <is>
          <t>FLEET</t>
        </is>
      </c>
      <c r="E3810" t="inlineStr">
        <is>
          <t>FLEET-07</t>
        </is>
      </c>
      <c r="F3810" s="17" t="n">
        <v>46136</v>
      </c>
      <c r="G3810" s="17" t="n">
        <v>46150</v>
      </c>
      <c r="H3810" s="18" t="n">
        <v>11</v>
      </c>
      <c r="I3810" s="19" t="n">
        <v>117.01</v>
      </c>
      <c r="J3810" s="19" t="n">
        <v>118</v>
      </c>
      <c r="K3810" s="20" t="n">
        <v>0</v>
      </c>
      <c r="L3810" s="20" t="n">
        <v>0</v>
      </c>
      <c r="M3810" s="18" t="n">
        <v>11</v>
      </c>
      <c r="N3810" s="18" t="n">
        <v>11</v>
      </c>
      <c r="O3810" s="18" t="n">
        <v>0</v>
      </c>
      <c r="P3810" s="17" t="n">
        <v>46145</v>
      </c>
      <c r="Q3810" s="17" t="n">
        <v>46145</v>
      </c>
      <c r="R3810" s="17" t="n">
        <v>46145</v>
      </c>
      <c r="S3810" s="19">
        <f>H3810*I3810</f>
        <v/>
      </c>
      <c r="T3810" s="19">
        <f>H3810*J3810</f>
        <v/>
      </c>
      <c r="U3810">
        <f>IF(AND(K3810=0,G3810&lt;=Assumptions!$C$6),1,0)</f>
        <v/>
      </c>
      <c r="V3810">
        <f>IF(U3810=1,IF(M3810&gt;0,IF(P3810&lt;=G3810+Assumptions!$C$7,1,0),0),0)</f>
        <v/>
      </c>
      <c r="W3810">
        <f>IF(AND(U3810=1,M3810&gt;=H3810*(1-Assumptions!$C$8)),1,0)</f>
        <v/>
      </c>
      <c r="X3810">
        <f>IF(AND(U3810=1,N3810&gt;=H3810*(1-Assumptions!$C$8)),1,0)</f>
        <v/>
      </c>
      <c r="Y3810">
        <f>IF(ISNUMBER(Q3810),1,0)</f>
        <v/>
      </c>
      <c r="Z3810">
        <f>IF(AND(K3810=0,L3810=0,Y3810=0),1,0)</f>
        <v/>
      </c>
      <c r="AA3810">
        <f>IF(AND(Z3810=1,G3810&lt;Assumptions!$C$6),1,0)</f>
        <v/>
      </c>
      <c r="AB3810">
        <f>IF(U3810=0,"",IF(Y3810=1,MAX(0,Q3810-G3810),IF(L3810=1,MAX(0,R3810-G3810),MAX(0,Assumptions!$C$6-G3810))))</f>
        <v/>
      </c>
      <c r="AC3810">
        <f>IF(Y3810=1,Q3810-F3810,"")</f>
        <v/>
      </c>
      <c r="AD3810">
        <f>IF(Y3810=1,AC3810^2,"")</f>
        <v/>
      </c>
      <c r="AE3810" s="19">
        <f>IF(Z3810=1,(H3810-M3810)*I3810,0)</f>
        <v/>
      </c>
      <c r="AF3810">
        <f>IF(G3810&lt;EDATE(Assumptions!$C$6,-12)+1,"prior_12m","last_12m")</f>
        <v/>
      </c>
      <c r="AG3810" s="21">
        <f>DATE(YEAR(G3810),MONTH(G3810),1)</f>
        <v/>
      </c>
    </row>
    <row r="3811">
      <c r="A3811" t="inlineStr">
        <is>
          <t>SPO-02032-2</t>
        </is>
      </c>
      <c r="B3811" t="inlineStr">
        <is>
          <t>SPO-02032</t>
        </is>
      </c>
      <c r="C3811" t="inlineStr">
        <is>
          <t>SUP-14</t>
        </is>
      </c>
      <c r="D3811" t="inlineStr">
        <is>
          <t>FLEET</t>
        </is>
      </c>
      <c r="E3811" t="inlineStr">
        <is>
          <t>FLEET-01</t>
        </is>
      </c>
      <c r="F3811" s="17" t="n">
        <v>46136</v>
      </c>
      <c r="G3811" s="17" t="n">
        <v>46150</v>
      </c>
      <c r="H3811" s="18" t="n">
        <v>40</v>
      </c>
      <c r="I3811" s="19" t="n">
        <v>66.43000000000001</v>
      </c>
      <c r="J3811" s="19" t="n">
        <v>64</v>
      </c>
      <c r="K3811" s="20" t="n">
        <v>0</v>
      </c>
      <c r="L3811" s="20" t="n">
        <v>0</v>
      </c>
      <c r="M3811" s="18" t="n">
        <v>40</v>
      </c>
      <c r="N3811" s="18" t="n">
        <v>40</v>
      </c>
      <c r="O3811" s="18" t="n">
        <v>0</v>
      </c>
      <c r="P3811" s="17" t="n">
        <v>46147</v>
      </c>
      <c r="Q3811" s="17" t="n">
        <v>46147</v>
      </c>
      <c r="R3811" s="17" t="n">
        <v>46147</v>
      </c>
      <c r="S3811" s="19">
        <f>H3811*I3811</f>
        <v/>
      </c>
      <c r="T3811" s="19">
        <f>H3811*J3811</f>
        <v/>
      </c>
      <c r="U3811">
        <f>IF(AND(K3811=0,G3811&lt;=Assumptions!$C$6),1,0)</f>
        <v/>
      </c>
      <c r="V3811">
        <f>IF(U3811=1,IF(M3811&gt;0,IF(P3811&lt;=G3811+Assumptions!$C$7,1,0),0),0)</f>
        <v/>
      </c>
      <c r="W3811">
        <f>IF(AND(U3811=1,M3811&gt;=H3811*(1-Assumptions!$C$8)),1,0)</f>
        <v/>
      </c>
      <c r="X3811">
        <f>IF(AND(U3811=1,N3811&gt;=H3811*(1-Assumptions!$C$8)),1,0)</f>
        <v/>
      </c>
      <c r="Y3811">
        <f>IF(ISNUMBER(Q3811),1,0)</f>
        <v/>
      </c>
      <c r="Z3811">
        <f>IF(AND(K3811=0,L3811=0,Y3811=0),1,0)</f>
        <v/>
      </c>
      <c r="AA3811">
        <f>IF(AND(Z3811=1,G3811&lt;Assumptions!$C$6),1,0)</f>
        <v/>
      </c>
      <c r="AB3811">
        <f>IF(U3811=0,"",IF(Y3811=1,MAX(0,Q3811-G3811),IF(L3811=1,MAX(0,R3811-G3811),MAX(0,Assumptions!$C$6-G3811))))</f>
        <v/>
      </c>
      <c r="AC3811">
        <f>IF(Y3811=1,Q3811-F3811,"")</f>
        <v/>
      </c>
      <c r="AD3811">
        <f>IF(Y3811=1,AC3811^2,"")</f>
        <v/>
      </c>
      <c r="AE3811" s="19">
        <f>IF(Z3811=1,(H3811-M3811)*I3811,0)</f>
        <v/>
      </c>
      <c r="AF3811">
        <f>IF(G3811&lt;EDATE(Assumptions!$C$6,-12)+1,"prior_12m","last_12m")</f>
        <v/>
      </c>
      <c r="AG3811" s="21">
        <f>DATE(YEAR(G3811),MONTH(G3811),1)</f>
        <v/>
      </c>
    </row>
    <row r="3812">
      <c r="A3812" t="inlineStr">
        <is>
          <t>SPO-02032-3</t>
        </is>
      </c>
      <c r="B3812" t="inlineStr">
        <is>
          <t>SPO-02032</t>
        </is>
      </c>
      <c r="C3812" t="inlineStr">
        <is>
          <t>SUP-14</t>
        </is>
      </c>
      <c r="D3812" t="inlineStr">
        <is>
          <t>FLEET</t>
        </is>
      </c>
      <c r="E3812" t="inlineStr">
        <is>
          <t>FLEET-04</t>
        </is>
      </c>
      <c r="F3812" s="17" t="n">
        <v>46136</v>
      </c>
      <c r="G3812" s="17" t="n">
        <v>46150</v>
      </c>
      <c r="H3812" s="18" t="n">
        <v>104</v>
      </c>
      <c r="I3812" s="19" t="n">
        <v>9.15</v>
      </c>
      <c r="J3812" s="19" t="n">
        <v>9</v>
      </c>
      <c r="K3812" s="20" t="n">
        <v>0</v>
      </c>
      <c r="L3812" s="20" t="n">
        <v>0</v>
      </c>
      <c r="M3812" s="18" t="n">
        <v>104</v>
      </c>
      <c r="N3812" s="18" t="n">
        <v>104</v>
      </c>
      <c r="O3812" s="18" t="n">
        <v>0</v>
      </c>
      <c r="P3812" s="17" t="n">
        <v>46148</v>
      </c>
      <c r="Q3812" s="17" t="n">
        <v>46148</v>
      </c>
      <c r="R3812" s="17" t="n">
        <v>46148</v>
      </c>
      <c r="S3812" s="19">
        <f>H3812*I3812</f>
        <v/>
      </c>
      <c r="T3812" s="19">
        <f>H3812*J3812</f>
        <v/>
      </c>
      <c r="U3812">
        <f>IF(AND(K3812=0,G3812&lt;=Assumptions!$C$6),1,0)</f>
        <v/>
      </c>
      <c r="V3812">
        <f>IF(U3812=1,IF(M3812&gt;0,IF(P3812&lt;=G3812+Assumptions!$C$7,1,0),0),0)</f>
        <v/>
      </c>
      <c r="W3812">
        <f>IF(AND(U3812=1,M3812&gt;=H3812*(1-Assumptions!$C$8)),1,0)</f>
        <v/>
      </c>
      <c r="X3812">
        <f>IF(AND(U3812=1,N3812&gt;=H3812*(1-Assumptions!$C$8)),1,0)</f>
        <v/>
      </c>
      <c r="Y3812">
        <f>IF(ISNUMBER(Q3812),1,0)</f>
        <v/>
      </c>
      <c r="Z3812">
        <f>IF(AND(K3812=0,L3812=0,Y3812=0),1,0)</f>
        <v/>
      </c>
      <c r="AA3812">
        <f>IF(AND(Z3812=1,G3812&lt;Assumptions!$C$6),1,0)</f>
        <v/>
      </c>
      <c r="AB3812">
        <f>IF(U3812=0,"",IF(Y3812=1,MAX(0,Q3812-G3812),IF(L3812=1,MAX(0,R3812-G3812),MAX(0,Assumptions!$C$6-G3812))))</f>
        <v/>
      </c>
      <c r="AC3812">
        <f>IF(Y3812=1,Q3812-F3812,"")</f>
        <v/>
      </c>
      <c r="AD3812">
        <f>IF(Y3812=1,AC3812^2,"")</f>
        <v/>
      </c>
      <c r="AE3812" s="19">
        <f>IF(Z3812=1,(H3812-M3812)*I3812,0)</f>
        <v/>
      </c>
      <c r="AF3812">
        <f>IF(G3812&lt;EDATE(Assumptions!$C$6,-12)+1,"prior_12m","last_12m")</f>
        <v/>
      </c>
      <c r="AG3812" s="21">
        <f>DATE(YEAR(G3812),MONTH(G3812),1)</f>
        <v/>
      </c>
    </row>
    <row r="3813">
      <c r="A3813" t="inlineStr">
        <is>
          <t>SPO-02032-4</t>
        </is>
      </c>
      <c r="B3813" t="inlineStr">
        <is>
          <t>SPO-02032</t>
        </is>
      </c>
      <c r="C3813" t="inlineStr">
        <is>
          <t>SUP-14</t>
        </is>
      </c>
      <c r="D3813" t="inlineStr">
        <is>
          <t>FLEET</t>
        </is>
      </c>
      <c r="E3813" t="inlineStr">
        <is>
          <t>FLEET-06</t>
        </is>
      </c>
      <c r="F3813" s="17" t="n">
        <v>46136</v>
      </c>
      <c r="G3813" s="17" t="n">
        <v>46150</v>
      </c>
      <c r="H3813" s="18" t="n">
        <v>72</v>
      </c>
      <c r="I3813" s="19" t="n">
        <v>32.76</v>
      </c>
      <c r="J3813" s="19" t="n">
        <v>33</v>
      </c>
      <c r="K3813" s="20" t="n">
        <v>0</v>
      </c>
      <c r="L3813" s="20" t="n">
        <v>0</v>
      </c>
      <c r="M3813" s="18" t="n">
        <v>72</v>
      </c>
      <c r="N3813" s="18" t="n">
        <v>72</v>
      </c>
      <c r="O3813" s="18" t="n">
        <v>0</v>
      </c>
      <c r="P3813" s="17" t="n">
        <v>46147</v>
      </c>
      <c r="Q3813" s="17" t="n">
        <v>46147</v>
      </c>
      <c r="R3813" s="17" t="n">
        <v>46147</v>
      </c>
      <c r="S3813" s="19">
        <f>H3813*I3813</f>
        <v/>
      </c>
      <c r="T3813" s="19">
        <f>H3813*J3813</f>
        <v/>
      </c>
      <c r="U3813">
        <f>IF(AND(K3813=0,G3813&lt;=Assumptions!$C$6),1,0)</f>
        <v/>
      </c>
      <c r="V3813">
        <f>IF(U3813=1,IF(M3813&gt;0,IF(P3813&lt;=G3813+Assumptions!$C$7,1,0),0),0)</f>
        <v/>
      </c>
      <c r="W3813">
        <f>IF(AND(U3813=1,M3813&gt;=H3813*(1-Assumptions!$C$8)),1,0)</f>
        <v/>
      </c>
      <c r="X3813">
        <f>IF(AND(U3813=1,N3813&gt;=H3813*(1-Assumptions!$C$8)),1,0)</f>
        <v/>
      </c>
      <c r="Y3813">
        <f>IF(ISNUMBER(Q3813),1,0)</f>
        <v/>
      </c>
      <c r="Z3813">
        <f>IF(AND(K3813=0,L3813=0,Y3813=0),1,0)</f>
        <v/>
      </c>
      <c r="AA3813">
        <f>IF(AND(Z3813=1,G3813&lt;Assumptions!$C$6),1,0)</f>
        <v/>
      </c>
      <c r="AB3813">
        <f>IF(U3813=0,"",IF(Y3813=1,MAX(0,Q3813-G3813),IF(L3813=1,MAX(0,R3813-G3813),MAX(0,Assumptions!$C$6-G3813))))</f>
        <v/>
      </c>
      <c r="AC3813">
        <f>IF(Y3813=1,Q3813-F3813,"")</f>
        <v/>
      </c>
      <c r="AD3813">
        <f>IF(Y3813=1,AC3813^2,"")</f>
        <v/>
      </c>
      <c r="AE3813" s="19">
        <f>IF(Z3813=1,(H3813-M3813)*I3813,0)</f>
        <v/>
      </c>
      <c r="AF3813">
        <f>IF(G3813&lt;EDATE(Assumptions!$C$6,-12)+1,"prior_12m","last_12m")</f>
        <v/>
      </c>
      <c r="AG3813" s="21">
        <f>DATE(YEAR(G3813),MONTH(G3813),1)</f>
        <v/>
      </c>
    </row>
    <row r="3814">
      <c r="A3814" t="inlineStr">
        <is>
          <t>SPO-02033-1</t>
        </is>
      </c>
      <c r="B3814" t="inlineStr">
        <is>
          <t>SPO-02033</t>
        </is>
      </c>
      <c r="C3814" t="inlineStr">
        <is>
          <t>SUP-07</t>
        </is>
      </c>
      <c r="D3814" t="inlineStr">
        <is>
          <t>MRO</t>
        </is>
      </c>
      <c r="E3814" t="inlineStr">
        <is>
          <t>MRO-07</t>
        </is>
      </c>
      <c r="F3814" s="17" t="n">
        <v>46136</v>
      </c>
      <c r="G3814" s="17" t="n">
        <v>46146</v>
      </c>
      <c r="H3814" s="18" t="n">
        <v>233</v>
      </c>
      <c r="I3814" s="19" t="n">
        <v>14.2</v>
      </c>
      <c r="J3814" s="19" t="n">
        <v>14</v>
      </c>
      <c r="K3814" s="20" t="n">
        <v>0</v>
      </c>
      <c r="L3814" s="20" t="n">
        <v>0</v>
      </c>
      <c r="M3814" s="18" t="n">
        <v>233</v>
      </c>
      <c r="N3814" s="18" t="n">
        <v>233</v>
      </c>
      <c r="O3814" s="18" t="n">
        <v>0</v>
      </c>
      <c r="P3814" s="17" t="n">
        <v>46145</v>
      </c>
      <c r="Q3814" s="17" t="n">
        <v>46145</v>
      </c>
      <c r="R3814" s="17" t="n">
        <v>46145</v>
      </c>
      <c r="S3814" s="19">
        <f>H3814*I3814</f>
        <v/>
      </c>
      <c r="T3814" s="19">
        <f>H3814*J3814</f>
        <v/>
      </c>
      <c r="U3814">
        <f>IF(AND(K3814=0,G3814&lt;=Assumptions!$C$6),1,0)</f>
        <v/>
      </c>
      <c r="V3814">
        <f>IF(U3814=1,IF(M3814&gt;0,IF(P3814&lt;=G3814+Assumptions!$C$7,1,0),0),0)</f>
        <v/>
      </c>
      <c r="W3814">
        <f>IF(AND(U3814=1,M3814&gt;=H3814*(1-Assumptions!$C$8)),1,0)</f>
        <v/>
      </c>
      <c r="X3814">
        <f>IF(AND(U3814=1,N3814&gt;=H3814*(1-Assumptions!$C$8)),1,0)</f>
        <v/>
      </c>
      <c r="Y3814">
        <f>IF(ISNUMBER(Q3814),1,0)</f>
        <v/>
      </c>
      <c r="Z3814">
        <f>IF(AND(K3814=0,L3814=0,Y3814=0),1,0)</f>
        <v/>
      </c>
      <c r="AA3814">
        <f>IF(AND(Z3814=1,G3814&lt;Assumptions!$C$6),1,0)</f>
        <v/>
      </c>
      <c r="AB3814">
        <f>IF(U3814=0,"",IF(Y3814=1,MAX(0,Q3814-G3814),IF(L3814=1,MAX(0,R3814-G3814),MAX(0,Assumptions!$C$6-G3814))))</f>
        <v/>
      </c>
      <c r="AC3814">
        <f>IF(Y3814=1,Q3814-F3814,"")</f>
        <v/>
      </c>
      <c r="AD3814">
        <f>IF(Y3814=1,AC3814^2,"")</f>
        <v/>
      </c>
      <c r="AE3814" s="19">
        <f>IF(Z3814=1,(H3814-M3814)*I3814,0)</f>
        <v/>
      </c>
      <c r="AF3814">
        <f>IF(G3814&lt;EDATE(Assumptions!$C$6,-12)+1,"prior_12m","last_12m")</f>
        <v/>
      </c>
      <c r="AG3814" s="21">
        <f>DATE(YEAR(G3814),MONTH(G3814),1)</f>
        <v/>
      </c>
    </row>
    <row r="3815">
      <c r="A3815" t="inlineStr">
        <is>
          <t>SPO-02033-2</t>
        </is>
      </c>
      <c r="B3815" t="inlineStr">
        <is>
          <t>SPO-02033</t>
        </is>
      </c>
      <c r="C3815" t="inlineStr">
        <is>
          <t>SUP-07</t>
        </is>
      </c>
      <c r="D3815" t="inlineStr">
        <is>
          <t>MRO</t>
        </is>
      </c>
      <c r="E3815" t="inlineStr">
        <is>
          <t>MRO-05</t>
        </is>
      </c>
      <c r="F3815" s="17" t="n">
        <v>46136</v>
      </c>
      <c r="G3815" s="17" t="n">
        <v>46146</v>
      </c>
      <c r="H3815" s="18" t="n">
        <v>64</v>
      </c>
      <c r="I3815" s="19" t="n">
        <v>36.7</v>
      </c>
      <c r="J3815" s="19" t="n">
        <v>36</v>
      </c>
      <c r="K3815" s="20" t="n">
        <v>0</v>
      </c>
      <c r="L3815" s="20" t="n">
        <v>0</v>
      </c>
      <c r="M3815" s="18" t="n">
        <v>64</v>
      </c>
      <c r="N3815" s="18" t="n">
        <v>64</v>
      </c>
      <c r="O3815" s="18" t="n">
        <v>0</v>
      </c>
      <c r="P3815" s="17" t="n">
        <v>46144</v>
      </c>
      <c r="Q3815" s="17" t="n">
        <v>46144</v>
      </c>
      <c r="R3815" s="17" t="n">
        <v>46144</v>
      </c>
      <c r="S3815" s="19">
        <f>H3815*I3815</f>
        <v/>
      </c>
      <c r="T3815" s="19">
        <f>H3815*J3815</f>
        <v/>
      </c>
      <c r="U3815">
        <f>IF(AND(K3815=0,G3815&lt;=Assumptions!$C$6),1,0)</f>
        <v/>
      </c>
      <c r="V3815">
        <f>IF(U3815=1,IF(M3815&gt;0,IF(P3815&lt;=G3815+Assumptions!$C$7,1,0),0),0)</f>
        <v/>
      </c>
      <c r="W3815">
        <f>IF(AND(U3815=1,M3815&gt;=H3815*(1-Assumptions!$C$8)),1,0)</f>
        <v/>
      </c>
      <c r="X3815">
        <f>IF(AND(U3815=1,N3815&gt;=H3815*(1-Assumptions!$C$8)),1,0)</f>
        <v/>
      </c>
      <c r="Y3815">
        <f>IF(ISNUMBER(Q3815),1,0)</f>
        <v/>
      </c>
      <c r="Z3815">
        <f>IF(AND(K3815=0,L3815=0,Y3815=0),1,0)</f>
        <v/>
      </c>
      <c r="AA3815">
        <f>IF(AND(Z3815=1,G3815&lt;Assumptions!$C$6),1,0)</f>
        <v/>
      </c>
      <c r="AB3815">
        <f>IF(U3815=0,"",IF(Y3815=1,MAX(0,Q3815-G3815),IF(L3815=1,MAX(0,R3815-G3815),MAX(0,Assumptions!$C$6-G3815))))</f>
        <v/>
      </c>
      <c r="AC3815">
        <f>IF(Y3815=1,Q3815-F3815,"")</f>
        <v/>
      </c>
      <c r="AD3815">
        <f>IF(Y3815=1,AC3815^2,"")</f>
        <v/>
      </c>
      <c r="AE3815" s="19">
        <f>IF(Z3815=1,(H3815-M3815)*I3815,0)</f>
        <v/>
      </c>
      <c r="AF3815">
        <f>IF(G3815&lt;EDATE(Assumptions!$C$6,-12)+1,"prior_12m","last_12m")</f>
        <v/>
      </c>
      <c r="AG3815" s="21">
        <f>DATE(YEAR(G3815),MONTH(G3815),1)</f>
        <v/>
      </c>
    </row>
    <row r="3816">
      <c r="A3816" t="inlineStr">
        <is>
          <t>SPO-02033-3</t>
        </is>
      </c>
      <c r="B3816" t="inlineStr">
        <is>
          <t>SPO-02033</t>
        </is>
      </c>
      <c r="C3816" t="inlineStr">
        <is>
          <t>SUP-07</t>
        </is>
      </c>
      <c r="D3816" t="inlineStr">
        <is>
          <t>MRO</t>
        </is>
      </c>
      <c r="E3816" t="inlineStr">
        <is>
          <t>MRO-04</t>
        </is>
      </c>
      <c r="F3816" s="17" t="n">
        <v>46136</v>
      </c>
      <c r="G3816" s="17" t="n">
        <v>46146</v>
      </c>
      <c r="H3816" s="18" t="n">
        <v>31</v>
      </c>
      <c r="I3816" s="19" t="n">
        <v>58.08</v>
      </c>
      <c r="J3816" s="19" t="n">
        <v>58</v>
      </c>
      <c r="K3816" s="20" t="n">
        <v>0</v>
      </c>
      <c r="L3816" s="20" t="n">
        <v>0</v>
      </c>
      <c r="M3816" s="18" t="n">
        <v>31</v>
      </c>
      <c r="N3816" s="18" t="n">
        <v>31</v>
      </c>
      <c r="O3816" s="18" t="n">
        <v>0</v>
      </c>
      <c r="P3816" s="17" t="n">
        <v>46141</v>
      </c>
      <c r="Q3816" s="17" t="n">
        <v>46141</v>
      </c>
      <c r="R3816" s="17" t="n">
        <v>46141</v>
      </c>
      <c r="S3816" s="19">
        <f>H3816*I3816</f>
        <v/>
      </c>
      <c r="T3816" s="19">
        <f>H3816*J3816</f>
        <v/>
      </c>
      <c r="U3816">
        <f>IF(AND(K3816=0,G3816&lt;=Assumptions!$C$6),1,0)</f>
        <v/>
      </c>
      <c r="V3816">
        <f>IF(U3816=1,IF(M3816&gt;0,IF(P3816&lt;=G3816+Assumptions!$C$7,1,0),0),0)</f>
        <v/>
      </c>
      <c r="W3816">
        <f>IF(AND(U3816=1,M3816&gt;=H3816*(1-Assumptions!$C$8)),1,0)</f>
        <v/>
      </c>
      <c r="X3816">
        <f>IF(AND(U3816=1,N3816&gt;=H3816*(1-Assumptions!$C$8)),1,0)</f>
        <v/>
      </c>
      <c r="Y3816">
        <f>IF(ISNUMBER(Q3816),1,0)</f>
        <v/>
      </c>
      <c r="Z3816">
        <f>IF(AND(K3816=0,L3816=0,Y3816=0),1,0)</f>
        <v/>
      </c>
      <c r="AA3816">
        <f>IF(AND(Z3816=1,G3816&lt;Assumptions!$C$6),1,0)</f>
        <v/>
      </c>
      <c r="AB3816">
        <f>IF(U3816=0,"",IF(Y3816=1,MAX(0,Q3816-G3816),IF(L3816=1,MAX(0,R3816-G3816),MAX(0,Assumptions!$C$6-G3816))))</f>
        <v/>
      </c>
      <c r="AC3816">
        <f>IF(Y3816=1,Q3816-F3816,"")</f>
        <v/>
      </c>
      <c r="AD3816">
        <f>IF(Y3816=1,AC3816^2,"")</f>
        <v/>
      </c>
      <c r="AE3816" s="19">
        <f>IF(Z3816=1,(H3816-M3816)*I3816,0)</f>
        <v/>
      </c>
      <c r="AF3816">
        <f>IF(G3816&lt;EDATE(Assumptions!$C$6,-12)+1,"prior_12m","last_12m")</f>
        <v/>
      </c>
      <c r="AG3816" s="21">
        <f>DATE(YEAR(G3816),MONTH(G3816),1)</f>
        <v/>
      </c>
    </row>
    <row r="3817">
      <c r="A3817" t="inlineStr">
        <is>
          <t>SPO-02034-1</t>
        </is>
      </c>
      <c r="B3817" t="inlineStr">
        <is>
          <t>SPO-02034</t>
        </is>
      </c>
      <c r="C3817" t="inlineStr">
        <is>
          <t>SUP-12</t>
        </is>
      </c>
      <c r="D3817" t="inlineStr">
        <is>
          <t>IT</t>
        </is>
      </c>
      <c r="E3817" t="inlineStr">
        <is>
          <t>IT-02</t>
        </is>
      </c>
      <c r="F3817" s="17" t="n">
        <v>46136</v>
      </c>
      <c r="G3817" s="17" t="n">
        <v>46146</v>
      </c>
      <c r="H3817" s="18" t="n">
        <v>6</v>
      </c>
      <c r="I3817" s="19" t="n">
        <v>185.99</v>
      </c>
      <c r="J3817" s="19" t="n">
        <v>162</v>
      </c>
      <c r="K3817" s="20" t="n">
        <v>0</v>
      </c>
      <c r="L3817" s="20" t="n">
        <v>0</v>
      </c>
      <c r="M3817" s="18" t="n">
        <v>6</v>
      </c>
      <c r="N3817" s="18" t="n">
        <v>6</v>
      </c>
      <c r="O3817" s="18" t="n">
        <v>0</v>
      </c>
      <c r="P3817" s="17" t="n">
        <v>46143</v>
      </c>
      <c r="Q3817" s="17" t="n">
        <v>46143</v>
      </c>
      <c r="R3817" s="17" t="n">
        <v>46143</v>
      </c>
      <c r="S3817" s="19">
        <f>H3817*I3817</f>
        <v/>
      </c>
      <c r="T3817" s="19">
        <f>H3817*J3817</f>
        <v/>
      </c>
      <c r="U3817">
        <f>IF(AND(K3817=0,G3817&lt;=Assumptions!$C$6),1,0)</f>
        <v/>
      </c>
      <c r="V3817">
        <f>IF(U3817=1,IF(M3817&gt;0,IF(P3817&lt;=G3817+Assumptions!$C$7,1,0),0),0)</f>
        <v/>
      </c>
      <c r="W3817">
        <f>IF(AND(U3817=1,M3817&gt;=H3817*(1-Assumptions!$C$8)),1,0)</f>
        <v/>
      </c>
      <c r="X3817">
        <f>IF(AND(U3817=1,N3817&gt;=H3817*(1-Assumptions!$C$8)),1,0)</f>
        <v/>
      </c>
      <c r="Y3817">
        <f>IF(ISNUMBER(Q3817),1,0)</f>
        <v/>
      </c>
      <c r="Z3817">
        <f>IF(AND(K3817=0,L3817=0,Y3817=0),1,0)</f>
        <v/>
      </c>
      <c r="AA3817">
        <f>IF(AND(Z3817=1,G3817&lt;Assumptions!$C$6),1,0)</f>
        <v/>
      </c>
      <c r="AB3817">
        <f>IF(U3817=0,"",IF(Y3817=1,MAX(0,Q3817-G3817),IF(L3817=1,MAX(0,R3817-G3817),MAX(0,Assumptions!$C$6-G3817))))</f>
        <v/>
      </c>
      <c r="AC3817">
        <f>IF(Y3817=1,Q3817-F3817,"")</f>
        <v/>
      </c>
      <c r="AD3817">
        <f>IF(Y3817=1,AC3817^2,"")</f>
        <v/>
      </c>
      <c r="AE3817" s="19">
        <f>IF(Z3817=1,(H3817-M3817)*I3817,0)</f>
        <v/>
      </c>
      <c r="AF3817">
        <f>IF(G3817&lt;EDATE(Assumptions!$C$6,-12)+1,"prior_12m","last_12m")</f>
        <v/>
      </c>
      <c r="AG3817" s="21">
        <f>DATE(YEAR(G3817),MONTH(G3817),1)</f>
        <v/>
      </c>
    </row>
    <row r="3818">
      <c r="A3818" t="inlineStr">
        <is>
          <t>SPO-02034-2</t>
        </is>
      </c>
      <c r="B3818" t="inlineStr">
        <is>
          <t>SPO-02034</t>
        </is>
      </c>
      <c r="C3818" t="inlineStr">
        <is>
          <t>SUP-12</t>
        </is>
      </c>
      <c r="D3818" t="inlineStr">
        <is>
          <t>IT</t>
        </is>
      </c>
      <c r="E3818" t="inlineStr">
        <is>
          <t>IT-01</t>
        </is>
      </c>
      <c r="F3818" s="17" t="n">
        <v>46136</v>
      </c>
      <c r="G3818" s="17" t="n">
        <v>46146</v>
      </c>
      <c r="H3818" s="18" t="n">
        <v>6</v>
      </c>
      <c r="I3818" s="19" t="n">
        <v>202.74</v>
      </c>
      <c r="J3818" s="19" t="n">
        <v>189</v>
      </c>
      <c r="K3818" s="20" t="n">
        <v>0</v>
      </c>
      <c r="L3818" s="20" t="n">
        <v>0</v>
      </c>
      <c r="M3818" s="18" t="n">
        <v>6</v>
      </c>
      <c r="N3818" s="18" t="n">
        <v>6</v>
      </c>
      <c r="O3818" s="18" t="n">
        <v>0</v>
      </c>
      <c r="P3818" s="17" t="n">
        <v>46141</v>
      </c>
      <c r="Q3818" s="17" t="n">
        <v>46141</v>
      </c>
      <c r="R3818" s="17" t="n">
        <v>46141</v>
      </c>
      <c r="S3818" s="19">
        <f>H3818*I3818</f>
        <v/>
      </c>
      <c r="T3818" s="19">
        <f>H3818*J3818</f>
        <v/>
      </c>
      <c r="U3818">
        <f>IF(AND(K3818=0,G3818&lt;=Assumptions!$C$6),1,0)</f>
        <v/>
      </c>
      <c r="V3818">
        <f>IF(U3818=1,IF(M3818&gt;0,IF(P3818&lt;=G3818+Assumptions!$C$7,1,0),0),0)</f>
        <v/>
      </c>
      <c r="W3818">
        <f>IF(AND(U3818=1,M3818&gt;=H3818*(1-Assumptions!$C$8)),1,0)</f>
        <v/>
      </c>
      <c r="X3818">
        <f>IF(AND(U3818=1,N3818&gt;=H3818*(1-Assumptions!$C$8)),1,0)</f>
        <v/>
      </c>
      <c r="Y3818">
        <f>IF(ISNUMBER(Q3818),1,0)</f>
        <v/>
      </c>
      <c r="Z3818">
        <f>IF(AND(K3818=0,L3818=0,Y3818=0),1,0)</f>
        <v/>
      </c>
      <c r="AA3818">
        <f>IF(AND(Z3818=1,G3818&lt;Assumptions!$C$6),1,0)</f>
        <v/>
      </c>
      <c r="AB3818">
        <f>IF(U3818=0,"",IF(Y3818=1,MAX(0,Q3818-G3818),IF(L3818=1,MAX(0,R3818-G3818),MAX(0,Assumptions!$C$6-G3818))))</f>
        <v/>
      </c>
      <c r="AC3818">
        <f>IF(Y3818=1,Q3818-F3818,"")</f>
        <v/>
      </c>
      <c r="AD3818">
        <f>IF(Y3818=1,AC3818^2,"")</f>
        <v/>
      </c>
      <c r="AE3818" s="19">
        <f>IF(Z3818=1,(H3818-M3818)*I3818,0)</f>
        <v/>
      </c>
      <c r="AF3818">
        <f>IF(G3818&lt;EDATE(Assumptions!$C$6,-12)+1,"prior_12m","last_12m")</f>
        <v/>
      </c>
      <c r="AG3818" s="21">
        <f>DATE(YEAR(G3818),MONTH(G3818),1)</f>
        <v/>
      </c>
    </row>
    <row r="3819">
      <c r="A3819" t="inlineStr">
        <is>
          <t>SPO-02034-3</t>
        </is>
      </c>
      <c r="B3819" t="inlineStr">
        <is>
          <t>SPO-02034</t>
        </is>
      </c>
      <c r="C3819" t="inlineStr">
        <is>
          <t>SUP-12</t>
        </is>
      </c>
      <c r="D3819" t="inlineStr">
        <is>
          <t>IT</t>
        </is>
      </c>
      <c r="E3819" t="inlineStr">
        <is>
          <t>IT-04</t>
        </is>
      </c>
      <c r="F3819" s="17" t="n">
        <v>46136</v>
      </c>
      <c r="G3819" s="17" t="n">
        <v>46146</v>
      </c>
      <c r="H3819" s="18" t="n">
        <v>206</v>
      </c>
      <c r="I3819" s="19" t="n">
        <v>13.99</v>
      </c>
      <c r="J3819" s="19" t="n">
        <v>12</v>
      </c>
      <c r="K3819" s="20" t="n">
        <v>0</v>
      </c>
      <c r="L3819" s="20" t="n">
        <v>0</v>
      </c>
      <c r="M3819" s="18" t="n">
        <v>206</v>
      </c>
      <c r="N3819" s="18" t="n">
        <v>206</v>
      </c>
      <c r="O3819" s="18" t="n">
        <v>0</v>
      </c>
      <c r="P3819" s="17" t="n">
        <v>46143</v>
      </c>
      <c r="Q3819" s="17" t="n">
        <v>46143</v>
      </c>
      <c r="R3819" s="17" t="n">
        <v>46143</v>
      </c>
      <c r="S3819" s="19">
        <f>H3819*I3819</f>
        <v/>
      </c>
      <c r="T3819" s="19">
        <f>H3819*J3819</f>
        <v/>
      </c>
      <c r="U3819">
        <f>IF(AND(K3819=0,G3819&lt;=Assumptions!$C$6),1,0)</f>
        <v/>
      </c>
      <c r="V3819">
        <f>IF(U3819=1,IF(M3819&gt;0,IF(P3819&lt;=G3819+Assumptions!$C$7,1,0),0),0)</f>
        <v/>
      </c>
      <c r="W3819">
        <f>IF(AND(U3819=1,M3819&gt;=H3819*(1-Assumptions!$C$8)),1,0)</f>
        <v/>
      </c>
      <c r="X3819">
        <f>IF(AND(U3819=1,N3819&gt;=H3819*(1-Assumptions!$C$8)),1,0)</f>
        <v/>
      </c>
      <c r="Y3819">
        <f>IF(ISNUMBER(Q3819),1,0)</f>
        <v/>
      </c>
      <c r="Z3819">
        <f>IF(AND(K3819=0,L3819=0,Y3819=0),1,0)</f>
        <v/>
      </c>
      <c r="AA3819">
        <f>IF(AND(Z3819=1,G3819&lt;Assumptions!$C$6),1,0)</f>
        <v/>
      </c>
      <c r="AB3819">
        <f>IF(U3819=0,"",IF(Y3819=1,MAX(0,Q3819-G3819),IF(L3819=1,MAX(0,R3819-G3819),MAX(0,Assumptions!$C$6-G3819))))</f>
        <v/>
      </c>
      <c r="AC3819">
        <f>IF(Y3819=1,Q3819-F3819,"")</f>
        <v/>
      </c>
      <c r="AD3819">
        <f>IF(Y3819=1,AC3819^2,"")</f>
        <v/>
      </c>
      <c r="AE3819" s="19">
        <f>IF(Z3819=1,(H3819-M3819)*I3819,0)</f>
        <v/>
      </c>
      <c r="AF3819">
        <f>IF(G3819&lt;EDATE(Assumptions!$C$6,-12)+1,"prior_12m","last_12m")</f>
        <v/>
      </c>
      <c r="AG3819" s="21">
        <f>DATE(YEAR(G3819),MONTH(G3819),1)</f>
        <v/>
      </c>
    </row>
    <row r="3820">
      <c r="A3820" t="inlineStr">
        <is>
          <t>SPO-02034-4</t>
        </is>
      </c>
      <c r="B3820" t="inlineStr">
        <is>
          <t>SPO-02034</t>
        </is>
      </c>
      <c r="C3820" t="inlineStr">
        <is>
          <t>SUP-12</t>
        </is>
      </c>
      <c r="D3820" t="inlineStr">
        <is>
          <t>IT</t>
        </is>
      </c>
      <c r="E3820" t="inlineStr">
        <is>
          <t>IT-03</t>
        </is>
      </c>
      <c r="F3820" s="17" t="n">
        <v>46136</v>
      </c>
      <c r="G3820" s="17" t="n">
        <v>46146</v>
      </c>
      <c r="H3820" s="18" t="n">
        <v>66</v>
      </c>
      <c r="I3820" s="19" t="n">
        <v>41.34</v>
      </c>
      <c r="J3820" s="19" t="n">
        <v>38</v>
      </c>
      <c r="K3820" s="20" t="n">
        <v>0</v>
      </c>
      <c r="L3820" s="20" t="n">
        <v>0</v>
      </c>
      <c r="M3820" s="18" t="n">
        <v>66</v>
      </c>
      <c r="N3820" s="18" t="n">
        <v>66</v>
      </c>
      <c r="O3820" s="18" t="n">
        <v>11</v>
      </c>
      <c r="P3820" s="17" t="n">
        <v>46143</v>
      </c>
      <c r="Q3820" s="17" t="n">
        <v>46143</v>
      </c>
      <c r="R3820" s="17" t="n">
        <v>46143</v>
      </c>
      <c r="S3820" s="19">
        <f>H3820*I3820</f>
        <v/>
      </c>
      <c r="T3820" s="19">
        <f>H3820*J3820</f>
        <v/>
      </c>
      <c r="U3820">
        <f>IF(AND(K3820=0,G3820&lt;=Assumptions!$C$6),1,0)</f>
        <v/>
      </c>
      <c r="V3820">
        <f>IF(U3820=1,IF(M3820&gt;0,IF(P3820&lt;=G3820+Assumptions!$C$7,1,0),0),0)</f>
        <v/>
      </c>
      <c r="W3820">
        <f>IF(AND(U3820=1,M3820&gt;=H3820*(1-Assumptions!$C$8)),1,0)</f>
        <v/>
      </c>
      <c r="X3820">
        <f>IF(AND(U3820=1,N3820&gt;=H3820*(1-Assumptions!$C$8)),1,0)</f>
        <v/>
      </c>
      <c r="Y3820">
        <f>IF(ISNUMBER(Q3820),1,0)</f>
        <v/>
      </c>
      <c r="Z3820">
        <f>IF(AND(K3820=0,L3820=0,Y3820=0),1,0)</f>
        <v/>
      </c>
      <c r="AA3820">
        <f>IF(AND(Z3820=1,G3820&lt;Assumptions!$C$6),1,0)</f>
        <v/>
      </c>
      <c r="AB3820">
        <f>IF(U3820=0,"",IF(Y3820=1,MAX(0,Q3820-G3820),IF(L3820=1,MAX(0,R3820-G3820),MAX(0,Assumptions!$C$6-G3820))))</f>
        <v/>
      </c>
      <c r="AC3820">
        <f>IF(Y3820=1,Q3820-F3820,"")</f>
        <v/>
      </c>
      <c r="AD3820">
        <f>IF(Y3820=1,AC3820^2,"")</f>
        <v/>
      </c>
      <c r="AE3820" s="19">
        <f>IF(Z3820=1,(H3820-M3820)*I3820,0)</f>
        <v/>
      </c>
      <c r="AF3820">
        <f>IF(G3820&lt;EDATE(Assumptions!$C$6,-12)+1,"prior_12m","last_12m")</f>
        <v/>
      </c>
      <c r="AG3820" s="21">
        <f>DATE(YEAR(G3820),MONTH(G3820),1)</f>
        <v/>
      </c>
    </row>
    <row r="3821">
      <c r="A3821" t="inlineStr">
        <is>
          <t>SPO-02035-1</t>
        </is>
      </c>
      <c r="B3821" t="inlineStr">
        <is>
          <t>SPO-02035</t>
        </is>
      </c>
      <c r="C3821" t="inlineStr">
        <is>
          <t>SUP-08</t>
        </is>
      </c>
      <c r="D3821" t="inlineStr">
        <is>
          <t>MRO</t>
        </is>
      </c>
      <c r="E3821" t="inlineStr">
        <is>
          <t>MRO-04</t>
        </is>
      </c>
      <c r="F3821" s="17" t="n">
        <v>46136</v>
      </c>
      <c r="G3821" s="17" t="n">
        <v>46147</v>
      </c>
      <c r="H3821" s="18" t="n">
        <v>32</v>
      </c>
      <c r="I3821" s="19" t="n">
        <v>57.58</v>
      </c>
      <c r="J3821" s="19" t="n">
        <v>58</v>
      </c>
      <c r="K3821" s="20" t="n">
        <v>0</v>
      </c>
      <c r="L3821" s="20" t="n">
        <v>0</v>
      </c>
      <c r="M3821" s="18" t="n">
        <v>32</v>
      </c>
      <c r="N3821" s="18" t="n">
        <v>32</v>
      </c>
      <c r="O3821" s="18" t="n">
        <v>0</v>
      </c>
      <c r="P3821" s="17" t="n">
        <v>46144</v>
      </c>
      <c r="Q3821" s="17" t="n">
        <v>46144</v>
      </c>
      <c r="R3821" s="17" t="n">
        <v>46144</v>
      </c>
      <c r="S3821" s="19">
        <f>H3821*I3821</f>
        <v/>
      </c>
      <c r="T3821" s="19">
        <f>H3821*J3821</f>
        <v/>
      </c>
      <c r="U3821">
        <f>IF(AND(K3821=0,G3821&lt;=Assumptions!$C$6),1,0)</f>
        <v/>
      </c>
      <c r="V3821">
        <f>IF(U3821=1,IF(M3821&gt;0,IF(P3821&lt;=G3821+Assumptions!$C$7,1,0),0),0)</f>
        <v/>
      </c>
      <c r="W3821">
        <f>IF(AND(U3821=1,M3821&gt;=H3821*(1-Assumptions!$C$8)),1,0)</f>
        <v/>
      </c>
      <c r="X3821">
        <f>IF(AND(U3821=1,N3821&gt;=H3821*(1-Assumptions!$C$8)),1,0)</f>
        <v/>
      </c>
      <c r="Y3821">
        <f>IF(ISNUMBER(Q3821),1,0)</f>
        <v/>
      </c>
      <c r="Z3821">
        <f>IF(AND(K3821=0,L3821=0,Y3821=0),1,0)</f>
        <v/>
      </c>
      <c r="AA3821">
        <f>IF(AND(Z3821=1,G3821&lt;Assumptions!$C$6),1,0)</f>
        <v/>
      </c>
      <c r="AB3821">
        <f>IF(U3821=0,"",IF(Y3821=1,MAX(0,Q3821-G3821),IF(L3821=1,MAX(0,R3821-G3821),MAX(0,Assumptions!$C$6-G3821))))</f>
        <v/>
      </c>
      <c r="AC3821">
        <f>IF(Y3821=1,Q3821-F3821,"")</f>
        <v/>
      </c>
      <c r="AD3821">
        <f>IF(Y3821=1,AC3821^2,"")</f>
        <v/>
      </c>
      <c r="AE3821" s="19">
        <f>IF(Z3821=1,(H3821-M3821)*I3821,0)</f>
        <v/>
      </c>
      <c r="AF3821">
        <f>IF(G3821&lt;EDATE(Assumptions!$C$6,-12)+1,"prior_12m","last_12m")</f>
        <v/>
      </c>
      <c r="AG3821" s="21">
        <f>DATE(YEAR(G3821),MONTH(G3821),1)</f>
        <v/>
      </c>
    </row>
    <row r="3822">
      <c r="A3822" t="inlineStr">
        <is>
          <t>SPO-02036-1</t>
        </is>
      </c>
      <c r="B3822" t="inlineStr">
        <is>
          <t>SPO-02036</t>
        </is>
      </c>
      <c r="C3822" t="inlineStr">
        <is>
          <t>SUP-12</t>
        </is>
      </c>
      <c r="D3822" t="inlineStr">
        <is>
          <t>IT</t>
        </is>
      </c>
      <c r="E3822" t="inlineStr">
        <is>
          <t>IT-01</t>
        </is>
      </c>
      <c r="F3822" s="17" t="n">
        <v>46136</v>
      </c>
      <c r="G3822" s="17" t="n">
        <v>46146</v>
      </c>
      <c r="H3822" s="18" t="n">
        <v>4</v>
      </c>
      <c r="I3822" s="19" t="n">
        <v>223.67</v>
      </c>
      <c r="J3822" s="19" t="n">
        <v>189</v>
      </c>
      <c r="K3822" s="20" t="n">
        <v>0</v>
      </c>
      <c r="L3822" s="20" t="n">
        <v>0</v>
      </c>
      <c r="M3822" s="18" t="n">
        <v>4</v>
      </c>
      <c r="N3822" s="18" t="n">
        <v>4</v>
      </c>
      <c r="O3822" s="18" t="n">
        <v>0</v>
      </c>
      <c r="P3822" s="17" t="n">
        <v>46145</v>
      </c>
      <c r="Q3822" s="17" t="n">
        <v>46145</v>
      </c>
      <c r="R3822" s="17" t="n">
        <v>46145</v>
      </c>
      <c r="S3822" s="19">
        <f>H3822*I3822</f>
        <v/>
      </c>
      <c r="T3822" s="19">
        <f>H3822*J3822</f>
        <v/>
      </c>
      <c r="U3822">
        <f>IF(AND(K3822=0,G3822&lt;=Assumptions!$C$6),1,0)</f>
        <v/>
      </c>
      <c r="V3822">
        <f>IF(U3822=1,IF(M3822&gt;0,IF(P3822&lt;=G3822+Assumptions!$C$7,1,0),0),0)</f>
        <v/>
      </c>
      <c r="W3822">
        <f>IF(AND(U3822=1,M3822&gt;=H3822*(1-Assumptions!$C$8)),1,0)</f>
        <v/>
      </c>
      <c r="X3822">
        <f>IF(AND(U3822=1,N3822&gt;=H3822*(1-Assumptions!$C$8)),1,0)</f>
        <v/>
      </c>
      <c r="Y3822">
        <f>IF(ISNUMBER(Q3822),1,0)</f>
        <v/>
      </c>
      <c r="Z3822">
        <f>IF(AND(K3822=0,L3822=0,Y3822=0),1,0)</f>
        <v/>
      </c>
      <c r="AA3822">
        <f>IF(AND(Z3822=1,G3822&lt;Assumptions!$C$6),1,0)</f>
        <v/>
      </c>
      <c r="AB3822">
        <f>IF(U3822=0,"",IF(Y3822=1,MAX(0,Q3822-G3822),IF(L3822=1,MAX(0,R3822-G3822),MAX(0,Assumptions!$C$6-G3822))))</f>
        <v/>
      </c>
      <c r="AC3822">
        <f>IF(Y3822=1,Q3822-F3822,"")</f>
        <v/>
      </c>
      <c r="AD3822">
        <f>IF(Y3822=1,AC3822^2,"")</f>
        <v/>
      </c>
      <c r="AE3822" s="19">
        <f>IF(Z3822=1,(H3822-M3822)*I3822,0)</f>
        <v/>
      </c>
      <c r="AF3822">
        <f>IF(G3822&lt;EDATE(Assumptions!$C$6,-12)+1,"prior_12m","last_12m")</f>
        <v/>
      </c>
      <c r="AG3822" s="21">
        <f>DATE(YEAR(G3822),MONTH(G3822),1)</f>
        <v/>
      </c>
    </row>
    <row r="3823">
      <c r="A3823" t="inlineStr">
        <is>
          <t>SPO-02036-2</t>
        </is>
      </c>
      <c r="B3823" t="inlineStr">
        <is>
          <t>SPO-02036</t>
        </is>
      </c>
      <c r="C3823" t="inlineStr">
        <is>
          <t>SUP-12</t>
        </is>
      </c>
      <c r="D3823" t="inlineStr">
        <is>
          <t>IT</t>
        </is>
      </c>
      <c r="E3823" t="inlineStr">
        <is>
          <t>IT-04</t>
        </is>
      </c>
      <c r="F3823" s="17" t="n">
        <v>46136</v>
      </c>
      <c r="G3823" s="17" t="n">
        <v>46146</v>
      </c>
      <c r="H3823" s="18" t="n">
        <v>153</v>
      </c>
      <c r="I3823" s="19" t="n">
        <v>13.71</v>
      </c>
      <c r="J3823" s="19" t="n">
        <v>12</v>
      </c>
      <c r="K3823" s="20" t="n">
        <v>0</v>
      </c>
      <c r="L3823" s="20" t="n">
        <v>0</v>
      </c>
      <c r="M3823" s="18" t="n">
        <v>153</v>
      </c>
      <c r="N3823" s="18" t="n">
        <v>153</v>
      </c>
      <c r="O3823" s="18" t="n">
        <v>0</v>
      </c>
      <c r="P3823" s="17" t="n">
        <v>46144</v>
      </c>
      <c r="Q3823" s="17" t="n">
        <v>46144</v>
      </c>
      <c r="R3823" s="17" t="n">
        <v>46144</v>
      </c>
      <c r="S3823" s="19">
        <f>H3823*I3823</f>
        <v/>
      </c>
      <c r="T3823" s="19">
        <f>H3823*J3823</f>
        <v/>
      </c>
      <c r="U3823">
        <f>IF(AND(K3823=0,G3823&lt;=Assumptions!$C$6),1,0)</f>
        <v/>
      </c>
      <c r="V3823">
        <f>IF(U3823=1,IF(M3823&gt;0,IF(P3823&lt;=G3823+Assumptions!$C$7,1,0),0),0)</f>
        <v/>
      </c>
      <c r="W3823">
        <f>IF(AND(U3823=1,M3823&gt;=H3823*(1-Assumptions!$C$8)),1,0)</f>
        <v/>
      </c>
      <c r="X3823">
        <f>IF(AND(U3823=1,N3823&gt;=H3823*(1-Assumptions!$C$8)),1,0)</f>
        <v/>
      </c>
      <c r="Y3823">
        <f>IF(ISNUMBER(Q3823),1,0)</f>
        <v/>
      </c>
      <c r="Z3823">
        <f>IF(AND(K3823=0,L3823=0,Y3823=0),1,0)</f>
        <v/>
      </c>
      <c r="AA3823">
        <f>IF(AND(Z3823=1,G3823&lt;Assumptions!$C$6),1,0)</f>
        <v/>
      </c>
      <c r="AB3823">
        <f>IF(U3823=0,"",IF(Y3823=1,MAX(0,Q3823-G3823),IF(L3823=1,MAX(0,R3823-G3823),MAX(0,Assumptions!$C$6-G3823))))</f>
        <v/>
      </c>
      <c r="AC3823">
        <f>IF(Y3823=1,Q3823-F3823,"")</f>
        <v/>
      </c>
      <c r="AD3823">
        <f>IF(Y3823=1,AC3823^2,"")</f>
        <v/>
      </c>
      <c r="AE3823" s="19">
        <f>IF(Z3823=1,(H3823-M3823)*I3823,0)</f>
        <v/>
      </c>
      <c r="AF3823">
        <f>IF(G3823&lt;EDATE(Assumptions!$C$6,-12)+1,"prior_12m","last_12m")</f>
        <v/>
      </c>
      <c r="AG3823" s="21">
        <f>DATE(YEAR(G3823),MONTH(G3823),1)</f>
        <v/>
      </c>
    </row>
    <row r="3824">
      <c r="A3824" t="inlineStr">
        <is>
          <t>SPO-02036-3</t>
        </is>
      </c>
      <c r="B3824" t="inlineStr">
        <is>
          <t>SPO-02036</t>
        </is>
      </c>
      <c r="C3824" t="inlineStr">
        <is>
          <t>SUP-12</t>
        </is>
      </c>
      <c r="D3824" t="inlineStr">
        <is>
          <t>IT</t>
        </is>
      </c>
      <c r="E3824" t="inlineStr">
        <is>
          <t>IT-05</t>
        </is>
      </c>
      <c r="F3824" s="17" t="n">
        <v>46136</v>
      </c>
      <c r="G3824" s="17" t="n">
        <v>46146</v>
      </c>
      <c r="H3824" s="18" t="n">
        <v>6</v>
      </c>
      <c r="I3824" s="19" t="n">
        <v>675.33</v>
      </c>
      <c r="J3824" s="19" t="n">
        <v>640</v>
      </c>
      <c r="K3824" s="20" t="n">
        <v>0</v>
      </c>
      <c r="L3824" s="20" t="n">
        <v>0</v>
      </c>
      <c r="M3824" s="18" t="n">
        <v>6</v>
      </c>
      <c r="N3824" s="18" t="n">
        <v>6</v>
      </c>
      <c r="O3824" s="18" t="n">
        <v>1</v>
      </c>
      <c r="P3824" s="17" t="n">
        <v>46139</v>
      </c>
      <c r="Q3824" s="17" t="n">
        <v>46139</v>
      </c>
      <c r="R3824" s="17" t="n">
        <v>46139</v>
      </c>
      <c r="S3824" s="19">
        <f>H3824*I3824</f>
        <v/>
      </c>
      <c r="T3824" s="19">
        <f>H3824*J3824</f>
        <v/>
      </c>
      <c r="U3824">
        <f>IF(AND(K3824=0,G3824&lt;=Assumptions!$C$6),1,0)</f>
        <v/>
      </c>
      <c r="V3824">
        <f>IF(U3824=1,IF(M3824&gt;0,IF(P3824&lt;=G3824+Assumptions!$C$7,1,0),0),0)</f>
        <v/>
      </c>
      <c r="W3824">
        <f>IF(AND(U3824=1,M3824&gt;=H3824*(1-Assumptions!$C$8)),1,0)</f>
        <v/>
      </c>
      <c r="X3824">
        <f>IF(AND(U3824=1,N3824&gt;=H3824*(1-Assumptions!$C$8)),1,0)</f>
        <v/>
      </c>
      <c r="Y3824">
        <f>IF(ISNUMBER(Q3824),1,0)</f>
        <v/>
      </c>
      <c r="Z3824">
        <f>IF(AND(K3824=0,L3824=0,Y3824=0),1,0)</f>
        <v/>
      </c>
      <c r="AA3824">
        <f>IF(AND(Z3824=1,G3824&lt;Assumptions!$C$6),1,0)</f>
        <v/>
      </c>
      <c r="AB3824">
        <f>IF(U3824=0,"",IF(Y3824=1,MAX(0,Q3824-G3824),IF(L3824=1,MAX(0,R3824-G3824),MAX(0,Assumptions!$C$6-G3824))))</f>
        <v/>
      </c>
      <c r="AC3824">
        <f>IF(Y3824=1,Q3824-F3824,"")</f>
        <v/>
      </c>
      <c r="AD3824">
        <f>IF(Y3824=1,AC3824^2,"")</f>
        <v/>
      </c>
      <c r="AE3824" s="19">
        <f>IF(Z3824=1,(H3824-M3824)*I3824,0)</f>
        <v/>
      </c>
      <c r="AF3824">
        <f>IF(G3824&lt;EDATE(Assumptions!$C$6,-12)+1,"prior_12m","last_12m")</f>
        <v/>
      </c>
      <c r="AG3824" s="21">
        <f>DATE(YEAR(G3824),MONTH(G3824),1)</f>
        <v/>
      </c>
    </row>
    <row r="3825">
      <c r="A3825" t="inlineStr">
        <is>
          <t>SPO-02036-4</t>
        </is>
      </c>
      <c r="B3825" t="inlineStr">
        <is>
          <t>SPO-02036</t>
        </is>
      </c>
      <c r="C3825" t="inlineStr">
        <is>
          <t>SUP-12</t>
        </is>
      </c>
      <c r="D3825" t="inlineStr">
        <is>
          <t>IT</t>
        </is>
      </c>
      <c r="E3825" t="inlineStr">
        <is>
          <t>IT-08</t>
        </is>
      </c>
      <c r="F3825" s="17" t="n">
        <v>46136</v>
      </c>
      <c r="G3825" s="17" t="n">
        <v>46146</v>
      </c>
      <c r="H3825" s="18" t="n">
        <v>6</v>
      </c>
      <c r="I3825" s="19" t="n">
        <v>263.68</v>
      </c>
      <c r="J3825" s="19" t="n">
        <v>245</v>
      </c>
      <c r="K3825" s="20" t="n">
        <v>0</v>
      </c>
      <c r="L3825" s="20" t="n">
        <v>0</v>
      </c>
      <c r="M3825" s="18" t="n">
        <v>6</v>
      </c>
      <c r="N3825" s="18" t="n">
        <v>3</v>
      </c>
      <c r="O3825" s="18" t="n">
        <v>0</v>
      </c>
      <c r="P3825" s="17" t="n">
        <v>46143</v>
      </c>
      <c r="Q3825" s="17" t="n">
        <v>46161</v>
      </c>
      <c r="R3825" s="17" t="n">
        <v>46161</v>
      </c>
      <c r="S3825" s="19">
        <f>H3825*I3825</f>
        <v/>
      </c>
      <c r="T3825" s="19">
        <f>H3825*J3825</f>
        <v/>
      </c>
      <c r="U3825">
        <f>IF(AND(K3825=0,G3825&lt;=Assumptions!$C$6),1,0)</f>
        <v/>
      </c>
      <c r="V3825">
        <f>IF(U3825=1,IF(M3825&gt;0,IF(P3825&lt;=G3825+Assumptions!$C$7,1,0),0),0)</f>
        <v/>
      </c>
      <c r="W3825">
        <f>IF(AND(U3825=1,M3825&gt;=H3825*(1-Assumptions!$C$8)),1,0)</f>
        <v/>
      </c>
      <c r="X3825">
        <f>IF(AND(U3825=1,N3825&gt;=H3825*(1-Assumptions!$C$8)),1,0)</f>
        <v/>
      </c>
      <c r="Y3825">
        <f>IF(ISNUMBER(Q3825),1,0)</f>
        <v/>
      </c>
      <c r="Z3825">
        <f>IF(AND(K3825=0,L3825=0,Y3825=0),1,0)</f>
        <v/>
      </c>
      <c r="AA3825">
        <f>IF(AND(Z3825=1,G3825&lt;Assumptions!$C$6),1,0)</f>
        <v/>
      </c>
      <c r="AB3825">
        <f>IF(U3825=0,"",IF(Y3825=1,MAX(0,Q3825-G3825),IF(L3825=1,MAX(0,R3825-G3825),MAX(0,Assumptions!$C$6-G3825))))</f>
        <v/>
      </c>
      <c r="AC3825">
        <f>IF(Y3825=1,Q3825-F3825,"")</f>
        <v/>
      </c>
      <c r="AD3825">
        <f>IF(Y3825=1,AC3825^2,"")</f>
        <v/>
      </c>
      <c r="AE3825" s="19">
        <f>IF(Z3825=1,(H3825-M3825)*I3825,0)</f>
        <v/>
      </c>
      <c r="AF3825">
        <f>IF(G3825&lt;EDATE(Assumptions!$C$6,-12)+1,"prior_12m","last_12m")</f>
        <v/>
      </c>
      <c r="AG3825" s="21">
        <f>DATE(YEAR(G3825),MONTH(G3825),1)</f>
        <v/>
      </c>
    </row>
    <row r="3826">
      <c r="A3826" t="inlineStr">
        <is>
          <t>SPO-02037-1</t>
        </is>
      </c>
      <c r="B3826" t="inlineStr">
        <is>
          <t>SPO-02037</t>
        </is>
      </c>
      <c r="C3826" t="inlineStr">
        <is>
          <t>SUP-01</t>
        </is>
      </c>
      <c r="D3826" t="inlineStr">
        <is>
          <t>ELEC</t>
        </is>
      </c>
      <c r="E3826" t="inlineStr">
        <is>
          <t>ELEC-01</t>
        </is>
      </c>
      <c r="F3826" s="17" t="n">
        <v>46137</v>
      </c>
      <c r="G3826" s="17" t="n">
        <v>46155</v>
      </c>
      <c r="H3826" s="18" t="n">
        <v>61</v>
      </c>
      <c r="I3826" s="19" t="n">
        <v>38.7</v>
      </c>
      <c r="J3826" s="19" t="n">
        <v>38</v>
      </c>
      <c r="K3826" s="20" t="n">
        <v>0</v>
      </c>
      <c r="L3826" s="20" t="n">
        <v>0</v>
      </c>
      <c r="M3826" s="18" t="n">
        <v>61</v>
      </c>
      <c r="N3826" s="18" t="n">
        <v>61</v>
      </c>
      <c r="O3826" s="18" t="n">
        <v>0</v>
      </c>
      <c r="P3826" s="17" t="n">
        <v>46145</v>
      </c>
      <c r="Q3826" s="17" t="n">
        <v>46145</v>
      </c>
      <c r="R3826" s="17" t="n">
        <v>46145</v>
      </c>
      <c r="S3826" s="19">
        <f>H3826*I3826</f>
        <v/>
      </c>
      <c r="T3826" s="19">
        <f>H3826*J3826</f>
        <v/>
      </c>
      <c r="U3826">
        <f>IF(AND(K3826=0,G3826&lt;=Assumptions!$C$6),1,0)</f>
        <v/>
      </c>
      <c r="V3826">
        <f>IF(U3826=1,IF(M3826&gt;0,IF(P3826&lt;=G3826+Assumptions!$C$7,1,0),0),0)</f>
        <v/>
      </c>
      <c r="W3826">
        <f>IF(AND(U3826=1,M3826&gt;=H3826*(1-Assumptions!$C$8)),1,0)</f>
        <v/>
      </c>
      <c r="X3826">
        <f>IF(AND(U3826=1,N3826&gt;=H3826*(1-Assumptions!$C$8)),1,0)</f>
        <v/>
      </c>
      <c r="Y3826">
        <f>IF(ISNUMBER(Q3826),1,0)</f>
        <v/>
      </c>
      <c r="Z3826">
        <f>IF(AND(K3826=0,L3826=0,Y3826=0),1,0)</f>
        <v/>
      </c>
      <c r="AA3826">
        <f>IF(AND(Z3826=1,G3826&lt;Assumptions!$C$6),1,0)</f>
        <v/>
      </c>
      <c r="AB3826">
        <f>IF(U3826=0,"",IF(Y3826=1,MAX(0,Q3826-G3826),IF(L3826=1,MAX(0,R3826-G3826),MAX(0,Assumptions!$C$6-G3826))))</f>
        <v/>
      </c>
      <c r="AC3826">
        <f>IF(Y3826=1,Q3826-F3826,"")</f>
        <v/>
      </c>
      <c r="AD3826">
        <f>IF(Y3826=1,AC3826^2,"")</f>
        <v/>
      </c>
      <c r="AE3826" s="19">
        <f>IF(Z3826=1,(H3826-M3826)*I3826,0)</f>
        <v/>
      </c>
      <c r="AF3826">
        <f>IF(G3826&lt;EDATE(Assumptions!$C$6,-12)+1,"prior_12m","last_12m")</f>
        <v/>
      </c>
      <c r="AG3826" s="21">
        <f>DATE(YEAR(G3826),MONTH(G3826),1)</f>
        <v/>
      </c>
    </row>
    <row r="3827">
      <c r="A3827" t="inlineStr">
        <is>
          <t>SPO-02038-1</t>
        </is>
      </c>
      <c r="B3827" t="inlineStr">
        <is>
          <t>SPO-02038</t>
        </is>
      </c>
      <c r="C3827" t="inlineStr">
        <is>
          <t>SUP-04</t>
        </is>
      </c>
      <c r="D3827" t="inlineStr">
        <is>
          <t>FLEET</t>
        </is>
      </c>
      <c r="E3827" t="inlineStr">
        <is>
          <t>FLEET-04</t>
        </is>
      </c>
      <c r="F3827" s="17" t="n">
        <v>46137</v>
      </c>
      <c r="G3827" s="17" t="n">
        <v>46150</v>
      </c>
      <c r="H3827" s="18" t="n">
        <v>248</v>
      </c>
      <c r="I3827" s="19" t="n">
        <v>8.56</v>
      </c>
      <c r="J3827" s="19" t="n">
        <v>9</v>
      </c>
      <c r="K3827" s="20" t="n">
        <v>0</v>
      </c>
      <c r="L3827" s="20" t="n">
        <v>0</v>
      </c>
      <c r="M3827" s="18" t="n">
        <v>248</v>
      </c>
      <c r="N3827" s="18" t="n">
        <v>248</v>
      </c>
      <c r="O3827" s="18" t="n">
        <v>0</v>
      </c>
      <c r="P3827" s="17" t="n">
        <v>46147</v>
      </c>
      <c r="Q3827" s="17" t="n">
        <v>46147</v>
      </c>
      <c r="R3827" s="17" t="n">
        <v>46147</v>
      </c>
      <c r="S3827" s="19">
        <f>H3827*I3827</f>
        <v/>
      </c>
      <c r="T3827" s="19">
        <f>H3827*J3827</f>
        <v/>
      </c>
      <c r="U3827">
        <f>IF(AND(K3827=0,G3827&lt;=Assumptions!$C$6),1,0)</f>
        <v/>
      </c>
      <c r="V3827">
        <f>IF(U3827=1,IF(M3827&gt;0,IF(P3827&lt;=G3827+Assumptions!$C$7,1,0),0),0)</f>
        <v/>
      </c>
      <c r="W3827">
        <f>IF(AND(U3827=1,M3827&gt;=H3827*(1-Assumptions!$C$8)),1,0)</f>
        <v/>
      </c>
      <c r="X3827">
        <f>IF(AND(U3827=1,N3827&gt;=H3827*(1-Assumptions!$C$8)),1,0)</f>
        <v/>
      </c>
      <c r="Y3827">
        <f>IF(ISNUMBER(Q3827),1,0)</f>
        <v/>
      </c>
      <c r="Z3827">
        <f>IF(AND(K3827=0,L3827=0,Y3827=0),1,0)</f>
        <v/>
      </c>
      <c r="AA3827">
        <f>IF(AND(Z3827=1,G3827&lt;Assumptions!$C$6),1,0)</f>
        <v/>
      </c>
      <c r="AB3827">
        <f>IF(U3827=0,"",IF(Y3827=1,MAX(0,Q3827-G3827),IF(L3827=1,MAX(0,R3827-G3827),MAX(0,Assumptions!$C$6-G3827))))</f>
        <v/>
      </c>
      <c r="AC3827">
        <f>IF(Y3827=1,Q3827-F3827,"")</f>
        <v/>
      </c>
      <c r="AD3827">
        <f>IF(Y3827=1,AC3827^2,"")</f>
        <v/>
      </c>
      <c r="AE3827" s="19">
        <f>IF(Z3827=1,(H3827-M3827)*I3827,0)</f>
        <v/>
      </c>
      <c r="AF3827">
        <f>IF(G3827&lt;EDATE(Assumptions!$C$6,-12)+1,"prior_12m","last_12m")</f>
        <v/>
      </c>
      <c r="AG3827" s="21">
        <f>DATE(YEAR(G3827),MONTH(G3827),1)</f>
        <v/>
      </c>
    </row>
    <row r="3828">
      <c r="A3828" t="inlineStr">
        <is>
          <t>SPO-02038-2</t>
        </is>
      </c>
      <c r="B3828" t="inlineStr">
        <is>
          <t>SPO-02038</t>
        </is>
      </c>
      <c r="C3828" t="inlineStr">
        <is>
          <t>SUP-04</t>
        </is>
      </c>
      <c r="D3828" t="inlineStr">
        <is>
          <t>FLEET</t>
        </is>
      </c>
      <c r="E3828" t="inlineStr">
        <is>
          <t>FLEET-03</t>
        </is>
      </c>
      <c r="F3828" s="17" t="n">
        <v>46137</v>
      </c>
      <c r="G3828" s="17" t="n">
        <v>46150</v>
      </c>
      <c r="H3828" s="18" t="n">
        <v>49</v>
      </c>
      <c r="I3828" s="19" t="n">
        <v>20.49</v>
      </c>
      <c r="J3828" s="19" t="n">
        <v>21</v>
      </c>
      <c r="K3828" s="20" t="n">
        <v>0</v>
      </c>
      <c r="L3828" s="20" t="n">
        <v>0</v>
      </c>
      <c r="M3828" s="18" t="n">
        <v>49</v>
      </c>
      <c r="N3828" s="18" t="n">
        <v>0</v>
      </c>
      <c r="O3828" s="18" t="n">
        <v>0</v>
      </c>
      <c r="P3828" s="17" t="n">
        <v>46162</v>
      </c>
      <c r="Q3828" s="17" t="n">
        <v>46162</v>
      </c>
      <c r="R3828" s="17" t="n">
        <v>46162</v>
      </c>
      <c r="S3828" s="19">
        <f>H3828*I3828</f>
        <v/>
      </c>
      <c r="T3828" s="19">
        <f>H3828*J3828</f>
        <v/>
      </c>
      <c r="U3828">
        <f>IF(AND(K3828=0,G3828&lt;=Assumptions!$C$6),1,0)</f>
        <v/>
      </c>
      <c r="V3828">
        <f>IF(U3828=1,IF(M3828&gt;0,IF(P3828&lt;=G3828+Assumptions!$C$7,1,0),0),0)</f>
        <v/>
      </c>
      <c r="W3828">
        <f>IF(AND(U3828=1,M3828&gt;=H3828*(1-Assumptions!$C$8)),1,0)</f>
        <v/>
      </c>
      <c r="X3828">
        <f>IF(AND(U3828=1,N3828&gt;=H3828*(1-Assumptions!$C$8)),1,0)</f>
        <v/>
      </c>
      <c r="Y3828">
        <f>IF(ISNUMBER(Q3828),1,0)</f>
        <v/>
      </c>
      <c r="Z3828">
        <f>IF(AND(K3828=0,L3828=0,Y3828=0),1,0)</f>
        <v/>
      </c>
      <c r="AA3828">
        <f>IF(AND(Z3828=1,G3828&lt;Assumptions!$C$6),1,0)</f>
        <v/>
      </c>
      <c r="AB3828">
        <f>IF(U3828=0,"",IF(Y3828=1,MAX(0,Q3828-G3828),IF(L3828=1,MAX(0,R3828-G3828),MAX(0,Assumptions!$C$6-G3828))))</f>
        <v/>
      </c>
      <c r="AC3828">
        <f>IF(Y3828=1,Q3828-F3828,"")</f>
        <v/>
      </c>
      <c r="AD3828">
        <f>IF(Y3828=1,AC3828^2,"")</f>
        <v/>
      </c>
      <c r="AE3828" s="19">
        <f>IF(Z3828=1,(H3828-M3828)*I3828,0)</f>
        <v/>
      </c>
      <c r="AF3828">
        <f>IF(G3828&lt;EDATE(Assumptions!$C$6,-12)+1,"prior_12m","last_12m")</f>
        <v/>
      </c>
      <c r="AG3828" s="21">
        <f>DATE(YEAR(G3828),MONTH(G3828),1)</f>
        <v/>
      </c>
    </row>
    <row r="3829">
      <c r="A3829" t="inlineStr">
        <is>
          <t>SPO-02038-3</t>
        </is>
      </c>
      <c r="B3829" t="inlineStr">
        <is>
          <t>SPO-02038</t>
        </is>
      </c>
      <c r="C3829" t="inlineStr">
        <is>
          <t>SUP-04</t>
        </is>
      </c>
      <c r="D3829" t="inlineStr">
        <is>
          <t>FLEET</t>
        </is>
      </c>
      <c r="E3829" t="inlineStr">
        <is>
          <t>FLEET-08</t>
        </is>
      </c>
      <c r="F3829" s="17" t="n">
        <v>46137</v>
      </c>
      <c r="G3829" s="17" t="n">
        <v>46150</v>
      </c>
      <c r="H3829" s="18" t="n">
        <v>191</v>
      </c>
      <c r="I3829" s="19" t="n">
        <v>6.52</v>
      </c>
      <c r="J3829" s="19" t="n">
        <v>6.4</v>
      </c>
      <c r="K3829" s="20" t="n">
        <v>0</v>
      </c>
      <c r="L3829" s="20" t="n">
        <v>0</v>
      </c>
      <c r="M3829" s="18" t="n">
        <v>191</v>
      </c>
      <c r="N3829" s="18" t="n">
        <v>191</v>
      </c>
      <c r="O3829" s="18" t="n">
        <v>0</v>
      </c>
      <c r="P3829" s="17" t="n">
        <v>46149</v>
      </c>
      <c r="Q3829" s="17" t="n">
        <v>46149</v>
      </c>
      <c r="R3829" s="17" t="n">
        <v>46149</v>
      </c>
      <c r="S3829" s="19">
        <f>H3829*I3829</f>
        <v/>
      </c>
      <c r="T3829" s="19">
        <f>H3829*J3829</f>
        <v/>
      </c>
      <c r="U3829">
        <f>IF(AND(K3829=0,G3829&lt;=Assumptions!$C$6),1,0)</f>
        <v/>
      </c>
      <c r="V3829">
        <f>IF(U3829=1,IF(M3829&gt;0,IF(P3829&lt;=G3829+Assumptions!$C$7,1,0),0),0)</f>
        <v/>
      </c>
      <c r="W3829">
        <f>IF(AND(U3829=1,M3829&gt;=H3829*(1-Assumptions!$C$8)),1,0)</f>
        <v/>
      </c>
      <c r="X3829">
        <f>IF(AND(U3829=1,N3829&gt;=H3829*(1-Assumptions!$C$8)),1,0)</f>
        <v/>
      </c>
      <c r="Y3829">
        <f>IF(ISNUMBER(Q3829),1,0)</f>
        <v/>
      </c>
      <c r="Z3829">
        <f>IF(AND(K3829=0,L3829=0,Y3829=0),1,0)</f>
        <v/>
      </c>
      <c r="AA3829">
        <f>IF(AND(Z3829=1,G3829&lt;Assumptions!$C$6),1,0)</f>
        <v/>
      </c>
      <c r="AB3829">
        <f>IF(U3829=0,"",IF(Y3829=1,MAX(0,Q3829-G3829),IF(L3829=1,MAX(0,R3829-G3829),MAX(0,Assumptions!$C$6-G3829))))</f>
        <v/>
      </c>
      <c r="AC3829">
        <f>IF(Y3829=1,Q3829-F3829,"")</f>
        <v/>
      </c>
      <c r="AD3829">
        <f>IF(Y3829=1,AC3829^2,"")</f>
        <v/>
      </c>
      <c r="AE3829" s="19">
        <f>IF(Z3829=1,(H3829-M3829)*I3829,0)</f>
        <v/>
      </c>
      <c r="AF3829">
        <f>IF(G3829&lt;EDATE(Assumptions!$C$6,-12)+1,"prior_12m","last_12m")</f>
        <v/>
      </c>
      <c r="AG3829" s="21">
        <f>DATE(YEAR(G3829),MONTH(G3829),1)</f>
        <v/>
      </c>
    </row>
    <row r="3830">
      <c r="A3830" t="inlineStr">
        <is>
          <t>SPO-02038-4</t>
        </is>
      </c>
      <c r="B3830" t="inlineStr">
        <is>
          <t>SPO-02038</t>
        </is>
      </c>
      <c r="C3830" t="inlineStr">
        <is>
          <t>SUP-04</t>
        </is>
      </c>
      <c r="D3830" t="inlineStr">
        <is>
          <t>FLEET</t>
        </is>
      </c>
      <c r="E3830" t="inlineStr">
        <is>
          <t>FLEET-01</t>
        </is>
      </c>
      <c r="F3830" s="17" t="n">
        <v>46137</v>
      </c>
      <c r="G3830" s="17" t="n">
        <v>46150</v>
      </c>
      <c r="H3830" s="18" t="n">
        <v>20</v>
      </c>
      <c r="I3830" s="19" t="n">
        <v>65.48999999999999</v>
      </c>
      <c r="J3830" s="19" t="n">
        <v>64</v>
      </c>
      <c r="K3830" s="20" t="n">
        <v>0</v>
      </c>
      <c r="L3830" s="20" t="n">
        <v>0</v>
      </c>
      <c r="M3830" s="18" t="n">
        <v>20</v>
      </c>
      <c r="N3830" s="18" t="n">
        <v>20</v>
      </c>
      <c r="O3830" s="18" t="n">
        <v>0</v>
      </c>
      <c r="P3830" s="17" t="n">
        <v>46140</v>
      </c>
      <c r="Q3830" s="17" t="n">
        <v>46140</v>
      </c>
      <c r="R3830" s="17" t="n">
        <v>46140</v>
      </c>
      <c r="S3830" s="19">
        <f>H3830*I3830</f>
        <v/>
      </c>
      <c r="T3830" s="19">
        <f>H3830*J3830</f>
        <v/>
      </c>
      <c r="U3830">
        <f>IF(AND(K3830=0,G3830&lt;=Assumptions!$C$6),1,0)</f>
        <v/>
      </c>
      <c r="V3830">
        <f>IF(U3830=1,IF(M3830&gt;0,IF(P3830&lt;=G3830+Assumptions!$C$7,1,0),0),0)</f>
        <v/>
      </c>
      <c r="W3830">
        <f>IF(AND(U3830=1,M3830&gt;=H3830*(1-Assumptions!$C$8)),1,0)</f>
        <v/>
      </c>
      <c r="X3830">
        <f>IF(AND(U3830=1,N3830&gt;=H3830*(1-Assumptions!$C$8)),1,0)</f>
        <v/>
      </c>
      <c r="Y3830">
        <f>IF(ISNUMBER(Q3830),1,0)</f>
        <v/>
      </c>
      <c r="Z3830">
        <f>IF(AND(K3830=0,L3830=0,Y3830=0),1,0)</f>
        <v/>
      </c>
      <c r="AA3830">
        <f>IF(AND(Z3830=1,G3830&lt;Assumptions!$C$6),1,0)</f>
        <v/>
      </c>
      <c r="AB3830">
        <f>IF(U3830=0,"",IF(Y3830=1,MAX(0,Q3830-G3830),IF(L3830=1,MAX(0,R3830-G3830),MAX(0,Assumptions!$C$6-G3830))))</f>
        <v/>
      </c>
      <c r="AC3830">
        <f>IF(Y3830=1,Q3830-F3830,"")</f>
        <v/>
      </c>
      <c r="AD3830">
        <f>IF(Y3830=1,AC3830^2,"")</f>
        <v/>
      </c>
      <c r="AE3830" s="19">
        <f>IF(Z3830=1,(H3830-M3830)*I3830,0)</f>
        <v/>
      </c>
      <c r="AF3830">
        <f>IF(G3830&lt;EDATE(Assumptions!$C$6,-12)+1,"prior_12m","last_12m")</f>
        <v/>
      </c>
      <c r="AG3830" s="21">
        <f>DATE(YEAR(G3830),MONTH(G3830),1)</f>
        <v/>
      </c>
    </row>
    <row r="3831">
      <c r="A3831" t="inlineStr">
        <is>
          <t>SPO-02039-1</t>
        </is>
      </c>
      <c r="B3831" t="inlineStr">
        <is>
          <t>SPO-02039</t>
        </is>
      </c>
      <c r="C3831" t="inlineStr">
        <is>
          <t>SUP-01</t>
        </is>
      </c>
      <c r="D3831" t="inlineStr">
        <is>
          <t>ELEC</t>
        </is>
      </c>
      <c r="E3831" t="inlineStr">
        <is>
          <t>ELEC-06</t>
        </is>
      </c>
      <c r="F3831" s="17" t="n">
        <v>46137</v>
      </c>
      <c r="G3831" s="17" t="n">
        <v>46155</v>
      </c>
      <c r="H3831" s="18" t="n">
        <v>20</v>
      </c>
      <c r="I3831" s="19" t="n">
        <v>146.94</v>
      </c>
      <c r="J3831" s="19" t="n">
        <v>145</v>
      </c>
      <c r="K3831" s="20" t="n">
        <v>0</v>
      </c>
      <c r="L3831" s="20" t="n">
        <v>0</v>
      </c>
      <c r="M3831" s="18" t="n">
        <v>20</v>
      </c>
      <c r="N3831" s="18" t="n">
        <v>0</v>
      </c>
      <c r="O3831" s="18" t="n">
        <v>0</v>
      </c>
      <c r="P3831" s="17" t="n">
        <v>46156</v>
      </c>
      <c r="Q3831" s="17" t="n">
        <v>46161</v>
      </c>
      <c r="R3831" s="17" t="n">
        <v>46161</v>
      </c>
      <c r="S3831" s="19">
        <f>H3831*I3831</f>
        <v/>
      </c>
      <c r="T3831" s="19">
        <f>H3831*J3831</f>
        <v/>
      </c>
      <c r="U3831">
        <f>IF(AND(K3831=0,G3831&lt;=Assumptions!$C$6),1,0)</f>
        <v/>
      </c>
      <c r="V3831">
        <f>IF(U3831=1,IF(M3831&gt;0,IF(P3831&lt;=G3831+Assumptions!$C$7,1,0),0),0)</f>
        <v/>
      </c>
      <c r="W3831">
        <f>IF(AND(U3831=1,M3831&gt;=H3831*(1-Assumptions!$C$8)),1,0)</f>
        <v/>
      </c>
      <c r="X3831">
        <f>IF(AND(U3831=1,N3831&gt;=H3831*(1-Assumptions!$C$8)),1,0)</f>
        <v/>
      </c>
      <c r="Y3831">
        <f>IF(ISNUMBER(Q3831),1,0)</f>
        <v/>
      </c>
      <c r="Z3831">
        <f>IF(AND(K3831=0,L3831=0,Y3831=0),1,0)</f>
        <v/>
      </c>
      <c r="AA3831">
        <f>IF(AND(Z3831=1,G3831&lt;Assumptions!$C$6),1,0)</f>
        <v/>
      </c>
      <c r="AB3831">
        <f>IF(U3831=0,"",IF(Y3831=1,MAX(0,Q3831-G3831),IF(L3831=1,MAX(0,R3831-G3831),MAX(0,Assumptions!$C$6-G3831))))</f>
        <v/>
      </c>
      <c r="AC3831">
        <f>IF(Y3831=1,Q3831-F3831,"")</f>
        <v/>
      </c>
      <c r="AD3831">
        <f>IF(Y3831=1,AC3831^2,"")</f>
        <v/>
      </c>
      <c r="AE3831" s="19">
        <f>IF(Z3831=1,(H3831-M3831)*I3831,0)</f>
        <v/>
      </c>
      <c r="AF3831">
        <f>IF(G3831&lt;EDATE(Assumptions!$C$6,-12)+1,"prior_12m","last_12m")</f>
        <v/>
      </c>
      <c r="AG3831" s="21">
        <f>DATE(YEAR(G3831),MONTH(G3831),1)</f>
        <v/>
      </c>
    </row>
    <row r="3832">
      <c r="A3832" t="inlineStr">
        <is>
          <t>SPO-02040-1</t>
        </is>
      </c>
      <c r="B3832" t="inlineStr">
        <is>
          <t>SPO-02040</t>
        </is>
      </c>
      <c r="C3832" t="inlineStr">
        <is>
          <t>SUP-01</t>
        </is>
      </c>
      <c r="D3832" t="inlineStr">
        <is>
          <t>ELEC</t>
        </is>
      </c>
      <c r="E3832" t="inlineStr">
        <is>
          <t>ELEC-05</t>
        </is>
      </c>
      <c r="F3832" s="17" t="n">
        <v>46137</v>
      </c>
      <c r="G3832" s="17" t="n">
        <v>46155</v>
      </c>
      <c r="H3832" s="18" t="n">
        <v>169</v>
      </c>
      <c r="I3832" s="19" t="n">
        <v>11.61</v>
      </c>
      <c r="J3832" s="19" t="n">
        <v>11.5</v>
      </c>
      <c r="K3832" s="20" t="n">
        <v>0</v>
      </c>
      <c r="L3832" s="20" t="n">
        <v>0</v>
      </c>
      <c r="M3832" s="18" t="n">
        <v>169</v>
      </c>
      <c r="N3832" s="18" t="n">
        <v>169</v>
      </c>
      <c r="O3832" s="18" t="n">
        <v>0</v>
      </c>
      <c r="P3832" s="17" t="n">
        <v>46144</v>
      </c>
      <c r="Q3832" s="17" t="n">
        <v>46144</v>
      </c>
      <c r="R3832" s="17" t="n">
        <v>46144</v>
      </c>
      <c r="S3832" s="19">
        <f>H3832*I3832</f>
        <v/>
      </c>
      <c r="T3832" s="19">
        <f>H3832*J3832</f>
        <v/>
      </c>
      <c r="U3832">
        <f>IF(AND(K3832=0,G3832&lt;=Assumptions!$C$6),1,0)</f>
        <v/>
      </c>
      <c r="V3832">
        <f>IF(U3832=1,IF(M3832&gt;0,IF(P3832&lt;=G3832+Assumptions!$C$7,1,0),0),0)</f>
        <v/>
      </c>
      <c r="W3832">
        <f>IF(AND(U3832=1,M3832&gt;=H3832*(1-Assumptions!$C$8)),1,0)</f>
        <v/>
      </c>
      <c r="X3832">
        <f>IF(AND(U3832=1,N3832&gt;=H3832*(1-Assumptions!$C$8)),1,0)</f>
        <v/>
      </c>
      <c r="Y3832">
        <f>IF(ISNUMBER(Q3832),1,0)</f>
        <v/>
      </c>
      <c r="Z3832">
        <f>IF(AND(K3832=0,L3832=0,Y3832=0),1,0)</f>
        <v/>
      </c>
      <c r="AA3832">
        <f>IF(AND(Z3832=1,G3832&lt;Assumptions!$C$6),1,0)</f>
        <v/>
      </c>
      <c r="AB3832">
        <f>IF(U3832=0,"",IF(Y3832=1,MAX(0,Q3832-G3832),IF(L3832=1,MAX(0,R3832-G3832),MAX(0,Assumptions!$C$6-G3832))))</f>
        <v/>
      </c>
      <c r="AC3832">
        <f>IF(Y3832=1,Q3832-F3832,"")</f>
        <v/>
      </c>
      <c r="AD3832">
        <f>IF(Y3832=1,AC3832^2,"")</f>
        <v/>
      </c>
      <c r="AE3832" s="19">
        <f>IF(Z3832=1,(H3832-M3832)*I3832,0)</f>
        <v/>
      </c>
      <c r="AF3832">
        <f>IF(G3832&lt;EDATE(Assumptions!$C$6,-12)+1,"prior_12m","last_12m")</f>
        <v/>
      </c>
      <c r="AG3832" s="21">
        <f>DATE(YEAR(G3832),MONTH(G3832),1)</f>
        <v/>
      </c>
    </row>
    <row r="3833">
      <c r="A3833" t="inlineStr">
        <is>
          <t>SPO-02041-1</t>
        </is>
      </c>
      <c r="B3833" t="inlineStr">
        <is>
          <t>SPO-02041</t>
        </is>
      </c>
      <c r="C3833" t="inlineStr">
        <is>
          <t>SUP-04</t>
        </is>
      </c>
      <c r="D3833" t="inlineStr">
        <is>
          <t>FLEET</t>
        </is>
      </c>
      <c r="E3833" t="inlineStr">
        <is>
          <t>FLEET-08</t>
        </is>
      </c>
      <c r="F3833" s="17" t="n">
        <v>46138</v>
      </c>
      <c r="G3833" s="17" t="n">
        <v>46151</v>
      </c>
      <c r="H3833" s="18" t="n">
        <v>519</v>
      </c>
      <c r="I3833" s="19" t="n">
        <v>6.06</v>
      </c>
      <c r="J3833" s="19" t="n">
        <v>6.4</v>
      </c>
      <c r="K3833" s="20" t="n">
        <v>0</v>
      </c>
      <c r="L3833" s="20" t="n">
        <v>0</v>
      </c>
      <c r="M3833" s="18" t="n">
        <v>519</v>
      </c>
      <c r="N3833" s="18" t="n">
        <v>519</v>
      </c>
      <c r="O3833" s="18" t="n">
        <v>0</v>
      </c>
      <c r="P3833" s="17" t="n">
        <v>46145</v>
      </c>
      <c r="Q3833" s="17" t="n">
        <v>46145</v>
      </c>
      <c r="R3833" s="17" t="n">
        <v>46145</v>
      </c>
      <c r="S3833" s="19">
        <f>H3833*I3833</f>
        <v/>
      </c>
      <c r="T3833" s="19">
        <f>H3833*J3833</f>
        <v/>
      </c>
      <c r="U3833">
        <f>IF(AND(K3833=0,G3833&lt;=Assumptions!$C$6),1,0)</f>
        <v/>
      </c>
      <c r="V3833">
        <f>IF(U3833=1,IF(M3833&gt;0,IF(P3833&lt;=G3833+Assumptions!$C$7,1,0),0),0)</f>
        <v/>
      </c>
      <c r="W3833">
        <f>IF(AND(U3833=1,M3833&gt;=H3833*(1-Assumptions!$C$8)),1,0)</f>
        <v/>
      </c>
      <c r="X3833">
        <f>IF(AND(U3833=1,N3833&gt;=H3833*(1-Assumptions!$C$8)),1,0)</f>
        <v/>
      </c>
      <c r="Y3833">
        <f>IF(ISNUMBER(Q3833),1,0)</f>
        <v/>
      </c>
      <c r="Z3833">
        <f>IF(AND(K3833=0,L3833=0,Y3833=0),1,0)</f>
        <v/>
      </c>
      <c r="AA3833">
        <f>IF(AND(Z3833=1,G3833&lt;Assumptions!$C$6),1,0)</f>
        <v/>
      </c>
      <c r="AB3833">
        <f>IF(U3833=0,"",IF(Y3833=1,MAX(0,Q3833-G3833),IF(L3833=1,MAX(0,R3833-G3833),MAX(0,Assumptions!$C$6-G3833))))</f>
        <v/>
      </c>
      <c r="AC3833">
        <f>IF(Y3833=1,Q3833-F3833,"")</f>
        <v/>
      </c>
      <c r="AD3833">
        <f>IF(Y3833=1,AC3833^2,"")</f>
        <v/>
      </c>
      <c r="AE3833" s="19">
        <f>IF(Z3833=1,(H3833-M3833)*I3833,0)</f>
        <v/>
      </c>
      <c r="AF3833">
        <f>IF(G3833&lt;EDATE(Assumptions!$C$6,-12)+1,"prior_12m","last_12m")</f>
        <v/>
      </c>
      <c r="AG3833" s="21">
        <f>DATE(YEAR(G3833),MONTH(G3833),1)</f>
        <v/>
      </c>
    </row>
    <row r="3834">
      <c r="A3834" t="inlineStr">
        <is>
          <t>SPO-02041-2</t>
        </is>
      </c>
      <c r="B3834" t="inlineStr">
        <is>
          <t>SPO-02041</t>
        </is>
      </c>
      <c r="C3834" t="inlineStr">
        <is>
          <t>SUP-04</t>
        </is>
      </c>
      <c r="D3834" t="inlineStr">
        <is>
          <t>FLEET</t>
        </is>
      </c>
      <c r="E3834" t="inlineStr">
        <is>
          <t>FLEET-03</t>
        </is>
      </c>
      <c r="F3834" s="17" t="n">
        <v>46138</v>
      </c>
      <c r="G3834" s="17" t="n">
        <v>46151</v>
      </c>
      <c r="H3834" s="18" t="n">
        <v>91</v>
      </c>
      <c r="I3834" s="19" t="n">
        <v>20.38</v>
      </c>
      <c r="J3834" s="19" t="n">
        <v>21</v>
      </c>
      <c r="K3834" s="20" t="n">
        <v>0</v>
      </c>
      <c r="L3834" s="20" t="n">
        <v>0</v>
      </c>
      <c r="M3834" s="18" t="n">
        <v>91</v>
      </c>
      <c r="N3834" s="18" t="n">
        <v>91</v>
      </c>
      <c r="O3834" s="18" t="n">
        <v>0</v>
      </c>
      <c r="P3834" s="17" t="n">
        <v>46144</v>
      </c>
      <c r="Q3834" s="17" t="n">
        <v>46144</v>
      </c>
      <c r="R3834" s="17" t="n">
        <v>46144</v>
      </c>
      <c r="S3834" s="19">
        <f>H3834*I3834</f>
        <v/>
      </c>
      <c r="T3834" s="19">
        <f>H3834*J3834</f>
        <v/>
      </c>
      <c r="U3834">
        <f>IF(AND(K3834=0,G3834&lt;=Assumptions!$C$6),1,0)</f>
        <v/>
      </c>
      <c r="V3834">
        <f>IF(U3834=1,IF(M3834&gt;0,IF(P3834&lt;=G3834+Assumptions!$C$7,1,0),0),0)</f>
        <v/>
      </c>
      <c r="W3834">
        <f>IF(AND(U3834=1,M3834&gt;=H3834*(1-Assumptions!$C$8)),1,0)</f>
        <v/>
      </c>
      <c r="X3834">
        <f>IF(AND(U3834=1,N3834&gt;=H3834*(1-Assumptions!$C$8)),1,0)</f>
        <v/>
      </c>
      <c r="Y3834">
        <f>IF(ISNUMBER(Q3834),1,0)</f>
        <v/>
      </c>
      <c r="Z3834">
        <f>IF(AND(K3834=0,L3834=0,Y3834=0),1,0)</f>
        <v/>
      </c>
      <c r="AA3834">
        <f>IF(AND(Z3834=1,G3834&lt;Assumptions!$C$6),1,0)</f>
        <v/>
      </c>
      <c r="AB3834">
        <f>IF(U3834=0,"",IF(Y3834=1,MAX(0,Q3834-G3834),IF(L3834=1,MAX(0,R3834-G3834),MAX(0,Assumptions!$C$6-G3834))))</f>
        <v/>
      </c>
      <c r="AC3834">
        <f>IF(Y3834=1,Q3834-F3834,"")</f>
        <v/>
      </c>
      <c r="AD3834">
        <f>IF(Y3834=1,AC3834^2,"")</f>
        <v/>
      </c>
      <c r="AE3834" s="19">
        <f>IF(Z3834=1,(H3834-M3834)*I3834,0)</f>
        <v/>
      </c>
      <c r="AF3834">
        <f>IF(G3834&lt;EDATE(Assumptions!$C$6,-12)+1,"prior_12m","last_12m")</f>
        <v/>
      </c>
      <c r="AG3834" s="21">
        <f>DATE(YEAR(G3834),MONTH(G3834),1)</f>
        <v/>
      </c>
    </row>
    <row r="3835">
      <c r="A3835" t="inlineStr">
        <is>
          <t>SPO-02041-3</t>
        </is>
      </c>
      <c r="B3835" t="inlineStr">
        <is>
          <t>SPO-02041</t>
        </is>
      </c>
      <c r="C3835" t="inlineStr">
        <is>
          <t>SUP-04</t>
        </is>
      </c>
      <c r="D3835" t="inlineStr">
        <is>
          <t>FLEET</t>
        </is>
      </c>
      <c r="E3835" t="inlineStr">
        <is>
          <t>FLEET-04</t>
        </is>
      </c>
      <c r="F3835" s="17" t="n">
        <v>46138</v>
      </c>
      <c r="G3835" s="17" t="n">
        <v>46151</v>
      </c>
      <c r="H3835" s="18" t="n">
        <v>142</v>
      </c>
      <c r="I3835" s="19" t="n">
        <v>9.16</v>
      </c>
      <c r="J3835" s="19" t="n">
        <v>9</v>
      </c>
      <c r="K3835" s="20" t="n">
        <v>0</v>
      </c>
      <c r="L3835" s="20" t="n">
        <v>0</v>
      </c>
      <c r="M3835" s="18" t="n">
        <v>142</v>
      </c>
      <c r="N3835" s="18" t="n">
        <v>0</v>
      </c>
      <c r="O3835" s="18" t="n">
        <v>0</v>
      </c>
      <c r="P3835" s="17" t="n">
        <v>46163</v>
      </c>
      <c r="Q3835" s="17" t="n">
        <v>46163</v>
      </c>
      <c r="R3835" s="17" t="n">
        <v>46163</v>
      </c>
      <c r="S3835" s="19">
        <f>H3835*I3835</f>
        <v/>
      </c>
      <c r="T3835" s="19">
        <f>H3835*J3835</f>
        <v/>
      </c>
      <c r="U3835">
        <f>IF(AND(K3835=0,G3835&lt;=Assumptions!$C$6),1,0)</f>
        <v/>
      </c>
      <c r="V3835">
        <f>IF(U3835=1,IF(M3835&gt;0,IF(P3835&lt;=G3835+Assumptions!$C$7,1,0),0),0)</f>
        <v/>
      </c>
      <c r="W3835">
        <f>IF(AND(U3835=1,M3835&gt;=H3835*(1-Assumptions!$C$8)),1,0)</f>
        <v/>
      </c>
      <c r="X3835">
        <f>IF(AND(U3835=1,N3835&gt;=H3835*(1-Assumptions!$C$8)),1,0)</f>
        <v/>
      </c>
      <c r="Y3835">
        <f>IF(ISNUMBER(Q3835),1,0)</f>
        <v/>
      </c>
      <c r="Z3835">
        <f>IF(AND(K3835=0,L3835=0,Y3835=0),1,0)</f>
        <v/>
      </c>
      <c r="AA3835">
        <f>IF(AND(Z3835=1,G3835&lt;Assumptions!$C$6),1,0)</f>
        <v/>
      </c>
      <c r="AB3835">
        <f>IF(U3835=0,"",IF(Y3835=1,MAX(0,Q3835-G3835),IF(L3835=1,MAX(0,R3835-G3835),MAX(0,Assumptions!$C$6-G3835))))</f>
        <v/>
      </c>
      <c r="AC3835">
        <f>IF(Y3835=1,Q3835-F3835,"")</f>
        <v/>
      </c>
      <c r="AD3835">
        <f>IF(Y3835=1,AC3835^2,"")</f>
        <v/>
      </c>
      <c r="AE3835" s="19">
        <f>IF(Z3835=1,(H3835-M3835)*I3835,0)</f>
        <v/>
      </c>
      <c r="AF3835">
        <f>IF(G3835&lt;EDATE(Assumptions!$C$6,-12)+1,"prior_12m","last_12m")</f>
        <v/>
      </c>
      <c r="AG3835" s="21">
        <f>DATE(YEAR(G3835),MONTH(G3835),1)</f>
        <v/>
      </c>
    </row>
    <row r="3836">
      <c r="A3836" t="inlineStr">
        <is>
          <t>SPO-02041-4</t>
        </is>
      </c>
      <c r="B3836" t="inlineStr">
        <is>
          <t>SPO-02041</t>
        </is>
      </c>
      <c r="C3836" t="inlineStr">
        <is>
          <t>SUP-04</t>
        </is>
      </c>
      <c r="D3836" t="inlineStr">
        <is>
          <t>FLEET</t>
        </is>
      </c>
      <c r="E3836" t="inlineStr">
        <is>
          <t>FLEET-06</t>
        </is>
      </c>
      <c r="F3836" s="17" t="n">
        <v>46138</v>
      </c>
      <c r="G3836" s="17" t="n">
        <v>46151</v>
      </c>
      <c r="H3836" s="18" t="n">
        <v>37</v>
      </c>
      <c r="I3836" s="19" t="n">
        <v>33.15</v>
      </c>
      <c r="J3836" s="19" t="n">
        <v>33</v>
      </c>
      <c r="K3836" s="20" t="n">
        <v>0</v>
      </c>
      <c r="L3836" s="20" t="n">
        <v>0</v>
      </c>
      <c r="M3836" s="18" t="n">
        <v>37</v>
      </c>
      <c r="N3836" s="18" t="n">
        <v>0</v>
      </c>
      <c r="O3836" s="18" t="n">
        <v>0</v>
      </c>
      <c r="P3836" s="17" t="n">
        <v>46154</v>
      </c>
      <c r="Q3836" s="17" t="n">
        <v>46154</v>
      </c>
      <c r="R3836" s="17" t="n">
        <v>46154</v>
      </c>
      <c r="S3836" s="19">
        <f>H3836*I3836</f>
        <v/>
      </c>
      <c r="T3836" s="19">
        <f>H3836*J3836</f>
        <v/>
      </c>
      <c r="U3836">
        <f>IF(AND(K3836=0,G3836&lt;=Assumptions!$C$6),1,0)</f>
        <v/>
      </c>
      <c r="V3836">
        <f>IF(U3836=1,IF(M3836&gt;0,IF(P3836&lt;=G3836+Assumptions!$C$7,1,0),0),0)</f>
        <v/>
      </c>
      <c r="W3836">
        <f>IF(AND(U3836=1,M3836&gt;=H3836*(1-Assumptions!$C$8)),1,0)</f>
        <v/>
      </c>
      <c r="X3836">
        <f>IF(AND(U3836=1,N3836&gt;=H3836*(1-Assumptions!$C$8)),1,0)</f>
        <v/>
      </c>
      <c r="Y3836">
        <f>IF(ISNUMBER(Q3836),1,0)</f>
        <v/>
      </c>
      <c r="Z3836">
        <f>IF(AND(K3836=0,L3836=0,Y3836=0),1,0)</f>
        <v/>
      </c>
      <c r="AA3836">
        <f>IF(AND(Z3836=1,G3836&lt;Assumptions!$C$6),1,0)</f>
        <v/>
      </c>
      <c r="AB3836">
        <f>IF(U3836=0,"",IF(Y3836=1,MAX(0,Q3836-G3836),IF(L3836=1,MAX(0,R3836-G3836),MAX(0,Assumptions!$C$6-G3836))))</f>
        <v/>
      </c>
      <c r="AC3836">
        <f>IF(Y3836=1,Q3836-F3836,"")</f>
        <v/>
      </c>
      <c r="AD3836">
        <f>IF(Y3836=1,AC3836^2,"")</f>
        <v/>
      </c>
      <c r="AE3836" s="19">
        <f>IF(Z3836=1,(H3836-M3836)*I3836,0)</f>
        <v/>
      </c>
      <c r="AF3836">
        <f>IF(G3836&lt;EDATE(Assumptions!$C$6,-12)+1,"prior_12m","last_12m")</f>
        <v/>
      </c>
      <c r="AG3836" s="21">
        <f>DATE(YEAR(G3836),MONTH(G3836),1)</f>
        <v/>
      </c>
    </row>
    <row r="3837">
      <c r="A3837" t="inlineStr">
        <is>
          <t>SPO-02042-1</t>
        </is>
      </c>
      <c r="B3837" t="inlineStr">
        <is>
          <t>SPO-02042</t>
        </is>
      </c>
      <c r="C3837" t="inlineStr">
        <is>
          <t>SUP-09</t>
        </is>
      </c>
      <c r="D3837" t="inlineStr">
        <is>
          <t>CHEM</t>
        </is>
      </c>
      <c r="E3837" t="inlineStr">
        <is>
          <t>CHEM-01</t>
        </is>
      </c>
      <c r="F3837" s="17" t="n">
        <v>46138</v>
      </c>
      <c r="G3837" s="17" t="n">
        <v>46152</v>
      </c>
      <c r="H3837" s="18" t="n">
        <v>1</v>
      </c>
      <c r="I3837" s="19" t="n">
        <v>684.17</v>
      </c>
      <c r="J3837" s="19" t="n">
        <v>640</v>
      </c>
      <c r="K3837" s="20" t="n">
        <v>0</v>
      </c>
      <c r="L3837" s="20" t="n">
        <v>0</v>
      </c>
      <c r="M3837" s="18" t="n">
        <v>1</v>
      </c>
      <c r="N3837" s="18" t="n">
        <v>1</v>
      </c>
      <c r="O3837" s="18" t="n">
        <v>0</v>
      </c>
      <c r="P3837" s="17" t="n">
        <v>46150</v>
      </c>
      <c r="Q3837" s="17" t="n">
        <v>46150</v>
      </c>
      <c r="R3837" s="17" t="n">
        <v>46150</v>
      </c>
      <c r="S3837" s="19">
        <f>H3837*I3837</f>
        <v/>
      </c>
      <c r="T3837" s="19">
        <f>H3837*J3837</f>
        <v/>
      </c>
      <c r="U3837">
        <f>IF(AND(K3837=0,G3837&lt;=Assumptions!$C$6),1,0)</f>
        <v/>
      </c>
      <c r="V3837">
        <f>IF(U3837=1,IF(M3837&gt;0,IF(P3837&lt;=G3837+Assumptions!$C$7,1,0),0),0)</f>
        <v/>
      </c>
      <c r="W3837">
        <f>IF(AND(U3837=1,M3837&gt;=H3837*(1-Assumptions!$C$8)),1,0)</f>
        <v/>
      </c>
      <c r="X3837">
        <f>IF(AND(U3837=1,N3837&gt;=H3837*(1-Assumptions!$C$8)),1,0)</f>
        <v/>
      </c>
      <c r="Y3837">
        <f>IF(ISNUMBER(Q3837),1,0)</f>
        <v/>
      </c>
      <c r="Z3837">
        <f>IF(AND(K3837=0,L3837=0,Y3837=0),1,0)</f>
        <v/>
      </c>
      <c r="AA3837">
        <f>IF(AND(Z3837=1,G3837&lt;Assumptions!$C$6),1,0)</f>
        <v/>
      </c>
      <c r="AB3837">
        <f>IF(U3837=0,"",IF(Y3837=1,MAX(0,Q3837-G3837),IF(L3837=1,MAX(0,R3837-G3837),MAX(0,Assumptions!$C$6-G3837))))</f>
        <v/>
      </c>
      <c r="AC3837">
        <f>IF(Y3837=1,Q3837-F3837,"")</f>
        <v/>
      </c>
      <c r="AD3837">
        <f>IF(Y3837=1,AC3837^2,"")</f>
        <v/>
      </c>
      <c r="AE3837" s="19">
        <f>IF(Z3837=1,(H3837-M3837)*I3837,0)</f>
        <v/>
      </c>
      <c r="AF3837">
        <f>IF(G3837&lt;EDATE(Assumptions!$C$6,-12)+1,"prior_12m","last_12m")</f>
        <v/>
      </c>
      <c r="AG3837" s="21">
        <f>DATE(YEAR(G3837),MONTH(G3837),1)</f>
        <v/>
      </c>
    </row>
    <row r="3838">
      <c r="A3838" t="inlineStr">
        <is>
          <t>SPO-02042-2</t>
        </is>
      </c>
      <c r="B3838" t="inlineStr">
        <is>
          <t>SPO-02042</t>
        </is>
      </c>
      <c r="C3838" t="inlineStr">
        <is>
          <t>SUP-09</t>
        </is>
      </c>
      <c r="D3838" t="inlineStr">
        <is>
          <t>CHEM</t>
        </is>
      </c>
      <c r="E3838" t="inlineStr">
        <is>
          <t>CHEM-05</t>
        </is>
      </c>
      <c r="F3838" s="17" t="n">
        <v>46138</v>
      </c>
      <c r="G3838" s="17" t="n">
        <v>46152</v>
      </c>
      <c r="H3838" s="18" t="n">
        <v>2</v>
      </c>
      <c r="I3838" s="19" t="n">
        <v>946.12</v>
      </c>
      <c r="J3838" s="19" t="n">
        <v>930</v>
      </c>
      <c r="K3838" s="20" t="n">
        <v>0</v>
      </c>
      <c r="L3838" s="20" t="n">
        <v>0</v>
      </c>
      <c r="M3838" s="18" t="n">
        <v>2</v>
      </c>
      <c r="N3838" s="18" t="n">
        <v>2</v>
      </c>
      <c r="O3838" s="18" t="n">
        <v>0</v>
      </c>
      <c r="P3838" s="17" t="n">
        <v>46149</v>
      </c>
      <c r="Q3838" s="17" t="n">
        <v>46149</v>
      </c>
      <c r="R3838" s="17" t="n">
        <v>46149</v>
      </c>
      <c r="S3838" s="19">
        <f>H3838*I3838</f>
        <v/>
      </c>
      <c r="T3838" s="19">
        <f>H3838*J3838</f>
        <v/>
      </c>
      <c r="U3838">
        <f>IF(AND(K3838=0,G3838&lt;=Assumptions!$C$6),1,0)</f>
        <v/>
      </c>
      <c r="V3838">
        <f>IF(U3838=1,IF(M3838&gt;0,IF(P3838&lt;=G3838+Assumptions!$C$7,1,0),0),0)</f>
        <v/>
      </c>
      <c r="W3838">
        <f>IF(AND(U3838=1,M3838&gt;=H3838*(1-Assumptions!$C$8)),1,0)</f>
        <v/>
      </c>
      <c r="X3838">
        <f>IF(AND(U3838=1,N3838&gt;=H3838*(1-Assumptions!$C$8)),1,0)</f>
        <v/>
      </c>
      <c r="Y3838">
        <f>IF(ISNUMBER(Q3838),1,0)</f>
        <v/>
      </c>
      <c r="Z3838">
        <f>IF(AND(K3838=0,L3838=0,Y3838=0),1,0)</f>
        <v/>
      </c>
      <c r="AA3838">
        <f>IF(AND(Z3838=1,G3838&lt;Assumptions!$C$6),1,0)</f>
        <v/>
      </c>
      <c r="AB3838">
        <f>IF(U3838=0,"",IF(Y3838=1,MAX(0,Q3838-G3838),IF(L3838=1,MAX(0,R3838-G3838),MAX(0,Assumptions!$C$6-G3838))))</f>
        <v/>
      </c>
      <c r="AC3838">
        <f>IF(Y3838=1,Q3838-F3838,"")</f>
        <v/>
      </c>
      <c r="AD3838">
        <f>IF(Y3838=1,AC3838^2,"")</f>
        <v/>
      </c>
      <c r="AE3838" s="19">
        <f>IF(Z3838=1,(H3838-M3838)*I3838,0)</f>
        <v/>
      </c>
      <c r="AF3838">
        <f>IF(G3838&lt;EDATE(Assumptions!$C$6,-12)+1,"prior_12m","last_12m")</f>
        <v/>
      </c>
      <c r="AG3838" s="21">
        <f>DATE(YEAR(G3838),MONTH(G3838),1)</f>
        <v/>
      </c>
    </row>
    <row r="3839">
      <c r="A3839" t="inlineStr">
        <is>
          <t>SPO-02043-1</t>
        </is>
      </c>
      <c r="B3839" t="inlineStr">
        <is>
          <t>SPO-02043</t>
        </is>
      </c>
      <c r="C3839" t="inlineStr">
        <is>
          <t>SUP-05</t>
        </is>
      </c>
      <c r="D3839" t="inlineStr">
        <is>
          <t>FLEET</t>
        </is>
      </c>
      <c r="E3839" t="inlineStr">
        <is>
          <t>FLEET-01</t>
        </is>
      </c>
      <c r="F3839" s="17" t="n">
        <v>46138</v>
      </c>
      <c r="G3839" s="17" t="n">
        <v>46152</v>
      </c>
      <c r="H3839" s="18" t="n">
        <v>49</v>
      </c>
      <c r="I3839" s="19" t="n">
        <v>67.36</v>
      </c>
      <c r="J3839" s="19" t="n">
        <v>64</v>
      </c>
      <c r="K3839" s="20" t="n">
        <v>0</v>
      </c>
      <c r="L3839" s="20" t="n">
        <v>0</v>
      </c>
      <c r="M3839" s="18" t="n">
        <v>49</v>
      </c>
      <c r="N3839" s="18" t="n">
        <v>49</v>
      </c>
      <c r="O3839" s="18" t="n">
        <v>0</v>
      </c>
      <c r="P3839" s="17" t="n">
        <v>46148</v>
      </c>
      <c r="Q3839" s="17" t="n">
        <v>46148</v>
      </c>
      <c r="R3839" s="17" t="n">
        <v>46148</v>
      </c>
      <c r="S3839" s="19">
        <f>H3839*I3839</f>
        <v/>
      </c>
      <c r="T3839" s="19">
        <f>H3839*J3839</f>
        <v/>
      </c>
      <c r="U3839">
        <f>IF(AND(K3839=0,G3839&lt;=Assumptions!$C$6),1,0)</f>
        <v/>
      </c>
      <c r="V3839">
        <f>IF(U3839=1,IF(M3839&gt;0,IF(P3839&lt;=G3839+Assumptions!$C$7,1,0),0),0)</f>
        <v/>
      </c>
      <c r="W3839">
        <f>IF(AND(U3839=1,M3839&gt;=H3839*(1-Assumptions!$C$8)),1,0)</f>
        <v/>
      </c>
      <c r="X3839">
        <f>IF(AND(U3839=1,N3839&gt;=H3839*(1-Assumptions!$C$8)),1,0)</f>
        <v/>
      </c>
      <c r="Y3839">
        <f>IF(ISNUMBER(Q3839),1,0)</f>
        <v/>
      </c>
      <c r="Z3839">
        <f>IF(AND(K3839=0,L3839=0,Y3839=0),1,0)</f>
        <v/>
      </c>
      <c r="AA3839">
        <f>IF(AND(Z3839=1,G3839&lt;Assumptions!$C$6),1,0)</f>
        <v/>
      </c>
      <c r="AB3839">
        <f>IF(U3839=0,"",IF(Y3839=1,MAX(0,Q3839-G3839),IF(L3839=1,MAX(0,R3839-G3839),MAX(0,Assumptions!$C$6-G3839))))</f>
        <v/>
      </c>
      <c r="AC3839">
        <f>IF(Y3839=1,Q3839-F3839,"")</f>
        <v/>
      </c>
      <c r="AD3839">
        <f>IF(Y3839=1,AC3839^2,"")</f>
        <v/>
      </c>
      <c r="AE3839" s="19">
        <f>IF(Z3839=1,(H3839-M3839)*I3839,0)</f>
        <v/>
      </c>
      <c r="AF3839">
        <f>IF(G3839&lt;EDATE(Assumptions!$C$6,-12)+1,"prior_12m","last_12m")</f>
        <v/>
      </c>
      <c r="AG3839" s="21">
        <f>DATE(YEAR(G3839),MONTH(G3839),1)</f>
        <v/>
      </c>
    </row>
    <row r="3840">
      <c r="A3840" t="inlineStr">
        <is>
          <t>SPO-02044-1</t>
        </is>
      </c>
      <c r="B3840" t="inlineStr">
        <is>
          <t>SPO-02044</t>
        </is>
      </c>
      <c r="C3840" t="inlineStr">
        <is>
          <t>SUP-01</t>
        </is>
      </c>
      <c r="D3840" t="inlineStr">
        <is>
          <t>ELEC</t>
        </is>
      </c>
      <c r="E3840" t="inlineStr">
        <is>
          <t>ELEC-04</t>
        </is>
      </c>
      <c r="F3840" s="17" t="n">
        <v>46138</v>
      </c>
      <c r="G3840" s="17" t="n">
        <v>46156</v>
      </c>
      <c r="H3840" s="18" t="n">
        <v>42</v>
      </c>
      <c r="I3840" s="19" t="n">
        <v>73.12</v>
      </c>
      <c r="J3840" s="19" t="n">
        <v>72</v>
      </c>
      <c r="K3840" s="20" t="n">
        <v>0</v>
      </c>
      <c r="L3840" s="20" t="n">
        <v>0</v>
      </c>
      <c r="M3840" s="18" t="n">
        <v>42</v>
      </c>
      <c r="N3840" s="18" t="n">
        <v>0</v>
      </c>
      <c r="O3840" s="18" t="n">
        <v>0</v>
      </c>
      <c r="P3840" s="17" t="n">
        <v>46164</v>
      </c>
      <c r="Q3840" s="17" t="n">
        <v>46164</v>
      </c>
      <c r="R3840" s="17" t="n">
        <v>46164</v>
      </c>
      <c r="S3840" s="19">
        <f>H3840*I3840</f>
        <v/>
      </c>
      <c r="T3840" s="19">
        <f>H3840*J3840</f>
        <v/>
      </c>
      <c r="U3840">
        <f>IF(AND(K3840=0,G3840&lt;=Assumptions!$C$6),1,0)</f>
        <v/>
      </c>
      <c r="V3840">
        <f>IF(U3840=1,IF(M3840&gt;0,IF(P3840&lt;=G3840+Assumptions!$C$7,1,0),0),0)</f>
        <v/>
      </c>
      <c r="W3840">
        <f>IF(AND(U3840=1,M3840&gt;=H3840*(1-Assumptions!$C$8)),1,0)</f>
        <v/>
      </c>
      <c r="X3840">
        <f>IF(AND(U3840=1,N3840&gt;=H3840*(1-Assumptions!$C$8)),1,0)</f>
        <v/>
      </c>
      <c r="Y3840">
        <f>IF(ISNUMBER(Q3840),1,0)</f>
        <v/>
      </c>
      <c r="Z3840">
        <f>IF(AND(K3840=0,L3840=0,Y3840=0),1,0)</f>
        <v/>
      </c>
      <c r="AA3840">
        <f>IF(AND(Z3840=1,G3840&lt;Assumptions!$C$6),1,0)</f>
        <v/>
      </c>
      <c r="AB3840">
        <f>IF(U3840=0,"",IF(Y3840=1,MAX(0,Q3840-G3840),IF(L3840=1,MAX(0,R3840-G3840),MAX(0,Assumptions!$C$6-G3840))))</f>
        <v/>
      </c>
      <c r="AC3840">
        <f>IF(Y3840=1,Q3840-F3840,"")</f>
        <v/>
      </c>
      <c r="AD3840">
        <f>IF(Y3840=1,AC3840^2,"")</f>
        <v/>
      </c>
      <c r="AE3840" s="19">
        <f>IF(Z3840=1,(H3840-M3840)*I3840,0)</f>
        <v/>
      </c>
      <c r="AF3840">
        <f>IF(G3840&lt;EDATE(Assumptions!$C$6,-12)+1,"prior_12m","last_12m")</f>
        <v/>
      </c>
      <c r="AG3840" s="21">
        <f>DATE(YEAR(G3840),MONTH(G3840),1)</f>
        <v/>
      </c>
    </row>
    <row r="3841">
      <c r="A3841" t="inlineStr">
        <is>
          <t>SPO-02045-1</t>
        </is>
      </c>
      <c r="B3841" t="inlineStr">
        <is>
          <t>SPO-02045</t>
        </is>
      </c>
      <c r="C3841" t="inlineStr">
        <is>
          <t>SUP-08</t>
        </is>
      </c>
      <c r="D3841" t="inlineStr">
        <is>
          <t>MRO</t>
        </is>
      </c>
      <c r="E3841" t="inlineStr">
        <is>
          <t>MRO-05</t>
        </is>
      </c>
      <c r="F3841" s="17" t="n">
        <v>46138</v>
      </c>
      <c r="G3841" s="17" t="n">
        <v>46149</v>
      </c>
      <c r="H3841" s="18" t="n">
        <v>68</v>
      </c>
      <c r="I3841" s="19" t="n">
        <v>36.63</v>
      </c>
      <c r="J3841" s="19" t="n">
        <v>36</v>
      </c>
      <c r="K3841" s="20" t="n">
        <v>0</v>
      </c>
      <c r="L3841" s="20" t="n">
        <v>0</v>
      </c>
      <c r="M3841" s="18" t="n">
        <v>68</v>
      </c>
      <c r="N3841" s="18" t="n">
        <v>68</v>
      </c>
      <c r="O3841" s="18" t="n">
        <v>0</v>
      </c>
      <c r="P3841" s="17" t="n">
        <v>46143</v>
      </c>
      <c r="Q3841" s="17" t="n">
        <v>46143</v>
      </c>
      <c r="R3841" s="17" t="n">
        <v>46143</v>
      </c>
      <c r="S3841" s="19">
        <f>H3841*I3841</f>
        <v/>
      </c>
      <c r="T3841" s="19">
        <f>H3841*J3841</f>
        <v/>
      </c>
      <c r="U3841">
        <f>IF(AND(K3841=0,G3841&lt;=Assumptions!$C$6),1,0)</f>
        <v/>
      </c>
      <c r="V3841">
        <f>IF(U3841=1,IF(M3841&gt;0,IF(P3841&lt;=G3841+Assumptions!$C$7,1,0),0),0)</f>
        <v/>
      </c>
      <c r="W3841">
        <f>IF(AND(U3841=1,M3841&gt;=H3841*(1-Assumptions!$C$8)),1,0)</f>
        <v/>
      </c>
      <c r="X3841">
        <f>IF(AND(U3841=1,N3841&gt;=H3841*(1-Assumptions!$C$8)),1,0)</f>
        <v/>
      </c>
      <c r="Y3841">
        <f>IF(ISNUMBER(Q3841),1,0)</f>
        <v/>
      </c>
      <c r="Z3841">
        <f>IF(AND(K3841=0,L3841=0,Y3841=0),1,0)</f>
        <v/>
      </c>
      <c r="AA3841">
        <f>IF(AND(Z3841=1,G3841&lt;Assumptions!$C$6),1,0)</f>
        <v/>
      </c>
      <c r="AB3841">
        <f>IF(U3841=0,"",IF(Y3841=1,MAX(0,Q3841-G3841),IF(L3841=1,MAX(0,R3841-G3841),MAX(0,Assumptions!$C$6-G3841))))</f>
        <v/>
      </c>
      <c r="AC3841">
        <f>IF(Y3841=1,Q3841-F3841,"")</f>
        <v/>
      </c>
      <c r="AD3841">
        <f>IF(Y3841=1,AC3841^2,"")</f>
        <v/>
      </c>
      <c r="AE3841" s="19">
        <f>IF(Z3841=1,(H3841-M3841)*I3841,0)</f>
        <v/>
      </c>
      <c r="AF3841">
        <f>IF(G3841&lt;EDATE(Assumptions!$C$6,-12)+1,"prior_12m","last_12m")</f>
        <v/>
      </c>
      <c r="AG3841" s="21">
        <f>DATE(YEAR(G3841),MONTH(G3841),1)</f>
        <v/>
      </c>
    </row>
    <row r="3842">
      <c r="A3842" t="inlineStr">
        <is>
          <t>SPO-02046-1</t>
        </is>
      </c>
      <c r="B3842" t="inlineStr">
        <is>
          <t>SPO-02046</t>
        </is>
      </c>
      <c r="C3842" t="inlineStr">
        <is>
          <t>SUP-02</t>
        </is>
      </c>
      <c r="D3842" t="inlineStr">
        <is>
          <t>ELEC</t>
        </is>
      </c>
      <c r="E3842" t="inlineStr">
        <is>
          <t>ELEC-04</t>
        </is>
      </c>
      <c r="F3842" s="17" t="n">
        <v>46138</v>
      </c>
      <c r="G3842" s="17" t="n">
        <v>46154</v>
      </c>
      <c r="H3842" s="18" t="n">
        <v>28</v>
      </c>
      <c r="I3842" s="19" t="n">
        <v>70.14</v>
      </c>
      <c r="J3842" s="19" t="n">
        <v>72</v>
      </c>
      <c r="K3842" s="20" t="n">
        <v>0</v>
      </c>
      <c r="L3842" s="20" t="n">
        <v>0</v>
      </c>
      <c r="M3842" s="18" t="n">
        <v>28</v>
      </c>
      <c r="N3842" s="18" t="n">
        <v>28</v>
      </c>
      <c r="O3842" s="18" t="n">
        <v>0</v>
      </c>
      <c r="P3842" s="17" t="n">
        <v>46151</v>
      </c>
      <c r="Q3842" s="17" t="n">
        <v>46151</v>
      </c>
      <c r="R3842" s="17" t="n">
        <v>46151</v>
      </c>
      <c r="S3842" s="19">
        <f>H3842*I3842</f>
        <v/>
      </c>
      <c r="T3842" s="19">
        <f>H3842*J3842</f>
        <v/>
      </c>
      <c r="U3842">
        <f>IF(AND(K3842=0,G3842&lt;=Assumptions!$C$6),1,0)</f>
        <v/>
      </c>
      <c r="V3842">
        <f>IF(U3842=1,IF(M3842&gt;0,IF(P3842&lt;=G3842+Assumptions!$C$7,1,0),0),0)</f>
        <v/>
      </c>
      <c r="W3842">
        <f>IF(AND(U3842=1,M3842&gt;=H3842*(1-Assumptions!$C$8)),1,0)</f>
        <v/>
      </c>
      <c r="X3842">
        <f>IF(AND(U3842=1,N3842&gt;=H3842*(1-Assumptions!$C$8)),1,0)</f>
        <v/>
      </c>
      <c r="Y3842">
        <f>IF(ISNUMBER(Q3842),1,0)</f>
        <v/>
      </c>
      <c r="Z3842">
        <f>IF(AND(K3842=0,L3842=0,Y3842=0),1,0)</f>
        <v/>
      </c>
      <c r="AA3842">
        <f>IF(AND(Z3842=1,G3842&lt;Assumptions!$C$6),1,0)</f>
        <v/>
      </c>
      <c r="AB3842">
        <f>IF(U3842=0,"",IF(Y3842=1,MAX(0,Q3842-G3842),IF(L3842=1,MAX(0,R3842-G3842),MAX(0,Assumptions!$C$6-G3842))))</f>
        <v/>
      </c>
      <c r="AC3842">
        <f>IF(Y3842=1,Q3842-F3842,"")</f>
        <v/>
      </c>
      <c r="AD3842">
        <f>IF(Y3842=1,AC3842^2,"")</f>
        <v/>
      </c>
      <c r="AE3842" s="19">
        <f>IF(Z3842=1,(H3842-M3842)*I3842,0)</f>
        <v/>
      </c>
      <c r="AF3842">
        <f>IF(G3842&lt;EDATE(Assumptions!$C$6,-12)+1,"prior_12m","last_12m")</f>
        <v/>
      </c>
      <c r="AG3842" s="21">
        <f>DATE(YEAR(G3842),MONTH(G3842),1)</f>
        <v/>
      </c>
    </row>
    <row r="3843">
      <c r="A3843" t="inlineStr">
        <is>
          <t>SPO-02046-2</t>
        </is>
      </c>
      <c r="B3843" t="inlineStr">
        <is>
          <t>SPO-02046</t>
        </is>
      </c>
      <c r="C3843" t="inlineStr">
        <is>
          <t>SUP-02</t>
        </is>
      </c>
      <c r="D3843" t="inlineStr">
        <is>
          <t>ELEC</t>
        </is>
      </c>
      <c r="E3843" t="inlineStr">
        <is>
          <t>ELEC-07</t>
        </is>
      </c>
      <c r="F3843" s="17" t="n">
        <v>46138</v>
      </c>
      <c r="G3843" s="17" t="n">
        <v>46154</v>
      </c>
      <c r="H3843" s="18" t="n">
        <v>70</v>
      </c>
      <c r="I3843" s="19" t="n">
        <v>10.11</v>
      </c>
      <c r="J3843" s="19" t="n">
        <v>9.800000000000001</v>
      </c>
      <c r="K3843" s="20" t="n">
        <v>0</v>
      </c>
      <c r="L3843" s="20" t="n">
        <v>0</v>
      </c>
      <c r="M3843" s="18" t="n">
        <v>70</v>
      </c>
      <c r="N3843" s="18" t="n">
        <v>70</v>
      </c>
      <c r="O3843" s="18" t="n">
        <v>0</v>
      </c>
      <c r="P3843" s="17" t="n">
        <v>46153</v>
      </c>
      <c r="Q3843" s="17" t="n">
        <v>46153</v>
      </c>
      <c r="R3843" s="17" t="n">
        <v>46153</v>
      </c>
      <c r="S3843" s="19">
        <f>H3843*I3843</f>
        <v/>
      </c>
      <c r="T3843" s="19">
        <f>H3843*J3843</f>
        <v/>
      </c>
      <c r="U3843">
        <f>IF(AND(K3843=0,G3843&lt;=Assumptions!$C$6),1,0)</f>
        <v/>
      </c>
      <c r="V3843">
        <f>IF(U3843=1,IF(M3843&gt;0,IF(P3843&lt;=G3843+Assumptions!$C$7,1,0),0),0)</f>
        <v/>
      </c>
      <c r="W3843">
        <f>IF(AND(U3843=1,M3843&gt;=H3843*(1-Assumptions!$C$8)),1,0)</f>
        <v/>
      </c>
      <c r="X3843">
        <f>IF(AND(U3843=1,N3843&gt;=H3843*(1-Assumptions!$C$8)),1,0)</f>
        <v/>
      </c>
      <c r="Y3843">
        <f>IF(ISNUMBER(Q3843),1,0)</f>
        <v/>
      </c>
      <c r="Z3843">
        <f>IF(AND(K3843=0,L3843=0,Y3843=0),1,0)</f>
        <v/>
      </c>
      <c r="AA3843">
        <f>IF(AND(Z3843=1,G3843&lt;Assumptions!$C$6),1,0)</f>
        <v/>
      </c>
      <c r="AB3843">
        <f>IF(U3843=0,"",IF(Y3843=1,MAX(0,Q3843-G3843),IF(L3843=1,MAX(0,R3843-G3843),MAX(0,Assumptions!$C$6-G3843))))</f>
        <v/>
      </c>
      <c r="AC3843">
        <f>IF(Y3843=1,Q3843-F3843,"")</f>
        <v/>
      </c>
      <c r="AD3843">
        <f>IF(Y3843=1,AC3843^2,"")</f>
        <v/>
      </c>
      <c r="AE3843" s="19">
        <f>IF(Z3843=1,(H3843-M3843)*I3843,0)</f>
        <v/>
      </c>
      <c r="AF3843">
        <f>IF(G3843&lt;EDATE(Assumptions!$C$6,-12)+1,"prior_12m","last_12m")</f>
        <v/>
      </c>
      <c r="AG3843" s="21">
        <f>DATE(YEAR(G3843),MONTH(G3843),1)</f>
        <v/>
      </c>
    </row>
    <row r="3844">
      <c r="A3844" t="inlineStr">
        <is>
          <t>SPO-02047-1</t>
        </is>
      </c>
      <c r="B3844" t="inlineStr">
        <is>
          <t>SPO-02047</t>
        </is>
      </c>
      <c r="C3844" t="inlineStr">
        <is>
          <t>SUP-09</t>
        </is>
      </c>
      <c r="D3844" t="inlineStr">
        <is>
          <t>CHEM</t>
        </is>
      </c>
      <c r="E3844" t="inlineStr">
        <is>
          <t>CHEM-06</t>
        </is>
      </c>
      <c r="F3844" s="17" t="n">
        <v>46139</v>
      </c>
      <c r="G3844" s="17" t="n">
        <v>46153</v>
      </c>
      <c r="H3844" s="18" t="n">
        <v>6</v>
      </c>
      <c r="I3844" s="19" t="n">
        <v>388.54</v>
      </c>
      <c r="J3844" s="19" t="n">
        <v>380</v>
      </c>
      <c r="K3844" s="20" t="n">
        <v>0</v>
      </c>
      <c r="L3844" s="20" t="n">
        <v>0</v>
      </c>
      <c r="M3844" s="18" t="n">
        <v>6</v>
      </c>
      <c r="N3844" s="18" t="n">
        <v>6</v>
      </c>
      <c r="O3844" s="18" t="n">
        <v>0</v>
      </c>
      <c r="P3844" s="17" t="n">
        <v>46149</v>
      </c>
      <c r="Q3844" s="17" t="n">
        <v>46149</v>
      </c>
      <c r="R3844" s="17" t="n">
        <v>46149</v>
      </c>
      <c r="S3844" s="19">
        <f>H3844*I3844</f>
        <v/>
      </c>
      <c r="T3844" s="19">
        <f>H3844*J3844</f>
        <v/>
      </c>
      <c r="U3844">
        <f>IF(AND(K3844=0,G3844&lt;=Assumptions!$C$6),1,0)</f>
        <v/>
      </c>
      <c r="V3844">
        <f>IF(U3844=1,IF(M3844&gt;0,IF(P3844&lt;=G3844+Assumptions!$C$7,1,0),0),0)</f>
        <v/>
      </c>
      <c r="W3844">
        <f>IF(AND(U3844=1,M3844&gt;=H3844*(1-Assumptions!$C$8)),1,0)</f>
        <v/>
      </c>
      <c r="X3844">
        <f>IF(AND(U3844=1,N3844&gt;=H3844*(1-Assumptions!$C$8)),1,0)</f>
        <v/>
      </c>
      <c r="Y3844">
        <f>IF(ISNUMBER(Q3844),1,0)</f>
        <v/>
      </c>
      <c r="Z3844">
        <f>IF(AND(K3844=0,L3844=0,Y3844=0),1,0)</f>
        <v/>
      </c>
      <c r="AA3844">
        <f>IF(AND(Z3844=1,G3844&lt;Assumptions!$C$6),1,0)</f>
        <v/>
      </c>
      <c r="AB3844">
        <f>IF(U3844=0,"",IF(Y3844=1,MAX(0,Q3844-G3844),IF(L3844=1,MAX(0,R3844-G3844),MAX(0,Assumptions!$C$6-G3844))))</f>
        <v/>
      </c>
      <c r="AC3844">
        <f>IF(Y3844=1,Q3844-F3844,"")</f>
        <v/>
      </c>
      <c r="AD3844">
        <f>IF(Y3844=1,AC3844^2,"")</f>
        <v/>
      </c>
      <c r="AE3844" s="19">
        <f>IF(Z3844=1,(H3844-M3844)*I3844,0)</f>
        <v/>
      </c>
      <c r="AF3844">
        <f>IF(G3844&lt;EDATE(Assumptions!$C$6,-12)+1,"prior_12m","last_12m")</f>
        <v/>
      </c>
      <c r="AG3844" s="21">
        <f>DATE(YEAR(G3844),MONTH(G3844),1)</f>
        <v/>
      </c>
    </row>
    <row r="3845">
      <c r="A3845" t="inlineStr">
        <is>
          <t>SPO-02048-1</t>
        </is>
      </c>
      <c r="B3845" t="inlineStr">
        <is>
          <t>SPO-02048</t>
        </is>
      </c>
      <c r="C3845" t="inlineStr">
        <is>
          <t>SUP-04</t>
        </is>
      </c>
      <c r="D3845" t="inlineStr">
        <is>
          <t>FLEET</t>
        </is>
      </c>
      <c r="E3845" t="inlineStr">
        <is>
          <t>FLEET-06</t>
        </is>
      </c>
      <c r="F3845" s="17" t="n">
        <v>46139</v>
      </c>
      <c r="G3845" s="17" t="n">
        <v>46152</v>
      </c>
      <c r="H3845" s="18" t="n">
        <v>182</v>
      </c>
      <c r="I3845" s="19" t="n">
        <v>32.61</v>
      </c>
      <c r="J3845" s="19" t="n">
        <v>33</v>
      </c>
      <c r="K3845" s="20" t="n">
        <v>0</v>
      </c>
      <c r="L3845" s="20" t="n">
        <v>0</v>
      </c>
      <c r="M3845" s="18" t="n">
        <v>182</v>
      </c>
      <c r="N3845" s="18" t="n">
        <v>0</v>
      </c>
      <c r="O3845" s="18" t="n">
        <v>0</v>
      </c>
      <c r="P3845" s="17" t="n">
        <v>46157</v>
      </c>
      <c r="Q3845" s="17" t="n">
        <v>46157</v>
      </c>
      <c r="R3845" s="17" t="n">
        <v>46157</v>
      </c>
      <c r="S3845" s="19">
        <f>H3845*I3845</f>
        <v/>
      </c>
      <c r="T3845" s="19">
        <f>H3845*J3845</f>
        <v/>
      </c>
      <c r="U3845">
        <f>IF(AND(K3845=0,G3845&lt;=Assumptions!$C$6),1,0)</f>
        <v/>
      </c>
      <c r="V3845">
        <f>IF(U3845=1,IF(M3845&gt;0,IF(P3845&lt;=G3845+Assumptions!$C$7,1,0),0),0)</f>
        <v/>
      </c>
      <c r="W3845">
        <f>IF(AND(U3845=1,M3845&gt;=H3845*(1-Assumptions!$C$8)),1,0)</f>
        <v/>
      </c>
      <c r="X3845">
        <f>IF(AND(U3845=1,N3845&gt;=H3845*(1-Assumptions!$C$8)),1,0)</f>
        <v/>
      </c>
      <c r="Y3845">
        <f>IF(ISNUMBER(Q3845),1,0)</f>
        <v/>
      </c>
      <c r="Z3845">
        <f>IF(AND(K3845=0,L3845=0,Y3845=0),1,0)</f>
        <v/>
      </c>
      <c r="AA3845">
        <f>IF(AND(Z3845=1,G3845&lt;Assumptions!$C$6),1,0)</f>
        <v/>
      </c>
      <c r="AB3845">
        <f>IF(U3845=0,"",IF(Y3845=1,MAX(0,Q3845-G3845),IF(L3845=1,MAX(0,R3845-G3845),MAX(0,Assumptions!$C$6-G3845))))</f>
        <v/>
      </c>
      <c r="AC3845">
        <f>IF(Y3845=1,Q3845-F3845,"")</f>
        <v/>
      </c>
      <c r="AD3845">
        <f>IF(Y3845=1,AC3845^2,"")</f>
        <v/>
      </c>
      <c r="AE3845" s="19">
        <f>IF(Z3845=1,(H3845-M3845)*I3845,0)</f>
        <v/>
      </c>
      <c r="AF3845">
        <f>IF(G3845&lt;EDATE(Assumptions!$C$6,-12)+1,"prior_12m","last_12m")</f>
        <v/>
      </c>
      <c r="AG3845" s="21">
        <f>DATE(YEAR(G3845),MONTH(G3845),1)</f>
        <v/>
      </c>
    </row>
    <row r="3846">
      <c r="A3846" t="inlineStr">
        <is>
          <t>SPO-02049-1</t>
        </is>
      </c>
      <c r="B3846" t="inlineStr">
        <is>
          <t>SPO-02049</t>
        </is>
      </c>
      <c r="C3846" t="inlineStr">
        <is>
          <t>SUP-10</t>
        </is>
      </c>
      <c r="D3846" t="inlineStr">
        <is>
          <t>PPE</t>
        </is>
      </c>
      <c r="E3846" t="inlineStr">
        <is>
          <t>PPE-07</t>
        </is>
      </c>
      <c r="F3846" s="17" t="n">
        <v>46139</v>
      </c>
      <c r="G3846" s="17" t="n">
        <v>46152</v>
      </c>
      <c r="H3846" s="18" t="n">
        <v>26</v>
      </c>
      <c r="I3846" s="19" t="n">
        <v>30.42</v>
      </c>
      <c r="J3846" s="19" t="n">
        <v>31</v>
      </c>
      <c r="K3846" s="20" t="n">
        <v>0</v>
      </c>
      <c r="L3846" s="20" t="n">
        <v>0</v>
      </c>
      <c r="M3846" s="18" t="n">
        <v>26</v>
      </c>
      <c r="N3846" s="18" t="n">
        <v>26</v>
      </c>
      <c r="O3846" s="18" t="n">
        <v>0</v>
      </c>
      <c r="P3846" s="17" t="n">
        <v>46149</v>
      </c>
      <c r="Q3846" s="17" t="n">
        <v>46149</v>
      </c>
      <c r="R3846" s="17" t="n">
        <v>46149</v>
      </c>
      <c r="S3846" s="19">
        <f>H3846*I3846</f>
        <v/>
      </c>
      <c r="T3846" s="19">
        <f>H3846*J3846</f>
        <v/>
      </c>
      <c r="U3846">
        <f>IF(AND(K3846=0,G3846&lt;=Assumptions!$C$6),1,0)</f>
        <v/>
      </c>
      <c r="V3846">
        <f>IF(U3846=1,IF(M3846&gt;0,IF(P3846&lt;=G3846+Assumptions!$C$7,1,0),0),0)</f>
        <v/>
      </c>
      <c r="W3846">
        <f>IF(AND(U3846=1,M3846&gt;=H3846*(1-Assumptions!$C$8)),1,0)</f>
        <v/>
      </c>
      <c r="X3846">
        <f>IF(AND(U3846=1,N3846&gt;=H3846*(1-Assumptions!$C$8)),1,0)</f>
        <v/>
      </c>
      <c r="Y3846">
        <f>IF(ISNUMBER(Q3846),1,0)</f>
        <v/>
      </c>
      <c r="Z3846">
        <f>IF(AND(K3846=0,L3846=0,Y3846=0),1,0)</f>
        <v/>
      </c>
      <c r="AA3846">
        <f>IF(AND(Z3846=1,G3846&lt;Assumptions!$C$6),1,0)</f>
        <v/>
      </c>
      <c r="AB3846">
        <f>IF(U3846=0,"",IF(Y3846=1,MAX(0,Q3846-G3846),IF(L3846=1,MAX(0,R3846-G3846),MAX(0,Assumptions!$C$6-G3846))))</f>
        <v/>
      </c>
      <c r="AC3846">
        <f>IF(Y3846=1,Q3846-F3846,"")</f>
        <v/>
      </c>
      <c r="AD3846">
        <f>IF(Y3846=1,AC3846^2,"")</f>
        <v/>
      </c>
      <c r="AE3846" s="19">
        <f>IF(Z3846=1,(H3846-M3846)*I3846,0)</f>
        <v/>
      </c>
      <c r="AF3846">
        <f>IF(G3846&lt;EDATE(Assumptions!$C$6,-12)+1,"prior_12m","last_12m")</f>
        <v/>
      </c>
      <c r="AG3846" s="21">
        <f>DATE(YEAR(G3846),MONTH(G3846),1)</f>
        <v/>
      </c>
    </row>
    <row r="3847">
      <c r="A3847" t="inlineStr">
        <is>
          <t>SPO-02049-2</t>
        </is>
      </c>
      <c r="B3847" t="inlineStr">
        <is>
          <t>SPO-02049</t>
        </is>
      </c>
      <c r="C3847" t="inlineStr">
        <is>
          <t>SUP-10</t>
        </is>
      </c>
      <c r="D3847" t="inlineStr">
        <is>
          <t>PPE</t>
        </is>
      </c>
      <c r="E3847" t="inlineStr">
        <is>
          <t>PPE-04</t>
        </is>
      </c>
      <c r="F3847" s="17" t="n">
        <v>46139</v>
      </c>
      <c r="G3847" s="17" t="n">
        <v>46152</v>
      </c>
      <c r="H3847" s="18" t="n">
        <v>77</v>
      </c>
      <c r="I3847" s="19" t="n">
        <v>25.58</v>
      </c>
      <c r="J3847" s="19" t="n">
        <v>26</v>
      </c>
      <c r="K3847" s="20" t="n">
        <v>0</v>
      </c>
      <c r="L3847" s="20" t="n">
        <v>0</v>
      </c>
      <c r="M3847" s="18" t="n">
        <v>77</v>
      </c>
      <c r="N3847" s="18" t="n">
        <v>0</v>
      </c>
      <c r="O3847" s="18" t="n">
        <v>0</v>
      </c>
      <c r="P3847" s="17" t="n">
        <v>46155</v>
      </c>
      <c r="Q3847" s="17" t="n">
        <v>46155</v>
      </c>
      <c r="R3847" s="17" t="n">
        <v>46155</v>
      </c>
      <c r="S3847" s="19">
        <f>H3847*I3847</f>
        <v/>
      </c>
      <c r="T3847" s="19">
        <f>H3847*J3847</f>
        <v/>
      </c>
      <c r="U3847">
        <f>IF(AND(K3847=0,G3847&lt;=Assumptions!$C$6),1,0)</f>
        <v/>
      </c>
      <c r="V3847">
        <f>IF(U3847=1,IF(M3847&gt;0,IF(P3847&lt;=G3847+Assumptions!$C$7,1,0),0),0)</f>
        <v/>
      </c>
      <c r="W3847">
        <f>IF(AND(U3847=1,M3847&gt;=H3847*(1-Assumptions!$C$8)),1,0)</f>
        <v/>
      </c>
      <c r="X3847">
        <f>IF(AND(U3847=1,N3847&gt;=H3847*(1-Assumptions!$C$8)),1,0)</f>
        <v/>
      </c>
      <c r="Y3847">
        <f>IF(ISNUMBER(Q3847),1,0)</f>
        <v/>
      </c>
      <c r="Z3847">
        <f>IF(AND(K3847=0,L3847=0,Y3847=0),1,0)</f>
        <v/>
      </c>
      <c r="AA3847">
        <f>IF(AND(Z3847=1,G3847&lt;Assumptions!$C$6),1,0)</f>
        <v/>
      </c>
      <c r="AB3847">
        <f>IF(U3847=0,"",IF(Y3847=1,MAX(0,Q3847-G3847),IF(L3847=1,MAX(0,R3847-G3847),MAX(0,Assumptions!$C$6-G3847))))</f>
        <v/>
      </c>
      <c r="AC3847">
        <f>IF(Y3847=1,Q3847-F3847,"")</f>
        <v/>
      </c>
      <c r="AD3847">
        <f>IF(Y3847=1,AC3847^2,"")</f>
        <v/>
      </c>
      <c r="AE3847" s="19">
        <f>IF(Z3847=1,(H3847-M3847)*I3847,0)</f>
        <v/>
      </c>
      <c r="AF3847">
        <f>IF(G3847&lt;EDATE(Assumptions!$C$6,-12)+1,"prior_12m","last_12m")</f>
        <v/>
      </c>
      <c r="AG3847" s="21">
        <f>DATE(YEAR(G3847),MONTH(G3847),1)</f>
        <v/>
      </c>
    </row>
    <row r="3848">
      <c r="A3848" t="inlineStr">
        <is>
          <t>SPO-02050-1</t>
        </is>
      </c>
      <c r="B3848" t="inlineStr">
        <is>
          <t>SPO-02050</t>
        </is>
      </c>
      <c r="C3848" t="inlineStr">
        <is>
          <t>SUP-01</t>
        </is>
      </c>
      <c r="D3848" t="inlineStr">
        <is>
          <t>ELEC</t>
        </is>
      </c>
      <c r="E3848" t="inlineStr">
        <is>
          <t>ELEC-04</t>
        </is>
      </c>
      <c r="F3848" s="17" t="n">
        <v>46139</v>
      </c>
      <c r="G3848" s="17" t="n">
        <v>46157</v>
      </c>
      <c r="H3848" s="18" t="n">
        <v>27</v>
      </c>
      <c r="I3848" s="19" t="n">
        <v>72.55</v>
      </c>
      <c r="J3848" s="19" t="n">
        <v>72</v>
      </c>
      <c r="K3848" s="20" t="n">
        <v>0</v>
      </c>
      <c r="L3848" s="20" t="n">
        <v>0</v>
      </c>
      <c r="M3848" s="18" t="n">
        <v>27</v>
      </c>
      <c r="N3848" s="18" t="n">
        <v>27</v>
      </c>
      <c r="O3848" s="18" t="n">
        <v>0</v>
      </c>
      <c r="P3848" s="17" t="n">
        <v>46146</v>
      </c>
      <c r="Q3848" s="17" t="n">
        <v>46146</v>
      </c>
      <c r="R3848" s="17" t="n">
        <v>46146</v>
      </c>
      <c r="S3848" s="19">
        <f>H3848*I3848</f>
        <v/>
      </c>
      <c r="T3848" s="19">
        <f>H3848*J3848</f>
        <v/>
      </c>
      <c r="U3848">
        <f>IF(AND(K3848=0,G3848&lt;=Assumptions!$C$6),1,0)</f>
        <v/>
      </c>
      <c r="V3848">
        <f>IF(U3848=1,IF(M3848&gt;0,IF(P3848&lt;=G3848+Assumptions!$C$7,1,0),0),0)</f>
        <v/>
      </c>
      <c r="W3848">
        <f>IF(AND(U3848=1,M3848&gt;=H3848*(1-Assumptions!$C$8)),1,0)</f>
        <v/>
      </c>
      <c r="X3848">
        <f>IF(AND(U3848=1,N3848&gt;=H3848*(1-Assumptions!$C$8)),1,0)</f>
        <v/>
      </c>
      <c r="Y3848">
        <f>IF(ISNUMBER(Q3848),1,0)</f>
        <v/>
      </c>
      <c r="Z3848">
        <f>IF(AND(K3848=0,L3848=0,Y3848=0),1,0)</f>
        <v/>
      </c>
      <c r="AA3848">
        <f>IF(AND(Z3848=1,G3848&lt;Assumptions!$C$6),1,0)</f>
        <v/>
      </c>
      <c r="AB3848">
        <f>IF(U3848=0,"",IF(Y3848=1,MAX(0,Q3848-G3848),IF(L3848=1,MAX(0,R3848-G3848),MAX(0,Assumptions!$C$6-G3848))))</f>
        <v/>
      </c>
      <c r="AC3848">
        <f>IF(Y3848=1,Q3848-F3848,"")</f>
        <v/>
      </c>
      <c r="AD3848">
        <f>IF(Y3848=1,AC3848^2,"")</f>
        <v/>
      </c>
      <c r="AE3848" s="19">
        <f>IF(Z3848=1,(H3848-M3848)*I3848,0)</f>
        <v/>
      </c>
      <c r="AF3848">
        <f>IF(G3848&lt;EDATE(Assumptions!$C$6,-12)+1,"prior_12m","last_12m")</f>
        <v/>
      </c>
      <c r="AG3848" s="21">
        <f>DATE(YEAR(G3848),MONTH(G3848),1)</f>
        <v/>
      </c>
    </row>
    <row r="3849">
      <c r="A3849" t="inlineStr">
        <is>
          <t>SPO-02051-1</t>
        </is>
      </c>
      <c r="B3849" t="inlineStr">
        <is>
          <t>SPO-02051</t>
        </is>
      </c>
      <c r="C3849" t="inlineStr">
        <is>
          <t>SUP-12</t>
        </is>
      </c>
      <c r="D3849" t="inlineStr">
        <is>
          <t>IT</t>
        </is>
      </c>
      <c r="E3849" t="inlineStr">
        <is>
          <t>IT-03</t>
        </is>
      </c>
      <c r="F3849" s="17" t="n">
        <v>46140</v>
      </c>
      <c r="G3849" s="17" t="n">
        <v>46150</v>
      </c>
      <c r="H3849" s="18" t="n">
        <v>19</v>
      </c>
      <c r="I3849" s="19" t="n">
        <v>45.04</v>
      </c>
      <c r="J3849" s="19" t="n">
        <v>38</v>
      </c>
      <c r="K3849" s="20" t="n">
        <v>0</v>
      </c>
      <c r="L3849" s="20" t="n">
        <v>0</v>
      </c>
      <c r="M3849" s="18" t="n">
        <v>19</v>
      </c>
      <c r="N3849" s="18" t="n">
        <v>19</v>
      </c>
      <c r="O3849" s="18" t="n">
        <v>0</v>
      </c>
      <c r="P3849" s="17" t="n">
        <v>46146</v>
      </c>
      <c r="Q3849" s="17" t="n">
        <v>46146</v>
      </c>
      <c r="R3849" s="17" t="n">
        <v>46146</v>
      </c>
      <c r="S3849" s="19">
        <f>H3849*I3849</f>
        <v/>
      </c>
      <c r="T3849" s="19">
        <f>H3849*J3849</f>
        <v/>
      </c>
      <c r="U3849">
        <f>IF(AND(K3849=0,G3849&lt;=Assumptions!$C$6),1,0)</f>
        <v/>
      </c>
      <c r="V3849">
        <f>IF(U3849=1,IF(M3849&gt;0,IF(P3849&lt;=G3849+Assumptions!$C$7,1,0),0),0)</f>
        <v/>
      </c>
      <c r="W3849">
        <f>IF(AND(U3849=1,M3849&gt;=H3849*(1-Assumptions!$C$8)),1,0)</f>
        <v/>
      </c>
      <c r="X3849">
        <f>IF(AND(U3849=1,N3849&gt;=H3849*(1-Assumptions!$C$8)),1,0)</f>
        <v/>
      </c>
      <c r="Y3849">
        <f>IF(ISNUMBER(Q3849),1,0)</f>
        <v/>
      </c>
      <c r="Z3849">
        <f>IF(AND(K3849=0,L3849=0,Y3849=0),1,0)</f>
        <v/>
      </c>
      <c r="AA3849">
        <f>IF(AND(Z3849=1,G3849&lt;Assumptions!$C$6),1,0)</f>
        <v/>
      </c>
      <c r="AB3849">
        <f>IF(U3849=0,"",IF(Y3849=1,MAX(0,Q3849-G3849),IF(L3849=1,MAX(0,R3849-G3849),MAX(0,Assumptions!$C$6-G3849))))</f>
        <v/>
      </c>
      <c r="AC3849">
        <f>IF(Y3849=1,Q3849-F3849,"")</f>
        <v/>
      </c>
      <c r="AD3849">
        <f>IF(Y3849=1,AC3849^2,"")</f>
        <v/>
      </c>
      <c r="AE3849" s="19">
        <f>IF(Z3849=1,(H3849-M3849)*I3849,0)</f>
        <v/>
      </c>
      <c r="AF3849">
        <f>IF(G3849&lt;EDATE(Assumptions!$C$6,-12)+1,"prior_12m","last_12m")</f>
        <v/>
      </c>
      <c r="AG3849" s="21">
        <f>DATE(YEAR(G3849),MONTH(G3849),1)</f>
        <v/>
      </c>
    </row>
    <row r="3850">
      <c r="A3850" t="inlineStr">
        <is>
          <t>SPO-02051-2</t>
        </is>
      </c>
      <c r="B3850" t="inlineStr">
        <is>
          <t>SPO-02051</t>
        </is>
      </c>
      <c r="C3850" t="inlineStr">
        <is>
          <t>SUP-12</t>
        </is>
      </c>
      <c r="D3850" t="inlineStr">
        <is>
          <t>IT</t>
        </is>
      </c>
      <c r="E3850" t="inlineStr">
        <is>
          <t>IT-06</t>
        </is>
      </c>
      <c r="F3850" s="17" t="n">
        <v>46140</v>
      </c>
      <c r="G3850" s="17" t="n">
        <v>46150</v>
      </c>
      <c r="H3850" s="18" t="n">
        <v>28</v>
      </c>
      <c r="I3850" s="19" t="n">
        <v>98.95999999999999</v>
      </c>
      <c r="J3850" s="19" t="n">
        <v>89</v>
      </c>
      <c r="K3850" s="20" t="n">
        <v>0</v>
      </c>
      <c r="L3850" s="20" t="n">
        <v>0</v>
      </c>
      <c r="M3850" s="18" t="n">
        <v>28</v>
      </c>
      <c r="N3850" s="18" t="n">
        <v>28</v>
      </c>
      <c r="O3850" s="18" t="n">
        <v>0</v>
      </c>
      <c r="P3850" s="17" t="n">
        <v>46146</v>
      </c>
      <c r="Q3850" s="17" t="n">
        <v>46146</v>
      </c>
      <c r="R3850" s="17" t="n">
        <v>46146</v>
      </c>
      <c r="S3850" s="19">
        <f>H3850*I3850</f>
        <v/>
      </c>
      <c r="T3850" s="19">
        <f>H3850*J3850</f>
        <v/>
      </c>
      <c r="U3850">
        <f>IF(AND(K3850=0,G3850&lt;=Assumptions!$C$6),1,0)</f>
        <v/>
      </c>
      <c r="V3850">
        <f>IF(U3850=1,IF(M3850&gt;0,IF(P3850&lt;=G3850+Assumptions!$C$7,1,0),0),0)</f>
        <v/>
      </c>
      <c r="W3850">
        <f>IF(AND(U3850=1,M3850&gt;=H3850*(1-Assumptions!$C$8)),1,0)</f>
        <v/>
      </c>
      <c r="X3850">
        <f>IF(AND(U3850=1,N3850&gt;=H3850*(1-Assumptions!$C$8)),1,0)</f>
        <v/>
      </c>
      <c r="Y3850">
        <f>IF(ISNUMBER(Q3850),1,0)</f>
        <v/>
      </c>
      <c r="Z3850">
        <f>IF(AND(K3850=0,L3850=0,Y3850=0),1,0)</f>
        <v/>
      </c>
      <c r="AA3850">
        <f>IF(AND(Z3850=1,G3850&lt;Assumptions!$C$6),1,0)</f>
        <v/>
      </c>
      <c r="AB3850">
        <f>IF(U3850=0,"",IF(Y3850=1,MAX(0,Q3850-G3850),IF(L3850=1,MAX(0,R3850-G3850),MAX(0,Assumptions!$C$6-G3850))))</f>
        <v/>
      </c>
      <c r="AC3850">
        <f>IF(Y3850=1,Q3850-F3850,"")</f>
        <v/>
      </c>
      <c r="AD3850">
        <f>IF(Y3850=1,AC3850^2,"")</f>
        <v/>
      </c>
      <c r="AE3850" s="19">
        <f>IF(Z3850=1,(H3850-M3850)*I3850,0)</f>
        <v/>
      </c>
      <c r="AF3850">
        <f>IF(G3850&lt;EDATE(Assumptions!$C$6,-12)+1,"prior_12m","last_12m")</f>
        <v/>
      </c>
      <c r="AG3850" s="21">
        <f>DATE(YEAR(G3850),MONTH(G3850),1)</f>
        <v/>
      </c>
    </row>
    <row r="3851">
      <c r="A3851" t="inlineStr">
        <is>
          <t>SPO-02052-1</t>
        </is>
      </c>
      <c r="B3851" t="inlineStr">
        <is>
          <t>SPO-02052</t>
        </is>
      </c>
      <c r="C3851" t="inlineStr">
        <is>
          <t>SUP-02</t>
        </is>
      </c>
      <c r="D3851" t="inlineStr">
        <is>
          <t>ELEC</t>
        </is>
      </c>
      <c r="E3851" t="inlineStr">
        <is>
          <t>ELEC-03</t>
        </is>
      </c>
      <c r="F3851" s="17" t="n">
        <v>46140</v>
      </c>
      <c r="G3851" s="17" t="n">
        <v>46156</v>
      </c>
      <c r="H3851" s="18" t="n">
        <v>12</v>
      </c>
      <c r="I3851" s="19" t="n">
        <v>93.78</v>
      </c>
      <c r="J3851" s="19" t="n">
        <v>96</v>
      </c>
      <c r="K3851" s="20" t="n">
        <v>0</v>
      </c>
      <c r="L3851" s="20" t="n">
        <v>0</v>
      </c>
      <c r="M3851" s="18" t="n">
        <v>12</v>
      </c>
      <c r="N3851" s="18" t="n">
        <v>12</v>
      </c>
      <c r="O3851" s="18" t="n">
        <v>0</v>
      </c>
      <c r="P3851" s="17" t="n">
        <v>46154</v>
      </c>
      <c r="Q3851" s="17" t="n">
        <v>46154</v>
      </c>
      <c r="R3851" s="17" t="n">
        <v>46154</v>
      </c>
      <c r="S3851" s="19">
        <f>H3851*I3851</f>
        <v/>
      </c>
      <c r="T3851" s="19">
        <f>H3851*J3851</f>
        <v/>
      </c>
      <c r="U3851">
        <f>IF(AND(K3851=0,G3851&lt;=Assumptions!$C$6),1,0)</f>
        <v/>
      </c>
      <c r="V3851">
        <f>IF(U3851=1,IF(M3851&gt;0,IF(P3851&lt;=G3851+Assumptions!$C$7,1,0),0),0)</f>
        <v/>
      </c>
      <c r="W3851">
        <f>IF(AND(U3851=1,M3851&gt;=H3851*(1-Assumptions!$C$8)),1,0)</f>
        <v/>
      </c>
      <c r="X3851">
        <f>IF(AND(U3851=1,N3851&gt;=H3851*(1-Assumptions!$C$8)),1,0)</f>
        <v/>
      </c>
      <c r="Y3851">
        <f>IF(ISNUMBER(Q3851),1,0)</f>
        <v/>
      </c>
      <c r="Z3851">
        <f>IF(AND(K3851=0,L3851=0,Y3851=0),1,0)</f>
        <v/>
      </c>
      <c r="AA3851">
        <f>IF(AND(Z3851=1,G3851&lt;Assumptions!$C$6),1,0)</f>
        <v/>
      </c>
      <c r="AB3851">
        <f>IF(U3851=0,"",IF(Y3851=1,MAX(0,Q3851-G3851),IF(L3851=1,MAX(0,R3851-G3851),MAX(0,Assumptions!$C$6-G3851))))</f>
        <v/>
      </c>
      <c r="AC3851">
        <f>IF(Y3851=1,Q3851-F3851,"")</f>
        <v/>
      </c>
      <c r="AD3851">
        <f>IF(Y3851=1,AC3851^2,"")</f>
        <v/>
      </c>
      <c r="AE3851" s="19">
        <f>IF(Z3851=1,(H3851-M3851)*I3851,0)</f>
        <v/>
      </c>
      <c r="AF3851">
        <f>IF(G3851&lt;EDATE(Assumptions!$C$6,-12)+1,"prior_12m","last_12m")</f>
        <v/>
      </c>
      <c r="AG3851" s="21">
        <f>DATE(YEAR(G3851),MONTH(G3851),1)</f>
        <v/>
      </c>
    </row>
    <row r="3852">
      <c r="A3852" t="inlineStr">
        <is>
          <t>SPO-02052-2</t>
        </is>
      </c>
      <c r="B3852" t="inlineStr">
        <is>
          <t>SPO-02052</t>
        </is>
      </c>
      <c r="C3852" t="inlineStr">
        <is>
          <t>SUP-02</t>
        </is>
      </c>
      <c r="D3852" t="inlineStr">
        <is>
          <t>ELEC</t>
        </is>
      </c>
      <c r="E3852" t="inlineStr">
        <is>
          <t>ELEC-08</t>
        </is>
      </c>
      <c r="F3852" s="17" t="n">
        <v>46140</v>
      </c>
      <c r="G3852" s="17" t="n">
        <v>46156</v>
      </c>
      <c r="H3852" s="18" t="n">
        <v>155</v>
      </c>
      <c r="I3852" s="19" t="n">
        <v>18.45</v>
      </c>
      <c r="J3852" s="19" t="n">
        <v>18</v>
      </c>
      <c r="K3852" s="20" t="n">
        <v>0</v>
      </c>
      <c r="L3852" s="20" t="n">
        <v>0</v>
      </c>
      <c r="M3852" s="18" t="n">
        <v>155</v>
      </c>
      <c r="N3852" s="18" t="n">
        <v>155</v>
      </c>
      <c r="O3852" s="18" t="n">
        <v>0</v>
      </c>
      <c r="P3852" s="17" t="n">
        <v>46152</v>
      </c>
      <c r="Q3852" s="17" t="n">
        <v>46152</v>
      </c>
      <c r="R3852" s="17" t="n">
        <v>46152</v>
      </c>
      <c r="S3852" s="19">
        <f>H3852*I3852</f>
        <v/>
      </c>
      <c r="T3852" s="19">
        <f>H3852*J3852</f>
        <v/>
      </c>
      <c r="U3852">
        <f>IF(AND(K3852=0,G3852&lt;=Assumptions!$C$6),1,0)</f>
        <v/>
      </c>
      <c r="V3852">
        <f>IF(U3852=1,IF(M3852&gt;0,IF(P3852&lt;=G3852+Assumptions!$C$7,1,0),0),0)</f>
        <v/>
      </c>
      <c r="W3852">
        <f>IF(AND(U3852=1,M3852&gt;=H3852*(1-Assumptions!$C$8)),1,0)</f>
        <v/>
      </c>
      <c r="X3852">
        <f>IF(AND(U3852=1,N3852&gt;=H3852*(1-Assumptions!$C$8)),1,0)</f>
        <v/>
      </c>
      <c r="Y3852">
        <f>IF(ISNUMBER(Q3852),1,0)</f>
        <v/>
      </c>
      <c r="Z3852">
        <f>IF(AND(K3852=0,L3852=0,Y3852=0),1,0)</f>
        <v/>
      </c>
      <c r="AA3852">
        <f>IF(AND(Z3852=1,G3852&lt;Assumptions!$C$6),1,0)</f>
        <v/>
      </c>
      <c r="AB3852">
        <f>IF(U3852=0,"",IF(Y3852=1,MAX(0,Q3852-G3852),IF(L3852=1,MAX(0,R3852-G3852),MAX(0,Assumptions!$C$6-G3852))))</f>
        <v/>
      </c>
      <c r="AC3852">
        <f>IF(Y3852=1,Q3852-F3852,"")</f>
        <v/>
      </c>
      <c r="AD3852">
        <f>IF(Y3852=1,AC3852^2,"")</f>
        <v/>
      </c>
      <c r="AE3852" s="19">
        <f>IF(Z3852=1,(H3852-M3852)*I3852,0)</f>
        <v/>
      </c>
      <c r="AF3852">
        <f>IF(G3852&lt;EDATE(Assumptions!$C$6,-12)+1,"prior_12m","last_12m")</f>
        <v/>
      </c>
      <c r="AG3852" s="21">
        <f>DATE(YEAR(G3852),MONTH(G3852),1)</f>
        <v/>
      </c>
    </row>
    <row r="3853">
      <c r="A3853" t="inlineStr">
        <is>
          <t>SPO-02052-3</t>
        </is>
      </c>
      <c r="B3853" t="inlineStr">
        <is>
          <t>SPO-02052</t>
        </is>
      </c>
      <c r="C3853" t="inlineStr">
        <is>
          <t>SUP-02</t>
        </is>
      </c>
      <c r="D3853" t="inlineStr">
        <is>
          <t>ELEC</t>
        </is>
      </c>
      <c r="E3853" t="inlineStr">
        <is>
          <t>ELEC-07</t>
        </is>
      </c>
      <c r="F3853" s="17" t="n">
        <v>46140</v>
      </c>
      <c r="G3853" s="17" t="n">
        <v>46156</v>
      </c>
      <c r="H3853" s="18" t="n">
        <v>78</v>
      </c>
      <c r="I3853" s="19" t="n">
        <v>10.07</v>
      </c>
      <c r="J3853" s="19" t="n">
        <v>9.800000000000001</v>
      </c>
      <c r="K3853" s="20" t="n">
        <v>0</v>
      </c>
      <c r="L3853" s="20" t="n">
        <v>0</v>
      </c>
      <c r="M3853" s="18" t="n">
        <v>78</v>
      </c>
      <c r="N3853" s="18" t="n">
        <v>78</v>
      </c>
      <c r="O3853" s="18" t="n">
        <v>0</v>
      </c>
      <c r="P3853" s="17" t="n">
        <v>46154</v>
      </c>
      <c r="Q3853" s="17" t="n">
        <v>46154</v>
      </c>
      <c r="R3853" s="17" t="n">
        <v>46154</v>
      </c>
      <c r="S3853" s="19">
        <f>H3853*I3853</f>
        <v/>
      </c>
      <c r="T3853" s="19">
        <f>H3853*J3853</f>
        <v/>
      </c>
      <c r="U3853">
        <f>IF(AND(K3853=0,G3853&lt;=Assumptions!$C$6),1,0)</f>
        <v/>
      </c>
      <c r="V3853">
        <f>IF(U3853=1,IF(M3853&gt;0,IF(P3853&lt;=G3853+Assumptions!$C$7,1,0),0),0)</f>
        <v/>
      </c>
      <c r="W3853">
        <f>IF(AND(U3853=1,M3853&gt;=H3853*(1-Assumptions!$C$8)),1,0)</f>
        <v/>
      </c>
      <c r="X3853">
        <f>IF(AND(U3853=1,N3853&gt;=H3853*(1-Assumptions!$C$8)),1,0)</f>
        <v/>
      </c>
      <c r="Y3853">
        <f>IF(ISNUMBER(Q3853),1,0)</f>
        <v/>
      </c>
      <c r="Z3853">
        <f>IF(AND(K3853=0,L3853=0,Y3853=0),1,0)</f>
        <v/>
      </c>
      <c r="AA3853">
        <f>IF(AND(Z3853=1,G3853&lt;Assumptions!$C$6),1,0)</f>
        <v/>
      </c>
      <c r="AB3853">
        <f>IF(U3853=0,"",IF(Y3853=1,MAX(0,Q3853-G3853),IF(L3853=1,MAX(0,R3853-G3853),MAX(0,Assumptions!$C$6-G3853))))</f>
        <v/>
      </c>
      <c r="AC3853">
        <f>IF(Y3853=1,Q3853-F3853,"")</f>
        <v/>
      </c>
      <c r="AD3853">
        <f>IF(Y3853=1,AC3853^2,"")</f>
        <v/>
      </c>
      <c r="AE3853" s="19">
        <f>IF(Z3853=1,(H3853-M3853)*I3853,0)</f>
        <v/>
      </c>
      <c r="AF3853">
        <f>IF(G3853&lt;EDATE(Assumptions!$C$6,-12)+1,"prior_12m","last_12m")</f>
        <v/>
      </c>
      <c r="AG3853" s="21">
        <f>DATE(YEAR(G3853),MONTH(G3853),1)</f>
        <v/>
      </c>
    </row>
    <row r="3854">
      <c r="A3854" t="inlineStr">
        <is>
          <t>SPO-02053-1</t>
        </is>
      </c>
      <c r="B3854" t="inlineStr">
        <is>
          <t>SPO-02053</t>
        </is>
      </c>
      <c r="C3854" t="inlineStr">
        <is>
          <t>SUP-09</t>
        </is>
      </c>
      <c r="D3854" t="inlineStr">
        <is>
          <t>CHEM</t>
        </is>
      </c>
      <c r="E3854" t="inlineStr">
        <is>
          <t>CHEM-05</t>
        </is>
      </c>
      <c r="F3854" s="17" t="n">
        <v>46140</v>
      </c>
      <c r="G3854" s="17" t="n">
        <v>46154</v>
      </c>
      <c r="H3854" s="18" t="n">
        <v>1</v>
      </c>
      <c r="I3854" s="19" t="n">
        <v>961.8</v>
      </c>
      <c r="J3854" s="19" t="n">
        <v>930</v>
      </c>
      <c r="K3854" s="20" t="n">
        <v>0</v>
      </c>
      <c r="L3854" s="20" t="n">
        <v>0</v>
      </c>
      <c r="M3854" s="18" t="n">
        <v>1</v>
      </c>
      <c r="N3854" s="18" t="n">
        <v>1</v>
      </c>
      <c r="O3854" s="18" t="n">
        <v>0</v>
      </c>
      <c r="P3854" s="17" t="n">
        <v>46154</v>
      </c>
      <c r="Q3854" s="17" t="n">
        <v>46154</v>
      </c>
      <c r="R3854" s="17" t="n">
        <v>46154</v>
      </c>
      <c r="S3854" s="19">
        <f>H3854*I3854</f>
        <v/>
      </c>
      <c r="T3854" s="19">
        <f>H3854*J3854</f>
        <v/>
      </c>
      <c r="U3854">
        <f>IF(AND(K3854=0,G3854&lt;=Assumptions!$C$6),1,0)</f>
        <v/>
      </c>
      <c r="V3854">
        <f>IF(U3854=1,IF(M3854&gt;0,IF(P3854&lt;=G3854+Assumptions!$C$7,1,0),0),0)</f>
        <v/>
      </c>
      <c r="W3854">
        <f>IF(AND(U3854=1,M3854&gt;=H3854*(1-Assumptions!$C$8)),1,0)</f>
        <v/>
      </c>
      <c r="X3854">
        <f>IF(AND(U3854=1,N3854&gt;=H3854*(1-Assumptions!$C$8)),1,0)</f>
        <v/>
      </c>
      <c r="Y3854">
        <f>IF(ISNUMBER(Q3854),1,0)</f>
        <v/>
      </c>
      <c r="Z3854">
        <f>IF(AND(K3854=0,L3854=0,Y3854=0),1,0)</f>
        <v/>
      </c>
      <c r="AA3854">
        <f>IF(AND(Z3854=1,G3854&lt;Assumptions!$C$6),1,0)</f>
        <v/>
      </c>
      <c r="AB3854">
        <f>IF(U3854=0,"",IF(Y3854=1,MAX(0,Q3854-G3854),IF(L3854=1,MAX(0,R3854-G3854),MAX(0,Assumptions!$C$6-G3854))))</f>
        <v/>
      </c>
      <c r="AC3854">
        <f>IF(Y3854=1,Q3854-F3854,"")</f>
        <v/>
      </c>
      <c r="AD3854">
        <f>IF(Y3854=1,AC3854^2,"")</f>
        <v/>
      </c>
      <c r="AE3854" s="19">
        <f>IF(Z3854=1,(H3854-M3854)*I3854,0)</f>
        <v/>
      </c>
      <c r="AF3854">
        <f>IF(G3854&lt;EDATE(Assumptions!$C$6,-12)+1,"prior_12m","last_12m")</f>
        <v/>
      </c>
      <c r="AG3854" s="21">
        <f>DATE(YEAR(G3854),MONTH(G3854),1)</f>
        <v/>
      </c>
    </row>
    <row r="3855">
      <c r="A3855" t="inlineStr">
        <is>
          <t>SPO-02053-2</t>
        </is>
      </c>
      <c r="B3855" t="inlineStr">
        <is>
          <t>SPO-02053</t>
        </is>
      </c>
      <c r="C3855" t="inlineStr">
        <is>
          <t>SUP-09</t>
        </is>
      </c>
      <c r="D3855" t="inlineStr">
        <is>
          <t>CHEM</t>
        </is>
      </c>
      <c r="E3855" t="inlineStr">
        <is>
          <t>CHEM-02</t>
        </is>
      </c>
      <c r="F3855" s="17" t="n">
        <v>46140</v>
      </c>
      <c r="G3855" s="17" t="n">
        <v>46154</v>
      </c>
      <c r="H3855" s="18" t="n">
        <v>9</v>
      </c>
      <c r="I3855" s="19" t="n">
        <v>400.91</v>
      </c>
      <c r="J3855" s="19" t="n">
        <v>410</v>
      </c>
      <c r="K3855" s="20" t="n">
        <v>0</v>
      </c>
      <c r="L3855" s="20" t="n">
        <v>0</v>
      </c>
      <c r="M3855" s="18" t="n">
        <v>9</v>
      </c>
      <c r="N3855" s="18" t="n">
        <v>9</v>
      </c>
      <c r="O3855" s="18" t="n">
        <v>0</v>
      </c>
      <c r="P3855" s="17" t="n">
        <v>46152</v>
      </c>
      <c r="Q3855" s="17" t="n">
        <v>46152</v>
      </c>
      <c r="R3855" s="17" t="n">
        <v>46152</v>
      </c>
      <c r="S3855" s="19">
        <f>H3855*I3855</f>
        <v/>
      </c>
      <c r="T3855" s="19">
        <f>H3855*J3855</f>
        <v/>
      </c>
      <c r="U3855">
        <f>IF(AND(K3855=0,G3855&lt;=Assumptions!$C$6),1,0)</f>
        <v/>
      </c>
      <c r="V3855">
        <f>IF(U3855=1,IF(M3855&gt;0,IF(P3855&lt;=G3855+Assumptions!$C$7,1,0),0),0)</f>
        <v/>
      </c>
      <c r="W3855">
        <f>IF(AND(U3855=1,M3855&gt;=H3855*(1-Assumptions!$C$8)),1,0)</f>
        <v/>
      </c>
      <c r="X3855">
        <f>IF(AND(U3855=1,N3855&gt;=H3855*(1-Assumptions!$C$8)),1,0)</f>
        <v/>
      </c>
      <c r="Y3855">
        <f>IF(ISNUMBER(Q3855),1,0)</f>
        <v/>
      </c>
      <c r="Z3855">
        <f>IF(AND(K3855=0,L3855=0,Y3855=0),1,0)</f>
        <v/>
      </c>
      <c r="AA3855">
        <f>IF(AND(Z3855=1,G3855&lt;Assumptions!$C$6),1,0)</f>
        <v/>
      </c>
      <c r="AB3855">
        <f>IF(U3855=0,"",IF(Y3855=1,MAX(0,Q3855-G3855),IF(L3855=1,MAX(0,R3855-G3855),MAX(0,Assumptions!$C$6-G3855))))</f>
        <v/>
      </c>
      <c r="AC3855">
        <f>IF(Y3855=1,Q3855-F3855,"")</f>
        <v/>
      </c>
      <c r="AD3855">
        <f>IF(Y3855=1,AC3855^2,"")</f>
        <v/>
      </c>
      <c r="AE3855" s="19">
        <f>IF(Z3855=1,(H3855-M3855)*I3855,0)</f>
        <v/>
      </c>
      <c r="AF3855">
        <f>IF(G3855&lt;EDATE(Assumptions!$C$6,-12)+1,"prior_12m","last_12m")</f>
        <v/>
      </c>
      <c r="AG3855" s="21">
        <f>DATE(YEAR(G3855),MONTH(G3855),1)</f>
        <v/>
      </c>
    </row>
    <row r="3856">
      <c r="A3856" t="inlineStr">
        <is>
          <t>SPO-02053-3</t>
        </is>
      </c>
      <c r="B3856" t="inlineStr">
        <is>
          <t>SPO-02053</t>
        </is>
      </c>
      <c r="C3856" t="inlineStr">
        <is>
          <t>SUP-09</t>
        </is>
      </c>
      <c r="D3856" t="inlineStr">
        <is>
          <t>CHEM</t>
        </is>
      </c>
      <c r="E3856" t="inlineStr">
        <is>
          <t>CHEM-06</t>
        </is>
      </c>
      <c r="F3856" s="17" t="n">
        <v>46140</v>
      </c>
      <c r="G3856" s="17" t="n">
        <v>46154</v>
      </c>
      <c r="H3856" s="18" t="n">
        <v>2</v>
      </c>
      <c r="I3856" s="19" t="n">
        <v>390.27</v>
      </c>
      <c r="J3856" s="19" t="n">
        <v>380</v>
      </c>
      <c r="K3856" s="20" t="n">
        <v>0</v>
      </c>
      <c r="L3856" s="20" t="n">
        <v>0</v>
      </c>
      <c r="M3856" s="18" t="n">
        <v>2</v>
      </c>
      <c r="N3856" s="18" t="n">
        <v>2</v>
      </c>
      <c r="O3856" s="18" t="n">
        <v>0</v>
      </c>
      <c r="P3856" s="17" t="n">
        <v>46154</v>
      </c>
      <c r="Q3856" s="17" t="n">
        <v>46154</v>
      </c>
      <c r="R3856" s="17" t="n">
        <v>46154</v>
      </c>
      <c r="S3856" s="19">
        <f>H3856*I3856</f>
        <v/>
      </c>
      <c r="T3856" s="19">
        <f>H3856*J3856</f>
        <v/>
      </c>
      <c r="U3856">
        <f>IF(AND(K3856=0,G3856&lt;=Assumptions!$C$6),1,0)</f>
        <v/>
      </c>
      <c r="V3856">
        <f>IF(U3856=1,IF(M3856&gt;0,IF(P3856&lt;=G3856+Assumptions!$C$7,1,0),0),0)</f>
        <v/>
      </c>
      <c r="W3856">
        <f>IF(AND(U3856=1,M3856&gt;=H3856*(1-Assumptions!$C$8)),1,0)</f>
        <v/>
      </c>
      <c r="X3856">
        <f>IF(AND(U3856=1,N3856&gt;=H3856*(1-Assumptions!$C$8)),1,0)</f>
        <v/>
      </c>
      <c r="Y3856">
        <f>IF(ISNUMBER(Q3856),1,0)</f>
        <v/>
      </c>
      <c r="Z3856">
        <f>IF(AND(K3856=0,L3856=0,Y3856=0),1,0)</f>
        <v/>
      </c>
      <c r="AA3856">
        <f>IF(AND(Z3856=1,G3856&lt;Assumptions!$C$6),1,0)</f>
        <v/>
      </c>
      <c r="AB3856">
        <f>IF(U3856=0,"",IF(Y3856=1,MAX(0,Q3856-G3856),IF(L3856=1,MAX(0,R3856-G3856),MAX(0,Assumptions!$C$6-G3856))))</f>
        <v/>
      </c>
      <c r="AC3856">
        <f>IF(Y3856=1,Q3856-F3856,"")</f>
        <v/>
      </c>
      <c r="AD3856">
        <f>IF(Y3856=1,AC3856^2,"")</f>
        <v/>
      </c>
      <c r="AE3856" s="19">
        <f>IF(Z3856=1,(H3856-M3856)*I3856,0)</f>
        <v/>
      </c>
      <c r="AF3856">
        <f>IF(G3856&lt;EDATE(Assumptions!$C$6,-12)+1,"prior_12m","last_12m")</f>
        <v/>
      </c>
      <c r="AG3856" s="21">
        <f>DATE(YEAR(G3856),MONTH(G3856),1)</f>
        <v/>
      </c>
    </row>
    <row r="3857">
      <c r="A3857" t="inlineStr">
        <is>
          <t>SPO-02054-1</t>
        </is>
      </c>
      <c r="B3857" t="inlineStr">
        <is>
          <t>SPO-02054</t>
        </is>
      </c>
      <c r="C3857" t="inlineStr">
        <is>
          <t>SUP-01</t>
        </is>
      </c>
      <c r="D3857" t="inlineStr">
        <is>
          <t>ELEC</t>
        </is>
      </c>
      <c r="E3857" t="inlineStr">
        <is>
          <t>ELEC-07</t>
        </is>
      </c>
      <c r="F3857" s="17" t="n">
        <v>46140</v>
      </c>
      <c r="G3857" s="17" t="n">
        <v>46158</v>
      </c>
      <c r="H3857" s="18" t="n">
        <v>206</v>
      </c>
      <c r="I3857" s="19" t="n">
        <v>9.94</v>
      </c>
      <c r="J3857" s="19" t="n">
        <v>9.800000000000001</v>
      </c>
      <c r="K3857" s="20" t="n">
        <v>0</v>
      </c>
      <c r="L3857" s="20" t="n">
        <v>0</v>
      </c>
      <c r="M3857" s="18" t="n">
        <v>206</v>
      </c>
      <c r="N3857" s="18" t="n">
        <v>206</v>
      </c>
      <c r="O3857" s="18" t="n">
        <v>0</v>
      </c>
      <c r="P3857" s="17" t="n">
        <v>46148</v>
      </c>
      <c r="Q3857" s="17" t="n">
        <v>46148</v>
      </c>
      <c r="R3857" s="17" t="n">
        <v>46148</v>
      </c>
      <c r="S3857" s="19">
        <f>H3857*I3857</f>
        <v/>
      </c>
      <c r="T3857" s="19">
        <f>H3857*J3857</f>
        <v/>
      </c>
      <c r="U3857">
        <f>IF(AND(K3857=0,G3857&lt;=Assumptions!$C$6),1,0)</f>
        <v/>
      </c>
      <c r="V3857">
        <f>IF(U3857=1,IF(M3857&gt;0,IF(P3857&lt;=G3857+Assumptions!$C$7,1,0),0),0)</f>
        <v/>
      </c>
      <c r="W3857">
        <f>IF(AND(U3857=1,M3857&gt;=H3857*(1-Assumptions!$C$8)),1,0)</f>
        <v/>
      </c>
      <c r="X3857">
        <f>IF(AND(U3857=1,N3857&gt;=H3857*(1-Assumptions!$C$8)),1,0)</f>
        <v/>
      </c>
      <c r="Y3857">
        <f>IF(ISNUMBER(Q3857),1,0)</f>
        <v/>
      </c>
      <c r="Z3857">
        <f>IF(AND(K3857=0,L3857=0,Y3857=0),1,0)</f>
        <v/>
      </c>
      <c r="AA3857">
        <f>IF(AND(Z3857=1,G3857&lt;Assumptions!$C$6),1,0)</f>
        <v/>
      </c>
      <c r="AB3857">
        <f>IF(U3857=0,"",IF(Y3857=1,MAX(0,Q3857-G3857),IF(L3857=1,MAX(0,R3857-G3857),MAX(0,Assumptions!$C$6-G3857))))</f>
        <v/>
      </c>
      <c r="AC3857">
        <f>IF(Y3857=1,Q3857-F3857,"")</f>
        <v/>
      </c>
      <c r="AD3857">
        <f>IF(Y3857=1,AC3857^2,"")</f>
        <v/>
      </c>
      <c r="AE3857" s="19">
        <f>IF(Z3857=1,(H3857-M3857)*I3857,0)</f>
        <v/>
      </c>
      <c r="AF3857">
        <f>IF(G3857&lt;EDATE(Assumptions!$C$6,-12)+1,"prior_12m","last_12m")</f>
        <v/>
      </c>
      <c r="AG3857" s="21">
        <f>DATE(YEAR(G3857),MONTH(G3857),1)</f>
        <v/>
      </c>
    </row>
    <row r="3858">
      <c r="A3858" t="inlineStr">
        <is>
          <t>SPO-02054-2</t>
        </is>
      </c>
      <c r="B3858" t="inlineStr">
        <is>
          <t>SPO-02054</t>
        </is>
      </c>
      <c r="C3858" t="inlineStr">
        <is>
          <t>SUP-01</t>
        </is>
      </c>
      <c r="D3858" t="inlineStr">
        <is>
          <t>ELEC</t>
        </is>
      </c>
      <c r="E3858" t="inlineStr">
        <is>
          <t>ELEC-04</t>
        </is>
      </c>
      <c r="F3858" s="17" t="n">
        <v>46140</v>
      </c>
      <c r="G3858" s="17" t="n">
        <v>46158</v>
      </c>
      <c r="H3858" s="18" t="n">
        <v>12</v>
      </c>
      <c r="I3858" s="19" t="n">
        <v>72.70999999999999</v>
      </c>
      <c r="J3858" s="19" t="n">
        <v>72</v>
      </c>
      <c r="K3858" s="20" t="n">
        <v>0</v>
      </c>
      <c r="L3858" s="20" t="n">
        <v>0</v>
      </c>
      <c r="M3858" s="18" t="n">
        <v>12</v>
      </c>
      <c r="N3858" s="18" t="n">
        <v>12</v>
      </c>
      <c r="O3858" s="18" t="n">
        <v>0</v>
      </c>
      <c r="P3858" s="17" t="n">
        <v>46150</v>
      </c>
      <c r="Q3858" s="17" t="n">
        <v>46150</v>
      </c>
      <c r="R3858" s="17" t="n">
        <v>46150</v>
      </c>
      <c r="S3858" s="19">
        <f>H3858*I3858</f>
        <v/>
      </c>
      <c r="T3858" s="19">
        <f>H3858*J3858</f>
        <v/>
      </c>
      <c r="U3858">
        <f>IF(AND(K3858=0,G3858&lt;=Assumptions!$C$6),1,0)</f>
        <v/>
      </c>
      <c r="V3858">
        <f>IF(U3858=1,IF(M3858&gt;0,IF(P3858&lt;=G3858+Assumptions!$C$7,1,0),0),0)</f>
        <v/>
      </c>
      <c r="W3858">
        <f>IF(AND(U3858=1,M3858&gt;=H3858*(1-Assumptions!$C$8)),1,0)</f>
        <v/>
      </c>
      <c r="X3858">
        <f>IF(AND(U3858=1,N3858&gt;=H3858*(1-Assumptions!$C$8)),1,0)</f>
        <v/>
      </c>
      <c r="Y3858">
        <f>IF(ISNUMBER(Q3858),1,0)</f>
        <v/>
      </c>
      <c r="Z3858">
        <f>IF(AND(K3858=0,L3858=0,Y3858=0),1,0)</f>
        <v/>
      </c>
      <c r="AA3858">
        <f>IF(AND(Z3858=1,G3858&lt;Assumptions!$C$6),1,0)</f>
        <v/>
      </c>
      <c r="AB3858">
        <f>IF(U3858=0,"",IF(Y3858=1,MAX(0,Q3858-G3858),IF(L3858=1,MAX(0,R3858-G3858),MAX(0,Assumptions!$C$6-G3858))))</f>
        <v/>
      </c>
      <c r="AC3858">
        <f>IF(Y3858=1,Q3858-F3858,"")</f>
        <v/>
      </c>
      <c r="AD3858">
        <f>IF(Y3858=1,AC3858^2,"")</f>
        <v/>
      </c>
      <c r="AE3858" s="19">
        <f>IF(Z3858=1,(H3858-M3858)*I3858,0)</f>
        <v/>
      </c>
      <c r="AF3858">
        <f>IF(G3858&lt;EDATE(Assumptions!$C$6,-12)+1,"prior_12m","last_12m")</f>
        <v/>
      </c>
      <c r="AG3858" s="21">
        <f>DATE(YEAR(G3858),MONTH(G3858),1)</f>
        <v/>
      </c>
    </row>
    <row r="3859">
      <c r="A3859" t="inlineStr">
        <is>
          <t>SPO-02054-3</t>
        </is>
      </c>
      <c r="B3859" t="inlineStr">
        <is>
          <t>SPO-02054</t>
        </is>
      </c>
      <c r="C3859" t="inlineStr">
        <is>
          <t>SUP-01</t>
        </is>
      </c>
      <c r="D3859" t="inlineStr">
        <is>
          <t>ELEC</t>
        </is>
      </c>
      <c r="E3859" t="inlineStr">
        <is>
          <t>ELEC-03</t>
        </is>
      </c>
      <c r="F3859" s="17" t="n">
        <v>46140</v>
      </c>
      <c r="G3859" s="17" t="n">
        <v>46158</v>
      </c>
      <c r="H3859" s="18" t="n">
        <v>18</v>
      </c>
      <c r="I3859" s="19" t="n">
        <v>96.22</v>
      </c>
      <c r="J3859" s="19" t="n">
        <v>96</v>
      </c>
      <c r="K3859" s="20" t="n">
        <v>0</v>
      </c>
      <c r="L3859" s="20" t="n">
        <v>0</v>
      </c>
      <c r="M3859" s="18" t="n">
        <v>18</v>
      </c>
      <c r="N3859" s="18" t="n">
        <v>0</v>
      </c>
      <c r="O3859" s="18" t="n">
        <v>0</v>
      </c>
      <c r="P3859" s="17" t="n">
        <v>46164</v>
      </c>
      <c r="Q3859" s="17" t="n">
        <v>46164</v>
      </c>
      <c r="R3859" s="17" t="n">
        <v>46164</v>
      </c>
      <c r="S3859" s="19">
        <f>H3859*I3859</f>
        <v/>
      </c>
      <c r="T3859" s="19">
        <f>H3859*J3859</f>
        <v/>
      </c>
      <c r="U3859">
        <f>IF(AND(K3859=0,G3859&lt;=Assumptions!$C$6),1,0)</f>
        <v/>
      </c>
      <c r="V3859">
        <f>IF(U3859=1,IF(M3859&gt;0,IF(P3859&lt;=G3859+Assumptions!$C$7,1,0),0),0)</f>
        <v/>
      </c>
      <c r="W3859">
        <f>IF(AND(U3859=1,M3859&gt;=H3859*(1-Assumptions!$C$8)),1,0)</f>
        <v/>
      </c>
      <c r="X3859">
        <f>IF(AND(U3859=1,N3859&gt;=H3859*(1-Assumptions!$C$8)),1,0)</f>
        <v/>
      </c>
      <c r="Y3859">
        <f>IF(ISNUMBER(Q3859),1,0)</f>
        <v/>
      </c>
      <c r="Z3859">
        <f>IF(AND(K3859=0,L3859=0,Y3859=0),1,0)</f>
        <v/>
      </c>
      <c r="AA3859">
        <f>IF(AND(Z3859=1,G3859&lt;Assumptions!$C$6),1,0)</f>
        <v/>
      </c>
      <c r="AB3859">
        <f>IF(U3859=0,"",IF(Y3859=1,MAX(0,Q3859-G3859),IF(L3859=1,MAX(0,R3859-G3859),MAX(0,Assumptions!$C$6-G3859))))</f>
        <v/>
      </c>
      <c r="AC3859">
        <f>IF(Y3859=1,Q3859-F3859,"")</f>
        <v/>
      </c>
      <c r="AD3859">
        <f>IF(Y3859=1,AC3859^2,"")</f>
        <v/>
      </c>
      <c r="AE3859" s="19">
        <f>IF(Z3859=1,(H3859-M3859)*I3859,0)</f>
        <v/>
      </c>
      <c r="AF3859">
        <f>IF(G3859&lt;EDATE(Assumptions!$C$6,-12)+1,"prior_12m","last_12m")</f>
        <v/>
      </c>
      <c r="AG3859" s="21">
        <f>DATE(YEAR(G3859),MONTH(G3859),1)</f>
        <v/>
      </c>
    </row>
    <row r="3860">
      <c r="A3860" t="inlineStr">
        <is>
          <t>SPO-02055-1</t>
        </is>
      </c>
      <c r="B3860" t="inlineStr">
        <is>
          <t>SPO-02055</t>
        </is>
      </c>
      <c r="C3860" t="inlineStr">
        <is>
          <t>SUP-01</t>
        </is>
      </c>
      <c r="D3860" t="inlineStr">
        <is>
          <t>ELEC</t>
        </is>
      </c>
      <c r="E3860" t="inlineStr">
        <is>
          <t>ELEC-08</t>
        </is>
      </c>
      <c r="F3860" s="17" t="n">
        <v>46140</v>
      </c>
      <c r="G3860" s="17" t="n">
        <v>46158</v>
      </c>
      <c r="H3860" s="18" t="n">
        <v>118</v>
      </c>
      <c r="I3860" s="19" t="n">
        <v>18.15</v>
      </c>
      <c r="J3860" s="19" t="n">
        <v>18</v>
      </c>
      <c r="K3860" s="20" t="n">
        <v>0</v>
      </c>
      <c r="L3860" s="20" t="n">
        <v>0</v>
      </c>
      <c r="M3860" s="18" t="n">
        <v>118</v>
      </c>
      <c r="N3860" s="18" t="n">
        <v>118</v>
      </c>
      <c r="O3860" s="18" t="n">
        <v>0</v>
      </c>
      <c r="P3860" s="17" t="n">
        <v>46152</v>
      </c>
      <c r="Q3860" s="17" t="n">
        <v>46152</v>
      </c>
      <c r="R3860" s="17" t="n">
        <v>46152</v>
      </c>
      <c r="S3860" s="19">
        <f>H3860*I3860</f>
        <v/>
      </c>
      <c r="T3860" s="19">
        <f>H3860*J3860</f>
        <v/>
      </c>
      <c r="U3860">
        <f>IF(AND(K3860=0,G3860&lt;=Assumptions!$C$6),1,0)</f>
        <v/>
      </c>
      <c r="V3860">
        <f>IF(U3860=1,IF(M3860&gt;0,IF(P3860&lt;=G3860+Assumptions!$C$7,1,0),0),0)</f>
        <v/>
      </c>
      <c r="W3860">
        <f>IF(AND(U3860=1,M3860&gt;=H3860*(1-Assumptions!$C$8)),1,0)</f>
        <v/>
      </c>
      <c r="X3860">
        <f>IF(AND(U3860=1,N3860&gt;=H3860*(1-Assumptions!$C$8)),1,0)</f>
        <v/>
      </c>
      <c r="Y3860">
        <f>IF(ISNUMBER(Q3860),1,0)</f>
        <v/>
      </c>
      <c r="Z3860">
        <f>IF(AND(K3860=0,L3860=0,Y3860=0),1,0)</f>
        <v/>
      </c>
      <c r="AA3860">
        <f>IF(AND(Z3860=1,G3860&lt;Assumptions!$C$6),1,0)</f>
        <v/>
      </c>
      <c r="AB3860">
        <f>IF(U3860=0,"",IF(Y3860=1,MAX(0,Q3860-G3860),IF(L3860=1,MAX(0,R3860-G3860),MAX(0,Assumptions!$C$6-G3860))))</f>
        <v/>
      </c>
      <c r="AC3860">
        <f>IF(Y3860=1,Q3860-F3860,"")</f>
        <v/>
      </c>
      <c r="AD3860">
        <f>IF(Y3860=1,AC3860^2,"")</f>
        <v/>
      </c>
      <c r="AE3860" s="19">
        <f>IF(Z3860=1,(H3860-M3860)*I3860,0)</f>
        <v/>
      </c>
      <c r="AF3860">
        <f>IF(G3860&lt;EDATE(Assumptions!$C$6,-12)+1,"prior_12m","last_12m")</f>
        <v/>
      </c>
      <c r="AG3860" s="21">
        <f>DATE(YEAR(G3860),MONTH(G3860),1)</f>
        <v/>
      </c>
    </row>
    <row r="3861">
      <c r="A3861" t="inlineStr">
        <is>
          <t>SPO-02055-2</t>
        </is>
      </c>
      <c r="B3861" t="inlineStr">
        <is>
          <t>SPO-02055</t>
        </is>
      </c>
      <c r="C3861" t="inlineStr">
        <is>
          <t>SUP-01</t>
        </is>
      </c>
      <c r="D3861" t="inlineStr">
        <is>
          <t>ELEC</t>
        </is>
      </c>
      <c r="E3861" t="inlineStr">
        <is>
          <t>ELEC-05</t>
        </is>
      </c>
      <c r="F3861" s="17" t="n">
        <v>46140</v>
      </c>
      <c r="G3861" s="17" t="n">
        <v>46158</v>
      </c>
      <c r="H3861" s="18" t="n">
        <v>181</v>
      </c>
      <c r="I3861" s="19" t="n">
        <v>11.5</v>
      </c>
      <c r="J3861" s="19" t="n">
        <v>11.5</v>
      </c>
      <c r="K3861" s="20" t="n">
        <v>0</v>
      </c>
      <c r="L3861" s="20" t="n">
        <v>0</v>
      </c>
      <c r="M3861" s="18" t="n">
        <v>181</v>
      </c>
      <c r="N3861" s="18" t="n">
        <v>181</v>
      </c>
      <c r="O3861" s="18" t="n">
        <v>0</v>
      </c>
      <c r="P3861" s="17" t="n">
        <v>46152</v>
      </c>
      <c r="Q3861" s="17" t="n">
        <v>46152</v>
      </c>
      <c r="R3861" s="17" t="n">
        <v>46152</v>
      </c>
      <c r="S3861" s="19">
        <f>H3861*I3861</f>
        <v/>
      </c>
      <c r="T3861" s="19">
        <f>H3861*J3861</f>
        <v/>
      </c>
      <c r="U3861">
        <f>IF(AND(K3861=0,G3861&lt;=Assumptions!$C$6),1,0)</f>
        <v/>
      </c>
      <c r="V3861">
        <f>IF(U3861=1,IF(M3861&gt;0,IF(P3861&lt;=G3861+Assumptions!$C$7,1,0),0),0)</f>
        <v/>
      </c>
      <c r="W3861">
        <f>IF(AND(U3861=1,M3861&gt;=H3861*(1-Assumptions!$C$8)),1,0)</f>
        <v/>
      </c>
      <c r="X3861">
        <f>IF(AND(U3861=1,N3861&gt;=H3861*(1-Assumptions!$C$8)),1,0)</f>
        <v/>
      </c>
      <c r="Y3861">
        <f>IF(ISNUMBER(Q3861),1,0)</f>
        <v/>
      </c>
      <c r="Z3861">
        <f>IF(AND(K3861=0,L3861=0,Y3861=0),1,0)</f>
        <v/>
      </c>
      <c r="AA3861">
        <f>IF(AND(Z3861=1,G3861&lt;Assumptions!$C$6),1,0)</f>
        <v/>
      </c>
      <c r="AB3861">
        <f>IF(U3861=0,"",IF(Y3861=1,MAX(0,Q3861-G3861),IF(L3861=1,MAX(0,R3861-G3861),MAX(0,Assumptions!$C$6-G3861))))</f>
        <v/>
      </c>
      <c r="AC3861">
        <f>IF(Y3861=1,Q3861-F3861,"")</f>
        <v/>
      </c>
      <c r="AD3861">
        <f>IF(Y3861=1,AC3861^2,"")</f>
        <v/>
      </c>
      <c r="AE3861" s="19">
        <f>IF(Z3861=1,(H3861-M3861)*I3861,0)</f>
        <v/>
      </c>
      <c r="AF3861">
        <f>IF(G3861&lt;EDATE(Assumptions!$C$6,-12)+1,"prior_12m","last_12m")</f>
        <v/>
      </c>
      <c r="AG3861" s="21">
        <f>DATE(YEAR(G3861),MONTH(G3861),1)</f>
        <v/>
      </c>
    </row>
    <row r="3862">
      <c r="A3862" t="inlineStr">
        <is>
          <t>SPO-02056-1</t>
        </is>
      </c>
      <c r="B3862" t="inlineStr">
        <is>
          <t>SPO-02056</t>
        </is>
      </c>
      <c r="C3862" t="inlineStr">
        <is>
          <t>SUP-01</t>
        </is>
      </c>
      <c r="D3862" t="inlineStr">
        <is>
          <t>ELEC</t>
        </is>
      </c>
      <c r="E3862" t="inlineStr">
        <is>
          <t>ELEC-01</t>
        </is>
      </c>
      <c r="F3862" s="17" t="n">
        <v>46140</v>
      </c>
      <c r="G3862" s="17" t="n">
        <v>46158</v>
      </c>
      <c r="H3862" s="18" t="n">
        <v>85</v>
      </c>
      <c r="I3862" s="19" t="n">
        <v>37.23</v>
      </c>
      <c r="J3862" s="19" t="n">
        <v>38</v>
      </c>
      <c r="K3862" s="20" t="n">
        <v>0</v>
      </c>
      <c r="L3862" s="20" t="n">
        <v>0</v>
      </c>
      <c r="M3862" s="18" t="n">
        <v>85</v>
      </c>
      <c r="N3862" s="18" t="n">
        <v>0</v>
      </c>
      <c r="O3862" s="18" t="n">
        <v>0</v>
      </c>
      <c r="P3862" s="17" t="n">
        <v>46291</v>
      </c>
      <c r="Q3862" s="17" t="n">
        <v>46291</v>
      </c>
      <c r="R3862" s="17" t="n">
        <v>46291</v>
      </c>
      <c r="S3862" s="19">
        <f>H3862*I3862</f>
        <v/>
      </c>
      <c r="T3862" s="19">
        <f>H3862*J3862</f>
        <v/>
      </c>
      <c r="U3862">
        <f>IF(AND(K3862=0,G3862&lt;=Assumptions!$C$6),1,0)</f>
        <v/>
      </c>
      <c r="V3862">
        <f>IF(U3862=1,IF(M3862&gt;0,IF(P3862&lt;=G3862+Assumptions!$C$7,1,0),0),0)</f>
        <v/>
      </c>
      <c r="W3862">
        <f>IF(AND(U3862=1,M3862&gt;=H3862*(1-Assumptions!$C$8)),1,0)</f>
        <v/>
      </c>
      <c r="X3862">
        <f>IF(AND(U3862=1,N3862&gt;=H3862*(1-Assumptions!$C$8)),1,0)</f>
        <v/>
      </c>
      <c r="Y3862">
        <f>IF(ISNUMBER(Q3862),1,0)</f>
        <v/>
      </c>
      <c r="Z3862">
        <f>IF(AND(K3862=0,L3862=0,Y3862=0),1,0)</f>
        <v/>
      </c>
      <c r="AA3862">
        <f>IF(AND(Z3862=1,G3862&lt;Assumptions!$C$6),1,0)</f>
        <v/>
      </c>
      <c r="AB3862">
        <f>IF(U3862=0,"",IF(Y3862=1,MAX(0,Q3862-G3862),IF(L3862=1,MAX(0,R3862-G3862),MAX(0,Assumptions!$C$6-G3862))))</f>
        <v/>
      </c>
      <c r="AC3862">
        <f>IF(Y3862=1,Q3862-F3862,"")</f>
        <v/>
      </c>
      <c r="AD3862">
        <f>IF(Y3862=1,AC3862^2,"")</f>
        <v/>
      </c>
      <c r="AE3862" s="19">
        <f>IF(Z3862=1,(H3862-M3862)*I3862,0)</f>
        <v/>
      </c>
      <c r="AF3862">
        <f>IF(G3862&lt;EDATE(Assumptions!$C$6,-12)+1,"prior_12m","last_12m")</f>
        <v/>
      </c>
      <c r="AG3862" s="21">
        <f>DATE(YEAR(G3862),MONTH(G3862),1)</f>
        <v/>
      </c>
    </row>
    <row r="3863">
      <c r="A3863" t="inlineStr">
        <is>
          <t>SPO-02056-2</t>
        </is>
      </c>
      <c r="B3863" t="inlineStr">
        <is>
          <t>SPO-02056</t>
        </is>
      </c>
      <c r="C3863" t="inlineStr">
        <is>
          <t>SUP-01</t>
        </is>
      </c>
      <c r="D3863" t="inlineStr">
        <is>
          <t>ELEC</t>
        </is>
      </c>
      <c r="E3863" t="inlineStr">
        <is>
          <t>ELEC-02</t>
        </is>
      </c>
      <c r="F3863" s="17" t="n">
        <v>46140</v>
      </c>
      <c r="G3863" s="17" t="n">
        <v>46158</v>
      </c>
      <c r="H3863" s="18" t="n">
        <v>546</v>
      </c>
      <c r="I3863" s="19" t="n">
        <v>4.23</v>
      </c>
      <c r="J3863" s="19" t="n">
        <v>4.2</v>
      </c>
      <c r="K3863" s="20" t="n">
        <v>0</v>
      </c>
      <c r="L3863" s="20" t="n">
        <v>0</v>
      </c>
      <c r="M3863" s="18" t="n">
        <v>546</v>
      </c>
      <c r="N3863" s="18" t="n">
        <v>546</v>
      </c>
      <c r="O3863" s="18" t="n">
        <v>0</v>
      </c>
      <c r="P3863" s="17" t="n">
        <v>46152</v>
      </c>
      <c r="Q3863" s="17" t="n">
        <v>46152</v>
      </c>
      <c r="R3863" s="17" t="n">
        <v>46152</v>
      </c>
      <c r="S3863" s="19">
        <f>H3863*I3863</f>
        <v/>
      </c>
      <c r="T3863" s="19">
        <f>H3863*J3863</f>
        <v/>
      </c>
      <c r="U3863">
        <f>IF(AND(K3863=0,G3863&lt;=Assumptions!$C$6),1,0)</f>
        <v/>
      </c>
      <c r="V3863">
        <f>IF(U3863=1,IF(M3863&gt;0,IF(P3863&lt;=G3863+Assumptions!$C$7,1,0),0),0)</f>
        <v/>
      </c>
      <c r="W3863">
        <f>IF(AND(U3863=1,M3863&gt;=H3863*(1-Assumptions!$C$8)),1,0)</f>
        <v/>
      </c>
      <c r="X3863">
        <f>IF(AND(U3863=1,N3863&gt;=H3863*(1-Assumptions!$C$8)),1,0)</f>
        <v/>
      </c>
      <c r="Y3863">
        <f>IF(ISNUMBER(Q3863),1,0)</f>
        <v/>
      </c>
      <c r="Z3863">
        <f>IF(AND(K3863=0,L3863=0,Y3863=0),1,0)</f>
        <v/>
      </c>
      <c r="AA3863">
        <f>IF(AND(Z3863=1,G3863&lt;Assumptions!$C$6),1,0)</f>
        <v/>
      </c>
      <c r="AB3863">
        <f>IF(U3863=0,"",IF(Y3863=1,MAX(0,Q3863-G3863),IF(L3863=1,MAX(0,R3863-G3863),MAX(0,Assumptions!$C$6-G3863))))</f>
        <v/>
      </c>
      <c r="AC3863">
        <f>IF(Y3863=1,Q3863-F3863,"")</f>
        <v/>
      </c>
      <c r="AD3863">
        <f>IF(Y3863=1,AC3863^2,"")</f>
        <v/>
      </c>
      <c r="AE3863" s="19">
        <f>IF(Z3863=1,(H3863-M3863)*I3863,0)</f>
        <v/>
      </c>
      <c r="AF3863">
        <f>IF(G3863&lt;EDATE(Assumptions!$C$6,-12)+1,"prior_12m","last_12m")</f>
        <v/>
      </c>
      <c r="AG3863" s="21">
        <f>DATE(YEAR(G3863),MONTH(G3863),1)</f>
        <v/>
      </c>
    </row>
    <row r="3864">
      <c r="A3864" t="inlineStr">
        <is>
          <t>SPO-02056-3</t>
        </is>
      </c>
      <c r="B3864" t="inlineStr">
        <is>
          <t>SPO-02056</t>
        </is>
      </c>
      <c r="C3864" t="inlineStr">
        <is>
          <t>SUP-01</t>
        </is>
      </c>
      <c r="D3864" t="inlineStr">
        <is>
          <t>ELEC</t>
        </is>
      </c>
      <c r="E3864" t="inlineStr">
        <is>
          <t>ELEC-05</t>
        </is>
      </c>
      <c r="F3864" s="17" t="n">
        <v>46140</v>
      </c>
      <c r="G3864" s="17" t="n">
        <v>46158</v>
      </c>
      <c r="H3864" s="18" t="n">
        <v>323</v>
      </c>
      <c r="I3864" s="19" t="n">
        <v>11.44</v>
      </c>
      <c r="J3864" s="19" t="n">
        <v>11.5</v>
      </c>
      <c r="K3864" s="20" t="n">
        <v>0</v>
      </c>
      <c r="L3864" s="20" t="n">
        <v>0</v>
      </c>
      <c r="M3864" s="18" t="n">
        <v>323</v>
      </c>
      <c r="N3864" s="18" t="n">
        <v>0</v>
      </c>
      <c r="O3864" s="18" t="n">
        <v>0</v>
      </c>
      <c r="P3864" s="17" t="n">
        <v>46166</v>
      </c>
      <c r="Q3864" s="17" t="n">
        <v>46166</v>
      </c>
      <c r="R3864" s="17" t="n">
        <v>46166</v>
      </c>
      <c r="S3864" s="19">
        <f>H3864*I3864</f>
        <v/>
      </c>
      <c r="T3864" s="19">
        <f>H3864*J3864</f>
        <v/>
      </c>
      <c r="U3864">
        <f>IF(AND(K3864=0,G3864&lt;=Assumptions!$C$6),1,0)</f>
        <v/>
      </c>
      <c r="V3864">
        <f>IF(U3864=1,IF(M3864&gt;0,IF(P3864&lt;=G3864+Assumptions!$C$7,1,0),0),0)</f>
        <v/>
      </c>
      <c r="W3864">
        <f>IF(AND(U3864=1,M3864&gt;=H3864*(1-Assumptions!$C$8)),1,0)</f>
        <v/>
      </c>
      <c r="X3864">
        <f>IF(AND(U3864=1,N3864&gt;=H3864*(1-Assumptions!$C$8)),1,0)</f>
        <v/>
      </c>
      <c r="Y3864">
        <f>IF(ISNUMBER(Q3864),1,0)</f>
        <v/>
      </c>
      <c r="Z3864">
        <f>IF(AND(K3864=0,L3864=0,Y3864=0),1,0)</f>
        <v/>
      </c>
      <c r="AA3864">
        <f>IF(AND(Z3864=1,G3864&lt;Assumptions!$C$6),1,0)</f>
        <v/>
      </c>
      <c r="AB3864">
        <f>IF(U3864=0,"",IF(Y3864=1,MAX(0,Q3864-G3864),IF(L3864=1,MAX(0,R3864-G3864),MAX(0,Assumptions!$C$6-G3864))))</f>
        <v/>
      </c>
      <c r="AC3864">
        <f>IF(Y3864=1,Q3864-F3864,"")</f>
        <v/>
      </c>
      <c r="AD3864">
        <f>IF(Y3864=1,AC3864^2,"")</f>
        <v/>
      </c>
      <c r="AE3864" s="19">
        <f>IF(Z3864=1,(H3864-M3864)*I3864,0)</f>
        <v/>
      </c>
      <c r="AF3864">
        <f>IF(G3864&lt;EDATE(Assumptions!$C$6,-12)+1,"prior_12m","last_12m")</f>
        <v/>
      </c>
      <c r="AG3864" s="21">
        <f>DATE(YEAR(G3864),MONTH(G3864),1)</f>
        <v/>
      </c>
    </row>
    <row r="3865">
      <c r="A3865" t="inlineStr">
        <is>
          <t>SPO-02056-4</t>
        </is>
      </c>
      <c r="B3865" t="inlineStr">
        <is>
          <t>SPO-02056</t>
        </is>
      </c>
      <c r="C3865" t="inlineStr">
        <is>
          <t>SUP-01</t>
        </is>
      </c>
      <c r="D3865" t="inlineStr">
        <is>
          <t>ELEC</t>
        </is>
      </c>
      <c r="E3865" t="inlineStr">
        <is>
          <t>ELEC-08</t>
        </is>
      </c>
      <c r="F3865" s="17" t="n">
        <v>46140</v>
      </c>
      <c r="G3865" s="17" t="n">
        <v>46158</v>
      </c>
      <c r="H3865" s="18" t="n">
        <v>61</v>
      </c>
      <c r="I3865" s="19" t="n">
        <v>18.15</v>
      </c>
      <c r="J3865" s="19" t="n">
        <v>18</v>
      </c>
      <c r="K3865" s="20" t="n">
        <v>0</v>
      </c>
      <c r="L3865" s="20" t="n">
        <v>0</v>
      </c>
      <c r="M3865" s="18" t="n">
        <v>61</v>
      </c>
      <c r="N3865" s="18" t="n">
        <v>0</v>
      </c>
      <c r="O3865" s="18" t="n">
        <v>0</v>
      </c>
      <c r="P3865" s="17" t="n">
        <v>46220</v>
      </c>
      <c r="Q3865" s="17" t="n">
        <v>46220</v>
      </c>
      <c r="R3865" s="17" t="n">
        <v>46220</v>
      </c>
      <c r="S3865" s="19">
        <f>H3865*I3865</f>
        <v/>
      </c>
      <c r="T3865" s="19">
        <f>H3865*J3865</f>
        <v/>
      </c>
      <c r="U3865">
        <f>IF(AND(K3865=0,G3865&lt;=Assumptions!$C$6),1,0)</f>
        <v/>
      </c>
      <c r="V3865">
        <f>IF(U3865=1,IF(M3865&gt;0,IF(P3865&lt;=G3865+Assumptions!$C$7,1,0),0),0)</f>
        <v/>
      </c>
      <c r="W3865">
        <f>IF(AND(U3865=1,M3865&gt;=H3865*(1-Assumptions!$C$8)),1,0)</f>
        <v/>
      </c>
      <c r="X3865">
        <f>IF(AND(U3865=1,N3865&gt;=H3865*(1-Assumptions!$C$8)),1,0)</f>
        <v/>
      </c>
      <c r="Y3865">
        <f>IF(ISNUMBER(Q3865),1,0)</f>
        <v/>
      </c>
      <c r="Z3865">
        <f>IF(AND(K3865=0,L3865=0,Y3865=0),1,0)</f>
        <v/>
      </c>
      <c r="AA3865">
        <f>IF(AND(Z3865=1,G3865&lt;Assumptions!$C$6),1,0)</f>
        <v/>
      </c>
      <c r="AB3865">
        <f>IF(U3865=0,"",IF(Y3865=1,MAX(0,Q3865-G3865),IF(L3865=1,MAX(0,R3865-G3865),MAX(0,Assumptions!$C$6-G3865))))</f>
        <v/>
      </c>
      <c r="AC3865">
        <f>IF(Y3865=1,Q3865-F3865,"")</f>
        <v/>
      </c>
      <c r="AD3865">
        <f>IF(Y3865=1,AC3865^2,"")</f>
        <v/>
      </c>
      <c r="AE3865" s="19">
        <f>IF(Z3865=1,(H3865-M3865)*I3865,0)</f>
        <v/>
      </c>
      <c r="AF3865">
        <f>IF(G3865&lt;EDATE(Assumptions!$C$6,-12)+1,"prior_12m","last_12m")</f>
        <v/>
      </c>
      <c r="AG3865" s="21">
        <f>DATE(YEAR(G3865),MONTH(G3865),1)</f>
        <v/>
      </c>
    </row>
    <row r="3866">
      <c r="A3866" t="inlineStr">
        <is>
          <t>SPO-02057-1</t>
        </is>
      </c>
      <c r="B3866" t="inlineStr">
        <is>
          <t>SPO-02057</t>
        </is>
      </c>
      <c r="C3866" t="inlineStr">
        <is>
          <t>SUP-04</t>
        </is>
      </c>
      <c r="D3866" t="inlineStr">
        <is>
          <t>FLEET</t>
        </is>
      </c>
      <c r="E3866" t="inlineStr">
        <is>
          <t>FLEET-05</t>
        </is>
      </c>
      <c r="F3866" s="17" t="n">
        <v>46140</v>
      </c>
      <c r="G3866" s="17" t="n">
        <v>46153</v>
      </c>
      <c r="H3866" s="18" t="n">
        <v>7</v>
      </c>
      <c r="I3866" s="19" t="n">
        <v>165.54</v>
      </c>
      <c r="J3866" s="19" t="n">
        <v>168</v>
      </c>
      <c r="K3866" s="20" t="n">
        <v>0</v>
      </c>
      <c r="L3866" s="20" t="n">
        <v>0</v>
      </c>
      <c r="M3866" s="18" t="n">
        <v>7</v>
      </c>
      <c r="N3866" s="18" t="n">
        <v>7</v>
      </c>
      <c r="O3866" s="18" t="n">
        <v>0</v>
      </c>
      <c r="P3866" s="17" t="n">
        <v>46149</v>
      </c>
      <c r="Q3866" s="17" t="n">
        <v>46149</v>
      </c>
      <c r="R3866" s="17" t="n">
        <v>46149</v>
      </c>
      <c r="S3866" s="19">
        <f>H3866*I3866</f>
        <v/>
      </c>
      <c r="T3866" s="19">
        <f>H3866*J3866</f>
        <v/>
      </c>
      <c r="U3866">
        <f>IF(AND(K3866=0,G3866&lt;=Assumptions!$C$6),1,0)</f>
        <v/>
      </c>
      <c r="V3866">
        <f>IF(U3866=1,IF(M3866&gt;0,IF(P3866&lt;=G3866+Assumptions!$C$7,1,0),0),0)</f>
        <v/>
      </c>
      <c r="W3866">
        <f>IF(AND(U3866=1,M3866&gt;=H3866*(1-Assumptions!$C$8)),1,0)</f>
        <v/>
      </c>
      <c r="X3866">
        <f>IF(AND(U3866=1,N3866&gt;=H3866*(1-Assumptions!$C$8)),1,0)</f>
        <v/>
      </c>
      <c r="Y3866">
        <f>IF(ISNUMBER(Q3866),1,0)</f>
        <v/>
      </c>
      <c r="Z3866">
        <f>IF(AND(K3866=0,L3866=0,Y3866=0),1,0)</f>
        <v/>
      </c>
      <c r="AA3866">
        <f>IF(AND(Z3866=1,G3866&lt;Assumptions!$C$6),1,0)</f>
        <v/>
      </c>
      <c r="AB3866">
        <f>IF(U3866=0,"",IF(Y3866=1,MAX(0,Q3866-G3866),IF(L3866=1,MAX(0,R3866-G3866),MAX(0,Assumptions!$C$6-G3866))))</f>
        <v/>
      </c>
      <c r="AC3866">
        <f>IF(Y3866=1,Q3866-F3866,"")</f>
        <v/>
      </c>
      <c r="AD3866">
        <f>IF(Y3866=1,AC3866^2,"")</f>
        <v/>
      </c>
      <c r="AE3866" s="19">
        <f>IF(Z3866=1,(H3866-M3866)*I3866,0)</f>
        <v/>
      </c>
      <c r="AF3866">
        <f>IF(G3866&lt;EDATE(Assumptions!$C$6,-12)+1,"prior_12m","last_12m")</f>
        <v/>
      </c>
      <c r="AG3866" s="21">
        <f>DATE(YEAR(G3866),MONTH(G3866),1)</f>
        <v/>
      </c>
    </row>
    <row r="3867">
      <c r="A3867" t="inlineStr">
        <is>
          <t>SPO-02058-1</t>
        </is>
      </c>
      <c r="B3867" t="inlineStr">
        <is>
          <t>SPO-02058</t>
        </is>
      </c>
      <c r="C3867" t="inlineStr">
        <is>
          <t>SUP-05</t>
        </is>
      </c>
      <c r="D3867" t="inlineStr">
        <is>
          <t>FLEET</t>
        </is>
      </c>
      <c r="E3867" t="inlineStr">
        <is>
          <t>FLEET-06</t>
        </is>
      </c>
      <c r="F3867" s="17" t="n">
        <v>46141</v>
      </c>
      <c r="G3867" s="17" t="n">
        <v>46155</v>
      </c>
      <c r="H3867" s="18" t="n">
        <v>24</v>
      </c>
      <c r="I3867" s="19" t="n">
        <v>32.94</v>
      </c>
      <c r="J3867" s="19" t="n">
        <v>33</v>
      </c>
      <c r="K3867" s="20" t="n">
        <v>0</v>
      </c>
      <c r="L3867" s="20" t="n">
        <v>0</v>
      </c>
      <c r="M3867" s="18" t="n">
        <v>24</v>
      </c>
      <c r="N3867" s="18" t="n">
        <v>24</v>
      </c>
      <c r="O3867" s="18" t="n">
        <v>0</v>
      </c>
      <c r="P3867" s="17" t="n">
        <v>46152</v>
      </c>
      <c r="Q3867" s="17" t="n">
        <v>46152</v>
      </c>
      <c r="R3867" s="17" t="n">
        <v>46152</v>
      </c>
      <c r="S3867" s="19">
        <f>H3867*I3867</f>
        <v/>
      </c>
      <c r="T3867" s="19">
        <f>H3867*J3867</f>
        <v/>
      </c>
      <c r="U3867">
        <f>IF(AND(K3867=0,G3867&lt;=Assumptions!$C$6),1,0)</f>
        <v/>
      </c>
      <c r="V3867">
        <f>IF(U3867=1,IF(M3867&gt;0,IF(P3867&lt;=G3867+Assumptions!$C$7,1,0),0),0)</f>
        <v/>
      </c>
      <c r="W3867">
        <f>IF(AND(U3867=1,M3867&gt;=H3867*(1-Assumptions!$C$8)),1,0)</f>
        <v/>
      </c>
      <c r="X3867">
        <f>IF(AND(U3867=1,N3867&gt;=H3867*(1-Assumptions!$C$8)),1,0)</f>
        <v/>
      </c>
      <c r="Y3867">
        <f>IF(ISNUMBER(Q3867),1,0)</f>
        <v/>
      </c>
      <c r="Z3867">
        <f>IF(AND(K3867=0,L3867=0,Y3867=0),1,0)</f>
        <v/>
      </c>
      <c r="AA3867">
        <f>IF(AND(Z3867=1,G3867&lt;Assumptions!$C$6),1,0)</f>
        <v/>
      </c>
      <c r="AB3867">
        <f>IF(U3867=0,"",IF(Y3867=1,MAX(0,Q3867-G3867),IF(L3867=1,MAX(0,R3867-G3867),MAX(0,Assumptions!$C$6-G3867))))</f>
        <v/>
      </c>
      <c r="AC3867">
        <f>IF(Y3867=1,Q3867-F3867,"")</f>
        <v/>
      </c>
      <c r="AD3867">
        <f>IF(Y3867=1,AC3867^2,"")</f>
        <v/>
      </c>
      <c r="AE3867" s="19">
        <f>IF(Z3867=1,(H3867-M3867)*I3867,0)</f>
        <v/>
      </c>
      <c r="AF3867">
        <f>IF(G3867&lt;EDATE(Assumptions!$C$6,-12)+1,"prior_12m","last_12m")</f>
        <v/>
      </c>
      <c r="AG3867" s="21">
        <f>DATE(YEAR(G3867),MONTH(G3867),1)</f>
        <v/>
      </c>
    </row>
    <row r="3868">
      <c r="A3868" t="inlineStr">
        <is>
          <t>SPO-02059-1</t>
        </is>
      </c>
      <c r="B3868" t="inlineStr">
        <is>
          <t>SPO-02059</t>
        </is>
      </c>
      <c r="C3868" t="inlineStr">
        <is>
          <t>SUP-12</t>
        </is>
      </c>
      <c r="D3868" t="inlineStr">
        <is>
          <t>IT</t>
        </is>
      </c>
      <c r="E3868" t="inlineStr">
        <is>
          <t>IT-05</t>
        </is>
      </c>
      <c r="F3868" s="17" t="n">
        <v>46141</v>
      </c>
      <c r="G3868" s="17" t="n">
        <v>46151</v>
      </c>
      <c r="H3868" s="18" t="n">
        <v>4</v>
      </c>
      <c r="I3868" s="19" t="n">
        <v>747.9400000000001</v>
      </c>
      <c r="J3868" s="19" t="n">
        <v>640</v>
      </c>
      <c r="K3868" s="20" t="n">
        <v>0</v>
      </c>
      <c r="L3868" s="20" t="n">
        <v>0</v>
      </c>
      <c r="M3868" s="18" t="n">
        <v>4</v>
      </c>
      <c r="N3868" s="18" t="n">
        <v>4</v>
      </c>
      <c r="O3868" s="18" t="n">
        <v>0</v>
      </c>
      <c r="P3868" s="17" t="n">
        <v>46148</v>
      </c>
      <c r="Q3868" s="17" t="n">
        <v>46148</v>
      </c>
      <c r="R3868" s="17" t="n">
        <v>46148</v>
      </c>
      <c r="S3868" s="19">
        <f>H3868*I3868</f>
        <v/>
      </c>
      <c r="T3868" s="19">
        <f>H3868*J3868</f>
        <v/>
      </c>
      <c r="U3868">
        <f>IF(AND(K3868=0,G3868&lt;=Assumptions!$C$6),1,0)</f>
        <v/>
      </c>
      <c r="V3868">
        <f>IF(U3868=1,IF(M3868&gt;0,IF(P3868&lt;=G3868+Assumptions!$C$7,1,0),0),0)</f>
        <v/>
      </c>
      <c r="W3868">
        <f>IF(AND(U3868=1,M3868&gt;=H3868*(1-Assumptions!$C$8)),1,0)</f>
        <v/>
      </c>
      <c r="X3868">
        <f>IF(AND(U3868=1,N3868&gt;=H3868*(1-Assumptions!$C$8)),1,0)</f>
        <v/>
      </c>
      <c r="Y3868">
        <f>IF(ISNUMBER(Q3868),1,0)</f>
        <v/>
      </c>
      <c r="Z3868">
        <f>IF(AND(K3868=0,L3868=0,Y3868=0),1,0)</f>
        <v/>
      </c>
      <c r="AA3868">
        <f>IF(AND(Z3868=1,G3868&lt;Assumptions!$C$6),1,0)</f>
        <v/>
      </c>
      <c r="AB3868">
        <f>IF(U3868=0,"",IF(Y3868=1,MAX(0,Q3868-G3868),IF(L3868=1,MAX(0,R3868-G3868),MAX(0,Assumptions!$C$6-G3868))))</f>
        <v/>
      </c>
      <c r="AC3868">
        <f>IF(Y3868=1,Q3868-F3868,"")</f>
        <v/>
      </c>
      <c r="AD3868">
        <f>IF(Y3868=1,AC3868^2,"")</f>
        <v/>
      </c>
      <c r="AE3868" s="19">
        <f>IF(Z3868=1,(H3868-M3868)*I3868,0)</f>
        <v/>
      </c>
      <c r="AF3868">
        <f>IF(G3868&lt;EDATE(Assumptions!$C$6,-12)+1,"prior_12m","last_12m")</f>
        <v/>
      </c>
      <c r="AG3868" s="21">
        <f>DATE(YEAR(G3868),MONTH(G3868),1)</f>
        <v/>
      </c>
    </row>
    <row r="3869">
      <c r="A3869" t="inlineStr">
        <is>
          <t>SPO-02060-1</t>
        </is>
      </c>
      <c r="B3869" t="inlineStr">
        <is>
          <t>SPO-02060</t>
        </is>
      </c>
      <c r="C3869" t="inlineStr">
        <is>
          <t>SUP-05</t>
        </is>
      </c>
      <c r="D3869" t="inlineStr">
        <is>
          <t>FLEET</t>
        </is>
      </c>
      <c r="E3869" t="inlineStr">
        <is>
          <t>FLEET-04</t>
        </is>
      </c>
      <c r="F3869" s="17" t="n">
        <v>46141</v>
      </c>
      <c r="G3869" s="17" t="n">
        <v>46155</v>
      </c>
      <c r="H3869" s="18" t="n">
        <v>101</v>
      </c>
      <c r="I3869" s="19" t="n">
        <v>8.58</v>
      </c>
      <c r="J3869" s="19" t="n">
        <v>9</v>
      </c>
      <c r="K3869" s="20" t="n">
        <v>0</v>
      </c>
      <c r="L3869" s="20" t="n">
        <v>0</v>
      </c>
      <c r="M3869" s="18" t="n">
        <v>101</v>
      </c>
      <c r="N3869" s="18" t="n">
        <v>101</v>
      </c>
      <c r="O3869" s="18" t="n">
        <v>0</v>
      </c>
      <c r="P3869" s="17" t="n">
        <v>46150</v>
      </c>
      <c r="Q3869" s="17" t="n">
        <v>46150</v>
      </c>
      <c r="R3869" s="17" t="n">
        <v>46150</v>
      </c>
      <c r="S3869" s="19">
        <f>H3869*I3869</f>
        <v/>
      </c>
      <c r="T3869" s="19">
        <f>H3869*J3869</f>
        <v/>
      </c>
      <c r="U3869">
        <f>IF(AND(K3869=0,G3869&lt;=Assumptions!$C$6),1,0)</f>
        <v/>
      </c>
      <c r="V3869">
        <f>IF(U3869=1,IF(M3869&gt;0,IF(P3869&lt;=G3869+Assumptions!$C$7,1,0),0),0)</f>
        <v/>
      </c>
      <c r="W3869">
        <f>IF(AND(U3869=1,M3869&gt;=H3869*(1-Assumptions!$C$8)),1,0)</f>
        <v/>
      </c>
      <c r="X3869">
        <f>IF(AND(U3869=1,N3869&gt;=H3869*(1-Assumptions!$C$8)),1,0)</f>
        <v/>
      </c>
      <c r="Y3869">
        <f>IF(ISNUMBER(Q3869),1,0)</f>
        <v/>
      </c>
      <c r="Z3869">
        <f>IF(AND(K3869=0,L3869=0,Y3869=0),1,0)</f>
        <v/>
      </c>
      <c r="AA3869">
        <f>IF(AND(Z3869=1,G3869&lt;Assumptions!$C$6),1,0)</f>
        <v/>
      </c>
      <c r="AB3869">
        <f>IF(U3869=0,"",IF(Y3869=1,MAX(0,Q3869-G3869),IF(L3869=1,MAX(0,R3869-G3869),MAX(0,Assumptions!$C$6-G3869))))</f>
        <v/>
      </c>
      <c r="AC3869">
        <f>IF(Y3869=1,Q3869-F3869,"")</f>
        <v/>
      </c>
      <c r="AD3869">
        <f>IF(Y3869=1,AC3869^2,"")</f>
        <v/>
      </c>
      <c r="AE3869" s="19">
        <f>IF(Z3869=1,(H3869-M3869)*I3869,0)</f>
        <v/>
      </c>
      <c r="AF3869">
        <f>IF(G3869&lt;EDATE(Assumptions!$C$6,-12)+1,"prior_12m","last_12m")</f>
        <v/>
      </c>
      <c r="AG3869" s="21">
        <f>DATE(YEAR(G3869),MONTH(G3869),1)</f>
        <v/>
      </c>
    </row>
    <row r="3870">
      <c r="A3870" t="inlineStr">
        <is>
          <t>SPO-02061-1</t>
        </is>
      </c>
      <c r="B3870" t="inlineStr">
        <is>
          <t>SPO-02061</t>
        </is>
      </c>
      <c r="C3870" t="inlineStr">
        <is>
          <t>SUP-02</t>
        </is>
      </c>
      <c r="D3870" t="inlineStr">
        <is>
          <t>ELEC</t>
        </is>
      </c>
      <c r="E3870" t="inlineStr">
        <is>
          <t>ELEC-07</t>
        </is>
      </c>
      <c r="F3870" s="17" t="n">
        <v>46141</v>
      </c>
      <c r="G3870" s="17" t="n">
        <v>46157</v>
      </c>
      <c r="H3870" s="18" t="n">
        <v>280</v>
      </c>
      <c r="I3870" s="19" t="n">
        <v>9.859999999999999</v>
      </c>
      <c r="J3870" s="19" t="n">
        <v>9.800000000000001</v>
      </c>
      <c r="K3870" s="20" t="n">
        <v>0</v>
      </c>
      <c r="L3870" s="20" t="n">
        <v>0</v>
      </c>
      <c r="M3870" s="18" t="n">
        <v>280</v>
      </c>
      <c r="N3870" s="18" t="n">
        <v>280</v>
      </c>
      <c r="O3870" s="18" t="n">
        <v>0</v>
      </c>
      <c r="P3870" s="17" t="n">
        <v>46157</v>
      </c>
      <c r="Q3870" s="17" t="n">
        <v>46157</v>
      </c>
      <c r="R3870" s="17" t="n">
        <v>46157</v>
      </c>
      <c r="S3870" s="19">
        <f>H3870*I3870</f>
        <v/>
      </c>
      <c r="T3870" s="19">
        <f>H3870*J3870</f>
        <v/>
      </c>
      <c r="U3870">
        <f>IF(AND(K3870=0,G3870&lt;=Assumptions!$C$6),1,0)</f>
        <v/>
      </c>
      <c r="V3870">
        <f>IF(U3870=1,IF(M3870&gt;0,IF(P3870&lt;=G3870+Assumptions!$C$7,1,0),0),0)</f>
        <v/>
      </c>
      <c r="W3870">
        <f>IF(AND(U3870=1,M3870&gt;=H3870*(1-Assumptions!$C$8)),1,0)</f>
        <v/>
      </c>
      <c r="X3870">
        <f>IF(AND(U3870=1,N3870&gt;=H3870*(1-Assumptions!$C$8)),1,0)</f>
        <v/>
      </c>
      <c r="Y3870">
        <f>IF(ISNUMBER(Q3870),1,0)</f>
        <v/>
      </c>
      <c r="Z3870">
        <f>IF(AND(K3870=0,L3870=0,Y3870=0),1,0)</f>
        <v/>
      </c>
      <c r="AA3870">
        <f>IF(AND(Z3870=1,G3870&lt;Assumptions!$C$6),1,0)</f>
        <v/>
      </c>
      <c r="AB3870">
        <f>IF(U3870=0,"",IF(Y3870=1,MAX(0,Q3870-G3870),IF(L3870=1,MAX(0,R3870-G3870),MAX(0,Assumptions!$C$6-G3870))))</f>
        <v/>
      </c>
      <c r="AC3870">
        <f>IF(Y3870=1,Q3870-F3870,"")</f>
        <v/>
      </c>
      <c r="AD3870">
        <f>IF(Y3870=1,AC3870^2,"")</f>
        <v/>
      </c>
      <c r="AE3870" s="19">
        <f>IF(Z3870=1,(H3870-M3870)*I3870,0)</f>
        <v/>
      </c>
      <c r="AF3870">
        <f>IF(G3870&lt;EDATE(Assumptions!$C$6,-12)+1,"prior_12m","last_12m")</f>
        <v/>
      </c>
      <c r="AG3870" s="21">
        <f>DATE(YEAR(G3870),MONTH(G3870),1)</f>
        <v/>
      </c>
    </row>
    <row r="3871">
      <c r="A3871" t="inlineStr">
        <is>
          <t>SPO-02061-2</t>
        </is>
      </c>
      <c r="B3871" t="inlineStr">
        <is>
          <t>SPO-02061</t>
        </is>
      </c>
      <c r="C3871" t="inlineStr">
        <is>
          <t>SUP-02</t>
        </is>
      </c>
      <c r="D3871" t="inlineStr">
        <is>
          <t>ELEC</t>
        </is>
      </c>
      <c r="E3871" t="inlineStr">
        <is>
          <t>ELEC-04</t>
        </is>
      </c>
      <c r="F3871" s="17" t="n">
        <v>46141</v>
      </c>
      <c r="G3871" s="17" t="n">
        <v>46157</v>
      </c>
      <c r="H3871" s="18" t="n">
        <v>18</v>
      </c>
      <c r="I3871" s="19" t="n">
        <v>76.18000000000001</v>
      </c>
      <c r="J3871" s="19" t="n">
        <v>72</v>
      </c>
      <c r="K3871" s="20" t="n">
        <v>0</v>
      </c>
      <c r="L3871" s="20" t="n">
        <v>0</v>
      </c>
      <c r="M3871" s="18" t="n">
        <v>18</v>
      </c>
      <c r="N3871" s="18" t="n">
        <v>18</v>
      </c>
      <c r="O3871" s="18" t="n">
        <v>0</v>
      </c>
      <c r="P3871" s="17" t="n">
        <v>46153</v>
      </c>
      <c r="Q3871" s="17" t="n">
        <v>46153</v>
      </c>
      <c r="R3871" s="17" t="n">
        <v>46153</v>
      </c>
      <c r="S3871" s="19">
        <f>H3871*I3871</f>
        <v/>
      </c>
      <c r="T3871" s="19">
        <f>H3871*J3871</f>
        <v/>
      </c>
      <c r="U3871">
        <f>IF(AND(K3871=0,G3871&lt;=Assumptions!$C$6),1,0)</f>
        <v/>
      </c>
      <c r="V3871">
        <f>IF(U3871=1,IF(M3871&gt;0,IF(P3871&lt;=G3871+Assumptions!$C$7,1,0),0),0)</f>
        <v/>
      </c>
      <c r="W3871">
        <f>IF(AND(U3871=1,M3871&gt;=H3871*(1-Assumptions!$C$8)),1,0)</f>
        <v/>
      </c>
      <c r="X3871">
        <f>IF(AND(U3871=1,N3871&gt;=H3871*(1-Assumptions!$C$8)),1,0)</f>
        <v/>
      </c>
      <c r="Y3871">
        <f>IF(ISNUMBER(Q3871),1,0)</f>
        <v/>
      </c>
      <c r="Z3871">
        <f>IF(AND(K3871=0,L3871=0,Y3871=0),1,0)</f>
        <v/>
      </c>
      <c r="AA3871">
        <f>IF(AND(Z3871=1,G3871&lt;Assumptions!$C$6),1,0)</f>
        <v/>
      </c>
      <c r="AB3871">
        <f>IF(U3871=0,"",IF(Y3871=1,MAX(0,Q3871-G3871),IF(L3871=1,MAX(0,R3871-G3871),MAX(0,Assumptions!$C$6-G3871))))</f>
        <v/>
      </c>
      <c r="AC3871">
        <f>IF(Y3871=1,Q3871-F3871,"")</f>
        <v/>
      </c>
      <c r="AD3871">
        <f>IF(Y3871=1,AC3871^2,"")</f>
        <v/>
      </c>
      <c r="AE3871" s="19">
        <f>IF(Z3871=1,(H3871-M3871)*I3871,0)</f>
        <v/>
      </c>
      <c r="AF3871">
        <f>IF(G3871&lt;EDATE(Assumptions!$C$6,-12)+1,"prior_12m","last_12m")</f>
        <v/>
      </c>
      <c r="AG3871" s="21">
        <f>DATE(YEAR(G3871),MONTH(G3871),1)</f>
        <v/>
      </c>
    </row>
    <row r="3872">
      <c r="A3872" t="inlineStr">
        <is>
          <t>SPO-02061-3</t>
        </is>
      </c>
      <c r="B3872" t="inlineStr">
        <is>
          <t>SPO-02061</t>
        </is>
      </c>
      <c r="C3872" t="inlineStr">
        <is>
          <t>SUP-02</t>
        </is>
      </c>
      <c r="D3872" t="inlineStr">
        <is>
          <t>ELEC</t>
        </is>
      </c>
      <c r="E3872" t="inlineStr">
        <is>
          <t>ELEC-03</t>
        </is>
      </c>
      <c r="F3872" s="17" t="n">
        <v>46141</v>
      </c>
      <c r="G3872" s="17" t="n">
        <v>46157</v>
      </c>
      <c r="H3872" s="18" t="n">
        <v>12</v>
      </c>
      <c r="I3872" s="19" t="n">
        <v>95.76000000000001</v>
      </c>
      <c r="J3872" s="19" t="n">
        <v>96</v>
      </c>
      <c r="K3872" s="20" t="n">
        <v>0</v>
      </c>
      <c r="L3872" s="20" t="n">
        <v>0</v>
      </c>
      <c r="M3872" s="18" t="n">
        <v>12</v>
      </c>
      <c r="N3872" s="18" t="n">
        <v>12</v>
      </c>
      <c r="O3872" s="18" t="n">
        <v>0</v>
      </c>
      <c r="P3872" s="17" t="n">
        <v>46154</v>
      </c>
      <c r="Q3872" s="17" t="n">
        <v>46154</v>
      </c>
      <c r="R3872" s="17" t="n">
        <v>46154</v>
      </c>
      <c r="S3872" s="19">
        <f>H3872*I3872</f>
        <v/>
      </c>
      <c r="T3872" s="19">
        <f>H3872*J3872</f>
        <v/>
      </c>
      <c r="U3872">
        <f>IF(AND(K3872=0,G3872&lt;=Assumptions!$C$6),1,0)</f>
        <v/>
      </c>
      <c r="V3872">
        <f>IF(U3872=1,IF(M3872&gt;0,IF(P3872&lt;=G3872+Assumptions!$C$7,1,0),0),0)</f>
        <v/>
      </c>
      <c r="W3872">
        <f>IF(AND(U3872=1,M3872&gt;=H3872*(1-Assumptions!$C$8)),1,0)</f>
        <v/>
      </c>
      <c r="X3872">
        <f>IF(AND(U3872=1,N3872&gt;=H3872*(1-Assumptions!$C$8)),1,0)</f>
        <v/>
      </c>
      <c r="Y3872">
        <f>IF(ISNUMBER(Q3872),1,0)</f>
        <v/>
      </c>
      <c r="Z3872">
        <f>IF(AND(K3872=0,L3872=0,Y3872=0),1,0)</f>
        <v/>
      </c>
      <c r="AA3872">
        <f>IF(AND(Z3872=1,G3872&lt;Assumptions!$C$6),1,0)</f>
        <v/>
      </c>
      <c r="AB3872">
        <f>IF(U3872=0,"",IF(Y3872=1,MAX(0,Q3872-G3872),IF(L3872=1,MAX(0,R3872-G3872),MAX(0,Assumptions!$C$6-G3872))))</f>
        <v/>
      </c>
      <c r="AC3872">
        <f>IF(Y3872=1,Q3872-F3872,"")</f>
        <v/>
      </c>
      <c r="AD3872">
        <f>IF(Y3872=1,AC3872^2,"")</f>
        <v/>
      </c>
      <c r="AE3872" s="19">
        <f>IF(Z3872=1,(H3872-M3872)*I3872,0)</f>
        <v/>
      </c>
      <c r="AF3872">
        <f>IF(G3872&lt;EDATE(Assumptions!$C$6,-12)+1,"prior_12m","last_12m")</f>
        <v/>
      </c>
      <c r="AG3872" s="21">
        <f>DATE(YEAR(G3872),MONTH(G3872),1)</f>
        <v/>
      </c>
    </row>
    <row r="3873">
      <c r="A3873" t="inlineStr">
        <is>
          <t>SPO-02062-1</t>
        </is>
      </c>
      <c r="B3873" t="inlineStr">
        <is>
          <t>SPO-02062</t>
        </is>
      </c>
      <c r="C3873" t="inlineStr">
        <is>
          <t>SUP-10</t>
        </is>
      </c>
      <c r="D3873" t="inlineStr">
        <is>
          <t>PPE</t>
        </is>
      </c>
      <c r="E3873" t="inlineStr">
        <is>
          <t>PPE-01</t>
        </is>
      </c>
      <c r="F3873" s="17" t="n">
        <v>46142</v>
      </c>
      <c r="G3873" s="17" t="n">
        <v>46155</v>
      </c>
      <c r="H3873" s="18" t="n">
        <v>283</v>
      </c>
      <c r="I3873" s="19" t="n">
        <v>4.49</v>
      </c>
      <c r="J3873" s="19" t="n">
        <v>4.8</v>
      </c>
      <c r="K3873" s="20" t="n">
        <v>0</v>
      </c>
      <c r="L3873" s="20" t="n">
        <v>0</v>
      </c>
      <c r="M3873" s="18" t="n">
        <v>283</v>
      </c>
      <c r="N3873" s="18" t="n">
        <v>283</v>
      </c>
      <c r="O3873" s="18" t="n">
        <v>0</v>
      </c>
      <c r="P3873" s="17" t="n">
        <v>46150</v>
      </c>
      <c r="Q3873" s="17" t="n">
        <v>46150</v>
      </c>
      <c r="R3873" s="17" t="n">
        <v>46150</v>
      </c>
      <c r="S3873" s="19">
        <f>H3873*I3873</f>
        <v/>
      </c>
      <c r="T3873" s="19">
        <f>H3873*J3873</f>
        <v/>
      </c>
      <c r="U3873">
        <f>IF(AND(K3873=0,G3873&lt;=Assumptions!$C$6),1,0)</f>
        <v/>
      </c>
      <c r="V3873">
        <f>IF(U3873=1,IF(M3873&gt;0,IF(P3873&lt;=G3873+Assumptions!$C$7,1,0),0),0)</f>
        <v/>
      </c>
      <c r="W3873">
        <f>IF(AND(U3873=1,M3873&gt;=H3873*(1-Assumptions!$C$8)),1,0)</f>
        <v/>
      </c>
      <c r="X3873">
        <f>IF(AND(U3873=1,N3873&gt;=H3873*(1-Assumptions!$C$8)),1,0)</f>
        <v/>
      </c>
      <c r="Y3873">
        <f>IF(ISNUMBER(Q3873),1,0)</f>
        <v/>
      </c>
      <c r="Z3873">
        <f>IF(AND(K3873=0,L3873=0,Y3873=0),1,0)</f>
        <v/>
      </c>
      <c r="AA3873">
        <f>IF(AND(Z3873=1,G3873&lt;Assumptions!$C$6),1,0)</f>
        <v/>
      </c>
      <c r="AB3873">
        <f>IF(U3873=0,"",IF(Y3873=1,MAX(0,Q3873-G3873),IF(L3873=1,MAX(0,R3873-G3873),MAX(0,Assumptions!$C$6-G3873))))</f>
        <v/>
      </c>
      <c r="AC3873">
        <f>IF(Y3873=1,Q3873-F3873,"")</f>
        <v/>
      </c>
      <c r="AD3873">
        <f>IF(Y3873=1,AC3873^2,"")</f>
        <v/>
      </c>
      <c r="AE3873" s="19">
        <f>IF(Z3873=1,(H3873-M3873)*I3873,0)</f>
        <v/>
      </c>
      <c r="AF3873">
        <f>IF(G3873&lt;EDATE(Assumptions!$C$6,-12)+1,"prior_12m","last_12m")</f>
        <v/>
      </c>
      <c r="AG3873" s="21">
        <f>DATE(YEAR(G3873),MONTH(G3873),1)</f>
        <v/>
      </c>
    </row>
    <row r="3874">
      <c r="A3874" t="inlineStr">
        <is>
          <t>SPO-02063-1</t>
        </is>
      </c>
      <c r="B3874" t="inlineStr">
        <is>
          <t>SPO-02063</t>
        </is>
      </c>
      <c r="C3874" t="inlineStr">
        <is>
          <t>SUP-08</t>
        </is>
      </c>
      <c r="D3874" t="inlineStr">
        <is>
          <t>PPE</t>
        </is>
      </c>
      <c r="E3874" t="inlineStr">
        <is>
          <t>PPE-06</t>
        </is>
      </c>
      <c r="F3874" s="17" t="n">
        <v>46142</v>
      </c>
      <c r="G3874" s="17" t="n">
        <v>46153</v>
      </c>
      <c r="H3874" s="18" t="n">
        <v>11</v>
      </c>
      <c r="I3874" s="19" t="n">
        <v>116.5</v>
      </c>
      <c r="J3874" s="19" t="n">
        <v>115</v>
      </c>
      <c r="K3874" s="20" t="n">
        <v>0</v>
      </c>
      <c r="L3874" s="20" t="n">
        <v>0</v>
      </c>
      <c r="M3874" s="18" t="n">
        <v>11</v>
      </c>
      <c r="N3874" s="18" t="n">
        <v>11</v>
      </c>
      <c r="O3874" s="18" t="n">
        <v>0</v>
      </c>
      <c r="P3874" s="17" t="n">
        <v>46150</v>
      </c>
      <c r="Q3874" s="17" t="n">
        <v>46150</v>
      </c>
      <c r="R3874" s="17" t="n">
        <v>46150</v>
      </c>
      <c r="S3874" s="19">
        <f>H3874*I3874</f>
        <v/>
      </c>
      <c r="T3874" s="19">
        <f>H3874*J3874</f>
        <v/>
      </c>
      <c r="U3874">
        <f>IF(AND(K3874=0,G3874&lt;=Assumptions!$C$6),1,0)</f>
        <v/>
      </c>
      <c r="V3874">
        <f>IF(U3874=1,IF(M3874&gt;0,IF(P3874&lt;=G3874+Assumptions!$C$7,1,0),0),0)</f>
        <v/>
      </c>
      <c r="W3874">
        <f>IF(AND(U3874=1,M3874&gt;=H3874*(1-Assumptions!$C$8)),1,0)</f>
        <v/>
      </c>
      <c r="X3874">
        <f>IF(AND(U3874=1,N3874&gt;=H3874*(1-Assumptions!$C$8)),1,0)</f>
        <v/>
      </c>
      <c r="Y3874">
        <f>IF(ISNUMBER(Q3874),1,0)</f>
        <v/>
      </c>
      <c r="Z3874">
        <f>IF(AND(K3874=0,L3874=0,Y3874=0),1,0)</f>
        <v/>
      </c>
      <c r="AA3874">
        <f>IF(AND(Z3874=1,G3874&lt;Assumptions!$C$6),1,0)</f>
        <v/>
      </c>
      <c r="AB3874">
        <f>IF(U3874=0,"",IF(Y3874=1,MAX(0,Q3874-G3874),IF(L3874=1,MAX(0,R3874-G3874),MAX(0,Assumptions!$C$6-G3874))))</f>
        <v/>
      </c>
      <c r="AC3874">
        <f>IF(Y3874=1,Q3874-F3874,"")</f>
        <v/>
      </c>
      <c r="AD3874">
        <f>IF(Y3874=1,AC3874^2,"")</f>
        <v/>
      </c>
      <c r="AE3874" s="19">
        <f>IF(Z3874=1,(H3874-M3874)*I3874,0)</f>
        <v/>
      </c>
      <c r="AF3874">
        <f>IF(G3874&lt;EDATE(Assumptions!$C$6,-12)+1,"prior_12m","last_12m")</f>
        <v/>
      </c>
      <c r="AG3874" s="21">
        <f>DATE(YEAR(G3874),MONTH(G3874),1)</f>
        <v/>
      </c>
    </row>
    <row r="3875">
      <c r="A3875" t="inlineStr">
        <is>
          <t>SPO-02063-2</t>
        </is>
      </c>
      <c r="B3875" t="inlineStr">
        <is>
          <t>SPO-02063</t>
        </is>
      </c>
      <c r="C3875" t="inlineStr">
        <is>
          <t>SUP-08</t>
        </is>
      </c>
      <c r="D3875" t="inlineStr">
        <is>
          <t>PPE</t>
        </is>
      </c>
      <c r="E3875" t="inlineStr">
        <is>
          <t>PPE-01</t>
        </is>
      </c>
      <c r="F3875" s="17" t="n">
        <v>46142</v>
      </c>
      <c r="G3875" s="17" t="n">
        <v>46153</v>
      </c>
      <c r="H3875" s="18" t="n">
        <v>637</v>
      </c>
      <c r="I3875" s="19" t="n">
        <v>4.87</v>
      </c>
      <c r="J3875" s="19" t="n">
        <v>4.8</v>
      </c>
      <c r="K3875" s="20" t="n">
        <v>0</v>
      </c>
      <c r="L3875" s="20" t="n">
        <v>0</v>
      </c>
      <c r="M3875" s="18" t="n">
        <v>637</v>
      </c>
      <c r="N3875" s="18" t="n">
        <v>637</v>
      </c>
      <c r="O3875" s="18" t="n">
        <v>0</v>
      </c>
      <c r="P3875" s="17" t="n">
        <v>46150</v>
      </c>
      <c r="Q3875" s="17" t="n">
        <v>46150</v>
      </c>
      <c r="R3875" s="17" t="n">
        <v>46150</v>
      </c>
      <c r="S3875" s="19">
        <f>H3875*I3875</f>
        <v/>
      </c>
      <c r="T3875" s="19">
        <f>H3875*J3875</f>
        <v/>
      </c>
      <c r="U3875">
        <f>IF(AND(K3875=0,G3875&lt;=Assumptions!$C$6),1,0)</f>
        <v/>
      </c>
      <c r="V3875">
        <f>IF(U3875=1,IF(M3875&gt;0,IF(P3875&lt;=G3875+Assumptions!$C$7,1,0),0),0)</f>
        <v/>
      </c>
      <c r="W3875">
        <f>IF(AND(U3875=1,M3875&gt;=H3875*(1-Assumptions!$C$8)),1,0)</f>
        <v/>
      </c>
      <c r="X3875">
        <f>IF(AND(U3875=1,N3875&gt;=H3875*(1-Assumptions!$C$8)),1,0)</f>
        <v/>
      </c>
      <c r="Y3875">
        <f>IF(ISNUMBER(Q3875),1,0)</f>
        <v/>
      </c>
      <c r="Z3875">
        <f>IF(AND(K3875=0,L3875=0,Y3875=0),1,0)</f>
        <v/>
      </c>
      <c r="AA3875">
        <f>IF(AND(Z3875=1,G3875&lt;Assumptions!$C$6),1,0)</f>
        <v/>
      </c>
      <c r="AB3875">
        <f>IF(U3875=0,"",IF(Y3875=1,MAX(0,Q3875-G3875),IF(L3875=1,MAX(0,R3875-G3875),MAX(0,Assumptions!$C$6-G3875))))</f>
        <v/>
      </c>
      <c r="AC3875">
        <f>IF(Y3875=1,Q3875-F3875,"")</f>
        <v/>
      </c>
      <c r="AD3875">
        <f>IF(Y3875=1,AC3875^2,"")</f>
        <v/>
      </c>
      <c r="AE3875" s="19">
        <f>IF(Z3875=1,(H3875-M3875)*I3875,0)</f>
        <v/>
      </c>
      <c r="AF3875">
        <f>IF(G3875&lt;EDATE(Assumptions!$C$6,-12)+1,"prior_12m","last_12m")</f>
        <v/>
      </c>
      <c r="AG3875" s="21">
        <f>DATE(YEAR(G3875),MONTH(G3875),1)</f>
        <v/>
      </c>
    </row>
    <row r="3876">
      <c r="A3876" t="inlineStr">
        <is>
          <t>SPO-02064-1</t>
        </is>
      </c>
      <c r="B3876" t="inlineStr">
        <is>
          <t>SPO-02064</t>
        </is>
      </c>
      <c r="C3876" t="inlineStr">
        <is>
          <t>SUP-12</t>
        </is>
      </c>
      <c r="D3876" t="inlineStr">
        <is>
          <t>IT</t>
        </is>
      </c>
      <c r="E3876" t="inlineStr">
        <is>
          <t>IT-04</t>
        </is>
      </c>
      <c r="F3876" s="17" t="n">
        <v>46142</v>
      </c>
      <c r="G3876" s="17" t="n">
        <v>46152</v>
      </c>
      <c r="H3876" s="18" t="n">
        <v>289</v>
      </c>
      <c r="I3876" s="19" t="n">
        <v>13.2</v>
      </c>
      <c r="J3876" s="19" t="n">
        <v>12</v>
      </c>
      <c r="K3876" s="20" t="n">
        <v>0</v>
      </c>
      <c r="L3876" s="20" t="n">
        <v>0</v>
      </c>
      <c r="M3876" s="18" t="n">
        <v>289</v>
      </c>
      <c r="N3876" s="18" t="n">
        <v>289</v>
      </c>
      <c r="O3876" s="18" t="n">
        <v>0</v>
      </c>
      <c r="P3876" s="17" t="n">
        <v>46148</v>
      </c>
      <c r="Q3876" s="17" t="n">
        <v>46148</v>
      </c>
      <c r="R3876" s="17" t="n">
        <v>46148</v>
      </c>
      <c r="S3876" s="19">
        <f>H3876*I3876</f>
        <v/>
      </c>
      <c r="T3876" s="19">
        <f>H3876*J3876</f>
        <v/>
      </c>
      <c r="U3876">
        <f>IF(AND(K3876=0,G3876&lt;=Assumptions!$C$6),1,0)</f>
        <v/>
      </c>
      <c r="V3876">
        <f>IF(U3876=1,IF(M3876&gt;0,IF(P3876&lt;=G3876+Assumptions!$C$7,1,0),0),0)</f>
        <v/>
      </c>
      <c r="W3876">
        <f>IF(AND(U3876=1,M3876&gt;=H3876*(1-Assumptions!$C$8)),1,0)</f>
        <v/>
      </c>
      <c r="X3876">
        <f>IF(AND(U3876=1,N3876&gt;=H3876*(1-Assumptions!$C$8)),1,0)</f>
        <v/>
      </c>
      <c r="Y3876">
        <f>IF(ISNUMBER(Q3876),1,0)</f>
        <v/>
      </c>
      <c r="Z3876">
        <f>IF(AND(K3876=0,L3876=0,Y3876=0),1,0)</f>
        <v/>
      </c>
      <c r="AA3876">
        <f>IF(AND(Z3876=1,G3876&lt;Assumptions!$C$6),1,0)</f>
        <v/>
      </c>
      <c r="AB3876">
        <f>IF(U3876=0,"",IF(Y3876=1,MAX(0,Q3876-G3876),IF(L3876=1,MAX(0,R3876-G3876),MAX(0,Assumptions!$C$6-G3876))))</f>
        <v/>
      </c>
      <c r="AC3876">
        <f>IF(Y3876=1,Q3876-F3876,"")</f>
        <v/>
      </c>
      <c r="AD3876">
        <f>IF(Y3876=1,AC3876^2,"")</f>
        <v/>
      </c>
      <c r="AE3876" s="19">
        <f>IF(Z3876=1,(H3876-M3876)*I3876,0)</f>
        <v/>
      </c>
      <c r="AF3876">
        <f>IF(G3876&lt;EDATE(Assumptions!$C$6,-12)+1,"prior_12m","last_12m")</f>
        <v/>
      </c>
      <c r="AG3876" s="21">
        <f>DATE(YEAR(G3876),MONTH(G3876),1)</f>
        <v/>
      </c>
    </row>
    <row r="3877">
      <c r="A3877" t="inlineStr">
        <is>
          <t>SPO-02064-2</t>
        </is>
      </c>
      <c r="B3877" t="inlineStr">
        <is>
          <t>SPO-02064</t>
        </is>
      </c>
      <c r="C3877" t="inlineStr">
        <is>
          <t>SUP-12</t>
        </is>
      </c>
      <c r="D3877" t="inlineStr">
        <is>
          <t>IT</t>
        </is>
      </c>
      <c r="E3877" t="inlineStr">
        <is>
          <t>IT-08</t>
        </is>
      </c>
      <c r="F3877" s="17" t="n">
        <v>46142</v>
      </c>
      <c r="G3877" s="17" t="n">
        <v>46152</v>
      </c>
      <c r="H3877" s="18" t="n">
        <v>6</v>
      </c>
      <c r="I3877" s="19" t="n">
        <v>284.46</v>
      </c>
      <c r="J3877" s="19" t="n">
        <v>245</v>
      </c>
      <c r="K3877" s="20" t="n">
        <v>0</v>
      </c>
      <c r="L3877" s="20" t="n">
        <v>0</v>
      </c>
      <c r="M3877" s="18" t="n">
        <v>6</v>
      </c>
      <c r="N3877" s="18" t="n">
        <v>6</v>
      </c>
      <c r="O3877" s="18" t="n">
        <v>0</v>
      </c>
      <c r="P3877" s="17" t="n">
        <v>46146</v>
      </c>
      <c r="Q3877" s="17" t="n">
        <v>46146</v>
      </c>
      <c r="R3877" s="17" t="n">
        <v>46146</v>
      </c>
      <c r="S3877" s="19">
        <f>H3877*I3877</f>
        <v/>
      </c>
      <c r="T3877" s="19">
        <f>H3877*J3877</f>
        <v/>
      </c>
      <c r="U3877">
        <f>IF(AND(K3877=0,G3877&lt;=Assumptions!$C$6),1,0)</f>
        <v/>
      </c>
      <c r="V3877">
        <f>IF(U3877=1,IF(M3877&gt;0,IF(P3877&lt;=G3877+Assumptions!$C$7,1,0),0),0)</f>
        <v/>
      </c>
      <c r="W3877">
        <f>IF(AND(U3877=1,M3877&gt;=H3877*(1-Assumptions!$C$8)),1,0)</f>
        <v/>
      </c>
      <c r="X3877">
        <f>IF(AND(U3877=1,N3877&gt;=H3877*(1-Assumptions!$C$8)),1,0)</f>
        <v/>
      </c>
      <c r="Y3877">
        <f>IF(ISNUMBER(Q3877),1,0)</f>
        <v/>
      </c>
      <c r="Z3877">
        <f>IF(AND(K3877=0,L3877=0,Y3877=0),1,0)</f>
        <v/>
      </c>
      <c r="AA3877">
        <f>IF(AND(Z3877=1,G3877&lt;Assumptions!$C$6),1,0)</f>
        <v/>
      </c>
      <c r="AB3877">
        <f>IF(U3877=0,"",IF(Y3877=1,MAX(0,Q3877-G3877),IF(L3877=1,MAX(0,R3877-G3877),MAX(0,Assumptions!$C$6-G3877))))</f>
        <v/>
      </c>
      <c r="AC3877">
        <f>IF(Y3877=1,Q3877-F3877,"")</f>
        <v/>
      </c>
      <c r="AD3877">
        <f>IF(Y3877=1,AC3877^2,"")</f>
        <v/>
      </c>
      <c r="AE3877" s="19">
        <f>IF(Z3877=1,(H3877-M3877)*I3877,0)</f>
        <v/>
      </c>
      <c r="AF3877">
        <f>IF(G3877&lt;EDATE(Assumptions!$C$6,-12)+1,"prior_12m","last_12m")</f>
        <v/>
      </c>
      <c r="AG3877" s="21">
        <f>DATE(YEAR(G3877),MONTH(G3877),1)</f>
        <v/>
      </c>
    </row>
    <row r="3878">
      <c r="A3878" t="inlineStr">
        <is>
          <t>SPO-02065-1</t>
        </is>
      </c>
      <c r="B3878" t="inlineStr">
        <is>
          <t>SPO-02065</t>
        </is>
      </c>
      <c r="C3878" t="inlineStr">
        <is>
          <t>SUP-06</t>
        </is>
      </c>
      <c r="D3878" t="inlineStr">
        <is>
          <t>MRO</t>
        </is>
      </c>
      <c r="E3878" t="inlineStr">
        <is>
          <t>MRO-05</t>
        </is>
      </c>
      <c r="F3878" s="17" t="n">
        <v>46142</v>
      </c>
      <c r="G3878" s="17" t="n">
        <v>46150</v>
      </c>
      <c r="H3878" s="18" t="n">
        <v>84</v>
      </c>
      <c r="I3878" s="19" t="n">
        <v>35.9</v>
      </c>
      <c r="J3878" s="19" t="n">
        <v>36</v>
      </c>
      <c r="K3878" s="20" t="n">
        <v>0</v>
      </c>
      <c r="L3878" s="20" t="n">
        <v>0</v>
      </c>
      <c r="M3878" s="18" t="n">
        <v>84</v>
      </c>
      <c r="N3878" s="18" t="n">
        <v>84</v>
      </c>
      <c r="O3878" s="18" t="n">
        <v>0</v>
      </c>
      <c r="P3878" s="17" t="n">
        <v>46148</v>
      </c>
      <c r="Q3878" s="17" t="n">
        <v>46148</v>
      </c>
      <c r="R3878" s="17" t="n">
        <v>46148</v>
      </c>
      <c r="S3878" s="19">
        <f>H3878*I3878</f>
        <v/>
      </c>
      <c r="T3878" s="19">
        <f>H3878*J3878</f>
        <v/>
      </c>
      <c r="U3878">
        <f>IF(AND(K3878=0,G3878&lt;=Assumptions!$C$6),1,0)</f>
        <v/>
      </c>
      <c r="V3878">
        <f>IF(U3878=1,IF(M3878&gt;0,IF(P3878&lt;=G3878+Assumptions!$C$7,1,0),0),0)</f>
        <v/>
      </c>
      <c r="W3878">
        <f>IF(AND(U3878=1,M3878&gt;=H3878*(1-Assumptions!$C$8)),1,0)</f>
        <v/>
      </c>
      <c r="X3878">
        <f>IF(AND(U3878=1,N3878&gt;=H3878*(1-Assumptions!$C$8)),1,0)</f>
        <v/>
      </c>
      <c r="Y3878">
        <f>IF(ISNUMBER(Q3878),1,0)</f>
        <v/>
      </c>
      <c r="Z3878">
        <f>IF(AND(K3878=0,L3878=0,Y3878=0),1,0)</f>
        <v/>
      </c>
      <c r="AA3878">
        <f>IF(AND(Z3878=1,G3878&lt;Assumptions!$C$6),1,0)</f>
        <v/>
      </c>
      <c r="AB3878">
        <f>IF(U3878=0,"",IF(Y3878=1,MAX(0,Q3878-G3878),IF(L3878=1,MAX(0,R3878-G3878),MAX(0,Assumptions!$C$6-G3878))))</f>
        <v/>
      </c>
      <c r="AC3878">
        <f>IF(Y3878=1,Q3878-F3878,"")</f>
        <v/>
      </c>
      <c r="AD3878">
        <f>IF(Y3878=1,AC3878^2,"")</f>
        <v/>
      </c>
      <c r="AE3878" s="19">
        <f>IF(Z3878=1,(H3878-M3878)*I3878,0)</f>
        <v/>
      </c>
      <c r="AF3878">
        <f>IF(G3878&lt;EDATE(Assumptions!$C$6,-12)+1,"prior_12m","last_12m")</f>
        <v/>
      </c>
      <c r="AG3878" s="21">
        <f>DATE(YEAR(G3878),MONTH(G3878),1)</f>
        <v/>
      </c>
    </row>
    <row r="3879">
      <c r="A3879" t="inlineStr">
        <is>
          <t>SPO-02066-1</t>
        </is>
      </c>
      <c r="B3879" t="inlineStr">
        <is>
          <t>SPO-02066</t>
        </is>
      </c>
      <c r="C3879" t="inlineStr">
        <is>
          <t>SUP-06</t>
        </is>
      </c>
      <c r="D3879" t="inlineStr">
        <is>
          <t>MRO</t>
        </is>
      </c>
      <c r="E3879" t="inlineStr">
        <is>
          <t>MRO-01</t>
        </is>
      </c>
      <c r="F3879" s="17" t="n">
        <v>46143</v>
      </c>
      <c r="G3879" s="17" t="n">
        <v>46151</v>
      </c>
      <c r="H3879" s="18" t="n">
        <v>62</v>
      </c>
      <c r="I3879" s="19" t="n">
        <v>49.56</v>
      </c>
      <c r="J3879" s="19" t="n">
        <v>52</v>
      </c>
      <c r="K3879" s="20" t="n">
        <v>0</v>
      </c>
      <c r="L3879" s="20" t="n">
        <v>0</v>
      </c>
      <c r="M3879" s="18" t="n">
        <v>62</v>
      </c>
      <c r="N3879" s="18" t="n">
        <v>62</v>
      </c>
      <c r="O3879" s="18" t="n">
        <v>0</v>
      </c>
      <c r="P3879" s="17" t="n">
        <v>46150</v>
      </c>
      <c r="Q3879" s="17" t="n">
        <v>46150</v>
      </c>
      <c r="R3879" s="17" t="n">
        <v>46150</v>
      </c>
      <c r="S3879" s="19">
        <f>H3879*I3879</f>
        <v/>
      </c>
      <c r="T3879" s="19">
        <f>H3879*J3879</f>
        <v/>
      </c>
      <c r="U3879">
        <f>IF(AND(K3879=0,G3879&lt;=Assumptions!$C$6),1,0)</f>
        <v/>
      </c>
      <c r="V3879">
        <f>IF(U3879=1,IF(M3879&gt;0,IF(P3879&lt;=G3879+Assumptions!$C$7,1,0),0),0)</f>
        <v/>
      </c>
      <c r="W3879">
        <f>IF(AND(U3879=1,M3879&gt;=H3879*(1-Assumptions!$C$8)),1,0)</f>
        <v/>
      </c>
      <c r="X3879">
        <f>IF(AND(U3879=1,N3879&gt;=H3879*(1-Assumptions!$C$8)),1,0)</f>
        <v/>
      </c>
      <c r="Y3879">
        <f>IF(ISNUMBER(Q3879),1,0)</f>
        <v/>
      </c>
      <c r="Z3879">
        <f>IF(AND(K3879=0,L3879=0,Y3879=0),1,0)</f>
        <v/>
      </c>
      <c r="AA3879">
        <f>IF(AND(Z3879=1,G3879&lt;Assumptions!$C$6),1,0)</f>
        <v/>
      </c>
      <c r="AB3879">
        <f>IF(U3879=0,"",IF(Y3879=1,MAX(0,Q3879-G3879),IF(L3879=1,MAX(0,R3879-G3879),MAX(0,Assumptions!$C$6-G3879))))</f>
        <v/>
      </c>
      <c r="AC3879">
        <f>IF(Y3879=1,Q3879-F3879,"")</f>
        <v/>
      </c>
      <c r="AD3879">
        <f>IF(Y3879=1,AC3879^2,"")</f>
        <v/>
      </c>
      <c r="AE3879" s="19">
        <f>IF(Z3879=1,(H3879-M3879)*I3879,0)</f>
        <v/>
      </c>
      <c r="AF3879">
        <f>IF(G3879&lt;EDATE(Assumptions!$C$6,-12)+1,"prior_12m","last_12m")</f>
        <v/>
      </c>
      <c r="AG3879" s="21">
        <f>DATE(YEAR(G3879),MONTH(G3879),1)</f>
        <v/>
      </c>
    </row>
    <row r="3880">
      <c r="A3880" t="inlineStr">
        <is>
          <t>SPO-02067-1</t>
        </is>
      </c>
      <c r="B3880" t="inlineStr">
        <is>
          <t>SPO-02067</t>
        </is>
      </c>
      <c r="C3880" t="inlineStr">
        <is>
          <t>SUP-04</t>
        </is>
      </c>
      <c r="D3880" t="inlineStr">
        <is>
          <t>FLEET</t>
        </is>
      </c>
      <c r="E3880" t="inlineStr">
        <is>
          <t>FLEET-03</t>
        </is>
      </c>
      <c r="F3880" s="17" t="n">
        <v>46143</v>
      </c>
      <c r="G3880" s="17" t="n">
        <v>46156</v>
      </c>
      <c r="H3880" s="18" t="n">
        <v>50</v>
      </c>
      <c r="I3880" s="19" t="n">
        <v>19.9</v>
      </c>
      <c r="J3880" s="19" t="n">
        <v>21</v>
      </c>
      <c r="K3880" s="20" t="n">
        <v>0</v>
      </c>
      <c r="L3880" s="20" t="n">
        <v>0</v>
      </c>
      <c r="M3880" s="18" t="n">
        <v>50</v>
      </c>
      <c r="N3880" s="18" t="n">
        <v>50</v>
      </c>
      <c r="O3880" s="18" t="n">
        <v>0</v>
      </c>
      <c r="P3880" s="17" t="n">
        <v>46150</v>
      </c>
      <c r="Q3880" s="17" t="n">
        <v>46150</v>
      </c>
      <c r="R3880" s="17" t="n">
        <v>46150</v>
      </c>
      <c r="S3880" s="19">
        <f>H3880*I3880</f>
        <v/>
      </c>
      <c r="T3880" s="19">
        <f>H3880*J3880</f>
        <v/>
      </c>
      <c r="U3880">
        <f>IF(AND(K3880=0,G3880&lt;=Assumptions!$C$6),1,0)</f>
        <v/>
      </c>
      <c r="V3880">
        <f>IF(U3880=1,IF(M3880&gt;0,IF(P3880&lt;=G3880+Assumptions!$C$7,1,0),0),0)</f>
        <v/>
      </c>
      <c r="W3880">
        <f>IF(AND(U3880=1,M3880&gt;=H3880*(1-Assumptions!$C$8)),1,0)</f>
        <v/>
      </c>
      <c r="X3880">
        <f>IF(AND(U3880=1,N3880&gt;=H3880*(1-Assumptions!$C$8)),1,0)</f>
        <v/>
      </c>
      <c r="Y3880">
        <f>IF(ISNUMBER(Q3880),1,0)</f>
        <v/>
      </c>
      <c r="Z3880">
        <f>IF(AND(K3880=0,L3880=0,Y3880=0),1,0)</f>
        <v/>
      </c>
      <c r="AA3880">
        <f>IF(AND(Z3880=1,G3880&lt;Assumptions!$C$6),1,0)</f>
        <v/>
      </c>
      <c r="AB3880">
        <f>IF(U3880=0,"",IF(Y3880=1,MAX(0,Q3880-G3880),IF(L3880=1,MAX(0,R3880-G3880),MAX(0,Assumptions!$C$6-G3880))))</f>
        <v/>
      </c>
      <c r="AC3880">
        <f>IF(Y3880=1,Q3880-F3880,"")</f>
        <v/>
      </c>
      <c r="AD3880">
        <f>IF(Y3880=1,AC3880^2,"")</f>
        <v/>
      </c>
      <c r="AE3880" s="19">
        <f>IF(Z3880=1,(H3880-M3880)*I3880,0)</f>
        <v/>
      </c>
      <c r="AF3880">
        <f>IF(G3880&lt;EDATE(Assumptions!$C$6,-12)+1,"prior_12m","last_12m")</f>
        <v/>
      </c>
      <c r="AG3880" s="21">
        <f>DATE(YEAR(G3880),MONTH(G3880),1)</f>
        <v/>
      </c>
    </row>
    <row r="3881">
      <c r="A3881" t="inlineStr">
        <is>
          <t>SPO-02067-2</t>
        </is>
      </c>
      <c r="B3881" t="inlineStr">
        <is>
          <t>SPO-02067</t>
        </is>
      </c>
      <c r="C3881" t="inlineStr">
        <is>
          <t>SUP-04</t>
        </is>
      </c>
      <c r="D3881" t="inlineStr">
        <is>
          <t>FLEET</t>
        </is>
      </c>
      <c r="E3881" t="inlineStr">
        <is>
          <t>FLEET-02</t>
        </is>
      </c>
      <c r="F3881" s="17" t="n">
        <v>46143</v>
      </c>
      <c r="G3881" s="17" t="n">
        <v>46156</v>
      </c>
      <c r="H3881" s="18" t="n">
        <v>184</v>
      </c>
      <c r="I3881" s="19" t="n">
        <v>7.55</v>
      </c>
      <c r="J3881" s="19" t="n">
        <v>7.5</v>
      </c>
      <c r="K3881" s="20" t="n">
        <v>0</v>
      </c>
      <c r="L3881" s="20" t="n">
        <v>0</v>
      </c>
      <c r="M3881" s="18" t="n">
        <v>184</v>
      </c>
      <c r="N3881" s="18" t="n">
        <v>184</v>
      </c>
      <c r="O3881" s="18" t="n">
        <v>0</v>
      </c>
      <c r="P3881" s="17" t="n">
        <v>46144</v>
      </c>
      <c r="Q3881" s="17" t="n">
        <v>46144</v>
      </c>
      <c r="R3881" s="17" t="n">
        <v>46144</v>
      </c>
      <c r="S3881" s="19">
        <f>H3881*I3881</f>
        <v/>
      </c>
      <c r="T3881" s="19">
        <f>H3881*J3881</f>
        <v/>
      </c>
      <c r="U3881">
        <f>IF(AND(K3881=0,G3881&lt;=Assumptions!$C$6),1,0)</f>
        <v/>
      </c>
      <c r="V3881">
        <f>IF(U3881=1,IF(M3881&gt;0,IF(P3881&lt;=G3881+Assumptions!$C$7,1,0),0),0)</f>
        <v/>
      </c>
      <c r="W3881">
        <f>IF(AND(U3881=1,M3881&gt;=H3881*(1-Assumptions!$C$8)),1,0)</f>
        <v/>
      </c>
      <c r="X3881">
        <f>IF(AND(U3881=1,N3881&gt;=H3881*(1-Assumptions!$C$8)),1,0)</f>
        <v/>
      </c>
      <c r="Y3881">
        <f>IF(ISNUMBER(Q3881),1,0)</f>
        <v/>
      </c>
      <c r="Z3881">
        <f>IF(AND(K3881=0,L3881=0,Y3881=0),1,0)</f>
        <v/>
      </c>
      <c r="AA3881">
        <f>IF(AND(Z3881=1,G3881&lt;Assumptions!$C$6),1,0)</f>
        <v/>
      </c>
      <c r="AB3881">
        <f>IF(U3881=0,"",IF(Y3881=1,MAX(0,Q3881-G3881),IF(L3881=1,MAX(0,R3881-G3881),MAX(0,Assumptions!$C$6-G3881))))</f>
        <v/>
      </c>
      <c r="AC3881">
        <f>IF(Y3881=1,Q3881-F3881,"")</f>
        <v/>
      </c>
      <c r="AD3881">
        <f>IF(Y3881=1,AC3881^2,"")</f>
        <v/>
      </c>
      <c r="AE3881" s="19">
        <f>IF(Z3881=1,(H3881-M3881)*I3881,0)</f>
        <v/>
      </c>
      <c r="AF3881">
        <f>IF(G3881&lt;EDATE(Assumptions!$C$6,-12)+1,"prior_12m","last_12m")</f>
        <v/>
      </c>
      <c r="AG3881" s="21">
        <f>DATE(YEAR(G3881),MONTH(G3881),1)</f>
        <v/>
      </c>
    </row>
    <row r="3882">
      <c r="A3882" t="inlineStr">
        <is>
          <t>SPO-02067-3</t>
        </is>
      </c>
      <c r="B3882" t="inlineStr">
        <is>
          <t>SPO-02067</t>
        </is>
      </c>
      <c r="C3882" t="inlineStr">
        <is>
          <t>SUP-04</t>
        </is>
      </c>
      <c r="D3882" t="inlineStr">
        <is>
          <t>FLEET</t>
        </is>
      </c>
      <c r="E3882" t="inlineStr">
        <is>
          <t>FLEET-06</t>
        </is>
      </c>
      <c r="F3882" s="17" t="n">
        <v>46143</v>
      </c>
      <c r="G3882" s="17" t="n">
        <v>46156</v>
      </c>
      <c r="H3882" s="18" t="n">
        <v>52</v>
      </c>
      <c r="I3882" s="19" t="n">
        <v>31.54</v>
      </c>
      <c r="J3882" s="19" t="n">
        <v>33</v>
      </c>
      <c r="K3882" s="20" t="n">
        <v>0</v>
      </c>
      <c r="L3882" s="20" t="n">
        <v>0</v>
      </c>
      <c r="M3882" s="18" t="n">
        <v>52</v>
      </c>
      <c r="N3882" s="18" t="n">
        <v>52</v>
      </c>
      <c r="O3882" s="18" t="n">
        <v>0</v>
      </c>
      <c r="P3882" s="17" t="n">
        <v>46149</v>
      </c>
      <c r="Q3882" s="17" t="n">
        <v>46149</v>
      </c>
      <c r="R3882" s="17" t="n">
        <v>46149</v>
      </c>
      <c r="S3882" s="19">
        <f>H3882*I3882</f>
        <v/>
      </c>
      <c r="T3882" s="19">
        <f>H3882*J3882</f>
        <v/>
      </c>
      <c r="U3882">
        <f>IF(AND(K3882=0,G3882&lt;=Assumptions!$C$6),1,0)</f>
        <v/>
      </c>
      <c r="V3882">
        <f>IF(U3882=1,IF(M3882&gt;0,IF(P3882&lt;=G3882+Assumptions!$C$7,1,0),0),0)</f>
        <v/>
      </c>
      <c r="W3882">
        <f>IF(AND(U3882=1,M3882&gt;=H3882*(1-Assumptions!$C$8)),1,0)</f>
        <v/>
      </c>
      <c r="X3882">
        <f>IF(AND(U3882=1,N3882&gt;=H3882*(1-Assumptions!$C$8)),1,0)</f>
        <v/>
      </c>
      <c r="Y3882">
        <f>IF(ISNUMBER(Q3882),1,0)</f>
        <v/>
      </c>
      <c r="Z3882">
        <f>IF(AND(K3882=0,L3882=0,Y3882=0),1,0)</f>
        <v/>
      </c>
      <c r="AA3882">
        <f>IF(AND(Z3882=1,G3882&lt;Assumptions!$C$6),1,0)</f>
        <v/>
      </c>
      <c r="AB3882">
        <f>IF(U3882=0,"",IF(Y3882=1,MAX(0,Q3882-G3882),IF(L3882=1,MAX(0,R3882-G3882),MAX(0,Assumptions!$C$6-G3882))))</f>
        <v/>
      </c>
      <c r="AC3882">
        <f>IF(Y3882=1,Q3882-F3882,"")</f>
        <v/>
      </c>
      <c r="AD3882">
        <f>IF(Y3882=1,AC3882^2,"")</f>
        <v/>
      </c>
      <c r="AE3882" s="19">
        <f>IF(Z3882=1,(H3882-M3882)*I3882,0)</f>
        <v/>
      </c>
      <c r="AF3882">
        <f>IF(G3882&lt;EDATE(Assumptions!$C$6,-12)+1,"prior_12m","last_12m")</f>
        <v/>
      </c>
      <c r="AG3882" s="21">
        <f>DATE(YEAR(G3882),MONTH(G3882),1)</f>
        <v/>
      </c>
    </row>
    <row r="3883">
      <c r="A3883" t="inlineStr">
        <is>
          <t>SPO-02068-1</t>
        </is>
      </c>
      <c r="B3883" t="inlineStr">
        <is>
          <t>SPO-02068</t>
        </is>
      </c>
      <c r="C3883" t="inlineStr">
        <is>
          <t>SUP-01</t>
        </is>
      </c>
      <c r="D3883" t="inlineStr">
        <is>
          <t>ELEC</t>
        </is>
      </c>
      <c r="E3883" t="inlineStr">
        <is>
          <t>ELEC-08</t>
        </is>
      </c>
      <c r="F3883" s="17" t="n">
        <v>46143</v>
      </c>
      <c r="G3883" s="17" t="n">
        <v>46161</v>
      </c>
      <c r="H3883" s="18" t="n">
        <v>123</v>
      </c>
      <c r="I3883" s="19" t="n">
        <v>17.78</v>
      </c>
      <c r="J3883" s="19" t="n">
        <v>18</v>
      </c>
      <c r="K3883" s="20" t="n">
        <v>0</v>
      </c>
      <c r="L3883" s="20" t="n">
        <v>0</v>
      </c>
      <c r="M3883" s="18" t="n">
        <v>123</v>
      </c>
      <c r="N3883" s="18" t="n">
        <v>123</v>
      </c>
      <c r="O3883" s="18" t="n">
        <v>0</v>
      </c>
      <c r="P3883" s="17" t="n">
        <v>46156</v>
      </c>
      <c r="Q3883" s="17" t="n">
        <v>46156</v>
      </c>
      <c r="R3883" s="17" t="n">
        <v>46156</v>
      </c>
      <c r="S3883" s="19">
        <f>H3883*I3883</f>
        <v/>
      </c>
      <c r="T3883" s="19">
        <f>H3883*J3883</f>
        <v/>
      </c>
      <c r="U3883">
        <f>IF(AND(K3883=0,G3883&lt;=Assumptions!$C$6),1,0)</f>
        <v/>
      </c>
      <c r="V3883">
        <f>IF(U3883=1,IF(M3883&gt;0,IF(P3883&lt;=G3883+Assumptions!$C$7,1,0),0),0)</f>
        <v/>
      </c>
      <c r="W3883">
        <f>IF(AND(U3883=1,M3883&gt;=H3883*(1-Assumptions!$C$8)),1,0)</f>
        <v/>
      </c>
      <c r="X3883">
        <f>IF(AND(U3883=1,N3883&gt;=H3883*(1-Assumptions!$C$8)),1,0)</f>
        <v/>
      </c>
      <c r="Y3883">
        <f>IF(ISNUMBER(Q3883),1,0)</f>
        <v/>
      </c>
      <c r="Z3883">
        <f>IF(AND(K3883=0,L3883=0,Y3883=0),1,0)</f>
        <v/>
      </c>
      <c r="AA3883">
        <f>IF(AND(Z3883=1,G3883&lt;Assumptions!$C$6),1,0)</f>
        <v/>
      </c>
      <c r="AB3883">
        <f>IF(U3883=0,"",IF(Y3883=1,MAX(0,Q3883-G3883),IF(L3883=1,MAX(0,R3883-G3883),MAX(0,Assumptions!$C$6-G3883))))</f>
        <v/>
      </c>
      <c r="AC3883">
        <f>IF(Y3883=1,Q3883-F3883,"")</f>
        <v/>
      </c>
      <c r="AD3883">
        <f>IF(Y3883=1,AC3883^2,"")</f>
        <v/>
      </c>
      <c r="AE3883" s="19">
        <f>IF(Z3883=1,(H3883-M3883)*I3883,0)</f>
        <v/>
      </c>
      <c r="AF3883">
        <f>IF(G3883&lt;EDATE(Assumptions!$C$6,-12)+1,"prior_12m","last_12m")</f>
        <v/>
      </c>
      <c r="AG3883" s="21">
        <f>DATE(YEAR(G3883),MONTH(G3883),1)</f>
        <v/>
      </c>
    </row>
    <row r="3884">
      <c r="A3884" t="inlineStr">
        <is>
          <t>SPO-02069-1</t>
        </is>
      </c>
      <c r="B3884" t="inlineStr">
        <is>
          <t>SPO-02069</t>
        </is>
      </c>
      <c r="C3884" t="inlineStr">
        <is>
          <t>SUP-02</t>
        </is>
      </c>
      <c r="D3884" t="inlineStr">
        <is>
          <t>ELEC</t>
        </is>
      </c>
      <c r="E3884" t="inlineStr">
        <is>
          <t>ELEC-08</t>
        </is>
      </c>
      <c r="F3884" s="17" t="n">
        <v>46143</v>
      </c>
      <c r="G3884" s="17" t="n">
        <v>46159</v>
      </c>
      <c r="H3884" s="18" t="n">
        <v>88</v>
      </c>
      <c r="I3884" s="19" t="n">
        <v>18.54</v>
      </c>
      <c r="J3884" s="19" t="n">
        <v>18</v>
      </c>
      <c r="K3884" s="20" t="n">
        <v>0</v>
      </c>
      <c r="L3884" s="20" t="n">
        <v>0</v>
      </c>
      <c r="M3884" s="18" t="n">
        <v>88</v>
      </c>
      <c r="N3884" s="18" t="n">
        <v>88</v>
      </c>
      <c r="O3884" s="18" t="n">
        <v>0</v>
      </c>
      <c r="P3884" s="17" t="n">
        <v>46156</v>
      </c>
      <c r="Q3884" s="17" t="n">
        <v>46156</v>
      </c>
      <c r="R3884" s="17" t="n">
        <v>46156</v>
      </c>
      <c r="S3884" s="19">
        <f>H3884*I3884</f>
        <v/>
      </c>
      <c r="T3884" s="19">
        <f>H3884*J3884</f>
        <v/>
      </c>
      <c r="U3884">
        <f>IF(AND(K3884=0,G3884&lt;=Assumptions!$C$6),1,0)</f>
        <v/>
      </c>
      <c r="V3884">
        <f>IF(U3884=1,IF(M3884&gt;0,IF(P3884&lt;=G3884+Assumptions!$C$7,1,0),0),0)</f>
        <v/>
      </c>
      <c r="W3884">
        <f>IF(AND(U3884=1,M3884&gt;=H3884*(1-Assumptions!$C$8)),1,0)</f>
        <v/>
      </c>
      <c r="X3884">
        <f>IF(AND(U3884=1,N3884&gt;=H3884*(1-Assumptions!$C$8)),1,0)</f>
        <v/>
      </c>
      <c r="Y3884">
        <f>IF(ISNUMBER(Q3884),1,0)</f>
        <v/>
      </c>
      <c r="Z3884">
        <f>IF(AND(K3884=0,L3884=0,Y3884=0),1,0)</f>
        <v/>
      </c>
      <c r="AA3884">
        <f>IF(AND(Z3884=1,G3884&lt;Assumptions!$C$6),1,0)</f>
        <v/>
      </c>
      <c r="AB3884">
        <f>IF(U3884=0,"",IF(Y3884=1,MAX(0,Q3884-G3884),IF(L3884=1,MAX(0,R3884-G3884),MAX(0,Assumptions!$C$6-G3884))))</f>
        <v/>
      </c>
      <c r="AC3884">
        <f>IF(Y3884=1,Q3884-F3884,"")</f>
        <v/>
      </c>
      <c r="AD3884">
        <f>IF(Y3884=1,AC3884^2,"")</f>
        <v/>
      </c>
      <c r="AE3884" s="19">
        <f>IF(Z3884=1,(H3884-M3884)*I3884,0)</f>
        <v/>
      </c>
      <c r="AF3884">
        <f>IF(G3884&lt;EDATE(Assumptions!$C$6,-12)+1,"prior_12m","last_12m")</f>
        <v/>
      </c>
      <c r="AG3884" s="21">
        <f>DATE(YEAR(G3884),MONTH(G3884),1)</f>
        <v/>
      </c>
    </row>
    <row r="3885">
      <c r="A3885" t="inlineStr">
        <is>
          <t>SPO-02070-1</t>
        </is>
      </c>
      <c r="B3885" t="inlineStr">
        <is>
          <t>SPO-02070</t>
        </is>
      </c>
      <c r="C3885" t="inlineStr">
        <is>
          <t>SUP-11</t>
        </is>
      </c>
      <c r="D3885" t="inlineStr">
        <is>
          <t>PPE</t>
        </is>
      </c>
      <c r="E3885" t="inlineStr">
        <is>
          <t>PPE-07</t>
        </is>
      </c>
      <c r="F3885" s="17" t="n">
        <v>46143</v>
      </c>
      <c r="G3885" s="17" t="n">
        <v>46155</v>
      </c>
      <c r="H3885" s="18" t="n">
        <v>29</v>
      </c>
      <c r="I3885" s="19" t="n">
        <v>29.55</v>
      </c>
      <c r="J3885" s="19" t="n">
        <v>31</v>
      </c>
      <c r="K3885" s="20" t="n">
        <v>0</v>
      </c>
      <c r="L3885" s="20" t="n">
        <v>0</v>
      </c>
      <c r="M3885" s="18" t="n">
        <v>29</v>
      </c>
      <c r="N3885" s="18" t="n">
        <v>29</v>
      </c>
      <c r="O3885" s="18" t="n">
        <v>0</v>
      </c>
      <c r="P3885" s="17" t="n">
        <v>46153</v>
      </c>
      <c r="Q3885" s="17" t="n">
        <v>46153</v>
      </c>
      <c r="R3885" s="17" t="n">
        <v>46153</v>
      </c>
      <c r="S3885" s="19">
        <f>H3885*I3885</f>
        <v/>
      </c>
      <c r="T3885" s="19">
        <f>H3885*J3885</f>
        <v/>
      </c>
      <c r="U3885">
        <f>IF(AND(K3885=0,G3885&lt;=Assumptions!$C$6),1,0)</f>
        <v/>
      </c>
      <c r="V3885">
        <f>IF(U3885=1,IF(M3885&gt;0,IF(P3885&lt;=G3885+Assumptions!$C$7,1,0),0),0)</f>
        <v/>
      </c>
      <c r="W3885">
        <f>IF(AND(U3885=1,M3885&gt;=H3885*(1-Assumptions!$C$8)),1,0)</f>
        <v/>
      </c>
      <c r="X3885">
        <f>IF(AND(U3885=1,N3885&gt;=H3885*(1-Assumptions!$C$8)),1,0)</f>
        <v/>
      </c>
      <c r="Y3885">
        <f>IF(ISNUMBER(Q3885),1,0)</f>
        <v/>
      </c>
      <c r="Z3885">
        <f>IF(AND(K3885=0,L3885=0,Y3885=0),1,0)</f>
        <v/>
      </c>
      <c r="AA3885">
        <f>IF(AND(Z3885=1,G3885&lt;Assumptions!$C$6),1,0)</f>
        <v/>
      </c>
      <c r="AB3885">
        <f>IF(U3885=0,"",IF(Y3885=1,MAX(0,Q3885-G3885),IF(L3885=1,MAX(0,R3885-G3885),MAX(0,Assumptions!$C$6-G3885))))</f>
        <v/>
      </c>
      <c r="AC3885">
        <f>IF(Y3885=1,Q3885-F3885,"")</f>
        <v/>
      </c>
      <c r="AD3885">
        <f>IF(Y3885=1,AC3885^2,"")</f>
        <v/>
      </c>
      <c r="AE3885" s="19">
        <f>IF(Z3885=1,(H3885-M3885)*I3885,0)</f>
        <v/>
      </c>
      <c r="AF3885">
        <f>IF(G3885&lt;EDATE(Assumptions!$C$6,-12)+1,"prior_12m","last_12m")</f>
        <v/>
      </c>
      <c r="AG3885" s="21">
        <f>DATE(YEAR(G3885),MONTH(G3885),1)</f>
        <v/>
      </c>
    </row>
    <row r="3886">
      <c r="A3886" t="inlineStr">
        <is>
          <t>SPO-02070-2</t>
        </is>
      </c>
      <c r="B3886" t="inlineStr">
        <is>
          <t>SPO-02070</t>
        </is>
      </c>
      <c r="C3886" t="inlineStr">
        <is>
          <t>SUP-11</t>
        </is>
      </c>
      <c r="D3886" t="inlineStr">
        <is>
          <t>PPE</t>
        </is>
      </c>
      <c r="E3886" t="inlineStr">
        <is>
          <t>PPE-03</t>
        </is>
      </c>
      <c r="F3886" s="17" t="n">
        <v>46143</v>
      </c>
      <c r="G3886" s="17" t="n">
        <v>46155</v>
      </c>
      <c r="H3886" s="18" t="n">
        <v>79</v>
      </c>
      <c r="I3886" s="19" t="n">
        <v>20.95</v>
      </c>
      <c r="J3886" s="19" t="n">
        <v>21</v>
      </c>
      <c r="K3886" s="20" t="n">
        <v>0</v>
      </c>
      <c r="L3886" s="20" t="n">
        <v>0</v>
      </c>
      <c r="M3886" s="18" t="n">
        <v>79</v>
      </c>
      <c r="N3886" s="18" t="n">
        <v>79</v>
      </c>
      <c r="O3886" s="18" t="n">
        <v>0</v>
      </c>
      <c r="P3886" s="17" t="n">
        <v>46152</v>
      </c>
      <c r="Q3886" s="17" t="n">
        <v>46152</v>
      </c>
      <c r="R3886" s="17" t="n">
        <v>46152</v>
      </c>
      <c r="S3886" s="19">
        <f>H3886*I3886</f>
        <v/>
      </c>
      <c r="T3886" s="19">
        <f>H3886*J3886</f>
        <v/>
      </c>
      <c r="U3886">
        <f>IF(AND(K3886=0,G3886&lt;=Assumptions!$C$6),1,0)</f>
        <v/>
      </c>
      <c r="V3886">
        <f>IF(U3886=1,IF(M3886&gt;0,IF(P3886&lt;=G3886+Assumptions!$C$7,1,0),0),0)</f>
        <v/>
      </c>
      <c r="W3886">
        <f>IF(AND(U3886=1,M3886&gt;=H3886*(1-Assumptions!$C$8)),1,0)</f>
        <v/>
      </c>
      <c r="X3886">
        <f>IF(AND(U3886=1,N3886&gt;=H3886*(1-Assumptions!$C$8)),1,0)</f>
        <v/>
      </c>
      <c r="Y3886">
        <f>IF(ISNUMBER(Q3886),1,0)</f>
        <v/>
      </c>
      <c r="Z3886">
        <f>IF(AND(K3886=0,L3886=0,Y3886=0),1,0)</f>
        <v/>
      </c>
      <c r="AA3886">
        <f>IF(AND(Z3886=1,G3886&lt;Assumptions!$C$6),1,0)</f>
        <v/>
      </c>
      <c r="AB3886">
        <f>IF(U3886=0,"",IF(Y3886=1,MAX(0,Q3886-G3886),IF(L3886=1,MAX(0,R3886-G3886),MAX(0,Assumptions!$C$6-G3886))))</f>
        <v/>
      </c>
      <c r="AC3886">
        <f>IF(Y3886=1,Q3886-F3886,"")</f>
        <v/>
      </c>
      <c r="AD3886">
        <f>IF(Y3886=1,AC3886^2,"")</f>
        <v/>
      </c>
      <c r="AE3886" s="19">
        <f>IF(Z3886=1,(H3886-M3886)*I3886,0)</f>
        <v/>
      </c>
      <c r="AF3886">
        <f>IF(G3886&lt;EDATE(Assumptions!$C$6,-12)+1,"prior_12m","last_12m")</f>
        <v/>
      </c>
      <c r="AG3886" s="21">
        <f>DATE(YEAR(G3886),MONTH(G3886),1)</f>
        <v/>
      </c>
    </row>
    <row r="3887">
      <c r="A3887" t="inlineStr">
        <is>
          <t>SPO-02070-3</t>
        </is>
      </c>
      <c r="B3887" t="inlineStr">
        <is>
          <t>SPO-02070</t>
        </is>
      </c>
      <c r="C3887" t="inlineStr">
        <is>
          <t>SUP-11</t>
        </is>
      </c>
      <c r="D3887" t="inlineStr">
        <is>
          <t>PPE</t>
        </is>
      </c>
      <c r="E3887" t="inlineStr">
        <is>
          <t>PPE-01</t>
        </is>
      </c>
      <c r="F3887" s="17" t="n">
        <v>46143</v>
      </c>
      <c r="G3887" s="17" t="n">
        <v>46155</v>
      </c>
      <c r="H3887" s="18" t="n">
        <v>249</v>
      </c>
      <c r="I3887" s="19" t="n">
        <v>4.83</v>
      </c>
      <c r="J3887" s="19" t="n">
        <v>4.8</v>
      </c>
      <c r="K3887" s="20" t="n">
        <v>0</v>
      </c>
      <c r="L3887" s="20" t="n">
        <v>0</v>
      </c>
      <c r="M3887" s="18" t="n">
        <v>249</v>
      </c>
      <c r="N3887" s="18" t="n">
        <v>249</v>
      </c>
      <c r="O3887" s="18" t="n">
        <v>0</v>
      </c>
      <c r="P3887" s="17" t="n">
        <v>46151</v>
      </c>
      <c r="Q3887" s="17" t="n">
        <v>46151</v>
      </c>
      <c r="R3887" s="17" t="n">
        <v>46151</v>
      </c>
      <c r="S3887" s="19">
        <f>H3887*I3887</f>
        <v/>
      </c>
      <c r="T3887" s="19">
        <f>H3887*J3887</f>
        <v/>
      </c>
      <c r="U3887">
        <f>IF(AND(K3887=0,G3887&lt;=Assumptions!$C$6),1,0)</f>
        <v/>
      </c>
      <c r="V3887">
        <f>IF(U3887=1,IF(M3887&gt;0,IF(P3887&lt;=G3887+Assumptions!$C$7,1,0),0),0)</f>
        <v/>
      </c>
      <c r="W3887">
        <f>IF(AND(U3887=1,M3887&gt;=H3887*(1-Assumptions!$C$8)),1,0)</f>
        <v/>
      </c>
      <c r="X3887">
        <f>IF(AND(U3887=1,N3887&gt;=H3887*(1-Assumptions!$C$8)),1,0)</f>
        <v/>
      </c>
      <c r="Y3887">
        <f>IF(ISNUMBER(Q3887),1,0)</f>
        <v/>
      </c>
      <c r="Z3887">
        <f>IF(AND(K3887=0,L3887=0,Y3887=0),1,0)</f>
        <v/>
      </c>
      <c r="AA3887">
        <f>IF(AND(Z3887=1,G3887&lt;Assumptions!$C$6),1,0)</f>
        <v/>
      </c>
      <c r="AB3887">
        <f>IF(U3887=0,"",IF(Y3887=1,MAX(0,Q3887-G3887),IF(L3887=1,MAX(0,R3887-G3887),MAX(0,Assumptions!$C$6-G3887))))</f>
        <v/>
      </c>
      <c r="AC3887">
        <f>IF(Y3887=1,Q3887-F3887,"")</f>
        <v/>
      </c>
      <c r="AD3887">
        <f>IF(Y3887=1,AC3887^2,"")</f>
        <v/>
      </c>
      <c r="AE3887" s="19">
        <f>IF(Z3887=1,(H3887-M3887)*I3887,0)</f>
        <v/>
      </c>
      <c r="AF3887">
        <f>IF(G3887&lt;EDATE(Assumptions!$C$6,-12)+1,"prior_12m","last_12m")</f>
        <v/>
      </c>
      <c r="AG3887" s="21">
        <f>DATE(YEAR(G3887),MONTH(G3887),1)</f>
        <v/>
      </c>
    </row>
    <row r="3888">
      <c r="A3888" t="inlineStr">
        <is>
          <t>SPO-02071-1</t>
        </is>
      </c>
      <c r="B3888" t="inlineStr">
        <is>
          <t>SPO-02071</t>
        </is>
      </c>
      <c r="C3888" t="inlineStr">
        <is>
          <t>SUP-06</t>
        </is>
      </c>
      <c r="D3888" t="inlineStr">
        <is>
          <t>MRO</t>
        </is>
      </c>
      <c r="E3888" t="inlineStr">
        <is>
          <t>MRO-03</t>
        </is>
      </c>
      <c r="F3888" s="17" t="n">
        <v>46144</v>
      </c>
      <c r="G3888" s="17" t="n">
        <v>46152</v>
      </c>
      <c r="H3888" s="18" t="n">
        <v>188</v>
      </c>
      <c r="I3888" s="19" t="n">
        <v>8.550000000000001</v>
      </c>
      <c r="J3888" s="19" t="n">
        <v>8.9</v>
      </c>
      <c r="K3888" s="20" t="n">
        <v>0</v>
      </c>
      <c r="L3888" s="20" t="n">
        <v>0</v>
      </c>
      <c r="M3888" s="18" t="n">
        <v>188</v>
      </c>
      <c r="N3888" s="18" t="n">
        <v>188</v>
      </c>
      <c r="O3888" s="18" t="n">
        <v>0</v>
      </c>
      <c r="P3888" s="17" t="n">
        <v>46152</v>
      </c>
      <c r="Q3888" s="17" t="n">
        <v>46152</v>
      </c>
      <c r="R3888" s="17" t="n">
        <v>46152</v>
      </c>
      <c r="S3888" s="19">
        <f>H3888*I3888</f>
        <v/>
      </c>
      <c r="T3888" s="19">
        <f>H3888*J3888</f>
        <v/>
      </c>
      <c r="U3888">
        <f>IF(AND(K3888=0,G3888&lt;=Assumptions!$C$6),1,0)</f>
        <v/>
      </c>
      <c r="V3888">
        <f>IF(U3888=1,IF(M3888&gt;0,IF(P3888&lt;=G3888+Assumptions!$C$7,1,0),0),0)</f>
        <v/>
      </c>
      <c r="W3888">
        <f>IF(AND(U3888=1,M3888&gt;=H3888*(1-Assumptions!$C$8)),1,0)</f>
        <v/>
      </c>
      <c r="X3888">
        <f>IF(AND(U3888=1,N3888&gt;=H3888*(1-Assumptions!$C$8)),1,0)</f>
        <v/>
      </c>
      <c r="Y3888">
        <f>IF(ISNUMBER(Q3888),1,0)</f>
        <v/>
      </c>
      <c r="Z3888">
        <f>IF(AND(K3888=0,L3888=0,Y3888=0),1,0)</f>
        <v/>
      </c>
      <c r="AA3888">
        <f>IF(AND(Z3888=1,G3888&lt;Assumptions!$C$6),1,0)</f>
        <v/>
      </c>
      <c r="AB3888">
        <f>IF(U3888=0,"",IF(Y3888=1,MAX(0,Q3888-G3888),IF(L3888=1,MAX(0,R3888-G3888),MAX(0,Assumptions!$C$6-G3888))))</f>
        <v/>
      </c>
      <c r="AC3888">
        <f>IF(Y3888=1,Q3888-F3888,"")</f>
        <v/>
      </c>
      <c r="AD3888">
        <f>IF(Y3888=1,AC3888^2,"")</f>
        <v/>
      </c>
      <c r="AE3888" s="19">
        <f>IF(Z3888=1,(H3888-M3888)*I3888,0)</f>
        <v/>
      </c>
      <c r="AF3888">
        <f>IF(G3888&lt;EDATE(Assumptions!$C$6,-12)+1,"prior_12m","last_12m")</f>
        <v/>
      </c>
      <c r="AG3888" s="21">
        <f>DATE(YEAR(G3888),MONTH(G3888),1)</f>
        <v/>
      </c>
    </row>
    <row r="3889">
      <c r="A3889" t="inlineStr">
        <is>
          <t>SPO-02071-2</t>
        </is>
      </c>
      <c r="B3889" t="inlineStr">
        <is>
          <t>SPO-02071</t>
        </is>
      </c>
      <c r="C3889" t="inlineStr">
        <is>
          <t>SUP-06</t>
        </is>
      </c>
      <c r="D3889" t="inlineStr">
        <is>
          <t>MRO</t>
        </is>
      </c>
      <c r="E3889" t="inlineStr">
        <is>
          <t>MRO-08</t>
        </is>
      </c>
      <c r="F3889" s="17" t="n">
        <v>46144</v>
      </c>
      <c r="G3889" s="17" t="n">
        <v>46152</v>
      </c>
      <c r="H3889" s="18" t="n">
        <v>65</v>
      </c>
      <c r="I3889" s="19" t="n">
        <v>7.05</v>
      </c>
      <c r="J3889" s="19" t="n">
        <v>7.2</v>
      </c>
      <c r="K3889" s="20" t="n">
        <v>0</v>
      </c>
      <c r="L3889" s="20" t="n">
        <v>0</v>
      </c>
      <c r="M3889" s="18" t="n">
        <v>65</v>
      </c>
      <c r="N3889" s="18" t="n">
        <v>65</v>
      </c>
      <c r="O3889" s="18" t="n">
        <v>0</v>
      </c>
      <c r="P3889" s="17" t="n">
        <v>46151</v>
      </c>
      <c r="Q3889" s="17" t="n">
        <v>46151</v>
      </c>
      <c r="R3889" s="17" t="n">
        <v>46151</v>
      </c>
      <c r="S3889" s="19">
        <f>H3889*I3889</f>
        <v/>
      </c>
      <c r="T3889" s="19">
        <f>H3889*J3889</f>
        <v/>
      </c>
      <c r="U3889">
        <f>IF(AND(K3889=0,G3889&lt;=Assumptions!$C$6),1,0)</f>
        <v/>
      </c>
      <c r="V3889">
        <f>IF(U3889=1,IF(M3889&gt;0,IF(P3889&lt;=G3889+Assumptions!$C$7,1,0),0),0)</f>
        <v/>
      </c>
      <c r="W3889">
        <f>IF(AND(U3889=1,M3889&gt;=H3889*(1-Assumptions!$C$8)),1,0)</f>
        <v/>
      </c>
      <c r="X3889">
        <f>IF(AND(U3889=1,N3889&gt;=H3889*(1-Assumptions!$C$8)),1,0)</f>
        <v/>
      </c>
      <c r="Y3889">
        <f>IF(ISNUMBER(Q3889),1,0)</f>
        <v/>
      </c>
      <c r="Z3889">
        <f>IF(AND(K3889=0,L3889=0,Y3889=0),1,0)</f>
        <v/>
      </c>
      <c r="AA3889">
        <f>IF(AND(Z3889=1,G3889&lt;Assumptions!$C$6),1,0)</f>
        <v/>
      </c>
      <c r="AB3889">
        <f>IF(U3889=0,"",IF(Y3889=1,MAX(0,Q3889-G3889),IF(L3889=1,MAX(0,R3889-G3889),MAX(0,Assumptions!$C$6-G3889))))</f>
        <v/>
      </c>
      <c r="AC3889">
        <f>IF(Y3889=1,Q3889-F3889,"")</f>
        <v/>
      </c>
      <c r="AD3889">
        <f>IF(Y3889=1,AC3889^2,"")</f>
        <v/>
      </c>
      <c r="AE3889" s="19">
        <f>IF(Z3889=1,(H3889-M3889)*I3889,0)</f>
        <v/>
      </c>
      <c r="AF3889">
        <f>IF(G3889&lt;EDATE(Assumptions!$C$6,-12)+1,"prior_12m","last_12m")</f>
        <v/>
      </c>
      <c r="AG3889" s="21">
        <f>DATE(YEAR(G3889),MONTH(G3889),1)</f>
        <v/>
      </c>
    </row>
    <row r="3890">
      <c r="A3890" t="inlineStr">
        <is>
          <t>SPO-02071-3</t>
        </is>
      </c>
      <c r="B3890" t="inlineStr">
        <is>
          <t>SPO-02071</t>
        </is>
      </c>
      <c r="C3890" t="inlineStr">
        <is>
          <t>SUP-06</t>
        </is>
      </c>
      <c r="D3890" t="inlineStr">
        <is>
          <t>MRO</t>
        </is>
      </c>
      <c r="E3890" t="inlineStr">
        <is>
          <t>MRO-04</t>
        </is>
      </c>
      <c r="F3890" s="17" t="n">
        <v>46144</v>
      </c>
      <c r="G3890" s="17" t="n">
        <v>46152</v>
      </c>
      <c r="H3890" s="18" t="n">
        <v>9</v>
      </c>
      <c r="I3890" s="19" t="n">
        <v>58.1</v>
      </c>
      <c r="J3890" s="19" t="n">
        <v>58</v>
      </c>
      <c r="K3890" s="20" t="n">
        <v>0</v>
      </c>
      <c r="L3890" s="20" t="n">
        <v>0</v>
      </c>
      <c r="M3890" s="18" t="n">
        <v>9</v>
      </c>
      <c r="N3890" s="18" t="n">
        <v>9</v>
      </c>
      <c r="O3890" s="18" t="n">
        <v>0</v>
      </c>
      <c r="P3890" s="17" t="n">
        <v>46150</v>
      </c>
      <c r="Q3890" s="17" t="n">
        <v>46150</v>
      </c>
      <c r="R3890" s="17" t="n">
        <v>46150</v>
      </c>
      <c r="S3890" s="19">
        <f>H3890*I3890</f>
        <v/>
      </c>
      <c r="T3890" s="19">
        <f>H3890*J3890</f>
        <v/>
      </c>
      <c r="U3890">
        <f>IF(AND(K3890=0,G3890&lt;=Assumptions!$C$6),1,0)</f>
        <v/>
      </c>
      <c r="V3890">
        <f>IF(U3890=1,IF(M3890&gt;0,IF(P3890&lt;=G3890+Assumptions!$C$7,1,0),0),0)</f>
        <v/>
      </c>
      <c r="W3890">
        <f>IF(AND(U3890=1,M3890&gt;=H3890*(1-Assumptions!$C$8)),1,0)</f>
        <v/>
      </c>
      <c r="X3890">
        <f>IF(AND(U3890=1,N3890&gt;=H3890*(1-Assumptions!$C$8)),1,0)</f>
        <v/>
      </c>
      <c r="Y3890">
        <f>IF(ISNUMBER(Q3890),1,0)</f>
        <v/>
      </c>
      <c r="Z3890">
        <f>IF(AND(K3890=0,L3890=0,Y3890=0),1,0)</f>
        <v/>
      </c>
      <c r="AA3890">
        <f>IF(AND(Z3890=1,G3890&lt;Assumptions!$C$6),1,0)</f>
        <v/>
      </c>
      <c r="AB3890">
        <f>IF(U3890=0,"",IF(Y3890=1,MAX(0,Q3890-G3890),IF(L3890=1,MAX(0,R3890-G3890),MAX(0,Assumptions!$C$6-G3890))))</f>
        <v/>
      </c>
      <c r="AC3890">
        <f>IF(Y3890=1,Q3890-F3890,"")</f>
        <v/>
      </c>
      <c r="AD3890">
        <f>IF(Y3890=1,AC3890^2,"")</f>
        <v/>
      </c>
      <c r="AE3890" s="19">
        <f>IF(Z3890=1,(H3890-M3890)*I3890,0)</f>
        <v/>
      </c>
      <c r="AF3890">
        <f>IF(G3890&lt;EDATE(Assumptions!$C$6,-12)+1,"prior_12m","last_12m")</f>
        <v/>
      </c>
      <c r="AG3890" s="21">
        <f>DATE(YEAR(G3890),MONTH(G3890),1)</f>
        <v/>
      </c>
    </row>
    <row r="3891">
      <c r="A3891" t="inlineStr">
        <is>
          <t>SPO-02072-1</t>
        </is>
      </c>
      <c r="B3891" t="inlineStr">
        <is>
          <t>SPO-02072</t>
        </is>
      </c>
      <c r="C3891" t="inlineStr">
        <is>
          <t>SUP-05</t>
        </is>
      </c>
      <c r="D3891" t="inlineStr">
        <is>
          <t>FLEET</t>
        </is>
      </c>
      <c r="E3891" t="inlineStr">
        <is>
          <t>FLEET-01</t>
        </is>
      </c>
      <c r="F3891" s="17" t="n">
        <v>46144</v>
      </c>
      <c r="G3891" s="17" t="n">
        <v>46158</v>
      </c>
      <c r="H3891" s="18" t="n">
        <v>12</v>
      </c>
      <c r="I3891" s="19" t="n">
        <v>65.3</v>
      </c>
      <c r="J3891" s="19" t="n">
        <v>64</v>
      </c>
      <c r="K3891" s="20" t="n">
        <v>0</v>
      </c>
      <c r="L3891" s="20" t="n">
        <v>0</v>
      </c>
      <c r="M3891" s="18" t="n">
        <v>12</v>
      </c>
      <c r="N3891" s="18" t="n">
        <v>12</v>
      </c>
      <c r="O3891" s="18" t="n">
        <v>0</v>
      </c>
      <c r="P3891" s="17" t="n">
        <v>46156</v>
      </c>
      <c r="Q3891" s="17" t="n">
        <v>46156</v>
      </c>
      <c r="R3891" s="17" t="n">
        <v>46156</v>
      </c>
      <c r="S3891" s="19">
        <f>H3891*I3891</f>
        <v/>
      </c>
      <c r="T3891" s="19">
        <f>H3891*J3891</f>
        <v/>
      </c>
      <c r="U3891">
        <f>IF(AND(K3891=0,G3891&lt;=Assumptions!$C$6),1,0)</f>
        <v/>
      </c>
      <c r="V3891">
        <f>IF(U3891=1,IF(M3891&gt;0,IF(P3891&lt;=G3891+Assumptions!$C$7,1,0),0),0)</f>
        <v/>
      </c>
      <c r="W3891">
        <f>IF(AND(U3891=1,M3891&gt;=H3891*(1-Assumptions!$C$8)),1,0)</f>
        <v/>
      </c>
      <c r="X3891">
        <f>IF(AND(U3891=1,N3891&gt;=H3891*(1-Assumptions!$C$8)),1,0)</f>
        <v/>
      </c>
      <c r="Y3891">
        <f>IF(ISNUMBER(Q3891),1,0)</f>
        <v/>
      </c>
      <c r="Z3891">
        <f>IF(AND(K3891=0,L3891=0,Y3891=0),1,0)</f>
        <v/>
      </c>
      <c r="AA3891">
        <f>IF(AND(Z3891=1,G3891&lt;Assumptions!$C$6),1,0)</f>
        <v/>
      </c>
      <c r="AB3891">
        <f>IF(U3891=0,"",IF(Y3891=1,MAX(0,Q3891-G3891),IF(L3891=1,MAX(0,R3891-G3891),MAX(0,Assumptions!$C$6-G3891))))</f>
        <v/>
      </c>
      <c r="AC3891">
        <f>IF(Y3891=1,Q3891-F3891,"")</f>
        <v/>
      </c>
      <c r="AD3891">
        <f>IF(Y3891=1,AC3891^2,"")</f>
        <v/>
      </c>
      <c r="AE3891" s="19">
        <f>IF(Z3891=1,(H3891-M3891)*I3891,0)</f>
        <v/>
      </c>
      <c r="AF3891">
        <f>IF(G3891&lt;EDATE(Assumptions!$C$6,-12)+1,"prior_12m","last_12m")</f>
        <v/>
      </c>
      <c r="AG3891" s="21">
        <f>DATE(YEAR(G3891),MONTH(G3891),1)</f>
        <v/>
      </c>
    </row>
    <row r="3892">
      <c r="A3892" t="inlineStr">
        <is>
          <t>SPO-02072-2</t>
        </is>
      </c>
      <c r="B3892" t="inlineStr">
        <is>
          <t>SPO-02072</t>
        </is>
      </c>
      <c r="C3892" t="inlineStr">
        <is>
          <t>SUP-05</t>
        </is>
      </c>
      <c r="D3892" t="inlineStr">
        <is>
          <t>FLEET</t>
        </is>
      </c>
      <c r="E3892" t="inlineStr">
        <is>
          <t>FLEET-07</t>
        </is>
      </c>
      <c r="F3892" s="17" t="n">
        <v>46144</v>
      </c>
      <c r="G3892" s="17" t="n">
        <v>46158</v>
      </c>
      <c r="H3892" s="18" t="n">
        <v>17</v>
      </c>
      <c r="I3892" s="19" t="n">
        <v>127.41</v>
      </c>
      <c r="J3892" s="19" t="n">
        <v>118</v>
      </c>
      <c r="K3892" s="20" t="n">
        <v>0</v>
      </c>
      <c r="L3892" s="20" t="n">
        <v>0</v>
      </c>
      <c r="M3892" s="18" t="n">
        <v>17</v>
      </c>
      <c r="N3892" s="18" t="n">
        <v>17</v>
      </c>
      <c r="O3892" s="18" t="n">
        <v>0</v>
      </c>
      <c r="P3892" s="17" t="n">
        <v>46154</v>
      </c>
      <c r="Q3892" s="17" t="n">
        <v>46154</v>
      </c>
      <c r="R3892" s="17" t="n">
        <v>46154</v>
      </c>
      <c r="S3892" s="19">
        <f>H3892*I3892</f>
        <v/>
      </c>
      <c r="T3892" s="19">
        <f>H3892*J3892</f>
        <v/>
      </c>
      <c r="U3892">
        <f>IF(AND(K3892=0,G3892&lt;=Assumptions!$C$6),1,0)</f>
        <v/>
      </c>
      <c r="V3892">
        <f>IF(U3892=1,IF(M3892&gt;0,IF(P3892&lt;=G3892+Assumptions!$C$7,1,0),0),0)</f>
        <v/>
      </c>
      <c r="W3892">
        <f>IF(AND(U3892=1,M3892&gt;=H3892*(1-Assumptions!$C$8)),1,0)</f>
        <v/>
      </c>
      <c r="X3892">
        <f>IF(AND(U3892=1,N3892&gt;=H3892*(1-Assumptions!$C$8)),1,0)</f>
        <v/>
      </c>
      <c r="Y3892">
        <f>IF(ISNUMBER(Q3892),1,0)</f>
        <v/>
      </c>
      <c r="Z3892">
        <f>IF(AND(K3892=0,L3892=0,Y3892=0),1,0)</f>
        <v/>
      </c>
      <c r="AA3892">
        <f>IF(AND(Z3892=1,G3892&lt;Assumptions!$C$6),1,0)</f>
        <v/>
      </c>
      <c r="AB3892">
        <f>IF(U3892=0,"",IF(Y3892=1,MAX(0,Q3892-G3892),IF(L3892=1,MAX(0,R3892-G3892),MAX(0,Assumptions!$C$6-G3892))))</f>
        <v/>
      </c>
      <c r="AC3892">
        <f>IF(Y3892=1,Q3892-F3892,"")</f>
        <v/>
      </c>
      <c r="AD3892">
        <f>IF(Y3892=1,AC3892^2,"")</f>
        <v/>
      </c>
      <c r="AE3892" s="19">
        <f>IF(Z3892=1,(H3892-M3892)*I3892,0)</f>
        <v/>
      </c>
      <c r="AF3892">
        <f>IF(G3892&lt;EDATE(Assumptions!$C$6,-12)+1,"prior_12m","last_12m")</f>
        <v/>
      </c>
      <c r="AG3892" s="21">
        <f>DATE(YEAR(G3892),MONTH(G3892),1)</f>
        <v/>
      </c>
    </row>
    <row r="3893">
      <c r="A3893" t="inlineStr">
        <is>
          <t>SPO-02072-3</t>
        </is>
      </c>
      <c r="B3893" t="inlineStr">
        <is>
          <t>SPO-02072</t>
        </is>
      </c>
      <c r="C3893" t="inlineStr">
        <is>
          <t>SUP-05</t>
        </is>
      </c>
      <c r="D3893" t="inlineStr">
        <is>
          <t>FLEET</t>
        </is>
      </c>
      <c r="E3893" t="inlineStr">
        <is>
          <t>FLEET-04</t>
        </is>
      </c>
      <c r="F3893" s="17" t="n">
        <v>46144</v>
      </c>
      <c r="G3893" s="17" t="n">
        <v>46158</v>
      </c>
      <c r="H3893" s="18" t="n">
        <v>535</v>
      </c>
      <c r="I3893" s="19" t="n">
        <v>8.99</v>
      </c>
      <c r="J3893" s="19" t="n">
        <v>9</v>
      </c>
      <c r="K3893" s="20" t="n">
        <v>0</v>
      </c>
      <c r="L3893" s="20" t="n">
        <v>0</v>
      </c>
      <c r="M3893" s="18" t="n">
        <v>535</v>
      </c>
      <c r="N3893" s="18" t="n">
        <v>535</v>
      </c>
      <c r="O3893" s="18" t="n">
        <v>0</v>
      </c>
      <c r="P3893" s="17" t="n">
        <v>46154</v>
      </c>
      <c r="Q3893" s="17" t="n">
        <v>46154</v>
      </c>
      <c r="R3893" s="17" t="n">
        <v>46154</v>
      </c>
      <c r="S3893" s="19">
        <f>H3893*I3893</f>
        <v/>
      </c>
      <c r="T3893" s="19">
        <f>H3893*J3893</f>
        <v/>
      </c>
      <c r="U3893">
        <f>IF(AND(K3893=0,G3893&lt;=Assumptions!$C$6),1,0)</f>
        <v/>
      </c>
      <c r="V3893">
        <f>IF(U3893=1,IF(M3893&gt;0,IF(P3893&lt;=G3893+Assumptions!$C$7,1,0),0),0)</f>
        <v/>
      </c>
      <c r="W3893">
        <f>IF(AND(U3893=1,M3893&gt;=H3893*(1-Assumptions!$C$8)),1,0)</f>
        <v/>
      </c>
      <c r="X3893">
        <f>IF(AND(U3893=1,N3893&gt;=H3893*(1-Assumptions!$C$8)),1,0)</f>
        <v/>
      </c>
      <c r="Y3893">
        <f>IF(ISNUMBER(Q3893),1,0)</f>
        <v/>
      </c>
      <c r="Z3893">
        <f>IF(AND(K3893=0,L3893=0,Y3893=0),1,0)</f>
        <v/>
      </c>
      <c r="AA3893">
        <f>IF(AND(Z3893=1,G3893&lt;Assumptions!$C$6),1,0)</f>
        <v/>
      </c>
      <c r="AB3893">
        <f>IF(U3893=0,"",IF(Y3893=1,MAX(0,Q3893-G3893),IF(L3893=1,MAX(0,R3893-G3893),MAX(0,Assumptions!$C$6-G3893))))</f>
        <v/>
      </c>
      <c r="AC3893">
        <f>IF(Y3893=1,Q3893-F3893,"")</f>
        <v/>
      </c>
      <c r="AD3893">
        <f>IF(Y3893=1,AC3893^2,"")</f>
        <v/>
      </c>
      <c r="AE3893" s="19">
        <f>IF(Z3893=1,(H3893-M3893)*I3893,0)</f>
        <v/>
      </c>
      <c r="AF3893">
        <f>IF(G3893&lt;EDATE(Assumptions!$C$6,-12)+1,"prior_12m","last_12m")</f>
        <v/>
      </c>
      <c r="AG3893" s="21">
        <f>DATE(YEAR(G3893),MONTH(G3893),1)</f>
        <v/>
      </c>
    </row>
    <row r="3894">
      <c r="A3894" t="inlineStr">
        <is>
          <t>SPO-02073-1</t>
        </is>
      </c>
      <c r="B3894" t="inlineStr">
        <is>
          <t>SPO-02073</t>
        </is>
      </c>
      <c r="C3894" t="inlineStr">
        <is>
          <t>SUP-06</t>
        </is>
      </c>
      <c r="D3894" t="inlineStr">
        <is>
          <t>MRO</t>
        </is>
      </c>
      <c r="E3894" t="inlineStr">
        <is>
          <t>MRO-05</t>
        </is>
      </c>
      <c r="F3894" s="17" t="n">
        <v>46144</v>
      </c>
      <c r="G3894" s="17" t="n">
        <v>46152</v>
      </c>
      <c r="H3894" s="18" t="n">
        <v>21</v>
      </c>
      <c r="I3894" s="19" t="n">
        <v>35.82</v>
      </c>
      <c r="J3894" s="19" t="n">
        <v>36</v>
      </c>
      <c r="K3894" s="20" t="n">
        <v>0</v>
      </c>
      <c r="L3894" s="20" t="n">
        <v>0</v>
      </c>
      <c r="M3894" s="18" t="n">
        <v>21</v>
      </c>
      <c r="N3894" s="18" t="n">
        <v>21</v>
      </c>
      <c r="O3894" s="18" t="n">
        <v>0</v>
      </c>
      <c r="P3894" s="17" t="n">
        <v>46152</v>
      </c>
      <c r="Q3894" s="17" t="n">
        <v>46152</v>
      </c>
      <c r="R3894" s="17" t="n">
        <v>46152</v>
      </c>
      <c r="S3894" s="19">
        <f>H3894*I3894</f>
        <v/>
      </c>
      <c r="T3894" s="19">
        <f>H3894*J3894</f>
        <v/>
      </c>
      <c r="U3894">
        <f>IF(AND(K3894=0,G3894&lt;=Assumptions!$C$6),1,0)</f>
        <v/>
      </c>
      <c r="V3894">
        <f>IF(U3894=1,IF(M3894&gt;0,IF(P3894&lt;=G3894+Assumptions!$C$7,1,0),0),0)</f>
        <v/>
      </c>
      <c r="W3894">
        <f>IF(AND(U3894=1,M3894&gt;=H3894*(1-Assumptions!$C$8)),1,0)</f>
        <v/>
      </c>
      <c r="X3894">
        <f>IF(AND(U3894=1,N3894&gt;=H3894*(1-Assumptions!$C$8)),1,0)</f>
        <v/>
      </c>
      <c r="Y3894">
        <f>IF(ISNUMBER(Q3894),1,0)</f>
        <v/>
      </c>
      <c r="Z3894">
        <f>IF(AND(K3894=0,L3894=0,Y3894=0),1,0)</f>
        <v/>
      </c>
      <c r="AA3894">
        <f>IF(AND(Z3894=1,G3894&lt;Assumptions!$C$6),1,0)</f>
        <v/>
      </c>
      <c r="AB3894">
        <f>IF(U3894=0,"",IF(Y3894=1,MAX(0,Q3894-G3894),IF(L3894=1,MAX(0,R3894-G3894),MAX(0,Assumptions!$C$6-G3894))))</f>
        <v/>
      </c>
      <c r="AC3894">
        <f>IF(Y3894=1,Q3894-F3894,"")</f>
        <v/>
      </c>
      <c r="AD3894">
        <f>IF(Y3894=1,AC3894^2,"")</f>
        <v/>
      </c>
      <c r="AE3894" s="19">
        <f>IF(Z3894=1,(H3894-M3894)*I3894,0)</f>
        <v/>
      </c>
      <c r="AF3894">
        <f>IF(G3894&lt;EDATE(Assumptions!$C$6,-12)+1,"prior_12m","last_12m")</f>
        <v/>
      </c>
      <c r="AG3894" s="21">
        <f>DATE(YEAR(G3894),MONTH(G3894),1)</f>
        <v/>
      </c>
    </row>
    <row r="3895">
      <c r="A3895" t="inlineStr">
        <is>
          <t>SPO-02073-2</t>
        </is>
      </c>
      <c r="B3895" t="inlineStr">
        <is>
          <t>SPO-02073</t>
        </is>
      </c>
      <c r="C3895" t="inlineStr">
        <is>
          <t>SUP-06</t>
        </is>
      </c>
      <c r="D3895" t="inlineStr">
        <is>
          <t>MRO</t>
        </is>
      </c>
      <c r="E3895" t="inlineStr">
        <is>
          <t>MRO-03</t>
        </is>
      </c>
      <c r="F3895" s="17" t="n">
        <v>46144</v>
      </c>
      <c r="G3895" s="17" t="n">
        <v>46152</v>
      </c>
      <c r="H3895" s="18" t="n">
        <v>159</v>
      </c>
      <c r="I3895" s="19" t="n">
        <v>8.619999999999999</v>
      </c>
      <c r="J3895" s="19" t="n">
        <v>8.9</v>
      </c>
      <c r="K3895" s="20" t="n">
        <v>0</v>
      </c>
      <c r="L3895" s="20" t="n">
        <v>0</v>
      </c>
      <c r="M3895" s="18" t="n">
        <v>159</v>
      </c>
      <c r="N3895" s="18" t="n">
        <v>159</v>
      </c>
      <c r="O3895" s="18" t="n">
        <v>0</v>
      </c>
      <c r="P3895" s="17" t="n">
        <v>46151</v>
      </c>
      <c r="Q3895" s="17" t="n">
        <v>46151</v>
      </c>
      <c r="R3895" s="17" t="n">
        <v>46151</v>
      </c>
      <c r="S3895" s="19">
        <f>H3895*I3895</f>
        <v/>
      </c>
      <c r="T3895" s="19">
        <f>H3895*J3895</f>
        <v/>
      </c>
      <c r="U3895">
        <f>IF(AND(K3895=0,G3895&lt;=Assumptions!$C$6),1,0)</f>
        <v/>
      </c>
      <c r="V3895">
        <f>IF(U3895=1,IF(M3895&gt;0,IF(P3895&lt;=G3895+Assumptions!$C$7,1,0),0),0)</f>
        <v/>
      </c>
      <c r="W3895">
        <f>IF(AND(U3895=1,M3895&gt;=H3895*(1-Assumptions!$C$8)),1,0)</f>
        <v/>
      </c>
      <c r="X3895">
        <f>IF(AND(U3895=1,N3895&gt;=H3895*(1-Assumptions!$C$8)),1,0)</f>
        <v/>
      </c>
      <c r="Y3895">
        <f>IF(ISNUMBER(Q3895),1,0)</f>
        <v/>
      </c>
      <c r="Z3895">
        <f>IF(AND(K3895=0,L3895=0,Y3895=0),1,0)</f>
        <v/>
      </c>
      <c r="AA3895">
        <f>IF(AND(Z3895=1,G3895&lt;Assumptions!$C$6),1,0)</f>
        <v/>
      </c>
      <c r="AB3895">
        <f>IF(U3895=0,"",IF(Y3895=1,MAX(0,Q3895-G3895),IF(L3895=1,MAX(0,R3895-G3895),MAX(0,Assumptions!$C$6-G3895))))</f>
        <v/>
      </c>
      <c r="AC3895">
        <f>IF(Y3895=1,Q3895-F3895,"")</f>
        <v/>
      </c>
      <c r="AD3895">
        <f>IF(Y3895=1,AC3895^2,"")</f>
        <v/>
      </c>
      <c r="AE3895" s="19">
        <f>IF(Z3895=1,(H3895-M3895)*I3895,0)</f>
        <v/>
      </c>
      <c r="AF3895">
        <f>IF(G3895&lt;EDATE(Assumptions!$C$6,-12)+1,"prior_12m","last_12m")</f>
        <v/>
      </c>
      <c r="AG3895" s="21">
        <f>DATE(YEAR(G3895),MONTH(G3895),1)</f>
        <v/>
      </c>
    </row>
    <row r="3896">
      <c r="A3896" t="inlineStr">
        <is>
          <t>SPO-02074-1</t>
        </is>
      </c>
      <c r="B3896" t="inlineStr">
        <is>
          <t>SPO-02074</t>
        </is>
      </c>
      <c r="C3896" t="inlineStr">
        <is>
          <t>SUP-01</t>
        </is>
      </c>
      <c r="D3896" t="inlineStr">
        <is>
          <t>ELEC</t>
        </is>
      </c>
      <c r="E3896" t="inlineStr">
        <is>
          <t>ELEC-04</t>
        </is>
      </c>
      <c r="F3896" s="17" t="n">
        <v>46144</v>
      </c>
      <c r="G3896" s="17" t="n">
        <v>46162</v>
      </c>
      <c r="H3896" s="18" t="n">
        <v>23</v>
      </c>
      <c r="I3896" s="19" t="n">
        <v>75.18000000000001</v>
      </c>
      <c r="J3896" s="19" t="n">
        <v>72</v>
      </c>
      <c r="K3896" s="20" t="n">
        <v>0</v>
      </c>
      <c r="L3896" s="20" t="n">
        <v>0</v>
      </c>
      <c r="M3896" s="18" t="n">
        <v>23</v>
      </c>
      <c r="N3896" s="18" t="n">
        <v>0</v>
      </c>
      <c r="O3896" s="18" t="n">
        <v>0</v>
      </c>
      <c r="P3896" s="17" t="n">
        <v>46165</v>
      </c>
      <c r="Q3896" s="17" t="n">
        <v>46165</v>
      </c>
      <c r="R3896" s="17" t="n">
        <v>46165</v>
      </c>
      <c r="S3896" s="19">
        <f>H3896*I3896</f>
        <v/>
      </c>
      <c r="T3896" s="19">
        <f>H3896*J3896</f>
        <v/>
      </c>
      <c r="U3896">
        <f>IF(AND(K3896=0,G3896&lt;=Assumptions!$C$6),1,0)</f>
        <v/>
      </c>
      <c r="V3896">
        <f>IF(U3896=1,IF(M3896&gt;0,IF(P3896&lt;=G3896+Assumptions!$C$7,1,0),0),0)</f>
        <v/>
      </c>
      <c r="W3896">
        <f>IF(AND(U3896=1,M3896&gt;=H3896*(1-Assumptions!$C$8)),1,0)</f>
        <v/>
      </c>
      <c r="X3896">
        <f>IF(AND(U3896=1,N3896&gt;=H3896*(1-Assumptions!$C$8)),1,0)</f>
        <v/>
      </c>
      <c r="Y3896">
        <f>IF(ISNUMBER(Q3896),1,0)</f>
        <v/>
      </c>
      <c r="Z3896">
        <f>IF(AND(K3896=0,L3896=0,Y3896=0),1,0)</f>
        <v/>
      </c>
      <c r="AA3896">
        <f>IF(AND(Z3896=1,G3896&lt;Assumptions!$C$6),1,0)</f>
        <v/>
      </c>
      <c r="AB3896">
        <f>IF(U3896=0,"",IF(Y3896=1,MAX(0,Q3896-G3896),IF(L3896=1,MAX(0,R3896-G3896),MAX(0,Assumptions!$C$6-G3896))))</f>
        <v/>
      </c>
      <c r="AC3896">
        <f>IF(Y3896=1,Q3896-F3896,"")</f>
        <v/>
      </c>
      <c r="AD3896">
        <f>IF(Y3896=1,AC3896^2,"")</f>
        <v/>
      </c>
      <c r="AE3896" s="19">
        <f>IF(Z3896=1,(H3896-M3896)*I3896,0)</f>
        <v/>
      </c>
      <c r="AF3896">
        <f>IF(G3896&lt;EDATE(Assumptions!$C$6,-12)+1,"prior_12m","last_12m")</f>
        <v/>
      </c>
      <c r="AG3896" s="21">
        <f>DATE(YEAR(G3896),MONTH(G3896),1)</f>
        <v/>
      </c>
    </row>
    <row r="3897">
      <c r="A3897" t="inlineStr">
        <is>
          <t>SPO-02074-2</t>
        </is>
      </c>
      <c r="B3897" t="inlineStr">
        <is>
          <t>SPO-02074</t>
        </is>
      </c>
      <c r="C3897" t="inlineStr">
        <is>
          <t>SUP-01</t>
        </is>
      </c>
      <c r="D3897" t="inlineStr">
        <is>
          <t>ELEC</t>
        </is>
      </c>
      <c r="E3897" t="inlineStr">
        <is>
          <t>ELEC-06</t>
        </is>
      </c>
      <c r="F3897" s="17" t="n">
        <v>46144</v>
      </c>
      <c r="G3897" s="17" t="n">
        <v>46162</v>
      </c>
      <c r="H3897" s="18" t="n">
        <v>16</v>
      </c>
      <c r="I3897" s="19" t="n">
        <v>140.75</v>
      </c>
      <c r="J3897" s="19" t="n">
        <v>145</v>
      </c>
      <c r="K3897" s="20" t="n">
        <v>0</v>
      </c>
      <c r="L3897" s="20" t="n">
        <v>0</v>
      </c>
      <c r="M3897" s="18" t="n">
        <v>16</v>
      </c>
      <c r="N3897" s="18" t="n">
        <v>0</v>
      </c>
      <c r="O3897" s="18" t="n">
        <v>0</v>
      </c>
      <c r="P3897" s="17" t="n">
        <v>46163</v>
      </c>
      <c r="Q3897" s="17" t="n">
        <v>46163</v>
      </c>
      <c r="R3897" s="17" t="n">
        <v>46163</v>
      </c>
      <c r="S3897" s="19">
        <f>H3897*I3897</f>
        <v/>
      </c>
      <c r="T3897" s="19">
        <f>H3897*J3897</f>
        <v/>
      </c>
      <c r="U3897">
        <f>IF(AND(K3897=0,G3897&lt;=Assumptions!$C$6),1,0)</f>
        <v/>
      </c>
      <c r="V3897">
        <f>IF(U3897=1,IF(M3897&gt;0,IF(P3897&lt;=G3897+Assumptions!$C$7,1,0),0),0)</f>
        <v/>
      </c>
      <c r="W3897">
        <f>IF(AND(U3897=1,M3897&gt;=H3897*(1-Assumptions!$C$8)),1,0)</f>
        <v/>
      </c>
      <c r="X3897">
        <f>IF(AND(U3897=1,N3897&gt;=H3897*(1-Assumptions!$C$8)),1,0)</f>
        <v/>
      </c>
      <c r="Y3897">
        <f>IF(ISNUMBER(Q3897),1,0)</f>
        <v/>
      </c>
      <c r="Z3897">
        <f>IF(AND(K3897=0,L3897=0,Y3897=0),1,0)</f>
        <v/>
      </c>
      <c r="AA3897">
        <f>IF(AND(Z3897=1,G3897&lt;Assumptions!$C$6),1,0)</f>
        <v/>
      </c>
      <c r="AB3897">
        <f>IF(U3897=0,"",IF(Y3897=1,MAX(0,Q3897-G3897),IF(L3897=1,MAX(0,R3897-G3897),MAX(0,Assumptions!$C$6-G3897))))</f>
        <v/>
      </c>
      <c r="AC3897">
        <f>IF(Y3897=1,Q3897-F3897,"")</f>
        <v/>
      </c>
      <c r="AD3897">
        <f>IF(Y3897=1,AC3897^2,"")</f>
        <v/>
      </c>
      <c r="AE3897" s="19">
        <f>IF(Z3897=1,(H3897-M3897)*I3897,0)</f>
        <v/>
      </c>
      <c r="AF3897">
        <f>IF(G3897&lt;EDATE(Assumptions!$C$6,-12)+1,"prior_12m","last_12m")</f>
        <v/>
      </c>
      <c r="AG3897" s="21">
        <f>DATE(YEAR(G3897),MONTH(G3897),1)</f>
        <v/>
      </c>
    </row>
    <row r="3898">
      <c r="A3898" t="inlineStr">
        <is>
          <t>SPO-02074-3</t>
        </is>
      </c>
      <c r="B3898" t="inlineStr">
        <is>
          <t>SPO-02074</t>
        </is>
      </c>
      <c r="C3898" t="inlineStr">
        <is>
          <t>SUP-01</t>
        </is>
      </c>
      <c r="D3898" t="inlineStr">
        <is>
          <t>ELEC</t>
        </is>
      </c>
      <c r="E3898" t="inlineStr">
        <is>
          <t>ELEC-07</t>
        </is>
      </c>
      <c r="F3898" s="17" t="n">
        <v>46144</v>
      </c>
      <c r="G3898" s="17" t="n">
        <v>46162</v>
      </c>
      <c r="H3898" s="18" t="n">
        <v>298</v>
      </c>
      <c r="I3898" s="19" t="n">
        <v>10.12</v>
      </c>
      <c r="J3898" s="19" t="n">
        <v>9.800000000000001</v>
      </c>
      <c r="K3898" s="20" t="n">
        <v>0</v>
      </c>
      <c r="L3898" s="20" t="n">
        <v>0</v>
      </c>
      <c r="M3898" s="18" t="n">
        <v>298</v>
      </c>
      <c r="N3898" s="18" t="n">
        <v>298</v>
      </c>
      <c r="O3898" s="18" t="n">
        <v>0</v>
      </c>
      <c r="P3898" s="17" t="n">
        <v>46157</v>
      </c>
      <c r="Q3898" s="17" t="n">
        <v>46157</v>
      </c>
      <c r="R3898" s="17" t="n">
        <v>46157</v>
      </c>
      <c r="S3898" s="19">
        <f>H3898*I3898</f>
        <v/>
      </c>
      <c r="T3898" s="19">
        <f>H3898*J3898</f>
        <v/>
      </c>
      <c r="U3898">
        <f>IF(AND(K3898=0,G3898&lt;=Assumptions!$C$6),1,0)</f>
        <v/>
      </c>
      <c r="V3898">
        <f>IF(U3898=1,IF(M3898&gt;0,IF(P3898&lt;=G3898+Assumptions!$C$7,1,0),0),0)</f>
        <v/>
      </c>
      <c r="W3898">
        <f>IF(AND(U3898=1,M3898&gt;=H3898*(1-Assumptions!$C$8)),1,0)</f>
        <v/>
      </c>
      <c r="X3898">
        <f>IF(AND(U3898=1,N3898&gt;=H3898*(1-Assumptions!$C$8)),1,0)</f>
        <v/>
      </c>
      <c r="Y3898">
        <f>IF(ISNUMBER(Q3898),1,0)</f>
        <v/>
      </c>
      <c r="Z3898">
        <f>IF(AND(K3898=0,L3898=0,Y3898=0),1,0)</f>
        <v/>
      </c>
      <c r="AA3898">
        <f>IF(AND(Z3898=1,G3898&lt;Assumptions!$C$6),1,0)</f>
        <v/>
      </c>
      <c r="AB3898">
        <f>IF(U3898=0,"",IF(Y3898=1,MAX(0,Q3898-G3898),IF(L3898=1,MAX(0,R3898-G3898),MAX(0,Assumptions!$C$6-G3898))))</f>
        <v/>
      </c>
      <c r="AC3898">
        <f>IF(Y3898=1,Q3898-F3898,"")</f>
        <v/>
      </c>
      <c r="AD3898">
        <f>IF(Y3898=1,AC3898^2,"")</f>
        <v/>
      </c>
      <c r="AE3898" s="19">
        <f>IF(Z3898=1,(H3898-M3898)*I3898,0)</f>
        <v/>
      </c>
      <c r="AF3898">
        <f>IF(G3898&lt;EDATE(Assumptions!$C$6,-12)+1,"prior_12m","last_12m")</f>
        <v/>
      </c>
      <c r="AG3898" s="21">
        <f>DATE(YEAR(G3898),MONTH(G3898),1)</f>
        <v/>
      </c>
    </row>
    <row r="3899">
      <c r="A3899" t="inlineStr">
        <is>
          <t>SPO-02075-1</t>
        </is>
      </c>
      <c r="B3899" t="inlineStr">
        <is>
          <t>SPO-02075</t>
        </is>
      </c>
      <c r="C3899" t="inlineStr">
        <is>
          <t>SUP-10</t>
        </is>
      </c>
      <c r="D3899" t="inlineStr">
        <is>
          <t>PPE</t>
        </is>
      </c>
      <c r="E3899" t="inlineStr">
        <is>
          <t>PPE-08</t>
        </is>
      </c>
      <c r="F3899" s="17" t="n">
        <v>46144</v>
      </c>
      <c r="G3899" s="17" t="n">
        <v>46157</v>
      </c>
      <c r="H3899" s="18" t="n">
        <v>58</v>
      </c>
      <c r="I3899" s="19" t="n">
        <v>63.43</v>
      </c>
      <c r="J3899" s="19" t="n">
        <v>64</v>
      </c>
      <c r="K3899" s="20" t="n">
        <v>0</v>
      </c>
      <c r="L3899" s="20" t="n">
        <v>0</v>
      </c>
      <c r="M3899" s="18" t="n">
        <v>58</v>
      </c>
      <c r="N3899" s="18" t="n">
        <v>58</v>
      </c>
      <c r="O3899" s="18" t="n">
        <v>0</v>
      </c>
      <c r="P3899" s="17" t="n">
        <v>46154</v>
      </c>
      <c r="Q3899" s="17" t="n">
        <v>46154</v>
      </c>
      <c r="R3899" s="17" t="n">
        <v>46154</v>
      </c>
      <c r="S3899" s="19">
        <f>H3899*I3899</f>
        <v/>
      </c>
      <c r="T3899" s="19">
        <f>H3899*J3899</f>
        <v/>
      </c>
      <c r="U3899">
        <f>IF(AND(K3899=0,G3899&lt;=Assumptions!$C$6),1,0)</f>
        <v/>
      </c>
      <c r="V3899">
        <f>IF(U3899=1,IF(M3899&gt;0,IF(P3899&lt;=G3899+Assumptions!$C$7,1,0),0),0)</f>
        <v/>
      </c>
      <c r="W3899">
        <f>IF(AND(U3899=1,M3899&gt;=H3899*(1-Assumptions!$C$8)),1,0)</f>
        <v/>
      </c>
      <c r="X3899">
        <f>IF(AND(U3899=1,N3899&gt;=H3899*(1-Assumptions!$C$8)),1,0)</f>
        <v/>
      </c>
      <c r="Y3899">
        <f>IF(ISNUMBER(Q3899),1,0)</f>
        <v/>
      </c>
      <c r="Z3899">
        <f>IF(AND(K3899=0,L3899=0,Y3899=0),1,0)</f>
        <v/>
      </c>
      <c r="AA3899">
        <f>IF(AND(Z3899=1,G3899&lt;Assumptions!$C$6),1,0)</f>
        <v/>
      </c>
      <c r="AB3899">
        <f>IF(U3899=0,"",IF(Y3899=1,MAX(0,Q3899-G3899),IF(L3899=1,MAX(0,R3899-G3899),MAX(0,Assumptions!$C$6-G3899))))</f>
        <v/>
      </c>
      <c r="AC3899">
        <f>IF(Y3899=1,Q3899-F3899,"")</f>
        <v/>
      </c>
      <c r="AD3899">
        <f>IF(Y3899=1,AC3899^2,"")</f>
        <v/>
      </c>
      <c r="AE3899" s="19">
        <f>IF(Z3899=1,(H3899-M3899)*I3899,0)</f>
        <v/>
      </c>
      <c r="AF3899">
        <f>IF(G3899&lt;EDATE(Assumptions!$C$6,-12)+1,"prior_12m","last_12m")</f>
        <v/>
      </c>
      <c r="AG3899" s="21">
        <f>DATE(YEAR(G3899),MONTH(G3899),1)</f>
        <v/>
      </c>
    </row>
    <row r="3900">
      <c r="A3900" t="inlineStr">
        <is>
          <t>SPO-02076-1</t>
        </is>
      </c>
      <c r="B3900" t="inlineStr">
        <is>
          <t>SPO-02076</t>
        </is>
      </c>
      <c r="C3900" t="inlineStr">
        <is>
          <t>SUP-10</t>
        </is>
      </c>
      <c r="D3900" t="inlineStr">
        <is>
          <t>PPE</t>
        </is>
      </c>
      <c r="E3900" t="inlineStr">
        <is>
          <t>PPE-08</t>
        </is>
      </c>
      <c r="F3900" s="17" t="n">
        <v>46145</v>
      </c>
      <c r="G3900" s="17" t="n">
        <v>46158</v>
      </c>
      <c r="H3900" s="18" t="n">
        <v>40</v>
      </c>
      <c r="I3900" s="19" t="n">
        <v>58.91</v>
      </c>
      <c r="J3900" s="19" t="n">
        <v>64</v>
      </c>
      <c r="K3900" s="20" t="n">
        <v>0</v>
      </c>
      <c r="L3900" s="20" t="n">
        <v>0</v>
      </c>
      <c r="M3900" s="18" t="n">
        <v>40</v>
      </c>
      <c r="N3900" s="18" t="n">
        <v>0</v>
      </c>
      <c r="O3900" s="18" t="n">
        <v>0</v>
      </c>
      <c r="P3900" s="17" t="n">
        <v>46161</v>
      </c>
      <c r="Q3900" s="17" t="n">
        <v>46161</v>
      </c>
      <c r="R3900" s="17" t="n">
        <v>46161</v>
      </c>
      <c r="S3900" s="19">
        <f>H3900*I3900</f>
        <v/>
      </c>
      <c r="T3900" s="19">
        <f>H3900*J3900</f>
        <v/>
      </c>
      <c r="U3900">
        <f>IF(AND(K3900=0,G3900&lt;=Assumptions!$C$6),1,0)</f>
        <v/>
      </c>
      <c r="V3900">
        <f>IF(U3900=1,IF(M3900&gt;0,IF(P3900&lt;=G3900+Assumptions!$C$7,1,0),0),0)</f>
        <v/>
      </c>
      <c r="W3900">
        <f>IF(AND(U3900=1,M3900&gt;=H3900*(1-Assumptions!$C$8)),1,0)</f>
        <v/>
      </c>
      <c r="X3900">
        <f>IF(AND(U3900=1,N3900&gt;=H3900*(1-Assumptions!$C$8)),1,0)</f>
        <v/>
      </c>
      <c r="Y3900">
        <f>IF(ISNUMBER(Q3900),1,0)</f>
        <v/>
      </c>
      <c r="Z3900">
        <f>IF(AND(K3900=0,L3900=0,Y3900=0),1,0)</f>
        <v/>
      </c>
      <c r="AA3900">
        <f>IF(AND(Z3900=1,G3900&lt;Assumptions!$C$6),1,0)</f>
        <v/>
      </c>
      <c r="AB3900">
        <f>IF(U3900=0,"",IF(Y3900=1,MAX(0,Q3900-G3900),IF(L3900=1,MAX(0,R3900-G3900),MAX(0,Assumptions!$C$6-G3900))))</f>
        <v/>
      </c>
      <c r="AC3900">
        <f>IF(Y3900=1,Q3900-F3900,"")</f>
        <v/>
      </c>
      <c r="AD3900">
        <f>IF(Y3900=1,AC3900^2,"")</f>
        <v/>
      </c>
      <c r="AE3900" s="19">
        <f>IF(Z3900=1,(H3900-M3900)*I3900,0)</f>
        <v/>
      </c>
      <c r="AF3900">
        <f>IF(G3900&lt;EDATE(Assumptions!$C$6,-12)+1,"prior_12m","last_12m")</f>
        <v/>
      </c>
      <c r="AG3900" s="21">
        <f>DATE(YEAR(G3900),MONTH(G3900),1)</f>
        <v/>
      </c>
    </row>
    <row r="3901">
      <c r="A3901" t="inlineStr">
        <is>
          <t>SPO-02076-2</t>
        </is>
      </c>
      <c r="B3901" t="inlineStr">
        <is>
          <t>SPO-02076</t>
        </is>
      </c>
      <c r="C3901" t="inlineStr">
        <is>
          <t>SUP-10</t>
        </is>
      </c>
      <c r="D3901" t="inlineStr">
        <is>
          <t>PPE</t>
        </is>
      </c>
      <c r="E3901" t="inlineStr">
        <is>
          <t>PPE-06</t>
        </is>
      </c>
      <c r="F3901" s="17" t="n">
        <v>46145</v>
      </c>
      <c r="G3901" s="17" t="n">
        <v>46158</v>
      </c>
      <c r="H3901" s="18" t="n">
        <v>7</v>
      </c>
      <c r="I3901" s="19" t="n">
        <v>114.8</v>
      </c>
      <c r="J3901" s="19" t="n">
        <v>115</v>
      </c>
      <c r="K3901" s="20" t="n">
        <v>0</v>
      </c>
      <c r="L3901" s="20" t="n">
        <v>0</v>
      </c>
      <c r="M3901" s="18" t="n">
        <v>7</v>
      </c>
      <c r="N3901" s="18" t="n">
        <v>7</v>
      </c>
      <c r="O3901" s="18" t="n">
        <v>0</v>
      </c>
      <c r="P3901" s="17" t="n">
        <v>46157</v>
      </c>
      <c r="Q3901" s="17" t="n">
        <v>46157</v>
      </c>
      <c r="R3901" s="17" t="n">
        <v>46157</v>
      </c>
      <c r="S3901" s="19">
        <f>H3901*I3901</f>
        <v/>
      </c>
      <c r="T3901" s="19">
        <f>H3901*J3901</f>
        <v/>
      </c>
      <c r="U3901">
        <f>IF(AND(K3901=0,G3901&lt;=Assumptions!$C$6),1,0)</f>
        <v/>
      </c>
      <c r="V3901">
        <f>IF(U3901=1,IF(M3901&gt;0,IF(P3901&lt;=G3901+Assumptions!$C$7,1,0),0),0)</f>
        <v/>
      </c>
      <c r="W3901">
        <f>IF(AND(U3901=1,M3901&gt;=H3901*(1-Assumptions!$C$8)),1,0)</f>
        <v/>
      </c>
      <c r="X3901">
        <f>IF(AND(U3901=1,N3901&gt;=H3901*(1-Assumptions!$C$8)),1,0)</f>
        <v/>
      </c>
      <c r="Y3901">
        <f>IF(ISNUMBER(Q3901),1,0)</f>
        <v/>
      </c>
      <c r="Z3901">
        <f>IF(AND(K3901=0,L3901=0,Y3901=0),1,0)</f>
        <v/>
      </c>
      <c r="AA3901">
        <f>IF(AND(Z3901=1,G3901&lt;Assumptions!$C$6),1,0)</f>
        <v/>
      </c>
      <c r="AB3901">
        <f>IF(U3901=0,"",IF(Y3901=1,MAX(0,Q3901-G3901),IF(L3901=1,MAX(0,R3901-G3901),MAX(0,Assumptions!$C$6-G3901))))</f>
        <v/>
      </c>
      <c r="AC3901">
        <f>IF(Y3901=1,Q3901-F3901,"")</f>
        <v/>
      </c>
      <c r="AD3901">
        <f>IF(Y3901=1,AC3901^2,"")</f>
        <v/>
      </c>
      <c r="AE3901" s="19">
        <f>IF(Z3901=1,(H3901-M3901)*I3901,0)</f>
        <v/>
      </c>
      <c r="AF3901">
        <f>IF(G3901&lt;EDATE(Assumptions!$C$6,-12)+1,"prior_12m","last_12m")</f>
        <v/>
      </c>
      <c r="AG3901" s="21">
        <f>DATE(YEAR(G3901),MONTH(G3901),1)</f>
        <v/>
      </c>
    </row>
    <row r="3902">
      <c r="A3902" t="inlineStr">
        <is>
          <t>SPO-02076-3</t>
        </is>
      </c>
      <c r="B3902" t="inlineStr">
        <is>
          <t>SPO-02076</t>
        </is>
      </c>
      <c r="C3902" t="inlineStr">
        <is>
          <t>SUP-10</t>
        </is>
      </c>
      <c r="D3902" t="inlineStr">
        <is>
          <t>PPE</t>
        </is>
      </c>
      <c r="E3902" t="inlineStr">
        <is>
          <t>PPE-04</t>
        </is>
      </c>
      <c r="F3902" s="17" t="n">
        <v>46145</v>
      </c>
      <c r="G3902" s="17" t="n">
        <v>46158</v>
      </c>
      <c r="H3902" s="18" t="n">
        <v>99</v>
      </c>
      <c r="I3902" s="19" t="n">
        <v>26.07</v>
      </c>
      <c r="J3902" s="19" t="n">
        <v>26</v>
      </c>
      <c r="K3902" s="20" t="n">
        <v>0</v>
      </c>
      <c r="L3902" s="20" t="n">
        <v>1</v>
      </c>
      <c r="M3902" s="18" t="n">
        <v>51</v>
      </c>
      <c r="N3902" s="18" t="n">
        <v>51</v>
      </c>
      <c r="O3902" s="18" t="n">
        <v>0</v>
      </c>
      <c r="P3902" s="17" t="n">
        <v>46158</v>
      </c>
      <c r="Q3902" s="17" t="n"/>
      <c r="R3902" s="17" t="n">
        <v>46158</v>
      </c>
      <c r="S3902" s="19">
        <f>H3902*I3902</f>
        <v/>
      </c>
      <c r="T3902" s="19">
        <f>H3902*J3902</f>
        <v/>
      </c>
      <c r="U3902">
        <f>IF(AND(K3902=0,G3902&lt;=Assumptions!$C$6),1,0)</f>
        <v/>
      </c>
      <c r="V3902">
        <f>IF(U3902=1,IF(M3902&gt;0,IF(P3902&lt;=G3902+Assumptions!$C$7,1,0),0),0)</f>
        <v/>
      </c>
      <c r="W3902">
        <f>IF(AND(U3902=1,M3902&gt;=H3902*(1-Assumptions!$C$8)),1,0)</f>
        <v/>
      </c>
      <c r="X3902">
        <f>IF(AND(U3902=1,N3902&gt;=H3902*(1-Assumptions!$C$8)),1,0)</f>
        <v/>
      </c>
      <c r="Y3902">
        <f>IF(ISNUMBER(Q3902),1,0)</f>
        <v/>
      </c>
      <c r="Z3902">
        <f>IF(AND(K3902=0,L3902=0,Y3902=0),1,0)</f>
        <v/>
      </c>
      <c r="AA3902">
        <f>IF(AND(Z3902=1,G3902&lt;Assumptions!$C$6),1,0)</f>
        <v/>
      </c>
      <c r="AB3902">
        <f>IF(U3902=0,"",IF(Y3902=1,MAX(0,Q3902-G3902),IF(L3902=1,MAX(0,R3902-G3902),MAX(0,Assumptions!$C$6-G3902))))</f>
        <v/>
      </c>
      <c r="AC3902">
        <f>IF(Y3902=1,Q3902-F3902,"")</f>
        <v/>
      </c>
      <c r="AD3902">
        <f>IF(Y3902=1,AC3902^2,"")</f>
        <v/>
      </c>
      <c r="AE3902" s="19">
        <f>IF(Z3902=1,(H3902-M3902)*I3902,0)</f>
        <v/>
      </c>
      <c r="AF3902">
        <f>IF(G3902&lt;EDATE(Assumptions!$C$6,-12)+1,"prior_12m","last_12m")</f>
        <v/>
      </c>
      <c r="AG3902" s="21">
        <f>DATE(YEAR(G3902),MONTH(G3902),1)</f>
        <v/>
      </c>
    </row>
    <row r="3903">
      <c r="A3903" t="inlineStr">
        <is>
          <t>SPO-02076-4</t>
        </is>
      </c>
      <c r="B3903" t="inlineStr">
        <is>
          <t>SPO-02076</t>
        </is>
      </c>
      <c r="C3903" t="inlineStr">
        <is>
          <t>SUP-10</t>
        </is>
      </c>
      <c r="D3903" t="inlineStr">
        <is>
          <t>PPE</t>
        </is>
      </c>
      <c r="E3903" t="inlineStr">
        <is>
          <t>PPE-05</t>
        </is>
      </c>
      <c r="F3903" s="17" t="n">
        <v>46145</v>
      </c>
      <c r="G3903" s="17" t="n">
        <v>46158</v>
      </c>
      <c r="H3903" s="18" t="n">
        <v>610</v>
      </c>
      <c r="I3903" s="19" t="n">
        <v>10.48</v>
      </c>
      <c r="J3903" s="19" t="n">
        <v>11</v>
      </c>
      <c r="K3903" s="20" t="n">
        <v>0</v>
      </c>
      <c r="L3903" s="20" t="n">
        <v>0</v>
      </c>
      <c r="M3903" s="18" t="n">
        <v>610</v>
      </c>
      <c r="N3903" s="18" t="n">
        <v>610</v>
      </c>
      <c r="O3903" s="18" t="n">
        <v>0</v>
      </c>
      <c r="P3903" s="17" t="n">
        <v>46158</v>
      </c>
      <c r="Q3903" s="17" t="n">
        <v>46158</v>
      </c>
      <c r="R3903" s="17" t="n">
        <v>46158</v>
      </c>
      <c r="S3903" s="19">
        <f>H3903*I3903</f>
        <v/>
      </c>
      <c r="T3903" s="19">
        <f>H3903*J3903</f>
        <v/>
      </c>
      <c r="U3903">
        <f>IF(AND(K3903=0,G3903&lt;=Assumptions!$C$6),1,0)</f>
        <v/>
      </c>
      <c r="V3903">
        <f>IF(U3903=1,IF(M3903&gt;0,IF(P3903&lt;=G3903+Assumptions!$C$7,1,0),0),0)</f>
        <v/>
      </c>
      <c r="W3903">
        <f>IF(AND(U3903=1,M3903&gt;=H3903*(1-Assumptions!$C$8)),1,0)</f>
        <v/>
      </c>
      <c r="X3903">
        <f>IF(AND(U3903=1,N3903&gt;=H3903*(1-Assumptions!$C$8)),1,0)</f>
        <v/>
      </c>
      <c r="Y3903">
        <f>IF(ISNUMBER(Q3903),1,0)</f>
        <v/>
      </c>
      <c r="Z3903">
        <f>IF(AND(K3903=0,L3903=0,Y3903=0),1,0)</f>
        <v/>
      </c>
      <c r="AA3903">
        <f>IF(AND(Z3903=1,G3903&lt;Assumptions!$C$6),1,0)</f>
        <v/>
      </c>
      <c r="AB3903">
        <f>IF(U3903=0,"",IF(Y3903=1,MAX(0,Q3903-G3903),IF(L3903=1,MAX(0,R3903-G3903),MAX(0,Assumptions!$C$6-G3903))))</f>
        <v/>
      </c>
      <c r="AC3903">
        <f>IF(Y3903=1,Q3903-F3903,"")</f>
        <v/>
      </c>
      <c r="AD3903">
        <f>IF(Y3903=1,AC3903^2,"")</f>
        <v/>
      </c>
      <c r="AE3903" s="19">
        <f>IF(Z3903=1,(H3903-M3903)*I3903,0)</f>
        <v/>
      </c>
      <c r="AF3903">
        <f>IF(G3903&lt;EDATE(Assumptions!$C$6,-12)+1,"prior_12m","last_12m")</f>
        <v/>
      </c>
      <c r="AG3903" s="21">
        <f>DATE(YEAR(G3903),MONTH(G3903),1)</f>
        <v/>
      </c>
    </row>
    <row r="3904">
      <c r="A3904" t="inlineStr">
        <is>
          <t>SPO-02077-1</t>
        </is>
      </c>
      <c r="B3904" t="inlineStr">
        <is>
          <t>SPO-02077</t>
        </is>
      </c>
      <c r="C3904" t="inlineStr">
        <is>
          <t>SUP-01</t>
        </is>
      </c>
      <c r="D3904" t="inlineStr">
        <is>
          <t>ELEC</t>
        </is>
      </c>
      <c r="E3904" t="inlineStr">
        <is>
          <t>ELEC-07</t>
        </is>
      </c>
      <c r="F3904" s="17" t="n">
        <v>46146</v>
      </c>
      <c r="G3904" s="17" t="n">
        <v>46164</v>
      </c>
      <c r="H3904" s="18" t="n">
        <v>338</v>
      </c>
      <c r="I3904" s="19" t="n">
        <v>10</v>
      </c>
      <c r="J3904" s="19" t="n">
        <v>9.800000000000001</v>
      </c>
      <c r="K3904" s="20" t="n">
        <v>0</v>
      </c>
      <c r="L3904" s="20" t="n">
        <v>0</v>
      </c>
      <c r="M3904" s="18" t="n">
        <v>338</v>
      </c>
      <c r="N3904" s="18" t="n">
        <v>0</v>
      </c>
      <c r="O3904" s="18" t="n">
        <v>0</v>
      </c>
      <c r="P3904" s="17" t="n">
        <v>46170</v>
      </c>
      <c r="Q3904" s="17" t="n">
        <v>46177</v>
      </c>
      <c r="R3904" s="17" t="n">
        <v>46177</v>
      </c>
      <c r="S3904" s="19">
        <f>H3904*I3904</f>
        <v/>
      </c>
      <c r="T3904" s="19">
        <f>H3904*J3904</f>
        <v/>
      </c>
      <c r="U3904">
        <f>IF(AND(K3904=0,G3904&lt;=Assumptions!$C$6),1,0)</f>
        <v/>
      </c>
      <c r="V3904">
        <f>IF(U3904=1,IF(M3904&gt;0,IF(P3904&lt;=G3904+Assumptions!$C$7,1,0),0),0)</f>
        <v/>
      </c>
      <c r="W3904">
        <f>IF(AND(U3904=1,M3904&gt;=H3904*(1-Assumptions!$C$8)),1,0)</f>
        <v/>
      </c>
      <c r="X3904">
        <f>IF(AND(U3904=1,N3904&gt;=H3904*(1-Assumptions!$C$8)),1,0)</f>
        <v/>
      </c>
      <c r="Y3904">
        <f>IF(ISNUMBER(Q3904),1,0)</f>
        <v/>
      </c>
      <c r="Z3904">
        <f>IF(AND(K3904=0,L3904=0,Y3904=0),1,0)</f>
        <v/>
      </c>
      <c r="AA3904">
        <f>IF(AND(Z3904=1,G3904&lt;Assumptions!$C$6),1,0)</f>
        <v/>
      </c>
      <c r="AB3904">
        <f>IF(U3904=0,"",IF(Y3904=1,MAX(0,Q3904-G3904),IF(L3904=1,MAX(0,R3904-G3904),MAX(0,Assumptions!$C$6-G3904))))</f>
        <v/>
      </c>
      <c r="AC3904">
        <f>IF(Y3904=1,Q3904-F3904,"")</f>
        <v/>
      </c>
      <c r="AD3904">
        <f>IF(Y3904=1,AC3904^2,"")</f>
        <v/>
      </c>
      <c r="AE3904" s="19">
        <f>IF(Z3904=1,(H3904-M3904)*I3904,0)</f>
        <v/>
      </c>
      <c r="AF3904">
        <f>IF(G3904&lt;EDATE(Assumptions!$C$6,-12)+1,"prior_12m","last_12m")</f>
        <v/>
      </c>
      <c r="AG3904" s="21">
        <f>DATE(YEAR(G3904),MONTH(G3904),1)</f>
        <v/>
      </c>
    </row>
    <row r="3905">
      <c r="A3905" t="inlineStr">
        <is>
          <t>SPO-02078-1</t>
        </is>
      </c>
      <c r="B3905" t="inlineStr">
        <is>
          <t>SPO-02078</t>
        </is>
      </c>
      <c r="C3905" t="inlineStr">
        <is>
          <t>SUP-01</t>
        </is>
      </c>
      <c r="D3905" t="inlineStr">
        <is>
          <t>ELEC</t>
        </is>
      </c>
      <c r="E3905" t="inlineStr">
        <is>
          <t>ELEC-03</t>
        </is>
      </c>
      <c r="F3905" s="17" t="n">
        <v>46146</v>
      </c>
      <c r="G3905" s="17" t="n">
        <v>46164</v>
      </c>
      <c r="H3905" s="18" t="n">
        <v>17</v>
      </c>
      <c r="I3905" s="19" t="n">
        <v>97.56999999999999</v>
      </c>
      <c r="J3905" s="19" t="n">
        <v>96</v>
      </c>
      <c r="K3905" s="20" t="n">
        <v>0</v>
      </c>
      <c r="L3905" s="20" t="n">
        <v>0</v>
      </c>
      <c r="M3905" s="18" t="n">
        <v>17</v>
      </c>
      <c r="N3905" s="18" t="n">
        <v>0</v>
      </c>
      <c r="O3905" s="18" t="n">
        <v>0</v>
      </c>
      <c r="P3905" s="17" t="n">
        <v>46165</v>
      </c>
      <c r="Q3905" s="17" t="n">
        <v>46165</v>
      </c>
      <c r="R3905" s="17" t="n">
        <v>46165</v>
      </c>
      <c r="S3905" s="19">
        <f>H3905*I3905</f>
        <v/>
      </c>
      <c r="T3905" s="19">
        <f>H3905*J3905</f>
        <v/>
      </c>
      <c r="U3905">
        <f>IF(AND(K3905=0,G3905&lt;=Assumptions!$C$6),1,0)</f>
        <v/>
      </c>
      <c r="V3905">
        <f>IF(U3905=1,IF(M3905&gt;0,IF(P3905&lt;=G3905+Assumptions!$C$7,1,0),0),0)</f>
        <v/>
      </c>
      <c r="W3905">
        <f>IF(AND(U3905=1,M3905&gt;=H3905*(1-Assumptions!$C$8)),1,0)</f>
        <v/>
      </c>
      <c r="X3905">
        <f>IF(AND(U3905=1,N3905&gt;=H3905*(1-Assumptions!$C$8)),1,0)</f>
        <v/>
      </c>
      <c r="Y3905">
        <f>IF(ISNUMBER(Q3905),1,0)</f>
        <v/>
      </c>
      <c r="Z3905">
        <f>IF(AND(K3905=0,L3905=0,Y3905=0),1,0)</f>
        <v/>
      </c>
      <c r="AA3905">
        <f>IF(AND(Z3905=1,G3905&lt;Assumptions!$C$6),1,0)</f>
        <v/>
      </c>
      <c r="AB3905">
        <f>IF(U3905=0,"",IF(Y3905=1,MAX(0,Q3905-G3905),IF(L3905=1,MAX(0,R3905-G3905),MAX(0,Assumptions!$C$6-G3905))))</f>
        <v/>
      </c>
      <c r="AC3905">
        <f>IF(Y3905=1,Q3905-F3905,"")</f>
        <v/>
      </c>
      <c r="AD3905">
        <f>IF(Y3905=1,AC3905^2,"")</f>
        <v/>
      </c>
      <c r="AE3905" s="19">
        <f>IF(Z3905=1,(H3905-M3905)*I3905,0)</f>
        <v/>
      </c>
      <c r="AF3905">
        <f>IF(G3905&lt;EDATE(Assumptions!$C$6,-12)+1,"prior_12m","last_12m")</f>
        <v/>
      </c>
      <c r="AG3905" s="21">
        <f>DATE(YEAR(G3905),MONTH(G3905),1)</f>
        <v/>
      </c>
    </row>
    <row r="3906">
      <c r="A3906" t="inlineStr">
        <is>
          <t>SPO-02078-2</t>
        </is>
      </c>
      <c r="B3906" t="inlineStr">
        <is>
          <t>SPO-02078</t>
        </is>
      </c>
      <c r="C3906" t="inlineStr">
        <is>
          <t>SUP-01</t>
        </is>
      </c>
      <c r="D3906" t="inlineStr">
        <is>
          <t>ELEC</t>
        </is>
      </c>
      <c r="E3906" t="inlineStr">
        <is>
          <t>ELEC-01</t>
        </is>
      </c>
      <c r="F3906" s="17" t="n">
        <v>46146</v>
      </c>
      <c r="G3906" s="17" t="n">
        <v>46164</v>
      </c>
      <c r="H3906" s="18" t="n">
        <v>43</v>
      </c>
      <c r="I3906" s="19" t="n">
        <v>37.32</v>
      </c>
      <c r="J3906" s="19" t="n">
        <v>38</v>
      </c>
      <c r="K3906" s="20" t="n">
        <v>0</v>
      </c>
      <c r="L3906" s="20" t="n">
        <v>0</v>
      </c>
      <c r="M3906" s="18" t="n">
        <v>43</v>
      </c>
      <c r="N3906" s="18" t="n">
        <v>43</v>
      </c>
      <c r="O3906" s="18" t="n">
        <v>0</v>
      </c>
      <c r="P3906" s="17" t="n">
        <v>46164</v>
      </c>
      <c r="Q3906" s="17" t="n">
        <v>46164</v>
      </c>
      <c r="R3906" s="17" t="n">
        <v>46164</v>
      </c>
      <c r="S3906" s="19">
        <f>H3906*I3906</f>
        <v/>
      </c>
      <c r="T3906" s="19">
        <f>H3906*J3906</f>
        <v/>
      </c>
      <c r="U3906">
        <f>IF(AND(K3906=0,G3906&lt;=Assumptions!$C$6),1,0)</f>
        <v/>
      </c>
      <c r="V3906">
        <f>IF(U3906=1,IF(M3906&gt;0,IF(P3906&lt;=G3906+Assumptions!$C$7,1,0),0),0)</f>
        <v/>
      </c>
      <c r="W3906">
        <f>IF(AND(U3906=1,M3906&gt;=H3906*(1-Assumptions!$C$8)),1,0)</f>
        <v/>
      </c>
      <c r="X3906">
        <f>IF(AND(U3906=1,N3906&gt;=H3906*(1-Assumptions!$C$8)),1,0)</f>
        <v/>
      </c>
      <c r="Y3906">
        <f>IF(ISNUMBER(Q3906),1,0)</f>
        <v/>
      </c>
      <c r="Z3906">
        <f>IF(AND(K3906=0,L3906=0,Y3906=0),1,0)</f>
        <v/>
      </c>
      <c r="AA3906">
        <f>IF(AND(Z3906=1,G3906&lt;Assumptions!$C$6),1,0)</f>
        <v/>
      </c>
      <c r="AB3906">
        <f>IF(U3906=0,"",IF(Y3906=1,MAX(0,Q3906-G3906),IF(L3906=1,MAX(0,R3906-G3906),MAX(0,Assumptions!$C$6-G3906))))</f>
        <v/>
      </c>
      <c r="AC3906">
        <f>IF(Y3906=1,Q3906-F3906,"")</f>
        <v/>
      </c>
      <c r="AD3906">
        <f>IF(Y3906=1,AC3906^2,"")</f>
        <v/>
      </c>
      <c r="AE3906" s="19">
        <f>IF(Z3906=1,(H3906-M3906)*I3906,0)</f>
        <v/>
      </c>
      <c r="AF3906">
        <f>IF(G3906&lt;EDATE(Assumptions!$C$6,-12)+1,"prior_12m","last_12m")</f>
        <v/>
      </c>
      <c r="AG3906" s="21">
        <f>DATE(YEAR(G3906),MONTH(G3906),1)</f>
        <v/>
      </c>
    </row>
    <row r="3907">
      <c r="A3907" t="inlineStr">
        <is>
          <t>SPO-02079-1</t>
        </is>
      </c>
      <c r="B3907" t="inlineStr">
        <is>
          <t>SPO-02079</t>
        </is>
      </c>
      <c r="C3907" t="inlineStr">
        <is>
          <t>SUP-01</t>
        </is>
      </c>
      <c r="D3907" t="inlineStr">
        <is>
          <t>ELEC</t>
        </is>
      </c>
      <c r="E3907" t="inlineStr">
        <is>
          <t>ELEC-06</t>
        </is>
      </c>
      <c r="F3907" s="17" t="n">
        <v>46146</v>
      </c>
      <c r="G3907" s="17" t="n">
        <v>46164</v>
      </c>
      <c r="H3907" s="18" t="n">
        <v>14</v>
      </c>
      <c r="I3907" s="19" t="n">
        <v>141.5</v>
      </c>
      <c r="J3907" s="19" t="n">
        <v>145</v>
      </c>
      <c r="K3907" s="20" t="n">
        <v>0</v>
      </c>
      <c r="L3907" s="20" t="n">
        <v>0</v>
      </c>
      <c r="M3907" s="18" t="n">
        <v>14</v>
      </c>
      <c r="N3907" s="18" t="n">
        <v>0</v>
      </c>
      <c r="O3907" s="18" t="n">
        <v>0</v>
      </c>
      <c r="P3907" s="17" t="n">
        <v>46214</v>
      </c>
      <c r="Q3907" s="17" t="n">
        <v>46214</v>
      </c>
      <c r="R3907" s="17" t="n">
        <v>46214</v>
      </c>
      <c r="S3907" s="19">
        <f>H3907*I3907</f>
        <v/>
      </c>
      <c r="T3907" s="19">
        <f>H3907*J3907</f>
        <v/>
      </c>
      <c r="U3907">
        <f>IF(AND(K3907=0,G3907&lt;=Assumptions!$C$6),1,0)</f>
        <v/>
      </c>
      <c r="V3907">
        <f>IF(U3907=1,IF(M3907&gt;0,IF(P3907&lt;=G3907+Assumptions!$C$7,1,0),0),0)</f>
        <v/>
      </c>
      <c r="W3907">
        <f>IF(AND(U3907=1,M3907&gt;=H3907*(1-Assumptions!$C$8)),1,0)</f>
        <v/>
      </c>
      <c r="X3907">
        <f>IF(AND(U3907=1,N3907&gt;=H3907*(1-Assumptions!$C$8)),1,0)</f>
        <v/>
      </c>
      <c r="Y3907">
        <f>IF(ISNUMBER(Q3907),1,0)</f>
        <v/>
      </c>
      <c r="Z3907">
        <f>IF(AND(K3907=0,L3907=0,Y3907=0),1,0)</f>
        <v/>
      </c>
      <c r="AA3907">
        <f>IF(AND(Z3907=1,G3907&lt;Assumptions!$C$6),1,0)</f>
        <v/>
      </c>
      <c r="AB3907">
        <f>IF(U3907=0,"",IF(Y3907=1,MAX(0,Q3907-G3907),IF(L3907=1,MAX(0,R3907-G3907),MAX(0,Assumptions!$C$6-G3907))))</f>
        <v/>
      </c>
      <c r="AC3907">
        <f>IF(Y3907=1,Q3907-F3907,"")</f>
        <v/>
      </c>
      <c r="AD3907">
        <f>IF(Y3907=1,AC3907^2,"")</f>
        <v/>
      </c>
      <c r="AE3907" s="19">
        <f>IF(Z3907=1,(H3907-M3907)*I3907,0)</f>
        <v/>
      </c>
      <c r="AF3907">
        <f>IF(G3907&lt;EDATE(Assumptions!$C$6,-12)+1,"prior_12m","last_12m")</f>
        <v/>
      </c>
      <c r="AG3907" s="21">
        <f>DATE(YEAR(G3907),MONTH(G3907),1)</f>
        <v/>
      </c>
    </row>
    <row r="3908">
      <c r="A3908" t="inlineStr">
        <is>
          <t>SPO-02080-1</t>
        </is>
      </c>
      <c r="B3908" t="inlineStr">
        <is>
          <t>SPO-02080</t>
        </is>
      </c>
      <c r="C3908" t="inlineStr">
        <is>
          <t>SUP-09</t>
        </is>
      </c>
      <c r="D3908" t="inlineStr">
        <is>
          <t>CHEM</t>
        </is>
      </c>
      <c r="E3908" t="inlineStr">
        <is>
          <t>CHEM-05</t>
        </is>
      </c>
      <c r="F3908" s="17" t="n">
        <v>46147</v>
      </c>
      <c r="G3908" s="17" t="n">
        <v>46161</v>
      </c>
      <c r="H3908" s="18" t="n">
        <v>2</v>
      </c>
      <c r="I3908" s="19" t="n">
        <v>930.96</v>
      </c>
      <c r="J3908" s="19" t="n">
        <v>930</v>
      </c>
      <c r="K3908" s="20" t="n">
        <v>0</v>
      </c>
      <c r="L3908" s="20" t="n">
        <v>0</v>
      </c>
      <c r="M3908" s="18" t="n">
        <v>2</v>
      </c>
      <c r="N3908" s="18" t="n">
        <v>2</v>
      </c>
      <c r="O3908" s="18" t="n">
        <v>0</v>
      </c>
      <c r="P3908" s="17" t="n">
        <v>46156</v>
      </c>
      <c r="Q3908" s="17" t="n">
        <v>46156</v>
      </c>
      <c r="R3908" s="17" t="n">
        <v>46156</v>
      </c>
      <c r="S3908" s="19">
        <f>H3908*I3908</f>
        <v/>
      </c>
      <c r="T3908" s="19">
        <f>H3908*J3908</f>
        <v/>
      </c>
      <c r="U3908">
        <f>IF(AND(K3908=0,G3908&lt;=Assumptions!$C$6),1,0)</f>
        <v/>
      </c>
      <c r="V3908">
        <f>IF(U3908=1,IF(M3908&gt;0,IF(P3908&lt;=G3908+Assumptions!$C$7,1,0),0),0)</f>
        <v/>
      </c>
      <c r="W3908">
        <f>IF(AND(U3908=1,M3908&gt;=H3908*(1-Assumptions!$C$8)),1,0)</f>
        <v/>
      </c>
      <c r="X3908">
        <f>IF(AND(U3908=1,N3908&gt;=H3908*(1-Assumptions!$C$8)),1,0)</f>
        <v/>
      </c>
      <c r="Y3908">
        <f>IF(ISNUMBER(Q3908),1,0)</f>
        <v/>
      </c>
      <c r="Z3908">
        <f>IF(AND(K3908=0,L3908=0,Y3908=0),1,0)</f>
        <v/>
      </c>
      <c r="AA3908">
        <f>IF(AND(Z3908=1,G3908&lt;Assumptions!$C$6),1,0)</f>
        <v/>
      </c>
      <c r="AB3908">
        <f>IF(U3908=0,"",IF(Y3908=1,MAX(0,Q3908-G3908),IF(L3908=1,MAX(0,R3908-G3908),MAX(0,Assumptions!$C$6-G3908))))</f>
        <v/>
      </c>
      <c r="AC3908">
        <f>IF(Y3908=1,Q3908-F3908,"")</f>
        <v/>
      </c>
      <c r="AD3908">
        <f>IF(Y3908=1,AC3908^2,"")</f>
        <v/>
      </c>
      <c r="AE3908" s="19">
        <f>IF(Z3908=1,(H3908-M3908)*I3908,0)</f>
        <v/>
      </c>
      <c r="AF3908">
        <f>IF(G3908&lt;EDATE(Assumptions!$C$6,-12)+1,"prior_12m","last_12m")</f>
        <v/>
      </c>
      <c r="AG3908" s="21">
        <f>DATE(YEAR(G3908),MONTH(G3908),1)</f>
        <v/>
      </c>
    </row>
    <row r="3909">
      <c r="A3909" t="inlineStr">
        <is>
          <t>SPO-02080-2</t>
        </is>
      </c>
      <c r="B3909" t="inlineStr">
        <is>
          <t>SPO-02080</t>
        </is>
      </c>
      <c r="C3909" t="inlineStr">
        <is>
          <t>SUP-09</t>
        </is>
      </c>
      <c r="D3909" t="inlineStr">
        <is>
          <t>CHEM</t>
        </is>
      </c>
      <c r="E3909" t="inlineStr">
        <is>
          <t>CHEM-04</t>
        </is>
      </c>
      <c r="F3909" s="17" t="n">
        <v>46147</v>
      </c>
      <c r="G3909" s="17" t="n">
        <v>46161</v>
      </c>
      <c r="H3909" s="18" t="n">
        <v>2</v>
      </c>
      <c r="I3909" s="19" t="n">
        <v>827.95</v>
      </c>
      <c r="J3909" s="19" t="n">
        <v>820</v>
      </c>
      <c r="K3909" s="20" t="n">
        <v>0</v>
      </c>
      <c r="L3909" s="20" t="n">
        <v>0</v>
      </c>
      <c r="M3909" s="18" t="n">
        <v>2</v>
      </c>
      <c r="N3909" s="18" t="n">
        <v>2</v>
      </c>
      <c r="O3909" s="18" t="n">
        <v>0</v>
      </c>
      <c r="P3909" s="17" t="n">
        <v>46159</v>
      </c>
      <c r="Q3909" s="17" t="n">
        <v>46159</v>
      </c>
      <c r="R3909" s="17" t="n">
        <v>46159</v>
      </c>
      <c r="S3909" s="19">
        <f>H3909*I3909</f>
        <v/>
      </c>
      <c r="T3909" s="19">
        <f>H3909*J3909</f>
        <v/>
      </c>
      <c r="U3909">
        <f>IF(AND(K3909=0,G3909&lt;=Assumptions!$C$6),1,0)</f>
        <v/>
      </c>
      <c r="V3909">
        <f>IF(U3909=1,IF(M3909&gt;0,IF(P3909&lt;=G3909+Assumptions!$C$7,1,0),0),0)</f>
        <v/>
      </c>
      <c r="W3909">
        <f>IF(AND(U3909=1,M3909&gt;=H3909*(1-Assumptions!$C$8)),1,0)</f>
        <v/>
      </c>
      <c r="X3909">
        <f>IF(AND(U3909=1,N3909&gt;=H3909*(1-Assumptions!$C$8)),1,0)</f>
        <v/>
      </c>
      <c r="Y3909">
        <f>IF(ISNUMBER(Q3909),1,0)</f>
        <v/>
      </c>
      <c r="Z3909">
        <f>IF(AND(K3909=0,L3909=0,Y3909=0),1,0)</f>
        <v/>
      </c>
      <c r="AA3909">
        <f>IF(AND(Z3909=1,G3909&lt;Assumptions!$C$6),1,0)</f>
        <v/>
      </c>
      <c r="AB3909">
        <f>IF(U3909=0,"",IF(Y3909=1,MAX(0,Q3909-G3909),IF(L3909=1,MAX(0,R3909-G3909),MAX(0,Assumptions!$C$6-G3909))))</f>
        <v/>
      </c>
      <c r="AC3909">
        <f>IF(Y3909=1,Q3909-F3909,"")</f>
        <v/>
      </c>
      <c r="AD3909">
        <f>IF(Y3909=1,AC3909^2,"")</f>
        <v/>
      </c>
      <c r="AE3909" s="19">
        <f>IF(Z3909=1,(H3909-M3909)*I3909,0)</f>
        <v/>
      </c>
      <c r="AF3909">
        <f>IF(G3909&lt;EDATE(Assumptions!$C$6,-12)+1,"prior_12m","last_12m")</f>
        <v/>
      </c>
      <c r="AG3909" s="21">
        <f>DATE(YEAR(G3909),MONTH(G3909),1)</f>
        <v/>
      </c>
    </row>
    <row r="3910">
      <c r="A3910" t="inlineStr">
        <is>
          <t>SPO-02080-3</t>
        </is>
      </c>
      <c r="B3910" t="inlineStr">
        <is>
          <t>SPO-02080</t>
        </is>
      </c>
      <c r="C3910" t="inlineStr">
        <is>
          <t>SUP-09</t>
        </is>
      </c>
      <c r="D3910" t="inlineStr">
        <is>
          <t>CHEM</t>
        </is>
      </c>
      <c r="E3910" t="inlineStr">
        <is>
          <t>CHEM-06</t>
        </is>
      </c>
      <c r="F3910" s="17" t="n">
        <v>46147</v>
      </c>
      <c r="G3910" s="17" t="n">
        <v>46161</v>
      </c>
      <c r="H3910" s="18" t="n">
        <v>8</v>
      </c>
      <c r="I3910" s="19" t="n">
        <v>393.95</v>
      </c>
      <c r="J3910" s="19" t="n">
        <v>380</v>
      </c>
      <c r="K3910" s="20" t="n">
        <v>0</v>
      </c>
      <c r="L3910" s="20" t="n">
        <v>0</v>
      </c>
      <c r="M3910" s="18" t="n">
        <v>8</v>
      </c>
      <c r="N3910" s="18" t="n">
        <v>8</v>
      </c>
      <c r="O3910" s="18" t="n">
        <v>0</v>
      </c>
      <c r="P3910" s="17" t="n">
        <v>46160</v>
      </c>
      <c r="Q3910" s="17" t="n">
        <v>46160</v>
      </c>
      <c r="R3910" s="17" t="n">
        <v>46160</v>
      </c>
      <c r="S3910" s="19">
        <f>H3910*I3910</f>
        <v/>
      </c>
      <c r="T3910" s="19">
        <f>H3910*J3910</f>
        <v/>
      </c>
      <c r="U3910">
        <f>IF(AND(K3910=0,G3910&lt;=Assumptions!$C$6),1,0)</f>
        <v/>
      </c>
      <c r="V3910">
        <f>IF(U3910=1,IF(M3910&gt;0,IF(P3910&lt;=G3910+Assumptions!$C$7,1,0),0),0)</f>
        <v/>
      </c>
      <c r="W3910">
        <f>IF(AND(U3910=1,M3910&gt;=H3910*(1-Assumptions!$C$8)),1,0)</f>
        <v/>
      </c>
      <c r="X3910">
        <f>IF(AND(U3910=1,N3910&gt;=H3910*(1-Assumptions!$C$8)),1,0)</f>
        <v/>
      </c>
      <c r="Y3910">
        <f>IF(ISNUMBER(Q3910),1,0)</f>
        <v/>
      </c>
      <c r="Z3910">
        <f>IF(AND(K3910=0,L3910=0,Y3910=0),1,0)</f>
        <v/>
      </c>
      <c r="AA3910">
        <f>IF(AND(Z3910=1,G3910&lt;Assumptions!$C$6),1,0)</f>
        <v/>
      </c>
      <c r="AB3910">
        <f>IF(U3910=0,"",IF(Y3910=1,MAX(0,Q3910-G3910),IF(L3910=1,MAX(0,R3910-G3910),MAX(0,Assumptions!$C$6-G3910))))</f>
        <v/>
      </c>
      <c r="AC3910">
        <f>IF(Y3910=1,Q3910-F3910,"")</f>
        <v/>
      </c>
      <c r="AD3910">
        <f>IF(Y3910=1,AC3910^2,"")</f>
        <v/>
      </c>
      <c r="AE3910" s="19">
        <f>IF(Z3910=1,(H3910-M3910)*I3910,0)</f>
        <v/>
      </c>
      <c r="AF3910">
        <f>IF(G3910&lt;EDATE(Assumptions!$C$6,-12)+1,"prior_12m","last_12m")</f>
        <v/>
      </c>
      <c r="AG3910" s="21">
        <f>DATE(YEAR(G3910),MONTH(G3910),1)</f>
        <v/>
      </c>
    </row>
    <row r="3911">
      <c r="A3911" t="inlineStr">
        <is>
          <t>SPO-02081-1</t>
        </is>
      </c>
      <c r="B3911" t="inlineStr">
        <is>
          <t>SPO-02081</t>
        </is>
      </c>
      <c r="C3911" t="inlineStr">
        <is>
          <t>SUP-02</t>
        </is>
      </c>
      <c r="D3911" t="inlineStr">
        <is>
          <t>ELEC</t>
        </is>
      </c>
      <c r="E3911" t="inlineStr">
        <is>
          <t>ELEC-07</t>
        </is>
      </c>
      <c r="F3911" s="17" t="n">
        <v>46147</v>
      </c>
      <c r="G3911" s="17" t="n">
        <v>46163</v>
      </c>
      <c r="H3911" s="18" t="n">
        <v>372</v>
      </c>
      <c r="I3911" s="19" t="n">
        <v>9.57</v>
      </c>
      <c r="J3911" s="19" t="n">
        <v>9.800000000000001</v>
      </c>
      <c r="K3911" s="20" t="n">
        <v>0</v>
      </c>
      <c r="L3911" s="20" t="n">
        <v>0</v>
      </c>
      <c r="M3911" s="18" t="n">
        <v>372</v>
      </c>
      <c r="N3911" s="18" t="n">
        <v>372</v>
      </c>
      <c r="O3911" s="18" t="n">
        <v>0</v>
      </c>
      <c r="P3911" s="17" t="n">
        <v>46158</v>
      </c>
      <c r="Q3911" s="17" t="n">
        <v>46158</v>
      </c>
      <c r="R3911" s="17" t="n">
        <v>46158</v>
      </c>
      <c r="S3911" s="19">
        <f>H3911*I3911</f>
        <v/>
      </c>
      <c r="T3911" s="19">
        <f>H3911*J3911</f>
        <v/>
      </c>
      <c r="U3911">
        <f>IF(AND(K3911=0,G3911&lt;=Assumptions!$C$6),1,0)</f>
        <v/>
      </c>
      <c r="V3911">
        <f>IF(U3911=1,IF(M3911&gt;0,IF(P3911&lt;=G3911+Assumptions!$C$7,1,0),0),0)</f>
        <v/>
      </c>
      <c r="W3911">
        <f>IF(AND(U3911=1,M3911&gt;=H3911*(1-Assumptions!$C$8)),1,0)</f>
        <v/>
      </c>
      <c r="X3911">
        <f>IF(AND(U3911=1,N3911&gt;=H3911*(1-Assumptions!$C$8)),1,0)</f>
        <v/>
      </c>
      <c r="Y3911">
        <f>IF(ISNUMBER(Q3911),1,0)</f>
        <v/>
      </c>
      <c r="Z3911">
        <f>IF(AND(K3911=0,L3911=0,Y3911=0),1,0)</f>
        <v/>
      </c>
      <c r="AA3911">
        <f>IF(AND(Z3911=1,G3911&lt;Assumptions!$C$6),1,0)</f>
        <v/>
      </c>
      <c r="AB3911">
        <f>IF(U3911=0,"",IF(Y3911=1,MAX(0,Q3911-G3911),IF(L3911=1,MAX(0,R3911-G3911),MAX(0,Assumptions!$C$6-G3911))))</f>
        <v/>
      </c>
      <c r="AC3911">
        <f>IF(Y3911=1,Q3911-F3911,"")</f>
        <v/>
      </c>
      <c r="AD3911">
        <f>IF(Y3911=1,AC3911^2,"")</f>
        <v/>
      </c>
      <c r="AE3911" s="19">
        <f>IF(Z3911=1,(H3911-M3911)*I3911,0)</f>
        <v/>
      </c>
      <c r="AF3911">
        <f>IF(G3911&lt;EDATE(Assumptions!$C$6,-12)+1,"prior_12m","last_12m")</f>
        <v/>
      </c>
      <c r="AG3911" s="21">
        <f>DATE(YEAR(G3911),MONTH(G3911),1)</f>
        <v/>
      </c>
    </row>
    <row r="3912">
      <c r="A3912" t="inlineStr">
        <is>
          <t>SPO-02081-2</t>
        </is>
      </c>
      <c r="B3912" t="inlineStr">
        <is>
          <t>SPO-02081</t>
        </is>
      </c>
      <c r="C3912" t="inlineStr">
        <is>
          <t>SUP-02</t>
        </is>
      </c>
      <c r="D3912" t="inlineStr">
        <is>
          <t>ELEC</t>
        </is>
      </c>
      <c r="E3912" t="inlineStr">
        <is>
          <t>ELEC-01</t>
        </is>
      </c>
      <c r="F3912" s="17" t="n">
        <v>46147</v>
      </c>
      <c r="G3912" s="17" t="n">
        <v>46163</v>
      </c>
      <c r="H3912" s="18" t="n">
        <v>37</v>
      </c>
      <c r="I3912" s="19" t="n">
        <v>37.62</v>
      </c>
      <c r="J3912" s="19" t="n">
        <v>38</v>
      </c>
      <c r="K3912" s="20" t="n">
        <v>0</v>
      </c>
      <c r="L3912" s="20" t="n">
        <v>0</v>
      </c>
      <c r="M3912" s="18" t="n">
        <v>37</v>
      </c>
      <c r="N3912" s="18" t="n">
        <v>37</v>
      </c>
      <c r="O3912" s="18" t="n">
        <v>0</v>
      </c>
      <c r="P3912" s="17" t="n">
        <v>46157</v>
      </c>
      <c r="Q3912" s="17" t="n">
        <v>46157</v>
      </c>
      <c r="R3912" s="17" t="n">
        <v>46157</v>
      </c>
      <c r="S3912" s="19">
        <f>H3912*I3912</f>
        <v/>
      </c>
      <c r="T3912" s="19">
        <f>H3912*J3912</f>
        <v/>
      </c>
      <c r="U3912">
        <f>IF(AND(K3912=0,G3912&lt;=Assumptions!$C$6),1,0)</f>
        <v/>
      </c>
      <c r="V3912">
        <f>IF(U3912=1,IF(M3912&gt;0,IF(P3912&lt;=G3912+Assumptions!$C$7,1,0),0),0)</f>
        <v/>
      </c>
      <c r="W3912">
        <f>IF(AND(U3912=1,M3912&gt;=H3912*(1-Assumptions!$C$8)),1,0)</f>
        <v/>
      </c>
      <c r="X3912">
        <f>IF(AND(U3912=1,N3912&gt;=H3912*(1-Assumptions!$C$8)),1,0)</f>
        <v/>
      </c>
      <c r="Y3912">
        <f>IF(ISNUMBER(Q3912),1,0)</f>
        <v/>
      </c>
      <c r="Z3912">
        <f>IF(AND(K3912=0,L3912=0,Y3912=0),1,0)</f>
        <v/>
      </c>
      <c r="AA3912">
        <f>IF(AND(Z3912=1,G3912&lt;Assumptions!$C$6),1,0)</f>
        <v/>
      </c>
      <c r="AB3912">
        <f>IF(U3912=0,"",IF(Y3912=1,MAX(0,Q3912-G3912),IF(L3912=1,MAX(0,R3912-G3912),MAX(0,Assumptions!$C$6-G3912))))</f>
        <v/>
      </c>
      <c r="AC3912">
        <f>IF(Y3912=1,Q3912-F3912,"")</f>
        <v/>
      </c>
      <c r="AD3912">
        <f>IF(Y3912=1,AC3912^2,"")</f>
        <v/>
      </c>
      <c r="AE3912" s="19">
        <f>IF(Z3912=1,(H3912-M3912)*I3912,0)</f>
        <v/>
      </c>
      <c r="AF3912">
        <f>IF(G3912&lt;EDATE(Assumptions!$C$6,-12)+1,"prior_12m","last_12m")</f>
        <v/>
      </c>
      <c r="AG3912" s="21">
        <f>DATE(YEAR(G3912),MONTH(G3912),1)</f>
        <v/>
      </c>
    </row>
    <row r="3913">
      <c r="A3913" t="inlineStr">
        <is>
          <t>SPO-02082-1</t>
        </is>
      </c>
      <c r="B3913" t="inlineStr">
        <is>
          <t>SPO-02082</t>
        </is>
      </c>
      <c r="C3913" t="inlineStr">
        <is>
          <t>SUP-01</t>
        </is>
      </c>
      <c r="D3913" t="inlineStr">
        <is>
          <t>ELEC</t>
        </is>
      </c>
      <c r="E3913" t="inlineStr">
        <is>
          <t>ELEC-04</t>
        </is>
      </c>
      <c r="F3913" s="17" t="n">
        <v>46147</v>
      </c>
      <c r="G3913" s="17" t="n">
        <v>46165</v>
      </c>
      <c r="H3913" s="18" t="n">
        <v>31</v>
      </c>
      <c r="I3913" s="19" t="n">
        <v>74.48999999999999</v>
      </c>
      <c r="J3913" s="19" t="n">
        <v>72</v>
      </c>
      <c r="K3913" s="20" t="n">
        <v>0</v>
      </c>
      <c r="L3913" s="20" t="n">
        <v>0</v>
      </c>
      <c r="M3913" s="18" t="n">
        <v>31</v>
      </c>
      <c r="N3913" s="18" t="n">
        <v>0</v>
      </c>
      <c r="O3913" s="18" t="n">
        <v>0</v>
      </c>
      <c r="P3913" s="17" t="n">
        <v>46188</v>
      </c>
      <c r="Q3913" s="17" t="n">
        <v>46188</v>
      </c>
      <c r="R3913" s="17" t="n">
        <v>46188</v>
      </c>
      <c r="S3913" s="19">
        <f>H3913*I3913</f>
        <v/>
      </c>
      <c r="T3913" s="19">
        <f>H3913*J3913</f>
        <v/>
      </c>
      <c r="U3913">
        <f>IF(AND(K3913=0,G3913&lt;=Assumptions!$C$6),1,0)</f>
        <v/>
      </c>
      <c r="V3913">
        <f>IF(U3913=1,IF(M3913&gt;0,IF(P3913&lt;=G3913+Assumptions!$C$7,1,0),0),0)</f>
        <v/>
      </c>
      <c r="W3913">
        <f>IF(AND(U3913=1,M3913&gt;=H3913*(1-Assumptions!$C$8)),1,0)</f>
        <v/>
      </c>
      <c r="X3913">
        <f>IF(AND(U3913=1,N3913&gt;=H3913*(1-Assumptions!$C$8)),1,0)</f>
        <v/>
      </c>
      <c r="Y3913">
        <f>IF(ISNUMBER(Q3913),1,0)</f>
        <v/>
      </c>
      <c r="Z3913">
        <f>IF(AND(K3913=0,L3913=0,Y3913=0),1,0)</f>
        <v/>
      </c>
      <c r="AA3913">
        <f>IF(AND(Z3913=1,G3913&lt;Assumptions!$C$6),1,0)</f>
        <v/>
      </c>
      <c r="AB3913">
        <f>IF(U3913=0,"",IF(Y3913=1,MAX(0,Q3913-G3913),IF(L3913=1,MAX(0,R3913-G3913),MAX(0,Assumptions!$C$6-G3913))))</f>
        <v/>
      </c>
      <c r="AC3913">
        <f>IF(Y3913=1,Q3913-F3913,"")</f>
        <v/>
      </c>
      <c r="AD3913">
        <f>IF(Y3913=1,AC3913^2,"")</f>
        <v/>
      </c>
      <c r="AE3913" s="19">
        <f>IF(Z3913=1,(H3913-M3913)*I3913,0)</f>
        <v/>
      </c>
      <c r="AF3913">
        <f>IF(G3913&lt;EDATE(Assumptions!$C$6,-12)+1,"prior_12m","last_12m")</f>
        <v/>
      </c>
      <c r="AG3913" s="21">
        <f>DATE(YEAR(G3913),MONTH(G3913),1)</f>
        <v/>
      </c>
    </row>
    <row r="3914">
      <c r="A3914" t="inlineStr">
        <is>
          <t>SPO-02083-1</t>
        </is>
      </c>
      <c r="B3914" t="inlineStr">
        <is>
          <t>SPO-02083</t>
        </is>
      </c>
      <c r="C3914" t="inlineStr">
        <is>
          <t>SUP-11</t>
        </is>
      </c>
      <c r="D3914" t="inlineStr">
        <is>
          <t>PPE</t>
        </is>
      </c>
      <c r="E3914" t="inlineStr">
        <is>
          <t>PPE-07</t>
        </is>
      </c>
      <c r="F3914" s="17" t="n">
        <v>46147</v>
      </c>
      <c r="G3914" s="17" t="n">
        <v>46159</v>
      </c>
      <c r="H3914" s="18" t="n">
        <v>64</v>
      </c>
      <c r="I3914" s="19" t="n">
        <v>30.2</v>
      </c>
      <c r="J3914" s="19" t="n">
        <v>31</v>
      </c>
      <c r="K3914" s="20" t="n">
        <v>0</v>
      </c>
      <c r="L3914" s="20" t="n">
        <v>0</v>
      </c>
      <c r="M3914" s="18" t="n">
        <v>64</v>
      </c>
      <c r="N3914" s="18" t="n">
        <v>0</v>
      </c>
      <c r="O3914" s="18" t="n">
        <v>0</v>
      </c>
      <c r="P3914" s="17" t="n">
        <v>46160</v>
      </c>
      <c r="Q3914" s="17" t="n">
        <v>46160</v>
      </c>
      <c r="R3914" s="17" t="n">
        <v>46160</v>
      </c>
      <c r="S3914" s="19">
        <f>H3914*I3914</f>
        <v/>
      </c>
      <c r="T3914" s="19">
        <f>H3914*J3914</f>
        <v/>
      </c>
      <c r="U3914">
        <f>IF(AND(K3914=0,G3914&lt;=Assumptions!$C$6),1,0)</f>
        <v/>
      </c>
      <c r="V3914">
        <f>IF(U3914=1,IF(M3914&gt;0,IF(P3914&lt;=G3914+Assumptions!$C$7,1,0),0),0)</f>
        <v/>
      </c>
      <c r="W3914">
        <f>IF(AND(U3914=1,M3914&gt;=H3914*(1-Assumptions!$C$8)),1,0)</f>
        <v/>
      </c>
      <c r="X3914">
        <f>IF(AND(U3914=1,N3914&gt;=H3914*(1-Assumptions!$C$8)),1,0)</f>
        <v/>
      </c>
      <c r="Y3914">
        <f>IF(ISNUMBER(Q3914),1,0)</f>
        <v/>
      </c>
      <c r="Z3914">
        <f>IF(AND(K3914=0,L3914=0,Y3914=0),1,0)</f>
        <v/>
      </c>
      <c r="AA3914">
        <f>IF(AND(Z3914=1,G3914&lt;Assumptions!$C$6),1,0)</f>
        <v/>
      </c>
      <c r="AB3914">
        <f>IF(U3914=0,"",IF(Y3914=1,MAX(0,Q3914-G3914),IF(L3914=1,MAX(0,R3914-G3914),MAX(0,Assumptions!$C$6-G3914))))</f>
        <v/>
      </c>
      <c r="AC3914">
        <f>IF(Y3914=1,Q3914-F3914,"")</f>
        <v/>
      </c>
      <c r="AD3914">
        <f>IF(Y3914=1,AC3914^2,"")</f>
        <v/>
      </c>
      <c r="AE3914" s="19">
        <f>IF(Z3914=1,(H3914-M3914)*I3914,0)</f>
        <v/>
      </c>
      <c r="AF3914">
        <f>IF(G3914&lt;EDATE(Assumptions!$C$6,-12)+1,"prior_12m","last_12m")</f>
        <v/>
      </c>
      <c r="AG3914" s="21">
        <f>DATE(YEAR(G3914),MONTH(G3914),1)</f>
        <v/>
      </c>
    </row>
    <row r="3915">
      <c r="A3915" t="inlineStr">
        <is>
          <t>SPO-02084-1</t>
        </is>
      </c>
      <c r="B3915" t="inlineStr">
        <is>
          <t>SPO-02084</t>
        </is>
      </c>
      <c r="C3915" t="inlineStr">
        <is>
          <t>SUP-01</t>
        </is>
      </c>
      <c r="D3915" t="inlineStr">
        <is>
          <t>ELEC</t>
        </is>
      </c>
      <c r="E3915" t="inlineStr">
        <is>
          <t>ELEC-08</t>
        </is>
      </c>
      <c r="F3915" s="17" t="n">
        <v>46147</v>
      </c>
      <c r="G3915" s="17" t="n">
        <v>46165</v>
      </c>
      <c r="H3915" s="18" t="n">
        <v>92</v>
      </c>
      <c r="I3915" s="19" t="n">
        <v>17.39</v>
      </c>
      <c r="J3915" s="19" t="n">
        <v>18</v>
      </c>
      <c r="K3915" s="20" t="n">
        <v>0</v>
      </c>
      <c r="L3915" s="20" t="n">
        <v>0</v>
      </c>
      <c r="M3915" s="18" t="n">
        <v>92</v>
      </c>
      <c r="N3915" s="18" t="n">
        <v>0</v>
      </c>
      <c r="O3915" s="18" t="n">
        <v>0</v>
      </c>
      <c r="P3915" s="17" t="n">
        <v>46170</v>
      </c>
      <c r="Q3915" s="17" t="n">
        <v>46170</v>
      </c>
      <c r="R3915" s="17" t="n">
        <v>46170</v>
      </c>
      <c r="S3915" s="19">
        <f>H3915*I3915</f>
        <v/>
      </c>
      <c r="T3915" s="19">
        <f>H3915*J3915</f>
        <v/>
      </c>
      <c r="U3915">
        <f>IF(AND(K3915=0,G3915&lt;=Assumptions!$C$6),1,0)</f>
        <v/>
      </c>
      <c r="V3915">
        <f>IF(U3915=1,IF(M3915&gt;0,IF(P3915&lt;=G3915+Assumptions!$C$7,1,0),0),0)</f>
        <v/>
      </c>
      <c r="W3915">
        <f>IF(AND(U3915=1,M3915&gt;=H3915*(1-Assumptions!$C$8)),1,0)</f>
        <v/>
      </c>
      <c r="X3915">
        <f>IF(AND(U3915=1,N3915&gt;=H3915*(1-Assumptions!$C$8)),1,0)</f>
        <v/>
      </c>
      <c r="Y3915">
        <f>IF(ISNUMBER(Q3915),1,0)</f>
        <v/>
      </c>
      <c r="Z3915">
        <f>IF(AND(K3915=0,L3915=0,Y3915=0),1,0)</f>
        <v/>
      </c>
      <c r="AA3915">
        <f>IF(AND(Z3915=1,G3915&lt;Assumptions!$C$6),1,0)</f>
        <v/>
      </c>
      <c r="AB3915">
        <f>IF(U3915=0,"",IF(Y3915=1,MAX(0,Q3915-G3915),IF(L3915=1,MAX(0,R3915-G3915),MAX(0,Assumptions!$C$6-G3915))))</f>
        <v/>
      </c>
      <c r="AC3915">
        <f>IF(Y3915=1,Q3915-F3915,"")</f>
        <v/>
      </c>
      <c r="AD3915">
        <f>IF(Y3915=1,AC3915^2,"")</f>
        <v/>
      </c>
      <c r="AE3915" s="19">
        <f>IF(Z3915=1,(H3915-M3915)*I3915,0)</f>
        <v/>
      </c>
      <c r="AF3915">
        <f>IF(G3915&lt;EDATE(Assumptions!$C$6,-12)+1,"prior_12m","last_12m")</f>
        <v/>
      </c>
      <c r="AG3915" s="21">
        <f>DATE(YEAR(G3915),MONTH(G3915),1)</f>
        <v/>
      </c>
    </row>
    <row r="3916">
      <c r="A3916" t="inlineStr">
        <is>
          <t>SPO-02085-1</t>
        </is>
      </c>
      <c r="B3916" t="inlineStr">
        <is>
          <t>SPO-02085</t>
        </is>
      </c>
      <c r="C3916" t="inlineStr">
        <is>
          <t>SUP-08</t>
        </is>
      </c>
      <c r="D3916" t="inlineStr">
        <is>
          <t>MRO</t>
        </is>
      </c>
      <c r="E3916" t="inlineStr">
        <is>
          <t>MRO-08</t>
        </is>
      </c>
      <c r="F3916" s="17" t="n">
        <v>46148</v>
      </c>
      <c r="G3916" s="17" t="n">
        <v>46159</v>
      </c>
      <c r="H3916" s="18" t="n">
        <v>195</v>
      </c>
      <c r="I3916" s="19" t="n">
        <v>7.33</v>
      </c>
      <c r="J3916" s="19" t="n">
        <v>7.2</v>
      </c>
      <c r="K3916" s="20" t="n">
        <v>0</v>
      </c>
      <c r="L3916" s="20" t="n">
        <v>0</v>
      </c>
      <c r="M3916" s="18" t="n">
        <v>195</v>
      </c>
      <c r="N3916" s="18" t="n">
        <v>195</v>
      </c>
      <c r="O3916" s="18" t="n">
        <v>0</v>
      </c>
      <c r="P3916" s="17" t="n">
        <v>46157</v>
      </c>
      <c r="Q3916" s="17" t="n">
        <v>46157</v>
      </c>
      <c r="R3916" s="17" t="n">
        <v>46157</v>
      </c>
      <c r="S3916" s="19">
        <f>H3916*I3916</f>
        <v/>
      </c>
      <c r="T3916" s="19">
        <f>H3916*J3916</f>
        <v/>
      </c>
      <c r="U3916">
        <f>IF(AND(K3916=0,G3916&lt;=Assumptions!$C$6),1,0)</f>
        <v/>
      </c>
      <c r="V3916">
        <f>IF(U3916=1,IF(M3916&gt;0,IF(P3916&lt;=G3916+Assumptions!$C$7,1,0),0),0)</f>
        <v/>
      </c>
      <c r="W3916">
        <f>IF(AND(U3916=1,M3916&gt;=H3916*(1-Assumptions!$C$8)),1,0)</f>
        <v/>
      </c>
      <c r="X3916">
        <f>IF(AND(U3916=1,N3916&gt;=H3916*(1-Assumptions!$C$8)),1,0)</f>
        <v/>
      </c>
      <c r="Y3916">
        <f>IF(ISNUMBER(Q3916),1,0)</f>
        <v/>
      </c>
      <c r="Z3916">
        <f>IF(AND(K3916=0,L3916=0,Y3916=0),1,0)</f>
        <v/>
      </c>
      <c r="AA3916">
        <f>IF(AND(Z3916=1,G3916&lt;Assumptions!$C$6),1,0)</f>
        <v/>
      </c>
      <c r="AB3916">
        <f>IF(U3916=0,"",IF(Y3916=1,MAX(0,Q3916-G3916),IF(L3916=1,MAX(0,R3916-G3916),MAX(0,Assumptions!$C$6-G3916))))</f>
        <v/>
      </c>
      <c r="AC3916">
        <f>IF(Y3916=1,Q3916-F3916,"")</f>
        <v/>
      </c>
      <c r="AD3916">
        <f>IF(Y3916=1,AC3916^2,"")</f>
        <v/>
      </c>
      <c r="AE3916" s="19">
        <f>IF(Z3916=1,(H3916-M3916)*I3916,0)</f>
        <v/>
      </c>
      <c r="AF3916">
        <f>IF(G3916&lt;EDATE(Assumptions!$C$6,-12)+1,"prior_12m","last_12m")</f>
        <v/>
      </c>
      <c r="AG3916" s="21">
        <f>DATE(YEAR(G3916),MONTH(G3916),1)</f>
        <v/>
      </c>
    </row>
    <row r="3917">
      <c r="A3917" t="inlineStr">
        <is>
          <t>SPO-02085-2</t>
        </is>
      </c>
      <c r="B3917" t="inlineStr">
        <is>
          <t>SPO-02085</t>
        </is>
      </c>
      <c r="C3917" t="inlineStr">
        <is>
          <t>SUP-08</t>
        </is>
      </c>
      <c r="D3917" t="inlineStr">
        <is>
          <t>MRO</t>
        </is>
      </c>
      <c r="E3917" t="inlineStr">
        <is>
          <t>MRO-01</t>
        </is>
      </c>
      <c r="F3917" s="17" t="n">
        <v>46148</v>
      </c>
      <c r="G3917" s="17" t="n">
        <v>46159</v>
      </c>
      <c r="H3917" s="18" t="n">
        <v>27</v>
      </c>
      <c r="I3917" s="19" t="n">
        <v>52.02</v>
      </c>
      <c r="J3917" s="19" t="n">
        <v>52</v>
      </c>
      <c r="K3917" s="20" t="n">
        <v>0</v>
      </c>
      <c r="L3917" s="20" t="n">
        <v>0</v>
      </c>
      <c r="M3917" s="18" t="n">
        <v>27</v>
      </c>
      <c r="N3917" s="18" t="n">
        <v>27</v>
      </c>
      <c r="O3917" s="18" t="n">
        <v>0</v>
      </c>
      <c r="P3917" s="17" t="n">
        <v>46159</v>
      </c>
      <c r="Q3917" s="17" t="n">
        <v>46159</v>
      </c>
      <c r="R3917" s="17" t="n">
        <v>46159</v>
      </c>
      <c r="S3917" s="19">
        <f>H3917*I3917</f>
        <v/>
      </c>
      <c r="T3917" s="19">
        <f>H3917*J3917</f>
        <v/>
      </c>
      <c r="U3917">
        <f>IF(AND(K3917=0,G3917&lt;=Assumptions!$C$6),1,0)</f>
        <v/>
      </c>
      <c r="V3917">
        <f>IF(U3917=1,IF(M3917&gt;0,IF(P3917&lt;=G3917+Assumptions!$C$7,1,0),0),0)</f>
        <v/>
      </c>
      <c r="W3917">
        <f>IF(AND(U3917=1,M3917&gt;=H3917*(1-Assumptions!$C$8)),1,0)</f>
        <v/>
      </c>
      <c r="X3917">
        <f>IF(AND(U3917=1,N3917&gt;=H3917*(1-Assumptions!$C$8)),1,0)</f>
        <v/>
      </c>
      <c r="Y3917">
        <f>IF(ISNUMBER(Q3917),1,0)</f>
        <v/>
      </c>
      <c r="Z3917">
        <f>IF(AND(K3917=0,L3917=0,Y3917=0),1,0)</f>
        <v/>
      </c>
      <c r="AA3917">
        <f>IF(AND(Z3917=1,G3917&lt;Assumptions!$C$6),1,0)</f>
        <v/>
      </c>
      <c r="AB3917">
        <f>IF(U3917=0,"",IF(Y3917=1,MAX(0,Q3917-G3917),IF(L3917=1,MAX(0,R3917-G3917),MAX(0,Assumptions!$C$6-G3917))))</f>
        <v/>
      </c>
      <c r="AC3917">
        <f>IF(Y3917=1,Q3917-F3917,"")</f>
        <v/>
      </c>
      <c r="AD3917">
        <f>IF(Y3917=1,AC3917^2,"")</f>
        <v/>
      </c>
      <c r="AE3917" s="19">
        <f>IF(Z3917=1,(H3917-M3917)*I3917,0)</f>
        <v/>
      </c>
      <c r="AF3917">
        <f>IF(G3917&lt;EDATE(Assumptions!$C$6,-12)+1,"prior_12m","last_12m")</f>
        <v/>
      </c>
      <c r="AG3917" s="21">
        <f>DATE(YEAR(G3917),MONTH(G3917),1)</f>
        <v/>
      </c>
    </row>
    <row r="3918">
      <c r="A3918" t="inlineStr">
        <is>
          <t>SPO-02086-1</t>
        </is>
      </c>
      <c r="B3918" t="inlineStr">
        <is>
          <t>SPO-02086</t>
        </is>
      </c>
      <c r="C3918" t="inlineStr">
        <is>
          <t>SUP-10</t>
        </is>
      </c>
      <c r="D3918" t="inlineStr">
        <is>
          <t>PPE</t>
        </is>
      </c>
      <c r="E3918" t="inlineStr">
        <is>
          <t>PPE-06</t>
        </is>
      </c>
      <c r="F3918" s="17" t="n">
        <v>46148</v>
      </c>
      <c r="G3918" s="17" t="n">
        <v>46161</v>
      </c>
      <c r="H3918" s="18" t="n">
        <v>20</v>
      </c>
      <c r="I3918" s="19" t="n">
        <v>116.59</v>
      </c>
      <c r="J3918" s="19" t="n">
        <v>115</v>
      </c>
      <c r="K3918" s="20" t="n">
        <v>0</v>
      </c>
      <c r="L3918" s="20" t="n">
        <v>0</v>
      </c>
      <c r="M3918" s="18" t="n">
        <v>20</v>
      </c>
      <c r="N3918" s="18" t="n">
        <v>20</v>
      </c>
      <c r="O3918" s="18" t="n">
        <v>0</v>
      </c>
      <c r="P3918" s="17" t="n">
        <v>46156</v>
      </c>
      <c r="Q3918" s="17" t="n">
        <v>46156</v>
      </c>
      <c r="R3918" s="17" t="n">
        <v>46156</v>
      </c>
      <c r="S3918" s="19">
        <f>H3918*I3918</f>
        <v/>
      </c>
      <c r="T3918" s="19">
        <f>H3918*J3918</f>
        <v/>
      </c>
      <c r="U3918">
        <f>IF(AND(K3918=0,G3918&lt;=Assumptions!$C$6),1,0)</f>
        <v/>
      </c>
      <c r="V3918">
        <f>IF(U3918=1,IF(M3918&gt;0,IF(P3918&lt;=G3918+Assumptions!$C$7,1,0),0),0)</f>
        <v/>
      </c>
      <c r="W3918">
        <f>IF(AND(U3918=1,M3918&gt;=H3918*(1-Assumptions!$C$8)),1,0)</f>
        <v/>
      </c>
      <c r="X3918">
        <f>IF(AND(U3918=1,N3918&gt;=H3918*(1-Assumptions!$C$8)),1,0)</f>
        <v/>
      </c>
      <c r="Y3918">
        <f>IF(ISNUMBER(Q3918),1,0)</f>
        <v/>
      </c>
      <c r="Z3918">
        <f>IF(AND(K3918=0,L3918=0,Y3918=0),1,0)</f>
        <v/>
      </c>
      <c r="AA3918">
        <f>IF(AND(Z3918=1,G3918&lt;Assumptions!$C$6),1,0)</f>
        <v/>
      </c>
      <c r="AB3918">
        <f>IF(U3918=0,"",IF(Y3918=1,MAX(0,Q3918-G3918),IF(L3918=1,MAX(0,R3918-G3918),MAX(0,Assumptions!$C$6-G3918))))</f>
        <v/>
      </c>
      <c r="AC3918">
        <f>IF(Y3918=1,Q3918-F3918,"")</f>
        <v/>
      </c>
      <c r="AD3918">
        <f>IF(Y3918=1,AC3918^2,"")</f>
        <v/>
      </c>
      <c r="AE3918" s="19">
        <f>IF(Z3918=1,(H3918-M3918)*I3918,0)</f>
        <v/>
      </c>
      <c r="AF3918">
        <f>IF(G3918&lt;EDATE(Assumptions!$C$6,-12)+1,"prior_12m","last_12m")</f>
        <v/>
      </c>
      <c r="AG3918" s="21">
        <f>DATE(YEAR(G3918),MONTH(G3918),1)</f>
        <v/>
      </c>
    </row>
    <row r="3919">
      <c r="A3919" t="inlineStr">
        <is>
          <t>SPO-02087-1</t>
        </is>
      </c>
      <c r="B3919" t="inlineStr">
        <is>
          <t>SPO-02087</t>
        </is>
      </c>
      <c r="C3919" t="inlineStr">
        <is>
          <t>SUP-04</t>
        </is>
      </c>
      <c r="D3919" t="inlineStr">
        <is>
          <t>FLEET</t>
        </is>
      </c>
      <c r="E3919" t="inlineStr">
        <is>
          <t>FLEET-03</t>
        </is>
      </c>
      <c r="F3919" s="17" t="n">
        <v>46148</v>
      </c>
      <c r="G3919" s="17" t="n">
        <v>46161</v>
      </c>
      <c r="H3919" s="18" t="n">
        <v>124</v>
      </c>
      <c r="I3919" s="19" t="n">
        <v>20.08</v>
      </c>
      <c r="J3919" s="19" t="n">
        <v>21</v>
      </c>
      <c r="K3919" s="20" t="n">
        <v>0</v>
      </c>
      <c r="L3919" s="20" t="n">
        <v>0</v>
      </c>
      <c r="M3919" s="18" t="n">
        <v>124</v>
      </c>
      <c r="N3919" s="18" t="n">
        <v>124</v>
      </c>
      <c r="O3919" s="18" t="n">
        <v>0</v>
      </c>
      <c r="P3919" s="17" t="n">
        <v>46157</v>
      </c>
      <c r="Q3919" s="17" t="n">
        <v>46157</v>
      </c>
      <c r="R3919" s="17" t="n">
        <v>46157</v>
      </c>
      <c r="S3919" s="19">
        <f>H3919*I3919</f>
        <v/>
      </c>
      <c r="T3919" s="19">
        <f>H3919*J3919</f>
        <v/>
      </c>
      <c r="U3919">
        <f>IF(AND(K3919=0,G3919&lt;=Assumptions!$C$6),1,0)</f>
        <v/>
      </c>
      <c r="V3919">
        <f>IF(U3919=1,IF(M3919&gt;0,IF(P3919&lt;=G3919+Assumptions!$C$7,1,0),0),0)</f>
        <v/>
      </c>
      <c r="W3919">
        <f>IF(AND(U3919=1,M3919&gt;=H3919*(1-Assumptions!$C$8)),1,0)</f>
        <v/>
      </c>
      <c r="X3919">
        <f>IF(AND(U3919=1,N3919&gt;=H3919*(1-Assumptions!$C$8)),1,0)</f>
        <v/>
      </c>
      <c r="Y3919">
        <f>IF(ISNUMBER(Q3919),1,0)</f>
        <v/>
      </c>
      <c r="Z3919">
        <f>IF(AND(K3919=0,L3919=0,Y3919=0),1,0)</f>
        <v/>
      </c>
      <c r="AA3919">
        <f>IF(AND(Z3919=1,G3919&lt;Assumptions!$C$6),1,0)</f>
        <v/>
      </c>
      <c r="AB3919">
        <f>IF(U3919=0,"",IF(Y3919=1,MAX(0,Q3919-G3919),IF(L3919=1,MAX(0,R3919-G3919),MAX(0,Assumptions!$C$6-G3919))))</f>
        <v/>
      </c>
      <c r="AC3919">
        <f>IF(Y3919=1,Q3919-F3919,"")</f>
        <v/>
      </c>
      <c r="AD3919">
        <f>IF(Y3919=1,AC3919^2,"")</f>
        <v/>
      </c>
      <c r="AE3919" s="19">
        <f>IF(Z3919=1,(H3919-M3919)*I3919,0)</f>
        <v/>
      </c>
      <c r="AF3919">
        <f>IF(G3919&lt;EDATE(Assumptions!$C$6,-12)+1,"prior_12m","last_12m")</f>
        <v/>
      </c>
      <c r="AG3919" s="21">
        <f>DATE(YEAR(G3919),MONTH(G3919),1)</f>
        <v/>
      </c>
    </row>
    <row r="3920">
      <c r="A3920" t="inlineStr">
        <is>
          <t>SPO-02087-2</t>
        </is>
      </c>
      <c r="B3920" t="inlineStr">
        <is>
          <t>SPO-02087</t>
        </is>
      </c>
      <c r="C3920" t="inlineStr">
        <is>
          <t>SUP-04</t>
        </is>
      </c>
      <c r="D3920" t="inlineStr">
        <is>
          <t>FLEET</t>
        </is>
      </c>
      <c r="E3920" t="inlineStr">
        <is>
          <t>FLEET-06</t>
        </is>
      </c>
      <c r="F3920" s="17" t="n">
        <v>46148</v>
      </c>
      <c r="G3920" s="17" t="n">
        <v>46161</v>
      </c>
      <c r="H3920" s="18" t="n">
        <v>30</v>
      </c>
      <c r="I3920" s="19" t="n">
        <v>33.14</v>
      </c>
      <c r="J3920" s="19" t="n">
        <v>33</v>
      </c>
      <c r="K3920" s="20" t="n">
        <v>0</v>
      </c>
      <c r="L3920" s="20" t="n">
        <v>0</v>
      </c>
      <c r="M3920" s="18" t="n">
        <v>30</v>
      </c>
      <c r="N3920" s="18" t="n">
        <v>0</v>
      </c>
      <c r="O3920" s="18" t="n">
        <v>0</v>
      </c>
      <c r="P3920" s="17" t="n">
        <v>46170</v>
      </c>
      <c r="Q3920" s="17" t="n">
        <v>46170</v>
      </c>
      <c r="R3920" s="17" t="n">
        <v>46170</v>
      </c>
      <c r="S3920" s="19">
        <f>H3920*I3920</f>
        <v/>
      </c>
      <c r="T3920" s="19">
        <f>H3920*J3920</f>
        <v/>
      </c>
      <c r="U3920">
        <f>IF(AND(K3920=0,G3920&lt;=Assumptions!$C$6),1,0)</f>
        <v/>
      </c>
      <c r="V3920">
        <f>IF(U3920=1,IF(M3920&gt;0,IF(P3920&lt;=G3920+Assumptions!$C$7,1,0),0),0)</f>
        <v/>
      </c>
      <c r="W3920">
        <f>IF(AND(U3920=1,M3920&gt;=H3920*(1-Assumptions!$C$8)),1,0)</f>
        <v/>
      </c>
      <c r="X3920">
        <f>IF(AND(U3920=1,N3920&gt;=H3920*(1-Assumptions!$C$8)),1,0)</f>
        <v/>
      </c>
      <c r="Y3920">
        <f>IF(ISNUMBER(Q3920),1,0)</f>
        <v/>
      </c>
      <c r="Z3920">
        <f>IF(AND(K3920=0,L3920=0,Y3920=0),1,0)</f>
        <v/>
      </c>
      <c r="AA3920">
        <f>IF(AND(Z3920=1,G3920&lt;Assumptions!$C$6),1,0)</f>
        <v/>
      </c>
      <c r="AB3920">
        <f>IF(U3920=0,"",IF(Y3920=1,MAX(0,Q3920-G3920),IF(L3920=1,MAX(0,R3920-G3920),MAX(0,Assumptions!$C$6-G3920))))</f>
        <v/>
      </c>
      <c r="AC3920">
        <f>IF(Y3920=1,Q3920-F3920,"")</f>
        <v/>
      </c>
      <c r="AD3920">
        <f>IF(Y3920=1,AC3920^2,"")</f>
        <v/>
      </c>
      <c r="AE3920" s="19">
        <f>IF(Z3920=1,(H3920-M3920)*I3920,0)</f>
        <v/>
      </c>
      <c r="AF3920">
        <f>IF(G3920&lt;EDATE(Assumptions!$C$6,-12)+1,"prior_12m","last_12m")</f>
        <v/>
      </c>
      <c r="AG3920" s="21">
        <f>DATE(YEAR(G3920),MONTH(G3920),1)</f>
        <v/>
      </c>
    </row>
    <row r="3921">
      <c r="A3921" t="inlineStr">
        <is>
          <t>SPO-02087-3</t>
        </is>
      </c>
      <c r="B3921" t="inlineStr">
        <is>
          <t>SPO-02087</t>
        </is>
      </c>
      <c r="C3921" t="inlineStr">
        <is>
          <t>SUP-04</t>
        </is>
      </c>
      <c r="D3921" t="inlineStr">
        <is>
          <t>FLEET</t>
        </is>
      </c>
      <c r="E3921" t="inlineStr">
        <is>
          <t>FLEET-07</t>
        </is>
      </c>
      <c r="F3921" s="17" t="n">
        <v>46148</v>
      </c>
      <c r="G3921" s="17" t="n">
        <v>46161</v>
      </c>
      <c r="H3921" s="18" t="n">
        <v>20</v>
      </c>
      <c r="I3921" s="19" t="n">
        <v>118.39</v>
      </c>
      <c r="J3921" s="19" t="n">
        <v>118</v>
      </c>
      <c r="K3921" s="20" t="n">
        <v>0</v>
      </c>
      <c r="L3921" s="20" t="n">
        <v>0</v>
      </c>
      <c r="M3921" s="18" t="n">
        <v>20</v>
      </c>
      <c r="N3921" s="18" t="n">
        <v>0</v>
      </c>
      <c r="O3921" s="18" t="n">
        <v>0</v>
      </c>
      <c r="P3921" s="17" t="n">
        <v>46166</v>
      </c>
      <c r="Q3921" s="17" t="n">
        <v>46166</v>
      </c>
      <c r="R3921" s="17" t="n">
        <v>46166</v>
      </c>
      <c r="S3921" s="19">
        <f>H3921*I3921</f>
        <v/>
      </c>
      <c r="T3921" s="19">
        <f>H3921*J3921</f>
        <v/>
      </c>
      <c r="U3921">
        <f>IF(AND(K3921=0,G3921&lt;=Assumptions!$C$6),1,0)</f>
        <v/>
      </c>
      <c r="V3921">
        <f>IF(U3921=1,IF(M3921&gt;0,IF(P3921&lt;=G3921+Assumptions!$C$7,1,0),0),0)</f>
        <v/>
      </c>
      <c r="W3921">
        <f>IF(AND(U3921=1,M3921&gt;=H3921*(1-Assumptions!$C$8)),1,0)</f>
        <v/>
      </c>
      <c r="X3921">
        <f>IF(AND(U3921=1,N3921&gt;=H3921*(1-Assumptions!$C$8)),1,0)</f>
        <v/>
      </c>
      <c r="Y3921">
        <f>IF(ISNUMBER(Q3921),1,0)</f>
        <v/>
      </c>
      <c r="Z3921">
        <f>IF(AND(K3921=0,L3921=0,Y3921=0),1,0)</f>
        <v/>
      </c>
      <c r="AA3921">
        <f>IF(AND(Z3921=1,G3921&lt;Assumptions!$C$6),1,0)</f>
        <v/>
      </c>
      <c r="AB3921">
        <f>IF(U3921=0,"",IF(Y3921=1,MAX(0,Q3921-G3921),IF(L3921=1,MAX(0,R3921-G3921),MAX(0,Assumptions!$C$6-G3921))))</f>
        <v/>
      </c>
      <c r="AC3921">
        <f>IF(Y3921=1,Q3921-F3921,"")</f>
        <v/>
      </c>
      <c r="AD3921">
        <f>IF(Y3921=1,AC3921^2,"")</f>
        <v/>
      </c>
      <c r="AE3921" s="19">
        <f>IF(Z3921=1,(H3921-M3921)*I3921,0)</f>
        <v/>
      </c>
      <c r="AF3921">
        <f>IF(G3921&lt;EDATE(Assumptions!$C$6,-12)+1,"prior_12m","last_12m")</f>
        <v/>
      </c>
      <c r="AG3921" s="21">
        <f>DATE(YEAR(G3921),MONTH(G3921),1)</f>
        <v/>
      </c>
    </row>
    <row r="3922">
      <c r="A3922" t="inlineStr">
        <is>
          <t>SPO-02088-1</t>
        </is>
      </c>
      <c r="B3922" t="inlineStr">
        <is>
          <t>SPO-02088</t>
        </is>
      </c>
      <c r="C3922" t="inlineStr">
        <is>
          <t>SUP-06</t>
        </is>
      </c>
      <c r="D3922" t="inlineStr">
        <is>
          <t>MRO</t>
        </is>
      </c>
      <c r="E3922" t="inlineStr">
        <is>
          <t>MRO-08</t>
        </is>
      </c>
      <c r="F3922" s="17" t="n">
        <v>46148</v>
      </c>
      <c r="G3922" s="17" t="n">
        <v>46156</v>
      </c>
      <c r="H3922" s="18" t="n">
        <v>291</v>
      </c>
      <c r="I3922" s="19" t="n">
        <v>7.02</v>
      </c>
      <c r="J3922" s="19" t="n">
        <v>7.2</v>
      </c>
      <c r="K3922" s="20" t="n">
        <v>0</v>
      </c>
      <c r="L3922" s="20" t="n">
        <v>0</v>
      </c>
      <c r="M3922" s="18" t="n">
        <v>291</v>
      </c>
      <c r="N3922" s="18" t="n">
        <v>291</v>
      </c>
      <c r="O3922" s="18" t="n">
        <v>0</v>
      </c>
      <c r="P3922" s="17" t="n">
        <v>46154</v>
      </c>
      <c r="Q3922" s="17" t="n">
        <v>46154</v>
      </c>
      <c r="R3922" s="17" t="n">
        <v>46154</v>
      </c>
      <c r="S3922" s="19">
        <f>H3922*I3922</f>
        <v/>
      </c>
      <c r="T3922" s="19">
        <f>H3922*J3922</f>
        <v/>
      </c>
      <c r="U3922">
        <f>IF(AND(K3922=0,G3922&lt;=Assumptions!$C$6),1,0)</f>
        <v/>
      </c>
      <c r="V3922">
        <f>IF(U3922=1,IF(M3922&gt;0,IF(P3922&lt;=G3922+Assumptions!$C$7,1,0),0),0)</f>
        <v/>
      </c>
      <c r="W3922">
        <f>IF(AND(U3922=1,M3922&gt;=H3922*(1-Assumptions!$C$8)),1,0)</f>
        <v/>
      </c>
      <c r="X3922">
        <f>IF(AND(U3922=1,N3922&gt;=H3922*(1-Assumptions!$C$8)),1,0)</f>
        <v/>
      </c>
      <c r="Y3922">
        <f>IF(ISNUMBER(Q3922),1,0)</f>
        <v/>
      </c>
      <c r="Z3922">
        <f>IF(AND(K3922=0,L3922=0,Y3922=0),1,0)</f>
        <v/>
      </c>
      <c r="AA3922">
        <f>IF(AND(Z3922=1,G3922&lt;Assumptions!$C$6),1,0)</f>
        <v/>
      </c>
      <c r="AB3922">
        <f>IF(U3922=0,"",IF(Y3922=1,MAX(0,Q3922-G3922),IF(L3922=1,MAX(0,R3922-G3922),MAX(0,Assumptions!$C$6-G3922))))</f>
        <v/>
      </c>
      <c r="AC3922">
        <f>IF(Y3922=1,Q3922-F3922,"")</f>
        <v/>
      </c>
      <c r="AD3922">
        <f>IF(Y3922=1,AC3922^2,"")</f>
        <v/>
      </c>
      <c r="AE3922" s="19">
        <f>IF(Z3922=1,(H3922-M3922)*I3922,0)</f>
        <v/>
      </c>
      <c r="AF3922">
        <f>IF(G3922&lt;EDATE(Assumptions!$C$6,-12)+1,"prior_12m","last_12m")</f>
        <v/>
      </c>
      <c r="AG3922" s="21">
        <f>DATE(YEAR(G3922),MONTH(G3922),1)</f>
        <v/>
      </c>
    </row>
    <row r="3923">
      <c r="A3923" t="inlineStr">
        <is>
          <t>SPO-02089-1</t>
        </is>
      </c>
      <c r="B3923" t="inlineStr">
        <is>
          <t>SPO-02089</t>
        </is>
      </c>
      <c r="C3923" t="inlineStr">
        <is>
          <t>SUP-08</t>
        </is>
      </c>
      <c r="D3923" t="inlineStr">
        <is>
          <t>MRO</t>
        </is>
      </c>
      <c r="E3923" t="inlineStr">
        <is>
          <t>MRO-05</t>
        </is>
      </c>
      <c r="F3923" s="17" t="n">
        <v>46149</v>
      </c>
      <c r="G3923" s="17" t="n">
        <v>46160</v>
      </c>
      <c r="H3923" s="18" t="n">
        <v>95</v>
      </c>
      <c r="I3923" s="19" t="n">
        <v>36.1</v>
      </c>
      <c r="J3923" s="19" t="n">
        <v>36</v>
      </c>
      <c r="K3923" s="20" t="n">
        <v>0</v>
      </c>
      <c r="L3923" s="20" t="n">
        <v>0</v>
      </c>
      <c r="M3923" s="18" t="n">
        <v>95</v>
      </c>
      <c r="N3923" s="18" t="n">
        <v>95</v>
      </c>
      <c r="O3923" s="18" t="n">
        <v>0</v>
      </c>
      <c r="P3923" s="17" t="n">
        <v>46157</v>
      </c>
      <c r="Q3923" s="17" t="n">
        <v>46157</v>
      </c>
      <c r="R3923" s="17" t="n">
        <v>46157</v>
      </c>
      <c r="S3923" s="19">
        <f>H3923*I3923</f>
        <v/>
      </c>
      <c r="T3923" s="19">
        <f>H3923*J3923</f>
        <v/>
      </c>
      <c r="U3923">
        <f>IF(AND(K3923=0,G3923&lt;=Assumptions!$C$6),1,0)</f>
        <v/>
      </c>
      <c r="V3923">
        <f>IF(U3923=1,IF(M3923&gt;0,IF(P3923&lt;=G3923+Assumptions!$C$7,1,0),0),0)</f>
        <v/>
      </c>
      <c r="W3923">
        <f>IF(AND(U3923=1,M3923&gt;=H3923*(1-Assumptions!$C$8)),1,0)</f>
        <v/>
      </c>
      <c r="X3923">
        <f>IF(AND(U3923=1,N3923&gt;=H3923*(1-Assumptions!$C$8)),1,0)</f>
        <v/>
      </c>
      <c r="Y3923">
        <f>IF(ISNUMBER(Q3923),1,0)</f>
        <v/>
      </c>
      <c r="Z3923">
        <f>IF(AND(K3923=0,L3923=0,Y3923=0),1,0)</f>
        <v/>
      </c>
      <c r="AA3923">
        <f>IF(AND(Z3923=1,G3923&lt;Assumptions!$C$6),1,0)</f>
        <v/>
      </c>
      <c r="AB3923">
        <f>IF(U3923=0,"",IF(Y3923=1,MAX(0,Q3923-G3923),IF(L3923=1,MAX(0,R3923-G3923),MAX(0,Assumptions!$C$6-G3923))))</f>
        <v/>
      </c>
      <c r="AC3923">
        <f>IF(Y3923=1,Q3923-F3923,"")</f>
        <v/>
      </c>
      <c r="AD3923">
        <f>IF(Y3923=1,AC3923^2,"")</f>
        <v/>
      </c>
      <c r="AE3923" s="19">
        <f>IF(Z3923=1,(H3923-M3923)*I3923,0)</f>
        <v/>
      </c>
      <c r="AF3923">
        <f>IF(G3923&lt;EDATE(Assumptions!$C$6,-12)+1,"prior_12m","last_12m")</f>
        <v/>
      </c>
      <c r="AG3923" s="21">
        <f>DATE(YEAR(G3923),MONTH(G3923),1)</f>
        <v/>
      </c>
    </row>
    <row r="3924">
      <c r="A3924" t="inlineStr">
        <is>
          <t>SPO-02090-1</t>
        </is>
      </c>
      <c r="B3924" t="inlineStr">
        <is>
          <t>SPO-02090</t>
        </is>
      </c>
      <c r="C3924" t="inlineStr">
        <is>
          <t>SUP-06</t>
        </is>
      </c>
      <c r="D3924" t="inlineStr">
        <is>
          <t>MRO</t>
        </is>
      </c>
      <c r="E3924" t="inlineStr">
        <is>
          <t>MRO-07</t>
        </is>
      </c>
      <c r="F3924" s="17" t="n">
        <v>46149</v>
      </c>
      <c r="G3924" s="17" t="n">
        <v>46157</v>
      </c>
      <c r="H3924" s="18" t="n">
        <v>93</v>
      </c>
      <c r="I3924" s="19" t="n">
        <v>14.33</v>
      </c>
      <c r="J3924" s="19" t="n">
        <v>14</v>
      </c>
      <c r="K3924" s="20" t="n">
        <v>1</v>
      </c>
      <c r="L3924" s="20" t="n">
        <v>0</v>
      </c>
      <c r="M3924" s="18" t="n">
        <v>0</v>
      </c>
      <c r="N3924" s="18" t="n">
        <v>0</v>
      </c>
      <c r="O3924" s="18" t="n">
        <v>0</v>
      </c>
      <c r="P3924" s="17" t="n"/>
      <c r="Q3924" s="17" t="n"/>
      <c r="R3924" s="17" t="n"/>
      <c r="S3924" s="19">
        <f>H3924*I3924</f>
        <v/>
      </c>
      <c r="T3924" s="19">
        <f>H3924*J3924</f>
        <v/>
      </c>
      <c r="U3924">
        <f>IF(AND(K3924=0,G3924&lt;=Assumptions!$C$6),1,0)</f>
        <v/>
      </c>
      <c r="V3924">
        <f>IF(U3924=1,IF(M3924&gt;0,IF(P3924&lt;=G3924+Assumptions!$C$7,1,0),0),0)</f>
        <v/>
      </c>
      <c r="W3924">
        <f>IF(AND(U3924=1,M3924&gt;=H3924*(1-Assumptions!$C$8)),1,0)</f>
        <v/>
      </c>
      <c r="X3924">
        <f>IF(AND(U3924=1,N3924&gt;=H3924*(1-Assumptions!$C$8)),1,0)</f>
        <v/>
      </c>
      <c r="Y3924">
        <f>IF(ISNUMBER(Q3924),1,0)</f>
        <v/>
      </c>
      <c r="Z3924">
        <f>IF(AND(K3924=0,L3924=0,Y3924=0),1,0)</f>
        <v/>
      </c>
      <c r="AA3924">
        <f>IF(AND(Z3924=1,G3924&lt;Assumptions!$C$6),1,0)</f>
        <v/>
      </c>
      <c r="AB3924">
        <f>IF(U3924=0,"",IF(Y3924=1,MAX(0,Q3924-G3924),IF(L3924=1,MAX(0,R3924-G3924),MAX(0,Assumptions!$C$6-G3924))))</f>
        <v/>
      </c>
      <c r="AC3924">
        <f>IF(Y3924=1,Q3924-F3924,"")</f>
        <v/>
      </c>
      <c r="AD3924">
        <f>IF(Y3924=1,AC3924^2,"")</f>
        <v/>
      </c>
      <c r="AE3924" s="19">
        <f>IF(Z3924=1,(H3924-M3924)*I3924,0)</f>
        <v/>
      </c>
      <c r="AF3924">
        <f>IF(G3924&lt;EDATE(Assumptions!$C$6,-12)+1,"prior_12m","last_12m")</f>
        <v/>
      </c>
      <c r="AG3924" s="21">
        <f>DATE(YEAR(G3924),MONTH(G3924),1)</f>
        <v/>
      </c>
    </row>
    <row r="3925">
      <c r="A3925" t="inlineStr">
        <is>
          <t>SPO-02091-1</t>
        </is>
      </c>
      <c r="B3925" t="inlineStr">
        <is>
          <t>SPO-02091</t>
        </is>
      </c>
      <c r="C3925" t="inlineStr">
        <is>
          <t>SUP-12</t>
        </is>
      </c>
      <c r="D3925" t="inlineStr">
        <is>
          <t>IT</t>
        </is>
      </c>
      <c r="E3925" t="inlineStr">
        <is>
          <t>IT-07</t>
        </is>
      </c>
      <c r="F3925" s="17" t="n">
        <v>46149</v>
      </c>
      <c r="G3925" s="17" t="n">
        <v>46159</v>
      </c>
      <c r="H3925" s="18" t="n">
        <v>16</v>
      </c>
      <c r="I3925" s="19" t="n">
        <v>83.34999999999999</v>
      </c>
      <c r="J3925" s="19" t="n">
        <v>74</v>
      </c>
      <c r="K3925" s="20" t="n">
        <v>0</v>
      </c>
      <c r="L3925" s="20" t="n">
        <v>0</v>
      </c>
      <c r="M3925" s="18" t="n">
        <v>16</v>
      </c>
      <c r="N3925" s="18" t="n">
        <v>16</v>
      </c>
      <c r="O3925" s="18" t="n">
        <v>0</v>
      </c>
      <c r="P3925" s="17" t="n">
        <v>46157</v>
      </c>
      <c r="Q3925" s="17" t="n">
        <v>46157</v>
      </c>
      <c r="R3925" s="17" t="n">
        <v>46157</v>
      </c>
      <c r="S3925" s="19">
        <f>H3925*I3925</f>
        <v/>
      </c>
      <c r="T3925" s="19">
        <f>H3925*J3925</f>
        <v/>
      </c>
      <c r="U3925">
        <f>IF(AND(K3925=0,G3925&lt;=Assumptions!$C$6),1,0)</f>
        <v/>
      </c>
      <c r="V3925">
        <f>IF(U3925=1,IF(M3925&gt;0,IF(P3925&lt;=G3925+Assumptions!$C$7,1,0),0),0)</f>
        <v/>
      </c>
      <c r="W3925">
        <f>IF(AND(U3925=1,M3925&gt;=H3925*(1-Assumptions!$C$8)),1,0)</f>
        <v/>
      </c>
      <c r="X3925">
        <f>IF(AND(U3925=1,N3925&gt;=H3925*(1-Assumptions!$C$8)),1,0)</f>
        <v/>
      </c>
      <c r="Y3925">
        <f>IF(ISNUMBER(Q3925),1,0)</f>
        <v/>
      </c>
      <c r="Z3925">
        <f>IF(AND(K3925=0,L3925=0,Y3925=0),1,0)</f>
        <v/>
      </c>
      <c r="AA3925">
        <f>IF(AND(Z3925=1,G3925&lt;Assumptions!$C$6),1,0)</f>
        <v/>
      </c>
      <c r="AB3925">
        <f>IF(U3925=0,"",IF(Y3925=1,MAX(0,Q3925-G3925),IF(L3925=1,MAX(0,R3925-G3925),MAX(0,Assumptions!$C$6-G3925))))</f>
        <v/>
      </c>
      <c r="AC3925">
        <f>IF(Y3925=1,Q3925-F3925,"")</f>
        <v/>
      </c>
      <c r="AD3925">
        <f>IF(Y3925=1,AC3925^2,"")</f>
        <v/>
      </c>
      <c r="AE3925" s="19">
        <f>IF(Z3925=1,(H3925-M3925)*I3925,0)</f>
        <v/>
      </c>
      <c r="AF3925">
        <f>IF(G3925&lt;EDATE(Assumptions!$C$6,-12)+1,"prior_12m","last_12m")</f>
        <v/>
      </c>
      <c r="AG3925" s="21">
        <f>DATE(YEAR(G3925),MONTH(G3925),1)</f>
        <v/>
      </c>
    </row>
    <row r="3926">
      <c r="A3926" t="inlineStr">
        <is>
          <t>SPO-02092-1</t>
        </is>
      </c>
      <c r="B3926" t="inlineStr">
        <is>
          <t>SPO-02092</t>
        </is>
      </c>
      <c r="C3926" t="inlineStr">
        <is>
          <t>SUP-08</t>
        </is>
      </c>
      <c r="D3926" t="inlineStr">
        <is>
          <t>PPE</t>
        </is>
      </c>
      <c r="E3926" t="inlineStr">
        <is>
          <t>PPE-01</t>
        </is>
      </c>
      <c r="F3926" s="17" t="n">
        <v>46150</v>
      </c>
      <c r="G3926" s="17" t="n">
        <v>46161</v>
      </c>
      <c r="H3926" s="18" t="n">
        <v>192</v>
      </c>
      <c r="I3926" s="19" t="n">
        <v>4.72</v>
      </c>
      <c r="J3926" s="19" t="n">
        <v>4.8</v>
      </c>
      <c r="K3926" s="20" t="n">
        <v>0</v>
      </c>
      <c r="L3926" s="20" t="n">
        <v>0</v>
      </c>
      <c r="M3926" s="18" t="n">
        <v>192</v>
      </c>
      <c r="N3926" s="18" t="n">
        <v>192</v>
      </c>
      <c r="O3926" s="18" t="n">
        <v>0</v>
      </c>
      <c r="P3926" s="17" t="n">
        <v>46156</v>
      </c>
      <c r="Q3926" s="17" t="n">
        <v>46156</v>
      </c>
      <c r="R3926" s="17" t="n">
        <v>46156</v>
      </c>
      <c r="S3926" s="19">
        <f>H3926*I3926</f>
        <v/>
      </c>
      <c r="T3926" s="19">
        <f>H3926*J3926</f>
        <v/>
      </c>
      <c r="U3926">
        <f>IF(AND(K3926=0,G3926&lt;=Assumptions!$C$6),1,0)</f>
        <v/>
      </c>
      <c r="V3926">
        <f>IF(U3926=1,IF(M3926&gt;0,IF(P3926&lt;=G3926+Assumptions!$C$7,1,0),0),0)</f>
        <v/>
      </c>
      <c r="W3926">
        <f>IF(AND(U3926=1,M3926&gt;=H3926*(1-Assumptions!$C$8)),1,0)</f>
        <v/>
      </c>
      <c r="X3926">
        <f>IF(AND(U3926=1,N3926&gt;=H3926*(1-Assumptions!$C$8)),1,0)</f>
        <v/>
      </c>
      <c r="Y3926">
        <f>IF(ISNUMBER(Q3926),1,0)</f>
        <v/>
      </c>
      <c r="Z3926">
        <f>IF(AND(K3926=0,L3926=0,Y3926=0),1,0)</f>
        <v/>
      </c>
      <c r="AA3926">
        <f>IF(AND(Z3926=1,G3926&lt;Assumptions!$C$6),1,0)</f>
        <v/>
      </c>
      <c r="AB3926">
        <f>IF(U3926=0,"",IF(Y3926=1,MAX(0,Q3926-G3926),IF(L3926=1,MAX(0,R3926-G3926),MAX(0,Assumptions!$C$6-G3926))))</f>
        <v/>
      </c>
      <c r="AC3926">
        <f>IF(Y3926=1,Q3926-F3926,"")</f>
        <v/>
      </c>
      <c r="AD3926">
        <f>IF(Y3926=1,AC3926^2,"")</f>
        <v/>
      </c>
      <c r="AE3926" s="19">
        <f>IF(Z3926=1,(H3926-M3926)*I3926,0)</f>
        <v/>
      </c>
      <c r="AF3926">
        <f>IF(G3926&lt;EDATE(Assumptions!$C$6,-12)+1,"prior_12m","last_12m")</f>
        <v/>
      </c>
      <c r="AG3926" s="21">
        <f>DATE(YEAR(G3926),MONTH(G3926),1)</f>
        <v/>
      </c>
    </row>
    <row r="3927">
      <c r="A3927" t="inlineStr">
        <is>
          <t>SPO-02092-2</t>
        </is>
      </c>
      <c r="B3927" t="inlineStr">
        <is>
          <t>SPO-02092</t>
        </is>
      </c>
      <c r="C3927" t="inlineStr">
        <is>
          <t>SUP-08</t>
        </is>
      </c>
      <c r="D3927" t="inlineStr">
        <is>
          <t>PPE</t>
        </is>
      </c>
      <c r="E3927" t="inlineStr">
        <is>
          <t>PPE-06</t>
        </is>
      </c>
      <c r="F3927" s="17" t="n">
        <v>46150</v>
      </c>
      <c r="G3927" s="17" t="n">
        <v>46161</v>
      </c>
      <c r="H3927" s="18" t="n">
        <v>6</v>
      </c>
      <c r="I3927" s="19" t="n">
        <v>106.64</v>
      </c>
      <c r="J3927" s="19" t="n">
        <v>115</v>
      </c>
      <c r="K3927" s="20" t="n">
        <v>1</v>
      </c>
      <c r="L3927" s="20" t="n">
        <v>0</v>
      </c>
      <c r="M3927" s="18" t="n">
        <v>0</v>
      </c>
      <c r="N3927" s="18" t="n">
        <v>0</v>
      </c>
      <c r="O3927" s="18" t="n">
        <v>0</v>
      </c>
      <c r="P3927" s="17" t="n"/>
      <c r="Q3927" s="17" t="n"/>
      <c r="R3927" s="17" t="n"/>
      <c r="S3927" s="19">
        <f>H3927*I3927</f>
        <v/>
      </c>
      <c r="T3927" s="19">
        <f>H3927*J3927</f>
        <v/>
      </c>
      <c r="U3927">
        <f>IF(AND(K3927=0,G3927&lt;=Assumptions!$C$6),1,0)</f>
        <v/>
      </c>
      <c r="V3927">
        <f>IF(U3927=1,IF(M3927&gt;0,IF(P3927&lt;=G3927+Assumptions!$C$7,1,0),0),0)</f>
        <v/>
      </c>
      <c r="W3927">
        <f>IF(AND(U3927=1,M3927&gt;=H3927*(1-Assumptions!$C$8)),1,0)</f>
        <v/>
      </c>
      <c r="X3927">
        <f>IF(AND(U3927=1,N3927&gt;=H3927*(1-Assumptions!$C$8)),1,0)</f>
        <v/>
      </c>
      <c r="Y3927">
        <f>IF(ISNUMBER(Q3927),1,0)</f>
        <v/>
      </c>
      <c r="Z3927">
        <f>IF(AND(K3927=0,L3927=0,Y3927=0),1,0)</f>
        <v/>
      </c>
      <c r="AA3927">
        <f>IF(AND(Z3927=1,G3927&lt;Assumptions!$C$6),1,0)</f>
        <v/>
      </c>
      <c r="AB3927">
        <f>IF(U3927=0,"",IF(Y3927=1,MAX(0,Q3927-G3927),IF(L3927=1,MAX(0,R3927-G3927),MAX(0,Assumptions!$C$6-G3927))))</f>
        <v/>
      </c>
      <c r="AC3927">
        <f>IF(Y3927=1,Q3927-F3927,"")</f>
        <v/>
      </c>
      <c r="AD3927">
        <f>IF(Y3927=1,AC3927^2,"")</f>
        <v/>
      </c>
      <c r="AE3927" s="19">
        <f>IF(Z3927=1,(H3927-M3927)*I3927,0)</f>
        <v/>
      </c>
      <c r="AF3927">
        <f>IF(G3927&lt;EDATE(Assumptions!$C$6,-12)+1,"prior_12m","last_12m")</f>
        <v/>
      </c>
      <c r="AG3927" s="21">
        <f>DATE(YEAR(G3927),MONTH(G3927),1)</f>
        <v/>
      </c>
    </row>
    <row r="3928">
      <c r="A3928" t="inlineStr">
        <is>
          <t>SPO-02092-3</t>
        </is>
      </c>
      <c r="B3928" t="inlineStr">
        <is>
          <t>SPO-02092</t>
        </is>
      </c>
      <c r="C3928" t="inlineStr">
        <is>
          <t>SUP-08</t>
        </is>
      </c>
      <c r="D3928" t="inlineStr">
        <is>
          <t>PPE</t>
        </is>
      </c>
      <c r="E3928" t="inlineStr">
        <is>
          <t>PPE-07</t>
        </is>
      </c>
      <c r="F3928" s="17" t="n">
        <v>46150</v>
      </c>
      <c r="G3928" s="17" t="n">
        <v>46161</v>
      </c>
      <c r="H3928" s="18" t="n">
        <v>60</v>
      </c>
      <c r="I3928" s="19" t="n">
        <v>31.93</v>
      </c>
      <c r="J3928" s="19" t="n">
        <v>31</v>
      </c>
      <c r="K3928" s="20" t="n">
        <v>0</v>
      </c>
      <c r="L3928" s="20" t="n">
        <v>0</v>
      </c>
      <c r="M3928" s="18" t="n">
        <v>60</v>
      </c>
      <c r="N3928" s="18" t="n">
        <v>60</v>
      </c>
      <c r="O3928" s="18" t="n">
        <v>0</v>
      </c>
      <c r="P3928" s="17" t="n">
        <v>46157</v>
      </c>
      <c r="Q3928" s="17" t="n">
        <v>46157</v>
      </c>
      <c r="R3928" s="17" t="n">
        <v>46157</v>
      </c>
      <c r="S3928" s="19">
        <f>H3928*I3928</f>
        <v/>
      </c>
      <c r="T3928" s="19">
        <f>H3928*J3928</f>
        <v/>
      </c>
      <c r="U3928">
        <f>IF(AND(K3928=0,G3928&lt;=Assumptions!$C$6),1,0)</f>
        <v/>
      </c>
      <c r="V3928">
        <f>IF(U3928=1,IF(M3928&gt;0,IF(P3928&lt;=G3928+Assumptions!$C$7,1,0),0),0)</f>
        <v/>
      </c>
      <c r="W3928">
        <f>IF(AND(U3928=1,M3928&gt;=H3928*(1-Assumptions!$C$8)),1,0)</f>
        <v/>
      </c>
      <c r="X3928">
        <f>IF(AND(U3928=1,N3928&gt;=H3928*(1-Assumptions!$C$8)),1,0)</f>
        <v/>
      </c>
      <c r="Y3928">
        <f>IF(ISNUMBER(Q3928),1,0)</f>
        <v/>
      </c>
      <c r="Z3928">
        <f>IF(AND(K3928=0,L3928=0,Y3928=0),1,0)</f>
        <v/>
      </c>
      <c r="AA3928">
        <f>IF(AND(Z3928=1,G3928&lt;Assumptions!$C$6),1,0)</f>
        <v/>
      </c>
      <c r="AB3928">
        <f>IF(U3928=0,"",IF(Y3928=1,MAX(0,Q3928-G3928),IF(L3928=1,MAX(0,R3928-G3928),MAX(0,Assumptions!$C$6-G3928))))</f>
        <v/>
      </c>
      <c r="AC3928">
        <f>IF(Y3928=1,Q3928-F3928,"")</f>
        <v/>
      </c>
      <c r="AD3928">
        <f>IF(Y3928=1,AC3928^2,"")</f>
        <v/>
      </c>
      <c r="AE3928" s="19">
        <f>IF(Z3928=1,(H3928-M3928)*I3928,0)</f>
        <v/>
      </c>
      <c r="AF3928">
        <f>IF(G3928&lt;EDATE(Assumptions!$C$6,-12)+1,"prior_12m","last_12m")</f>
        <v/>
      </c>
      <c r="AG3928" s="21">
        <f>DATE(YEAR(G3928),MONTH(G3928),1)</f>
        <v/>
      </c>
    </row>
    <row r="3929">
      <c r="A3929" t="inlineStr">
        <is>
          <t>SPO-02093-1</t>
        </is>
      </c>
      <c r="B3929" t="inlineStr">
        <is>
          <t>SPO-02093</t>
        </is>
      </c>
      <c r="C3929" t="inlineStr">
        <is>
          <t>SUP-02</t>
        </is>
      </c>
      <c r="D3929" t="inlineStr">
        <is>
          <t>ELEC</t>
        </is>
      </c>
      <c r="E3929" t="inlineStr">
        <is>
          <t>ELEC-01</t>
        </is>
      </c>
      <c r="F3929" s="17" t="n">
        <v>46150</v>
      </c>
      <c r="G3929" s="17" t="n">
        <v>46166</v>
      </c>
      <c r="H3929" s="18" t="n">
        <v>63</v>
      </c>
      <c r="I3929" s="19" t="n">
        <v>39</v>
      </c>
      <c r="J3929" s="19" t="n">
        <v>38</v>
      </c>
      <c r="K3929" s="20" t="n">
        <v>0</v>
      </c>
      <c r="L3929" s="20" t="n">
        <v>0</v>
      </c>
      <c r="M3929" s="18" t="n">
        <v>63</v>
      </c>
      <c r="N3929" s="18" t="n">
        <v>63</v>
      </c>
      <c r="O3929" s="18" t="n">
        <v>0</v>
      </c>
      <c r="P3929" s="17" t="n">
        <v>46164</v>
      </c>
      <c r="Q3929" s="17" t="n">
        <v>46164</v>
      </c>
      <c r="R3929" s="17" t="n">
        <v>46164</v>
      </c>
      <c r="S3929" s="19">
        <f>H3929*I3929</f>
        <v/>
      </c>
      <c r="T3929" s="19">
        <f>H3929*J3929</f>
        <v/>
      </c>
      <c r="U3929">
        <f>IF(AND(K3929=0,G3929&lt;=Assumptions!$C$6),1,0)</f>
        <v/>
      </c>
      <c r="V3929">
        <f>IF(U3929=1,IF(M3929&gt;0,IF(P3929&lt;=G3929+Assumptions!$C$7,1,0),0),0)</f>
        <v/>
      </c>
      <c r="W3929">
        <f>IF(AND(U3929=1,M3929&gt;=H3929*(1-Assumptions!$C$8)),1,0)</f>
        <v/>
      </c>
      <c r="X3929">
        <f>IF(AND(U3929=1,N3929&gt;=H3929*(1-Assumptions!$C$8)),1,0)</f>
        <v/>
      </c>
      <c r="Y3929">
        <f>IF(ISNUMBER(Q3929),1,0)</f>
        <v/>
      </c>
      <c r="Z3929">
        <f>IF(AND(K3929=0,L3929=0,Y3929=0),1,0)</f>
        <v/>
      </c>
      <c r="AA3929">
        <f>IF(AND(Z3929=1,G3929&lt;Assumptions!$C$6),1,0)</f>
        <v/>
      </c>
      <c r="AB3929">
        <f>IF(U3929=0,"",IF(Y3929=1,MAX(0,Q3929-G3929),IF(L3929=1,MAX(0,R3929-G3929),MAX(0,Assumptions!$C$6-G3929))))</f>
        <v/>
      </c>
      <c r="AC3929">
        <f>IF(Y3929=1,Q3929-F3929,"")</f>
        <v/>
      </c>
      <c r="AD3929">
        <f>IF(Y3929=1,AC3929^2,"")</f>
        <v/>
      </c>
      <c r="AE3929" s="19">
        <f>IF(Z3929=1,(H3929-M3929)*I3929,0)</f>
        <v/>
      </c>
      <c r="AF3929">
        <f>IF(G3929&lt;EDATE(Assumptions!$C$6,-12)+1,"prior_12m","last_12m")</f>
        <v/>
      </c>
      <c r="AG3929" s="21">
        <f>DATE(YEAR(G3929),MONTH(G3929),1)</f>
        <v/>
      </c>
    </row>
    <row r="3930">
      <c r="A3930" t="inlineStr">
        <is>
          <t>SPO-02093-2</t>
        </is>
      </c>
      <c r="B3930" t="inlineStr">
        <is>
          <t>SPO-02093</t>
        </is>
      </c>
      <c r="C3930" t="inlineStr">
        <is>
          <t>SUP-02</t>
        </is>
      </c>
      <c r="D3930" t="inlineStr">
        <is>
          <t>ELEC</t>
        </is>
      </c>
      <c r="E3930" t="inlineStr">
        <is>
          <t>ELEC-04</t>
        </is>
      </c>
      <c r="F3930" s="17" t="n">
        <v>46150</v>
      </c>
      <c r="G3930" s="17" t="n">
        <v>46166</v>
      </c>
      <c r="H3930" s="18" t="n">
        <v>22</v>
      </c>
      <c r="I3930" s="19" t="n">
        <v>73.62</v>
      </c>
      <c r="J3930" s="19" t="n">
        <v>72</v>
      </c>
      <c r="K3930" s="20" t="n">
        <v>0</v>
      </c>
      <c r="L3930" s="20" t="n">
        <v>0</v>
      </c>
      <c r="M3930" s="18" t="n">
        <v>22</v>
      </c>
      <c r="N3930" s="18" t="n">
        <v>22</v>
      </c>
      <c r="O3930" s="18" t="n">
        <v>0</v>
      </c>
      <c r="P3930" s="17" t="n">
        <v>46162</v>
      </c>
      <c r="Q3930" s="17" t="n">
        <v>46162</v>
      </c>
      <c r="R3930" s="17" t="n">
        <v>46162</v>
      </c>
      <c r="S3930" s="19">
        <f>H3930*I3930</f>
        <v/>
      </c>
      <c r="T3930" s="19">
        <f>H3930*J3930</f>
        <v/>
      </c>
      <c r="U3930">
        <f>IF(AND(K3930=0,G3930&lt;=Assumptions!$C$6),1,0)</f>
        <v/>
      </c>
      <c r="V3930">
        <f>IF(U3930=1,IF(M3930&gt;0,IF(P3930&lt;=G3930+Assumptions!$C$7,1,0),0),0)</f>
        <v/>
      </c>
      <c r="W3930">
        <f>IF(AND(U3930=1,M3930&gt;=H3930*(1-Assumptions!$C$8)),1,0)</f>
        <v/>
      </c>
      <c r="X3930">
        <f>IF(AND(U3930=1,N3930&gt;=H3930*(1-Assumptions!$C$8)),1,0)</f>
        <v/>
      </c>
      <c r="Y3930">
        <f>IF(ISNUMBER(Q3930),1,0)</f>
        <v/>
      </c>
      <c r="Z3930">
        <f>IF(AND(K3930=0,L3930=0,Y3930=0),1,0)</f>
        <v/>
      </c>
      <c r="AA3930">
        <f>IF(AND(Z3930=1,G3930&lt;Assumptions!$C$6),1,0)</f>
        <v/>
      </c>
      <c r="AB3930">
        <f>IF(U3930=0,"",IF(Y3930=1,MAX(0,Q3930-G3930),IF(L3930=1,MAX(0,R3930-G3930),MAX(0,Assumptions!$C$6-G3930))))</f>
        <v/>
      </c>
      <c r="AC3930">
        <f>IF(Y3930=1,Q3930-F3930,"")</f>
        <v/>
      </c>
      <c r="AD3930">
        <f>IF(Y3930=1,AC3930^2,"")</f>
        <v/>
      </c>
      <c r="AE3930" s="19">
        <f>IF(Z3930=1,(H3930-M3930)*I3930,0)</f>
        <v/>
      </c>
      <c r="AF3930">
        <f>IF(G3930&lt;EDATE(Assumptions!$C$6,-12)+1,"prior_12m","last_12m")</f>
        <v/>
      </c>
      <c r="AG3930" s="21">
        <f>DATE(YEAR(G3930),MONTH(G3930),1)</f>
        <v/>
      </c>
    </row>
    <row r="3931">
      <c r="A3931" t="inlineStr">
        <is>
          <t>SPO-02093-3</t>
        </is>
      </c>
      <c r="B3931" t="inlineStr">
        <is>
          <t>SPO-02093</t>
        </is>
      </c>
      <c r="C3931" t="inlineStr">
        <is>
          <t>SUP-02</t>
        </is>
      </c>
      <c r="D3931" t="inlineStr">
        <is>
          <t>ELEC</t>
        </is>
      </c>
      <c r="E3931" t="inlineStr">
        <is>
          <t>ELEC-08</t>
        </is>
      </c>
      <c r="F3931" s="17" t="n">
        <v>46150</v>
      </c>
      <c r="G3931" s="17" t="n">
        <v>46166</v>
      </c>
      <c r="H3931" s="18" t="n">
        <v>56</v>
      </c>
      <c r="I3931" s="19" t="n">
        <v>18.25</v>
      </c>
      <c r="J3931" s="19" t="n">
        <v>18</v>
      </c>
      <c r="K3931" s="20" t="n">
        <v>0</v>
      </c>
      <c r="L3931" s="20" t="n">
        <v>0</v>
      </c>
      <c r="M3931" s="18" t="n">
        <v>56</v>
      </c>
      <c r="N3931" s="18" t="n">
        <v>56</v>
      </c>
      <c r="O3931" s="18" t="n">
        <v>0</v>
      </c>
      <c r="P3931" s="17" t="n">
        <v>46161</v>
      </c>
      <c r="Q3931" s="17" t="n">
        <v>46161</v>
      </c>
      <c r="R3931" s="17" t="n">
        <v>46161</v>
      </c>
      <c r="S3931" s="19">
        <f>H3931*I3931</f>
        <v/>
      </c>
      <c r="T3931" s="19">
        <f>H3931*J3931</f>
        <v/>
      </c>
      <c r="U3931">
        <f>IF(AND(K3931=0,G3931&lt;=Assumptions!$C$6),1,0)</f>
        <v/>
      </c>
      <c r="V3931">
        <f>IF(U3931=1,IF(M3931&gt;0,IF(P3931&lt;=G3931+Assumptions!$C$7,1,0),0),0)</f>
        <v/>
      </c>
      <c r="W3931">
        <f>IF(AND(U3931=1,M3931&gt;=H3931*(1-Assumptions!$C$8)),1,0)</f>
        <v/>
      </c>
      <c r="X3931">
        <f>IF(AND(U3931=1,N3931&gt;=H3931*(1-Assumptions!$C$8)),1,0)</f>
        <v/>
      </c>
      <c r="Y3931">
        <f>IF(ISNUMBER(Q3931),1,0)</f>
        <v/>
      </c>
      <c r="Z3931">
        <f>IF(AND(K3931=0,L3931=0,Y3931=0),1,0)</f>
        <v/>
      </c>
      <c r="AA3931">
        <f>IF(AND(Z3931=1,G3931&lt;Assumptions!$C$6),1,0)</f>
        <v/>
      </c>
      <c r="AB3931">
        <f>IF(U3931=0,"",IF(Y3931=1,MAX(0,Q3931-G3931),IF(L3931=1,MAX(0,R3931-G3931),MAX(0,Assumptions!$C$6-G3931))))</f>
        <v/>
      </c>
      <c r="AC3931">
        <f>IF(Y3931=1,Q3931-F3931,"")</f>
        <v/>
      </c>
      <c r="AD3931">
        <f>IF(Y3931=1,AC3931^2,"")</f>
        <v/>
      </c>
      <c r="AE3931" s="19">
        <f>IF(Z3931=1,(H3931-M3931)*I3931,0)</f>
        <v/>
      </c>
      <c r="AF3931">
        <f>IF(G3931&lt;EDATE(Assumptions!$C$6,-12)+1,"prior_12m","last_12m")</f>
        <v/>
      </c>
      <c r="AG3931" s="21">
        <f>DATE(YEAR(G3931),MONTH(G3931),1)</f>
        <v/>
      </c>
    </row>
    <row r="3932">
      <c r="A3932" t="inlineStr">
        <is>
          <t>SPO-02094-1</t>
        </is>
      </c>
      <c r="B3932" t="inlineStr">
        <is>
          <t>SPO-02094</t>
        </is>
      </c>
      <c r="C3932" t="inlineStr">
        <is>
          <t>SUP-02</t>
        </is>
      </c>
      <c r="D3932" t="inlineStr">
        <is>
          <t>ELEC</t>
        </is>
      </c>
      <c r="E3932" t="inlineStr">
        <is>
          <t>ELEC-08</t>
        </is>
      </c>
      <c r="F3932" s="17" t="n">
        <v>46150</v>
      </c>
      <c r="G3932" s="17" t="n">
        <v>46166</v>
      </c>
      <c r="H3932" s="18" t="n">
        <v>50</v>
      </c>
      <c r="I3932" s="19" t="n">
        <v>18.64</v>
      </c>
      <c r="J3932" s="19" t="n">
        <v>18</v>
      </c>
      <c r="K3932" s="20" t="n">
        <v>0</v>
      </c>
      <c r="L3932" s="20" t="n">
        <v>0</v>
      </c>
      <c r="M3932" s="18" t="n">
        <v>50</v>
      </c>
      <c r="N3932" s="18" t="n">
        <v>50</v>
      </c>
      <c r="O3932" s="18" t="n">
        <v>0</v>
      </c>
      <c r="P3932" s="17" t="n">
        <v>46161</v>
      </c>
      <c r="Q3932" s="17" t="n">
        <v>46161</v>
      </c>
      <c r="R3932" s="17" t="n">
        <v>46161</v>
      </c>
      <c r="S3932" s="19">
        <f>H3932*I3932</f>
        <v/>
      </c>
      <c r="T3932" s="19">
        <f>H3932*J3932</f>
        <v/>
      </c>
      <c r="U3932">
        <f>IF(AND(K3932=0,G3932&lt;=Assumptions!$C$6),1,0)</f>
        <v/>
      </c>
      <c r="V3932">
        <f>IF(U3932=1,IF(M3932&gt;0,IF(P3932&lt;=G3932+Assumptions!$C$7,1,0),0),0)</f>
        <v/>
      </c>
      <c r="W3932">
        <f>IF(AND(U3932=1,M3932&gt;=H3932*(1-Assumptions!$C$8)),1,0)</f>
        <v/>
      </c>
      <c r="X3932">
        <f>IF(AND(U3932=1,N3932&gt;=H3932*(1-Assumptions!$C$8)),1,0)</f>
        <v/>
      </c>
      <c r="Y3932">
        <f>IF(ISNUMBER(Q3932),1,0)</f>
        <v/>
      </c>
      <c r="Z3932">
        <f>IF(AND(K3932=0,L3932=0,Y3932=0),1,0)</f>
        <v/>
      </c>
      <c r="AA3932">
        <f>IF(AND(Z3932=1,G3932&lt;Assumptions!$C$6),1,0)</f>
        <v/>
      </c>
      <c r="AB3932">
        <f>IF(U3932=0,"",IF(Y3932=1,MAX(0,Q3932-G3932),IF(L3932=1,MAX(0,R3932-G3932),MAX(0,Assumptions!$C$6-G3932))))</f>
        <v/>
      </c>
      <c r="AC3932">
        <f>IF(Y3932=1,Q3932-F3932,"")</f>
        <v/>
      </c>
      <c r="AD3932">
        <f>IF(Y3932=1,AC3932^2,"")</f>
        <v/>
      </c>
      <c r="AE3932" s="19">
        <f>IF(Z3932=1,(H3932-M3932)*I3932,0)</f>
        <v/>
      </c>
      <c r="AF3932">
        <f>IF(G3932&lt;EDATE(Assumptions!$C$6,-12)+1,"prior_12m","last_12m")</f>
        <v/>
      </c>
      <c r="AG3932" s="21">
        <f>DATE(YEAR(G3932),MONTH(G3932),1)</f>
        <v/>
      </c>
    </row>
    <row r="3933">
      <c r="A3933" t="inlineStr">
        <is>
          <t>SPO-02094-2</t>
        </is>
      </c>
      <c r="B3933" t="inlineStr">
        <is>
          <t>SPO-02094</t>
        </is>
      </c>
      <c r="C3933" t="inlineStr">
        <is>
          <t>SUP-02</t>
        </is>
      </c>
      <c r="D3933" t="inlineStr">
        <is>
          <t>ELEC</t>
        </is>
      </c>
      <c r="E3933" t="inlineStr">
        <is>
          <t>ELEC-01</t>
        </is>
      </c>
      <c r="F3933" s="17" t="n">
        <v>46150</v>
      </c>
      <c r="G3933" s="17" t="n">
        <v>46166</v>
      </c>
      <c r="H3933" s="18" t="n">
        <v>32</v>
      </c>
      <c r="I3933" s="19" t="n">
        <v>37.37</v>
      </c>
      <c r="J3933" s="19" t="n">
        <v>38</v>
      </c>
      <c r="K3933" s="20" t="n">
        <v>0</v>
      </c>
      <c r="L3933" s="20" t="n">
        <v>0</v>
      </c>
      <c r="M3933" s="18" t="n">
        <v>32</v>
      </c>
      <c r="N3933" s="18" t="n">
        <v>32</v>
      </c>
      <c r="O3933" s="18" t="n">
        <v>0</v>
      </c>
      <c r="P3933" s="17" t="n">
        <v>46166</v>
      </c>
      <c r="Q3933" s="17" t="n">
        <v>46166</v>
      </c>
      <c r="R3933" s="17" t="n">
        <v>46166</v>
      </c>
      <c r="S3933" s="19">
        <f>H3933*I3933</f>
        <v/>
      </c>
      <c r="T3933" s="19">
        <f>H3933*J3933</f>
        <v/>
      </c>
      <c r="U3933">
        <f>IF(AND(K3933=0,G3933&lt;=Assumptions!$C$6),1,0)</f>
        <v/>
      </c>
      <c r="V3933">
        <f>IF(U3933=1,IF(M3933&gt;0,IF(P3933&lt;=G3933+Assumptions!$C$7,1,0),0),0)</f>
        <v/>
      </c>
      <c r="W3933">
        <f>IF(AND(U3933=1,M3933&gt;=H3933*(1-Assumptions!$C$8)),1,0)</f>
        <v/>
      </c>
      <c r="X3933">
        <f>IF(AND(U3933=1,N3933&gt;=H3933*(1-Assumptions!$C$8)),1,0)</f>
        <v/>
      </c>
      <c r="Y3933">
        <f>IF(ISNUMBER(Q3933),1,0)</f>
        <v/>
      </c>
      <c r="Z3933">
        <f>IF(AND(K3933=0,L3933=0,Y3933=0),1,0)</f>
        <v/>
      </c>
      <c r="AA3933">
        <f>IF(AND(Z3933=1,G3933&lt;Assumptions!$C$6),1,0)</f>
        <v/>
      </c>
      <c r="AB3933">
        <f>IF(U3933=0,"",IF(Y3933=1,MAX(0,Q3933-G3933),IF(L3933=1,MAX(0,R3933-G3933),MAX(0,Assumptions!$C$6-G3933))))</f>
        <v/>
      </c>
      <c r="AC3933">
        <f>IF(Y3933=1,Q3933-F3933,"")</f>
        <v/>
      </c>
      <c r="AD3933">
        <f>IF(Y3933=1,AC3933^2,"")</f>
        <v/>
      </c>
      <c r="AE3933" s="19">
        <f>IF(Z3933=1,(H3933-M3933)*I3933,0)</f>
        <v/>
      </c>
      <c r="AF3933">
        <f>IF(G3933&lt;EDATE(Assumptions!$C$6,-12)+1,"prior_12m","last_12m")</f>
        <v/>
      </c>
      <c r="AG3933" s="21">
        <f>DATE(YEAR(G3933),MONTH(G3933),1)</f>
        <v/>
      </c>
    </row>
    <row r="3934">
      <c r="A3934" t="inlineStr">
        <is>
          <t>SPO-02095-1</t>
        </is>
      </c>
      <c r="B3934" t="inlineStr">
        <is>
          <t>SPO-02095</t>
        </is>
      </c>
      <c r="C3934" t="inlineStr">
        <is>
          <t>SUP-06</t>
        </is>
      </c>
      <c r="D3934" t="inlineStr">
        <is>
          <t>MRO</t>
        </is>
      </c>
      <c r="E3934" t="inlineStr">
        <is>
          <t>MRO-04</t>
        </is>
      </c>
      <c r="F3934" s="17" t="n">
        <v>46150</v>
      </c>
      <c r="G3934" s="17" t="n">
        <v>46158</v>
      </c>
      <c r="H3934" s="18" t="n">
        <v>12</v>
      </c>
      <c r="I3934" s="19" t="n">
        <v>58.47</v>
      </c>
      <c r="J3934" s="19" t="n">
        <v>58</v>
      </c>
      <c r="K3934" s="20" t="n">
        <v>0</v>
      </c>
      <c r="L3934" s="20" t="n">
        <v>0</v>
      </c>
      <c r="M3934" s="18" t="n">
        <v>12</v>
      </c>
      <c r="N3934" s="18" t="n">
        <v>12</v>
      </c>
      <c r="O3934" s="18" t="n">
        <v>0</v>
      </c>
      <c r="P3934" s="17" t="n">
        <v>46155</v>
      </c>
      <c r="Q3934" s="17" t="n">
        <v>46155</v>
      </c>
      <c r="R3934" s="17" t="n">
        <v>46155</v>
      </c>
      <c r="S3934" s="19">
        <f>H3934*I3934</f>
        <v/>
      </c>
      <c r="T3934" s="19">
        <f>H3934*J3934</f>
        <v/>
      </c>
      <c r="U3934">
        <f>IF(AND(K3934=0,G3934&lt;=Assumptions!$C$6),1,0)</f>
        <v/>
      </c>
      <c r="V3934">
        <f>IF(U3934=1,IF(M3934&gt;0,IF(P3934&lt;=G3934+Assumptions!$C$7,1,0),0),0)</f>
        <v/>
      </c>
      <c r="W3934">
        <f>IF(AND(U3934=1,M3934&gt;=H3934*(1-Assumptions!$C$8)),1,0)</f>
        <v/>
      </c>
      <c r="X3934">
        <f>IF(AND(U3934=1,N3934&gt;=H3934*(1-Assumptions!$C$8)),1,0)</f>
        <v/>
      </c>
      <c r="Y3934">
        <f>IF(ISNUMBER(Q3934),1,0)</f>
        <v/>
      </c>
      <c r="Z3934">
        <f>IF(AND(K3934=0,L3934=0,Y3934=0),1,0)</f>
        <v/>
      </c>
      <c r="AA3934">
        <f>IF(AND(Z3934=1,G3934&lt;Assumptions!$C$6),1,0)</f>
        <v/>
      </c>
      <c r="AB3934">
        <f>IF(U3934=0,"",IF(Y3934=1,MAX(0,Q3934-G3934),IF(L3934=1,MAX(0,R3934-G3934),MAX(0,Assumptions!$C$6-G3934))))</f>
        <v/>
      </c>
      <c r="AC3934">
        <f>IF(Y3934=1,Q3934-F3934,"")</f>
        <v/>
      </c>
      <c r="AD3934">
        <f>IF(Y3934=1,AC3934^2,"")</f>
        <v/>
      </c>
      <c r="AE3934" s="19">
        <f>IF(Z3934=1,(H3934-M3934)*I3934,0)</f>
        <v/>
      </c>
      <c r="AF3934">
        <f>IF(G3934&lt;EDATE(Assumptions!$C$6,-12)+1,"prior_12m","last_12m")</f>
        <v/>
      </c>
      <c r="AG3934" s="21">
        <f>DATE(YEAR(G3934),MONTH(G3934),1)</f>
        <v/>
      </c>
    </row>
    <row r="3935">
      <c r="A3935" t="inlineStr">
        <is>
          <t>SPO-02095-2</t>
        </is>
      </c>
      <c r="B3935" t="inlineStr">
        <is>
          <t>SPO-02095</t>
        </is>
      </c>
      <c r="C3935" t="inlineStr">
        <is>
          <t>SUP-06</t>
        </is>
      </c>
      <c r="D3935" t="inlineStr">
        <is>
          <t>MRO</t>
        </is>
      </c>
      <c r="E3935" t="inlineStr">
        <is>
          <t>MRO-06</t>
        </is>
      </c>
      <c r="F3935" s="17" t="n">
        <v>46150</v>
      </c>
      <c r="G3935" s="17" t="n">
        <v>46158</v>
      </c>
      <c r="H3935" s="18" t="n">
        <v>458</v>
      </c>
      <c r="I3935" s="19" t="n">
        <v>6.03</v>
      </c>
      <c r="J3935" s="19" t="n">
        <v>6.1</v>
      </c>
      <c r="K3935" s="20" t="n">
        <v>0</v>
      </c>
      <c r="L3935" s="20" t="n">
        <v>0</v>
      </c>
      <c r="M3935" s="18" t="n">
        <v>458</v>
      </c>
      <c r="N3935" s="18" t="n">
        <v>458</v>
      </c>
      <c r="O3935" s="18" t="n">
        <v>0</v>
      </c>
      <c r="P3935" s="17" t="n">
        <v>46154</v>
      </c>
      <c r="Q3935" s="17" t="n">
        <v>46154</v>
      </c>
      <c r="R3935" s="17" t="n">
        <v>46154</v>
      </c>
      <c r="S3935" s="19">
        <f>H3935*I3935</f>
        <v/>
      </c>
      <c r="T3935" s="19">
        <f>H3935*J3935</f>
        <v/>
      </c>
      <c r="U3935">
        <f>IF(AND(K3935=0,G3935&lt;=Assumptions!$C$6),1,0)</f>
        <v/>
      </c>
      <c r="V3935">
        <f>IF(U3935=1,IF(M3935&gt;0,IF(P3935&lt;=G3935+Assumptions!$C$7,1,0),0),0)</f>
        <v/>
      </c>
      <c r="W3935">
        <f>IF(AND(U3935=1,M3935&gt;=H3935*(1-Assumptions!$C$8)),1,0)</f>
        <v/>
      </c>
      <c r="X3935">
        <f>IF(AND(U3935=1,N3935&gt;=H3935*(1-Assumptions!$C$8)),1,0)</f>
        <v/>
      </c>
      <c r="Y3935">
        <f>IF(ISNUMBER(Q3935),1,0)</f>
        <v/>
      </c>
      <c r="Z3935">
        <f>IF(AND(K3935=0,L3935=0,Y3935=0),1,0)</f>
        <v/>
      </c>
      <c r="AA3935">
        <f>IF(AND(Z3935=1,G3935&lt;Assumptions!$C$6),1,0)</f>
        <v/>
      </c>
      <c r="AB3935">
        <f>IF(U3935=0,"",IF(Y3935=1,MAX(0,Q3935-G3935),IF(L3935=1,MAX(0,R3935-G3935),MAX(0,Assumptions!$C$6-G3935))))</f>
        <v/>
      </c>
      <c r="AC3935">
        <f>IF(Y3935=1,Q3935-F3935,"")</f>
        <v/>
      </c>
      <c r="AD3935">
        <f>IF(Y3935=1,AC3935^2,"")</f>
        <v/>
      </c>
      <c r="AE3935" s="19">
        <f>IF(Z3935=1,(H3935-M3935)*I3935,0)</f>
        <v/>
      </c>
      <c r="AF3935">
        <f>IF(G3935&lt;EDATE(Assumptions!$C$6,-12)+1,"prior_12m","last_12m")</f>
        <v/>
      </c>
      <c r="AG3935" s="21">
        <f>DATE(YEAR(G3935),MONTH(G3935),1)</f>
        <v/>
      </c>
    </row>
    <row r="3936">
      <c r="A3936" t="inlineStr">
        <is>
          <t>SPO-02095-3</t>
        </is>
      </c>
      <c r="B3936" t="inlineStr">
        <is>
          <t>SPO-02095</t>
        </is>
      </c>
      <c r="C3936" t="inlineStr">
        <is>
          <t>SUP-06</t>
        </is>
      </c>
      <c r="D3936" t="inlineStr">
        <is>
          <t>MRO</t>
        </is>
      </c>
      <c r="E3936" t="inlineStr">
        <is>
          <t>MRO-08</t>
        </is>
      </c>
      <c r="F3936" s="17" t="n">
        <v>46150</v>
      </c>
      <c r="G3936" s="17" t="n">
        <v>46158</v>
      </c>
      <c r="H3936" s="18" t="n">
        <v>148</v>
      </c>
      <c r="I3936" s="19" t="n">
        <v>6.93</v>
      </c>
      <c r="J3936" s="19" t="n">
        <v>7.2</v>
      </c>
      <c r="K3936" s="20" t="n">
        <v>0</v>
      </c>
      <c r="L3936" s="20" t="n">
        <v>0</v>
      </c>
      <c r="M3936" s="18" t="n">
        <v>148</v>
      </c>
      <c r="N3936" s="18" t="n">
        <v>148</v>
      </c>
      <c r="O3936" s="18" t="n">
        <v>0</v>
      </c>
      <c r="P3936" s="17" t="n">
        <v>46156</v>
      </c>
      <c r="Q3936" s="17" t="n">
        <v>46156</v>
      </c>
      <c r="R3936" s="17" t="n">
        <v>46156</v>
      </c>
      <c r="S3936" s="19">
        <f>H3936*I3936</f>
        <v/>
      </c>
      <c r="T3936" s="19">
        <f>H3936*J3936</f>
        <v/>
      </c>
      <c r="U3936">
        <f>IF(AND(K3936=0,G3936&lt;=Assumptions!$C$6),1,0)</f>
        <v/>
      </c>
      <c r="V3936">
        <f>IF(U3936=1,IF(M3936&gt;0,IF(P3936&lt;=G3936+Assumptions!$C$7,1,0),0),0)</f>
        <v/>
      </c>
      <c r="W3936">
        <f>IF(AND(U3936=1,M3936&gt;=H3936*(1-Assumptions!$C$8)),1,0)</f>
        <v/>
      </c>
      <c r="X3936">
        <f>IF(AND(U3936=1,N3936&gt;=H3936*(1-Assumptions!$C$8)),1,0)</f>
        <v/>
      </c>
      <c r="Y3936">
        <f>IF(ISNUMBER(Q3936),1,0)</f>
        <v/>
      </c>
      <c r="Z3936">
        <f>IF(AND(K3936=0,L3936=0,Y3936=0),1,0)</f>
        <v/>
      </c>
      <c r="AA3936">
        <f>IF(AND(Z3936=1,G3936&lt;Assumptions!$C$6),1,0)</f>
        <v/>
      </c>
      <c r="AB3936">
        <f>IF(U3936=0,"",IF(Y3936=1,MAX(0,Q3936-G3936),IF(L3936=1,MAX(0,R3936-G3936),MAX(0,Assumptions!$C$6-G3936))))</f>
        <v/>
      </c>
      <c r="AC3936">
        <f>IF(Y3936=1,Q3936-F3936,"")</f>
        <v/>
      </c>
      <c r="AD3936">
        <f>IF(Y3936=1,AC3936^2,"")</f>
        <v/>
      </c>
      <c r="AE3936" s="19">
        <f>IF(Z3936=1,(H3936-M3936)*I3936,0)</f>
        <v/>
      </c>
      <c r="AF3936">
        <f>IF(G3936&lt;EDATE(Assumptions!$C$6,-12)+1,"prior_12m","last_12m")</f>
        <v/>
      </c>
      <c r="AG3936" s="21">
        <f>DATE(YEAR(G3936),MONTH(G3936),1)</f>
        <v/>
      </c>
    </row>
    <row r="3937">
      <c r="A3937" t="inlineStr">
        <is>
          <t>SPO-02096-1</t>
        </is>
      </c>
      <c r="B3937" t="inlineStr">
        <is>
          <t>SPO-02096</t>
        </is>
      </c>
      <c r="C3937" t="inlineStr">
        <is>
          <t>SUP-12</t>
        </is>
      </c>
      <c r="D3937" t="inlineStr">
        <is>
          <t>IT</t>
        </is>
      </c>
      <c r="E3937" t="inlineStr">
        <is>
          <t>IT-07</t>
        </is>
      </c>
      <c r="F3937" s="17" t="n">
        <v>46150</v>
      </c>
      <c r="G3937" s="17" t="n">
        <v>46160</v>
      </c>
      <c r="H3937" s="18" t="n">
        <v>14</v>
      </c>
      <c r="I3937" s="19" t="n">
        <v>89.73999999999999</v>
      </c>
      <c r="J3937" s="19" t="n">
        <v>74</v>
      </c>
      <c r="K3937" s="20" t="n">
        <v>0</v>
      </c>
      <c r="L3937" s="20" t="n">
        <v>0</v>
      </c>
      <c r="M3937" s="18" t="n">
        <v>14</v>
      </c>
      <c r="N3937" s="18" t="n">
        <v>14</v>
      </c>
      <c r="O3937" s="18" t="n">
        <v>0</v>
      </c>
      <c r="P3937" s="17" t="n">
        <v>46155</v>
      </c>
      <c r="Q3937" s="17" t="n">
        <v>46155</v>
      </c>
      <c r="R3937" s="17" t="n">
        <v>46155</v>
      </c>
      <c r="S3937" s="19">
        <f>H3937*I3937</f>
        <v/>
      </c>
      <c r="T3937" s="19">
        <f>H3937*J3937</f>
        <v/>
      </c>
      <c r="U3937">
        <f>IF(AND(K3937=0,G3937&lt;=Assumptions!$C$6),1,0)</f>
        <v/>
      </c>
      <c r="V3937">
        <f>IF(U3937=1,IF(M3937&gt;0,IF(P3937&lt;=G3937+Assumptions!$C$7,1,0),0),0)</f>
        <v/>
      </c>
      <c r="W3937">
        <f>IF(AND(U3937=1,M3937&gt;=H3937*(1-Assumptions!$C$8)),1,0)</f>
        <v/>
      </c>
      <c r="X3937">
        <f>IF(AND(U3937=1,N3937&gt;=H3937*(1-Assumptions!$C$8)),1,0)</f>
        <v/>
      </c>
      <c r="Y3937">
        <f>IF(ISNUMBER(Q3937),1,0)</f>
        <v/>
      </c>
      <c r="Z3937">
        <f>IF(AND(K3937=0,L3937=0,Y3937=0),1,0)</f>
        <v/>
      </c>
      <c r="AA3937">
        <f>IF(AND(Z3937=1,G3937&lt;Assumptions!$C$6),1,0)</f>
        <v/>
      </c>
      <c r="AB3937">
        <f>IF(U3937=0,"",IF(Y3937=1,MAX(0,Q3937-G3937),IF(L3937=1,MAX(0,R3937-G3937),MAX(0,Assumptions!$C$6-G3937))))</f>
        <v/>
      </c>
      <c r="AC3937">
        <f>IF(Y3937=1,Q3937-F3937,"")</f>
        <v/>
      </c>
      <c r="AD3937">
        <f>IF(Y3937=1,AC3937^2,"")</f>
        <v/>
      </c>
      <c r="AE3937" s="19">
        <f>IF(Z3937=1,(H3937-M3937)*I3937,0)</f>
        <v/>
      </c>
      <c r="AF3937">
        <f>IF(G3937&lt;EDATE(Assumptions!$C$6,-12)+1,"prior_12m","last_12m")</f>
        <v/>
      </c>
      <c r="AG3937" s="21">
        <f>DATE(YEAR(G3937),MONTH(G3937),1)</f>
        <v/>
      </c>
    </row>
    <row r="3938">
      <c r="A3938" t="inlineStr">
        <is>
          <t>SPO-02096-2</t>
        </is>
      </c>
      <c r="B3938" t="inlineStr">
        <is>
          <t>SPO-02096</t>
        </is>
      </c>
      <c r="C3938" t="inlineStr">
        <is>
          <t>SUP-12</t>
        </is>
      </c>
      <c r="D3938" t="inlineStr">
        <is>
          <t>IT</t>
        </is>
      </c>
      <c r="E3938" t="inlineStr">
        <is>
          <t>IT-01</t>
        </is>
      </c>
      <c r="F3938" s="17" t="n">
        <v>46150</v>
      </c>
      <c r="G3938" s="17" t="n">
        <v>46160</v>
      </c>
      <c r="H3938" s="18" t="n">
        <v>13</v>
      </c>
      <c r="I3938" s="19" t="n">
        <v>224.58</v>
      </c>
      <c r="J3938" s="19" t="n">
        <v>189</v>
      </c>
      <c r="K3938" s="20" t="n">
        <v>0</v>
      </c>
      <c r="L3938" s="20" t="n">
        <v>0</v>
      </c>
      <c r="M3938" s="18" t="n">
        <v>13</v>
      </c>
      <c r="N3938" s="18" t="n">
        <v>13</v>
      </c>
      <c r="O3938" s="18" t="n">
        <v>0</v>
      </c>
      <c r="P3938" s="17" t="n">
        <v>46160</v>
      </c>
      <c r="Q3938" s="17" t="n">
        <v>46160</v>
      </c>
      <c r="R3938" s="17" t="n">
        <v>46160</v>
      </c>
      <c r="S3938" s="19">
        <f>H3938*I3938</f>
        <v/>
      </c>
      <c r="T3938" s="19">
        <f>H3938*J3938</f>
        <v/>
      </c>
      <c r="U3938">
        <f>IF(AND(K3938=0,G3938&lt;=Assumptions!$C$6),1,0)</f>
        <v/>
      </c>
      <c r="V3938">
        <f>IF(U3938=1,IF(M3938&gt;0,IF(P3938&lt;=G3938+Assumptions!$C$7,1,0),0),0)</f>
        <v/>
      </c>
      <c r="W3938">
        <f>IF(AND(U3938=1,M3938&gt;=H3938*(1-Assumptions!$C$8)),1,0)</f>
        <v/>
      </c>
      <c r="X3938">
        <f>IF(AND(U3938=1,N3938&gt;=H3938*(1-Assumptions!$C$8)),1,0)</f>
        <v/>
      </c>
      <c r="Y3938">
        <f>IF(ISNUMBER(Q3938),1,0)</f>
        <v/>
      </c>
      <c r="Z3938">
        <f>IF(AND(K3938=0,L3938=0,Y3938=0),1,0)</f>
        <v/>
      </c>
      <c r="AA3938">
        <f>IF(AND(Z3938=1,G3938&lt;Assumptions!$C$6),1,0)</f>
        <v/>
      </c>
      <c r="AB3938">
        <f>IF(U3938=0,"",IF(Y3938=1,MAX(0,Q3938-G3938),IF(L3938=1,MAX(0,R3938-G3938),MAX(0,Assumptions!$C$6-G3938))))</f>
        <v/>
      </c>
      <c r="AC3938">
        <f>IF(Y3938=1,Q3938-F3938,"")</f>
        <v/>
      </c>
      <c r="AD3938">
        <f>IF(Y3938=1,AC3938^2,"")</f>
        <v/>
      </c>
      <c r="AE3938" s="19">
        <f>IF(Z3938=1,(H3938-M3938)*I3938,0)</f>
        <v/>
      </c>
      <c r="AF3938">
        <f>IF(G3938&lt;EDATE(Assumptions!$C$6,-12)+1,"prior_12m","last_12m")</f>
        <v/>
      </c>
      <c r="AG3938" s="21">
        <f>DATE(YEAR(G3938),MONTH(G3938),1)</f>
        <v/>
      </c>
    </row>
    <row r="3939">
      <c r="A3939" t="inlineStr">
        <is>
          <t>SPO-02097-1</t>
        </is>
      </c>
      <c r="B3939" t="inlineStr">
        <is>
          <t>SPO-02097</t>
        </is>
      </c>
      <c r="C3939" t="inlineStr">
        <is>
          <t>SUP-05</t>
        </is>
      </c>
      <c r="D3939" t="inlineStr">
        <is>
          <t>FLEET</t>
        </is>
      </c>
      <c r="E3939" t="inlineStr">
        <is>
          <t>FLEET-07</t>
        </is>
      </c>
      <c r="F3939" s="17" t="n">
        <v>46150</v>
      </c>
      <c r="G3939" s="17" t="n">
        <v>46164</v>
      </c>
      <c r="H3939" s="18" t="n">
        <v>8</v>
      </c>
      <c r="I3939" s="19" t="n">
        <v>122.26</v>
      </c>
      <c r="J3939" s="19" t="n">
        <v>118</v>
      </c>
      <c r="K3939" s="20" t="n">
        <v>0</v>
      </c>
      <c r="L3939" s="20" t="n">
        <v>0</v>
      </c>
      <c r="M3939" s="18" t="n">
        <v>8</v>
      </c>
      <c r="N3939" s="18" t="n">
        <v>8</v>
      </c>
      <c r="O3939" s="18" t="n">
        <v>0</v>
      </c>
      <c r="P3939" s="17" t="n">
        <v>46161</v>
      </c>
      <c r="Q3939" s="17" t="n">
        <v>46161</v>
      </c>
      <c r="R3939" s="17" t="n">
        <v>46161</v>
      </c>
      <c r="S3939" s="19">
        <f>H3939*I3939</f>
        <v/>
      </c>
      <c r="T3939" s="19">
        <f>H3939*J3939</f>
        <v/>
      </c>
      <c r="U3939">
        <f>IF(AND(K3939=0,G3939&lt;=Assumptions!$C$6),1,0)</f>
        <v/>
      </c>
      <c r="V3939">
        <f>IF(U3939=1,IF(M3939&gt;0,IF(P3939&lt;=G3939+Assumptions!$C$7,1,0),0),0)</f>
        <v/>
      </c>
      <c r="W3939">
        <f>IF(AND(U3939=1,M3939&gt;=H3939*(1-Assumptions!$C$8)),1,0)</f>
        <v/>
      </c>
      <c r="X3939">
        <f>IF(AND(U3939=1,N3939&gt;=H3939*(1-Assumptions!$C$8)),1,0)</f>
        <v/>
      </c>
      <c r="Y3939">
        <f>IF(ISNUMBER(Q3939),1,0)</f>
        <v/>
      </c>
      <c r="Z3939">
        <f>IF(AND(K3939=0,L3939=0,Y3939=0),1,0)</f>
        <v/>
      </c>
      <c r="AA3939">
        <f>IF(AND(Z3939=1,G3939&lt;Assumptions!$C$6),1,0)</f>
        <v/>
      </c>
      <c r="AB3939">
        <f>IF(U3939=0,"",IF(Y3939=1,MAX(0,Q3939-G3939),IF(L3939=1,MAX(0,R3939-G3939),MAX(0,Assumptions!$C$6-G3939))))</f>
        <v/>
      </c>
      <c r="AC3939">
        <f>IF(Y3939=1,Q3939-F3939,"")</f>
        <v/>
      </c>
      <c r="AD3939">
        <f>IF(Y3939=1,AC3939^2,"")</f>
        <v/>
      </c>
      <c r="AE3939" s="19">
        <f>IF(Z3939=1,(H3939-M3939)*I3939,0)</f>
        <v/>
      </c>
      <c r="AF3939">
        <f>IF(G3939&lt;EDATE(Assumptions!$C$6,-12)+1,"prior_12m","last_12m")</f>
        <v/>
      </c>
      <c r="AG3939" s="21">
        <f>DATE(YEAR(G3939),MONTH(G3939),1)</f>
        <v/>
      </c>
    </row>
    <row r="3940">
      <c r="A3940" t="inlineStr">
        <is>
          <t>SPO-02097-2</t>
        </is>
      </c>
      <c r="B3940" t="inlineStr">
        <is>
          <t>SPO-02097</t>
        </is>
      </c>
      <c r="C3940" t="inlineStr">
        <is>
          <t>SUP-05</t>
        </is>
      </c>
      <c r="D3940" t="inlineStr">
        <is>
          <t>FLEET</t>
        </is>
      </c>
      <c r="E3940" t="inlineStr">
        <is>
          <t>FLEET-04</t>
        </is>
      </c>
      <c r="F3940" s="17" t="n">
        <v>46150</v>
      </c>
      <c r="G3940" s="17" t="n">
        <v>46164</v>
      </c>
      <c r="H3940" s="18" t="n">
        <v>272</v>
      </c>
      <c r="I3940" s="19" t="n">
        <v>9.039999999999999</v>
      </c>
      <c r="J3940" s="19" t="n">
        <v>9</v>
      </c>
      <c r="K3940" s="20" t="n">
        <v>0</v>
      </c>
      <c r="L3940" s="20" t="n">
        <v>0</v>
      </c>
      <c r="M3940" s="18" t="n">
        <v>272</v>
      </c>
      <c r="N3940" s="18" t="n">
        <v>272</v>
      </c>
      <c r="O3940" s="18" t="n">
        <v>0</v>
      </c>
      <c r="P3940" s="17" t="n">
        <v>46162</v>
      </c>
      <c r="Q3940" s="17" t="n">
        <v>46162</v>
      </c>
      <c r="R3940" s="17" t="n">
        <v>46162</v>
      </c>
      <c r="S3940" s="19">
        <f>H3940*I3940</f>
        <v/>
      </c>
      <c r="T3940" s="19">
        <f>H3940*J3940</f>
        <v/>
      </c>
      <c r="U3940">
        <f>IF(AND(K3940=0,G3940&lt;=Assumptions!$C$6),1,0)</f>
        <v/>
      </c>
      <c r="V3940">
        <f>IF(U3940=1,IF(M3940&gt;0,IF(P3940&lt;=G3940+Assumptions!$C$7,1,0),0),0)</f>
        <v/>
      </c>
      <c r="W3940">
        <f>IF(AND(U3940=1,M3940&gt;=H3940*(1-Assumptions!$C$8)),1,0)</f>
        <v/>
      </c>
      <c r="X3940">
        <f>IF(AND(U3940=1,N3940&gt;=H3940*(1-Assumptions!$C$8)),1,0)</f>
        <v/>
      </c>
      <c r="Y3940">
        <f>IF(ISNUMBER(Q3940),1,0)</f>
        <v/>
      </c>
      <c r="Z3940">
        <f>IF(AND(K3940=0,L3940=0,Y3940=0),1,0)</f>
        <v/>
      </c>
      <c r="AA3940">
        <f>IF(AND(Z3940=1,G3940&lt;Assumptions!$C$6),1,0)</f>
        <v/>
      </c>
      <c r="AB3940">
        <f>IF(U3940=0,"",IF(Y3940=1,MAX(0,Q3940-G3940),IF(L3940=1,MAX(0,R3940-G3940),MAX(0,Assumptions!$C$6-G3940))))</f>
        <v/>
      </c>
      <c r="AC3940">
        <f>IF(Y3940=1,Q3940-F3940,"")</f>
        <v/>
      </c>
      <c r="AD3940">
        <f>IF(Y3940=1,AC3940^2,"")</f>
        <v/>
      </c>
      <c r="AE3940" s="19">
        <f>IF(Z3940=1,(H3940-M3940)*I3940,0)</f>
        <v/>
      </c>
      <c r="AF3940">
        <f>IF(G3940&lt;EDATE(Assumptions!$C$6,-12)+1,"prior_12m","last_12m")</f>
        <v/>
      </c>
      <c r="AG3940" s="21">
        <f>DATE(YEAR(G3940),MONTH(G3940),1)</f>
        <v/>
      </c>
    </row>
    <row r="3941">
      <c r="A3941" t="inlineStr">
        <is>
          <t>SPO-02098-1</t>
        </is>
      </c>
      <c r="B3941" t="inlineStr">
        <is>
          <t>SPO-02098</t>
        </is>
      </c>
      <c r="C3941" t="inlineStr">
        <is>
          <t>SUP-01</t>
        </is>
      </c>
      <c r="D3941" t="inlineStr">
        <is>
          <t>ELEC</t>
        </is>
      </c>
      <c r="E3941" t="inlineStr">
        <is>
          <t>ELEC-07</t>
        </is>
      </c>
      <c r="F3941" s="17" t="n">
        <v>46151</v>
      </c>
      <c r="G3941" s="17" t="n">
        <v>46169</v>
      </c>
      <c r="H3941" s="18" t="n">
        <v>249</v>
      </c>
      <c r="I3941" s="19" t="n">
        <v>9.75</v>
      </c>
      <c r="J3941" s="19" t="n">
        <v>9.800000000000001</v>
      </c>
      <c r="K3941" s="20" t="n">
        <v>0</v>
      </c>
      <c r="L3941" s="20" t="n">
        <v>0</v>
      </c>
      <c r="M3941" s="18" t="n">
        <v>249</v>
      </c>
      <c r="N3941" s="18" t="n">
        <v>0</v>
      </c>
      <c r="O3941" s="18" t="n">
        <v>0</v>
      </c>
      <c r="P3941" s="17" t="n">
        <v>46173</v>
      </c>
      <c r="Q3941" s="17" t="n">
        <v>46173</v>
      </c>
      <c r="R3941" s="17" t="n">
        <v>46173</v>
      </c>
      <c r="S3941" s="19">
        <f>H3941*I3941</f>
        <v/>
      </c>
      <c r="T3941" s="19">
        <f>H3941*J3941</f>
        <v/>
      </c>
      <c r="U3941">
        <f>IF(AND(K3941=0,G3941&lt;=Assumptions!$C$6),1,0)</f>
        <v/>
      </c>
      <c r="V3941">
        <f>IF(U3941=1,IF(M3941&gt;0,IF(P3941&lt;=G3941+Assumptions!$C$7,1,0),0),0)</f>
        <v/>
      </c>
      <c r="W3941">
        <f>IF(AND(U3941=1,M3941&gt;=H3941*(1-Assumptions!$C$8)),1,0)</f>
        <v/>
      </c>
      <c r="X3941">
        <f>IF(AND(U3941=1,N3941&gt;=H3941*(1-Assumptions!$C$8)),1,0)</f>
        <v/>
      </c>
      <c r="Y3941">
        <f>IF(ISNUMBER(Q3941),1,0)</f>
        <v/>
      </c>
      <c r="Z3941">
        <f>IF(AND(K3941=0,L3941=0,Y3941=0),1,0)</f>
        <v/>
      </c>
      <c r="AA3941">
        <f>IF(AND(Z3941=1,G3941&lt;Assumptions!$C$6),1,0)</f>
        <v/>
      </c>
      <c r="AB3941">
        <f>IF(U3941=0,"",IF(Y3941=1,MAX(0,Q3941-G3941),IF(L3941=1,MAX(0,R3941-G3941),MAX(0,Assumptions!$C$6-G3941))))</f>
        <v/>
      </c>
      <c r="AC3941">
        <f>IF(Y3941=1,Q3941-F3941,"")</f>
        <v/>
      </c>
      <c r="AD3941">
        <f>IF(Y3941=1,AC3941^2,"")</f>
        <v/>
      </c>
      <c r="AE3941" s="19">
        <f>IF(Z3941=1,(H3941-M3941)*I3941,0)</f>
        <v/>
      </c>
      <c r="AF3941">
        <f>IF(G3941&lt;EDATE(Assumptions!$C$6,-12)+1,"prior_12m","last_12m")</f>
        <v/>
      </c>
      <c r="AG3941" s="21">
        <f>DATE(YEAR(G3941),MONTH(G3941),1)</f>
        <v/>
      </c>
    </row>
    <row r="3942">
      <c r="A3942" t="inlineStr">
        <is>
          <t>SPO-02099-1</t>
        </is>
      </c>
      <c r="B3942" t="inlineStr">
        <is>
          <t>SPO-02099</t>
        </is>
      </c>
      <c r="C3942" t="inlineStr">
        <is>
          <t>SUP-02</t>
        </is>
      </c>
      <c r="D3942" t="inlineStr">
        <is>
          <t>ELEC</t>
        </is>
      </c>
      <c r="E3942" t="inlineStr">
        <is>
          <t>ELEC-01</t>
        </is>
      </c>
      <c r="F3942" s="17" t="n">
        <v>46152</v>
      </c>
      <c r="G3942" s="17" t="n">
        <v>46168</v>
      </c>
      <c r="H3942" s="18" t="n">
        <v>40</v>
      </c>
      <c r="I3942" s="19" t="n">
        <v>35.81</v>
      </c>
      <c r="J3942" s="19" t="n">
        <v>38</v>
      </c>
      <c r="K3942" s="20" t="n">
        <v>0</v>
      </c>
      <c r="L3942" s="20" t="n">
        <v>0</v>
      </c>
      <c r="M3942" s="18" t="n">
        <v>40</v>
      </c>
      <c r="N3942" s="18" t="n">
        <v>40</v>
      </c>
      <c r="O3942" s="18" t="n">
        <v>0</v>
      </c>
      <c r="P3942" s="17" t="n">
        <v>46166</v>
      </c>
      <c r="Q3942" s="17" t="n">
        <v>46166</v>
      </c>
      <c r="R3942" s="17" t="n">
        <v>46166</v>
      </c>
      <c r="S3942" s="19">
        <f>H3942*I3942</f>
        <v/>
      </c>
      <c r="T3942" s="19">
        <f>H3942*J3942</f>
        <v/>
      </c>
      <c r="U3942">
        <f>IF(AND(K3942=0,G3942&lt;=Assumptions!$C$6),1,0)</f>
        <v/>
      </c>
      <c r="V3942">
        <f>IF(U3942=1,IF(M3942&gt;0,IF(P3942&lt;=G3942+Assumptions!$C$7,1,0),0),0)</f>
        <v/>
      </c>
      <c r="W3942">
        <f>IF(AND(U3942=1,M3942&gt;=H3942*(1-Assumptions!$C$8)),1,0)</f>
        <v/>
      </c>
      <c r="X3942">
        <f>IF(AND(U3942=1,N3942&gt;=H3942*(1-Assumptions!$C$8)),1,0)</f>
        <v/>
      </c>
      <c r="Y3942">
        <f>IF(ISNUMBER(Q3942),1,0)</f>
        <v/>
      </c>
      <c r="Z3942">
        <f>IF(AND(K3942=0,L3942=0,Y3942=0),1,0)</f>
        <v/>
      </c>
      <c r="AA3942">
        <f>IF(AND(Z3942=1,G3942&lt;Assumptions!$C$6),1,0)</f>
        <v/>
      </c>
      <c r="AB3942">
        <f>IF(U3942=0,"",IF(Y3942=1,MAX(0,Q3942-G3942),IF(L3942=1,MAX(0,R3942-G3942),MAX(0,Assumptions!$C$6-G3942))))</f>
        <v/>
      </c>
      <c r="AC3942">
        <f>IF(Y3942=1,Q3942-F3942,"")</f>
        <v/>
      </c>
      <c r="AD3942">
        <f>IF(Y3942=1,AC3942^2,"")</f>
        <v/>
      </c>
      <c r="AE3942" s="19">
        <f>IF(Z3942=1,(H3942-M3942)*I3942,0)</f>
        <v/>
      </c>
      <c r="AF3942">
        <f>IF(G3942&lt;EDATE(Assumptions!$C$6,-12)+1,"prior_12m","last_12m")</f>
        <v/>
      </c>
      <c r="AG3942" s="21">
        <f>DATE(YEAR(G3942),MONTH(G3942),1)</f>
        <v/>
      </c>
    </row>
    <row r="3943">
      <c r="A3943" t="inlineStr">
        <is>
          <t>SPO-02099-2</t>
        </is>
      </c>
      <c r="B3943" t="inlineStr">
        <is>
          <t>SPO-02099</t>
        </is>
      </c>
      <c r="C3943" t="inlineStr">
        <is>
          <t>SUP-02</t>
        </is>
      </c>
      <c r="D3943" t="inlineStr">
        <is>
          <t>ELEC</t>
        </is>
      </c>
      <c r="E3943" t="inlineStr">
        <is>
          <t>ELEC-05</t>
        </is>
      </c>
      <c r="F3943" s="17" t="n">
        <v>46152</v>
      </c>
      <c r="G3943" s="17" t="n">
        <v>46168</v>
      </c>
      <c r="H3943" s="18" t="n">
        <v>163</v>
      </c>
      <c r="I3943" s="19" t="n">
        <v>11.65</v>
      </c>
      <c r="J3943" s="19" t="n">
        <v>11.5</v>
      </c>
      <c r="K3943" s="20" t="n">
        <v>0</v>
      </c>
      <c r="L3943" s="20" t="n">
        <v>0</v>
      </c>
      <c r="M3943" s="18" t="n">
        <v>163</v>
      </c>
      <c r="N3943" s="18" t="n">
        <v>163</v>
      </c>
      <c r="O3943" s="18" t="n">
        <v>0</v>
      </c>
      <c r="P3943" s="17" t="n">
        <v>46165</v>
      </c>
      <c r="Q3943" s="17" t="n">
        <v>46165</v>
      </c>
      <c r="R3943" s="17" t="n">
        <v>46165</v>
      </c>
      <c r="S3943" s="19">
        <f>H3943*I3943</f>
        <v/>
      </c>
      <c r="T3943" s="19">
        <f>H3943*J3943</f>
        <v/>
      </c>
      <c r="U3943">
        <f>IF(AND(K3943=0,G3943&lt;=Assumptions!$C$6),1,0)</f>
        <v/>
      </c>
      <c r="V3943">
        <f>IF(U3943=1,IF(M3943&gt;0,IF(P3943&lt;=G3943+Assumptions!$C$7,1,0),0),0)</f>
        <v/>
      </c>
      <c r="W3943">
        <f>IF(AND(U3943=1,M3943&gt;=H3943*(1-Assumptions!$C$8)),1,0)</f>
        <v/>
      </c>
      <c r="X3943">
        <f>IF(AND(U3943=1,N3943&gt;=H3943*(1-Assumptions!$C$8)),1,0)</f>
        <v/>
      </c>
      <c r="Y3943">
        <f>IF(ISNUMBER(Q3943),1,0)</f>
        <v/>
      </c>
      <c r="Z3943">
        <f>IF(AND(K3943=0,L3943=0,Y3943=0),1,0)</f>
        <v/>
      </c>
      <c r="AA3943">
        <f>IF(AND(Z3943=1,G3943&lt;Assumptions!$C$6),1,0)</f>
        <v/>
      </c>
      <c r="AB3943">
        <f>IF(U3943=0,"",IF(Y3943=1,MAX(0,Q3943-G3943),IF(L3943=1,MAX(0,R3943-G3943),MAX(0,Assumptions!$C$6-G3943))))</f>
        <v/>
      </c>
      <c r="AC3943">
        <f>IF(Y3943=1,Q3943-F3943,"")</f>
        <v/>
      </c>
      <c r="AD3943">
        <f>IF(Y3943=1,AC3943^2,"")</f>
        <v/>
      </c>
      <c r="AE3943" s="19">
        <f>IF(Z3943=1,(H3943-M3943)*I3943,0)</f>
        <v/>
      </c>
      <c r="AF3943">
        <f>IF(G3943&lt;EDATE(Assumptions!$C$6,-12)+1,"prior_12m","last_12m")</f>
        <v/>
      </c>
      <c r="AG3943" s="21">
        <f>DATE(YEAR(G3943),MONTH(G3943),1)</f>
        <v/>
      </c>
    </row>
    <row r="3944">
      <c r="A3944" t="inlineStr">
        <is>
          <t>SPO-02100-1</t>
        </is>
      </c>
      <c r="B3944" t="inlineStr">
        <is>
          <t>SPO-02100</t>
        </is>
      </c>
      <c r="C3944" t="inlineStr">
        <is>
          <t>SUP-06</t>
        </is>
      </c>
      <c r="D3944" t="inlineStr">
        <is>
          <t>MRO</t>
        </is>
      </c>
      <c r="E3944" t="inlineStr">
        <is>
          <t>MRO-08</t>
        </is>
      </c>
      <c r="F3944" s="17" t="n">
        <v>46152</v>
      </c>
      <c r="G3944" s="17" t="n">
        <v>46160</v>
      </c>
      <c r="H3944" s="18" t="n">
        <v>259</v>
      </c>
      <c r="I3944" s="19" t="n">
        <v>7.17</v>
      </c>
      <c r="J3944" s="19" t="n">
        <v>7.2</v>
      </c>
      <c r="K3944" s="20" t="n">
        <v>0</v>
      </c>
      <c r="L3944" s="20" t="n">
        <v>0</v>
      </c>
      <c r="M3944" s="18" t="n">
        <v>259</v>
      </c>
      <c r="N3944" s="18" t="n">
        <v>259</v>
      </c>
      <c r="O3944" s="18" t="n">
        <v>0</v>
      </c>
      <c r="P3944" s="17" t="n">
        <v>46158</v>
      </c>
      <c r="Q3944" s="17" t="n">
        <v>46158</v>
      </c>
      <c r="R3944" s="17" t="n">
        <v>46158</v>
      </c>
      <c r="S3944" s="19">
        <f>H3944*I3944</f>
        <v/>
      </c>
      <c r="T3944" s="19">
        <f>H3944*J3944</f>
        <v/>
      </c>
      <c r="U3944">
        <f>IF(AND(K3944=0,G3944&lt;=Assumptions!$C$6),1,0)</f>
        <v/>
      </c>
      <c r="V3944">
        <f>IF(U3944=1,IF(M3944&gt;0,IF(P3944&lt;=G3944+Assumptions!$C$7,1,0),0),0)</f>
        <v/>
      </c>
      <c r="W3944">
        <f>IF(AND(U3944=1,M3944&gt;=H3944*(1-Assumptions!$C$8)),1,0)</f>
        <v/>
      </c>
      <c r="X3944">
        <f>IF(AND(U3944=1,N3944&gt;=H3944*(1-Assumptions!$C$8)),1,0)</f>
        <v/>
      </c>
      <c r="Y3944">
        <f>IF(ISNUMBER(Q3944),1,0)</f>
        <v/>
      </c>
      <c r="Z3944">
        <f>IF(AND(K3944=0,L3944=0,Y3944=0),1,0)</f>
        <v/>
      </c>
      <c r="AA3944">
        <f>IF(AND(Z3944=1,G3944&lt;Assumptions!$C$6),1,0)</f>
        <v/>
      </c>
      <c r="AB3944">
        <f>IF(U3944=0,"",IF(Y3944=1,MAX(0,Q3944-G3944),IF(L3944=1,MAX(0,R3944-G3944),MAX(0,Assumptions!$C$6-G3944))))</f>
        <v/>
      </c>
      <c r="AC3944">
        <f>IF(Y3944=1,Q3944-F3944,"")</f>
        <v/>
      </c>
      <c r="AD3944">
        <f>IF(Y3944=1,AC3944^2,"")</f>
        <v/>
      </c>
      <c r="AE3944" s="19">
        <f>IF(Z3944=1,(H3944-M3944)*I3944,0)</f>
        <v/>
      </c>
      <c r="AF3944">
        <f>IF(G3944&lt;EDATE(Assumptions!$C$6,-12)+1,"prior_12m","last_12m")</f>
        <v/>
      </c>
      <c r="AG3944" s="21">
        <f>DATE(YEAR(G3944),MONTH(G3944),1)</f>
        <v/>
      </c>
    </row>
    <row r="3945">
      <c r="A3945" t="inlineStr">
        <is>
          <t>SPO-02100-2</t>
        </is>
      </c>
      <c r="B3945" t="inlineStr">
        <is>
          <t>SPO-02100</t>
        </is>
      </c>
      <c r="C3945" t="inlineStr">
        <is>
          <t>SUP-06</t>
        </is>
      </c>
      <c r="D3945" t="inlineStr">
        <is>
          <t>MRO</t>
        </is>
      </c>
      <c r="E3945" t="inlineStr">
        <is>
          <t>MRO-07</t>
        </is>
      </c>
      <c r="F3945" s="17" t="n">
        <v>46152</v>
      </c>
      <c r="G3945" s="17" t="n">
        <v>46160</v>
      </c>
      <c r="H3945" s="18" t="n">
        <v>65</v>
      </c>
      <c r="I3945" s="19" t="n">
        <v>14.19</v>
      </c>
      <c r="J3945" s="19" t="n">
        <v>14</v>
      </c>
      <c r="K3945" s="20" t="n">
        <v>0</v>
      </c>
      <c r="L3945" s="20" t="n">
        <v>0</v>
      </c>
      <c r="M3945" s="18" t="n">
        <v>65</v>
      </c>
      <c r="N3945" s="18" t="n">
        <v>65</v>
      </c>
      <c r="O3945" s="18" t="n">
        <v>0</v>
      </c>
      <c r="P3945" s="17" t="n">
        <v>46159</v>
      </c>
      <c r="Q3945" s="17" t="n">
        <v>46159</v>
      </c>
      <c r="R3945" s="17" t="n">
        <v>46159</v>
      </c>
      <c r="S3945" s="19">
        <f>H3945*I3945</f>
        <v/>
      </c>
      <c r="T3945" s="19">
        <f>H3945*J3945</f>
        <v/>
      </c>
      <c r="U3945">
        <f>IF(AND(K3945=0,G3945&lt;=Assumptions!$C$6),1,0)</f>
        <v/>
      </c>
      <c r="V3945">
        <f>IF(U3945=1,IF(M3945&gt;0,IF(P3945&lt;=G3945+Assumptions!$C$7,1,0),0),0)</f>
        <v/>
      </c>
      <c r="W3945">
        <f>IF(AND(U3945=1,M3945&gt;=H3945*(1-Assumptions!$C$8)),1,0)</f>
        <v/>
      </c>
      <c r="X3945">
        <f>IF(AND(U3945=1,N3945&gt;=H3945*(1-Assumptions!$C$8)),1,0)</f>
        <v/>
      </c>
      <c r="Y3945">
        <f>IF(ISNUMBER(Q3945),1,0)</f>
        <v/>
      </c>
      <c r="Z3945">
        <f>IF(AND(K3945=0,L3945=0,Y3945=0),1,0)</f>
        <v/>
      </c>
      <c r="AA3945">
        <f>IF(AND(Z3945=1,G3945&lt;Assumptions!$C$6),1,0)</f>
        <v/>
      </c>
      <c r="AB3945">
        <f>IF(U3945=0,"",IF(Y3945=1,MAX(0,Q3945-G3945),IF(L3945=1,MAX(0,R3945-G3945),MAX(0,Assumptions!$C$6-G3945))))</f>
        <v/>
      </c>
      <c r="AC3945">
        <f>IF(Y3945=1,Q3945-F3945,"")</f>
        <v/>
      </c>
      <c r="AD3945">
        <f>IF(Y3945=1,AC3945^2,"")</f>
        <v/>
      </c>
      <c r="AE3945" s="19">
        <f>IF(Z3945=1,(H3945-M3945)*I3945,0)</f>
        <v/>
      </c>
      <c r="AF3945">
        <f>IF(G3945&lt;EDATE(Assumptions!$C$6,-12)+1,"prior_12m","last_12m")</f>
        <v/>
      </c>
      <c r="AG3945" s="21">
        <f>DATE(YEAR(G3945),MONTH(G3945),1)</f>
        <v/>
      </c>
    </row>
    <row r="3946">
      <c r="A3946" t="inlineStr">
        <is>
          <t>SPO-02100-3</t>
        </is>
      </c>
      <c r="B3946" t="inlineStr">
        <is>
          <t>SPO-02100</t>
        </is>
      </c>
      <c r="C3946" t="inlineStr">
        <is>
          <t>SUP-06</t>
        </is>
      </c>
      <c r="D3946" t="inlineStr">
        <is>
          <t>MRO</t>
        </is>
      </c>
      <c r="E3946" t="inlineStr">
        <is>
          <t>MRO-01</t>
        </is>
      </c>
      <c r="F3946" s="17" t="n">
        <v>46152</v>
      </c>
      <c r="G3946" s="17" t="n">
        <v>46160</v>
      </c>
      <c r="H3946" s="18" t="n">
        <v>17</v>
      </c>
      <c r="I3946" s="19" t="n">
        <v>52.86</v>
      </c>
      <c r="J3946" s="19" t="n">
        <v>52</v>
      </c>
      <c r="K3946" s="20" t="n">
        <v>0</v>
      </c>
      <c r="L3946" s="20" t="n">
        <v>0</v>
      </c>
      <c r="M3946" s="18" t="n">
        <v>17</v>
      </c>
      <c r="N3946" s="18" t="n">
        <v>17</v>
      </c>
      <c r="O3946" s="18" t="n">
        <v>0</v>
      </c>
      <c r="P3946" s="17" t="n">
        <v>46158</v>
      </c>
      <c r="Q3946" s="17" t="n">
        <v>46158</v>
      </c>
      <c r="R3946" s="17" t="n">
        <v>46158</v>
      </c>
      <c r="S3946" s="19">
        <f>H3946*I3946</f>
        <v/>
      </c>
      <c r="T3946" s="19">
        <f>H3946*J3946</f>
        <v/>
      </c>
      <c r="U3946">
        <f>IF(AND(K3946=0,G3946&lt;=Assumptions!$C$6),1,0)</f>
        <v/>
      </c>
      <c r="V3946">
        <f>IF(U3946=1,IF(M3946&gt;0,IF(P3946&lt;=G3946+Assumptions!$C$7,1,0),0),0)</f>
        <v/>
      </c>
      <c r="W3946">
        <f>IF(AND(U3946=1,M3946&gt;=H3946*(1-Assumptions!$C$8)),1,0)</f>
        <v/>
      </c>
      <c r="X3946">
        <f>IF(AND(U3946=1,N3946&gt;=H3946*(1-Assumptions!$C$8)),1,0)</f>
        <v/>
      </c>
      <c r="Y3946">
        <f>IF(ISNUMBER(Q3946),1,0)</f>
        <v/>
      </c>
      <c r="Z3946">
        <f>IF(AND(K3946=0,L3946=0,Y3946=0),1,0)</f>
        <v/>
      </c>
      <c r="AA3946">
        <f>IF(AND(Z3946=1,G3946&lt;Assumptions!$C$6),1,0)</f>
        <v/>
      </c>
      <c r="AB3946">
        <f>IF(U3946=0,"",IF(Y3946=1,MAX(0,Q3946-G3946),IF(L3946=1,MAX(0,R3946-G3946),MAX(0,Assumptions!$C$6-G3946))))</f>
        <v/>
      </c>
      <c r="AC3946">
        <f>IF(Y3946=1,Q3946-F3946,"")</f>
        <v/>
      </c>
      <c r="AD3946">
        <f>IF(Y3946=1,AC3946^2,"")</f>
        <v/>
      </c>
      <c r="AE3946" s="19">
        <f>IF(Z3946=1,(H3946-M3946)*I3946,0)</f>
        <v/>
      </c>
      <c r="AF3946">
        <f>IF(G3946&lt;EDATE(Assumptions!$C$6,-12)+1,"prior_12m","last_12m")</f>
        <v/>
      </c>
      <c r="AG3946" s="21">
        <f>DATE(YEAR(G3946),MONTH(G3946),1)</f>
        <v/>
      </c>
    </row>
    <row r="3947">
      <c r="A3947" t="inlineStr">
        <is>
          <t>SPO-02101-1</t>
        </is>
      </c>
      <c r="B3947" t="inlineStr">
        <is>
          <t>SPO-02101</t>
        </is>
      </c>
      <c r="C3947" t="inlineStr">
        <is>
          <t>SUP-01</t>
        </is>
      </c>
      <c r="D3947" t="inlineStr">
        <is>
          <t>ELEC</t>
        </is>
      </c>
      <c r="E3947" t="inlineStr">
        <is>
          <t>ELEC-06</t>
        </is>
      </c>
      <c r="F3947" s="17" t="n">
        <v>46153</v>
      </c>
      <c r="G3947" s="17" t="n">
        <v>46171</v>
      </c>
      <c r="H3947" s="18" t="n">
        <v>17</v>
      </c>
      <c r="I3947" s="19" t="n">
        <v>151.29</v>
      </c>
      <c r="J3947" s="19" t="n">
        <v>145</v>
      </c>
      <c r="K3947" s="20" t="n">
        <v>0</v>
      </c>
      <c r="L3947" s="20" t="n">
        <v>0</v>
      </c>
      <c r="M3947" s="18" t="n">
        <v>17</v>
      </c>
      <c r="N3947" s="18" t="n">
        <v>17</v>
      </c>
      <c r="O3947" s="18" t="n">
        <v>0</v>
      </c>
      <c r="P3947" s="17" t="n">
        <v>46163</v>
      </c>
      <c r="Q3947" s="17" t="n">
        <v>46163</v>
      </c>
      <c r="R3947" s="17" t="n">
        <v>46163</v>
      </c>
      <c r="S3947" s="19">
        <f>H3947*I3947</f>
        <v/>
      </c>
      <c r="T3947" s="19">
        <f>H3947*J3947</f>
        <v/>
      </c>
      <c r="U3947">
        <f>IF(AND(K3947=0,G3947&lt;=Assumptions!$C$6),1,0)</f>
        <v/>
      </c>
      <c r="V3947">
        <f>IF(U3947=1,IF(M3947&gt;0,IF(P3947&lt;=G3947+Assumptions!$C$7,1,0),0),0)</f>
        <v/>
      </c>
      <c r="W3947">
        <f>IF(AND(U3947=1,M3947&gt;=H3947*(1-Assumptions!$C$8)),1,0)</f>
        <v/>
      </c>
      <c r="X3947">
        <f>IF(AND(U3947=1,N3947&gt;=H3947*(1-Assumptions!$C$8)),1,0)</f>
        <v/>
      </c>
      <c r="Y3947">
        <f>IF(ISNUMBER(Q3947),1,0)</f>
        <v/>
      </c>
      <c r="Z3947">
        <f>IF(AND(K3947=0,L3947=0,Y3947=0),1,0)</f>
        <v/>
      </c>
      <c r="AA3947">
        <f>IF(AND(Z3947=1,G3947&lt;Assumptions!$C$6),1,0)</f>
        <v/>
      </c>
      <c r="AB3947">
        <f>IF(U3947=0,"",IF(Y3947=1,MAX(0,Q3947-G3947),IF(L3947=1,MAX(0,R3947-G3947),MAX(0,Assumptions!$C$6-G3947))))</f>
        <v/>
      </c>
      <c r="AC3947">
        <f>IF(Y3947=1,Q3947-F3947,"")</f>
        <v/>
      </c>
      <c r="AD3947">
        <f>IF(Y3947=1,AC3947^2,"")</f>
        <v/>
      </c>
      <c r="AE3947" s="19">
        <f>IF(Z3947=1,(H3947-M3947)*I3947,0)</f>
        <v/>
      </c>
      <c r="AF3947">
        <f>IF(G3947&lt;EDATE(Assumptions!$C$6,-12)+1,"prior_12m","last_12m")</f>
        <v/>
      </c>
      <c r="AG3947" s="21">
        <f>DATE(YEAR(G3947),MONTH(G3947),1)</f>
        <v/>
      </c>
    </row>
    <row r="3948">
      <c r="A3948" t="inlineStr">
        <is>
          <t>SPO-02101-2</t>
        </is>
      </c>
      <c r="B3948" t="inlineStr">
        <is>
          <t>SPO-02101</t>
        </is>
      </c>
      <c r="C3948" t="inlineStr">
        <is>
          <t>SUP-01</t>
        </is>
      </c>
      <c r="D3948" t="inlineStr">
        <is>
          <t>ELEC</t>
        </is>
      </c>
      <c r="E3948" t="inlineStr">
        <is>
          <t>ELEC-05</t>
        </is>
      </c>
      <c r="F3948" s="17" t="n">
        <v>46153</v>
      </c>
      <c r="G3948" s="17" t="n">
        <v>46171</v>
      </c>
      <c r="H3948" s="18" t="n">
        <v>305</v>
      </c>
      <c r="I3948" s="19" t="n">
        <v>11.46</v>
      </c>
      <c r="J3948" s="19" t="n">
        <v>11.5</v>
      </c>
      <c r="K3948" s="20" t="n">
        <v>0</v>
      </c>
      <c r="L3948" s="20" t="n">
        <v>0</v>
      </c>
      <c r="M3948" s="18" t="n">
        <v>305</v>
      </c>
      <c r="N3948" s="18" t="n">
        <v>305</v>
      </c>
      <c r="O3948" s="18" t="n">
        <v>0</v>
      </c>
      <c r="P3948" s="17" t="n">
        <v>46164</v>
      </c>
      <c r="Q3948" s="17" t="n">
        <v>46164</v>
      </c>
      <c r="R3948" s="17" t="n">
        <v>46164</v>
      </c>
      <c r="S3948" s="19">
        <f>H3948*I3948</f>
        <v/>
      </c>
      <c r="T3948" s="19">
        <f>H3948*J3948</f>
        <v/>
      </c>
      <c r="U3948">
        <f>IF(AND(K3948=0,G3948&lt;=Assumptions!$C$6),1,0)</f>
        <v/>
      </c>
      <c r="V3948">
        <f>IF(U3948=1,IF(M3948&gt;0,IF(P3948&lt;=G3948+Assumptions!$C$7,1,0),0),0)</f>
        <v/>
      </c>
      <c r="W3948">
        <f>IF(AND(U3948=1,M3948&gt;=H3948*(1-Assumptions!$C$8)),1,0)</f>
        <v/>
      </c>
      <c r="X3948">
        <f>IF(AND(U3948=1,N3948&gt;=H3948*(1-Assumptions!$C$8)),1,0)</f>
        <v/>
      </c>
      <c r="Y3948">
        <f>IF(ISNUMBER(Q3948),1,0)</f>
        <v/>
      </c>
      <c r="Z3948">
        <f>IF(AND(K3948=0,L3948=0,Y3948=0),1,0)</f>
        <v/>
      </c>
      <c r="AA3948">
        <f>IF(AND(Z3948=1,G3948&lt;Assumptions!$C$6),1,0)</f>
        <v/>
      </c>
      <c r="AB3948">
        <f>IF(U3948=0,"",IF(Y3948=1,MAX(0,Q3948-G3948),IF(L3948=1,MAX(0,R3948-G3948),MAX(0,Assumptions!$C$6-G3948))))</f>
        <v/>
      </c>
      <c r="AC3948">
        <f>IF(Y3948=1,Q3948-F3948,"")</f>
        <v/>
      </c>
      <c r="AD3948">
        <f>IF(Y3948=1,AC3948^2,"")</f>
        <v/>
      </c>
      <c r="AE3948" s="19">
        <f>IF(Z3948=1,(H3948-M3948)*I3948,0)</f>
        <v/>
      </c>
      <c r="AF3948">
        <f>IF(G3948&lt;EDATE(Assumptions!$C$6,-12)+1,"prior_12m","last_12m")</f>
        <v/>
      </c>
      <c r="AG3948" s="21">
        <f>DATE(YEAR(G3948),MONTH(G3948),1)</f>
        <v/>
      </c>
    </row>
    <row r="3949">
      <c r="A3949" t="inlineStr">
        <is>
          <t>SPO-02101-3</t>
        </is>
      </c>
      <c r="B3949" t="inlineStr">
        <is>
          <t>SPO-02101</t>
        </is>
      </c>
      <c r="C3949" t="inlineStr">
        <is>
          <t>SUP-01</t>
        </is>
      </c>
      <c r="D3949" t="inlineStr">
        <is>
          <t>ELEC</t>
        </is>
      </c>
      <c r="E3949" t="inlineStr">
        <is>
          <t>ELEC-03</t>
        </is>
      </c>
      <c r="F3949" s="17" t="n">
        <v>46153</v>
      </c>
      <c r="G3949" s="17" t="n">
        <v>46171</v>
      </c>
      <c r="H3949" s="18" t="n">
        <v>15</v>
      </c>
      <c r="I3949" s="19" t="n">
        <v>95.47</v>
      </c>
      <c r="J3949" s="19" t="n">
        <v>96</v>
      </c>
      <c r="K3949" s="20" t="n">
        <v>0</v>
      </c>
      <c r="L3949" s="20" t="n">
        <v>0</v>
      </c>
      <c r="M3949" s="18" t="n">
        <v>15</v>
      </c>
      <c r="N3949" s="18" t="n">
        <v>15</v>
      </c>
      <c r="O3949" s="18" t="n">
        <v>0</v>
      </c>
      <c r="P3949" s="17" t="n">
        <v>46171</v>
      </c>
      <c r="Q3949" s="17" t="n">
        <v>46171</v>
      </c>
      <c r="R3949" s="17" t="n">
        <v>46171</v>
      </c>
      <c r="S3949" s="19">
        <f>H3949*I3949</f>
        <v/>
      </c>
      <c r="T3949" s="19">
        <f>H3949*J3949</f>
        <v/>
      </c>
      <c r="U3949">
        <f>IF(AND(K3949=0,G3949&lt;=Assumptions!$C$6),1,0)</f>
        <v/>
      </c>
      <c r="V3949">
        <f>IF(U3949=1,IF(M3949&gt;0,IF(P3949&lt;=G3949+Assumptions!$C$7,1,0),0),0)</f>
        <v/>
      </c>
      <c r="W3949">
        <f>IF(AND(U3949=1,M3949&gt;=H3949*(1-Assumptions!$C$8)),1,0)</f>
        <v/>
      </c>
      <c r="X3949">
        <f>IF(AND(U3949=1,N3949&gt;=H3949*(1-Assumptions!$C$8)),1,0)</f>
        <v/>
      </c>
      <c r="Y3949">
        <f>IF(ISNUMBER(Q3949),1,0)</f>
        <v/>
      </c>
      <c r="Z3949">
        <f>IF(AND(K3949=0,L3949=0,Y3949=0),1,0)</f>
        <v/>
      </c>
      <c r="AA3949">
        <f>IF(AND(Z3949=1,G3949&lt;Assumptions!$C$6),1,0)</f>
        <v/>
      </c>
      <c r="AB3949">
        <f>IF(U3949=0,"",IF(Y3949=1,MAX(0,Q3949-G3949),IF(L3949=1,MAX(0,R3949-G3949),MAX(0,Assumptions!$C$6-G3949))))</f>
        <v/>
      </c>
      <c r="AC3949">
        <f>IF(Y3949=1,Q3949-F3949,"")</f>
        <v/>
      </c>
      <c r="AD3949">
        <f>IF(Y3949=1,AC3949^2,"")</f>
        <v/>
      </c>
      <c r="AE3949" s="19">
        <f>IF(Z3949=1,(H3949-M3949)*I3949,0)</f>
        <v/>
      </c>
      <c r="AF3949">
        <f>IF(G3949&lt;EDATE(Assumptions!$C$6,-12)+1,"prior_12m","last_12m")</f>
        <v/>
      </c>
      <c r="AG3949" s="21">
        <f>DATE(YEAR(G3949),MONTH(G3949),1)</f>
        <v/>
      </c>
    </row>
    <row r="3950">
      <c r="A3950" t="inlineStr">
        <is>
          <t>SPO-02102-1</t>
        </is>
      </c>
      <c r="B3950" t="inlineStr">
        <is>
          <t>SPO-02102</t>
        </is>
      </c>
      <c r="C3950" t="inlineStr">
        <is>
          <t>SUP-04</t>
        </is>
      </c>
      <c r="D3950" t="inlineStr">
        <is>
          <t>FLEET</t>
        </is>
      </c>
      <c r="E3950" t="inlineStr">
        <is>
          <t>FLEET-07</t>
        </is>
      </c>
      <c r="F3950" s="17" t="n">
        <v>46153</v>
      </c>
      <c r="G3950" s="17" t="n">
        <v>46166</v>
      </c>
      <c r="H3950" s="18" t="n">
        <v>5</v>
      </c>
      <c r="I3950" s="19" t="n">
        <v>114.68</v>
      </c>
      <c r="J3950" s="19" t="n">
        <v>118</v>
      </c>
      <c r="K3950" s="20" t="n">
        <v>0</v>
      </c>
      <c r="L3950" s="20" t="n">
        <v>0</v>
      </c>
      <c r="M3950" s="18" t="n">
        <v>5</v>
      </c>
      <c r="N3950" s="18" t="n">
        <v>5</v>
      </c>
      <c r="O3950" s="18" t="n">
        <v>0</v>
      </c>
      <c r="P3950" s="17" t="n">
        <v>46163</v>
      </c>
      <c r="Q3950" s="17" t="n">
        <v>46163</v>
      </c>
      <c r="R3950" s="17" t="n">
        <v>46163</v>
      </c>
      <c r="S3950" s="19">
        <f>H3950*I3950</f>
        <v/>
      </c>
      <c r="T3950" s="19">
        <f>H3950*J3950</f>
        <v/>
      </c>
      <c r="U3950">
        <f>IF(AND(K3950=0,G3950&lt;=Assumptions!$C$6),1,0)</f>
        <v/>
      </c>
      <c r="V3950">
        <f>IF(U3950=1,IF(M3950&gt;0,IF(P3950&lt;=G3950+Assumptions!$C$7,1,0),0),0)</f>
        <v/>
      </c>
      <c r="W3950">
        <f>IF(AND(U3950=1,M3950&gt;=H3950*(1-Assumptions!$C$8)),1,0)</f>
        <v/>
      </c>
      <c r="X3950">
        <f>IF(AND(U3950=1,N3950&gt;=H3950*(1-Assumptions!$C$8)),1,0)</f>
        <v/>
      </c>
      <c r="Y3950">
        <f>IF(ISNUMBER(Q3950),1,0)</f>
        <v/>
      </c>
      <c r="Z3950">
        <f>IF(AND(K3950=0,L3950=0,Y3950=0),1,0)</f>
        <v/>
      </c>
      <c r="AA3950">
        <f>IF(AND(Z3950=1,G3950&lt;Assumptions!$C$6),1,0)</f>
        <v/>
      </c>
      <c r="AB3950">
        <f>IF(U3950=0,"",IF(Y3950=1,MAX(0,Q3950-G3950),IF(L3950=1,MAX(0,R3950-G3950),MAX(0,Assumptions!$C$6-G3950))))</f>
        <v/>
      </c>
      <c r="AC3950">
        <f>IF(Y3950=1,Q3950-F3950,"")</f>
        <v/>
      </c>
      <c r="AD3950">
        <f>IF(Y3950=1,AC3950^2,"")</f>
        <v/>
      </c>
      <c r="AE3950" s="19">
        <f>IF(Z3950=1,(H3950-M3950)*I3950,0)</f>
        <v/>
      </c>
      <c r="AF3950">
        <f>IF(G3950&lt;EDATE(Assumptions!$C$6,-12)+1,"prior_12m","last_12m")</f>
        <v/>
      </c>
      <c r="AG3950" s="21">
        <f>DATE(YEAR(G3950),MONTH(G3950),1)</f>
        <v/>
      </c>
    </row>
    <row r="3951">
      <c r="A3951" t="inlineStr">
        <is>
          <t>SPO-02102-2</t>
        </is>
      </c>
      <c r="B3951" t="inlineStr">
        <is>
          <t>SPO-02102</t>
        </is>
      </c>
      <c r="C3951" t="inlineStr">
        <is>
          <t>SUP-04</t>
        </is>
      </c>
      <c r="D3951" t="inlineStr">
        <is>
          <t>FLEET</t>
        </is>
      </c>
      <c r="E3951" t="inlineStr">
        <is>
          <t>FLEET-01</t>
        </is>
      </c>
      <c r="F3951" s="17" t="n">
        <v>46153</v>
      </c>
      <c r="G3951" s="17" t="n">
        <v>46166</v>
      </c>
      <c r="H3951" s="18" t="n">
        <v>28</v>
      </c>
      <c r="I3951" s="19" t="n">
        <v>63.76</v>
      </c>
      <c r="J3951" s="19" t="n">
        <v>64</v>
      </c>
      <c r="K3951" s="20" t="n">
        <v>0</v>
      </c>
      <c r="L3951" s="20" t="n">
        <v>0</v>
      </c>
      <c r="M3951" s="18" t="n">
        <v>28</v>
      </c>
      <c r="N3951" s="18" t="n">
        <v>28</v>
      </c>
      <c r="O3951" s="18" t="n">
        <v>0</v>
      </c>
      <c r="P3951" s="17" t="n">
        <v>46162</v>
      </c>
      <c r="Q3951" s="17" t="n">
        <v>46162</v>
      </c>
      <c r="R3951" s="17" t="n">
        <v>46162</v>
      </c>
      <c r="S3951" s="19">
        <f>H3951*I3951</f>
        <v/>
      </c>
      <c r="T3951" s="19">
        <f>H3951*J3951</f>
        <v/>
      </c>
      <c r="U3951">
        <f>IF(AND(K3951=0,G3951&lt;=Assumptions!$C$6),1,0)</f>
        <v/>
      </c>
      <c r="V3951">
        <f>IF(U3951=1,IF(M3951&gt;0,IF(P3951&lt;=G3951+Assumptions!$C$7,1,0),0),0)</f>
        <v/>
      </c>
      <c r="W3951">
        <f>IF(AND(U3951=1,M3951&gt;=H3951*(1-Assumptions!$C$8)),1,0)</f>
        <v/>
      </c>
      <c r="X3951">
        <f>IF(AND(U3951=1,N3951&gt;=H3951*(1-Assumptions!$C$8)),1,0)</f>
        <v/>
      </c>
      <c r="Y3951">
        <f>IF(ISNUMBER(Q3951),1,0)</f>
        <v/>
      </c>
      <c r="Z3951">
        <f>IF(AND(K3951=0,L3951=0,Y3951=0),1,0)</f>
        <v/>
      </c>
      <c r="AA3951">
        <f>IF(AND(Z3951=1,G3951&lt;Assumptions!$C$6),1,0)</f>
        <v/>
      </c>
      <c r="AB3951">
        <f>IF(U3951=0,"",IF(Y3951=1,MAX(0,Q3951-G3951),IF(L3951=1,MAX(0,R3951-G3951),MAX(0,Assumptions!$C$6-G3951))))</f>
        <v/>
      </c>
      <c r="AC3951">
        <f>IF(Y3951=1,Q3951-F3951,"")</f>
        <v/>
      </c>
      <c r="AD3951">
        <f>IF(Y3951=1,AC3951^2,"")</f>
        <v/>
      </c>
      <c r="AE3951" s="19">
        <f>IF(Z3951=1,(H3951-M3951)*I3951,0)</f>
        <v/>
      </c>
      <c r="AF3951">
        <f>IF(G3951&lt;EDATE(Assumptions!$C$6,-12)+1,"prior_12m","last_12m")</f>
        <v/>
      </c>
      <c r="AG3951" s="21">
        <f>DATE(YEAR(G3951),MONTH(G3951),1)</f>
        <v/>
      </c>
    </row>
    <row r="3952">
      <c r="A3952" t="inlineStr">
        <is>
          <t>SPO-02103-1</t>
        </is>
      </c>
      <c r="B3952" t="inlineStr">
        <is>
          <t>SPO-02103</t>
        </is>
      </c>
      <c r="C3952" t="inlineStr">
        <is>
          <t>SUP-01</t>
        </is>
      </c>
      <c r="D3952" t="inlineStr">
        <is>
          <t>ELEC</t>
        </is>
      </c>
      <c r="E3952" t="inlineStr">
        <is>
          <t>ELEC-04</t>
        </is>
      </c>
      <c r="F3952" s="17" t="n">
        <v>46153</v>
      </c>
      <c r="G3952" s="17" t="n">
        <v>46171</v>
      </c>
      <c r="H3952" s="18" t="n">
        <v>30</v>
      </c>
      <c r="I3952" s="19" t="n">
        <v>72.76000000000001</v>
      </c>
      <c r="J3952" s="19" t="n">
        <v>72</v>
      </c>
      <c r="K3952" s="20" t="n">
        <v>0</v>
      </c>
      <c r="L3952" s="20" t="n">
        <v>0</v>
      </c>
      <c r="M3952" s="18" t="n">
        <v>30</v>
      </c>
      <c r="N3952" s="18" t="n">
        <v>0</v>
      </c>
      <c r="O3952" s="18" t="n">
        <v>0</v>
      </c>
      <c r="P3952" s="17" t="n">
        <v>46178</v>
      </c>
      <c r="Q3952" s="17" t="n">
        <v>46178</v>
      </c>
      <c r="R3952" s="17" t="n">
        <v>46178</v>
      </c>
      <c r="S3952" s="19">
        <f>H3952*I3952</f>
        <v/>
      </c>
      <c r="T3952" s="19">
        <f>H3952*J3952</f>
        <v/>
      </c>
      <c r="U3952">
        <f>IF(AND(K3952=0,G3952&lt;=Assumptions!$C$6),1,0)</f>
        <v/>
      </c>
      <c r="V3952">
        <f>IF(U3952=1,IF(M3952&gt;0,IF(P3952&lt;=G3952+Assumptions!$C$7,1,0),0),0)</f>
        <v/>
      </c>
      <c r="W3952">
        <f>IF(AND(U3952=1,M3952&gt;=H3952*(1-Assumptions!$C$8)),1,0)</f>
        <v/>
      </c>
      <c r="X3952">
        <f>IF(AND(U3952=1,N3952&gt;=H3952*(1-Assumptions!$C$8)),1,0)</f>
        <v/>
      </c>
      <c r="Y3952">
        <f>IF(ISNUMBER(Q3952),1,0)</f>
        <v/>
      </c>
      <c r="Z3952">
        <f>IF(AND(K3952=0,L3952=0,Y3952=0),1,0)</f>
        <v/>
      </c>
      <c r="AA3952">
        <f>IF(AND(Z3952=1,G3952&lt;Assumptions!$C$6),1,0)</f>
        <v/>
      </c>
      <c r="AB3952">
        <f>IF(U3952=0,"",IF(Y3952=1,MAX(0,Q3952-G3952),IF(L3952=1,MAX(0,R3952-G3952),MAX(0,Assumptions!$C$6-G3952))))</f>
        <v/>
      </c>
      <c r="AC3952">
        <f>IF(Y3952=1,Q3952-F3952,"")</f>
        <v/>
      </c>
      <c r="AD3952">
        <f>IF(Y3952=1,AC3952^2,"")</f>
        <v/>
      </c>
      <c r="AE3952" s="19">
        <f>IF(Z3952=1,(H3952-M3952)*I3952,0)</f>
        <v/>
      </c>
      <c r="AF3952">
        <f>IF(G3952&lt;EDATE(Assumptions!$C$6,-12)+1,"prior_12m","last_12m")</f>
        <v/>
      </c>
      <c r="AG3952" s="21">
        <f>DATE(YEAR(G3952),MONTH(G3952),1)</f>
        <v/>
      </c>
    </row>
    <row r="3953">
      <c r="A3953" t="inlineStr">
        <is>
          <t>SPO-02103-2</t>
        </is>
      </c>
      <c r="B3953" t="inlineStr">
        <is>
          <t>SPO-02103</t>
        </is>
      </c>
      <c r="C3953" t="inlineStr">
        <is>
          <t>SUP-01</t>
        </is>
      </c>
      <c r="D3953" t="inlineStr">
        <is>
          <t>ELEC</t>
        </is>
      </c>
      <c r="E3953" t="inlineStr">
        <is>
          <t>ELEC-08</t>
        </is>
      </c>
      <c r="F3953" s="17" t="n">
        <v>46153</v>
      </c>
      <c r="G3953" s="17" t="n">
        <v>46171</v>
      </c>
      <c r="H3953" s="18" t="n">
        <v>158</v>
      </c>
      <c r="I3953" s="19" t="n">
        <v>18.33</v>
      </c>
      <c r="J3953" s="19" t="n">
        <v>18</v>
      </c>
      <c r="K3953" s="20" t="n">
        <v>0</v>
      </c>
      <c r="L3953" s="20" t="n">
        <v>0</v>
      </c>
      <c r="M3953" s="18" t="n">
        <v>158</v>
      </c>
      <c r="N3953" s="18" t="n">
        <v>65</v>
      </c>
      <c r="O3953" s="18" t="n">
        <v>0</v>
      </c>
      <c r="P3953" s="17" t="n">
        <v>46170</v>
      </c>
      <c r="Q3953" s="17" t="n">
        <v>46178</v>
      </c>
      <c r="R3953" s="17" t="n">
        <v>46178</v>
      </c>
      <c r="S3953" s="19">
        <f>H3953*I3953</f>
        <v/>
      </c>
      <c r="T3953" s="19">
        <f>H3953*J3953</f>
        <v/>
      </c>
      <c r="U3953">
        <f>IF(AND(K3953=0,G3953&lt;=Assumptions!$C$6),1,0)</f>
        <v/>
      </c>
      <c r="V3953">
        <f>IF(U3953=1,IF(M3953&gt;0,IF(P3953&lt;=G3953+Assumptions!$C$7,1,0),0),0)</f>
        <v/>
      </c>
      <c r="W3953">
        <f>IF(AND(U3953=1,M3953&gt;=H3953*(1-Assumptions!$C$8)),1,0)</f>
        <v/>
      </c>
      <c r="X3953">
        <f>IF(AND(U3953=1,N3953&gt;=H3953*(1-Assumptions!$C$8)),1,0)</f>
        <v/>
      </c>
      <c r="Y3953">
        <f>IF(ISNUMBER(Q3953),1,0)</f>
        <v/>
      </c>
      <c r="Z3953">
        <f>IF(AND(K3953=0,L3953=0,Y3953=0),1,0)</f>
        <v/>
      </c>
      <c r="AA3953">
        <f>IF(AND(Z3953=1,G3953&lt;Assumptions!$C$6),1,0)</f>
        <v/>
      </c>
      <c r="AB3953">
        <f>IF(U3953=0,"",IF(Y3953=1,MAX(0,Q3953-G3953),IF(L3953=1,MAX(0,R3953-G3953),MAX(0,Assumptions!$C$6-G3953))))</f>
        <v/>
      </c>
      <c r="AC3953">
        <f>IF(Y3953=1,Q3953-F3953,"")</f>
        <v/>
      </c>
      <c r="AD3953">
        <f>IF(Y3953=1,AC3953^2,"")</f>
        <v/>
      </c>
      <c r="AE3953" s="19">
        <f>IF(Z3953=1,(H3953-M3953)*I3953,0)</f>
        <v/>
      </c>
      <c r="AF3953">
        <f>IF(G3953&lt;EDATE(Assumptions!$C$6,-12)+1,"prior_12m","last_12m")</f>
        <v/>
      </c>
      <c r="AG3953" s="21">
        <f>DATE(YEAR(G3953),MONTH(G3953),1)</f>
        <v/>
      </c>
    </row>
    <row r="3954">
      <c r="A3954" t="inlineStr">
        <is>
          <t>SPO-02104-1</t>
        </is>
      </c>
      <c r="B3954" t="inlineStr">
        <is>
          <t>SPO-02104</t>
        </is>
      </c>
      <c r="C3954" t="inlineStr">
        <is>
          <t>SUP-08</t>
        </is>
      </c>
      <c r="D3954" t="inlineStr">
        <is>
          <t>MRO</t>
        </is>
      </c>
      <c r="E3954" t="inlineStr">
        <is>
          <t>MRO-05</t>
        </is>
      </c>
      <c r="F3954" s="17" t="n">
        <v>46153</v>
      </c>
      <c r="G3954" s="17" t="n">
        <v>46164</v>
      </c>
      <c r="H3954" s="18" t="n">
        <v>63</v>
      </c>
      <c r="I3954" s="19" t="n">
        <v>34.3</v>
      </c>
      <c r="J3954" s="19" t="n">
        <v>36</v>
      </c>
      <c r="K3954" s="20" t="n">
        <v>0</v>
      </c>
      <c r="L3954" s="20" t="n">
        <v>0</v>
      </c>
      <c r="M3954" s="18" t="n">
        <v>63</v>
      </c>
      <c r="N3954" s="18" t="n">
        <v>63</v>
      </c>
      <c r="O3954" s="18" t="n">
        <v>0</v>
      </c>
      <c r="P3954" s="17" t="n">
        <v>46161</v>
      </c>
      <c r="Q3954" s="17" t="n">
        <v>46161</v>
      </c>
      <c r="R3954" s="17" t="n">
        <v>46161</v>
      </c>
      <c r="S3954" s="19">
        <f>H3954*I3954</f>
        <v/>
      </c>
      <c r="T3954" s="19">
        <f>H3954*J3954</f>
        <v/>
      </c>
      <c r="U3954">
        <f>IF(AND(K3954=0,G3954&lt;=Assumptions!$C$6),1,0)</f>
        <v/>
      </c>
      <c r="V3954">
        <f>IF(U3954=1,IF(M3954&gt;0,IF(P3954&lt;=G3954+Assumptions!$C$7,1,0),0),0)</f>
        <v/>
      </c>
      <c r="W3954">
        <f>IF(AND(U3954=1,M3954&gt;=H3954*(1-Assumptions!$C$8)),1,0)</f>
        <v/>
      </c>
      <c r="X3954">
        <f>IF(AND(U3954=1,N3954&gt;=H3954*(1-Assumptions!$C$8)),1,0)</f>
        <v/>
      </c>
      <c r="Y3954">
        <f>IF(ISNUMBER(Q3954),1,0)</f>
        <v/>
      </c>
      <c r="Z3954">
        <f>IF(AND(K3954=0,L3954=0,Y3954=0),1,0)</f>
        <v/>
      </c>
      <c r="AA3954">
        <f>IF(AND(Z3954=1,G3954&lt;Assumptions!$C$6),1,0)</f>
        <v/>
      </c>
      <c r="AB3954">
        <f>IF(U3954=0,"",IF(Y3954=1,MAX(0,Q3954-G3954),IF(L3954=1,MAX(0,R3954-G3954),MAX(0,Assumptions!$C$6-G3954))))</f>
        <v/>
      </c>
      <c r="AC3954">
        <f>IF(Y3954=1,Q3954-F3954,"")</f>
        <v/>
      </c>
      <c r="AD3954">
        <f>IF(Y3954=1,AC3954^2,"")</f>
        <v/>
      </c>
      <c r="AE3954" s="19">
        <f>IF(Z3954=1,(H3954-M3954)*I3954,0)</f>
        <v/>
      </c>
      <c r="AF3954">
        <f>IF(G3954&lt;EDATE(Assumptions!$C$6,-12)+1,"prior_12m","last_12m")</f>
        <v/>
      </c>
      <c r="AG3954" s="21">
        <f>DATE(YEAR(G3954),MONTH(G3954),1)</f>
        <v/>
      </c>
    </row>
    <row r="3955">
      <c r="A3955" t="inlineStr">
        <is>
          <t>SPO-02104-2</t>
        </is>
      </c>
      <c r="B3955" t="inlineStr">
        <is>
          <t>SPO-02104</t>
        </is>
      </c>
      <c r="C3955" t="inlineStr">
        <is>
          <t>SUP-08</t>
        </is>
      </c>
      <c r="D3955" t="inlineStr">
        <is>
          <t>MRO</t>
        </is>
      </c>
      <c r="E3955" t="inlineStr">
        <is>
          <t>MRO-01</t>
        </is>
      </c>
      <c r="F3955" s="17" t="n">
        <v>46153</v>
      </c>
      <c r="G3955" s="17" t="n">
        <v>46164</v>
      </c>
      <c r="H3955" s="18" t="n">
        <v>28</v>
      </c>
      <c r="I3955" s="19" t="n">
        <v>51.1</v>
      </c>
      <c r="J3955" s="19" t="n">
        <v>52</v>
      </c>
      <c r="K3955" s="20" t="n">
        <v>0</v>
      </c>
      <c r="L3955" s="20" t="n">
        <v>0</v>
      </c>
      <c r="M3955" s="18" t="n">
        <v>28</v>
      </c>
      <c r="N3955" s="18" t="n">
        <v>28</v>
      </c>
      <c r="O3955" s="18" t="n">
        <v>0</v>
      </c>
      <c r="P3955" s="17" t="n">
        <v>46159</v>
      </c>
      <c r="Q3955" s="17" t="n">
        <v>46159</v>
      </c>
      <c r="R3955" s="17" t="n">
        <v>46159</v>
      </c>
      <c r="S3955" s="19">
        <f>H3955*I3955</f>
        <v/>
      </c>
      <c r="T3955" s="19">
        <f>H3955*J3955</f>
        <v/>
      </c>
      <c r="U3955">
        <f>IF(AND(K3955=0,G3955&lt;=Assumptions!$C$6),1,0)</f>
        <v/>
      </c>
      <c r="V3955">
        <f>IF(U3955=1,IF(M3955&gt;0,IF(P3955&lt;=G3955+Assumptions!$C$7,1,0),0),0)</f>
        <v/>
      </c>
      <c r="W3955">
        <f>IF(AND(U3955=1,M3955&gt;=H3955*(1-Assumptions!$C$8)),1,0)</f>
        <v/>
      </c>
      <c r="X3955">
        <f>IF(AND(U3955=1,N3955&gt;=H3955*(1-Assumptions!$C$8)),1,0)</f>
        <v/>
      </c>
      <c r="Y3955">
        <f>IF(ISNUMBER(Q3955),1,0)</f>
        <v/>
      </c>
      <c r="Z3955">
        <f>IF(AND(K3955=0,L3955=0,Y3955=0),1,0)</f>
        <v/>
      </c>
      <c r="AA3955">
        <f>IF(AND(Z3955=1,G3955&lt;Assumptions!$C$6),1,0)</f>
        <v/>
      </c>
      <c r="AB3955">
        <f>IF(U3955=0,"",IF(Y3955=1,MAX(0,Q3955-G3955),IF(L3955=1,MAX(0,R3955-G3955),MAX(0,Assumptions!$C$6-G3955))))</f>
        <v/>
      </c>
      <c r="AC3955">
        <f>IF(Y3955=1,Q3955-F3955,"")</f>
        <v/>
      </c>
      <c r="AD3955">
        <f>IF(Y3955=1,AC3955^2,"")</f>
        <v/>
      </c>
      <c r="AE3955" s="19">
        <f>IF(Z3955=1,(H3955-M3955)*I3955,0)</f>
        <v/>
      </c>
      <c r="AF3955">
        <f>IF(G3955&lt;EDATE(Assumptions!$C$6,-12)+1,"prior_12m","last_12m")</f>
        <v/>
      </c>
      <c r="AG3955" s="21">
        <f>DATE(YEAR(G3955),MONTH(G3955),1)</f>
        <v/>
      </c>
    </row>
    <row r="3956">
      <c r="A3956" t="inlineStr">
        <is>
          <t>SPO-02104-3</t>
        </is>
      </c>
      <c r="B3956" t="inlineStr">
        <is>
          <t>SPO-02104</t>
        </is>
      </c>
      <c r="C3956" t="inlineStr">
        <is>
          <t>SUP-08</t>
        </is>
      </c>
      <c r="D3956" t="inlineStr">
        <is>
          <t>MRO</t>
        </is>
      </c>
      <c r="E3956" t="inlineStr">
        <is>
          <t>MRO-08</t>
        </is>
      </c>
      <c r="F3956" s="17" t="n">
        <v>46153</v>
      </c>
      <c r="G3956" s="17" t="n">
        <v>46164</v>
      </c>
      <c r="H3956" s="18" t="n">
        <v>168</v>
      </c>
      <c r="I3956" s="19" t="n">
        <v>7.19</v>
      </c>
      <c r="J3956" s="19" t="n">
        <v>7.2</v>
      </c>
      <c r="K3956" s="20" t="n">
        <v>0</v>
      </c>
      <c r="L3956" s="20" t="n">
        <v>0</v>
      </c>
      <c r="M3956" s="18" t="n">
        <v>168</v>
      </c>
      <c r="N3956" s="18" t="n">
        <v>168</v>
      </c>
      <c r="O3956" s="18" t="n">
        <v>0</v>
      </c>
      <c r="P3956" s="17" t="n">
        <v>46161</v>
      </c>
      <c r="Q3956" s="17" t="n">
        <v>46161</v>
      </c>
      <c r="R3956" s="17" t="n">
        <v>46161</v>
      </c>
      <c r="S3956" s="19">
        <f>H3956*I3956</f>
        <v/>
      </c>
      <c r="T3956" s="19">
        <f>H3956*J3956</f>
        <v/>
      </c>
      <c r="U3956">
        <f>IF(AND(K3956=0,G3956&lt;=Assumptions!$C$6),1,0)</f>
        <v/>
      </c>
      <c r="V3956">
        <f>IF(U3956=1,IF(M3956&gt;0,IF(P3956&lt;=G3956+Assumptions!$C$7,1,0),0),0)</f>
        <v/>
      </c>
      <c r="W3956">
        <f>IF(AND(U3956=1,M3956&gt;=H3956*(1-Assumptions!$C$8)),1,0)</f>
        <v/>
      </c>
      <c r="X3956">
        <f>IF(AND(U3956=1,N3956&gt;=H3956*(1-Assumptions!$C$8)),1,0)</f>
        <v/>
      </c>
      <c r="Y3956">
        <f>IF(ISNUMBER(Q3956),1,0)</f>
        <v/>
      </c>
      <c r="Z3956">
        <f>IF(AND(K3956=0,L3956=0,Y3956=0),1,0)</f>
        <v/>
      </c>
      <c r="AA3956">
        <f>IF(AND(Z3956=1,G3956&lt;Assumptions!$C$6),1,0)</f>
        <v/>
      </c>
      <c r="AB3956">
        <f>IF(U3956=0,"",IF(Y3956=1,MAX(0,Q3956-G3956),IF(L3956=1,MAX(0,R3956-G3956),MAX(0,Assumptions!$C$6-G3956))))</f>
        <v/>
      </c>
      <c r="AC3956">
        <f>IF(Y3956=1,Q3956-F3956,"")</f>
        <v/>
      </c>
      <c r="AD3956">
        <f>IF(Y3956=1,AC3956^2,"")</f>
        <v/>
      </c>
      <c r="AE3956" s="19">
        <f>IF(Z3956=1,(H3956-M3956)*I3956,0)</f>
        <v/>
      </c>
      <c r="AF3956">
        <f>IF(G3956&lt;EDATE(Assumptions!$C$6,-12)+1,"prior_12m","last_12m")</f>
        <v/>
      </c>
      <c r="AG3956" s="21">
        <f>DATE(YEAR(G3956),MONTH(G3956),1)</f>
        <v/>
      </c>
    </row>
    <row r="3957">
      <c r="A3957" t="inlineStr">
        <is>
          <t>SPO-02105-1</t>
        </is>
      </c>
      <c r="B3957" t="inlineStr">
        <is>
          <t>SPO-02105</t>
        </is>
      </c>
      <c r="C3957" t="inlineStr">
        <is>
          <t>SUP-08</t>
        </is>
      </c>
      <c r="D3957" t="inlineStr">
        <is>
          <t>MRO</t>
        </is>
      </c>
      <c r="E3957" t="inlineStr">
        <is>
          <t>MRO-04</t>
        </is>
      </c>
      <c r="F3957" s="17" t="n">
        <v>46153</v>
      </c>
      <c r="G3957" s="17" t="n">
        <v>46164</v>
      </c>
      <c r="H3957" s="18" t="n">
        <v>18</v>
      </c>
      <c r="I3957" s="19" t="n">
        <v>54.94</v>
      </c>
      <c r="J3957" s="19" t="n">
        <v>58</v>
      </c>
      <c r="K3957" s="20" t="n">
        <v>0</v>
      </c>
      <c r="L3957" s="20" t="n">
        <v>0</v>
      </c>
      <c r="M3957" s="18" t="n">
        <v>18</v>
      </c>
      <c r="N3957" s="18" t="n">
        <v>18</v>
      </c>
      <c r="O3957" s="18" t="n">
        <v>0</v>
      </c>
      <c r="P3957" s="17" t="n">
        <v>46162</v>
      </c>
      <c r="Q3957" s="17" t="n">
        <v>46162</v>
      </c>
      <c r="R3957" s="17" t="n">
        <v>46162</v>
      </c>
      <c r="S3957" s="19">
        <f>H3957*I3957</f>
        <v/>
      </c>
      <c r="T3957" s="19">
        <f>H3957*J3957</f>
        <v/>
      </c>
      <c r="U3957">
        <f>IF(AND(K3957=0,G3957&lt;=Assumptions!$C$6),1,0)</f>
        <v/>
      </c>
      <c r="V3957">
        <f>IF(U3957=1,IF(M3957&gt;0,IF(P3957&lt;=G3957+Assumptions!$C$7,1,0),0),0)</f>
        <v/>
      </c>
      <c r="W3957">
        <f>IF(AND(U3957=1,M3957&gt;=H3957*(1-Assumptions!$C$8)),1,0)</f>
        <v/>
      </c>
      <c r="X3957">
        <f>IF(AND(U3957=1,N3957&gt;=H3957*(1-Assumptions!$C$8)),1,0)</f>
        <v/>
      </c>
      <c r="Y3957">
        <f>IF(ISNUMBER(Q3957),1,0)</f>
        <v/>
      </c>
      <c r="Z3957">
        <f>IF(AND(K3957=0,L3957=0,Y3957=0),1,0)</f>
        <v/>
      </c>
      <c r="AA3957">
        <f>IF(AND(Z3957=1,G3957&lt;Assumptions!$C$6),1,0)</f>
        <v/>
      </c>
      <c r="AB3957">
        <f>IF(U3957=0,"",IF(Y3957=1,MAX(0,Q3957-G3957),IF(L3957=1,MAX(0,R3957-G3957),MAX(0,Assumptions!$C$6-G3957))))</f>
        <v/>
      </c>
      <c r="AC3957">
        <f>IF(Y3957=1,Q3957-F3957,"")</f>
        <v/>
      </c>
      <c r="AD3957">
        <f>IF(Y3957=1,AC3957^2,"")</f>
        <v/>
      </c>
      <c r="AE3957" s="19">
        <f>IF(Z3957=1,(H3957-M3957)*I3957,0)</f>
        <v/>
      </c>
      <c r="AF3957">
        <f>IF(G3957&lt;EDATE(Assumptions!$C$6,-12)+1,"prior_12m","last_12m")</f>
        <v/>
      </c>
      <c r="AG3957" s="21">
        <f>DATE(YEAR(G3957),MONTH(G3957),1)</f>
        <v/>
      </c>
    </row>
    <row r="3958">
      <c r="A3958" t="inlineStr">
        <is>
          <t>SPO-02106-1</t>
        </is>
      </c>
      <c r="B3958" t="inlineStr">
        <is>
          <t>SPO-02106</t>
        </is>
      </c>
      <c r="C3958" t="inlineStr">
        <is>
          <t>SUP-06</t>
        </is>
      </c>
      <c r="D3958" t="inlineStr">
        <is>
          <t>MRO</t>
        </is>
      </c>
      <c r="E3958" t="inlineStr">
        <is>
          <t>MRO-06</t>
        </is>
      </c>
      <c r="F3958" s="17" t="n">
        <v>46154</v>
      </c>
      <c r="G3958" s="17" t="n">
        <v>46162</v>
      </c>
      <c r="H3958" s="18" t="n">
        <v>361</v>
      </c>
      <c r="I3958" s="19" t="n">
        <v>6.05</v>
      </c>
      <c r="J3958" s="19" t="n">
        <v>6.1</v>
      </c>
      <c r="K3958" s="20" t="n">
        <v>0</v>
      </c>
      <c r="L3958" s="20" t="n">
        <v>0</v>
      </c>
      <c r="M3958" s="18" t="n">
        <v>361</v>
      </c>
      <c r="N3958" s="18" t="n">
        <v>361</v>
      </c>
      <c r="O3958" s="18" t="n">
        <v>0</v>
      </c>
      <c r="P3958" s="17" t="n">
        <v>46161</v>
      </c>
      <c r="Q3958" s="17" t="n">
        <v>46161</v>
      </c>
      <c r="R3958" s="17" t="n">
        <v>46161</v>
      </c>
      <c r="S3958" s="19">
        <f>H3958*I3958</f>
        <v/>
      </c>
      <c r="T3958" s="19">
        <f>H3958*J3958</f>
        <v/>
      </c>
      <c r="U3958">
        <f>IF(AND(K3958=0,G3958&lt;=Assumptions!$C$6),1,0)</f>
        <v/>
      </c>
      <c r="V3958">
        <f>IF(U3958=1,IF(M3958&gt;0,IF(P3958&lt;=G3958+Assumptions!$C$7,1,0),0),0)</f>
        <v/>
      </c>
      <c r="W3958">
        <f>IF(AND(U3958=1,M3958&gt;=H3958*(1-Assumptions!$C$8)),1,0)</f>
        <v/>
      </c>
      <c r="X3958">
        <f>IF(AND(U3958=1,N3958&gt;=H3958*(1-Assumptions!$C$8)),1,0)</f>
        <v/>
      </c>
      <c r="Y3958">
        <f>IF(ISNUMBER(Q3958),1,0)</f>
        <v/>
      </c>
      <c r="Z3958">
        <f>IF(AND(K3958=0,L3958=0,Y3958=0),1,0)</f>
        <v/>
      </c>
      <c r="AA3958">
        <f>IF(AND(Z3958=1,G3958&lt;Assumptions!$C$6),1,0)</f>
        <v/>
      </c>
      <c r="AB3958">
        <f>IF(U3958=0,"",IF(Y3958=1,MAX(0,Q3958-G3958),IF(L3958=1,MAX(0,R3958-G3958),MAX(0,Assumptions!$C$6-G3958))))</f>
        <v/>
      </c>
      <c r="AC3958">
        <f>IF(Y3958=1,Q3958-F3958,"")</f>
        <v/>
      </c>
      <c r="AD3958">
        <f>IF(Y3958=1,AC3958^2,"")</f>
        <v/>
      </c>
      <c r="AE3958" s="19">
        <f>IF(Z3958=1,(H3958-M3958)*I3958,0)</f>
        <v/>
      </c>
      <c r="AF3958">
        <f>IF(G3958&lt;EDATE(Assumptions!$C$6,-12)+1,"prior_12m","last_12m")</f>
        <v/>
      </c>
      <c r="AG3958" s="21">
        <f>DATE(YEAR(G3958),MONTH(G3958),1)</f>
        <v/>
      </c>
    </row>
    <row r="3959">
      <c r="A3959" t="inlineStr">
        <is>
          <t>SPO-02107-1</t>
        </is>
      </c>
      <c r="B3959" t="inlineStr">
        <is>
          <t>SPO-02107</t>
        </is>
      </c>
      <c r="C3959" t="inlineStr">
        <is>
          <t>SUP-05</t>
        </is>
      </c>
      <c r="D3959" t="inlineStr">
        <is>
          <t>FLEET</t>
        </is>
      </c>
      <c r="E3959" t="inlineStr">
        <is>
          <t>FLEET-04</t>
        </is>
      </c>
      <c r="F3959" s="17" t="n">
        <v>46154</v>
      </c>
      <c r="G3959" s="17" t="n">
        <v>46168</v>
      </c>
      <c r="H3959" s="18" t="n">
        <v>221</v>
      </c>
      <c r="I3959" s="19" t="n">
        <v>9.16</v>
      </c>
      <c r="J3959" s="19" t="n">
        <v>9</v>
      </c>
      <c r="K3959" s="20" t="n">
        <v>0</v>
      </c>
      <c r="L3959" s="20" t="n">
        <v>0</v>
      </c>
      <c r="M3959" s="18" t="n">
        <v>221</v>
      </c>
      <c r="N3959" s="18" t="n">
        <v>221</v>
      </c>
      <c r="O3959" s="18" t="n">
        <v>0</v>
      </c>
      <c r="P3959" s="17" t="n">
        <v>46166</v>
      </c>
      <c r="Q3959" s="17" t="n">
        <v>46166</v>
      </c>
      <c r="R3959" s="17" t="n">
        <v>46166</v>
      </c>
      <c r="S3959" s="19">
        <f>H3959*I3959</f>
        <v/>
      </c>
      <c r="T3959" s="19">
        <f>H3959*J3959</f>
        <v/>
      </c>
      <c r="U3959">
        <f>IF(AND(K3959=0,G3959&lt;=Assumptions!$C$6),1,0)</f>
        <v/>
      </c>
      <c r="V3959">
        <f>IF(U3959=1,IF(M3959&gt;0,IF(P3959&lt;=G3959+Assumptions!$C$7,1,0),0),0)</f>
        <v/>
      </c>
      <c r="W3959">
        <f>IF(AND(U3959=1,M3959&gt;=H3959*(1-Assumptions!$C$8)),1,0)</f>
        <v/>
      </c>
      <c r="X3959">
        <f>IF(AND(U3959=1,N3959&gt;=H3959*(1-Assumptions!$C$8)),1,0)</f>
        <v/>
      </c>
      <c r="Y3959">
        <f>IF(ISNUMBER(Q3959),1,0)</f>
        <v/>
      </c>
      <c r="Z3959">
        <f>IF(AND(K3959=0,L3959=0,Y3959=0),1,0)</f>
        <v/>
      </c>
      <c r="AA3959">
        <f>IF(AND(Z3959=1,G3959&lt;Assumptions!$C$6),1,0)</f>
        <v/>
      </c>
      <c r="AB3959">
        <f>IF(U3959=0,"",IF(Y3959=1,MAX(0,Q3959-G3959),IF(L3959=1,MAX(0,R3959-G3959),MAX(0,Assumptions!$C$6-G3959))))</f>
        <v/>
      </c>
      <c r="AC3959">
        <f>IF(Y3959=1,Q3959-F3959,"")</f>
        <v/>
      </c>
      <c r="AD3959">
        <f>IF(Y3959=1,AC3959^2,"")</f>
        <v/>
      </c>
      <c r="AE3959" s="19">
        <f>IF(Z3959=1,(H3959-M3959)*I3959,0)</f>
        <v/>
      </c>
      <c r="AF3959">
        <f>IF(G3959&lt;EDATE(Assumptions!$C$6,-12)+1,"prior_12m","last_12m")</f>
        <v/>
      </c>
      <c r="AG3959" s="21">
        <f>DATE(YEAR(G3959),MONTH(G3959),1)</f>
        <v/>
      </c>
    </row>
    <row r="3960">
      <c r="A3960" t="inlineStr">
        <is>
          <t>SPO-02108-1</t>
        </is>
      </c>
      <c r="B3960" t="inlineStr">
        <is>
          <t>SPO-02108</t>
        </is>
      </c>
      <c r="C3960" t="inlineStr">
        <is>
          <t>SUP-01</t>
        </is>
      </c>
      <c r="D3960" t="inlineStr">
        <is>
          <t>ELEC</t>
        </is>
      </c>
      <c r="E3960" t="inlineStr">
        <is>
          <t>ELEC-03</t>
        </is>
      </c>
      <c r="F3960" s="17" t="n">
        <v>46155</v>
      </c>
      <c r="G3960" s="17" t="n">
        <v>46173</v>
      </c>
      <c r="H3960" s="18" t="n">
        <v>8</v>
      </c>
      <c r="I3960" s="19" t="n">
        <v>98.89</v>
      </c>
      <c r="J3960" s="19" t="n">
        <v>96</v>
      </c>
      <c r="K3960" s="20" t="n">
        <v>0</v>
      </c>
      <c r="L3960" s="20" t="n">
        <v>0</v>
      </c>
      <c r="M3960" s="18" t="n">
        <v>8</v>
      </c>
      <c r="N3960" s="18" t="n">
        <v>8</v>
      </c>
      <c r="O3960" s="18" t="n">
        <v>0</v>
      </c>
      <c r="P3960" s="17" t="n">
        <v>46170</v>
      </c>
      <c r="Q3960" s="17" t="n">
        <v>46170</v>
      </c>
      <c r="R3960" s="17" t="n">
        <v>46170</v>
      </c>
      <c r="S3960" s="19">
        <f>H3960*I3960</f>
        <v/>
      </c>
      <c r="T3960" s="19">
        <f>H3960*J3960</f>
        <v/>
      </c>
      <c r="U3960">
        <f>IF(AND(K3960=0,G3960&lt;=Assumptions!$C$6),1,0)</f>
        <v/>
      </c>
      <c r="V3960">
        <f>IF(U3960=1,IF(M3960&gt;0,IF(P3960&lt;=G3960+Assumptions!$C$7,1,0),0),0)</f>
        <v/>
      </c>
      <c r="W3960">
        <f>IF(AND(U3960=1,M3960&gt;=H3960*(1-Assumptions!$C$8)),1,0)</f>
        <v/>
      </c>
      <c r="X3960">
        <f>IF(AND(U3960=1,N3960&gt;=H3960*(1-Assumptions!$C$8)),1,0)</f>
        <v/>
      </c>
      <c r="Y3960">
        <f>IF(ISNUMBER(Q3960),1,0)</f>
        <v/>
      </c>
      <c r="Z3960">
        <f>IF(AND(K3960=0,L3960=0,Y3960=0),1,0)</f>
        <v/>
      </c>
      <c r="AA3960">
        <f>IF(AND(Z3960=1,G3960&lt;Assumptions!$C$6),1,0)</f>
        <v/>
      </c>
      <c r="AB3960">
        <f>IF(U3960=0,"",IF(Y3960=1,MAX(0,Q3960-G3960),IF(L3960=1,MAX(0,R3960-G3960),MAX(0,Assumptions!$C$6-G3960))))</f>
        <v/>
      </c>
      <c r="AC3960">
        <f>IF(Y3960=1,Q3960-F3960,"")</f>
        <v/>
      </c>
      <c r="AD3960">
        <f>IF(Y3960=1,AC3960^2,"")</f>
        <v/>
      </c>
      <c r="AE3960" s="19">
        <f>IF(Z3960=1,(H3960-M3960)*I3960,0)</f>
        <v/>
      </c>
      <c r="AF3960">
        <f>IF(G3960&lt;EDATE(Assumptions!$C$6,-12)+1,"prior_12m","last_12m")</f>
        <v/>
      </c>
      <c r="AG3960" s="21">
        <f>DATE(YEAR(G3960),MONTH(G3960),1)</f>
        <v/>
      </c>
    </row>
    <row r="3961">
      <c r="A3961" t="inlineStr">
        <is>
          <t>SPO-02108-2</t>
        </is>
      </c>
      <c r="B3961" t="inlineStr">
        <is>
          <t>SPO-02108</t>
        </is>
      </c>
      <c r="C3961" t="inlineStr">
        <is>
          <t>SUP-01</t>
        </is>
      </c>
      <c r="D3961" t="inlineStr">
        <is>
          <t>ELEC</t>
        </is>
      </c>
      <c r="E3961" t="inlineStr">
        <is>
          <t>ELEC-02</t>
        </is>
      </c>
      <c r="F3961" s="17" t="n">
        <v>46155</v>
      </c>
      <c r="G3961" s="17" t="n">
        <v>46173</v>
      </c>
      <c r="H3961" s="18" t="n">
        <v>724</v>
      </c>
      <c r="I3961" s="19" t="n">
        <v>4.4</v>
      </c>
      <c r="J3961" s="19" t="n">
        <v>4.2</v>
      </c>
      <c r="K3961" s="20" t="n">
        <v>0</v>
      </c>
      <c r="L3961" s="20" t="n">
        <v>0</v>
      </c>
      <c r="M3961" s="18" t="n">
        <v>724</v>
      </c>
      <c r="N3961" s="18" t="n">
        <v>724</v>
      </c>
      <c r="O3961" s="18" t="n">
        <v>0</v>
      </c>
      <c r="P3961" s="17" t="n">
        <v>46164</v>
      </c>
      <c r="Q3961" s="17" t="n">
        <v>46164</v>
      </c>
      <c r="R3961" s="17" t="n">
        <v>46164</v>
      </c>
      <c r="S3961" s="19">
        <f>H3961*I3961</f>
        <v/>
      </c>
      <c r="T3961" s="19">
        <f>H3961*J3961</f>
        <v/>
      </c>
      <c r="U3961">
        <f>IF(AND(K3961=0,G3961&lt;=Assumptions!$C$6),1,0)</f>
        <v/>
      </c>
      <c r="V3961">
        <f>IF(U3961=1,IF(M3961&gt;0,IF(P3961&lt;=G3961+Assumptions!$C$7,1,0),0),0)</f>
        <v/>
      </c>
      <c r="W3961">
        <f>IF(AND(U3961=1,M3961&gt;=H3961*(1-Assumptions!$C$8)),1,0)</f>
        <v/>
      </c>
      <c r="X3961">
        <f>IF(AND(U3961=1,N3961&gt;=H3961*(1-Assumptions!$C$8)),1,0)</f>
        <v/>
      </c>
      <c r="Y3961">
        <f>IF(ISNUMBER(Q3961),1,0)</f>
        <v/>
      </c>
      <c r="Z3961">
        <f>IF(AND(K3961=0,L3961=0,Y3961=0),1,0)</f>
        <v/>
      </c>
      <c r="AA3961">
        <f>IF(AND(Z3961=1,G3961&lt;Assumptions!$C$6),1,0)</f>
        <v/>
      </c>
      <c r="AB3961">
        <f>IF(U3961=0,"",IF(Y3961=1,MAX(0,Q3961-G3961),IF(L3961=1,MAX(0,R3961-G3961),MAX(0,Assumptions!$C$6-G3961))))</f>
        <v/>
      </c>
      <c r="AC3961">
        <f>IF(Y3961=1,Q3961-F3961,"")</f>
        <v/>
      </c>
      <c r="AD3961">
        <f>IF(Y3961=1,AC3961^2,"")</f>
        <v/>
      </c>
      <c r="AE3961" s="19">
        <f>IF(Z3961=1,(H3961-M3961)*I3961,0)</f>
        <v/>
      </c>
      <c r="AF3961">
        <f>IF(G3961&lt;EDATE(Assumptions!$C$6,-12)+1,"prior_12m","last_12m")</f>
        <v/>
      </c>
      <c r="AG3961" s="21">
        <f>DATE(YEAR(G3961),MONTH(G3961),1)</f>
        <v/>
      </c>
    </row>
    <row r="3962">
      <c r="A3962" t="inlineStr">
        <is>
          <t>SPO-02108-3</t>
        </is>
      </c>
      <c r="B3962" t="inlineStr">
        <is>
          <t>SPO-02108</t>
        </is>
      </c>
      <c r="C3962" t="inlineStr">
        <is>
          <t>SUP-01</t>
        </is>
      </c>
      <c r="D3962" t="inlineStr">
        <is>
          <t>ELEC</t>
        </is>
      </c>
      <c r="E3962" t="inlineStr">
        <is>
          <t>ELEC-05</t>
        </is>
      </c>
      <c r="F3962" s="17" t="n">
        <v>46155</v>
      </c>
      <c r="G3962" s="17" t="n">
        <v>46173</v>
      </c>
      <c r="H3962" s="18" t="n">
        <v>242</v>
      </c>
      <c r="I3962" s="19" t="n">
        <v>11.56</v>
      </c>
      <c r="J3962" s="19" t="n">
        <v>11.5</v>
      </c>
      <c r="K3962" s="20" t="n">
        <v>0</v>
      </c>
      <c r="L3962" s="20" t="n">
        <v>0</v>
      </c>
      <c r="M3962" s="18" t="n">
        <v>242</v>
      </c>
      <c r="N3962" s="18" t="n">
        <v>242</v>
      </c>
      <c r="O3962" s="18" t="n">
        <v>0</v>
      </c>
      <c r="P3962" s="17" t="n">
        <v>46171</v>
      </c>
      <c r="Q3962" s="17" t="n">
        <v>46171</v>
      </c>
      <c r="R3962" s="17" t="n">
        <v>46171</v>
      </c>
      <c r="S3962" s="19">
        <f>H3962*I3962</f>
        <v/>
      </c>
      <c r="T3962" s="19">
        <f>H3962*J3962</f>
        <v/>
      </c>
      <c r="U3962">
        <f>IF(AND(K3962=0,G3962&lt;=Assumptions!$C$6),1,0)</f>
        <v/>
      </c>
      <c r="V3962">
        <f>IF(U3962=1,IF(M3962&gt;0,IF(P3962&lt;=G3962+Assumptions!$C$7,1,0),0),0)</f>
        <v/>
      </c>
      <c r="W3962">
        <f>IF(AND(U3962=1,M3962&gt;=H3962*(1-Assumptions!$C$8)),1,0)</f>
        <v/>
      </c>
      <c r="X3962">
        <f>IF(AND(U3962=1,N3962&gt;=H3962*(1-Assumptions!$C$8)),1,0)</f>
        <v/>
      </c>
      <c r="Y3962">
        <f>IF(ISNUMBER(Q3962),1,0)</f>
        <v/>
      </c>
      <c r="Z3962">
        <f>IF(AND(K3962=0,L3962=0,Y3962=0),1,0)</f>
        <v/>
      </c>
      <c r="AA3962">
        <f>IF(AND(Z3962=1,G3962&lt;Assumptions!$C$6),1,0)</f>
        <v/>
      </c>
      <c r="AB3962">
        <f>IF(U3962=0,"",IF(Y3962=1,MAX(0,Q3962-G3962),IF(L3962=1,MAX(0,R3962-G3962),MAX(0,Assumptions!$C$6-G3962))))</f>
        <v/>
      </c>
      <c r="AC3962">
        <f>IF(Y3962=1,Q3962-F3962,"")</f>
        <v/>
      </c>
      <c r="AD3962">
        <f>IF(Y3962=1,AC3962^2,"")</f>
        <v/>
      </c>
      <c r="AE3962" s="19">
        <f>IF(Z3962=1,(H3962-M3962)*I3962,0)</f>
        <v/>
      </c>
      <c r="AF3962">
        <f>IF(G3962&lt;EDATE(Assumptions!$C$6,-12)+1,"prior_12m","last_12m")</f>
        <v/>
      </c>
      <c r="AG3962" s="21">
        <f>DATE(YEAR(G3962),MONTH(G3962),1)</f>
        <v/>
      </c>
    </row>
    <row r="3963">
      <c r="A3963" t="inlineStr">
        <is>
          <t>SPO-02109-1</t>
        </is>
      </c>
      <c r="B3963" t="inlineStr">
        <is>
          <t>SPO-02109</t>
        </is>
      </c>
      <c r="C3963" t="inlineStr">
        <is>
          <t>SUP-01</t>
        </is>
      </c>
      <c r="D3963" t="inlineStr">
        <is>
          <t>ELEC</t>
        </is>
      </c>
      <c r="E3963" t="inlineStr">
        <is>
          <t>ELEC-04</t>
        </is>
      </c>
      <c r="F3963" s="17" t="n">
        <v>46155</v>
      </c>
      <c r="G3963" s="17" t="n">
        <v>46173</v>
      </c>
      <c r="H3963" s="18" t="n">
        <v>26</v>
      </c>
      <c r="I3963" s="19" t="n">
        <v>76.89</v>
      </c>
      <c r="J3963" s="19" t="n">
        <v>72</v>
      </c>
      <c r="K3963" s="20" t="n">
        <v>0</v>
      </c>
      <c r="L3963" s="20" t="n">
        <v>0</v>
      </c>
      <c r="M3963" s="18" t="n">
        <v>0</v>
      </c>
      <c r="N3963" s="18" t="n">
        <v>0</v>
      </c>
      <c r="O3963" s="18" t="n">
        <v>0</v>
      </c>
      <c r="P3963" s="17" t="n"/>
      <c r="Q3963" s="17" t="n"/>
      <c r="R3963" s="17" t="n"/>
      <c r="S3963" s="19">
        <f>H3963*I3963</f>
        <v/>
      </c>
      <c r="T3963" s="19">
        <f>H3963*J3963</f>
        <v/>
      </c>
      <c r="U3963">
        <f>IF(AND(K3963=0,G3963&lt;=Assumptions!$C$6),1,0)</f>
        <v/>
      </c>
      <c r="V3963">
        <f>IF(U3963=1,IF(M3963&gt;0,IF(P3963&lt;=G3963+Assumptions!$C$7,1,0),0),0)</f>
        <v/>
      </c>
      <c r="W3963">
        <f>IF(AND(U3963=1,M3963&gt;=H3963*(1-Assumptions!$C$8)),1,0)</f>
        <v/>
      </c>
      <c r="X3963">
        <f>IF(AND(U3963=1,N3963&gt;=H3963*(1-Assumptions!$C$8)),1,0)</f>
        <v/>
      </c>
      <c r="Y3963">
        <f>IF(ISNUMBER(Q3963),1,0)</f>
        <v/>
      </c>
      <c r="Z3963">
        <f>IF(AND(K3963=0,L3963=0,Y3963=0),1,0)</f>
        <v/>
      </c>
      <c r="AA3963">
        <f>IF(AND(Z3963=1,G3963&lt;Assumptions!$C$6),1,0)</f>
        <v/>
      </c>
      <c r="AB3963">
        <f>IF(U3963=0,"",IF(Y3963=1,MAX(0,Q3963-G3963),IF(L3963=1,MAX(0,R3963-G3963),MAX(0,Assumptions!$C$6-G3963))))</f>
        <v/>
      </c>
      <c r="AC3963">
        <f>IF(Y3963=1,Q3963-F3963,"")</f>
        <v/>
      </c>
      <c r="AD3963">
        <f>IF(Y3963=1,AC3963^2,"")</f>
        <v/>
      </c>
      <c r="AE3963" s="19">
        <f>IF(Z3963=1,(H3963-M3963)*I3963,0)</f>
        <v/>
      </c>
      <c r="AF3963">
        <f>IF(G3963&lt;EDATE(Assumptions!$C$6,-12)+1,"prior_12m","last_12m")</f>
        <v/>
      </c>
      <c r="AG3963" s="21">
        <f>DATE(YEAR(G3963),MONTH(G3963),1)</f>
        <v/>
      </c>
    </row>
    <row r="3964">
      <c r="A3964" t="inlineStr">
        <is>
          <t>SPO-02109-2</t>
        </is>
      </c>
      <c r="B3964" t="inlineStr">
        <is>
          <t>SPO-02109</t>
        </is>
      </c>
      <c r="C3964" t="inlineStr">
        <is>
          <t>SUP-01</t>
        </is>
      </c>
      <c r="D3964" t="inlineStr">
        <is>
          <t>ELEC</t>
        </is>
      </c>
      <c r="E3964" t="inlineStr">
        <is>
          <t>ELEC-02</t>
        </is>
      </c>
      <c r="F3964" s="17" t="n">
        <v>46155</v>
      </c>
      <c r="G3964" s="17" t="n">
        <v>46173</v>
      </c>
      <c r="H3964" s="18" t="n">
        <v>854</v>
      </c>
      <c r="I3964" s="19" t="n">
        <v>4.23</v>
      </c>
      <c r="J3964" s="19" t="n">
        <v>4.2</v>
      </c>
      <c r="K3964" s="20" t="n">
        <v>0</v>
      </c>
      <c r="L3964" s="20" t="n">
        <v>0</v>
      </c>
      <c r="M3964" s="18" t="n">
        <v>854</v>
      </c>
      <c r="N3964" s="18" t="n">
        <v>854</v>
      </c>
      <c r="O3964" s="18" t="n">
        <v>0</v>
      </c>
      <c r="P3964" s="17" t="n">
        <v>46163</v>
      </c>
      <c r="Q3964" s="17" t="n">
        <v>46163</v>
      </c>
      <c r="R3964" s="17" t="n">
        <v>46163</v>
      </c>
      <c r="S3964" s="19">
        <f>H3964*I3964</f>
        <v/>
      </c>
      <c r="T3964" s="19">
        <f>H3964*J3964</f>
        <v/>
      </c>
      <c r="U3964">
        <f>IF(AND(K3964=0,G3964&lt;=Assumptions!$C$6),1,0)</f>
        <v/>
      </c>
      <c r="V3964">
        <f>IF(U3964=1,IF(M3964&gt;0,IF(P3964&lt;=G3964+Assumptions!$C$7,1,0),0),0)</f>
        <v/>
      </c>
      <c r="W3964">
        <f>IF(AND(U3964=1,M3964&gt;=H3964*(1-Assumptions!$C$8)),1,0)</f>
        <v/>
      </c>
      <c r="X3964">
        <f>IF(AND(U3964=1,N3964&gt;=H3964*(1-Assumptions!$C$8)),1,0)</f>
        <v/>
      </c>
      <c r="Y3964">
        <f>IF(ISNUMBER(Q3964),1,0)</f>
        <v/>
      </c>
      <c r="Z3964">
        <f>IF(AND(K3964=0,L3964=0,Y3964=0),1,0)</f>
        <v/>
      </c>
      <c r="AA3964">
        <f>IF(AND(Z3964=1,G3964&lt;Assumptions!$C$6),1,0)</f>
        <v/>
      </c>
      <c r="AB3964">
        <f>IF(U3964=0,"",IF(Y3964=1,MAX(0,Q3964-G3964),IF(L3964=1,MAX(0,R3964-G3964),MAX(0,Assumptions!$C$6-G3964))))</f>
        <v/>
      </c>
      <c r="AC3964">
        <f>IF(Y3964=1,Q3964-F3964,"")</f>
        <v/>
      </c>
      <c r="AD3964">
        <f>IF(Y3964=1,AC3964^2,"")</f>
        <v/>
      </c>
      <c r="AE3964" s="19">
        <f>IF(Z3964=1,(H3964-M3964)*I3964,0)</f>
        <v/>
      </c>
      <c r="AF3964">
        <f>IF(G3964&lt;EDATE(Assumptions!$C$6,-12)+1,"prior_12m","last_12m")</f>
        <v/>
      </c>
      <c r="AG3964" s="21">
        <f>DATE(YEAR(G3964),MONTH(G3964),1)</f>
        <v/>
      </c>
    </row>
    <row r="3965">
      <c r="A3965" t="inlineStr">
        <is>
          <t>SPO-02110-1</t>
        </is>
      </c>
      <c r="B3965" t="inlineStr">
        <is>
          <t>SPO-02110</t>
        </is>
      </c>
      <c r="C3965" t="inlineStr">
        <is>
          <t>SUP-04</t>
        </is>
      </c>
      <c r="D3965" t="inlineStr">
        <is>
          <t>FLEET</t>
        </is>
      </c>
      <c r="E3965" t="inlineStr">
        <is>
          <t>FLEET-06</t>
        </is>
      </c>
      <c r="F3965" s="17" t="n">
        <v>46156</v>
      </c>
      <c r="G3965" s="17" t="n">
        <v>46169</v>
      </c>
      <c r="H3965" s="18" t="n">
        <v>56</v>
      </c>
      <c r="I3965" s="19" t="n">
        <v>32.64</v>
      </c>
      <c r="J3965" s="19" t="n">
        <v>33</v>
      </c>
      <c r="K3965" s="20" t="n">
        <v>0</v>
      </c>
      <c r="L3965" s="20" t="n">
        <v>0</v>
      </c>
      <c r="M3965" s="18" t="n">
        <v>56</v>
      </c>
      <c r="N3965" s="18" t="n">
        <v>0</v>
      </c>
      <c r="O3965" s="18" t="n">
        <v>0</v>
      </c>
      <c r="P3965" s="17" t="n">
        <v>46182</v>
      </c>
      <c r="Q3965" s="17" t="n">
        <v>46182</v>
      </c>
      <c r="R3965" s="17" t="n">
        <v>46182</v>
      </c>
      <c r="S3965" s="19">
        <f>H3965*I3965</f>
        <v/>
      </c>
      <c r="T3965" s="19">
        <f>H3965*J3965</f>
        <v/>
      </c>
      <c r="U3965">
        <f>IF(AND(K3965=0,G3965&lt;=Assumptions!$C$6),1,0)</f>
        <v/>
      </c>
      <c r="V3965">
        <f>IF(U3965=1,IF(M3965&gt;0,IF(P3965&lt;=G3965+Assumptions!$C$7,1,0),0),0)</f>
        <v/>
      </c>
      <c r="W3965">
        <f>IF(AND(U3965=1,M3965&gt;=H3965*(1-Assumptions!$C$8)),1,0)</f>
        <v/>
      </c>
      <c r="X3965">
        <f>IF(AND(U3965=1,N3965&gt;=H3965*(1-Assumptions!$C$8)),1,0)</f>
        <v/>
      </c>
      <c r="Y3965">
        <f>IF(ISNUMBER(Q3965),1,0)</f>
        <v/>
      </c>
      <c r="Z3965">
        <f>IF(AND(K3965=0,L3965=0,Y3965=0),1,0)</f>
        <v/>
      </c>
      <c r="AA3965">
        <f>IF(AND(Z3965=1,G3965&lt;Assumptions!$C$6),1,0)</f>
        <v/>
      </c>
      <c r="AB3965">
        <f>IF(U3965=0,"",IF(Y3965=1,MAX(0,Q3965-G3965),IF(L3965=1,MAX(0,R3965-G3965),MAX(0,Assumptions!$C$6-G3965))))</f>
        <v/>
      </c>
      <c r="AC3965">
        <f>IF(Y3965=1,Q3965-F3965,"")</f>
        <v/>
      </c>
      <c r="AD3965">
        <f>IF(Y3965=1,AC3965^2,"")</f>
        <v/>
      </c>
      <c r="AE3965" s="19">
        <f>IF(Z3965=1,(H3965-M3965)*I3965,0)</f>
        <v/>
      </c>
      <c r="AF3965">
        <f>IF(G3965&lt;EDATE(Assumptions!$C$6,-12)+1,"prior_12m","last_12m")</f>
        <v/>
      </c>
      <c r="AG3965" s="21">
        <f>DATE(YEAR(G3965),MONTH(G3965),1)</f>
        <v/>
      </c>
    </row>
    <row r="3966">
      <c r="A3966" t="inlineStr">
        <is>
          <t>SPO-02110-2</t>
        </is>
      </c>
      <c r="B3966" t="inlineStr">
        <is>
          <t>SPO-02110</t>
        </is>
      </c>
      <c r="C3966" t="inlineStr">
        <is>
          <t>SUP-04</t>
        </is>
      </c>
      <c r="D3966" t="inlineStr">
        <is>
          <t>FLEET</t>
        </is>
      </c>
      <c r="E3966" t="inlineStr">
        <is>
          <t>FLEET-04</t>
        </is>
      </c>
      <c r="F3966" s="17" t="n">
        <v>46156</v>
      </c>
      <c r="G3966" s="17" t="n">
        <v>46169</v>
      </c>
      <c r="H3966" s="18" t="n">
        <v>155</v>
      </c>
      <c r="I3966" s="19" t="n">
        <v>9.48</v>
      </c>
      <c r="J3966" s="19" t="n">
        <v>9</v>
      </c>
      <c r="K3966" s="20" t="n">
        <v>0</v>
      </c>
      <c r="L3966" s="20" t="n">
        <v>0</v>
      </c>
      <c r="M3966" s="18" t="n">
        <v>155</v>
      </c>
      <c r="N3966" s="18" t="n">
        <v>0</v>
      </c>
      <c r="O3966" s="18" t="n">
        <v>0</v>
      </c>
      <c r="P3966" s="17" t="n">
        <v>46171</v>
      </c>
      <c r="Q3966" s="17" t="n">
        <v>46171</v>
      </c>
      <c r="R3966" s="17" t="n">
        <v>46171</v>
      </c>
      <c r="S3966" s="19">
        <f>H3966*I3966</f>
        <v/>
      </c>
      <c r="T3966" s="19">
        <f>H3966*J3966</f>
        <v/>
      </c>
      <c r="U3966">
        <f>IF(AND(K3966=0,G3966&lt;=Assumptions!$C$6),1,0)</f>
        <v/>
      </c>
      <c r="V3966">
        <f>IF(U3966=1,IF(M3966&gt;0,IF(P3966&lt;=G3966+Assumptions!$C$7,1,0),0),0)</f>
        <v/>
      </c>
      <c r="W3966">
        <f>IF(AND(U3966=1,M3966&gt;=H3966*(1-Assumptions!$C$8)),1,0)</f>
        <v/>
      </c>
      <c r="X3966">
        <f>IF(AND(U3966=1,N3966&gt;=H3966*(1-Assumptions!$C$8)),1,0)</f>
        <v/>
      </c>
      <c r="Y3966">
        <f>IF(ISNUMBER(Q3966),1,0)</f>
        <v/>
      </c>
      <c r="Z3966">
        <f>IF(AND(K3966=0,L3966=0,Y3966=0),1,0)</f>
        <v/>
      </c>
      <c r="AA3966">
        <f>IF(AND(Z3966=1,G3966&lt;Assumptions!$C$6),1,0)</f>
        <v/>
      </c>
      <c r="AB3966">
        <f>IF(U3966=0,"",IF(Y3966=1,MAX(0,Q3966-G3966),IF(L3966=1,MAX(0,R3966-G3966),MAX(0,Assumptions!$C$6-G3966))))</f>
        <v/>
      </c>
      <c r="AC3966">
        <f>IF(Y3966=1,Q3966-F3966,"")</f>
        <v/>
      </c>
      <c r="AD3966">
        <f>IF(Y3966=1,AC3966^2,"")</f>
        <v/>
      </c>
      <c r="AE3966" s="19">
        <f>IF(Z3966=1,(H3966-M3966)*I3966,0)</f>
        <v/>
      </c>
      <c r="AF3966">
        <f>IF(G3966&lt;EDATE(Assumptions!$C$6,-12)+1,"prior_12m","last_12m")</f>
        <v/>
      </c>
      <c r="AG3966" s="21">
        <f>DATE(YEAR(G3966),MONTH(G3966),1)</f>
        <v/>
      </c>
    </row>
    <row r="3967">
      <c r="A3967" t="inlineStr">
        <is>
          <t>SPO-02110-3</t>
        </is>
      </c>
      <c r="B3967" t="inlineStr">
        <is>
          <t>SPO-02110</t>
        </is>
      </c>
      <c r="C3967" t="inlineStr">
        <is>
          <t>SUP-04</t>
        </is>
      </c>
      <c r="D3967" t="inlineStr">
        <is>
          <t>FLEET</t>
        </is>
      </c>
      <c r="E3967" t="inlineStr">
        <is>
          <t>FLEET-08</t>
        </is>
      </c>
      <c r="F3967" s="17" t="n">
        <v>46156</v>
      </c>
      <c r="G3967" s="17" t="n">
        <v>46169</v>
      </c>
      <c r="H3967" s="18" t="n">
        <v>397</v>
      </c>
      <c r="I3967" s="19" t="n">
        <v>6.01</v>
      </c>
      <c r="J3967" s="19" t="n">
        <v>6.4</v>
      </c>
      <c r="K3967" s="20" t="n">
        <v>0</v>
      </c>
      <c r="L3967" s="20" t="n">
        <v>0</v>
      </c>
      <c r="M3967" s="18" t="n">
        <v>397</v>
      </c>
      <c r="N3967" s="18" t="n">
        <v>0</v>
      </c>
      <c r="O3967" s="18" t="n">
        <v>0</v>
      </c>
      <c r="P3967" s="17" t="n">
        <v>46178</v>
      </c>
      <c r="Q3967" s="17" t="n">
        <v>46178</v>
      </c>
      <c r="R3967" s="17" t="n">
        <v>46178</v>
      </c>
      <c r="S3967" s="19">
        <f>H3967*I3967</f>
        <v/>
      </c>
      <c r="T3967" s="19">
        <f>H3967*J3967</f>
        <v/>
      </c>
      <c r="U3967">
        <f>IF(AND(K3967=0,G3967&lt;=Assumptions!$C$6),1,0)</f>
        <v/>
      </c>
      <c r="V3967">
        <f>IF(U3967=1,IF(M3967&gt;0,IF(P3967&lt;=G3967+Assumptions!$C$7,1,0),0),0)</f>
        <v/>
      </c>
      <c r="W3967">
        <f>IF(AND(U3967=1,M3967&gt;=H3967*(1-Assumptions!$C$8)),1,0)</f>
        <v/>
      </c>
      <c r="X3967">
        <f>IF(AND(U3967=1,N3967&gt;=H3967*(1-Assumptions!$C$8)),1,0)</f>
        <v/>
      </c>
      <c r="Y3967">
        <f>IF(ISNUMBER(Q3967),1,0)</f>
        <v/>
      </c>
      <c r="Z3967">
        <f>IF(AND(K3967=0,L3967=0,Y3967=0),1,0)</f>
        <v/>
      </c>
      <c r="AA3967">
        <f>IF(AND(Z3967=1,G3967&lt;Assumptions!$C$6),1,0)</f>
        <v/>
      </c>
      <c r="AB3967">
        <f>IF(U3967=0,"",IF(Y3967=1,MAX(0,Q3967-G3967),IF(L3967=1,MAX(0,R3967-G3967),MAX(0,Assumptions!$C$6-G3967))))</f>
        <v/>
      </c>
      <c r="AC3967">
        <f>IF(Y3967=1,Q3967-F3967,"")</f>
        <v/>
      </c>
      <c r="AD3967">
        <f>IF(Y3967=1,AC3967^2,"")</f>
        <v/>
      </c>
      <c r="AE3967" s="19">
        <f>IF(Z3967=1,(H3967-M3967)*I3967,0)</f>
        <v/>
      </c>
      <c r="AF3967">
        <f>IF(G3967&lt;EDATE(Assumptions!$C$6,-12)+1,"prior_12m","last_12m")</f>
        <v/>
      </c>
      <c r="AG3967" s="21">
        <f>DATE(YEAR(G3967),MONTH(G3967),1)</f>
        <v/>
      </c>
    </row>
    <row r="3968">
      <c r="A3968" t="inlineStr">
        <is>
          <t>SPO-02111-1</t>
        </is>
      </c>
      <c r="B3968" t="inlineStr">
        <is>
          <t>SPO-02111</t>
        </is>
      </c>
      <c r="C3968" t="inlineStr">
        <is>
          <t>SUP-11</t>
        </is>
      </c>
      <c r="D3968" t="inlineStr">
        <is>
          <t>PPE</t>
        </is>
      </c>
      <c r="E3968" t="inlineStr">
        <is>
          <t>PPE-03</t>
        </is>
      </c>
      <c r="F3968" s="17" t="n">
        <v>46156</v>
      </c>
      <c r="G3968" s="17" t="n">
        <v>46168</v>
      </c>
      <c r="H3968" s="18" t="n">
        <v>58</v>
      </c>
      <c r="I3968" s="19" t="n">
        <v>22.41</v>
      </c>
      <c r="J3968" s="19" t="n">
        <v>21</v>
      </c>
      <c r="K3968" s="20" t="n">
        <v>0</v>
      </c>
      <c r="L3968" s="20" t="n">
        <v>0</v>
      </c>
      <c r="M3968" s="18" t="n">
        <v>58</v>
      </c>
      <c r="N3968" s="18" t="n">
        <v>58</v>
      </c>
      <c r="O3968" s="18" t="n">
        <v>0</v>
      </c>
      <c r="P3968" s="17" t="n">
        <v>46167</v>
      </c>
      <c r="Q3968" s="17" t="n">
        <v>46167</v>
      </c>
      <c r="R3968" s="17" t="n">
        <v>46167</v>
      </c>
      <c r="S3968" s="19">
        <f>H3968*I3968</f>
        <v/>
      </c>
      <c r="T3968" s="19">
        <f>H3968*J3968</f>
        <v/>
      </c>
      <c r="U3968">
        <f>IF(AND(K3968=0,G3968&lt;=Assumptions!$C$6),1,0)</f>
        <v/>
      </c>
      <c r="V3968">
        <f>IF(U3968=1,IF(M3968&gt;0,IF(P3968&lt;=G3968+Assumptions!$C$7,1,0),0),0)</f>
        <v/>
      </c>
      <c r="W3968">
        <f>IF(AND(U3968=1,M3968&gt;=H3968*(1-Assumptions!$C$8)),1,0)</f>
        <v/>
      </c>
      <c r="X3968">
        <f>IF(AND(U3968=1,N3968&gt;=H3968*(1-Assumptions!$C$8)),1,0)</f>
        <v/>
      </c>
      <c r="Y3968">
        <f>IF(ISNUMBER(Q3968),1,0)</f>
        <v/>
      </c>
      <c r="Z3968">
        <f>IF(AND(K3968=0,L3968=0,Y3968=0),1,0)</f>
        <v/>
      </c>
      <c r="AA3968">
        <f>IF(AND(Z3968=1,G3968&lt;Assumptions!$C$6),1,0)</f>
        <v/>
      </c>
      <c r="AB3968">
        <f>IF(U3968=0,"",IF(Y3968=1,MAX(0,Q3968-G3968),IF(L3968=1,MAX(0,R3968-G3968),MAX(0,Assumptions!$C$6-G3968))))</f>
        <v/>
      </c>
      <c r="AC3968">
        <f>IF(Y3968=1,Q3968-F3968,"")</f>
        <v/>
      </c>
      <c r="AD3968">
        <f>IF(Y3968=1,AC3968^2,"")</f>
        <v/>
      </c>
      <c r="AE3968" s="19">
        <f>IF(Z3968=1,(H3968-M3968)*I3968,0)</f>
        <v/>
      </c>
      <c r="AF3968">
        <f>IF(G3968&lt;EDATE(Assumptions!$C$6,-12)+1,"prior_12m","last_12m")</f>
        <v/>
      </c>
      <c r="AG3968" s="21">
        <f>DATE(YEAR(G3968),MONTH(G3968),1)</f>
        <v/>
      </c>
    </row>
    <row r="3969">
      <c r="A3969" t="inlineStr">
        <is>
          <t>SPO-02111-2</t>
        </is>
      </c>
      <c r="B3969" t="inlineStr">
        <is>
          <t>SPO-02111</t>
        </is>
      </c>
      <c r="C3969" t="inlineStr">
        <is>
          <t>SUP-11</t>
        </is>
      </c>
      <c r="D3969" t="inlineStr">
        <is>
          <t>PPE</t>
        </is>
      </c>
      <c r="E3969" t="inlineStr">
        <is>
          <t>PPE-08</t>
        </is>
      </c>
      <c r="F3969" s="17" t="n">
        <v>46156</v>
      </c>
      <c r="G3969" s="17" t="n">
        <v>46168</v>
      </c>
      <c r="H3969" s="18" t="n">
        <v>15</v>
      </c>
      <c r="I3969" s="19" t="n">
        <v>63.8</v>
      </c>
      <c r="J3969" s="19" t="n">
        <v>64</v>
      </c>
      <c r="K3969" s="20" t="n">
        <v>0</v>
      </c>
      <c r="L3969" s="20" t="n">
        <v>0</v>
      </c>
      <c r="M3969" s="18" t="n">
        <v>15</v>
      </c>
      <c r="N3969" s="18" t="n">
        <v>15</v>
      </c>
      <c r="O3969" s="18" t="n">
        <v>0</v>
      </c>
      <c r="P3969" s="17" t="n">
        <v>46165</v>
      </c>
      <c r="Q3969" s="17" t="n">
        <v>46165</v>
      </c>
      <c r="R3969" s="17" t="n">
        <v>46165</v>
      </c>
      <c r="S3969" s="19">
        <f>H3969*I3969</f>
        <v/>
      </c>
      <c r="T3969" s="19">
        <f>H3969*J3969</f>
        <v/>
      </c>
      <c r="U3969">
        <f>IF(AND(K3969=0,G3969&lt;=Assumptions!$C$6),1,0)</f>
        <v/>
      </c>
      <c r="V3969">
        <f>IF(U3969=1,IF(M3969&gt;0,IF(P3969&lt;=G3969+Assumptions!$C$7,1,0),0),0)</f>
        <v/>
      </c>
      <c r="W3969">
        <f>IF(AND(U3969=1,M3969&gt;=H3969*(1-Assumptions!$C$8)),1,0)</f>
        <v/>
      </c>
      <c r="X3969">
        <f>IF(AND(U3969=1,N3969&gt;=H3969*(1-Assumptions!$C$8)),1,0)</f>
        <v/>
      </c>
      <c r="Y3969">
        <f>IF(ISNUMBER(Q3969),1,0)</f>
        <v/>
      </c>
      <c r="Z3969">
        <f>IF(AND(K3969=0,L3969=0,Y3969=0),1,0)</f>
        <v/>
      </c>
      <c r="AA3969">
        <f>IF(AND(Z3969=1,G3969&lt;Assumptions!$C$6),1,0)</f>
        <v/>
      </c>
      <c r="AB3969">
        <f>IF(U3969=0,"",IF(Y3969=1,MAX(0,Q3969-G3969),IF(L3969=1,MAX(0,R3969-G3969),MAX(0,Assumptions!$C$6-G3969))))</f>
        <v/>
      </c>
      <c r="AC3969">
        <f>IF(Y3969=1,Q3969-F3969,"")</f>
        <v/>
      </c>
      <c r="AD3969">
        <f>IF(Y3969=1,AC3969^2,"")</f>
        <v/>
      </c>
      <c r="AE3969" s="19">
        <f>IF(Z3969=1,(H3969-M3969)*I3969,0)</f>
        <v/>
      </c>
      <c r="AF3969">
        <f>IF(G3969&lt;EDATE(Assumptions!$C$6,-12)+1,"prior_12m","last_12m")</f>
        <v/>
      </c>
      <c r="AG3969" s="21">
        <f>DATE(YEAR(G3969),MONTH(G3969),1)</f>
        <v/>
      </c>
    </row>
    <row r="3970">
      <c r="A3970" t="inlineStr">
        <is>
          <t>SPO-02111-3</t>
        </is>
      </c>
      <c r="B3970" t="inlineStr">
        <is>
          <t>SPO-02111</t>
        </is>
      </c>
      <c r="C3970" t="inlineStr">
        <is>
          <t>SUP-11</t>
        </is>
      </c>
      <c r="D3970" t="inlineStr">
        <is>
          <t>PPE</t>
        </is>
      </c>
      <c r="E3970" t="inlineStr">
        <is>
          <t>PPE-06</t>
        </is>
      </c>
      <c r="F3970" s="17" t="n">
        <v>46156</v>
      </c>
      <c r="G3970" s="17" t="n">
        <v>46168</v>
      </c>
      <c r="H3970" s="18" t="n">
        <v>8</v>
      </c>
      <c r="I3970" s="19" t="n">
        <v>115.41</v>
      </c>
      <c r="J3970" s="19" t="n">
        <v>115</v>
      </c>
      <c r="K3970" s="20" t="n">
        <v>0</v>
      </c>
      <c r="L3970" s="20" t="n">
        <v>0</v>
      </c>
      <c r="M3970" s="18" t="n">
        <v>8</v>
      </c>
      <c r="N3970" s="18" t="n">
        <v>8</v>
      </c>
      <c r="O3970" s="18" t="n">
        <v>0</v>
      </c>
      <c r="P3970" s="17" t="n">
        <v>46166</v>
      </c>
      <c r="Q3970" s="17" t="n">
        <v>46166</v>
      </c>
      <c r="R3970" s="17" t="n">
        <v>46166</v>
      </c>
      <c r="S3970" s="19">
        <f>H3970*I3970</f>
        <v/>
      </c>
      <c r="T3970" s="19">
        <f>H3970*J3970</f>
        <v/>
      </c>
      <c r="U3970">
        <f>IF(AND(K3970=0,G3970&lt;=Assumptions!$C$6),1,0)</f>
        <v/>
      </c>
      <c r="V3970">
        <f>IF(U3970=1,IF(M3970&gt;0,IF(P3970&lt;=G3970+Assumptions!$C$7,1,0),0),0)</f>
        <v/>
      </c>
      <c r="W3970">
        <f>IF(AND(U3970=1,M3970&gt;=H3970*(1-Assumptions!$C$8)),1,0)</f>
        <v/>
      </c>
      <c r="X3970">
        <f>IF(AND(U3970=1,N3970&gt;=H3970*(1-Assumptions!$C$8)),1,0)</f>
        <v/>
      </c>
      <c r="Y3970">
        <f>IF(ISNUMBER(Q3970),1,0)</f>
        <v/>
      </c>
      <c r="Z3970">
        <f>IF(AND(K3970=0,L3970=0,Y3970=0),1,0)</f>
        <v/>
      </c>
      <c r="AA3970">
        <f>IF(AND(Z3970=1,G3970&lt;Assumptions!$C$6),1,0)</f>
        <v/>
      </c>
      <c r="AB3970">
        <f>IF(U3970=0,"",IF(Y3970=1,MAX(0,Q3970-G3970),IF(L3970=1,MAX(0,R3970-G3970),MAX(0,Assumptions!$C$6-G3970))))</f>
        <v/>
      </c>
      <c r="AC3970">
        <f>IF(Y3970=1,Q3970-F3970,"")</f>
        <v/>
      </c>
      <c r="AD3970">
        <f>IF(Y3970=1,AC3970^2,"")</f>
        <v/>
      </c>
      <c r="AE3970" s="19">
        <f>IF(Z3970=1,(H3970-M3970)*I3970,0)</f>
        <v/>
      </c>
      <c r="AF3970">
        <f>IF(G3970&lt;EDATE(Assumptions!$C$6,-12)+1,"prior_12m","last_12m")</f>
        <v/>
      </c>
      <c r="AG3970" s="21">
        <f>DATE(YEAR(G3970),MONTH(G3970),1)</f>
        <v/>
      </c>
    </row>
    <row r="3971">
      <c r="A3971" t="inlineStr">
        <is>
          <t>SPO-02112-1</t>
        </is>
      </c>
      <c r="B3971" t="inlineStr">
        <is>
          <t>SPO-02112</t>
        </is>
      </c>
      <c r="C3971" t="inlineStr">
        <is>
          <t>SUP-14</t>
        </is>
      </c>
      <c r="D3971" t="inlineStr">
        <is>
          <t>FLEET</t>
        </is>
      </c>
      <c r="E3971" t="inlineStr">
        <is>
          <t>FLEET-08</t>
        </is>
      </c>
      <c r="F3971" s="17" t="n">
        <v>46157</v>
      </c>
      <c r="G3971" s="17" t="n">
        <v>46171</v>
      </c>
      <c r="H3971" s="18" t="n">
        <v>186</v>
      </c>
      <c r="I3971" s="19" t="n">
        <v>6.44</v>
      </c>
      <c r="J3971" s="19" t="n">
        <v>6.4</v>
      </c>
      <c r="K3971" s="20" t="n">
        <v>0</v>
      </c>
      <c r="L3971" s="20" t="n">
        <v>0</v>
      </c>
      <c r="M3971" s="18" t="n">
        <v>186</v>
      </c>
      <c r="N3971" s="18" t="n">
        <v>186</v>
      </c>
      <c r="O3971" s="18" t="n">
        <v>0</v>
      </c>
      <c r="P3971" s="17" t="n">
        <v>46166</v>
      </c>
      <c r="Q3971" s="17" t="n">
        <v>46166</v>
      </c>
      <c r="R3971" s="17" t="n">
        <v>46166</v>
      </c>
      <c r="S3971" s="19">
        <f>H3971*I3971</f>
        <v/>
      </c>
      <c r="T3971" s="19">
        <f>H3971*J3971</f>
        <v/>
      </c>
      <c r="U3971">
        <f>IF(AND(K3971=0,G3971&lt;=Assumptions!$C$6),1,0)</f>
        <v/>
      </c>
      <c r="V3971">
        <f>IF(U3971=1,IF(M3971&gt;0,IF(P3971&lt;=G3971+Assumptions!$C$7,1,0),0),0)</f>
        <v/>
      </c>
      <c r="W3971">
        <f>IF(AND(U3971=1,M3971&gt;=H3971*(1-Assumptions!$C$8)),1,0)</f>
        <v/>
      </c>
      <c r="X3971">
        <f>IF(AND(U3971=1,N3971&gt;=H3971*(1-Assumptions!$C$8)),1,0)</f>
        <v/>
      </c>
      <c r="Y3971">
        <f>IF(ISNUMBER(Q3971),1,0)</f>
        <v/>
      </c>
      <c r="Z3971">
        <f>IF(AND(K3971=0,L3971=0,Y3971=0),1,0)</f>
        <v/>
      </c>
      <c r="AA3971">
        <f>IF(AND(Z3971=1,G3971&lt;Assumptions!$C$6),1,0)</f>
        <v/>
      </c>
      <c r="AB3971">
        <f>IF(U3971=0,"",IF(Y3971=1,MAX(0,Q3971-G3971),IF(L3971=1,MAX(0,R3971-G3971),MAX(0,Assumptions!$C$6-G3971))))</f>
        <v/>
      </c>
      <c r="AC3971">
        <f>IF(Y3971=1,Q3971-F3971,"")</f>
        <v/>
      </c>
      <c r="AD3971">
        <f>IF(Y3971=1,AC3971^2,"")</f>
        <v/>
      </c>
      <c r="AE3971" s="19">
        <f>IF(Z3971=1,(H3971-M3971)*I3971,0)</f>
        <v/>
      </c>
      <c r="AF3971">
        <f>IF(G3971&lt;EDATE(Assumptions!$C$6,-12)+1,"prior_12m","last_12m")</f>
        <v/>
      </c>
      <c r="AG3971" s="21">
        <f>DATE(YEAR(G3971),MONTH(G3971),1)</f>
        <v/>
      </c>
    </row>
    <row r="3972">
      <c r="A3972" t="inlineStr">
        <is>
          <t>SPO-02112-2</t>
        </is>
      </c>
      <c r="B3972" t="inlineStr">
        <is>
          <t>SPO-02112</t>
        </is>
      </c>
      <c r="C3972" t="inlineStr">
        <is>
          <t>SUP-14</t>
        </is>
      </c>
      <c r="D3972" t="inlineStr">
        <is>
          <t>FLEET</t>
        </is>
      </c>
      <c r="E3972" t="inlineStr">
        <is>
          <t>FLEET-01</t>
        </is>
      </c>
      <c r="F3972" s="17" t="n">
        <v>46157</v>
      </c>
      <c r="G3972" s="17" t="n">
        <v>46171</v>
      </c>
      <c r="H3972" s="18" t="n">
        <v>29</v>
      </c>
      <c r="I3972" s="19" t="n">
        <v>63.52</v>
      </c>
      <c r="J3972" s="19" t="n">
        <v>64</v>
      </c>
      <c r="K3972" s="20" t="n">
        <v>0</v>
      </c>
      <c r="L3972" s="20" t="n">
        <v>0</v>
      </c>
      <c r="M3972" s="18" t="n">
        <v>29</v>
      </c>
      <c r="N3972" s="18" t="n">
        <v>29</v>
      </c>
      <c r="O3972" s="18" t="n">
        <v>0</v>
      </c>
      <c r="P3972" s="17" t="n">
        <v>46167</v>
      </c>
      <c r="Q3972" s="17" t="n">
        <v>46167</v>
      </c>
      <c r="R3972" s="17" t="n">
        <v>46167</v>
      </c>
      <c r="S3972" s="19">
        <f>H3972*I3972</f>
        <v/>
      </c>
      <c r="T3972" s="19">
        <f>H3972*J3972</f>
        <v/>
      </c>
      <c r="U3972">
        <f>IF(AND(K3972=0,G3972&lt;=Assumptions!$C$6),1,0)</f>
        <v/>
      </c>
      <c r="V3972">
        <f>IF(U3972=1,IF(M3972&gt;0,IF(P3972&lt;=G3972+Assumptions!$C$7,1,0),0),0)</f>
        <v/>
      </c>
      <c r="W3972">
        <f>IF(AND(U3972=1,M3972&gt;=H3972*(1-Assumptions!$C$8)),1,0)</f>
        <v/>
      </c>
      <c r="X3972">
        <f>IF(AND(U3972=1,N3972&gt;=H3972*(1-Assumptions!$C$8)),1,0)</f>
        <v/>
      </c>
      <c r="Y3972">
        <f>IF(ISNUMBER(Q3972),1,0)</f>
        <v/>
      </c>
      <c r="Z3972">
        <f>IF(AND(K3972=0,L3972=0,Y3972=0),1,0)</f>
        <v/>
      </c>
      <c r="AA3972">
        <f>IF(AND(Z3972=1,G3972&lt;Assumptions!$C$6),1,0)</f>
        <v/>
      </c>
      <c r="AB3972">
        <f>IF(U3972=0,"",IF(Y3972=1,MAX(0,Q3972-G3972),IF(L3972=1,MAX(0,R3972-G3972),MAX(0,Assumptions!$C$6-G3972))))</f>
        <v/>
      </c>
      <c r="AC3972">
        <f>IF(Y3972=1,Q3972-F3972,"")</f>
        <v/>
      </c>
      <c r="AD3972">
        <f>IF(Y3972=1,AC3972^2,"")</f>
        <v/>
      </c>
      <c r="AE3972" s="19">
        <f>IF(Z3972=1,(H3972-M3972)*I3972,0)</f>
        <v/>
      </c>
      <c r="AF3972">
        <f>IF(G3972&lt;EDATE(Assumptions!$C$6,-12)+1,"prior_12m","last_12m")</f>
        <v/>
      </c>
      <c r="AG3972" s="21">
        <f>DATE(YEAR(G3972),MONTH(G3972),1)</f>
        <v/>
      </c>
    </row>
    <row r="3973">
      <c r="A3973" t="inlineStr">
        <is>
          <t>SPO-02113-1</t>
        </is>
      </c>
      <c r="B3973" t="inlineStr">
        <is>
          <t>SPO-02113</t>
        </is>
      </c>
      <c r="C3973" t="inlineStr">
        <is>
          <t>SUP-14</t>
        </is>
      </c>
      <c r="D3973" t="inlineStr">
        <is>
          <t>FLEET</t>
        </is>
      </c>
      <c r="E3973" t="inlineStr">
        <is>
          <t>FLEET-05</t>
        </is>
      </c>
      <c r="F3973" s="17" t="n">
        <v>46157</v>
      </c>
      <c r="G3973" s="17" t="n">
        <v>46171</v>
      </c>
      <c r="H3973" s="18" t="n">
        <v>19</v>
      </c>
      <c r="I3973" s="19" t="n">
        <v>168.44</v>
      </c>
      <c r="J3973" s="19" t="n">
        <v>168</v>
      </c>
      <c r="K3973" s="20" t="n">
        <v>0</v>
      </c>
      <c r="L3973" s="20" t="n">
        <v>0</v>
      </c>
      <c r="M3973" s="18" t="n">
        <v>19</v>
      </c>
      <c r="N3973" s="18" t="n">
        <v>19</v>
      </c>
      <c r="O3973" s="18" t="n">
        <v>0</v>
      </c>
      <c r="P3973" s="17" t="n">
        <v>46169</v>
      </c>
      <c r="Q3973" s="17" t="n">
        <v>46169</v>
      </c>
      <c r="R3973" s="17" t="n">
        <v>46169</v>
      </c>
      <c r="S3973" s="19">
        <f>H3973*I3973</f>
        <v/>
      </c>
      <c r="T3973" s="19">
        <f>H3973*J3973</f>
        <v/>
      </c>
      <c r="U3973">
        <f>IF(AND(K3973=0,G3973&lt;=Assumptions!$C$6),1,0)</f>
        <v/>
      </c>
      <c r="V3973">
        <f>IF(U3973=1,IF(M3973&gt;0,IF(P3973&lt;=G3973+Assumptions!$C$7,1,0),0),0)</f>
        <v/>
      </c>
      <c r="W3973">
        <f>IF(AND(U3973=1,M3973&gt;=H3973*(1-Assumptions!$C$8)),1,0)</f>
        <v/>
      </c>
      <c r="X3973">
        <f>IF(AND(U3973=1,N3973&gt;=H3973*(1-Assumptions!$C$8)),1,0)</f>
        <v/>
      </c>
      <c r="Y3973">
        <f>IF(ISNUMBER(Q3973),1,0)</f>
        <v/>
      </c>
      <c r="Z3973">
        <f>IF(AND(K3973=0,L3973=0,Y3973=0),1,0)</f>
        <v/>
      </c>
      <c r="AA3973">
        <f>IF(AND(Z3973=1,G3973&lt;Assumptions!$C$6),1,0)</f>
        <v/>
      </c>
      <c r="AB3973">
        <f>IF(U3973=0,"",IF(Y3973=1,MAX(0,Q3973-G3973),IF(L3973=1,MAX(0,R3973-G3973),MAX(0,Assumptions!$C$6-G3973))))</f>
        <v/>
      </c>
      <c r="AC3973">
        <f>IF(Y3973=1,Q3973-F3973,"")</f>
        <v/>
      </c>
      <c r="AD3973">
        <f>IF(Y3973=1,AC3973^2,"")</f>
        <v/>
      </c>
      <c r="AE3973" s="19">
        <f>IF(Z3973=1,(H3973-M3973)*I3973,0)</f>
        <v/>
      </c>
      <c r="AF3973">
        <f>IF(G3973&lt;EDATE(Assumptions!$C$6,-12)+1,"prior_12m","last_12m")</f>
        <v/>
      </c>
      <c r="AG3973" s="21">
        <f>DATE(YEAR(G3973),MONTH(G3973),1)</f>
        <v/>
      </c>
    </row>
    <row r="3974">
      <c r="A3974" t="inlineStr">
        <is>
          <t>SPO-02113-2</t>
        </is>
      </c>
      <c r="B3974" t="inlineStr">
        <is>
          <t>SPO-02113</t>
        </is>
      </c>
      <c r="C3974" t="inlineStr">
        <is>
          <t>SUP-14</t>
        </is>
      </c>
      <c r="D3974" t="inlineStr">
        <is>
          <t>FLEET</t>
        </is>
      </c>
      <c r="E3974" t="inlineStr">
        <is>
          <t>FLEET-03</t>
        </is>
      </c>
      <c r="F3974" s="17" t="n">
        <v>46157</v>
      </c>
      <c r="G3974" s="17" t="n">
        <v>46171</v>
      </c>
      <c r="H3974" s="18" t="n">
        <v>32</v>
      </c>
      <c r="I3974" s="19" t="n">
        <v>20.46</v>
      </c>
      <c r="J3974" s="19" t="n">
        <v>21</v>
      </c>
      <c r="K3974" s="20" t="n">
        <v>0</v>
      </c>
      <c r="L3974" s="20" t="n">
        <v>0</v>
      </c>
      <c r="M3974" s="18" t="n">
        <v>32</v>
      </c>
      <c r="N3974" s="18" t="n">
        <v>32</v>
      </c>
      <c r="O3974" s="18" t="n">
        <v>0</v>
      </c>
      <c r="P3974" s="17" t="n">
        <v>46164</v>
      </c>
      <c r="Q3974" s="17" t="n">
        <v>46164</v>
      </c>
      <c r="R3974" s="17" t="n">
        <v>46164</v>
      </c>
      <c r="S3974" s="19">
        <f>H3974*I3974</f>
        <v/>
      </c>
      <c r="T3974" s="19">
        <f>H3974*J3974</f>
        <v/>
      </c>
      <c r="U3974">
        <f>IF(AND(K3974=0,G3974&lt;=Assumptions!$C$6),1,0)</f>
        <v/>
      </c>
      <c r="V3974">
        <f>IF(U3974=1,IF(M3974&gt;0,IF(P3974&lt;=G3974+Assumptions!$C$7,1,0),0),0)</f>
        <v/>
      </c>
      <c r="W3974">
        <f>IF(AND(U3974=1,M3974&gt;=H3974*(1-Assumptions!$C$8)),1,0)</f>
        <v/>
      </c>
      <c r="X3974">
        <f>IF(AND(U3974=1,N3974&gt;=H3974*(1-Assumptions!$C$8)),1,0)</f>
        <v/>
      </c>
      <c r="Y3974">
        <f>IF(ISNUMBER(Q3974),1,0)</f>
        <v/>
      </c>
      <c r="Z3974">
        <f>IF(AND(K3974=0,L3974=0,Y3974=0),1,0)</f>
        <v/>
      </c>
      <c r="AA3974">
        <f>IF(AND(Z3974=1,G3974&lt;Assumptions!$C$6),1,0)</f>
        <v/>
      </c>
      <c r="AB3974">
        <f>IF(U3974=0,"",IF(Y3974=1,MAX(0,Q3974-G3974),IF(L3974=1,MAX(0,R3974-G3974),MAX(0,Assumptions!$C$6-G3974))))</f>
        <v/>
      </c>
      <c r="AC3974">
        <f>IF(Y3974=1,Q3974-F3974,"")</f>
        <v/>
      </c>
      <c r="AD3974">
        <f>IF(Y3974=1,AC3974^2,"")</f>
        <v/>
      </c>
      <c r="AE3974" s="19">
        <f>IF(Z3974=1,(H3974-M3974)*I3974,0)</f>
        <v/>
      </c>
      <c r="AF3974">
        <f>IF(G3974&lt;EDATE(Assumptions!$C$6,-12)+1,"prior_12m","last_12m")</f>
        <v/>
      </c>
      <c r="AG3974" s="21">
        <f>DATE(YEAR(G3974),MONTH(G3974),1)</f>
        <v/>
      </c>
    </row>
    <row r="3975">
      <c r="A3975" t="inlineStr">
        <is>
          <t>SPO-02114-1</t>
        </is>
      </c>
      <c r="B3975" t="inlineStr">
        <is>
          <t>SPO-02114</t>
        </is>
      </c>
      <c r="C3975" t="inlineStr">
        <is>
          <t>SUP-01</t>
        </is>
      </c>
      <c r="D3975" t="inlineStr">
        <is>
          <t>ELEC</t>
        </is>
      </c>
      <c r="E3975" t="inlineStr">
        <is>
          <t>ELEC-04</t>
        </is>
      </c>
      <c r="F3975" s="17" t="n">
        <v>46157</v>
      </c>
      <c r="G3975" s="17" t="n">
        <v>46175</v>
      </c>
      <c r="H3975" s="18" t="n">
        <v>78</v>
      </c>
      <c r="I3975" s="19" t="n">
        <v>74.44</v>
      </c>
      <c r="J3975" s="19" t="n">
        <v>72</v>
      </c>
      <c r="K3975" s="20" t="n">
        <v>0</v>
      </c>
      <c r="L3975" s="20" t="n">
        <v>0</v>
      </c>
      <c r="M3975" s="18" t="n">
        <v>78</v>
      </c>
      <c r="N3975" s="18" t="n">
        <v>78</v>
      </c>
      <c r="O3975" s="18" t="n">
        <v>0</v>
      </c>
      <c r="P3975" s="17" t="n">
        <v>46166</v>
      </c>
      <c r="Q3975" s="17" t="n">
        <v>46166</v>
      </c>
      <c r="R3975" s="17" t="n">
        <v>46166</v>
      </c>
      <c r="S3975" s="19">
        <f>H3975*I3975</f>
        <v/>
      </c>
      <c r="T3975" s="19">
        <f>H3975*J3975</f>
        <v/>
      </c>
      <c r="U3975">
        <f>IF(AND(K3975=0,G3975&lt;=Assumptions!$C$6),1,0)</f>
        <v/>
      </c>
      <c r="V3975">
        <f>IF(U3975=1,IF(M3975&gt;0,IF(P3975&lt;=G3975+Assumptions!$C$7,1,0),0),0)</f>
        <v/>
      </c>
      <c r="W3975">
        <f>IF(AND(U3975=1,M3975&gt;=H3975*(1-Assumptions!$C$8)),1,0)</f>
        <v/>
      </c>
      <c r="X3975">
        <f>IF(AND(U3975=1,N3975&gt;=H3975*(1-Assumptions!$C$8)),1,0)</f>
        <v/>
      </c>
      <c r="Y3975">
        <f>IF(ISNUMBER(Q3975),1,0)</f>
        <v/>
      </c>
      <c r="Z3975">
        <f>IF(AND(K3975=0,L3975=0,Y3975=0),1,0)</f>
        <v/>
      </c>
      <c r="AA3975">
        <f>IF(AND(Z3975=1,G3975&lt;Assumptions!$C$6),1,0)</f>
        <v/>
      </c>
      <c r="AB3975">
        <f>IF(U3975=0,"",IF(Y3975=1,MAX(0,Q3975-G3975),IF(L3975=1,MAX(0,R3975-G3975),MAX(0,Assumptions!$C$6-G3975))))</f>
        <v/>
      </c>
      <c r="AC3975">
        <f>IF(Y3975=1,Q3975-F3975,"")</f>
        <v/>
      </c>
      <c r="AD3975">
        <f>IF(Y3975=1,AC3975^2,"")</f>
        <v/>
      </c>
      <c r="AE3975" s="19">
        <f>IF(Z3975=1,(H3975-M3975)*I3975,0)</f>
        <v/>
      </c>
      <c r="AF3975">
        <f>IF(G3975&lt;EDATE(Assumptions!$C$6,-12)+1,"prior_12m","last_12m")</f>
        <v/>
      </c>
      <c r="AG3975" s="21">
        <f>DATE(YEAR(G3975),MONTH(G3975),1)</f>
        <v/>
      </c>
    </row>
    <row r="3976">
      <c r="A3976" t="inlineStr">
        <is>
          <t>SPO-02115-1</t>
        </is>
      </c>
      <c r="B3976" t="inlineStr">
        <is>
          <t>SPO-02115</t>
        </is>
      </c>
      <c r="C3976" t="inlineStr">
        <is>
          <t>SUP-12</t>
        </is>
      </c>
      <c r="D3976" t="inlineStr">
        <is>
          <t>IT</t>
        </is>
      </c>
      <c r="E3976" t="inlineStr">
        <is>
          <t>IT-05</t>
        </is>
      </c>
      <c r="F3976" s="17" t="n">
        <v>46158</v>
      </c>
      <c r="G3976" s="17" t="n">
        <v>46168</v>
      </c>
      <c r="H3976" s="18" t="n">
        <v>3</v>
      </c>
      <c r="I3976" s="19" t="n">
        <v>734.09</v>
      </c>
      <c r="J3976" s="19" t="n">
        <v>640</v>
      </c>
      <c r="K3976" s="20" t="n">
        <v>0</v>
      </c>
      <c r="L3976" s="20" t="n">
        <v>0</v>
      </c>
      <c r="M3976" s="18" t="n">
        <v>3</v>
      </c>
      <c r="N3976" s="18" t="n">
        <v>3</v>
      </c>
      <c r="O3976" s="18" t="n">
        <v>0</v>
      </c>
      <c r="P3976" s="17" t="n">
        <v>46164</v>
      </c>
      <c r="Q3976" s="17" t="n">
        <v>46164</v>
      </c>
      <c r="R3976" s="17" t="n">
        <v>46164</v>
      </c>
      <c r="S3976" s="19">
        <f>H3976*I3976</f>
        <v/>
      </c>
      <c r="T3976" s="19">
        <f>H3976*J3976</f>
        <v/>
      </c>
      <c r="U3976">
        <f>IF(AND(K3976=0,G3976&lt;=Assumptions!$C$6),1,0)</f>
        <v/>
      </c>
      <c r="V3976">
        <f>IF(U3976=1,IF(M3976&gt;0,IF(P3976&lt;=G3976+Assumptions!$C$7,1,0),0),0)</f>
        <v/>
      </c>
      <c r="W3976">
        <f>IF(AND(U3976=1,M3976&gt;=H3976*(1-Assumptions!$C$8)),1,0)</f>
        <v/>
      </c>
      <c r="X3976">
        <f>IF(AND(U3976=1,N3976&gt;=H3976*(1-Assumptions!$C$8)),1,0)</f>
        <v/>
      </c>
      <c r="Y3976">
        <f>IF(ISNUMBER(Q3976),1,0)</f>
        <v/>
      </c>
      <c r="Z3976">
        <f>IF(AND(K3976=0,L3976=0,Y3976=0),1,0)</f>
        <v/>
      </c>
      <c r="AA3976">
        <f>IF(AND(Z3976=1,G3976&lt;Assumptions!$C$6),1,0)</f>
        <v/>
      </c>
      <c r="AB3976">
        <f>IF(U3976=0,"",IF(Y3976=1,MAX(0,Q3976-G3976),IF(L3976=1,MAX(0,R3976-G3976),MAX(0,Assumptions!$C$6-G3976))))</f>
        <v/>
      </c>
      <c r="AC3976">
        <f>IF(Y3976=1,Q3976-F3976,"")</f>
        <v/>
      </c>
      <c r="AD3976">
        <f>IF(Y3976=1,AC3976^2,"")</f>
        <v/>
      </c>
      <c r="AE3976" s="19">
        <f>IF(Z3976=1,(H3976-M3976)*I3976,0)</f>
        <v/>
      </c>
      <c r="AF3976">
        <f>IF(G3976&lt;EDATE(Assumptions!$C$6,-12)+1,"prior_12m","last_12m")</f>
        <v/>
      </c>
      <c r="AG3976" s="21">
        <f>DATE(YEAR(G3976),MONTH(G3976),1)</f>
        <v/>
      </c>
    </row>
    <row r="3977">
      <c r="A3977" t="inlineStr">
        <is>
          <t>SPO-02116-1</t>
        </is>
      </c>
      <c r="B3977" t="inlineStr">
        <is>
          <t>SPO-02116</t>
        </is>
      </c>
      <c r="C3977" t="inlineStr">
        <is>
          <t>SUP-04</t>
        </is>
      </c>
      <c r="D3977" t="inlineStr">
        <is>
          <t>FLEET</t>
        </is>
      </c>
      <c r="E3977" t="inlineStr">
        <is>
          <t>FLEET-08</t>
        </is>
      </c>
      <c r="F3977" s="17" t="n">
        <v>46159</v>
      </c>
      <c r="G3977" s="17" t="n">
        <v>46172</v>
      </c>
      <c r="H3977" s="18" t="n">
        <v>166</v>
      </c>
      <c r="I3977" s="19" t="n">
        <v>6.31</v>
      </c>
      <c r="J3977" s="19" t="n">
        <v>6.4</v>
      </c>
      <c r="K3977" s="20" t="n">
        <v>0</v>
      </c>
      <c r="L3977" s="20" t="n">
        <v>0</v>
      </c>
      <c r="M3977" s="18" t="n">
        <v>166</v>
      </c>
      <c r="N3977" s="18" t="n">
        <v>0</v>
      </c>
      <c r="O3977" s="18" t="n">
        <v>0</v>
      </c>
      <c r="P3977" s="17" t="n">
        <v>46177</v>
      </c>
      <c r="Q3977" s="17" t="n">
        <v>46177</v>
      </c>
      <c r="R3977" s="17" t="n">
        <v>46177</v>
      </c>
      <c r="S3977" s="19">
        <f>H3977*I3977</f>
        <v/>
      </c>
      <c r="T3977" s="19">
        <f>H3977*J3977</f>
        <v/>
      </c>
      <c r="U3977">
        <f>IF(AND(K3977=0,G3977&lt;=Assumptions!$C$6),1,0)</f>
        <v/>
      </c>
      <c r="V3977">
        <f>IF(U3977=1,IF(M3977&gt;0,IF(P3977&lt;=G3977+Assumptions!$C$7,1,0),0),0)</f>
        <v/>
      </c>
      <c r="W3977">
        <f>IF(AND(U3977=1,M3977&gt;=H3977*(1-Assumptions!$C$8)),1,0)</f>
        <v/>
      </c>
      <c r="X3977">
        <f>IF(AND(U3977=1,N3977&gt;=H3977*(1-Assumptions!$C$8)),1,0)</f>
        <v/>
      </c>
      <c r="Y3977">
        <f>IF(ISNUMBER(Q3977),1,0)</f>
        <v/>
      </c>
      <c r="Z3977">
        <f>IF(AND(K3977=0,L3977=0,Y3977=0),1,0)</f>
        <v/>
      </c>
      <c r="AA3977">
        <f>IF(AND(Z3977=1,G3977&lt;Assumptions!$C$6),1,0)</f>
        <v/>
      </c>
      <c r="AB3977">
        <f>IF(U3977=0,"",IF(Y3977=1,MAX(0,Q3977-G3977),IF(L3977=1,MAX(0,R3977-G3977),MAX(0,Assumptions!$C$6-G3977))))</f>
        <v/>
      </c>
      <c r="AC3977">
        <f>IF(Y3977=1,Q3977-F3977,"")</f>
        <v/>
      </c>
      <c r="AD3977">
        <f>IF(Y3977=1,AC3977^2,"")</f>
        <v/>
      </c>
      <c r="AE3977" s="19">
        <f>IF(Z3977=1,(H3977-M3977)*I3977,0)</f>
        <v/>
      </c>
      <c r="AF3977">
        <f>IF(G3977&lt;EDATE(Assumptions!$C$6,-12)+1,"prior_12m","last_12m")</f>
        <v/>
      </c>
      <c r="AG3977" s="21">
        <f>DATE(YEAR(G3977),MONTH(G3977),1)</f>
        <v/>
      </c>
    </row>
    <row r="3978">
      <c r="A3978" t="inlineStr">
        <is>
          <t>SPO-02117-1</t>
        </is>
      </c>
      <c r="B3978" t="inlineStr">
        <is>
          <t>SPO-02117</t>
        </is>
      </c>
      <c r="C3978" t="inlineStr">
        <is>
          <t>SUP-04</t>
        </is>
      </c>
      <c r="D3978" t="inlineStr">
        <is>
          <t>FLEET</t>
        </is>
      </c>
      <c r="E3978" t="inlineStr">
        <is>
          <t>FLEET-08</t>
        </is>
      </c>
      <c r="F3978" s="17" t="n">
        <v>46159</v>
      </c>
      <c r="G3978" s="17" t="n">
        <v>46172</v>
      </c>
      <c r="H3978" s="18" t="n">
        <v>230</v>
      </c>
      <c r="I3978" s="19" t="n">
        <v>6.45</v>
      </c>
      <c r="J3978" s="19" t="n">
        <v>6.4</v>
      </c>
      <c r="K3978" s="20" t="n">
        <v>0</v>
      </c>
      <c r="L3978" s="20" t="n">
        <v>0</v>
      </c>
      <c r="M3978" s="18" t="n">
        <v>230</v>
      </c>
      <c r="N3978" s="18" t="n">
        <v>230</v>
      </c>
      <c r="O3978" s="18" t="n">
        <v>0</v>
      </c>
      <c r="P3978" s="17" t="n">
        <v>46168</v>
      </c>
      <c r="Q3978" s="17" t="n">
        <v>46168</v>
      </c>
      <c r="R3978" s="17" t="n">
        <v>46168</v>
      </c>
      <c r="S3978" s="19">
        <f>H3978*I3978</f>
        <v/>
      </c>
      <c r="T3978" s="19">
        <f>H3978*J3978</f>
        <v/>
      </c>
      <c r="U3978">
        <f>IF(AND(K3978=0,G3978&lt;=Assumptions!$C$6),1,0)</f>
        <v/>
      </c>
      <c r="V3978">
        <f>IF(U3978=1,IF(M3978&gt;0,IF(P3978&lt;=G3978+Assumptions!$C$7,1,0),0),0)</f>
        <v/>
      </c>
      <c r="W3978">
        <f>IF(AND(U3978=1,M3978&gt;=H3978*(1-Assumptions!$C$8)),1,0)</f>
        <v/>
      </c>
      <c r="X3978">
        <f>IF(AND(U3978=1,N3978&gt;=H3978*(1-Assumptions!$C$8)),1,0)</f>
        <v/>
      </c>
      <c r="Y3978">
        <f>IF(ISNUMBER(Q3978),1,0)</f>
        <v/>
      </c>
      <c r="Z3978">
        <f>IF(AND(K3978=0,L3978=0,Y3978=0),1,0)</f>
        <v/>
      </c>
      <c r="AA3978">
        <f>IF(AND(Z3978=1,G3978&lt;Assumptions!$C$6),1,0)</f>
        <v/>
      </c>
      <c r="AB3978">
        <f>IF(U3978=0,"",IF(Y3978=1,MAX(0,Q3978-G3978),IF(L3978=1,MAX(0,R3978-G3978),MAX(0,Assumptions!$C$6-G3978))))</f>
        <v/>
      </c>
      <c r="AC3978">
        <f>IF(Y3978=1,Q3978-F3978,"")</f>
        <v/>
      </c>
      <c r="AD3978">
        <f>IF(Y3978=1,AC3978^2,"")</f>
        <v/>
      </c>
      <c r="AE3978" s="19">
        <f>IF(Z3978=1,(H3978-M3978)*I3978,0)</f>
        <v/>
      </c>
      <c r="AF3978">
        <f>IF(G3978&lt;EDATE(Assumptions!$C$6,-12)+1,"prior_12m","last_12m")</f>
        <v/>
      </c>
      <c r="AG3978" s="21">
        <f>DATE(YEAR(G3978),MONTH(G3978),1)</f>
        <v/>
      </c>
    </row>
    <row r="3979">
      <c r="A3979" t="inlineStr">
        <is>
          <t>SPO-02117-2</t>
        </is>
      </c>
      <c r="B3979" t="inlineStr">
        <is>
          <t>SPO-02117</t>
        </is>
      </c>
      <c r="C3979" t="inlineStr">
        <is>
          <t>SUP-04</t>
        </is>
      </c>
      <c r="D3979" t="inlineStr">
        <is>
          <t>FLEET</t>
        </is>
      </c>
      <c r="E3979" t="inlineStr">
        <is>
          <t>FLEET-02</t>
        </is>
      </c>
      <c r="F3979" s="17" t="n">
        <v>46159</v>
      </c>
      <c r="G3979" s="17" t="n">
        <v>46172</v>
      </c>
      <c r="H3979" s="18" t="n">
        <v>157</v>
      </c>
      <c r="I3979" s="19" t="n">
        <v>7.78</v>
      </c>
      <c r="J3979" s="19" t="n">
        <v>7.5</v>
      </c>
      <c r="K3979" s="20" t="n">
        <v>0</v>
      </c>
      <c r="L3979" s="20" t="n">
        <v>0</v>
      </c>
      <c r="M3979" s="18" t="n">
        <v>157</v>
      </c>
      <c r="N3979" s="18" t="n">
        <v>0</v>
      </c>
      <c r="O3979" s="18" t="n">
        <v>0</v>
      </c>
      <c r="P3979" s="17" t="n">
        <v>46173</v>
      </c>
      <c r="Q3979" s="17" t="n">
        <v>46173</v>
      </c>
      <c r="R3979" s="17" t="n">
        <v>46173</v>
      </c>
      <c r="S3979" s="19">
        <f>H3979*I3979</f>
        <v/>
      </c>
      <c r="T3979" s="19">
        <f>H3979*J3979</f>
        <v/>
      </c>
      <c r="U3979">
        <f>IF(AND(K3979=0,G3979&lt;=Assumptions!$C$6),1,0)</f>
        <v/>
      </c>
      <c r="V3979">
        <f>IF(U3979=1,IF(M3979&gt;0,IF(P3979&lt;=G3979+Assumptions!$C$7,1,0),0),0)</f>
        <v/>
      </c>
      <c r="W3979">
        <f>IF(AND(U3979=1,M3979&gt;=H3979*(1-Assumptions!$C$8)),1,0)</f>
        <v/>
      </c>
      <c r="X3979">
        <f>IF(AND(U3979=1,N3979&gt;=H3979*(1-Assumptions!$C$8)),1,0)</f>
        <v/>
      </c>
      <c r="Y3979">
        <f>IF(ISNUMBER(Q3979),1,0)</f>
        <v/>
      </c>
      <c r="Z3979">
        <f>IF(AND(K3979=0,L3979=0,Y3979=0),1,0)</f>
        <v/>
      </c>
      <c r="AA3979">
        <f>IF(AND(Z3979=1,G3979&lt;Assumptions!$C$6),1,0)</f>
        <v/>
      </c>
      <c r="AB3979">
        <f>IF(U3979=0,"",IF(Y3979=1,MAX(0,Q3979-G3979),IF(L3979=1,MAX(0,R3979-G3979),MAX(0,Assumptions!$C$6-G3979))))</f>
        <v/>
      </c>
      <c r="AC3979">
        <f>IF(Y3979=1,Q3979-F3979,"")</f>
        <v/>
      </c>
      <c r="AD3979">
        <f>IF(Y3979=1,AC3979^2,"")</f>
        <v/>
      </c>
      <c r="AE3979" s="19">
        <f>IF(Z3979=1,(H3979-M3979)*I3979,0)</f>
        <v/>
      </c>
      <c r="AF3979">
        <f>IF(G3979&lt;EDATE(Assumptions!$C$6,-12)+1,"prior_12m","last_12m")</f>
        <v/>
      </c>
      <c r="AG3979" s="21">
        <f>DATE(YEAR(G3979),MONTH(G3979),1)</f>
        <v/>
      </c>
    </row>
    <row r="3980">
      <c r="A3980" t="inlineStr">
        <is>
          <t>SPO-02117-3</t>
        </is>
      </c>
      <c r="B3980" t="inlineStr">
        <is>
          <t>SPO-02117</t>
        </is>
      </c>
      <c r="C3980" t="inlineStr">
        <is>
          <t>SUP-04</t>
        </is>
      </c>
      <c r="D3980" t="inlineStr">
        <is>
          <t>FLEET</t>
        </is>
      </c>
      <c r="E3980" t="inlineStr">
        <is>
          <t>FLEET-05</t>
        </is>
      </c>
      <c r="F3980" s="17" t="n">
        <v>46159</v>
      </c>
      <c r="G3980" s="17" t="n">
        <v>46172</v>
      </c>
      <c r="H3980" s="18" t="n">
        <v>4</v>
      </c>
      <c r="I3980" s="19" t="n">
        <v>171.34</v>
      </c>
      <c r="J3980" s="19" t="n">
        <v>168</v>
      </c>
      <c r="K3980" s="20" t="n">
        <v>0</v>
      </c>
      <c r="L3980" s="20" t="n">
        <v>0</v>
      </c>
      <c r="M3980" s="18" t="n">
        <v>4</v>
      </c>
      <c r="N3980" s="18" t="n">
        <v>0</v>
      </c>
      <c r="O3980" s="18" t="n">
        <v>0</v>
      </c>
      <c r="P3980" s="17" t="n">
        <v>46173</v>
      </c>
      <c r="Q3980" s="17" t="n">
        <v>46185</v>
      </c>
      <c r="R3980" s="17" t="n">
        <v>46185</v>
      </c>
      <c r="S3980" s="19">
        <f>H3980*I3980</f>
        <v/>
      </c>
      <c r="T3980" s="19">
        <f>H3980*J3980</f>
        <v/>
      </c>
      <c r="U3980">
        <f>IF(AND(K3980=0,G3980&lt;=Assumptions!$C$6),1,0)</f>
        <v/>
      </c>
      <c r="V3980">
        <f>IF(U3980=1,IF(M3980&gt;0,IF(P3980&lt;=G3980+Assumptions!$C$7,1,0),0),0)</f>
        <v/>
      </c>
      <c r="W3980">
        <f>IF(AND(U3980=1,M3980&gt;=H3980*(1-Assumptions!$C$8)),1,0)</f>
        <v/>
      </c>
      <c r="X3980">
        <f>IF(AND(U3980=1,N3980&gt;=H3980*(1-Assumptions!$C$8)),1,0)</f>
        <v/>
      </c>
      <c r="Y3980">
        <f>IF(ISNUMBER(Q3980),1,0)</f>
        <v/>
      </c>
      <c r="Z3980">
        <f>IF(AND(K3980=0,L3980=0,Y3980=0),1,0)</f>
        <v/>
      </c>
      <c r="AA3980">
        <f>IF(AND(Z3980=1,G3980&lt;Assumptions!$C$6),1,0)</f>
        <v/>
      </c>
      <c r="AB3980">
        <f>IF(U3980=0,"",IF(Y3980=1,MAX(0,Q3980-G3980),IF(L3980=1,MAX(0,R3980-G3980),MAX(0,Assumptions!$C$6-G3980))))</f>
        <v/>
      </c>
      <c r="AC3980">
        <f>IF(Y3980=1,Q3980-F3980,"")</f>
        <v/>
      </c>
      <c r="AD3980">
        <f>IF(Y3980=1,AC3980^2,"")</f>
        <v/>
      </c>
      <c r="AE3980" s="19">
        <f>IF(Z3980=1,(H3980-M3980)*I3980,0)</f>
        <v/>
      </c>
      <c r="AF3980">
        <f>IF(G3980&lt;EDATE(Assumptions!$C$6,-12)+1,"prior_12m","last_12m")</f>
        <v/>
      </c>
      <c r="AG3980" s="21">
        <f>DATE(YEAR(G3980),MONTH(G3980),1)</f>
        <v/>
      </c>
    </row>
    <row r="3981">
      <c r="A3981" t="inlineStr">
        <is>
          <t>SPO-02118-1</t>
        </is>
      </c>
      <c r="B3981" t="inlineStr">
        <is>
          <t>SPO-02118</t>
        </is>
      </c>
      <c r="C3981" t="inlineStr">
        <is>
          <t>SUP-07</t>
        </is>
      </c>
      <c r="D3981" t="inlineStr">
        <is>
          <t>MRO</t>
        </is>
      </c>
      <c r="E3981" t="inlineStr">
        <is>
          <t>MRO-06</t>
        </is>
      </c>
      <c r="F3981" s="17" t="n">
        <v>46159</v>
      </c>
      <c r="G3981" s="17" t="n">
        <v>46169</v>
      </c>
      <c r="H3981" s="18" t="n">
        <v>206</v>
      </c>
      <c r="I3981" s="19" t="n">
        <v>6.25</v>
      </c>
      <c r="J3981" s="19" t="n">
        <v>6.1</v>
      </c>
      <c r="K3981" s="20" t="n">
        <v>0</v>
      </c>
      <c r="L3981" s="20" t="n">
        <v>0</v>
      </c>
      <c r="M3981" s="18" t="n">
        <v>206</v>
      </c>
      <c r="N3981" s="18" t="n">
        <v>0</v>
      </c>
      <c r="O3981" s="18" t="n">
        <v>0</v>
      </c>
      <c r="P3981" s="17" t="n">
        <v>46171</v>
      </c>
      <c r="Q3981" s="17" t="n">
        <v>46171</v>
      </c>
      <c r="R3981" s="17" t="n">
        <v>46171</v>
      </c>
      <c r="S3981" s="19">
        <f>H3981*I3981</f>
        <v/>
      </c>
      <c r="T3981" s="19">
        <f>H3981*J3981</f>
        <v/>
      </c>
      <c r="U3981">
        <f>IF(AND(K3981=0,G3981&lt;=Assumptions!$C$6),1,0)</f>
        <v/>
      </c>
      <c r="V3981">
        <f>IF(U3981=1,IF(M3981&gt;0,IF(P3981&lt;=G3981+Assumptions!$C$7,1,0),0),0)</f>
        <v/>
      </c>
      <c r="W3981">
        <f>IF(AND(U3981=1,M3981&gt;=H3981*(1-Assumptions!$C$8)),1,0)</f>
        <v/>
      </c>
      <c r="X3981">
        <f>IF(AND(U3981=1,N3981&gt;=H3981*(1-Assumptions!$C$8)),1,0)</f>
        <v/>
      </c>
      <c r="Y3981">
        <f>IF(ISNUMBER(Q3981),1,0)</f>
        <v/>
      </c>
      <c r="Z3981">
        <f>IF(AND(K3981=0,L3981=0,Y3981=0),1,0)</f>
        <v/>
      </c>
      <c r="AA3981">
        <f>IF(AND(Z3981=1,G3981&lt;Assumptions!$C$6),1,0)</f>
        <v/>
      </c>
      <c r="AB3981">
        <f>IF(U3981=0,"",IF(Y3981=1,MAX(0,Q3981-G3981),IF(L3981=1,MAX(0,R3981-G3981),MAX(0,Assumptions!$C$6-G3981))))</f>
        <v/>
      </c>
      <c r="AC3981">
        <f>IF(Y3981=1,Q3981-F3981,"")</f>
        <v/>
      </c>
      <c r="AD3981">
        <f>IF(Y3981=1,AC3981^2,"")</f>
        <v/>
      </c>
      <c r="AE3981" s="19">
        <f>IF(Z3981=1,(H3981-M3981)*I3981,0)</f>
        <v/>
      </c>
      <c r="AF3981">
        <f>IF(G3981&lt;EDATE(Assumptions!$C$6,-12)+1,"prior_12m","last_12m")</f>
        <v/>
      </c>
      <c r="AG3981" s="21">
        <f>DATE(YEAR(G3981),MONTH(G3981),1)</f>
        <v/>
      </c>
    </row>
    <row r="3982">
      <c r="A3982" t="inlineStr">
        <is>
          <t>SPO-02119-1</t>
        </is>
      </c>
      <c r="B3982" t="inlineStr">
        <is>
          <t>SPO-02119</t>
        </is>
      </c>
      <c r="C3982" t="inlineStr">
        <is>
          <t>SUP-14</t>
        </is>
      </c>
      <c r="D3982" t="inlineStr">
        <is>
          <t>FLEET</t>
        </is>
      </c>
      <c r="E3982" t="inlineStr">
        <is>
          <t>FLEET-02</t>
        </is>
      </c>
      <c r="F3982" s="17" t="n">
        <v>46160</v>
      </c>
      <c r="G3982" s="17" t="n">
        <v>46174</v>
      </c>
      <c r="H3982" s="18" t="n">
        <v>130</v>
      </c>
      <c r="I3982" s="19" t="n">
        <v>7.86</v>
      </c>
      <c r="J3982" s="19" t="n">
        <v>7.5</v>
      </c>
      <c r="K3982" s="20" t="n">
        <v>0</v>
      </c>
      <c r="L3982" s="20" t="n">
        <v>0</v>
      </c>
      <c r="M3982" s="18" t="n">
        <v>130</v>
      </c>
      <c r="N3982" s="18" t="n">
        <v>130</v>
      </c>
      <c r="O3982" s="18" t="n">
        <v>0</v>
      </c>
      <c r="P3982" s="17" t="n">
        <v>46171</v>
      </c>
      <c r="Q3982" s="17" t="n">
        <v>46171</v>
      </c>
      <c r="R3982" s="17" t="n">
        <v>46171</v>
      </c>
      <c r="S3982" s="19">
        <f>H3982*I3982</f>
        <v/>
      </c>
      <c r="T3982" s="19">
        <f>H3982*J3982</f>
        <v/>
      </c>
      <c r="U3982">
        <f>IF(AND(K3982=0,G3982&lt;=Assumptions!$C$6),1,0)</f>
        <v/>
      </c>
      <c r="V3982">
        <f>IF(U3982=1,IF(M3982&gt;0,IF(P3982&lt;=G3982+Assumptions!$C$7,1,0),0),0)</f>
        <v/>
      </c>
      <c r="W3982">
        <f>IF(AND(U3982=1,M3982&gt;=H3982*(1-Assumptions!$C$8)),1,0)</f>
        <v/>
      </c>
      <c r="X3982">
        <f>IF(AND(U3982=1,N3982&gt;=H3982*(1-Assumptions!$C$8)),1,0)</f>
        <v/>
      </c>
      <c r="Y3982">
        <f>IF(ISNUMBER(Q3982),1,0)</f>
        <v/>
      </c>
      <c r="Z3982">
        <f>IF(AND(K3982=0,L3982=0,Y3982=0),1,0)</f>
        <v/>
      </c>
      <c r="AA3982">
        <f>IF(AND(Z3982=1,G3982&lt;Assumptions!$C$6),1,0)</f>
        <v/>
      </c>
      <c r="AB3982">
        <f>IF(U3982=0,"",IF(Y3982=1,MAX(0,Q3982-G3982),IF(L3982=1,MAX(0,R3982-G3982),MAX(0,Assumptions!$C$6-G3982))))</f>
        <v/>
      </c>
      <c r="AC3982">
        <f>IF(Y3982=1,Q3982-F3982,"")</f>
        <v/>
      </c>
      <c r="AD3982">
        <f>IF(Y3982=1,AC3982^2,"")</f>
        <v/>
      </c>
      <c r="AE3982" s="19">
        <f>IF(Z3982=1,(H3982-M3982)*I3982,0)</f>
        <v/>
      </c>
      <c r="AF3982">
        <f>IF(G3982&lt;EDATE(Assumptions!$C$6,-12)+1,"prior_12m","last_12m")</f>
        <v/>
      </c>
      <c r="AG3982" s="21">
        <f>DATE(YEAR(G3982),MONTH(G3982),1)</f>
        <v/>
      </c>
    </row>
    <row r="3983">
      <c r="A3983" t="inlineStr">
        <is>
          <t>SPO-02119-2</t>
        </is>
      </c>
      <c r="B3983" t="inlineStr">
        <is>
          <t>SPO-02119</t>
        </is>
      </c>
      <c r="C3983" t="inlineStr">
        <is>
          <t>SUP-14</t>
        </is>
      </c>
      <c r="D3983" t="inlineStr">
        <is>
          <t>FLEET</t>
        </is>
      </c>
      <c r="E3983" t="inlineStr">
        <is>
          <t>FLEET-03</t>
        </is>
      </c>
      <c r="F3983" s="17" t="n">
        <v>46160</v>
      </c>
      <c r="G3983" s="17" t="n">
        <v>46174</v>
      </c>
      <c r="H3983" s="18" t="n">
        <v>36</v>
      </c>
      <c r="I3983" s="19" t="n">
        <v>21.28</v>
      </c>
      <c r="J3983" s="19" t="n">
        <v>21</v>
      </c>
      <c r="K3983" s="20" t="n">
        <v>0</v>
      </c>
      <c r="L3983" s="20" t="n">
        <v>0</v>
      </c>
      <c r="M3983" s="18" t="n">
        <v>36</v>
      </c>
      <c r="N3983" s="18" t="n">
        <v>36</v>
      </c>
      <c r="O3983" s="18" t="n">
        <v>0</v>
      </c>
      <c r="P3983" s="17" t="n">
        <v>46166</v>
      </c>
      <c r="Q3983" s="17" t="n">
        <v>46166</v>
      </c>
      <c r="R3983" s="17" t="n">
        <v>46166</v>
      </c>
      <c r="S3983" s="19">
        <f>H3983*I3983</f>
        <v/>
      </c>
      <c r="T3983" s="19">
        <f>H3983*J3983</f>
        <v/>
      </c>
      <c r="U3983">
        <f>IF(AND(K3983=0,G3983&lt;=Assumptions!$C$6),1,0)</f>
        <v/>
      </c>
      <c r="V3983">
        <f>IF(U3983=1,IF(M3983&gt;0,IF(P3983&lt;=G3983+Assumptions!$C$7,1,0),0),0)</f>
        <v/>
      </c>
      <c r="W3983">
        <f>IF(AND(U3983=1,M3983&gt;=H3983*(1-Assumptions!$C$8)),1,0)</f>
        <v/>
      </c>
      <c r="X3983">
        <f>IF(AND(U3983=1,N3983&gt;=H3983*(1-Assumptions!$C$8)),1,0)</f>
        <v/>
      </c>
      <c r="Y3983">
        <f>IF(ISNUMBER(Q3983),1,0)</f>
        <v/>
      </c>
      <c r="Z3983">
        <f>IF(AND(K3983=0,L3983=0,Y3983=0),1,0)</f>
        <v/>
      </c>
      <c r="AA3983">
        <f>IF(AND(Z3983=1,G3983&lt;Assumptions!$C$6),1,0)</f>
        <v/>
      </c>
      <c r="AB3983">
        <f>IF(U3983=0,"",IF(Y3983=1,MAX(0,Q3983-G3983),IF(L3983=1,MAX(0,R3983-G3983),MAX(0,Assumptions!$C$6-G3983))))</f>
        <v/>
      </c>
      <c r="AC3983">
        <f>IF(Y3983=1,Q3983-F3983,"")</f>
        <v/>
      </c>
      <c r="AD3983">
        <f>IF(Y3983=1,AC3983^2,"")</f>
        <v/>
      </c>
      <c r="AE3983" s="19">
        <f>IF(Z3983=1,(H3983-M3983)*I3983,0)</f>
        <v/>
      </c>
      <c r="AF3983">
        <f>IF(G3983&lt;EDATE(Assumptions!$C$6,-12)+1,"prior_12m","last_12m")</f>
        <v/>
      </c>
      <c r="AG3983" s="21">
        <f>DATE(YEAR(G3983),MONTH(G3983),1)</f>
        <v/>
      </c>
    </row>
    <row r="3984">
      <c r="A3984" t="inlineStr">
        <is>
          <t>SPO-02119-3</t>
        </is>
      </c>
      <c r="B3984" t="inlineStr">
        <is>
          <t>SPO-02119</t>
        </is>
      </c>
      <c r="C3984" t="inlineStr">
        <is>
          <t>SUP-14</t>
        </is>
      </c>
      <c r="D3984" t="inlineStr">
        <is>
          <t>FLEET</t>
        </is>
      </c>
      <c r="E3984" t="inlineStr">
        <is>
          <t>FLEET-08</t>
        </is>
      </c>
      <c r="F3984" s="17" t="n">
        <v>46160</v>
      </c>
      <c r="G3984" s="17" t="n">
        <v>46174</v>
      </c>
      <c r="H3984" s="18" t="n">
        <v>113</v>
      </c>
      <c r="I3984" s="19" t="n">
        <v>6.66</v>
      </c>
      <c r="J3984" s="19" t="n">
        <v>6.4</v>
      </c>
      <c r="K3984" s="20" t="n">
        <v>0</v>
      </c>
      <c r="L3984" s="20" t="n">
        <v>0</v>
      </c>
      <c r="M3984" s="18" t="n">
        <v>113</v>
      </c>
      <c r="N3984" s="18" t="n">
        <v>113</v>
      </c>
      <c r="O3984" s="18" t="n">
        <v>0</v>
      </c>
      <c r="P3984" s="17" t="n">
        <v>46171</v>
      </c>
      <c r="Q3984" s="17" t="n">
        <v>46171</v>
      </c>
      <c r="R3984" s="17" t="n">
        <v>46171</v>
      </c>
      <c r="S3984" s="19">
        <f>H3984*I3984</f>
        <v/>
      </c>
      <c r="T3984" s="19">
        <f>H3984*J3984</f>
        <v/>
      </c>
      <c r="U3984">
        <f>IF(AND(K3984=0,G3984&lt;=Assumptions!$C$6),1,0)</f>
        <v/>
      </c>
      <c r="V3984">
        <f>IF(U3984=1,IF(M3984&gt;0,IF(P3984&lt;=G3984+Assumptions!$C$7,1,0),0),0)</f>
        <v/>
      </c>
      <c r="W3984">
        <f>IF(AND(U3984=1,M3984&gt;=H3984*(1-Assumptions!$C$8)),1,0)</f>
        <v/>
      </c>
      <c r="X3984">
        <f>IF(AND(U3984=1,N3984&gt;=H3984*(1-Assumptions!$C$8)),1,0)</f>
        <v/>
      </c>
      <c r="Y3984">
        <f>IF(ISNUMBER(Q3984),1,0)</f>
        <v/>
      </c>
      <c r="Z3984">
        <f>IF(AND(K3984=0,L3984=0,Y3984=0),1,0)</f>
        <v/>
      </c>
      <c r="AA3984">
        <f>IF(AND(Z3984=1,G3984&lt;Assumptions!$C$6),1,0)</f>
        <v/>
      </c>
      <c r="AB3984">
        <f>IF(U3984=0,"",IF(Y3984=1,MAX(0,Q3984-G3984),IF(L3984=1,MAX(0,R3984-G3984),MAX(0,Assumptions!$C$6-G3984))))</f>
        <v/>
      </c>
      <c r="AC3984">
        <f>IF(Y3984=1,Q3984-F3984,"")</f>
        <v/>
      </c>
      <c r="AD3984">
        <f>IF(Y3984=1,AC3984^2,"")</f>
        <v/>
      </c>
      <c r="AE3984" s="19">
        <f>IF(Z3984=1,(H3984-M3984)*I3984,0)</f>
        <v/>
      </c>
      <c r="AF3984">
        <f>IF(G3984&lt;EDATE(Assumptions!$C$6,-12)+1,"prior_12m","last_12m")</f>
        <v/>
      </c>
      <c r="AG3984" s="21">
        <f>DATE(YEAR(G3984),MONTH(G3984),1)</f>
        <v/>
      </c>
    </row>
    <row r="3985">
      <c r="A3985" t="inlineStr">
        <is>
          <t>SPO-02120-1</t>
        </is>
      </c>
      <c r="B3985" t="inlineStr">
        <is>
          <t>SPO-02120</t>
        </is>
      </c>
      <c r="C3985" t="inlineStr">
        <is>
          <t>SUP-01</t>
        </is>
      </c>
      <c r="D3985" t="inlineStr">
        <is>
          <t>ELEC</t>
        </is>
      </c>
      <c r="E3985" t="inlineStr">
        <is>
          <t>ELEC-06</t>
        </is>
      </c>
      <c r="F3985" s="17" t="n">
        <v>46160</v>
      </c>
      <c r="G3985" s="17" t="n">
        <v>46178</v>
      </c>
      <c r="H3985" s="18" t="n">
        <v>9</v>
      </c>
      <c r="I3985" s="19" t="n">
        <v>144.25</v>
      </c>
      <c r="J3985" s="19" t="n">
        <v>145</v>
      </c>
      <c r="K3985" s="20" t="n">
        <v>0</v>
      </c>
      <c r="L3985" s="20" t="n">
        <v>0</v>
      </c>
      <c r="M3985" s="18" t="n">
        <v>9</v>
      </c>
      <c r="N3985" s="18" t="n">
        <v>9</v>
      </c>
      <c r="O3985" s="18" t="n">
        <v>0</v>
      </c>
      <c r="P3985" s="17" t="n">
        <v>46168</v>
      </c>
      <c r="Q3985" s="17" t="n">
        <v>46168</v>
      </c>
      <c r="R3985" s="17" t="n">
        <v>46168</v>
      </c>
      <c r="S3985" s="19">
        <f>H3985*I3985</f>
        <v/>
      </c>
      <c r="T3985" s="19">
        <f>H3985*J3985</f>
        <v/>
      </c>
      <c r="U3985">
        <f>IF(AND(K3985=0,G3985&lt;=Assumptions!$C$6),1,0)</f>
        <v/>
      </c>
      <c r="V3985">
        <f>IF(U3985=1,IF(M3985&gt;0,IF(P3985&lt;=G3985+Assumptions!$C$7,1,0),0),0)</f>
        <v/>
      </c>
      <c r="W3985">
        <f>IF(AND(U3985=1,M3985&gt;=H3985*(1-Assumptions!$C$8)),1,0)</f>
        <v/>
      </c>
      <c r="X3985">
        <f>IF(AND(U3985=1,N3985&gt;=H3985*(1-Assumptions!$C$8)),1,0)</f>
        <v/>
      </c>
      <c r="Y3985">
        <f>IF(ISNUMBER(Q3985),1,0)</f>
        <v/>
      </c>
      <c r="Z3985">
        <f>IF(AND(K3985=0,L3985=0,Y3985=0),1,0)</f>
        <v/>
      </c>
      <c r="AA3985">
        <f>IF(AND(Z3985=1,G3985&lt;Assumptions!$C$6),1,0)</f>
        <v/>
      </c>
      <c r="AB3985">
        <f>IF(U3985=0,"",IF(Y3985=1,MAX(0,Q3985-G3985),IF(L3985=1,MAX(0,R3985-G3985),MAX(0,Assumptions!$C$6-G3985))))</f>
        <v/>
      </c>
      <c r="AC3985">
        <f>IF(Y3985=1,Q3985-F3985,"")</f>
        <v/>
      </c>
      <c r="AD3985">
        <f>IF(Y3985=1,AC3985^2,"")</f>
        <v/>
      </c>
      <c r="AE3985" s="19">
        <f>IF(Z3985=1,(H3985-M3985)*I3985,0)</f>
        <v/>
      </c>
      <c r="AF3985">
        <f>IF(G3985&lt;EDATE(Assumptions!$C$6,-12)+1,"prior_12m","last_12m")</f>
        <v/>
      </c>
      <c r="AG3985" s="21">
        <f>DATE(YEAR(G3985),MONTH(G3985),1)</f>
        <v/>
      </c>
    </row>
    <row r="3986">
      <c r="A3986" t="inlineStr">
        <is>
          <t>SPO-02120-2</t>
        </is>
      </c>
      <c r="B3986" t="inlineStr">
        <is>
          <t>SPO-02120</t>
        </is>
      </c>
      <c r="C3986" t="inlineStr">
        <is>
          <t>SUP-01</t>
        </is>
      </c>
      <c r="D3986" t="inlineStr">
        <is>
          <t>ELEC</t>
        </is>
      </c>
      <c r="E3986" t="inlineStr">
        <is>
          <t>ELEC-07</t>
        </is>
      </c>
      <c r="F3986" s="17" t="n">
        <v>46160</v>
      </c>
      <c r="G3986" s="17" t="n">
        <v>46178</v>
      </c>
      <c r="H3986" s="18" t="n">
        <v>115</v>
      </c>
      <c r="I3986" s="19" t="n">
        <v>10.2</v>
      </c>
      <c r="J3986" s="19" t="n">
        <v>9.800000000000001</v>
      </c>
      <c r="K3986" s="20" t="n">
        <v>0</v>
      </c>
      <c r="L3986" s="20" t="n">
        <v>0</v>
      </c>
      <c r="M3986" s="18" t="n">
        <v>115</v>
      </c>
      <c r="N3986" s="18" t="n">
        <v>115</v>
      </c>
      <c r="O3986" s="18" t="n">
        <v>0</v>
      </c>
      <c r="P3986" s="17" t="n">
        <v>46175</v>
      </c>
      <c r="Q3986" s="17" t="n">
        <v>46175</v>
      </c>
      <c r="R3986" s="17" t="n">
        <v>46175</v>
      </c>
      <c r="S3986" s="19">
        <f>H3986*I3986</f>
        <v/>
      </c>
      <c r="T3986" s="19">
        <f>H3986*J3986</f>
        <v/>
      </c>
      <c r="U3986">
        <f>IF(AND(K3986=0,G3986&lt;=Assumptions!$C$6),1,0)</f>
        <v/>
      </c>
      <c r="V3986">
        <f>IF(U3986=1,IF(M3986&gt;0,IF(P3986&lt;=G3986+Assumptions!$C$7,1,0),0),0)</f>
        <v/>
      </c>
      <c r="W3986">
        <f>IF(AND(U3986=1,M3986&gt;=H3986*(1-Assumptions!$C$8)),1,0)</f>
        <v/>
      </c>
      <c r="X3986">
        <f>IF(AND(U3986=1,N3986&gt;=H3986*(1-Assumptions!$C$8)),1,0)</f>
        <v/>
      </c>
      <c r="Y3986">
        <f>IF(ISNUMBER(Q3986),1,0)</f>
        <v/>
      </c>
      <c r="Z3986">
        <f>IF(AND(K3986=0,L3986=0,Y3986=0),1,0)</f>
        <v/>
      </c>
      <c r="AA3986">
        <f>IF(AND(Z3986=1,G3986&lt;Assumptions!$C$6),1,0)</f>
        <v/>
      </c>
      <c r="AB3986">
        <f>IF(U3986=0,"",IF(Y3986=1,MAX(0,Q3986-G3986),IF(L3986=1,MAX(0,R3986-G3986),MAX(0,Assumptions!$C$6-G3986))))</f>
        <v/>
      </c>
      <c r="AC3986">
        <f>IF(Y3986=1,Q3986-F3986,"")</f>
        <v/>
      </c>
      <c r="AD3986">
        <f>IF(Y3986=1,AC3986^2,"")</f>
        <v/>
      </c>
      <c r="AE3986" s="19">
        <f>IF(Z3986=1,(H3986-M3986)*I3986,0)</f>
        <v/>
      </c>
      <c r="AF3986">
        <f>IF(G3986&lt;EDATE(Assumptions!$C$6,-12)+1,"prior_12m","last_12m")</f>
        <v/>
      </c>
      <c r="AG3986" s="21">
        <f>DATE(YEAR(G3986),MONTH(G3986),1)</f>
        <v/>
      </c>
    </row>
    <row r="3987">
      <c r="A3987" t="inlineStr">
        <is>
          <t>SPO-02121-1</t>
        </is>
      </c>
      <c r="B3987" t="inlineStr">
        <is>
          <t>SPO-02121</t>
        </is>
      </c>
      <c r="C3987" t="inlineStr">
        <is>
          <t>SUP-01</t>
        </is>
      </c>
      <c r="D3987" t="inlineStr">
        <is>
          <t>ELEC</t>
        </is>
      </c>
      <c r="E3987" t="inlineStr">
        <is>
          <t>ELEC-06</t>
        </is>
      </c>
      <c r="F3987" s="17" t="n">
        <v>46160</v>
      </c>
      <c r="G3987" s="17" t="n">
        <v>46178</v>
      </c>
      <c r="H3987" s="18" t="n">
        <v>17</v>
      </c>
      <c r="I3987" s="19" t="n">
        <v>144.47</v>
      </c>
      <c r="J3987" s="19" t="n">
        <v>145</v>
      </c>
      <c r="K3987" s="20" t="n">
        <v>0</v>
      </c>
      <c r="L3987" s="20" t="n">
        <v>0</v>
      </c>
      <c r="M3987" s="18" t="n">
        <v>17</v>
      </c>
      <c r="N3987" s="18" t="n">
        <v>17</v>
      </c>
      <c r="O3987" s="18" t="n">
        <v>0</v>
      </c>
      <c r="P3987" s="17" t="n">
        <v>46175</v>
      </c>
      <c r="Q3987" s="17" t="n">
        <v>46175</v>
      </c>
      <c r="R3987" s="17" t="n">
        <v>46175</v>
      </c>
      <c r="S3987" s="19">
        <f>H3987*I3987</f>
        <v/>
      </c>
      <c r="T3987" s="19">
        <f>H3987*J3987</f>
        <v/>
      </c>
      <c r="U3987">
        <f>IF(AND(K3987=0,G3987&lt;=Assumptions!$C$6),1,0)</f>
        <v/>
      </c>
      <c r="V3987">
        <f>IF(U3987=1,IF(M3987&gt;0,IF(P3987&lt;=G3987+Assumptions!$C$7,1,0),0),0)</f>
        <v/>
      </c>
      <c r="W3987">
        <f>IF(AND(U3987=1,M3987&gt;=H3987*(1-Assumptions!$C$8)),1,0)</f>
        <v/>
      </c>
      <c r="X3987">
        <f>IF(AND(U3987=1,N3987&gt;=H3987*(1-Assumptions!$C$8)),1,0)</f>
        <v/>
      </c>
      <c r="Y3987">
        <f>IF(ISNUMBER(Q3987),1,0)</f>
        <v/>
      </c>
      <c r="Z3987">
        <f>IF(AND(K3987=0,L3987=0,Y3987=0),1,0)</f>
        <v/>
      </c>
      <c r="AA3987">
        <f>IF(AND(Z3987=1,G3987&lt;Assumptions!$C$6),1,0)</f>
        <v/>
      </c>
      <c r="AB3987">
        <f>IF(U3987=0,"",IF(Y3987=1,MAX(0,Q3987-G3987),IF(L3987=1,MAX(0,R3987-G3987),MAX(0,Assumptions!$C$6-G3987))))</f>
        <v/>
      </c>
      <c r="AC3987">
        <f>IF(Y3987=1,Q3987-F3987,"")</f>
        <v/>
      </c>
      <c r="AD3987">
        <f>IF(Y3987=1,AC3987^2,"")</f>
        <v/>
      </c>
      <c r="AE3987" s="19">
        <f>IF(Z3987=1,(H3987-M3987)*I3987,0)</f>
        <v/>
      </c>
      <c r="AF3987">
        <f>IF(G3987&lt;EDATE(Assumptions!$C$6,-12)+1,"prior_12m","last_12m")</f>
        <v/>
      </c>
      <c r="AG3987" s="21">
        <f>DATE(YEAR(G3987),MONTH(G3987),1)</f>
        <v/>
      </c>
    </row>
    <row r="3988">
      <c r="A3988" t="inlineStr">
        <is>
          <t>SPO-02122-1</t>
        </is>
      </c>
      <c r="B3988" t="inlineStr">
        <is>
          <t>SPO-02122</t>
        </is>
      </c>
      <c r="C3988" t="inlineStr">
        <is>
          <t>SUP-04</t>
        </is>
      </c>
      <c r="D3988" t="inlineStr">
        <is>
          <t>FLEET</t>
        </is>
      </c>
      <c r="E3988" t="inlineStr">
        <is>
          <t>FLEET-05</t>
        </is>
      </c>
      <c r="F3988" s="17" t="n">
        <v>46161</v>
      </c>
      <c r="G3988" s="17" t="n">
        <v>46174</v>
      </c>
      <c r="H3988" s="18" t="n">
        <v>10</v>
      </c>
      <c r="I3988" s="19" t="n">
        <v>162.71</v>
      </c>
      <c r="J3988" s="19" t="n">
        <v>168</v>
      </c>
      <c r="K3988" s="20" t="n">
        <v>1</v>
      </c>
      <c r="L3988" s="20" t="n">
        <v>0</v>
      </c>
      <c r="M3988" s="18" t="n">
        <v>0</v>
      </c>
      <c r="N3988" s="18" t="n">
        <v>0</v>
      </c>
      <c r="O3988" s="18" t="n">
        <v>0</v>
      </c>
      <c r="P3988" s="17" t="n"/>
      <c r="Q3988" s="17" t="n"/>
      <c r="R3988" s="17" t="n"/>
      <c r="S3988" s="19">
        <f>H3988*I3988</f>
        <v/>
      </c>
      <c r="T3988" s="19">
        <f>H3988*J3988</f>
        <v/>
      </c>
      <c r="U3988">
        <f>IF(AND(K3988=0,G3988&lt;=Assumptions!$C$6),1,0)</f>
        <v/>
      </c>
      <c r="V3988">
        <f>IF(U3988=1,IF(M3988&gt;0,IF(P3988&lt;=G3988+Assumptions!$C$7,1,0),0),0)</f>
        <v/>
      </c>
      <c r="W3988">
        <f>IF(AND(U3988=1,M3988&gt;=H3988*(1-Assumptions!$C$8)),1,0)</f>
        <v/>
      </c>
      <c r="X3988">
        <f>IF(AND(U3988=1,N3988&gt;=H3988*(1-Assumptions!$C$8)),1,0)</f>
        <v/>
      </c>
      <c r="Y3988">
        <f>IF(ISNUMBER(Q3988),1,0)</f>
        <v/>
      </c>
      <c r="Z3988">
        <f>IF(AND(K3988=0,L3988=0,Y3988=0),1,0)</f>
        <v/>
      </c>
      <c r="AA3988">
        <f>IF(AND(Z3988=1,G3988&lt;Assumptions!$C$6),1,0)</f>
        <v/>
      </c>
      <c r="AB3988">
        <f>IF(U3988=0,"",IF(Y3988=1,MAX(0,Q3988-G3988),IF(L3988=1,MAX(0,R3988-G3988),MAX(0,Assumptions!$C$6-G3988))))</f>
        <v/>
      </c>
      <c r="AC3988">
        <f>IF(Y3988=1,Q3988-F3988,"")</f>
        <v/>
      </c>
      <c r="AD3988">
        <f>IF(Y3988=1,AC3988^2,"")</f>
        <v/>
      </c>
      <c r="AE3988" s="19">
        <f>IF(Z3988=1,(H3988-M3988)*I3988,0)</f>
        <v/>
      </c>
      <c r="AF3988">
        <f>IF(G3988&lt;EDATE(Assumptions!$C$6,-12)+1,"prior_12m","last_12m")</f>
        <v/>
      </c>
      <c r="AG3988" s="21">
        <f>DATE(YEAR(G3988),MONTH(G3988),1)</f>
        <v/>
      </c>
    </row>
    <row r="3989">
      <c r="A3989" t="inlineStr">
        <is>
          <t>SPO-02123-1</t>
        </is>
      </c>
      <c r="B3989" t="inlineStr">
        <is>
          <t>SPO-02123</t>
        </is>
      </c>
      <c r="C3989" t="inlineStr">
        <is>
          <t>SUP-07</t>
        </is>
      </c>
      <c r="D3989" t="inlineStr">
        <is>
          <t>MRO</t>
        </is>
      </c>
      <c r="E3989" t="inlineStr">
        <is>
          <t>MRO-01</t>
        </is>
      </c>
      <c r="F3989" s="17" t="n">
        <v>46161</v>
      </c>
      <c r="G3989" s="17" t="n">
        <v>46171</v>
      </c>
      <c r="H3989" s="18" t="n">
        <v>40</v>
      </c>
      <c r="I3989" s="19" t="n">
        <v>55.71</v>
      </c>
      <c r="J3989" s="19" t="n">
        <v>52</v>
      </c>
      <c r="K3989" s="20" t="n">
        <v>0</v>
      </c>
      <c r="L3989" s="20" t="n">
        <v>0</v>
      </c>
      <c r="M3989" s="18" t="n">
        <v>40</v>
      </c>
      <c r="N3989" s="18" t="n">
        <v>40</v>
      </c>
      <c r="O3989" s="18" t="n">
        <v>0</v>
      </c>
      <c r="P3989" s="17" t="n">
        <v>46170</v>
      </c>
      <c r="Q3989" s="17" t="n">
        <v>46170</v>
      </c>
      <c r="R3989" s="17" t="n">
        <v>46170</v>
      </c>
      <c r="S3989" s="19">
        <f>H3989*I3989</f>
        <v/>
      </c>
      <c r="T3989" s="19">
        <f>H3989*J3989</f>
        <v/>
      </c>
      <c r="U3989">
        <f>IF(AND(K3989=0,G3989&lt;=Assumptions!$C$6),1,0)</f>
        <v/>
      </c>
      <c r="V3989">
        <f>IF(U3989=1,IF(M3989&gt;0,IF(P3989&lt;=G3989+Assumptions!$C$7,1,0),0),0)</f>
        <v/>
      </c>
      <c r="W3989">
        <f>IF(AND(U3989=1,M3989&gt;=H3989*(1-Assumptions!$C$8)),1,0)</f>
        <v/>
      </c>
      <c r="X3989">
        <f>IF(AND(U3989=1,N3989&gt;=H3989*(1-Assumptions!$C$8)),1,0)</f>
        <v/>
      </c>
      <c r="Y3989">
        <f>IF(ISNUMBER(Q3989),1,0)</f>
        <v/>
      </c>
      <c r="Z3989">
        <f>IF(AND(K3989=0,L3989=0,Y3989=0),1,0)</f>
        <v/>
      </c>
      <c r="AA3989">
        <f>IF(AND(Z3989=1,G3989&lt;Assumptions!$C$6),1,0)</f>
        <v/>
      </c>
      <c r="AB3989">
        <f>IF(U3989=0,"",IF(Y3989=1,MAX(0,Q3989-G3989),IF(L3989=1,MAX(0,R3989-G3989),MAX(0,Assumptions!$C$6-G3989))))</f>
        <v/>
      </c>
      <c r="AC3989">
        <f>IF(Y3989=1,Q3989-F3989,"")</f>
        <v/>
      </c>
      <c r="AD3989">
        <f>IF(Y3989=1,AC3989^2,"")</f>
        <v/>
      </c>
      <c r="AE3989" s="19">
        <f>IF(Z3989=1,(H3989-M3989)*I3989,0)</f>
        <v/>
      </c>
      <c r="AF3989">
        <f>IF(G3989&lt;EDATE(Assumptions!$C$6,-12)+1,"prior_12m","last_12m")</f>
        <v/>
      </c>
      <c r="AG3989" s="21">
        <f>DATE(YEAR(G3989),MONTH(G3989),1)</f>
        <v/>
      </c>
    </row>
    <row r="3990">
      <c r="A3990" t="inlineStr">
        <is>
          <t>SPO-02124-1</t>
        </is>
      </c>
      <c r="B3990" t="inlineStr">
        <is>
          <t>SPO-02124</t>
        </is>
      </c>
      <c r="C3990" t="inlineStr">
        <is>
          <t>SUP-09</t>
        </is>
      </c>
      <c r="D3990" t="inlineStr">
        <is>
          <t>CHEM</t>
        </is>
      </c>
      <c r="E3990" t="inlineStr">
        <is>
          <t>CHEM-05</t>
        </is>
      </c>
      <c r="F3990" s="17" t="n">
        <v>46161</v>
      </c>
      <c r="G3990" s="17" t="n">
        <v>46175</v>
      </c>
      <c r="H3990" s="18" t="n">
        <v>1</v>
      </c>
      <c r="I3990" s="19" t="n">
        <v>962.64</v>
      </c>
      <c r="J3990" s="19" t="n">
        <v>930</v>
      </c>
      <c r="K3990" s="20" t="n">
        <v>0</v>
      </c>
      <c r="L3990" s="20" t="n">
        <v>0</v>
      </c>
      <c r="M3990" s="18" t="n">
        <v>1</v>
      </c>
      <c r="N3990" s="18" t="n">
        <v>1</v>
      </c>
      <c r="O3990" s="18" t="n">
        <v>0</v>
      </c>
      <c r="P3990" s="17" t="n">
        <v>46171</v>
      </c>
      <c r="Q3990" s="17" t="n">
        <v>46171</v>
      </c>
      <c r="R3990" s="17" t="n">
        <v>46171</v>
      </c>
      <c r="S3990" s="19">
        <f>H3990*I3990</f>
        <v/>
      </c>
      <c r="T3990" s="19">
        <f>H3990*J3990</f>
        <v/>
      </c>
      <c r="U3990">
        <f>IF(AND(K3990=0,G3990&lt;=Assumptions!$C$6),1,0)</f>
        <v/>
      </c>
      <c r="V3990">
        <f>IF(U3990=1,IF(M3990&gt;0,IF(P3990&lt;=G3990+Assumptions!$C$7,1,0),0),0)</f>
        <v/>
      </c>
      <c r="W3990">
        <f>IF(AND(U3990=1,M3990&gt;=H3990*(1-Assumptions!$C$8)),1,0)</f>
        <v/>
      </c>
      <c r="X3990">
        <f>IF(AND(U3990=1,N3990&gt;=H3990*(1-Assumptions!$C$8)),1,0)</f>
        <v/>
      </c>
      <c r="Y3990">
        <f>IF(ISNUMBER(Q3990),1,0)</f>
        <v/>
      </c>
      <c r="Z3990">
        <f>IF(AND(K3990=0,L3990=0,Y3990=0),1,0)</f>
        <v/>
      </c>
      <c r="AA3990">
        <f>IF(AND(Z3990=1,G3990&lt;Assumptions!$C$6),1,0)</f>
        <v/>
      </c>
      <c r="AB3990">
        <f>IF(U3990=0,"",IF(Y3990=1,MAX(0,Q3990-G3990),IF(L3990=1,MAX(0,R3990-G3990),MAX(0,Assumptions!$C$6-G3990))))</f>
        <v/>
      </c>
      <c r="AC3990">
        <f>IF(Y3990=1,Q3990-F3990,"")</f>
        <v/>
      </c>
      <c r="AD3990">
        <f>IF(Y3990=1,AC3990^2,"")</f>
        <v/>
      </c>
      <c r="AE3990" s="19">
        <f>IF(Z3990=1,(H3990-M3990)*I3990,0)</f>
        <v/>
      </c>
      <c r="AF3990">
        <f>IF(G3990&lt;EDATE(Assumptions!$C$6,-12)+1,"prior_12m","last_12m")</f>
        <v/>
      </c>
      <c r="AG3990" s="21">
        <f>DATE(YEAR(G3990),MONTH(G3990),1)</f>
        <v/>
      </c>
    </row>
    <row r="3991">
      <c r="A3991" t="inlineStr">
        <is>
          <t>SPO-02124-2</t>
        </is>
      </c>
      <c r="B3991" t="inlineStr">
        <is>
          <t>SPO-02124</t>
        </is>
      </c>
      <c r="C3991" t="inlineStr">
        <is>
          <t>SUP-09</t>
        </is>
      </c>
      <c r="D3991" t="inlineStr">
        <is>
          <t>CHEM</t>
        </is>
      </c>
      <c r="E3991" t="inlineStr">
        <is>
          <t>CHEM-04</t>
        </is>
      </c>
      <c r="F3991" s="17" t="n">
        <v>46161</v>
      </c>
      <c r="G3991" s="17" t="n">
        <v>46175</v>
      </c>
      <c r="H3991" s="18" t="n">
        <v>1</v>
      </c>
      <c r="I3991" s="19" t="n">
        <v>820.83</v>
      </c>
      <c r="J3991" s="19" t="n">
        <v>820</v>
      </c>
      <c r="K3991" s="20" t="n">
        <v>0</v>
      </c>
      <c r="L3991" s="20" t="n">
        <v>0</v>
      </c>
      <c r="M3991" s="18" t="n">
        <v>1</v>
      </c>
      <c r="N3991" s="18" t="n">
        <v>1</v>
      </c>
      <c r="O3991" s="18" t="n">
        <v>0</v>
      </c>
      <c r="P3991" s="17" t="n">
        <v>46174</v>
      </c>
      <c r="Q3991" s="17" t="n">
        <v>46174</v>
      </c>
      <c r="R3991" s="17" t="n">
        <v>46174</v>
      </c>
      <c r="S3991" s="19">
        <f>H3991*I3991</f>
        <v/>
      </c>
      <c r="T3991" s="19">
        <f>H3991*J3991</f>
        <v/>
      </c>
      <c r="U3991">
        <f>IF(AND(K3991=0,G3991&lt;=Assumptions!$C$6),1,0)</f>
        <v/>
      </c>
      <c r="V3991">
        <f>IF(U3991=1,IF(M3991&gt;0,IF(P3991&lt;=G3991+Assumptions!$C$7,1,0),0),0)</f>
        <v/>
      </c>
      <c r="W3991">
        <f>IF(AND(U3991=1,M3991&gt;=H3991*(1-Assumptions!$C$8)),1,0)</f>
        <v/>
      </c>
      <c r="X3991">
        <f>IF(AND(U3991=1,N3991&gt;=H3991*(1-Assumptions!$C$8)),1,0)</f>
        <v/>
      </c>
      <c r="Y3991">
        <f>IF(ISNUMBER(Q3991),1,0)</f>
        <v/>
      </c>
      <c r="Z3991">
        <f>IF(AND(K3991=0,L3991=0,Y3991=0),1,0)</f>
        <v/>
      </c>
      <c r="AA3991">
        <f>IF(AND(Z3991=1,G3991&lt;Assumptions!$C$6),1,0)</f>
        <v/>
      </c>
      <c r="AB3991">
        <f>IF(U3991=0,"",IF(Y3991=1,MAX(0,Q3991-G3991),IF(L3991=1,MAX(0,R3991-G3991),MAX(0,Assumptions!$C$6-G3991))))</f>
        <v/>
      </c>
      <c r="AC3991">
        <f>IF(Y3991=1,Q3991-F3991,"")</f>
        <v/>
      </c>
      <c r="AD3991">
        <f>IF(Y3991=1,AC3991^2,"")</f>
        <v/>
      </c>
      <c r="AE3991" s="19">
        <f>IF(Z3991=1,(H3991-M3991)*I3991,0)</f>
        <v/>
      </c>
      <c r="AF3991">
        <f>IF(G3991&lt;EDATE(Assumptions!$C$6,-12)+1,"prior_12m","last_12m")</f>
        <v/>
      </c>
      <c r="AG3991" s="21">
        <f>DATE(YEAR(G3991),MONTH(G3991),1)</f>
        <v/>
      </c>
    </row>
    <row r="3992">
      <c r="A3992" t="inlineStr">
        <is>
          <t>SPO-02125-1</t>
        </is>
      </c>
      <c r="B3992" t="inlineStr">
        <is>
          <t>SPO-02125</t>
        </is>
      </c>
      <c r="C3992" t="inlineStr">
        <is>
          <t>SUP-10</t>
        </is>
      </c>
      <c r="D3992" t="inlineStr">
        <is>
          <t>PPE</t>
        </is>
      </c>
      <c r="E3992" t="inlineStr">
        <is>
          <t>PPE-03</t>
        </is>
      </c>
      <c r="F3992" s="17" t="n">
        <v>46161</v>
      </c>
      <c r="G3992" s="17" t="n">
        <v>46174</v>
      </c>
      <c r="H3992" s="18" t="n">
        <v>47</v>
      </c>
      <c r="I3992" s="19" t="n">
        <v>21.35</v>
      </c>
      <c r="J3992" s="19" t="n">
        <v>21</v>
      </c>
      <c r="K3992" s="20" t="n">
        <v>0</v>
      </c>
      <c r="L3992" s="20" t="n">
        <v>0</v>
      </c>
      <c r="M3992" s="18" t="n">
        <v>47</v>
      </c>
      <c r="N3992" s="18" t="n">
        <v>47</v>
      </c>
      <c r="O3992" s="18" t="n">
        <v>0</v>
      </c>
      <c r="P3992" s="17" t="n">
        <v>46172</v>
      </c>
      <c r="Q3992" s="17" t="n">
        <v>46172</v>
      </c>
      <c r="R3992" s="17" t="n">
        <v>46172</v>
      </c>
      <c r="S3992" s="19">
        <f>H3992*I3992</f>
        <v/>
      </c>
      <c r="T3992" s="19">
        <f>H3992*J3992</f>
        <v/>
      </c>
      <c r="U3992">
        <f>IF(AND(K3992=0,G3992&lt;=Assumptions!$C$6),1,0)</f>
        <v/>
      </c>
      <c r="V3992">
        <f>IF(U3992=1,IF(M3992&gt;0,IF(P3992&lt;=G3992+Assumptions!$C$7,1,0),0),0)</f>
        <v/>
      </c>
      <c r="W3992">
        <f>IF(AND(U3992=1,M3992&gt;=H3992*(1-Assumptions!$C$8)),1,0)</f>
        <v/>
      </c>
      <c r="X3992">
        <f>IF(AND(U3992=1,N3992&gt;=H3992*(1-Assumptions!$C$8)),1,0)</f>
        <v/>
      </c>
      <c r="Y3992">
        <f>IF(ISNUMBER(Q3992),1,0)</f>
        <v/>
      </c>
      <c r="Z3992">
        <f>IF(AND(K3992=0,L3992=0,Y3992=0),1,0)</f>
        <v/>
      </c>
      <c r="AA3992">
        <f>IF(AND(Z3992=1,G3992&lt;Assumptions!$C$6),1,0)</f>
        <v/>
      </c>
      <c r="AB3992">
        <f>IF(U3992=0,"",IF(Y3992=1,MAX(0,Q3992-G3992),IF(L3992=1,MAX(0,R3992-G3992),MAX(0,Assumptions!$C$6-G3992))))</f>
        <v/>
      </c>
      <c r="AC3992">
        <f>IF(Y3992=1,Q3992-F3992,"")</f>
        <v/>
      </c>
      <c r="AD3992">
        <f>IF(Y3992=1,AC3992^2,"")</f>
        <v/>
      </c>
      <c r="AE3992" s="19">
        <f>IF(Z3992=1,(H3992-M3992)*I3992,0)</f>
        <v/>
      </c>
      <c r="AF3992">
        <f>IF(G3992&lt;EDATE(Assumptions!$C$6,-12)+1,"prior_12m","last_12m")</f>
        <v/>
      </c>
      <c r="AG3992" s="21">
        <f>DATE(YEAR(G3992),MONTH(G3992),1)</f>
        <v/>
      </c>
    </row>
    <row r="3993">
      <c r="A3993" t="inlineStr">
        <is>
          <t>SPO-02125-2</t>
        </is>
      </c>
      <c r="B3993" t="inlineStr">
        <is>
          <t>SPO-02125</t>
        </is>
      </c>
      <c r="C3993" t="inlineStr">
        <is>
          <t>SUP-10</t>
        </is>
      </c>
      <c r="D3993" t="inlineStr">
        <is>
          <t>PPE</t>
        </is>
      </c>
      <c r="E3993" t="inlineStr">
        <is>
          <t>PPE-01</t>
        </is>
      </c>
      <c r="F3993" s="17" t="n">
        <v>46161</v>
      </c>
      <c r="G3993" s="17" t="n">
        <v>46174</v>
      </c>
      <c r="H3993" s="18" t="n">
        <v>309</v>
      </c>
      <c r="I3993" s="19" t="n">
        <v>4.53</v>
      </c>
      <c r="J3993" s="19" t="n">
        <v>4.8</v>
      </c>
      <c r="K3993" s="20" t="n">
        <v>0</v>
      </c>
      <c r="L3993" s="20" t="n">
        <v>0</v>
      </c>
      <c r="M3993" s="18" t="n">
        <v>309</v>
      </c>
      <c r="N3993" s="18" t="n">
        <v>309</v>
      </c>
      <c r="O3993" s="18" t="n">
        <v>0</v>
      </c>
      <c r="P3993" s="17" t="n">
        <v>46172</v>
      </c>
      <c r="Q3993" s="17" t="n">
        <v>46172</v>
      </c>
      <c r="R3993" s="17" t="n">
        <v>46172</v>
      </c>
      <c r="S3993" s="19">
        <f>H3993*I3993</f>
        <v/>
      </c>
      <c r="T3993" s="19">
        <f>H3993*J3993</f>
        <v/>
      </c>
      <c r="U3993">
        <f>IF(AND(K3993=0,G3993&lt;=Assumptions!$C$6),1,0)</f>
        <v/>
      </c>
      <c r="V3993">
        <f>IF(U3993=1,IF(M3993&gt;0,IF(P3993&lt;=G3993+Assumptions!$C$7,1,0),0),0)</f>
        <v/>
      </c>
      <c r="W3993">
        <f>IF(AND(U3993=1,M3993&gt;=H3993*(1-Assumptions!$C$8)),1,0)</f>
        <v/>
      </c>
      <c r="X3993">
        <f>IF(AND(U3993=1,N3993&gt;=H3993*(1-Assumptions!$C$8)),1,0)</f>
        <v/>
      </c>
      <c r="Y3993">
        <f>IF(ISNUMBER(Q3993),1,0)</f>
        <v/>
      </c>
      <c r="Z3993">
        <f>IF(AND(K3993=0,L3993=0,Y3993=0),1,0)</f>
        <v/>
      </c>
      <c r="AA3993">
        <f>IF(AND(Z3993=1,G3993&lt;Assumptions!$C$6),1,0)</f>
        <v/>
      </c>
      <c r="AB3993">
        <f>IF(U3993=0,"",IF(Y3993=1,MAX(0,Q3993-G3993),IF(L3993=1,MAX(0,R3993-G3993),MAX(0,Assumptions!$C$6-G3993))))</f>
        <v/>
      </c>
      <c r="AC3993">
        <f>IF(Y3993=1,Q3993-F3993,"")</f>
        <v/>
      </c>
      <c r="AD3993">
        <f>IF(Y3993=1,AC3993^2,"")</f>
        <v/>
      </c>
      <c r="AE3993" s="19">
        <f>IF(Z3993=1,(H3993-M3993)*I3993,0)</f>
        <v/>
      </c>
      <c r="AF3993">
        <f>IF(G3993&lt;EDATE(Assumptions!$C$6,-12)+1,"prior_12m","last_12m")</f>
        <v/>
      </c>
      <c r="AG3993" s="21">
        <f>DATE(YEAR(G3993),MONTH(G3993),1)</f>
        <v/>
      </c>
    </row>
    <row r="3994">
      <c r="A3994" t="inlineStr">
        <is>
          <t>SPO-02126-1</t>
        </is>
      </c>
      <c r="B3994" t="inlineStr">
        <is>
          <t>SPO-02126</t>
        </is>
      </c>
      <c r="C3994" t="inlineStr">
        <is>
          <t>SUP-01</t>
        </is>
      </c>
      <c r="D3994" t="inlineStr">
        <is>
          <t>ELEC</t>
        </is>
      </c>
      <c r="E3994" t="inlineStr">
        <is>
          <t>ELEC-07</t>
        </is>
      </c>
      <c r="F3994" s="17" t="n">
        <v>46161</v>
      </c>
      <c r="G3994" s="17" t="n">
        <v>46179</v>
      </c>
      <c r="H3994" s="18" t="n">
        <v>287</v>
      </c>
      <c r="I3994" s="19" t="n">
        <v>10.1</v>
      </c>
      <c r="J3994" s="19" t="n">
        <v>9.800000000000001</v>
      </c>
      <c r="K3994" s="20" t="n">
        <v>0</v>
      </c>
      <c r="L3994" s="20" t="n">
        <v>0</v>
      </c>
      <c r="M3994" s="18" t="n">
        <v>287</v>
      </c>
      <c r="N3994" s="18" t="n">
        <v>287</v>
      </c>
      <c r="O3994" s="18" t="n">
        <v>0</v>
      </c>
      <c r="P3994" s="17" t="n">
        <v>46172</v>
      </c>
      <c r="Q3994" s="17" t="n">
        <v>46172</v>
      </c>
      <c r="R3994" s="17" t="n">
        <v>46172</v>
      </c>
      <c r="S3994" s="19">
        <f>H3994*I3994</f>
        <v/>
      </c>
      <c r="T3994" s="19">
        <f>H3994*J3994</f>
        <v/>
      </c>
      <c r="U3994">
        <f>IF(AND(K3994=0,G3994&lt;=Assumptions!$C$6),1,0)</f>
        <v/>
      </c>
      <c r="V3994">
        <f>IF(U3994=1,IF(M3994&gt;0,IF(P3994&lt;=G3994+Assumptions!$C$7,1,0),0),0)</f>
        <v/>
      </c>
      <c r="W3994">
        <f>IF(AND(U3994=1,M3994&gt;=H3994*(1-Assumptions!$C$8)),1,0)</f>
        <v/>
      </c>
      <c r="X3994">
        <f>IF(AND(U3994=1,N3994&gt;=H3994*(1-Assumptions!$C$8)),1,0)</f>
        <v/>
      </c>
      <c r="Y3994">
        <f>IF(ISNUMBER(Q3994),1,0)</f>
        <v/>
      </c>
      <c r="Z3994">
        <f>IF(AND(K3994=0,L3994=0,Y3994=0),1,0)</f>
        <v/>
      </c>
      <c r="AA3994">
        <f>IF(AND(Z3994=1,G3994&lt;Assumptions!$C$6),1,0)</f>
        <v/>
      </c>
      <c r="AB3994">
        <f>IF(U3994=0,"",IF(Y3994=1,MAX(0,Q3994-G3994),IF(L3994=1,MAX(0,R3994-G3994),MAX(0,Assumptions!$C$6-G3994))))</f>
        <v/>
      </c>
      <c r="AC3994">
        <f>IF(Y3994=1,Q3994-F3994,"")</f>
        <v/>
      </c>
      <c r="AD3994">
        <f>IF(Y3994=1,AC3994^2,"")</f>
        <v/>
      </c>
      <c r="AE3994" s="19">
        <f>IF(Z3994=1,(H3994-M3994)*I3994,0)</f>
        <v/>
      </c>
      <c r="AF3994">
        <f>IF(G3994&lt;EDATE(Assumptions!$C$6,-12)+1,"prior_12m","last_12m")</f>
        <v/>
      </c>
      <c r="AG3994" s="21">
        <f>DATE(YEAR(G3994),MONTH(G3994),1)</f>
        <v/>
      </c>
    </row>
    <row r="3995">
      <c r="A3995" t="inlineStr">
        <is>
          <t>SPO-02126-2</t>
        </is>
      </c>
      <c r="B3995" t="inlineStr">
        <is>
          <t>SPO-02126</t>
        </is>
      </c>
      <c r="C3995" t="inlineStr">
        <is>
          <t>SUP-01</t>
        </is>
      </c>
      <c r="D3995" t="inlineStr">
        <is>
          <t>ELEC</t>
        </is>
      </c>
      <c r="E3995" t="inlineStr">
        <is>
          <t>ELEC-01</t>
        </is>
      </c>
      <c r="F3995" s="17" t="n">
        <v>46161</v>
      </c>
      <c r="G3995" s="17" t="n">
        <v>46179</v>
      </c>
      <c r="H3995" s="18" t="n">
        <v>89</v>
      </c>
      <c r="I3995" s="19" t="n">
        <v>38.34</v>
      </c>
      <c r="J3995" s="19" t="n">
        <v>38</v>
      </c>
      <c r="K3995" s="20" t="n">
        <v>0</v>
      </c>
      <c r="L3995" s="20" t="n">
        <v>0</v>
      </c>
      <c r="M3995" s="18" t="n">
        <v>89</v>
      </c>
      <c r="N3995" s="18" t="n">
        <v>89</v>
      </c>
      <c r="O3995" s="18" t="n">
        <v>0</v>
      </c>
      <c r="P3995" s="17" t="n">
        <v>46173</v>
      </c>
      <c r="Q3995" s="17" t="n">
        <v>46173</v>
      </c>
      <c r="R3995" s="17" t="n">
        <v>46173</v>
      </c>
      <c r="S3995" s="19">
        <f>H3995*I3995</f>
        <v/>
      </c>
      <c r="T3995" s="19">
        <f>H3995*J3995</f>
        <v/>
      </c>
      <c r="U3995">
        <f>IF(AND(K3995=0,G3995&lt;=Assumptions!$C$6),1,0)</f>
        <v/>
      </c>
      <c r="V3995">
        <f>IF(U3995=1,IF(M3995&gt;0,IF(P3995&lt;=G3995+Assumptions!$C$7,1,0),0),0)</f>
        <v/>
      </c>
      <c r="W3995">
        <f>IF(AND(U3995=1,M3995&gt;=H3995*(1-Assumptions!$C$8)),1,0)</f>
        <v/>
      </c>
      <c r="X3995">
        <f>IF(AND(U3995=1,N3995&gt;=H3995*(1-Assumptions!$C$8)),1,0)</f>
        <v/>
      </c>
      <c r="Y3995">
        <f>IF(ISNUMBER(Q3995),1,0)</f>
        <v/>
      </c>
      <c r="Z3995">
        <f>IF(AND(K3995=0,L3995=0,Y3995=0),1,0)</f>
        <v/>
      </c>
      <c r="AA3995">
        <f>IF(AND(Z3995=1,G3995&lt;Assumptions!$C$6),1,0)</f>
        <v/>
      </c>
      <c r="AB3995">
        <f>IF(U3995=0,"",IF(Y3995=1,MAX(0,Q3995-G3995),IF(L3995=1,MAX(0,R3995-G3995),MAX(0,Assumptions!$C$6-G3995))))</f>
        <v/>
      </c>
      <c r="AC3995">
        <f>IF(Y3995=1,Q3995-F3995,"")</f>
        <v/>
      </c>
      <c r="AD3995">
        <f>IF(Y3995=1,AC3995^2,"")</f>
        <v/>
      </c>
      <c r="AE3995" s="19">
        <f>IF(Z3995=1,(H3995-M3995)*I3995,0)</f>
        <v/>
      </c>
      <c r="AF3995">
        <f>IF(G3995&lt;EDATE(Assumptions!$C$6,-12)+1,"prior_12m","last_12m")</f>
        <v/>
      </c>
      <c r="AG3995" s="21">
        <f>DATE(YEAR(G3995),MONTH(G3995),1)</f>
        <v/>
      </c>
    </row>
    <row r="3996">
      <c r="A3996" t="inlineStr">
        <is>
          <t>SPO-02126-3</t>
        </is>
      </c>
      <c r="B3996" t="inlineStr">
        <is>
          <t>SPO-02126</t>
        </is>
      </c>
      <c r="C3996" t="inlineStr">
        <is>
          <t>SUP-01</t>
        </is>
      </c>
      <c r="D3996" t="inlineStr">
        <is>
          <t>ELEC</t>
        </is>
      </c>
      <c r="E3996" t="inlineStr">
        <is>
          <t>ELEC-03</t>
        </is>
      </c>
      <c r="F3996" s="17" t="n">
        <v>46161</v>
      </c>
      <c r="G3996" s="17" t="n">
        <v>46179</v>
      </c>
      <c r="H3996" s="18" t="n">
        <v>45</v>
      </c>
      <c r="I3996" s="19" t="n">
        <v>95.48999999999999</v>
      </c>
      <c r="J3996" s="19" t="n">
        <v>96</v>
      </c>
      <c r="K3996" s="20" t="n">
        <v>0</v>
      </c>
      <c r="L3996" s="20" t="n">
        <v>0</v>
      </c>
      <c r="M3996" s="18" t="n">
        <v>45</v>
      </c>
      <c r="N3996" s="18" t="n">
        <v>45</v>
      </c>
      <c r="O3996" s="18" t="n">
        <v>0</v>
      </c>
      <c r="P3996" s="17" t="n">
        <v>46176</v>
      </c>
      <c r="Q3996" s="17" t="n">
        <v>46176</v>
      </c>
      <c r="R3996" s="17" t="n">
        <v>46176</v>
      </c>
      <c r="S3996" s="19">
        <f>H3996*I3996</f>
        <v/>
      </c>
      <c r="T3996" s="19">
        <f>H3996*J3996</f>
        <v/>
      </c>
      <c r="U3996">
        <f>IF(AND(K3996=0,G3996&lt;=Assumptions!$C$6),1,0)</f>
        <v/>
      </c>
      <c r="V3996">
        <f>IF(U3996=1,IF(M3996&gt;0,IF(P3996&lt;=G3996+Assumptions!$C$7,1,0),0),0)</f>
        <v/>
      </c>
      <c r="W3996">
        <f>IF(AND(U3996=1,M3996&gt;=H3996*(1-Assumptions!$C$8)),1,0)</f>
        <v/>
      </c>
      <c r="X3996">
        <f>IF(AND(U3996=1,N3996&gt;=H3996*(1-Assumptions!$C$8)),1,0)</f>
        <v/>
      </c>
      <c r="Y3996">
        <f>IF(ISNUMBER(Q3996),1,0)</f>
        <v/>
      </c>
      <c r="Z3996">
        <f>IF(AND(K3996=0,L3996=0,Y3996=0),1,0)</f>
        <v/>
      </c>
      <c r="AA3996">
        <f>IF(AND(Z3996=1,G3996&lt;Assumptions!$C$6),1,0)</f>
        <v/>
      </c>
      <c r="AB3996">
        <f>IF(U3996=0,"",IF(Y3996=1,MAX(0,Q3996-G3996),IF(L3996=1,MAX(0,R3996-G3996),MAX(0,Assumptions!$C$6-G3996))))</f>
        <v/>
      </c>
      <c r="AC3996">
        <f>IF(Y3996=1,Q3996-F3996,"")</f>
        <v/>
      </c>
      <c r="AD3996">
        <f>IF(Y3996=1,AC3996^2,"")</f>
        <v/>
      </c>
      <c r="AE3996" s="19">
        <f>IF(Z3996=1,(H3996-M3996)*I3996,0)</f>
        <v/>
      </c>
      <c r="AF3996">
        <f>IF(G3996&lt;EDATE(Assumptions!$C$6,-12)+1,"prior_12m","last_12m")</f>
        <v/>
      </c>
      <c r="AG3996" s="21">
        <f>DATE(YEAR(G3996),MONTH(G3996),1)</f>
        <v/>
      </c>
    </row>
    <row r="3997">
      <c r="A3997" t="inlineStr">
        <is>
          <t>SPO-02127-1</t>
        </is>
      </c>
      <c r="B3997" t="inlineStr">
        <is>
          <t>SPO-02127</t>
        </is>
      </c>
      <c r="C3997" t="inlineStr">
        <is>
          <t>SUP-12</t>
        </is>
      </c>
      <c r="D3997" t="inlineStr">
        <is>
          <t>IT</t>
        </is>
      </c>
      <c r="E3997" t="inlineStr">
        <is>
          <t>IT-05</t>
        </is>
      </c>
      <c r="F3997" s="17" t="n">
        <v>46162</v>
      </c>
      <c r="G3997" s="17" t="n">
        <v>46172</v>
      </c>
      <c r="H3997" s="18" t="n">
        <v>2</v>
      </c>
      <c r="I3997" s="19" t="n">
        <v>749.09</v>
      </c>
      <c r="J3997" s="19" t="n">
        <v>640</v>
      </c>
      <c r="K3997" s="20" t="n">
        <v>0</v>
      </c>
      <c r="L3997" s="20" t="n">
        <v>0</v>
      </c>
      <c r="M3997" s="18" t="n">
        <v>2</v>
      </c>
      <c r="N3997" s="18" t="n">
        <v>2</v>
      </c>
      <c r="O3997" s="18" t="n">
        <v>0</v>
      </c>
      <c r="P3997" s="17" t="n">
        <v>46168</v>
      </c>
      <c r="Q3997" s="17" t="n">
        <v>46168</v>
      </c>
      <c r="R3997" s="17" t="n">
        <v>46168</v>
      </c>
      <c r="S3997" s="19">
        <f>H3997*I3997</f>
        <v/>
      </c>
      <c r="T3997" s="19">
        <f>H3997*J3997</f>
        <v/>
      </c>
      <c r="U3997">
        <f>IF(AND(K3997=0,G3997&lt;=Assumptions!$C$6),1,0)</f>
        <v/>
      </c>
      <c r="V3997">
        <f>IF(U3997=1,IF(M3997&gt;0,IF(P3997&lt;=G3997+Assumptions!$C$7,1,0),0),0)</f>
        <v/>
      </c>
      <c r="W3997">
        <f>IF(AND(U3997=1,M3997&gt;=H3997*(1-Assumptions!$C$8)),1,0)</f>
        <v/>
      </c>
      <c r="X3997">
        <f>IF(AND(U3997=1,N3997&gt;=H3997*(1-Assumptions!$C$8)),1,0)</f>
        <v/>
      </c>
      <c r="Y3997">
        <f>IF(ISNUMBER(Q3997),1,0)</f>
        <v/>
      </c>
      <c r="Z3997">
        <f>IF(AND(K3997=0,L3997=0,Y3997=0),1,0)</f>
        <v/>
      </c>
      <c r="AA3997">
        <f>IF(AND(Z3997=1,G3997&lt;Assumptions!$C$6),1,0)</f>
        <v/>
      </c>
      <c r="AB3997">
        <f>IF(U3997=0,"",IF(Y3997=1,MAX(0,Q3997-G3997),IF(L3997=1,MAX(0,R3997-G3997),MAX(0,Assumptions!$C$6-G3997))))</f>
        <v/>
      </c>
      <c r="AC3997">
        <f>IF(Y3997=1,Q3997-F3997,"")</f>
        <v/>
      </c>
      <c r="AD3997">
        <f>IF(Y3997=1,AC3997^2,"")</f>
        <v/>
      </c>
      <c r="AE3997" s="19">
        <f>IF(Z3997=1,(H3997-M3997)*I3997,0)</f>
        <v/>
      </c>
      <c r="AF3997">
        <f>IF(G3997&lt;EDATE(Assumptions!$C$6,-12)+1,"prior_12m","last_12m")</f>
        <v/>
      </c>
      <c r="AG3997" s="21">
        <f>DATE(YEAR(G3997),MONTH(G3997),1)</f>
        <v/>
      </c>
    </row>
    <row r="3998">
      <c r="A3998" t="inlineStr">
        <is>
          <t>SPO-02128-1</t>
        </is>
      </c>
      <c r="B3998" t="inlineStr">
        <is>
          <t>SPO-02128</t>
        </is>
      </c>
      <c r="C3998" t="inlineStr">
        <is>
          <t>SUP-09</t>
        </is>
      </c>
      <c r="D3998" t="inlineStr">
        <is>
          <t>CHEM</t>
        </is>
      </c>
      <c r="E3998" t="inlineStr">
        <is>
          <t>CHEM-05</t>
        </is>
      </c>
      <c r="F3998" s="17" t="n">
        <v>46162</v>
      </c>
      <c r="G3998" s="17" t="n">
        <v>46176</v>
      </c>
      <c r="H3998" s="18" t="n">
        <v>3</v>
      </c>
      <c r="I3998" s="19" t="n">
        <v>983.0700000000001</v>
      </c>
      <c r="J3998" s="19" t="n">
        <v>930</v>
      </c>
      <c r="K3998" s="20" t="n">
        <v>0</v>
      </c>
      <c r="L3998" s="20" t="n">
        <v>0</v>
      </c>
      <c r="M3998" s="18" t="n">
        <v>3</v>
      </c>
      <c r="N3998" s="18" t="n">
        <v>3</v>
      </c>
      <c r="O3998" s="18" t="n">
        <v>0</v>
      </c>
      <c r="P3998" s="17" t="n">
        <v>46171</v>
      </c>
      <c r="Q3998" s="17" t="n">
        <v>46171</v>
      </c>
      <c r="R3998" s="17" t="n">
        <v>46171</v>
      </c>
      <c r="S3998" s="19">
        <f>H3998*I3998</f>
        <v/>
      </c>
      <c r="T3998" s="19">
        <f>H3998*J3998</f>
        <v/>
      </c>
      <c r="U3998">
        <f>IF(AND(K3998=0,G3998&lt;=Assumptions!$C$6),1,0)</f>
        <v/>
      </c>
      <c r="V3998">
        <f>IF(U3998=1,IF(M3998&gt;0,IF(P3998&lt;=G3998+Assumptions!$C$7,1,0),0),0)</f>
        <v/>
      </c>
      <c r="W3998">
        <f>IF(AND(U3998=1,M3998&gt;=H3998*(1-Assumptions!$C$8)),1,0)</f>
        <v/>
      </c>
      <c r="X3998">
        <f>IF(AND(U3998=1,N3998&gt;=H3998*(1-Assumptions!$C$8)),1,0)</f>
        <v/>
      </c>
      <c r="Y3998">
        <f>IF(ISNUMBER(Q3998),1,0)</f>
        <v/>
      </c>
      <c r="Z3998">
        <f>IF(AND(K3998=0,L3998=0,Y3998=0),1,0)</f>
        <v/>
      </c>
      <c r="AA3998">
        <f>IF(AND(Z3998=1,G3998&lt;Assumptions!$C$6),1,0)</f>
        <v/>
      </c>
      <c r="AB3998">
        <f>IF(U3998=0,"",IF(Y3998=1,MAX(0,Q3998-G3998),IF(L3998=1,MAX(0,R3998-G3998),MAX(0,Assumptions!$C$6-G3998))))</f>
        <v/>
      </c>
      <c r="AC3998">
        <f>IF(Y3998=1,Q3998-F3998,"")</f>
        <v/>
      </c>
      <c r="AD3998">
        <f>IF(Y3998=1,AC3998^2,"")</f>
        <v/>
      </c>
      <c r="AE3998" s="19">
        <f>IF(Z3998=1,(H3998-M3998)*I3998,0)</f>
        <v/>
      </c>
      <c r="AF3998">
        <f>IF(G3998&lt;EDATE(Assumptions!$C$6,-12)+1,"prior_12m","last_12m")</f>
        <v/>
      </c>
      <c r="AG3998" s="21">
        <f>DATE(YEAR(G3998),MONTH(G3998),1)</f>
        <v/>
      </c>
    </row>
    <row r="3999">
      <c r="A3999" t="inlineStr">
        <is>
          <t>SPO-02128-2</t>
        </is>
      </c>
      <c r="B3999" t="inlineStr">
        <is>
          <t>SPO-02128</t>
        </is>
      </c>
      <c r="C3999" t="inlineStr">
        <is>
          <t>SUP-09</t>
        </is>
      </c>
      <c r="D3999" t="inlineStr">
        <is>
          <t>CHEM</t>
        </is>
      </c>
      <c r="E3999" t="inlineStr">
        <is>
          <t>CHEM-01</t>
        </is>
      </c>
      <c r="F3999" s="17" t="n">
        <v>46162</v>
      </c>
      <c r="G3999" s="17" t="n">
        <v>46176</v>
      </c>
      <c r="H3999" s="18" t="n">
        <v>6</v>
      </c>
      <c r="I3999" s="19" t="n">
        <v>665.95</v>
      </c>
      <c r="J3999" s="19" t="n">
        <v>640</v>
      </c>
      <c r="K3999" s="20" t="n">
        <v>0</v>
      </c>
      <c r="L3999" s="20" t="n">
        <v>0</v>
      </c>
      <c r="M3999" s="18" t="n">
        <v>6</v>
      </c>
      <c r="N3999" s="18" t="n">
        <v>6</v>
      </c>
      <c r="O3999" s="18" t="n">
        <v>0</v>
      </c>
      <c r="P3999" s="17" t="n">
        <v>46171</v>
      </c>
      <c r="Q3999" s="17" t="n">
        <v>46171</v>
      </c>
      <c r="R3999" s="17" t="n">
        <v>46171</v>
      </c>
      <c r="S3999" s="19">
        <f>H3999*I3999</f>
        <v/>
      </c>
      <c r="T3999" s="19">
        <f>H3999*J3999</f>
        <v/>
      </c>
      <c r="U3999">
        <f>IF(AND(K3999=0,G3999&lt;=Assumptions!$C$6),1,0)</f>
        <v/>
      </c>
      <c r="V3999">
        <f>IF(U3999=1,IF(M3999&gt;0,IF(P3999&lt;=G3999+Assumptions!$C$7,1,0),0),0)</f>
        <v/>
      </c>
      <c r="W3999">
        <f>IF(AND(U3999=1,M3999&gt;=H3999*(1-Assumptions!$C$8)),1,0)</f>
        <v/>
      </c>
      <c r="X3999">
        <f>IF(AND(U3999=1,N3999&gt;=H3999*(1-Assumptions!$C$8)),1,0)</f>
        <v/>
      </c>
      <c r="Y3999">
        <f>IF(ISNUMBER(Q3999),1,0)</f>
        <v/>
      </c>
      <c r="Z3999">
        <f>IF(AND(K3999=0,L3999=0,Y3999=0),1,0)</f>
        <v/>
      </c>
      <c r="AA3999">
        <f>IF(AND(Z3999=1,G3999&lt;Assumptions!$C$6),1,0)</f>
        <v/>
      </c>
      <c r="AB3999">
        <f>IF(U3999=0,"",IF(Y3999=1,MAX(0,Q3999-G3999),IF(L3999=1,MAX(0,R3999-G3999),MAX(0,Assumptions!$C$6-G3999))))</f>
        <v/>
      </c>
      <c r="AC3999">
        <f>IF(Y3999=1,Q3999-F3999,"")</f>
        <v/>
      </c>
      <c r="AD3999">
        <f>IF(Y3999=1,AC3999^2,"")</f>
        <v/>
      </c>
      <c r="AE3999" s="19">
        <f>IF(Z3999=1,(H3999-M3999)*I3999,0)</f>
        <v/>
      </c>
      <c r="AF3999">
        <f>IF(G3999&lt;EDATE(Assumptions!$C$6,-12)+1,"prior_12m","last_12m")</f>
        <v/>
      </c>
      <c r="AG3999" s="21">
        <f>DATE(YEAR(G3999),MONTH(G3999),1)</f>
        <v/>
      </c>
    </row>
    <row r="4000">
      <c r="A4000" t="inlineStr">
        <is>
          <t>SPO-02129-1</t>
        </is>
      </c>
      <c r="B4000" t="inlineStr">
        <is>
          <t>SPO-02129</t>
        </is>
      </c>
      <c r="C4000" t="inlineStr">
        <is>
          <t>SUP-08</t>
        </is>
      </c>
      <c r="D4000" t="inlineStr">
        <is>
          <t>MRO</t>
        </is>
      </c>
      <c r="E4000" t="inlineStr">
        <is>
          <t>MRO-03</t>
        </is>
      </c>
      <c r="F4000" s="17" t="n">
        <v>46162</v>
      </c>
      <c r="G4000" s="17" t="n">
        <v>46173</v>
      </c>
      <c r="H4000" s="18" t="n">
        <v>203</v>
      </c>
      <c r="I4000" s="19" t="n">
        <v>8.800000000000001</v>
      </c>
      <c r="J4000" s="19" t="n">
        <v>8.9</v>
      </c>
      <c r="K4000" s="20" t="n">
        <v>0</v>
      </c>
      <c r="L4000" s="20" t="n">
        <v>0</v>
      </c>
      <c r="M4000" s="18" t="n">
        <v>203</v>
      </c>
      <c r="N4000" s="18" t="n">
        <v>203</v>
      </c>
      <c r="O4000" s="18" t="n">
        <v>0</v>
      </c>
      <c r="P4000" s="17" t="n">
        <v>46168</v>
      </c>
      <c r="Q4000" s="17" t="n">
        <v>46168</v>
      </c>
      <c r="R4000" s="17" t="n">
        <v>46168</v>
      </c>
      <c r="S4000" s="19">
        <f>H4000*I4000</f>
        <v/>
      </c>
      <c r="T4000" s="19">
        <f>H4000*J4000</f>
        <v/>
      </c>
      <c r="U4000">
        <f>IF(AND(K4000=0,G4000&lt;=Assumptions!$C$6),1,0)</f>
        <v/>
      </c>
      <c r="V4000">
        <f>IF(U4000=1,IF(M4000&gt;0,IF(P4000&lt;=G4000+Assumptions!$C$7,1,0),0),0)</f>
        <v/>
      </c>
      <c r="W4000">
        <f>IF(AND(U4000=1,M4000&gt;=H4000*(1-Assumptions!$C$8)),1,0)</f>
        <v/>
      </c>
      <c r="X4000">
        <f>IF(AND(U4000=1,N4000&gt;=H4000*(1-Assumptions!$C$8)),1,0)</f>
        <v/>
      </c>
      <c r="Y4000">
        <f>IF(ISNUMBER(Q4000),1,0)</f>
        <v/>
      </c>
      <c r="Z4000">
        <f>IF(AND(K4000=0,L4000=0,Y4000=0),1,0)</f>
        <v/>
      </c>
      <c r="AA4000">
        <f>IF(AND(Z4000=1,G4000&lt;Assumptions!$C$6),1,0)</f>
        <v/>
      </c>
      <c r="AB4000">
        <f>IF(U4000=0,"",IF(Y4000=1,MAX(0,Q4000-G4000),IF(L4000=1,MAX(0,R4000-G4000),MAX(0,Assumptions!$C$6-G4000))))</f>
        <v/>
      </c>
      <c r="AC4000">
        <f>IF(Y4000=1,Q4000-F4000,"")</f>
        <v/>
      </c>
      <c r="AD4000">
        <f>IF(Y4000=1,AC4000^2,"")</f>
        <v/>
      </c>
      <c r="AE4000" s="19">
        <f>IF(Z4000=1,(H4000-M4000)*I4000,0)</f>
        <v/>
      </c>
      <c r="AF4000">
        <f>IF(G4000&lt;EDATE(Assumptions!$C$6,-12)+1,"prior_12m","last_12m")</f>
        <v/>
      </c>
      <c r="AG4000" s="21">
        <f>DATE(YEAR(G4000),MONTH(G4000),1)</f>
        <v/>
      </c>
    </row>
    <row r="4001">
      <c r="A4001" t="inlineStr">
        <is>
          <t>SPO-02130-1</t>
        </is>
      </c>
      <c r="B4001" t="inlineStr">
        <is>
          <t>SPO-02130</t>
        </is>
      </c>
      <c r="C4001" t="inlineStr">
        <is>
          <t>SUP-12</t>
        </is>
      </c>
      <c r="D4001" t="inlineStr">
        <is>
          <t>IT</t>
        </is>
      </c>
      <c r="E4001" t="inlineStr">
        <is>
          <t>IT-02</t>
        </is>
      </c>
      <c r="F4001" s="17" t="n">
        <v>46163</v>
      </c>
      <c r="G4001" s="17" t="n">
        <v>46173</v>
      </c>
      <c r="H4001" s="18" t="n">
        <v>6</v>
      </c>
      <c r="I4001" s="19" t="n">
        <v>175.79</v>
      </c>
      <c r="J4001" s="19" t="n">
        <v>162</v>
      </c>
      <c r="K4001" s="20" t="n">
        <v>0</v>
      </c>
      <c r="L4001" s="20" t="n">
        <v>0</v>
      </c>
      <c r="M4001" s="18" t="n">
        <v>6</v>
      </c>
      <c r="N4001" s="18" t="n">
        <v>6</v>
      </c>
      <c r="O4001" s="18" t="n">
        <v>0</v>
      </c>
      <c r="P4001" s="17" t="n">
        <v>46173</v>
      </c>
      <c r="Q4001" s="17" t="n">
        <v>46173</v>
      </c>
      <c r="R4001" s="17" t="n">
        <v>46173</v>
      </c>
      <c r="S4001" s="19">
        <f>H4001*I4001</f>
        <v/>
      </c>
      <c r="T4001" s="19">
        <f>H4001*J4001</f>
        <v/>
      </c>
      <c r="U4001">
        <f>IF(AND(K4001=0,G4001&lt;=Assumptions!$C$6),1,0)</f>
        <v/>
      </c>
      <c r="V4001">
        <f>IF(U4001=1,IF(M4001&gt;0,IF(P4001&lt;=G4001+Assumptions!$C$7,1,0),0),0)</f>
        <v/>
      </c>
      <c r="W4001">
        <f>IF(AND(U4001=1,M4001&gt;=H4001*(1-Assumptions!$C$8)),1,0)</f>
        <v/>
      </c>
      <c r="X4001">
        <f>IF(AND(U4001=1,N4001&gt;=H4001*(1-Assumptions!$C$8)),1,0)</f>
        <v/>
      </c>
      <c r="Y4001">
        <f>IF(ISNUMBER(Q4001),1,0)</f>
        <v/>
      </c>
      <c r="Z4001">
        <f>IF(AND(K4001=0,L4001=0,Y4001=0),1,0)</f>
        <v/>
      </c>
      <c r="AA4001">
        <f>IF(AND(Z4001=1,G4001&lt;Assumptions!$C$6),1,0)</f>
        <v/>
      </c>
      <c r="AB4001">
        <f>IF(U4001=0,"",IF(Y4001=1,MAX(0,Q4001-G4001),IF(L4001=1,MAX(0,R4001-G4001),MAX(0,Assumptions!$C$6-G4001))))</f>
        <v/>
      </c>
      <c r="AC4001">
        <f>IF(Y4001=1,Q4001-F4001,"")</f>
        <v/>
      </c>
      <c r="AD4001">
        <f>IF(Y4001=1,AC4001^2,"")</f>
        <v/>
      </c>
      <c r="AE4001" s="19">
        <f>IF(Z4001=1,(H4001-M4001)*I4001,0)</f>
        <v/>
      </c>
      <c r="AF4001">
        <f>IF(G4001&lt;EDATE(Assumptions!$C$6,-12)+1,"prior_12m","last_12m")</f>
        <v/>
      </c>
      <c r="AG4001" s="21">
        <f>DATE(YEAR(G4001),MONTH(G4001),1)</f>
        <v/>
      </c>
    </row>
    <row r="4002">
      <c r="A4002" t="inlineStr">
        <is>
          <t>SPO-02131-1</t>
        </is>
      </c>
      <c r="B4002" t="inlineStr">
        <is>
          <t>SPO-02131</t>
        </is>
      </c>
      <c r="C4002" t="inlineStr">
        <is>
          <t>SUP-14</t>
        </is>
      </c>
      <c r="D4002" t="inlineStr">
        <is>
          <t>FLEET</t>
        </is>
      </c>
      <c r="E4002" t="inlineStr">
        <is>
          <t>FLEET-07</t>
        </is>
      </c>
      <c r="F4002" s="17" t="n">
        <v>46163</v>
      </c>
      <c r="G4002" s="17" t="n">
        <v>46177</v>
      </c>
      <c r="H4002" s="18" t="n">
        <v>16</v>
      </c>
      <c r="I4002" s="19" t="n">
        <v>120.86</v>
      </c>
      <c r="J4002" s="19" t="n">
        <v>118</v>
      </c>
      <c r="K4002" s="20" t="n">
        <v>0</v>
      </c>
      <c r="L4002" s="20" t="n">
        <v>0</v>
      </c>
      <c r="M4002" s="18" t="n">
        <v>16</v>
      </c>
      <c r="N4002" s="18" t="n">
        <v>0</v>
      </c>
      <c r="O4002" s="18" t="n">
        <v>0</v>
      </c>
      <c r="P4002" s="17" t="n">
        <v>46178</v>
      </c>
      <c r="Q4002" s="17" t="n">
        <v>46178</v>
      </c>
      <c r="R4002" s="17" t="n">
        <v>46178</v>
      </c>
      <c r="S4002" s="19">
        <f>H4002*I4002</f>
        <v/>
      </c>
      <c r="T4002" s="19">
        <f>H4002*J4002</f>
        <v/>
      </c>
      <c r="U4002">
        <f>IF(AND(K4002=0,G4002&lt;=Assumptions!$C$6),1,0)</f>
        <v/>
      </c>
      <c r="V4002">
        <f>IF(U4002=1,IF(M4002&gt;0,IF(P4002&lt;=G4002+Assumptions!$C$7,1,0),0),0)</f>
        <v/>
      </c>
      <c r="W4002">
        <f>IF(AND(U4002=1,M4002&gt;=H4002*(1-Assumptions!$C$8)),1,0)</f>
        <v/>
      </c>
      <c r="X4002">
        <f>IF(AND(U4002=1,N4002&gt;=H4002*(1-Assumptions!$C$8)),1,0)</f>
        <v/>
      </c>
      <c r="Y4002">
        <f>IF(ISNUMBER(Q4002),1,0)</f>
        <v/>
      </c>
      <c r="Z4002">
        <f>IF(AND(K4002=0,L4002=0,Y4002=0),1,0)</f>
        <v/>
      </c>
      <c r="AA4002">
        <f>IF(AND(Z4002=1,G4002&lt;Assumptions!$C$6),1,0)</f>
        <v/>
      </c>
      <c r="AB4002">
        <f>IF(U4002=0,"",IF(Y4002=1,MAX(0,Q4002-G4002),IF(L4002=1,MAX(0,R4002-G4002),MAX(0,Assumptions!$C$6-G4002))))</f>
        <v/>
      </c>
      <c r="AC4002">
        <f>IF(Y4002=1,Q4002-F4002,"")</f>
        <v/>
      </c>
      <c r="AD4002">
        <f>IF(Y4002=1,AC4002^2,"")</f>
        <v/>
      </c>
      <c r="AE4002" s="19">
        <f>IF(Z4002=1,(H4002-M4002)*I4002,0)</f>
        <v/>
      </c>
      <c r="AF4002">
        <f>IF(G4002&lt;EDATE(Assumptions!$C$6,-12)+1,"prior_12m","last_12m")</f>
        <v/>
      </c>
      <c r="AG4002" s="21">
        <f>DATE(YEAR(G4002),MONTH(G4002),1)</f>
        <v/>
      </c>
    </row>
    <row r="4003">
      <c r="A4003" t="inlineStr">
        <is>
          <t>SPO-02132-1</t>
        </is>
      </c>
      <c r="B4003" t="inlineStr">
        <is>
          <t>SPO-02132</t>
        </is>
      </c>
      <c r="C4003" t="inlineStr">
        <is>
          <t>SUP-06</t>
        </is>
      </c>
      <c r="D4003" t="inlineStr">
        <is>
          <t>MRO</t>
        </is>
      </c>
      <c r="E4003" t="inlineStr">
        <is>
          <t>MRO-08</t>
        </is>
      </c>
      <c r="F4003" s="17" t="n">
        <v>46163</v>
      </c>
      <c r="G4003" s="17" t="n">
        <v>46171</v>
      </c>
      <c r="H4003" s="18" t="n">
        <v>114</v>
      </c>
      <c r="I4003" s="19" t="n">
        <v>7.16</v>
      </c>
      <c r="J4003" s="19" t="n">
        <v>7.2</v>
      </c>
      <c r="K4003" s="20" t="n">
        <v>0</v>
      </c>
      <c r="L4003" s="20" t="n">
        <v>0</v>
      </c>
      <c r="M4003" s="18" t="n">
        <v>114</v>
      </c>
      <c r="N4003" s="18" t="n">
        <v>114</v>
      </c>
      <c r="O4003" s="18" t="n">
        <v>0</v>
      </c>
      <c r="P4003" s="17" t="n">
        <v>46170</v>
      </c>
      <c r="Q4003" s="17" t="n">
        <v>46170</v>
      </c>
      <c r="R4003" s="17" t="n">
        <v>46170</v>
      </c>
      <c r="S4003" s="19">
        <f>H4003*I4003</f>
        <v/>
      </c>
      <c r="T4003" s="19">
        <f>H4003*J4003</f>
        <v/>
      </c>
      <c r="U4003">
        <f>IF(AND(K4003=0,G4003&lt;=Assumptions!$C$6),1,0)</f>
        <v/>
      </c>
      <c r="V4003">
        <f>IF(U4003=1,IF(M4003&gt;0,IF(P4003&lt;=G4003+Assumptions!$C$7,1,0),0),0)</f>
        <v/>
      </c>
      <c r="W4003">
        <f>IF(AND(U4003=1,M4003&gt;=H4003*(1-Assumptions!$C$8)),1,0)</f>
        <v/>
      </c>
      <c r="X4003">
        <f>IF(AND(U4003=1,N4003&gt;=H4003*(1-Assumptions!$C$8)),1,0)</f>
        <v/>
      </c>
      <c r="Y4003">
        <f>IF(ISNUMBER(Q4003),1,0)</f>
        <v/>
      </c>
      <c r="Z4003">
        <f>IF(AND(K4003=0,L4003=0,Y4003=0),1,0)</f>
        <v/>
      </c>
      <c r="AA4003">
        <f>IF(AND(Z4003=1,G4003&lt;Assumptions!$C$6),1,0)</f>
        <v/>
      </c>
      <c r="AB4003">
        <f>IF(U4003=0,"",IF(Y4003=1,MAX(0,Q4003-G4003),IF(L4003=1,MAX(0,R4003-G4003),MAX(0,Assumptions!$C$6-G4003))))</f>
        <v/>
      </c>
      <c r="AC4003">
        <f>IF(Y4003=1,Q4003-F4003,"")</f>
        <v/>
      </c>
      <c r="AD4003">
        <f>IF(Y4003=1,AC4003^2,"")</f>
        <v/>
      </c>
      <c r="AE4003" s="19">
        <f>IF(Z4003=1,(H4003-M4003)*I4003,0)</f>
        <v/>
      </c>
      <c r="AF4003">
        <f>IF(G4003&lt;EDATE(Assumptions!$C$6,-12)+1,"prior_12m","last_12m")</f>
        <v/>
      </c>
      <c r="AG4003" s="21">
        <f>DATE(YEAR(G4003),MONTH(G4003),1)</f>
        <v/>
      </c>
    </row>
    <row r="4004">
      <c r="A4004" t="inlineStr">
        <is>
          <t>SPO-02133-1</t>
        </is>
      </c>
      <c r="B4004" t="inlineStr">
        <is>
          <t>SPO-02133</t>
        </is>
      </c>
      <c r="C4004" t="inlineStr">
        <is>
          <t>SUP-06</t>
        </is>
      </c>
      <c r="D4004" t="inlineStr">
        <is>
          <t>MRO</t>
        </is>
      </c>
      <c r="E4004" t="inlineStr">
        <is>
          <t>MRO-02</t>
        </is>
      </c>
      <c r="F4004" s="17" t="n">
        <v>46163</v>
      </c>
      <c r="G4004" s="17" t="n">
        <v>46171</v>
      </c>
      <c r="H4004" s="18" t="n">
        <v>49</v>
      </c>
      <c r="I4004" s="19" t="n">
        <v>39.66</v>
      </c>
      <c r="J4004" s="19" t="n">
        <v>41</v>
      </c>
      <c r="K4004" s="20" t="n">
        <v>0</v>
      </c>
      <c r="L4004" s="20" t="n">
        <v>0</v>
      </c>
      <c r="M4004" s="18" t="n">
        <v>49</v>
      </c>
      <c r="N4004" s="18" t="n">
        <v>49</v>
      </c>
      <c r="O4004" s="18" t="n">
        <v>0</v>
      </c>
      <c r="P4004" s="17" t="n">
        <v>46168</v>
      </c>
      <c r="Q4004" s="17" t="n">
        <v>46168</v>
      </c>
      <c r="R4004" s="17" t="n">
        <v>46168</v>
      </c>
      <c r="S4004" s="19">
        <f>H4004*I4004</f>
        <v/>
      </c>
      <c r="T4004" s="19">
        <f>H4004*J4004</f>
        <v/>
      </c>
      <c r="U4004">
        <f>IF(AND(K4004=0,G4004&lt;=Assumptions!$C$6),1,0)</f>
        <v/>
      </c>
      <c r="V4004">
        <f>IF(U4004=1,IF(M4004&gt;0,IF(P4004&lt;=G4004+Assumptions!$C$7,1,0),0),0)</f>
        <v/>
      </c>
      <c r="W4004">
        <f>IF(AND(U4004=1,M4004&gt;=H4004*(1-Assumptions!$C$8)),1,0)</f>
        <v/>
      </c>
      <c r="X4004">
        <f>IF(AND(U4004=1,N4004&gt;=H4004*(1-Assumptions!$C$8)),1,0)</f>
        <v/>
      </c>
      <c r="Y4004">
        <f>IF(ISNUMBER(Q4004),1,0)</f>
        <v/>
      </c>
      <c r="Z4004">
        <f>IF(AND(K4004=0,L4004=0,Y4004=0),1,0)</f>
        <v/>
      </c>
      <c r="AA4004">
        <f>IF(AND(Z4004=1,G4004&lt;Assumptions!$C$6),1,0)</f>
        <v/>
      </c>
      <c r="AB4004">
        <f>IF(U4004=0,"",IF(Y4004=1,MAX(0,Q4004-G4004),IF(L4004=1,MAX(0,R4004-G4004),MAX(0,Assumptions!$C$6-G4004))))</f>
        <v/>
      </c>
      <c r="AC4004">
        <f>IF(Y4004=1,Q4004-F4004,"")</f>
        <v/>
      </c>
      <c r="AD4004">
        <f>IF(Y4004=1,AC4004^2,"")</f>
        <v/>
      </c>
      <c r="AE4004" s="19">
        <f>IF(Z4004=1,(H4004-M4004)*I4004,0)</f>
        <v/>
      </c>
      <c r="AF4004">
        <f>IF(G4004&lt;EDATE(Assumptions!$C$6,-12)+1,"prior_12m","last_12m")</f>
        <v/>
      </c>
      <c r="AG4004" s="21">
        <f>DATE(YEAR(G4004),MONTH(G4004),1)</f>
        <v/>
      </c>
    </row>
    <row r="4005">
      <c r="A4005" t="inlineStr">
        <is>
          <t>SPO-02133-2</t>
        </is>
      </c>
      <c r="B4005" t="inlineStr">
        <is>
          <t>SPO-02133</t>
        </is>
      </c>
      <c r="C4005" t="inlineStr">
        <is>
          <t>SUP-06</t>
        </is>
      </c>
      <c r="D4005" t="inlineStr">
        <is>
          <t>MRO</t>
        </is>
      </c>
      <c r="E4005" t="inlineStr">
        <is>
          <t>MRO-03</t>
        </is>
      </c>
      <c r="F4005" s="17" t="n">
        <v>46163</v>
      </c>
      <c r="G4005" s="17" t="n">
        <v>46171</v>
      </c>
      <c r="H4005" s="18" t="n">
        <v>184</v>
      </c>
      <c r="I4005" s="19" t="n">
        <v>8.74</v>
      </c>
      <c r="J4005" s="19" t="n">
        <v>8.9</v>
      </c>
      <c r="K4005" s="20" t="n">
        <v>0</v>
      </c>
      <c r="L4005" s="20" t="n">
        <v>0</v>
      </c>
      <c r="M4005" s="18" t="n">
        <v>184</v>
      </c>
      <c r="N4005" s="18" t="n">
        <v>184</v>
      </c>
      <c r="O4005" s="18" t="n">
        <v>0</v>
      </c>
      <c r="P4005" s="17" t="n">
        <v>46169</v>
      </c>
      <c r="Q4005" s="17" t="n">
        <v>46169</v>
      </c>
      <c r="R4005" s="17" t="n">
        <v>46169</v>
      </c>
      <c r="S4005" s="19">
        <f>H4005*I4005</f>
        <v/>
      </c>
      <c r="T4005" s="19">
        <f>H4005*J4005</f>
        <v/>
      </c>
      <c r="U4005">
        <f>IF(AND(K4005=0,G4005&lt;=Assumptions!$C$6),1,0)</f>
        <v/>
      </c>
      <c r="V4005">
        <f>IF(U4005=1,IF(M4005&gt;0,IF(P4005&lt;=G4005+Assumptions!$C$7,1,0),0),0)</f>
        <v/>
      </c>
      <c r="W4005">
        <f>IF(AND(U4005=1,M4005&gt;=H4005*(1-Assumptions!$C$8)),1,0)</f>
        <v/>
      </c>
      <c r="X4005">
        <f>IF(AND(U4005=1,N4005&gt;=H4005*(1-Assumptions!$C$8)),1,0)</f>
        <v/>
      </c>
      <c r="Y4005">
        <f>IF(ISNUMBER(Q4005),1,0)</f>
        <v/>
      </c>
      <c r="Z4005">
        <f>IF(AND(K4005=0,L4005=0,Y4005=0),1,0)</f>
        <v/>
      </c>
      <c r="AA4005">
        <f>IF(AND(Z4005=1,G4005&lt;Assumptions!$C$6),1,0)</f>
        <v/>
      </c>
      <c r="AB4005">
        <f>IF(U4005=0,"",IF(Y4005=1,MAX(0,Q4005-G4005),IF(L4005=1,MAX(0,R4005-G4005),MAX(0,Assumptions!$C$6-G4005))))</f>
        <v/>
      </c>
      <c r="AC4005">
        <f>IF(Y4005=1,Q4005-F4005,"")</f>
        <v/>
      </c>
      <c r="AD4005">
        <f>IF(Y4005=1,AC4005^2,"")</f>
        <v/>
      </c>
      <c r="AE4005" s="19">
        <f>IF(Z4005=1,(H4005-M4005)*I4005,0)</f>
        <v/>
      </c>
      <c r="AF4005">
        <f>IF(G4005&lt;EDATE(Assumptions!$C$6,-12)+1,"prior_12m","last_12m")</f>
        <v/>
      </c>
      <c r="AG4005" s="21">
        <f>DATE(YEAR(G4005),MONTH(G4005),1)</f>
        <v/>
      </c>
    </row>
    <row r="4006">
      <c r="A4006" t="inlineStr">
        <is>
          <t>SPO-02134-1</t>
        </is>
      </c>
      <c r="B4006" t="inlineStr">
        <is>
          <t>SPO-02134</t>
        </is>
      </c>
      <c r="C4006" t="inlineStr">
        <is>
          <t>SUP-05</t>
        </is>
      </c>
      <c r="D4006" t="inlineStr">
        <is>
          <t>FLEET</t>
        </is>
      </c>
      <c r="E4006" t="inlineStr">
        <is>
          <t>FLEET-07</t>
        </is>
      </c>
      <c r="F4006" s="17" t="n">
        <v>46163</v>
      </c>
      <c r="G4006" s="17" t="n">
        <v>46177</v>
      </c>
      <c r="H4006" s="18" t="n">
        <v>19</v>
      </c>
      <c r="I4006" s="19" t="n">
        <v>120.25</v>
      </c>
      <c r="J4006" s="19" t="n">
        <v>118</v>
      </c>
      <c r="K4006" s="20" t="n">
        <v>0</v>
      </c>
      <c r="L4006" s="20" t="n">
        <v>0</v>
      </c>
      <c r="M4006" s="18" t="n">
        <v>19</v>
      </c>
      <c r="N4006" s="18" t="n">
        <v>19</v>
      </c>
      <c r="O4006" s="18" t="n">
        <v>0</v>
      </c>
      <c r="P4006" s="17" t="n">
        <v>46176</v>
      </c>
      <c r="Q4006" s="17" t="n">
        <v>46176</v>
      </c>
      <c r="R4006" s="17" t="n">
        <v>46176</v>
      </c>
      <c r="S4006" s="19">
        <f>H4006*I4006</f>
        <v/>
      </c>
      <c r="T4006" s="19">
        <f>H4006*J4006</f>
        <v/>
      </c>
      <c r="U4006">
        <f>IF(AND(K4006=0,G4006&lt;=Assumptions!$C$6),1,0)</f>
        <v/>
      </c>
      <c r="V4006">
        <f>IF(U4006=1,IF(M4006&gt;0,IF(P4006&lt;=G4006+Assumptions!$C$7,1,0),0),0)</f>
        <v/>
      </c>
      <c r="W4006">
        <f>IF(AND(U4006=1,M4006&gt;=H4006*(1-Assumptions!$C$8)),1,0)</f>
        <v/>
      </c>
      <c r="X4006">
        <f>IF(AND(U4006=1,N4006&gt;=H4006*(1-Assumptions!$C$8)),1,0)</f>
        <v/>
      </c>
      <c r="Y4006">
        <f>IF(ISNUMBER(Q4006),1,0)</f>
        <v/>
      </c>
      <c r="Z4006">
        <f>IF(AND(K4006=0,L4006=0,Y4006=0),1,0)</f>
        <v/>
      </c>
      <c r="AA4006">
        <f>IF(AND(Z4006=1,G4006&lt;Assumptions!$C$6),1,0)</f>
        <v/>
      </c>
      <c r="AB4006">
        <f>IF(U4006=0,"",IF(Y4006=1,MAX(0,Q4006-G4006),IF(L4006=1,MAX(0,R4006-G4006),MAX(0,Assumptions!$C$6-G4006))))</f>
        <v/>
      </c>
      <c r="AC4006">
        <f>IF(Y4006=1,Q4006-F4006,"")</f>
        <v/>
      </c>
      <c r="AD4006">
        <f>IF(Y4006=1,AC4006^2,"")</f>
        <v/>
      </c>
      <c r="AE4006" s="19">
        <f>IF(Z4006=1,(H4006-M4006)*I4006,0)</f>
        <v/>
      </c>
      <c r="AF4006">
        <f>IF(G4006&lt;EDATE(Assumptions!$C$6,-12)+1,"prior_12m","last_12m")</f>
        <v/>
      </c>
      <c r="AG4006" s="21">
        <f>DATE(YEAR(G4006),MONTH(G4006),1)</f>
        <v/>
      </c>
    </row>
    <row r="4007">
      <c r="A4007" t="inlineStr">
        <is>
          <t>SPO-02135-1</t>
        </is>
      </c>
      <c r="B4007" t="inlineStr">
        <is>
          <t>SPO-02135</t>
        </is>
      </c>
      <c r="C4007" t="inlineStr">
        <is>
          <t>SUP-06</t>
        </is>
      </c>
      <c r="D4007" t="inlineStr">
        <is>
          <t>MRO</t>
        </is>
      </c>
      <c r="E4007" t="inlineStr">
        <is>
          <t>MRO-05</t>
        </is>
      </c>
      <c r="F4007" s="17" t="n">
        <v>46164</v>
      </c>
      <c r="G4007" s="17" t="n">
        <v>46172</v>
      </c>
      <c r="H4007" s="18" t="n">
        <v>44</v>
      </c>
      <c r="I4007" s="19" t="n">
        <v>35.31</v>
      </c>
      <c r="J4007" s="19" t="n">
        <v>36</v>
      </c>
      <c r="K4007" s="20" t="n">
        <v>0</v>
      </c>
      <c r="L4007" s="20" t="n">
        <v>0</v>
      </c>
      <c r="M4007" s="18" t="n">
        <v>44</v>
      </c>
      <c r="N4007" s="18" t="n">
        <v>44</v>
      </c>
      <c r="O4007" s="18" t="n">
        <v>0</v>
      </c>
      <c r="P4007" s="17" t="n">
        <v>46170</v>
      </c>
      <c r="Q4007" s="17" t="n">
        <v>46170</v>
      </c>
      <c r="R4007" s="17" t="n">
        <v>46170</v>
      </c>
      <c r="S4007" s="19">
        <f>H4007*I4007</f>
        <v/>
      </c>
      <c r="T4007" s="19">
        <f>H4007*J4007</f>
        <v/>
      </c>
      <c r="U4007">
        <f>IF(AND(K4007=0,G4007&lt;=Assumptions!$C$6),1,0)</f>
        <v/>
      </c>
      <c r="V4007">
        <f>IF(U4007=1,IF(M4007&gt;0,IF(P4007&lt;=G4007+Assumptions!$C$7,1,0),0),0)</f>
        <v/>
      </c>
      <c r="W4007">
        <f>IF(AND(U4007=1,M4007&gt;=H4007*(1-Assumptions!$C$8)),1,0)</f>
        <v/>
      </c>
      <c r="X4007">
        <f>IF(AND(U4007=1,N4007&gt;=H4007*(1-Assumptions!$C$8)),1,0)</f>
        <v/>
      </c>
      <c r="Y4007">
        <f>IF(ISNUMBER(Q4007),1,0)</f>
        <v/>
      </c>
      <c r="Z4007">
        <f>IF(AND(K4007=0,L4007=0,Y4007=0),1,0)</f>
        <v/>
      </c>
      <c r="AA4007">
        <f>IF(AND(Z4007=1,G4007&lt;Assumptions!$C$6),1,0)</f>
        <v/>
      </c>
      <c r="AB4007">
        <f>IF(U4007=0,"",IF(Y4007=1,MAX(0,Q4007-G4007),IF(L4007=1,MAX(0,R4007-G4007),MAX(0,Assumptions!$C$6-G4007))))</f>
        <v/>
      </c>
      <c r="AC4007">
        <f>IF(Y4007=1,Q4007-F4007,"")</f>
        <v/>
      </c>
      <c r="AD4007">
        <f>IF(Y4007=1,AC4007^2,"")</f>
        <v/>
      </c>
      <c r="AE4007" s="19">
        <f>IF(Z4007=1,(H4007-M4007)*I4007,0)</f>
        <v/>
      </c>
      <c r="AF4007">
        <f>IF(G4007&lt;EDATE(Assumptions!$C$6,-12)+1,"prior_12m","last_12m")</f>
        <v/>
      </c>
      <c r="AG4007" s="21">
        <f>DATE(YEAR(G4007),MONTH(G4007),1)</f>
        <v/>
      </c>
    </row>
    <row r="4008">
      <c r="A4008" t="inlineStr">
        <is>
          <t>SPO-02135-2</t>
        </is>
      </c>
      <c r="B4008" t="inlineStr">
        <is>
          <t>SPO-02135</t>
        </is>
      </c>
      <c r="C4008" t="inlineStr">
        <is>
          <t>SUP-06</t>
        </is>
      </c>
      <c r="D4008" t="inlineStr">
        <is>
          <t>MRO</t>
        </is>
      </c>
      <c r="E4008" t="inlineStr">
        <is>
          <t>MRO-03</t>
        </is>
      </c>
      <c r="F4008" s="17" t="n">
        <v>46164</v>
      </c>
      <c r="G4008" s="17" t="n">
        <v>46172</v>
      </c>
      <c r="H4008" s="18" t="n">
        <v>125</v>
      </c>
      <c r="I4008" s="19" t="n">
        <v>8.949999999999999</v>
      </c>
      <c r="J4008" s="19" t="n">
        <v>8.9</v>
      </c>
      <c r="K4008" s="20" t="n">
        <v>1</v>
      </c>
      <c r="L4008" s="20" t="n">
        <v>0</v>
      </c>
      <c r="M4008" s="18" t="n">
        <v>0</v>
      </c>
      <c r="N4008" s="18" t="n">
        <v>0</v>
      </c>
      <c r="O4008" s="18" t="n">
        <v>0</v>
      </c>
      <c r="P4008" s="17" t="n"/>
      <c r="Q4008" s="17" t="n"/>
      <c r="R4008" s="17" t="n"/>
      <c r="S4008" s="19">
        <f>H4008*I4008</f>
        <v/>
      </c>
      <c r="T4008" s="19">
        <f>H4008*J4008</f>
        <v/>
      </c>
      <c r="U4008">
        <f>IF(AND(K4008=0,G4008&lt;=Assumptions!$C$6),1,0)</f>
        <v/>
      </c>
      <c r="V4008">
        <f>IF(U4008=1,IF(M4008&gt;0,IF(P4008&lt;=G4008+Assumptions!$C$7,1,0),0),0)</f>
        <v/>
      </c>
      <c r="W4008">
        <f>IF(AND(U4008=1,M4008&gt;=H4008*(1-Assumptions!$C$8)),1,0)</f>
        <v/>
      </c>
      <c r="X4008">
        <f>IF(AND(U4008=1,N4008&gt;=H4008*(1-Assumptions!$C$8)),1,0)</f>
        <v/>
      </c>
      <c r="Y4008">
        <f>IF(ISNUMBER(Q4008),1,0)</f>
        <v/>
      </c>
      <c r="Z4008">
        <f>IF(AND(K4008=0,L4008=0,Y4008=0),1,0)</f>
        <v/>
      </c>
      <c r="AA4008">
        <f>IF(AND(Z4008=1,G4008&lt;Assumptions!$C$6),1,0)</f>
        <v/>
      </c>
      <c r="AB4008">
        <f>IF(U4008=0,"",IF(Y4008=1,MAX(0,Q4008-G4008),IF(L4008=1,MAX(0,R4008-G4008),MAX(0,Assumptions!$C$6-G4008))))</f>
        <v/>
      </c>
      <c r="AC4008">
        <f>IF(Y4008=1,Q4008-F4008,"")</f>
        <v/>
      </c>
      <c r="AD4008">
        <f>IF(Y4008=1,AC4008^2,"")</f>
        <v/>
      </c>
      <c r="AE4008" s="19">
        <f>IF(Z4008=1,(H4008-M4008)*I4008,0)</f>
        <v/>
      </c>
      <c r="AF4008">
        <f>IF(G4008&lt;EDATE(Assumptions!$C$6,-12)+1,"prior_12m","last_12m")</f>
        <v/>
      </c>
      <c r="AG4008" s="21">
        <f>DATE(YEAR(G4008),MONTH(G4008),1)</f>
        <v/>
      </c>
    </row>
    <row r="4009">
      <c r="A4009" t="inlineStr">
        <is>
          <t>SPO-02136-1</t>
        </is>
      </c>
      <c r="B4009" t="inlineStr">
        <is>
          <t>SPO-02136</t>
        </is>
      </c>
      <c r="C4009" t="inlineStr">
        <is>
          <t>SUP-06</t>
        </is>
      </c>
      <c r="D4009" t="inlineStr">
        <is>
          <t>MRO</t>
        </is>
      </c>
      <c r="E4009" t="inlineStr">
        <is>
          <t>MRO-02</t>
        </is>
      </c>
      <c r="F4009" s="17" t="n">
        <v>46164</v>
      </c>
      <c r="G4009" s="17" t="n">
        <v>46172</v>
      </c>
      <c r="H4009" s="18" t="n">
        <v>29</v>
      </c>
      <c r="I4009" s="19" t="n">
        <v>39.18</v>
      </c>
      <c r="J4009" s="19" t="n">
        <v>41</v>
      </c>
      <c r="K4009" s="20" t="n">
        <v>0</v>
      </c>
      <c r="L4009" s="20" t="n">
        <v>0</v>
      </c>
      <c r="M4009" s="18" t="n">
        <v>29</v>
      </c>
      <c r="N4009" s="18" t="n">
        <v>29</v>
      </c>
      <c r="O4009" s="18" t="n">
        <v>0</v>
      </c>
      <c r="P4009" s="17" t="n">
        <v>46169</v>
      </c>
      <c r="Q4009" s="17" t="n">
        <v>46169</v>
      </c>
      <c r="R4009" s="17" t="n">
        <v>46169</v>
      </c>
      <c r="S4009" s="19">
        <f>H4009*I4009</f>
        <v/>
      </c>
      <c r="T4009" s="19">
        <f>H4009*J4009</f>
        <v/>
      </c>
      <c r="U4009">
        <f>IF(AND(K4009=0,G4009&lt;=Assumptions!$C$6),1,0)</f>
        <v/>
      </c>
      <c r="V4009">
        <f>IF(U4009=1,IF(M4009&gt;0,IF(P4009&lt;=G4009+Assumptions!$C$7,1,0),0),0)</f>
        <v/>
      </c>
      <c r="W4009">
        <f>IF(AND(U4009=1,M4009&gt;=H4009*(1-Assumptions!$C$8)),1,0)</f>
        <v/>
      </c>
      <c r="X4009">
        <f>IF(AND(U4009=1,N4009&gt;=H4009*(1-Assumptions!$C$8)),1,0)</f>
        <v/>
      </c>
      <c r="Y4009">
        <f>IF(ISNUMBER(Q4009),1,0)</f>
        <v/>
      </c>
      <c r="Z4009">
        <f>IF(AND(K4009=0,L4009=0,Y4009=0),1,0)</f>
        <v/>
      </c>
      <c r="AA4009">
        <f>IF(AND(Z4009=1,G4009&lt;Assumptions!$C$6),1,0)</f>
        <v/>
      </c>
      <c r="AB4009">
        <f>IF(U4009=0,"",IF(Y4009=1,MAX(0,Q4009-G4009),IF(L4009=1,MAX(0,R4009-G4009),MAX(0,Assumptions!$C$6-G4009))))</f>
        <v/>
      </c>
      <c r="AC4009">
        <f>IF(Y4009=1,Q4009-F4009,"")</f>
        <v/>
      </c>
      <c r="AD4009">
        <f>IF(Y4009=1,AC4009^2,"")</f>
        <v/>
      </c>
      <c r="AE4009" s="19">
        <f>IF(Z4009=1,(H4009-M4009)*I4009,0)</f>
        <v/>
      </c>
      <c r="AF4009">
        <f>IF(G4009&lt;EDATE(Assumptions!$C$6,-12)+1,"prior_12m","last_12m")</f>
        <v/>
      </c>
      <c r="AG4009" s="21">
        <f>DATE(YEAR(G4009),MONTH(G4009),1)</f>
        <v/>
      </c>
    </row>
    <row r="4010">
      <c r="A4010" t="inlineStr">
        <is>
          <t>SPO-02137-1</t>
        </is>
      </c>
      <c r="B4010" t="inlineStr">
        <is>
          <t>SPO-02137</t>
        </is>
      </c>
      <c r="C4010" t="inlineStr">
        <is>
          <t>SUP-08</t>
        </is>
      </c>
      <c r="D4010" t="inlineStr">
        <is>
          <t>PPE</t>
        </is>
      </c>
      <c r="E4010" t="inlineStr">
        <is>
          <t>PPE-01</t>
        </is>
      </c>
      <c r="F4010" s="17" t="n">
        <v>46164</v>
      </c>
      <c r="G4010" s="17" t="n">
        <v>46175</v>
      </c>
      <c r="H4010" s="18" t="n">
        <v>415</v>
      </c>
      <c r="I4010" s="19" t="n">
        <v>4.73</v>
      </c>
      <c r="J4010" s="19" t="n">
        <v>4.8</v>
      </c>
      <c r="K4010" s="20" t="n">
        <v>0</v>
      </c>
      <c r="L4010" s="20" t="n">
        <v>0</v>
      </c>
      <c r="M4010" s="18" t="n">
        <v>415</v>
      </c>
      <c r="N4010" s="18" t="n">
        <v>415</v>
      </c>
      <c r="O4010" s="18" t="n">
        <v>0</v>
      </c>
      <c r="P4010" s="17" t="n">
        <v>46172</v>
      </c>
      <c r="Q4010" s="17" t="n">
        <v>46172</v>
      </c>
      <c r="R4010" s="17" t="n">
        <v>46172</v>
      </c>
      <c r="S4010" s="19">
        <f>H4010*I4010</f>
        <v/>
      </c>
      <c r="T4010" s="19">
        <f>H4010*J4010</f>
        <v/>
      </c>
      <c r="U4010">
        <f>IF(AND(K4010=0,G4010&lt;=Assumptions!$C$6),1,0)</f>
        <v/>
      </c>
      <c r="V4010">
        <f>IF(U4010=1,IF(M4010&gt;0,IF(P4010&lt;=G4010+Assumptions!$C$7,1,0),0),0)</f>
        <v/>
      </c>
      <c r="W4010">
        <f>IF(AND(U4010=1,M4010&gt;=H4010*(1-Assumptions!$C$8)),1,0)</f>
        <v/>
      </c>
      <c r="X4010">
        <f>IF(AND(U4010=1,N4010&gt;=H4010*(1-Assumptions!$C$8)),1,0)</f>
        <v/>
      </c>
      <c r="Y4010">
        <f>IF(ISNUMBER(Q4010),1,0)</f>
        <v/>
      </c>
      <c r="Z4010">
        <f>IF(AND(K4010=0,L4010=0,Y4010=0),1,0)</f>
        <v/>
      </c>
      <c r="AA4010">
        <f>IF(AND(Z4010=1,G4010&lt;Assumptions!$C$6),1,0)</f>
        <v/>
      </c>
      <c r="AB4010">
        <f>IF(U4010=0,"",IF(Y4010=1,MAX(0,Q4010-G4010),IF(L4010=1,MAX(0,R4010-G4010),MAX(0,Assumptions!$C$6-G4010))))</f>
        <v/>
      </c>
      <c r="AC4010">
        <f>IF(Y4010=1,Q4010-F4010,"")</f>
        <v/>
      </c>
      <c r="AD4010">
        <f>IF(Y4010=1,AC4010^2,"")</f>
        <v/>
      </c>
      <c r="AE4010" s="19">
        <f>IF(Z4010=1,(H4010-M4010)*I4010,0)</f>
        <v/>
      </c>
      <c r="AF4010">
        <f>IF(G4010&lt;EDATE(Assumptions!$C$6,-12)+1,"prior_12m","last_12m")</f>
        <v/>
      </c>
      <c r="AG4010" s="21">
        <f>DATE(YEAR(G4010),MONTH(G4010),1)</f>
        <v/>
      </c>
    </row>
    <row r="4011">
      <c r="A4011" t="inlineStr">
        <is>
          <t>SPO-02137-2</t>
        </is>
      </c>
      <c r="B4011" t="inlineStr">
        <is>
          <t>SPO-02137</t>
        </is>
      </c>
      <c r="C4011" t="inlineStr">
        <is>
          <t>SUP-08</t>
        </is>
      </c>
      <c r="D4011" t="inlineStr">
        <is>
          <t>PPE</t>
        </is>
      </c>
      <c r="E4011" t="inlineStr">
        <is>
          <t>PPE-08</t>
        </is>
      </c>
      <c r="F4011" s="17" t="n">
        <v>46164</v>
      </c>
      <c r="G4011" s="17" t="n">
        <v>46175</v>
      </c>
      <c r="H4011" s="18" t="n">
        <v>20</v>
      </c>
      <c r="I4011" s="19" t="n">
        <v>63.1</v>
      </c>
      <c r="J4011" s="19" t="n">
        <v>64</v>
      </c>
      <c r="K4011" s="20" t="n">
        <v>0</v>
      </c>
      <c r="L4011" s="20" t="n">
        <v>0</v>
      </c>
      <c r="M4011" s="18" t="n">
        <v>20</v>
      </c>
      <c r="N4011" s="18" t="n">
        <v>0</v>
      </c>
      <c r="O4011" s="18" t="n">
        <v>0</v>
      </c>
      <c r="P4011" s="17" t="n">
        <v>46177</v>
      </c>
      <c r="Q4011" s="17" t="n">
        <v>46177</v>
      </c>
      <c r="R4011" s="17" t="n">
        <v>46177</v>
      </c>
      <c r="S4011" s="19">
        <f>H4011*I4011</f>
        <v/>
      </c>
      <c r="T4011" s="19">
        <f>H4011*J4011</f>
        <v/>
      </c>
      <c r="U4011">
        <f>IF(AND(K4011=0,G4011&lt;=Assumptions!$C$6),1,0)</f>
        <v/>
      </c>
      <c r="V4011">
        <f>IF(U4011=1,IF(M4011&gt;0,IF(P4011&lt;=G4011+Assumptions!$C$7,1,0),0),0)</f>
        <v/>
      </c>
      <c r="W4011">
        <f>IF(AND(U4011=1,M4011&gt;=H4011*(1-Assumptions!$C$8)),1,0)</f>
        <v/>
      </c>
      <c r="X4011">
        <f>IF(AND(U4011=1,N4011&gt;=H4011*(1-Assumptions!$C$8)),1,0)</f>
        <v/>
      </c>
      <c r="Y4011">
        <f>IF(ISNUMBER(Q4011),1,0)</f>
        <v/>
      </c>
      <c r="Z4011">
        <f>IF(AND(K4011=0,L4011=0,Y4011=0),1,0)</f>
        <v/>
      </c>
      <c r="AA4011">
        <f>IF(AND(Z4011=1,G4011&lt;Assumptions!$C$6),1,0)</f>
        <v/>
      </c>
      <c r="AB4011">
        <f>IF(U4011=0,"",IF(Y4011=1,MAX(0,Q4011-G4011),IF(L4011=1,MAX(0,R4011-G4011),MAX(0,Assumptions!$C$6-G4011))))</f>
        <v/>
      </c>
      <c r="AC4011">
        <f>IF(Y4011=1,Q4011-F4011,"")</f>
        <v/>
      </c>
      <c r="AD4011">
        <f>IF(Y4011=1,AC4011^2,"")</f>
        <v/>
      </c>
      <c r="AE4011" s="19">
        <f>IF(Z4011=1,(H4011-M4011)*I4011,0)</f>
        <v/>
      </c>
      <c r="AF4011">
        <f>IF(G4011&lt;EDATE(Assumptions!$C$6,-12)+1,"prior_12m","last_12m")</f>
        <v/>
      </c>
      <c r="AG4011" s="21">
        <f>DATE(YEAR(G4011),MONTH(G4011),1)</f>
        <v/>
      </c>
    </row>
    <row r="4012">
      <c r="A4012" t="inlineStr">
        <is>
          <t>SPO-02138-1</t>
        </is>
      </c>
      <c r="B4012" t="inlineStr">
        <is>
          <t>SPO-02138</t>
        </is>
      </c>
      <c r="C4012" t="inlineStr">
        <is>
          <t>SUP-01</t>
        </is>
      </c>
      <c r="D4012" t="inlineStr">
        <is>
          <t>ELEC</t>
        </is>
      </c>
      <c r="E4012" t="inlineStr">
        <is>
          <t>ELEC-01</t>
        </is>
      </c>
      <c r="F4012" s="17" t="n">
        <v>46164</v>
      </c>
      <c r="G4012" s="17" t="n">
        <v>46182</v>
      </c>
      <c r="H4012" s="18" t="n">
        <v>32</v>
      </c>
      <c r="I4012" s="19" t="n">
        <v>37.13</v>
      </c>
      <c r="J4012" s="19" t="n">
        <v>38</v>
      </c>
      <c r="K4012" s="20" t="n">
        <v>0</v>
      </c>
      <c r="L4012" s="20" t="n">
        <v>0</v>
      </c>
      <c r="M4012" s="18" t="n">
        <v>32</v>
      </c>
      <c r="N4012" s="18" t="n">
        <v>32</v>
      </c>
      <c r="O4012" s="18" t="n">
        <v>0</v>
      </c>
      <c r="P4012" s="17" t="n">
        <v>46181</v>
      </c>
      <c r="Q4012" s="17" t="n">
        <v>46181</v>
      </c>
      <c r="R4012" s="17" t="n">
        <v>46181</v>
      </c>
      <c r="S4012" s="19">
        <f>H4012*I4012</f>
        <v/>
      </c>
      <c r="T4012" s="19">
        <f>H4012*J4012</f>
        <v/>
      </c>
      <c r="U4012">
        <f>IF(AND(K4012=0,G4012&lt;=Assumptions!$C$6),1,0)</f>
        <v/>
      </c>
      <c r="V4012">
        <f>IF(U4012=1,IF(M4012&gt;0,IF(P4012&lt;=G4012+Assumptions!$C$7,1,0),0),0)</f>
        <v/>
      </c>
      <c r="W4012">
        <f>IF(AND(U4012=1,M4012&gt;=H4012*(1-Assumptions!$C$8)),1,0)</f>
        <v/>
      </c>
      <c r="X4012">
        <f>IF(AND(U4012=1,N4012&gt;=H4012*(1-Assumptions!$C$8)),1,0)</f>
        <v/>
      </c>
      <c r="Y4012">
        <f>IF(ISNUMBER(Q4012),1,0)</f>
        <v/>
      </c>
      <c r="Z4012">
        <f>IF(AND(K4012=0,L4012=0,Y4012=0),1,0)</f>
        <v/>
      </c>
      <c r="AA4012">
        <f>IF(AND(Z4012=1,G4012&lt;Assumptions!$C$6),1,0)</f>
        <v/>
      </c>
      <c r="AB4012">
        <f>IF(U4012=0,"",IF(Y4012=1,MAX(0,Q4012-G4012),IF(L4012=1,MAX(0,R4012-G4012),MAX(0,Assumptions!$C$6-G4012))))</f>
        <v/>
      </c>
      <c r="AC4012">
        <f>IF(Y4012=1,Q4012-F4012,"")</f>
        <v/>
      </c>
      <c r="AD4012">
        <f>IF(Y4012=1,AC4012^2,"")</f>
        <v/>
      </c>
      <c r="AE4012" s="19">
        <f>IF(Z4012=1,(H4012-M4012)*I4012,0)</f>
        <v/>
      </c>
      <c r="AF4012">
        <f>IF(G4012&lt;EDATE(Assumptions!$C$6,-12)+1,"prior_12m","last_12m")</f>
        <v/>
      </c>
      <c r="AG4012" s="21">
        <f>DATE(YEAR(G4012),MONTH(G4012),1)</f>
        <v/>
      </c>
    </row>
    <row r="4013">
      <c r="A4013" t="inlineStr">
        <is>
          <t>SPO-02138-2</t>
        </is>
      </c>
      <c r="B4013" t="inlineStr">
        <is>
          <t>SPO-02138</t>
        </is>
      </c>
      <c r="C4013" t="inlineStr">
        <is>
          <t>SUP-01</t>
        </is>
      </c>
      <c r="D4013" t="inlineStr">
        <is>
          <t>ELEC</t>
        </is>
      </c>
      <c r="E4013" t="inlineStr">
        <is>
          <t>ELEC-04</t>
        </is>
      </c>
      <c r="F4013" s="17" t="n">
        <v>46164</v>
      </c>
      <c r="G4013" s="17" t="n">
        <v>46182</v>
      </c>
      <c r="H4013" s="18" t="n">
        <v>41</v>
      </c>
      <c r="I4013" s="19" t="n">
        <v>69.67</v>
      </c>
      <c r="J4013" s="19" t="n">
        <v>72</v>
      </c>
      <c r="K4013" s="20" t="n">
        <v>0</v>
      </c>
      <c r="L4013" s="20" t="n">
        <v>0</v>
      </c>
      <c r="M4013" s="18" t="n">
        <v>41</v>
      </c>
      <c r="N4013" s="18" t="n">
        <v>41</v>
      </c>
      <c r="O4013" s="18" t="n">
        <v>0</v>
      </c>
      <c r="P4013" s="17" t="n">
        <v>46181</v>
      </c>
      <c r="Q4013" s="17" t="n">
        <v>46181</v>
      </c>
      <c r="R4013" s="17" t="n">
        <v>46181</v>
      </c>
      <c r="S4013" s="19">
        <f>H4013*I4013</f>
        <v/>
      </c>
      <c r="T4013" s="19">
        <f>H4013*J4013</f>
        <v/>
      </c>
      <c r="U4013">
        <f>IF(AND(K4013=0,G4013&lt;=Assumptions!$C$6),1,0)</f>
        <v/>
      </c>
      <c r="V4013">
        <f>IF(U4013=1,IF(M4013&gt;0,IF(P4013&lt;=G4013+Assumptions!$C$7,1,0),0),0)</f>
        <v/>
      </c>
      <c r="W4013">
        <f>IF(AND(U4013=1,M4013&gt;=H4013*(1-Assumptions!$C$8)),1,0)</f>
        <v/>
      </c>
      <c r="X4013">
        <f>IF(AND(U4013=1,N4013&gt;=H4013*(1-Assumptions!$C$8)),1,0)</f>
        <v/>
      </c>
      <c r="Y4013">
        <f>IF(ISNUMBER(Q4013),1,0)</f>
        <v/>
      </c>
      <c r="Z4013">
        <f>IF(AND(K4013=0,L4013=0,Y4013=0),1,0)</f>
        <v/>
      </c>
      <c r="AA4013">
        <f>IF(AND(Z4013=1,G4013&lt;Assumptions!$C$6),1,0)</f>
        <v/>
      </c>
      <c r="AB4013">
        <f>IF(U4013=0,"",IF(Y4013=1,MAX(0,Q4013-G4013),IF(L4013=1,MAX(0,R4013-G4013),MAX(0,Assumptions!$C$6-G4013))))</f>
        <v/>
      </c>
      <c r="AC4013">
        <f>IF(Y4013=1,Q4013-F4013,"")</f>
        <v/>
      </c>
      <c r="AD4013">
        <f>IF(Y4013=1,AC4013^2,"")</f>
        <v/>
      </c>
      <c r="AE4013" s="19">
        <f>IF(Z4013=1,(H4013-M4013)*I4013,0)</f>
        <v/>
      </c>
      <c r="AF4013">
        <f>IF(G4013&lt;EDATE(Assumptions!$C$6,-12)+1,"prior_12m","last_12m")</f>
        <v/>
      </c>
      <c r="AG4013" s="21">
        <f>DATE(YEAR(G4013),MONTH(G4013),1)</f>
        <v/>
      </c>
    </row>
    <row r="4014">
      <c r="A4014" t="inlineStr">
        <is>
          <t>SPO-02139-1</t>
        </is>
      </c>
      <c r="B4014" t="inlineStr">
        <is>
          <t>SPO-02139</t>
        </is>
      </c>
      <c r="C4014" t="inlineStr">
        <is>
          <t>SUP-01</t>
        </is>
      </c>
      <c r="D4014" t="inlineStr">
        <is>
          <t>ELEC</t>
        </is>
      </c>
      <c r="E4014" t="inlineStr">
        <is>
          <t>ELEC-06</t>
        </is>
      </c>
      <c r="F4014" s="17" t="n">
        <v>46164</v>
      </c>
      <c r="G4014" s="17" t="n">
        <v>46182</v>
      </c>
      <c r="H4014" s="18" t="n">
        <v>10</v>
      </c>
      <c r="I4014" s="19" t="n">
        <v>150.67</v>
      </c>
      <c r="J4014" s="19" t="n">
        <v>145</v>
      </c>
      <c r="K4014" s="20" t="n">
        <v>0</v>
      </c>
      <c r="L4014" s="20" t="n">
        <v>0</v>
      </c>
      <c r="M4014" s="18" t="n">
        <v>10</v>
      </c>
      <c r="N4014" s="18" t="n">
        <v>0</v>
      </c>
      <c r="O4014" s="18" t="n">
        <v>0</v>
      </c>
      <c r="P4014" s="17" t="n">
        <v>46184</v>
      </c>
      <c r="Q4014" s="17" t="n">
        <v>46184</v>
      </c>
      <c r="R4014" s="17" t="n">
        <v>46184</v>
      </c>
      <c r="S4014" s="19">
        <f>H4014*I4014</f>
        <v/>
      </c>
      <c r="T4014" s="19">
        <f>H4014*J4014</f>
        <v/>
      </c>
      <c r="U4014">
        <f>IF(AND(K4014=0,G4014&lt;=Assumptions!$C$6),1,0)</f>
        <v/>
      </c>
      <c r="V4014">
        <f>IF(U4014=1,IF(M4014&gt;0,IF(P4014&lt;=G4014+Assumptions!$C$7,1,0),0),0)</f>
        <v/>
      </c>
      <c r="W4014">
        <f>IF(AND(U4014=1,M4014&gt;=H4014*(1-Assumptions!$C$8)),1,0)</f>
        <v/>
      </c>
      <c r="X4014">
        <f>IF(AND(U4014=1,N4014&gt;=H4014*(1-Assumptions!$C$8)),1,0)</f>
        <v/>
      </c>
      <c r="Y4014">
        <f>IF(ISNUMBER(Q4014),1,0)</f>
        <v/>
      </c>
      <c r="Z4014">
        <f>IF(AND(K4014=0,L4014=0,Y4014=0),1,0)</f>
        <v/>
      </c>
      <c r="AA4014">
        <f>IF(AND(Z4014=1,G4014&lt;Assumptions!$C$6),1,0)</f>
        <v/>
      </c>
      <c r="AB4014">
        <f>IF(U4014=0,"",IF(Y4014=1,MAX(0,Q4014-G4014),IF(L4014=1,MAX(0,R4014-G4014),MAX(0,Assumptions!$C$6-G4014))))</f>
        <v/>
      </c>
      <c r="AC4014">
        <f>IF(Y4014=1,Q4014-F4014,"")</f>
        <v/>
      </c>
      <c r="AD4014">
        <f>IF(Y4014=1,AC4014^2,"")</f>
        <v/>
      </c>
      <c r="AE4014" s="19">
        <f>IF(Z4014=1,(H4014-M4014)*I4014,0)</f>
        <v/>
      </c>
      <c r="AF4014">
        <f>IF(G4014&lt;EDATE(Assumptions!$C$6,-12)+1,"prior_12m","last_12m")</f>
        <v/>
      </c>
      <c r="AG4014" s="21">
        <f>DATE(YEAR(G4014),MONTH(G4014),1)</f>
        <v/>
      </c>
    </row>
    <row r="4015">
      <c r="A4015" t="inlineStr">
        <is>
          <t>SPO-02140-1</t>
        </is>
      </c>
      <c r="B4015" t="inlineStr">
        <is>
          <t>SPO-02140</t>
        </is>
      </c>
      <c r="C4015" t="inlineStr">
        <is>
          <t>SUP-01</t>
        </is>
      </c>
      <c r="D4015" t="inlineStr">
        <is>
          <t>ELEC</t>
        </is>
      </c>
      <c r="E4015" t="inlineStr">
        <is>
          <t>ELEC-03</t>
        </is>
      </c>
      <c r="F4015" s="17" t="n">
        <v>46165</v>
      </c>
      <c r="G4015" s="17" t="n">
        <v>46183</v>
      </c>
      <c r="H4015" s="18" t="n">
        <v>17</v>
      </c>
      <c r="I4015" s="19" t="n">
        <v>98.95</v>
      </c>
      <c r="J4015" s="19" t="n">
        <v>96</v>
      </c>
      <c r="K4015" s="20" t="n">
        <v>0</v>
      </c>
      <c r="L4015" s="20" t="n">
        <v>0</v>
      </c>
      <c r="M4015" s="18" t="n">
        <v>17</v>
      </c>
      <c r="N4015" s="18" t="n">
        <v>17</v>
      </c>
      <c r="O4015" s="18" t="n">
        <v>0</v>
      </c>
      <c r="P4015" s="17" t="n">
        <v>46177</v>
      </c>
      <c r="Q4015" s="17" t="n">
        <v>46177</v>
      </c>
      <c r="R4015" s="17" t="n">
        <v>46177</v>
      </c>
      <c r="S4015" s="19">
        <f>H4015*I4015</f>
        <v/>
      </c>
      <c r="T4015" s="19">
        <f>H4015*J4015</f>
        <v/>
      </c>
      <c r="U4015">
        <f>IF(AND(K4015=0,G4015&lt;=Assumptions!$C$6),1,0)</f>
        <v/>
      </c>
      <c r="V4015">
        <f>IF(U4015=1,IF(M4015&gt;0,IF(P4015&lt;=G4015+Assumptions!$C$7,1,0),0),0)</f>
        <v/>
      </c>
      <c r="W4015">
        <f>IF(AND(U4015=1,M4015&gt;=H4015*(1-Assumptions!$C$8)),1,0)</f>
        <v/>
      </c>
      <c r="X4015">
        <f>IF(AND(U4015=1,N4015&gt;=H4015*(1-Assumptions!$C$8)),1,0)</f>
        <v/>
      </c>
      <c r="Y4015">
        <f>IF(ISNUMBER(Q4015),1,0)</f>
        <v/>
      </c>
      <c r="Z4015">
        <f>IF(AND(K4015=0,L4015=0,Y4015=0),1,0)</f>
        <v/>
      </c>
      <c r="AA4015">
        <f>IF(AND(Z4015=1,G4015&lt;Assumptions!$C$6),1,0)</f>
        <v/>
      </c>
      <c r="AB4015">
        <f>IF(U4015=0,"",IF(Y4015=1,MAX(0,Q4015-G4015),IF(L4015=1,MAX(0,R4015-G4015),MAX(0,Assumptions!$C$6-G4015))))</f>
        <v/>
      </c>
      <c r="AC4015">
        <f>IF(Y4015=1,Q4015-F4015,"")</f>
        <v/>
      </c>
      <c r="AD4015">
        <f>IF(Y4015=1,AC4015^2,"")</f>
        <v/>
      </c>
      <c r="AE4015" s="19">
        <f>IF(Z4015=1,(H4015-M4015)*I4015,0)</f>
        <v/>
      </c>
      <c r="AF4015">
        <f>IF(G4015&lt;EDATE(Assumptions!$C$6,-12)+1,"prior_12m","last_12m")</f>
        <v/>
      </c>
      <c r="AG4015" s="21">
        <f>DATE(YEAR(G4015),MONTH(G4015),1)</f>
        <v/>
      </c>
    </row>
    <row r="4016">
      <c r="A4016" t="inlineStr">
        <is>
          <t>SPO-02140-2</t>
        </is>
      </c>
      <c r="B4016" t="inlineStr">
        <is>
          <t>SPO-02140</t>
        </is>
      </c>
      <c r="C4016" t="inlineStr">
        <is>
          <t>SUP-01</t>
        </is>
      </c>
      <c r="D4016" t="inlineStr">
        <is>
          <t>ELEC</t>
        </is>
      </c>
      <c r="E4016" t="inlineStr">
        <is>
          <t>ELEC-02</t>
        </is>
      </c>
      <c r="F4016" s="17" t="n">
        <v>46165</v>
      </c>
      <c r="G4016" s="17" t="n">
        <v>46183</v>
      </c>
      <c r="H4016" s="18" t="n">
        <v>367</v>
      </c>
      <c r="I4016" s="19" t="n">
        <v>4.15</v>
      </c>
      <c r="J4016" s="19" t="n">
        <v>4.2</v>
      </c>
      <c r="K4016" s="20" t="n">
        <v>0</v>
      </c>
      <c r="L4016" s="20" t="n">
        <v>0</v>
      </c>
      <c r="M4016" s="18" t="n">
        <v>367</v>
      </c>
      <c r="N4016" s="18" t="n">
        <v>0</v>
      </c>
      <c r="O4016" s="18" t="n">
        <v>0</v>
      </c>
      <c r="P4016" s="17" t="n">
        <v>46186</v>
      </c>
      <c r="Q4016" s="17" t="n">
        <v>46186</v>
      </c>
      <c r="R4016" s="17" t="n">
        <v>46186</v>
      </c>
      <c r="S4016" s="19">
        <f>H4016*I4016</f>
        <v/>
      </c>
      <c r="T4016" s="19">
        <f>H4016*J4016</f>
        <v/>
      </c>
      <c r="U4016">
        <f>IF(AND(K4016=0,G4016&lt;=Assumptions!$C$6),1,0)</f>
        <v/>
      </c>
      <c r="V4016">
        <f>IF(U4016=1,IF(M4016&gt;0,IF(P4016&lt;=G4016+Assumptions!$C$7,1,0),0),0)</f>
        <v/>
      </c>
      <c r="W4016">
        <f>IF(AND(U4016=1,M4016&gt;=H4016*(1-Assumptions!$C$8)),1,0)</f>
        <v/>
      </c>
      <c r="X4016">
        <f>IF(AND(U4016=1,N4016&gt;=H4016*(1-Assumptions!$C$8)),1,0)</f>
        <v/>
      </c>
      <c r="Y4016">
        <f>IF(ISNUMBER(Q4016),1,0)</f>
        <v/>
      </c>
      <c r="Z4016">
        <f>IF(AND(K4016=0,L4016=0,Y4016=0),1,0)</f>
        <v/>
      </c>
      <c r="AA4016">
        <f>IF(AND(Z4016=1,G4016&lt;Assumptions!$C$6),1,0)</f>
        <v/>
      </c>
      <c r="AB4016">
        <f>IF(U4016=0,"",IF(Y4016=1,MAX(0,Q4016-G4016),IF(L4016=1,MAX(0,R4016-G4016),MAX(0,Assumptions!$C$6-G4016))))</f>
        <v/>
      </c>
      <c r="AC4016">
        <f>IF(Y4016=1,Q4016-F4016,"")</f>
        <v/>
      </c>
      <c r="AD4016">
        <f>IF(Y4016=1,AC4016^2,"")</f>
        <v/>
      </c>
      <c r="AE4016" s="19">
        <f>IF(Z4016=1,(H4016-M4016)*I4016,0)</f>
        <v/>
      </c>
      <c r="AF4016">
        <f>IF(G4016&lt;EDATE(Assumptions!$C$6,-12)+1,"prior_12m","last_12m")</f>
        <v/>
      </c>
      <c r="AG4016" s="21">
        <f>DATE(YEAR(G4016),MONTH(G4016),1)</f>
        <v/>
      </c>
    </row>
    <row r="4017">
      <c r="A4017" t="inlineStr">
        <is>
          <t>SPO-02141-1</t>
        </is>
      </c>
      <c r="B4017" t="inlineStr">
        <is>
          <t>SPO-02141</t>
        </is>
      </c>
      <c r="C4017" t="inlineStr">
        <is>
          <t>SUP-04</t>
        </is>
      </c>
      <c r="D4017" t="inlineStr">
        <is>
          <t>FLEET</t>
        </is>
      </c>
      <c r="E4017" t="inlineStr">
        <is>
          <t>FLEET-05</t>
        </is>
      </c>
      <c r="F4017" s="17" t="n">
        <v>46165</v>
      </c>
      <c r="G4017" s="17" t="n">
        <v>46178</v>
      </c>
      <c r="H4017" s="18" t="n">
        <v>7</v>
      </c>
      <c r="I4017" s="19" t="n">
        <v>174.5</v>
      </c>
      <c r="J4017" s="19" t="n">
        <v>168</v>
      </c>
      <c r="K4017" s="20" t="n">
        <v>0</v>
      </c>
      <c r="L4017" s="20" t="n">
        <v>0</v>
      </c>
      <c r="M4017" s="18" t="n">
        <v>7</v>
      </c>
      <c r="N4017" s="18" t="n">
        <v>7</v>
      </c>
      <c r="O4017" s="18" t="n">
        <v>0</v>
      </c>
      <c r="P4017" s="17" t="n">
        <v>46167</v>
      </c>
      <c r="Q4017" s="17" t="n">
        <v>46167</v>
      </c>
      <c r="R4017" s="17" t="n">
        <v>46167</v>
      </c>
      <c r="S4017" s="19">
        <f>H4017*I4017</f>
        <v/>
      </c>
      <c r="T4017" s="19">
        <f>H4017*J4017</f>
        <v/>
      </c>
      <c r="U4017">
        <f>IF(AND(K4017=0,G4017&lt;=Assumptions!$C$6),1,0)</f>
        <v/>
      </c>
      <c r="V4017">
        <f>IF(U4017=1,IF(M4017&gt;0,IF(P4017&lt;=G4017+Assumptions!$C$7,1,0),0),0)</f>
        <v/>
      </c>
      <c r="W4017">
        <f>IF(AND(U4017=1,M4017&gt;=H4017*(1-Assumptions!$C$8)),1,0)</f>
        <v/>
      </c>
      <c r="X4017">
        <f>IF(AND(U4017=1,N4017&gt;=H4017*(1-Assumptions!$C$8)),1,0)</f>
        <v/>
      </c>
      <c r="Y4017">
        <f>IF(ISNUMBER(Q4017),1,0)</f>
        <v/>
      </c>
      <c r="Z4017">
        <f>IF(AND(K4017=0,L4017=0,Y4017=0),1,0)</f>
        <v/>
      </c>
      <c r="AA4017">
        <f>IF(AND(Z4017=1,G4017&lt;Assumptions!$C$6),1,0)</f>
        <v/>
      </c>
      <c r="AB4017">
        <f>IF(U4017=0,"",IF(Y4017=1,MAX(0,Q4017-G4017),IF(L4017=1,MAX(0,R4017-G4017),MAX(0,Assumptions!$C$6-G4017))))</f>
        <v/>
      </c>
      <c r="AC4017">
        <f>IF(Y4017=1,Q4017-F4017,"")</f>
        <v/>
      </c>
      <c r="AD4017">
        <f>IF(Y4017=1,AC4017^2,"")</f>
        <v/>
      </c>
      <c r="AE4017" s="19">
        <f>IF(Z4017=1,(H4017-M4017)*I4017,0)</f>
        <v/>
      </c>
      <c r="AF4017">
        <f>IF(G4017&lt;EDATE(Assumptions!$C$6,-12)+1,"prior_12m","last_12m")</f>
        <v/>
      </c>
      <c r="AG4017" s="21">
        <f>DATE(YEAR(G4017),MONTH(G4017),1)</f>
        <v/>
      </c>
    </row>
    <row r="4018">
      <c r="A4018" t="inlineStr">
        <is>
          <t>SPO-02141-2</t>
        </is>
      </c>
      <c r="B4018" t="inlineStr">
        <is>
          <t>SPO-02141</t>
        </is>
      </c>
      <c r="C4018" t="inlineStr">
        <is>
          <t>SUP-04</t>
        </is>
      </c>
      <c r="D4018" t="inlineStr">
        <is>
          <t>FLEET</t>
        </is>
      </c>
      <c r="E4018" t="inlineStr">
        <is>
          <t>FLEET-04</t>
        </is>
      </c>
      <c r="F4018" s="17" t="n">
        <v>46165</v>
      </c>
      <c r="G4018" s="17" t="n">
        <v>46178</v>
      </c>
      <c r="H4018" s="18" t="n">
        <v>261</v>
      </c>
      <c r="I4018" s="19" t="n">
        <v>8.609999999999999</v>
      </c>
      <c r="J4018" s="19" t="n">
        <v>9</v>
      </c>
      <c r="K4018" s="20" t="n">
        <v>0</v>
      </c>
      <c r="L4018" s="20" t="n">
        <v>0</v>
      </c>
      <c r="M4018" s="18" t="n">
        <v>261</v>
      </c>
      <c r="N4018" s="18" t="n">
        <v>0</v>
      </c>
      <c r="O4018" s="18" t="n">
        <v>0</v>
      </c>
      <c r="P4018" s="17" t="n">
        <v>46184</v>
      </c>
      <c r="Q4018" s="17" t="n">
        <v>46184</v>
      </c>
      <c r="R4018" s="17" t="n">
        <v>46184</v>
      </c>
      <c r="S4018" s="19">
        <f>H4018*I4018</f>
        <v/>
      </c>
      <c r="T4018" s="19">
        <f>H4018*J4018</f>
        <v/>
      </c>
      <c r="U4018">
        <f>IF(AND(K4018=0,G4018&lt;=Assumptions!$C$6),1,0)</f>
        <v/>
      </c>
      <c r="V4018">
        <f>IF(U4018=1,IF(M4018&gt;0,IF(P4018&lt;=G4018+Assumptions!$C$7,1,0),0),0)</f>
        <v/>
      </c>
      <c r="W4018">
        <f>IF(AND(U4018=1,M4018&gt;=H4018*(1-Assumptions!$C$8)),1,0)</f>
        <v/>
      </c>
      <c r="X4018">
        <f>IF(AND(U4018=1,N4018&gt;=H4018*(1-Assumptions!$C$8)),1,0)</f>
        <v/>
      </c>
      <c r="Y4018">
        <f>IF(ISNUMBER(Q4018),1,0)</f>
        <v/>
      </c>
      <c r="Z4018">
        <f>IF(AND(K4018=0,L4018=0,Y4018=0),1,0)</f>
        <v/>
      </c>
      <c r="AA4018">
        <f>IF(AND(Z4018=1,G4018&lt;Assumptions!$C$6),1,0)</f>
        <v/>
      </c>
      <c r="AB4018">
        <f>IF(U4018=0,"",IF(Y4018=1,MAX(0,Q4018-G4018),IF(L4018=1,MAX(0,R4018-G4018),MAX(0,Assumptions!$C$6-G4018))))</f>
        <v/>
      </c>
      <c r="AC4018">
        <f>IF(Y4018=1,Q4018-F4018,"")</f>
        <v/>
      </c>
      <c r="AD4018">
        <f>IF(Y4018=1,AC4018^2,"")</f>
        <v/>
      </c>
      <c r="AE4018" s="19">
        <f>IF(Z4018=1,(H4018-M4018)*I4018,0)</f>
        <v/>
      </c>
      <c r="AF4018">
        <f>IF(G4018&lt;EDATE(Assumptions!$C$6,-12)+1,"prior_12m","last_12m")</f>
        <v/>
      </c>
      <c r="AG4018" s="21">
        <f>DATE(YEAR(G4018),MONTH(G4018),1)</f>
        <v/>
      </c>
    </row>
    <row r="4019">
      <c r="A4019" t="inlineStr">
        <is>
          <t>SPO-02142-1</t>
        </is>
      </c>
      <c r="B4019" t="inlineStr">
        <is>
          <t>SPO-02142</t>
        </is>
      </c>
      <c r="C4019" t="inlineStr">
        <is>
          <t>SUP-02</t>
        </is>
      </c>
      <c r="D4019" t="inlineStr">
        <is>
          <t>ELEC</t>
        </is>
      </c>
      <c r="E4019" t="inlineStr">
        <is>
          <t>ELEC-01</t>
        </is>
      </c>
      <c r="F4019" s="17" t="n">
        <v>46165</v>
      </c>
      <c r="G4019" s="17" t="n">
        <v>46181</v>
      </c>
      <c r="H4019" s="18" t="n">
        <v>160</v>
      </c>
      <c r="I4019" s="19" t="n">
        <v>37.86</v>
      </c>
      <c r="J4019" s="19" t="n">
        <v>38</v>
      </c>
      <c r="K4019" s="20" t="n">
        <v>0</v>
      </c>
      <c r="L4019" s="20" t="n">
        <v>0</v>
      </c>
      <c r="M4019" s="18" t="n">
        <v>160</v>
      </c>
      <c r="N4019" s="18" t="n">
        <v>160</v>
      </c>
      <c r="O4019" s="18" t="n">
        <v>0</v>
      </c>
      <c r="P4019" s="17" t="n">
        <v>46178</v>
      </c>
      <c r="Q4019" s="17" t="n">
        <v>46178</v>
      </c>
      <c r="R4019" s="17" t="n">
        <v>46178</v>
      </c>
      <c r="S4019" s="19">
        <f>H4019*I4019</f>
        <v/>
      </c>
      <c r="T4019" s="19">
        <f>H4019*J4019</f>
        <v/>
      </c>
      <c r="U4019">
        <f>IF(AND(K4019=0,G4019&lt;=Assumptions!$C$6),1,0)</f>
        <v/>
      </c>
      <c r="V4019">
        <f>IF(U4019=1,IF(M4019&gt;0,IF(P4019&lt;=G4019+Assumptions!$C$7,1,0),0),0)</f>
        <v/>
      </c>
      <c r="W4019">
        <f>IF(AND(U4019=1,M4019&gt;=H4019*(1-Assumptions!$C$8)),1,0)</f>
        <v/>
      </c>
      <c r="X4019">
        <f>IF(AND(U4019=1,N4019&gt;=H4019*(1-Assumptions!$C$8)),1,0)</f>
        <v/>
      </c>
      <c r="Y4019">
        <f>IF(ISNUMBER(Q4019),1,0)</f>
        <v/>
      </c>
      <c r="Z4019">
        <f>IF(AND(K4019=0,L4019=0,Y4019=0),1,0)</f>
        <v/>
      </c>
      <c r="AA4019">
        <f>IF(AND(Z4019=1,G4019&lt;Assumptions!$C$6),1,0)</f>
        <v/>
      </c>
      <c r="AB4019">
        <f>IF(U4019=0,"",IF(Y4019=1,MAX(0,Q4019-G4019),IF(L4019=1,MAX(0,R4019-G4019),MAX(0,Assumptions!$C$6-G4019))))</f>
        <v/>
      </c>
      <c r="AC4019">
        <f>IF(Y4019=1,Q4019-F4019,"")</f>
        <v/>
      </c>
      <c r="AD4019">
        <f>IF(Y4019=1,AC4019^2,"")</f>
        <v/>
      </c>
      <c r="AE4019" s="19">
        <f>IF(Z4019=1,(H4019-M4019)*I4019,0)</f>
        <v/>
      </c>
      <c r="AF4019">
        <f>IF(G4019&lt;EDATE(Assumptions!$C$6,-12)+1,"prior_12m","last_12m")</f>
        <v/>
      </c>
      <c r="AG4019" s="21">
        <f>DATE(YEAR(G4019),MONTH(G4019),1)</f>
        <v/>
      </c>
    </row>
    <row r="4020">
      <c r="A4020" t="inlineStr">
        <is>
          <t>SPO-02142-2</t>
        </is>
      </c>
      <c r="B4020" t="inlineStr">
        <is>
          <t>SPO-02142</t>
        </is>
      </c>
      <c r="C4020" t="inlineStr">
        <is>
          <t>SUP-02</t>
        </is>
      </c>
      <c r="D4020" t="inlineStr">
        <is>
          <t>ELEC</t>
        </is>
      </c>
      <c r="E4020" t="inlineStr">
        <is>
          <t>ELEC-06</t>
        </is>
      </c>
      <c r="F4020" s="17" t="n">
        <v>46165</v>
      </c>
      <c r="G4020" s="17" t="n">
        <v>46181</v>
      </c>
      <c r="H4020" s="18" t="n">
        <v>8</v>
      </c>
      <c r="I4020" s="19" t="n">
        <v>142.55</v>
      </c>
      <c r="J4020" s="19" t="n">
        <v>145</v>
      </c>
      <c r="K4020" s="20" t="n">
        <v>0</v>
      </c>
      <c r="L4020" s="20" t="n">
        <v>0</v>
      </c>
      <c r="M4020" s="18" t="n">
        <v>8</v>
      </c>
      <c r="N4020" s="18" t="n">
        <v>8</v>
      </c>
      <c r="O4020" s="18" t="n">
        <v>0</v>
      </c>
      <c r="P4020" s="17" t="n">
        <v>46177</v>
      </c>
      <c r="Q4020" s="17" t="n">
        <v>46177</v>
      </c>
      <c r="R4020" s="17" t="n">
        <v>46177</v>
      </c>
      <c r="S4020" s="19">
        <f>H4020*I4020</f>
        <v/>
      </c>
      <c r="T4020" s="19">
        <f>H4020*J4020</f>
        <v/>
      </c>
      <c r="U4020">
        <f>IF(AND(K4020=0,G4020&lt;=Assumptions!$C$6),1,0)</f>
        <v/>
      </c>
      <c r="V4020">
        <f>IF(U4020=1,IF(M4020&gt;0,IF(P4020&lt;=G4020+Assumptions!$C$7,1,0),0),0)</f>
        <v/>
      </c>
      <c r="W4020">
        <f>IF(AND(U4020=1,M4020&gt;=H4020*(1-Assumptions!$C$8)),1,0)</f>
        <v/>
      </c>
      <c r="X4020">
        <f>IF(AND(U4020=1,N4020&gt;=H4020*(1-Assumptions!$C$8)),1,0)</f>
        <v/>
      </c>
      <c r="Y4020">
        <f>IF(ISNUMBER(Q4020),1,0)</f>
        <v/>
      </c>
      <c r="Z4020">
        <f>IF(AND(K4020=0,L4020=0,Y4020=0),1,0)</f>
        <v/>
      </c>
      <c r="AA4020">
        <f>IF(AND(Z4020=1,G4020&lt;Assumptions!$C$6),1,0)</f>
        <v/>
      </c>
      <c r="AB4020">
        <f>IF(U4020=0,"",IF(Y4020=1,MAX(0,Q4020-G4020),IF(L4020=1,MAX(0,R4020-G4020),MAX(0,Assumptions!$C$6-G4020))))</f>
        <v/>
      </c>
      <c r="AC4020">
        <f>IF(Y4020=1,Q4020-F4020,"")</f>
        <v/>
      </c>
      <c r="AD4020">
        <f>IF(Y4020=1,AC4020^2,"")</f>
        <v/>
      </c>
      <c r="AE4020" s="19">
        <f>IF(Z4020=1,(H4020-M4020)*I4020,0)</f>
        <v/>
      </c>
      <c r="AF4020">
        <f>IF(G4020&lt;EDATE(Assumptions!$C$6,-12)+1,"prior_12m","last_12m")</f>
        <v/>
      </c>
      <c r="AG4020" s="21">
        <f>DATE(YEAR(G4020),MONTH(G4020),1)</f>
        <v/>
      </c>
    </row>
    <row r="4021">
      <c r="A4021" t="inlineStr">
        <is>
          <t>SPO-02142-3</t>
        </is>
      </c>
      <c r="B4021" t="inlineStr">
        <is>
          <t>SPO-02142</t>
        </is>
      </c>
      <c r="C4021" t="inlineStr">
        <is>
          <t>SUP-02</t>
        </is>
      </c>
      <c r="D4021" t="inlineStr">
        <is>
          <t>ELEC</t>
        </is>
      </c>
      <c r="E4021" t="inlineStr">
        <is>
          <t>ELEC-02</t>
        </is>
      </c>
      <c r="F4021" s="17" t="n">
        <v>46165</v>
      </c>
      <c r="G4021" s="17" t="n">
        <v>46181</v>
      </c>
      <c r="H4021" s="18" t="n">
        <v>471</v>
      </c>
      <c r="I4021" s="19" t="n">
        <v>4.06</v>
      </c>
      <c r="J4021" s="19" t="n">
        <v>4.2</v>
      </c>
      <c r="K4021" s="20" t="n">
        <v>0</v>
      </c>
      <c r="L4021" s="20" t="n">
        <v>0</v>
      </c>
      <c r="M4021" s="18" t="n">
        <v>471</v>
      </c>
      <c r="N4021" s="18" t="n">
        <v>471</v>
      </c>
      <c r="O4021" s="18" t="n">
        <v>0</v>
      </c>
      <c r="P4021" s="17" t="n">
        <v>46175</v>
      </c>
      <c r="Q4021" s="17" t="n">
        <v>46175</v>
      </c>
      <c r="R4021" s="17" t="n">
        <v>46175</v>
      </c>
      <c r="S4021" s="19">
        <f>H4021*I4021</f>
        <v/>
      </c>
      <c r="T4021" s="19">
        <f>H4021*J4021</f>
        <v/>
      </c>
      <c r="U4021">
        <f>IF(AND(K4021=0,G4021&lt;=Assumptions!$C$6),1,0)</f>
        <v/>
      </c>
      <c r="V4021">
        <f>IF(U4021=1,IF(M4021&gt;0,IF(P4021&lt;=G4021+Assumptions!$C$7,1,0),0),0)</f>
        <v/>
      </c>
      <c r="W4021">
        <f>IF(AND(U4021=1,M4021&gt;=H4021*(1-Assumptions!$C$8)),1,0)</f>
        <v/>
      </c>
      <c r="X4021">
        <f>IF(AND(U4021=1,N4021&gt;=H4021*(1-Assumptions!$C$8)),1,0)</f>
        <v/>
      </c>
      <c r="Y4021">
        <f>IF(ISNUMBER(Q4021),1,0)</f>
        <v/>
      </c>
      <c r="Z4021">
        <f>IF(AND(K4021=0,L4021=0,Y4021=0),1,0)</f>
        <v/>
      </c>
      <c r="AA4021">
        <f>IF(AND(Z4021=1,G4021&lt;Assumptions!$C$6),1,0)</f>
        <v/>
      </c>
      <c r="AB4021">
        <f>IF(U4021=0,"",IF(Y4021=1,MAX(0,Q4021-G4021),IF(L4021=1,MAX(0,R4021-G4021),MAX(0,Assumptions!$C$6-G4021))))</f>
        <v/>
      </c>
      <c r="AC4021">
        <f>IF(Y4021=1,Q4021-F4021,"")</f>
        <v/>
      </c>
      <c r="AD4021">
        <f>IF(Y4021=1,AC4021^2,"")</f>
        <v/>
      </c>
      <c r="AE4021" s="19">
        <f>IF(Z4021=1,(H4021-M4021)*I4021,0)</f>
        <v/>
      </c>
      <c r="AF4021">
        <f>IF(G4021&lt;EDATE(Assumptions!$C$6,-12)+1,"prior_12m","last_12m")</f>
        <v/>
      </c>
      <c r="AG4021" s="21">
        <f>DATE(YEAR(G4021),MONTH(G4021),1)</f>
        <v/>
      </c>
    </row>
    <row r="4022">
      <c r="A4022" t="inlineStr">
        <is>
          <t>SPO-02142-4</t>
        </is>
      </c>
      <c r="B4022" t="inlineStr">
        <is>
          <t>SPO-02142</t>
        </is>
      </c>
      <c r="C4022" t="inlineStr">
        <is>
          <t>SUP-02</t>
        </is>
      </c>
      <c r="D4022" t="inlineStr">
        <is>
          <t>ELEC</t>
        </is>
      </c>
      <c r="E4022" t="inlineStr">
        <is>
          <t>ELEC-07</t>
        </is>
      </c>
      <c r="F4022" s="17" t="n">
        <v>46165</v>
      </c>
      <c r="G4022" s="17" t="n">
        <v>46181</v>
      </c>
      <c r="H4022" s="18" t="n">
        <v>129</v>
      </c>
      <c r="I4022" s="19" t="n">
        <v>9.49</v>
      </c>
      <c r="J4022" s="19" t="n">
        <v>9.800000000000001</v>
      </c>
      <c r="K4022" s="20" t="n">
        <v>0</v>
      </c>
      <c r="L4022" s="20" t="n">
        <v>0</v>
      </c>
      <c r="M4022" s="18" t="n">
        <v>129</v>
      </c>
      <c r="N4022" s="18" t="n">
        <v>129</v>
      </c>
      <c r="O4022" s="18" t="n">
        <v>0</v>
      </c>
      <c r="P4022" s="17" t="n">
        <v>46180</v>
      </c>
      <c r="Q4022" s="17" t="n">
        <v>46180</v>
      </c>
      <c r="R4022" s="17" t="n">
        <v>46180</v>
      </c>
      <c r="S4022" s="19">
        <f>H4022*I4022</f>
        <v/>
      </c>
      <c r="T4022" s="19">
        <f>H4022*J4022</f>
        <v/>
      </c>
      <c r="U4022">
        <f>IF(AND(K4022=0,G4022&lt;=Assumptions!$C$6),1,0)</f>
        <v/>
      </c>
      <c r="V4022">
        <f>IF(U4022=1,IF(M4022&gt;0,IF(P4022&lt;=G4022+Assumptions!$C$7,1,0),0),0)</f>
        <v/>
      </c>
      <c r="W4022">
        <f>IF(AND(U4022=1,M4022&gt;=H4022*(1-Assumptions!$C$8)),1,0)</f>
        <v/>
      </c>
      <c r="X4022">
        <f>IF(AND(U4022=1,N4022&gt;=H4022*(1-Assumptions!$C$8)),1,0)</f>
        <v/>
      </c>
      <c r="Y4022">
        <f>IF(ISNUMBER(Q4022),1,0)</f>
        <v/>
      </c>
      <c r="Z4022">
        <f>IF(AND(K4022=0,L4022=0,Y4022=0),1,0)</f>
        <v/>
      </c>
      <c r="AA4022">
        <f>IF(AND(Z4022=1,G4022&lt;Assumptions!$C$6),1,0)</f>
        <v/>
      </c>
      <c r="AB4022">
        <f>IF(U4022=0,"",IF(Y4022=1,MAX(0,Q4022-G4022),IF(L4022=1,MAX(0,R4022-G4022),MAX(0,Assumptions!$C$6-G4022))))</f>
        <v/>
      </c>
      <c r="AC4022">
        <f>IF(Y4022=1,Q4022-F4022,"")</f>
        <v/>
      </c>
      <c r="AD4022">
        <f>IF(Y4022=1,AC4022^2,"")</f>
        <v/>
      </c>
      <c r="AE4022" s="19">
        <f>IF(Z4022=1,(H4022-M4022)*I4022,0)</f>
        <v/>
      </c>
      <c r="AF4022">
        <f>IF(G4022&lt;EDATE(Assumptions!$C$6,-12)+1,"prior_12m","last_12m")</f>
        <v/>
      </c>
      <c r="AG4022" s="21">
        <f>DATE(YEAR(G4022),MONTH(G4022),1)</f>
        <v/>
      </c>
    </row>
    <row r="4023">
      <c r="A4023" t="inlineStr">
        <is>
          <t>SPO-02143-1</t>
        </is>
      </c>
      <c r="B4023" t="inlineStr">
        <is>
          <t>SPO-02143</t>
        </is>
      </c>
      <c r="C4023" t="inlineStr">
        <is>
          <t>SUP-12</t>
        </is>
      </c>
      <c r="D4023" t="inlineStr">
        <is>
          <t>IT</t>
        </is>
      </c>
      <c r="E4023" t="inlineStr">
        <is>
          <t>IT-02</t>
        </is>
      </c>
      <c r="F4023" s="17" t="n">
        <v>46165</v>
      </c>
      <c r="G4023" s="17" t="n">
        <v>46175</v>
      </c>
      <c r="H4023" s="18" t="n">
        <v>9</v>
      </c>
      <c r="I4023" s="19" t="n">
        <v>196.64</v>
      </c>
      <c r="J4023" s="19" t="n">
        <v>162</v>
      </c>
      <c r="K4023" s="20" t="n">
        <v>0</v>
      </c>
      <c r="L4023" s="20" t="n">
        <v>0</v>
      </c>
      <c r="M4023" s="18" t="n">
        <v>9</v>
      </c>
      <c r="N4023" s="18" t="n">
        <v>9</v>
      </c>
      <c r="O4023" s="18" t="n">
        <v>3</v>
      </c>
      <c r="P4023" s="17" t="n">
        <v>46170</v>
      </c>
      <c r="Q4023" s="17" t="n">
        <v>46170</v>
      </c>
      <c r="R4023" s="17" t="n">
        <v>46170</v>
      </c>
      <c r="S4023" s="19">
        <f>H4023*I4023</f>
        <v/>
      </c>
      <c r="T4023" s="19">
        <f>H4023*J4023</f>
        <v/>
      </c>
      <c r="U4023">
        <f>IF(AND(K4023=0,G4023&lt;=Assumptions!$C$6),1,0)</f>
        <v/>
      </c>
      <c r="V4023">
        <f>IF(U4023=1,IF(M4023&gt;0,IF(P4023&lt;=G4023+Assumptions!$C$7,1,0),0),0)</f>
        <v/>
      </c>
      <c r="W4023">
        <f>IF(AND(U4023=1,M4023&gt;=H4023*(1-Assumptions!$C$8)),1,0)</f>
        <v/>
      </c>
      <c r="X4023">
        <f>IF(AND(U4023=1,N4023&gt;=H4023*(1-Assumptions!$C$8)),1,0)</f>
        <v/>
      </c>
      <c r="Y4023">
        <f>IF(ISNUMBER(Q4023),1,0)</f>
        <v/>
      </c>
      <c r="Z4023">
        <f>IF(AND(K4023=0,L4023=0,Y4023=0),1,0)</f>
        <v/>
      </c>
      <c r="AA4023">
        <f>IF(AND(Z4023=1,G4023&lt;Assumptions!$C$6),1,0)</f>
        <v/>
      </c>
      <c r="AB4023">
        <f>IF(U4023=0,"",IF(Y4023=1,MAX(0,Q4023-G4023),IF(L4023=1,MAX(0,R4023-G4023),MAX(0,Assumptions!$C$6-G4023))))</f>
        <v/>
      </c>
      <c r="AC4023">
        <f>IF(Y4023=1,Q4023-F4023,"")</f>
        <v/>
      </c>
      <c r="AD4023">
        <f>IF(Y4023=1,AC4023^2,"")</f>
        <v/>
      </c>
      <c r="AE4023" s="19">
        <f>IF(Z4023=1,(H4023-M4023)*I4023,0)</f>
        <v/>
      </c>
      <c r="AF4023">
        <f>IF(G4023&lt;EDATE(Assumptions!$C$6,-12)+1,"prior_12m","last_12m")</f>
        <v/>
      </c>
      <c r="AG4023" s="21">
        <f>DATE(YEAR(G4023),MONTH(G4023),1)</f>
        <v/>
      </c>
    </row>
    <row r="4024">
      <c r="A4024" t="inlineStr">
        <is>
          <t>SPO-02144-1</t>
        </is>
      </c>
      <c r="B4024" t="inlineStr">
        <is>
          <t>SPO-02144</t>
        </is>
      </c>
      <c r="C4024" t="inlineStr">
        <is>
          <t>SUP-10</t>
        </is>
      </c>
      <c r="D4024" t="inlineStr">
        <is>
          <t>PPE</t>
        </is>
      </c>
      <c r="E4024" t="inlineStr">
        <is>
          <t>PPE-07</t>
        </is>
      </c>
      <c r="F4024" s="17" t="n">
        <v>46165</v>
      </c>
      <c r="G4024" s="17" t="n">
        <v>46178</v>
      </c>
      <c r="H4024" s="18" t="n">
        <v>30</v>
      </c>
      <c r="I4024" s="19" t="n">
        <v>29.92</v>
      </c>
      <c r="J4024" s="19" t="n">
        <v>31</v>
      </c>
      <c r="K4024" s="20" t="n">
        <v>0</v>
      </c>
      <c r="L4024" s="20" t="n">
        <v>0</v>
      </c>
      <c r="M4024" s="18" t="n">
        <v>30</v>
      </c>
      <c r="N4024" s="18" t="n">
        <v>30</v>
      </c>
      <c r="O4024" s="18" t="n">
        <v>0</v>
      </c>
      <c r="P4024" s="17" t="n">
        <v>46174</v>
      </c>
      <c r="Q4024" s="17" t="n">
        <v>46174</v>
      </c>
      <c r="R4024" s="17" t="n">
        <v>46174</v>
      </c>
      <c r="S4024" s="19">
        <f>H4024*I4024</f>
        <v/>
      </c>
      <c r="T4024" s="19">
        <f>H4024*J4024</f>
        <v/>
      </c>
      <c r="U4024">
        <f>IF(AND(K4024=0,G4024&lt;=Assumptions!$C$6),1,0)</f>
        <v/>
      </c>
      <c r="V4024">
        <f>IF(U4024=1,IF(M4024&gt;0,IF(P4024&lt;=G4024+Assumptions!$C$7,1,0),0),0)</f>
        <v/>
      </c>
      <c r="W4024">
        <f>IF(AND(U4024=1,M4024&gt;=H4024*(1-Assumptions!$C$8)),1,0)</f>
        <v/>
      </c>
      <c r="X4024">
        <f>IF(AND(U4024=1,N4024&gt;=H4024*(1-Assumptions!$C$8)),1,0)</f>
        <v/>
      </c>
      <c r="Y4024">
        <f>IF(ISNUMBER(Q4024),1,0)</f>
        <v/>
      </c>
      <c r="Z4024">
        <f>IF(AND(K4024=0,L4024=0,Y4024=0),1,0)</f>
        <v/>
      </c>
      <c r="AA4024">
        <f>IF(AND(Z4024=1,G4024&lt;Assumptions!$C$6),1,0)</f>
        <v/>
      </c>
      <c r="AB4024">
        <f>IF(U4024=0,"",IF(Y4024=1,MAX(0,Q4024-G4024),IF(L4024=1,MAX(0,R4024-G4024),MAX(0,Assumptions!$C$6-G4024))))</f>
        <v/>
      </c>
      <c r="AC4024">
        <f>IF(Y4024=1,Q4024-F4024,"")</f>
        <v/>
      </c>
      <c r="AD4024">
        <f>IF(Y4024=1,AC4024^2,"")</f>
        <v/>
      </c>
      <c r="AE4024" s="19">
        <f>IF(Z4024=1,(H4024-M4024)*I4024,0)</f>
        <v/>
      </c>
      <c r="AF4024">
        <f>IF(G4024&lt;EDATE(Assumptions!$C$6,-12)+1,"prior_12m","last_12m")</f>
        <v/>
      </c>
      <c r="AG4024" s="21">
        <f>DATE(YEAR(G4024),MONTH(G4024),1)</f>
        <v/>
      </c>
    </row>
    <row r="4025">
      <c r="A4025" t="inlineStr">
        <is>
          <t>SPO-02144-2</t>
        </is>
      </c>
      <c r="B4025" t="inlineStr">
        <is>
          <t>SPO-02144</t>
        </is>
      </c>
      <c r="C4025" t="inlineStr">
        <is>
          <t>SUP-10</t>
        </is>
      </c>
      <c r="D4025" t="inlineStr">
        <is>
          <t>PPE</t>
        </is>
      </c>
      <c r="E4025" t="inlineStr">
        <is>
          <t>PPE-01</t>
        </is>
      </c>
      <c r="F4025" s="17" t="n">
        <v>46165</v>
      </c>
      <c r="G4025" s="17" t="n">
        <v>46178</v>
      </c>
      <c r="H4025" s="18" t="n">
        <v>153</v>
      </c>
      <c r="I4025" s="19" t="n">
        <v>4.74</v>
      </c>
      <c r="J4025" s="19" t="n">
        <v>4.8</v>
      </c>
      <c r="K4025" s="20" t="n">
        <v>0</v>
      </c>
      <c r="L4025" s="20" t="n">
        <v>0</v>
      </c>
      <c r="M4025" s="18" t="n">
        <v>153</v>
      </c>
      <c r="N4025" s="18" t="n">
        <v>153</v>
      </c>
      <c r="O4025" s="18" t="n">
        <v>0</v>
      </c>
      <c r="P4025" s="17" t="n">
        <v>46174</v>
      </c>
      <c r="Q4025" s="17" t="n">
        <v>46174</v>
      </c>
      <c r="R4025" s="17" t="n">
        <v>46174</v>
      </c>
      <c r="S4025" s="19">
        <f>H4025*I4025</f>
        <v/>
      </c>
      <c r="T4025" s="19">
        <f>H4025*J4025</f>
        <v/>
      </c>
      <c r="U4025">
        <f>IF(AND(K4025=0,G4025&lt;=Assumptions!$C$6),1,0)</f>
        <v/>
      </c>
      <c r="V4025">
        <f>IF(U4025=1,IF(M4025&gt;0,IF(P4025&lt;=G4025+Assumptions!$C$7,1,0),0),0)</f>
        <v/>
      </c>
      <c r="W4025">
        <f>IF(AND(U4025=1,M4025&gt;=H4025*(1-Assumptions!$C$8)),1,0)</f>
        <v/>
      </c>
      <c r="X4025">
        <f>IF(AND(U4025=1,N4025&gt;=H4025*(1-Assumptions!$C$8)),1,0)</f>
        <v/>
      </c>
      <c r="Y4025">
        <f>IF(ISNUMBER(Q4025),1,0)</f>
        <v/>
      </c>
      <c r="Z4025">
        <f>IF(AND(K4025=0,L4025=0,Y4025=0),1,0)</f>
        <v/>
      </c>
      <c r="AA4025">
        <f>IF(AND(Z4025=1,G4025&lt;Assumptions!$C$6),1,0)</f>
        <v/>
      </c>
      <c r="AB4025">
        <f>IF(U4025=0,"",IF(Y4025=1,MAX(0,Q4025-G4025),IF(L4025=1,MAX(0,R4025-G4025),MAX(0,Assumptions!$C$6-G4025))))</f>
        <v/>
      </c>
      <c r="AC4025">
        <f>IF(Y4025=1,Q4025-F4025,"")</f>
        <v/>
      </c>
      <c r="AD4025">
        <f>IF(Y4025=1,AC4025^2,"")</f>
        <v/>
      </c>
      <c r="AE4025" s="19">
        <f>IF(Z4025=1,(H4025-M4025)*I4025,0)</f>
        <v/>
      </c>
      <c r="AF4025">
        <f>IF(G4025&lt;EDATE(Assumptions!$C$6,-12)+1,"prior_12m","last_12m")</f>
        <v/>
      </c>
      <c r="AG4025" s="21">
        <f>DATE(YEAR(G4025),MONTH(G4025),1)</f>
        <v/>
      </c>
    </row>
    <row r="4026">
      <c r="A4026" t="inlineStr">
        <is>
          <t>SPO-02144-3</t>
        </is>
      </c>
      <c r="B4026" t="inlineStr">
        <is>
          <t>SPO-02144</t>
        </is>
      </c>
      <c r="C4026" t="inlineStr">
        <is>
          <t>SUP-10</t>
        </is>
      </c>
      <c r="D4026" t="inlineStr">
        <is>
          <t>PPE</t>
        </is>
      </c>
      <c r="E4026" t="inlineStr">
        <is>
          <t>PPE-04</t>
        </is>
      </c>
      <c r="F4026" s="17" t="n">
        <v>46165</v>
      </c>
      <c r="G4026" s="17" t="n">
        <v>46178</v>
      </c>
      <c r="H4026" s="18" t="n">
        <v>83</v>
      </c>
      <c r="I4026" s="19" t="n">
        <v>25.09</v>
      </c>
      <c r="J4026" s="19" t="n">
        <v>26</v>
      </c>
      <c r="K4026" s="20" t="n">
        <v>0</v>
      </c>
      <c r="L4026" s="20" t="n">
        <v>0</v>
      </c>
      <c r="M4026" s="18" t="n">
        <v>83</v>
      </c>
      <c r="N4026" s="18" t="n">
        <v>83</v>
      </c>
      <c r="O4026" s="18" t="n">
        <v>0</v>
      </c>
      <c r="P4026" s="17" t="n">
        <v>46178</v>
      </c>
      <c r="Q4026" s="17" t="n">
        <v>46178</v>
      </c>
      <c r="R4026" s="17" t="n">
        <v>46178</v>
      </c>
      <c r="S4026" s="19">
        <f>H4026*I4026</f>
        <v/>
      </c>
      <c r="T4026" s="19">
        <f>H4026*J4026</f>
        <v/>
      </c>
      <c r="U4026">
        <f>IF(AND(K4026=0,G4026&lt;=Assumptions!$C$6),1,0)</f>
        <v/>
      </c>
      <c r="V4026">
        <f>IF(U4026=1,IF(M4026&gt;0,IF(P4026&lt;=G4026+Assumptions!$C$7,1,0),0),0)</f>
        <v/>
      </c>
      <c r="W4026">
        <f>IF(AND(U4026=1,M4026&gt;=H4026*(1-Assumptions!$C$8)),1,0)</f>
        <v/>
      </c>
      <c r="X4026">
        <f>IF(AND(U4026=1,N4026&gt;=H4026*(1-Assumptions!$C$8)),1,0)</f>
        <v/>
      </c>
      <c r="Y4026">
        <f>IF(ISNUMBER(Q4026),1,0)</f>
        <v/>
      </c>
      <c r="Z4026">
        <f>IF(AND(K4026=0,L4026=0,Y4026=0),1,0)</f>
        <v/>
      </c>
      <c r="AA4026">
        <f>IF(AND(Z4026=1,G4026&lt;Assumptions!$C$6),1,0)</f>
        <v/>
      </c>
      <c r="AB4026">
        <f>IF(U4026=0,"",IF(Y4026=1,MAX(0,Q4026-G4026),IF(L4026=1,MAX(0,R4026-G4026),MAX(0,Assumptions!$C$6-G4026))))</f>
        <v/>
      </c>
      <c r="AC4026">
        <f>IF(Y4026=1,Q4026-F4026,"")</f>
        <v/>
      </c>
      <c r="AD4026">
        <f>IF(Y4026=1,AC4026^2,"")</f>
        <v/>
      </c>
      <c r="AE4026" s="19">
        <f>IF(Z4026=1,(H4026-M4026)*I4026,0)</f>
        <v/>
      </c>
      <c r="AF4026">
        <f>IF(G4026&lt;EDATE(Assumptions!$C$6,-12)+1,"prior_12m","last_12m")</f>
        <v/>
      </c>
      <c r="AG4026" s="21">
        <f>DATE(YEAR(G4026),MONTH(G4026),1)</f>
        <v/>
      </c>
    </row>
    <row r="4027">
      <c r="A4027" t="inlineStr">
        <is>
          <t>SPO-02145-1</t>
        </is>
      </c>
      <c r="B4027" t="inlineStr">
        <is>
          <t>SPO-02145</t>
        </is>
      </c>
      <c r="C4027" t="inlineStr">
        <is>
          <t>SUP-01</t>
        </is>
      </c>
      <c r="D4027" t="inlineStr">
        <is>
          <t>ELEC</t>
        </is>
      </c>
      <c r="E4027" t="inlineStr">
        <is>
          <t>ELEC-07</t>
        </is>
      </c>
      <c r="F4027" s="17" t="n">
        <v>46166</v>
      </c>
      <c r="G4027" s="17" t="n">
        <v>46184</v>
      </c>
      <c r="H4027" s="18" t="n">
        <v>213</v>
      </c>
      <c r="I4027" s="19" t="n">
        <v>10.21</v>
      </c>
      <c r="J4027" s="19" t="n">
        <v>9.800000000000001</v>
      </c>
      <c r="K4027" s="20" t="n">
        <v>0</v>
      </c>
      <c r="L4027" s="20" t="n">
        <v>0</v>
      </c>
      <c r="M4027" s="18" t="n">
        <v>213</v>
      </c>
      <c r="N4027" s="18" t="n">
        <v>0</v>
      </c>
      <c r="O4027" s="18" t="n">
        <v>0</v>
      </c>
      <c r="P4027" s="17" t="n">
        <v>46193</v>
      </c>
      <c r="Q4027" s="17" t="n">
        <v>46193</v>
      </c>
      <c r="R4027" s="17" t="n">
        <v>46193</v>
      </c>
      <c r="S4027" s="19">
        <f>H4027*I4027</f>
        <v/>
      </c>
      <c r="T4027" s="19">
        <f>H4027*J4027</f>
        <v/>
      </c>
      <c r="U4027">
        <f>IF(AND(K4027=0,G4027&lt;=Assumptions!$C$6),1,0)</f>
        <v/>
      </c>
      <c r="V4027">
        <f>IF(U4027=1,IF(M4027&gt;0,IF(P4027&lt;=G4027+Assumptions!$C$7,1,0),0),0)</f>
        <v/>
      </c>
      <c r="W4027">
        <f>IF(AND(U4027=1,M4027&gt;=H4027*(1-Assumptions!$C$8)),1,0)</f>
        <v/>
      </c>
      <c r="X4027">
        <f>IF(AND(U4027=1,N4027&gt;=H4027*(1-Assumptions!$C$8)),1,0)</f>
        <v/>
      </c>
      <c r="Y4027">
        <f>IF(ISNUMBER(Q4027),1,0)</f>
        <v/>
      </c>
      <c r="Z4027">
        <f>IF(AND(K4027=0,L4027=0,Y4027=0),1,0)</f>
        <v/>
      </c>
      <c r="AA4027">
        <f>IF(AND(Z4027=1,G4027&lt;Assumptions!$C$6),1,0)</f>
        <v/>
      </c>
      <c r="AB4027">
        <f>IF(U4027=0,"",IF(Y4027=1,MAX(0,Q4027-G4027),IF(L4027=1,MAX(0,R4027-G4027),MAX(0,Assumptions!$C$6-G4027))))</f>
        <v/>
      </c>
      <c r="AC4027">
        <f>IF(Y4027=1,Q4027-F4027,"")</f>
        <v/>
      </c>
      <c r="AD4027">
        <f>IF(Y4027=1,AC4027^2,"")</f>
        <v/>
      </c>
      <c r="AE4027" s="19">
        <f>IF(Z4027=1,(H4027-M4027)*I4027,0)</f>
        <v/>
      </c>
      <c r="AF4027">
        <f>IF(G4027&lt;EDATE(Assumptions!$C$6,-12)+1,"prior_12m","last_12m")</f>
        <v/>
      </c>
      <c r="AG4027" s="21">
        <f>DATE(YEAR(G4027),MONTH(G4027),1)</f>
        <v/>
      </c>
    </row>
    <row r="4028">
      <c r="A4028" t="inlineStr">
        <is>
          <t>SPO-02146-1</t>
        </is>
      </c>
      <c r="B4028" t="inlineStr">
        <is>
          <t>SPO-02146</t>
        </is>
      </c>
      <c r="C4028" t="inlineStr">
        <is>
          <t>SUP-01</t>
        </is>
      </c>
      <c r="D4028" t="inlineStr">
        <is>
          <t>ELEC</t>
        </is>
      </c>
      <c r="E4028" t="inlineStr">
        <is>
          <t>ELEC-01</t>
        </is>
      </c>
      <c r="F4028" s="17" t="n">
        <v>46166</v>
      </c>
      <c r="G4028" s="17" t="n">
        <v>46184</v>
      </c>
      <c r="H4028" s="18" t="n">
        <v>36</v>
      </c>
      <c r="I4028" s="19" t="n">
        <v>38.54</v>
      </c>
      <c r="J4028" s="19" t="n">
        <v>38</v>
      </c>
      <c r="K4028" s="20" t="n">
        <v>0</v>
      </c>
      <c r="L4028" s="20" t="n">
        <v>0</v>
      </c>
      <c r="M4028" s="18" t="n">
        <v>36</v>
      </c>
      <c r="N4028" s="18" t="n">
        <v>0</v>
      </c>
      <c r="O4028" s="18" t="n">
        <v>0</v>
      </c>
      <c r="P4028" s="17" t="n">
        <v>46185</v>
      </c>
      <c r="Q4028" s="17" t="n">
        <v>46185</v>
      </c>
      <c r="R4028" s="17" t="n">
        <v>46185</v>
      </c>
      <c r="S4028" s="19">
        <f>H4028*I4028</f>
        <v/>
      </c>
      <c r="T4028" s="19">
        <f>H4028*J4028</f>
        <v/>
      </c>
      <c r="U4028">
        <f>IF(AND(K4028=0,G4028&lt;=Assumptions!$C$6),1,0)</f>
        <v/>
      </c>
      <c r="V4028">
        <f>IF(U4028=1,IF(M4028&gt;0,IF(P4028&lt;=G4028+Assumptions!$C$7,1,0),0),0)</f>
        <v/>
      </c>
      <c r="W4028">
        <f>IF(AND(U4028=1,M4028&gt;=H4028*(1-Assumptions!$C$8)),1,0)</f>
        <v/>
      </c>
      <c r="X4028">
        <f>IF(AND(U4028=1,N4028&gt;=H4028*(1-Assumptions!$C$8)),1,0)</f>
        <v/>
      </c>
      <c r="Y4028">
        <f>IF(ISNUMBER(Q4028),1,0)</f>
        <v/>
      </c>
      <c r="Z4028">
        <f>IF(AND(K4028=0,L4028=0,Y4028=0),1,0)</f>
        <v/>
      </c>
      <c r="AA4028">
        <f>IF(AND(Z4028=1,G4028&lt;Assumptions!$C$6),1,0)</f>
        <v/>
      </c>
      <c r="AB4028">
        <f>IF(U4028=0,"",IF(Y4028=1,MAX(0,Q4028-G4028),IF(L4028=1,MAX(0,R4028-G4028),MAX(0,Assumptions!$C$6-G4028))))</f>
        <v/>
      </c>
      <c r="AC4028">
        <f>IF(Y4028=1,Q4028-F4028,"")</f>
        <v/>
      </c>
      <c r="AD4028">
        <f>IF(Y4028=1,AC4028^2,"")</f>
        <v/>
      </c>
      <c r="AE4028" s="19">
        <f>IF(Z4028=1,(H4028-M4028)*I4028,0)</f>
        <v/>
      </c>
      <c r="AF4028">
        <f>IF(G4028&lt;EDATE(Assumptions!$C$6,-12)+1,"prior_12m","last_12m")</f>
        <v/>
      </c>
      <c r="AG4028" s="21">
        <f>DATE(YEAR(G4028),MONTH(G4028),1)</f>
        <v/>
      </c>
    </row>
    <row r="4029">
      <c r="A4029" t="inlineStr">
        <is>
          <t>SPO-02147-1</t>
        </is>
      </c>
      <c r="B4029" t="inlineStr">
        <is>
          <t>SPO-02147</t>
        </is>
      </c>
      <c r="C4029" t="inlineStr">
        <is>
          <t>SUP-12</t>
        </is>
      </c>
      <c r="D4029" t="inlineStr">
        <is>
          <t>IT</t>
        </is>
      </c>
      <c r="E4029" t="inlineStr">
        <is>
          <t>IT-01</t>
        </is>
      </c>
      <c r="F4029" s="17" t="n">
        <v>46166</v>
      </c>
      <c r="G4029" s="17" t="n">
        <v>46176</v>
      </c>
      <c r="H4029" s="18" t="n">
        <v>10</v>
      </c>
      <c r="I4029" s="19" t="n">
        <v>213.76</v>
      </c>
      <c r="J4029" s="19" t="n">
        <v>189</v>
      </c>
      <c r="K4029" s="20" t="n">
        <v>0</v>
      </c>
      <c r="L4029" s="20" t="n">
        <v>0</v>
      </c>
      <c r="M4029" s="18" t="n">
        <v>10</v>
      </c>
      <c r="N4029" s="18" t="n">
        <v>10</v>
      </c>
      <c r="O4029" s="18" t="n">
        <v>0</v>
      </c>
      <c r="P4029" s="17" t="n">
        <v>46175</v>
      </c>
      <c r="Q4029" s="17" t="n">
        <v>46175</v>
      </c>
      <c r="R4029" s="17" t="n">
        <v>46175</v>
      </c>
      <c r="S4029" s="19">
        <f>H4029*I4029</f>
        <v/>
      </c>
      <c r="T4029" s="19">
        <f>H4029*J4029</f>
        <v/>
      </c>
      <c r="U4029">
        <f>IF(AND(K4029=0,G4029&lt;=Assumptions!$C$6),1,0)</f>
        <v/>
      </c>
      <c r="V4029">
        <f>IF(U4029=1,IF(M4029&gt;0,IF(P4029&lt;=G4029+Assumptions!$C$7,1,0),0),0)</f>
        <v/>
      </c>
      <c r="W4029">
        <f>IF(AND(U4029=1,M4029&gt;=H4029*(1-Assumptions!$C$8)),1,0)</f>
        <v/>
      </c>
      <c r="X4029">
        <f>IF(AND(U4029=1,N4029&gt;=H4029*(1-Assumptions!$C$8)),1,0)</f>
        <v/>
      </c>
      <c r="Y4029">
        <f>IF(ISNUMBER(Q4029),1,0)</f>
        <v/>
      </c>
      <c r="Z4029">
        <f>IF(AND(K4029=0,L4029=0,Y4029=0),1,0)</f>
        <v/>
      </c>
      <c r="AA4029">
        <f>IF(AND(Z4029=1,G4029&lt;Assumptions!$C$6),1,0)</f>
        <v/>
      </c>
      <c r="AB4029">
        <f>IF(U4029=0,"",IF(Y4029=1,MAX(0,Q4029-G4029),IF(L4029=1,MAX(0,R4029-G4029),MAX(0,Assumptions!$C$6-G4029))))</f>
        <v/>
      </c>
      <c r="AC4029">
        <f>IF(Y4029=1,Q4029-F4029,"")</f>
        <v/>
      </c>
      <c r="AD4029">
        <f>IF(Y4029=1,AC4029^2,"")</f>
        <v/>
      </c>
      <c r="AE4029" s="19">
        <f>IF(Z4029=1,(H4029-M4029)*I4029,0)</f>
        <v/>
      </c>
      <c r="AF4029">
        <f>IF(G4029&lt;EDATE(Assumptions!$C$6,-12)+1,"prior_12m","last_12m")</f>
        <v/>
      </c>
      <c r="AG4029" s="21">
        <f>DATE(YEAR(G4029),MONTH(G4029),1)</f>
        <v/>
      </c>
    </row>
    <row r="4030">
      <c r="A4030" t="inlineStr">
        <is>
          <t>SPO-02148-1</t>
        </is>
      </c>
      <c r="B4030" t="inlineStr">
        <is>
          <t>SPO-02148</t>
        </is>
      </c>
      <c r="C4030" t="inlineStr">
        <is>
          <t>SUP-01</t>
        </is>
      </c>
      <c r="D4030" t="inlineStr">
        <is>
          <t>ELEC</t>
        </is>
      </c>
      <c r="E4030" t="inlineStr">
        <is>
          <t>ELEC-08</t>
        </is>
      </c>
      <c r="F4030" s="17" t="n">
        <v>46166</v>
      </c>
      <c r="G4030" s="17" t="n">
        <v>46184</v>
      </c>
      <c r="H4030" s="18" t="n">
        <v>97</v>
      </c>
      <c r="I4030" s="19" t="n">
        <v>18.35</v>
      </c>
      <c r="J4030" s="19" t="n">
        <v>18</v>
      </c>
      <c r="K4030" s="20" t="n">
        <v>0</v>
      </c>
      <c r="L4030" s="20" t="n">
        <v>0</v>
      </c>
      <c r="M4030" s="18" t="n">
        <v>97</v>
      </c>
      <c r="N4030" s="18" t="n">
        <v>97</v>
      </c>
      <c r="O4030" s="18" t="n">
        <v>0</v>
      </c>
      <c r="P4030" s="17" t="n">
        <v>46181</v>
      </c>
      <c r="Q4030" s="17" t="n">
        <v>46181</v>
      </c>
      <c r="R4030" s="17" t="n">
        <v>46181</v>
      </c>
      <c r="S4030" s="19">
        <f>H4030*I4030</f>
        <v/>
      </c>
      <c r="T4030" s="19">
        <f>H4030*J4030</f>
        <v/>
      </c>
      <c r="U4030">
        <f>IF(AND(K4030=0,G4030&lt;=Assumptions!$C$6),1,0)</f>
        <v/>
      </c>
      <c r="V4030">
        <f>IF(U4030=1,IF(M4030&gt;0,IF(P4030&lt;=G4030+Assumptions!$C$7,1,0),0),0)</f>
        <v/>
      </c>
      <c r="W4030">
        <f>IF(AND(U4030=1,M4030&gt;=H4030*(1-Assumptions!$C$8)),1,0)</f>
        <v/>
      </c>
      <c r="X4030">
        <f>IF(AND(U4030=1,N4030&gt;=H4030*(1-Assumptions!$C$8)),1,0)</f>
        <v/>
      </c>
      <c r="Y4030">
        <f>IF(ISNUMBER(Q4030),1,0)</f>
        <v/>
      </c>
      <c r="Z4030">
        <f>IF(AND(K4030=0,L4030=0,Y4030=0),1,0)</f>
        <v/>
      </c>
      <c r="AA4030">
        <f>IF(AND(Z4030=1,G4030&lt;Assumptions!$C$6),1,0)</f>
        <v/>
      </c>
      <c r="AB4030">
        <f>IF(U4030=0,"",IF(Y4030=1,MAX(0,Q4030-G4030),IF(L4030=1,MAX(0,R4030-G4030),MAX(0,Assumptions!$C$6-G4030))))</f>
        <v/>
      </c>
      <c r="AC4030">
        <f>IF(Y4030=1,Q4030-F4030,"")</f>
        <v/>
      </c>
      <c r="AD4030">
        <f>IF(Y4030=1,AC4030^2,"")</f>
        <v/>
      </c>
      <c r="AE4030" s="19">
        <f>IF(Z4030=1,(H4030-M4030)*I4030,0)</f>
        <v/>
      </c>
      <c r="AF4030">
        <f>IF(G4030&lt;EDATE(Assumptions!$C$6,-12)+1,"prior_12m","last_12m")</f>
        <v/>
      </c>
      <c r="AG4030" s="21">
        <f>DATE(YEAR(G4030),MONTH(G4030),1)</f>
        <v/>
      </c>
    </row>
    <row r="4031">
      <c r="A4031" t="inlineStr">
        <is>
          <t>SPO-02148-2</t>
        </is>
      </c>
      <c r="B4031" t="inlineStr">
        <is>
          <t>SPO-02148</t>
        </is>
      </c>
      <c r="C4031" t="inlineStr">
        <is>
          <t>SUP-01</t>
        </is>
      </c>
      <c r="D4031" t="inlineStr">
        <is>
          <t>ELEC</t>
        </is>
      </c>
      <c r="E4031" t="inlineStr">
        <is>
          <t>ELEC-02</t>
        </is>
      </c>
      <c r="F4031" s="17" t="n">
        <v>46166</v>
      </c>
      <c r="G4031" s="17" t="n">
        <v>46184</v>
      </c>
      <c r="H4031" s="18" t="n">
        <v>501</v>
      </c>
      <c r="I4031" s="19" t="n">
        <v>4.34</v>
      </c>
      <c r="J4031" s="19" t="n">
        <v>4.2</v>
      </c>
      <c r="K4031" s="20" t="n">
        <v>0</v>
      </c>
      <c r="L4031" s="20" t="n">
        <v>0</v>
      </c>
      <c r="M4031" s="18" t="n">
        <v>501</v>
      </c>
      <c r="N4031" s="18" t="n">
        <v>501</v>
      </c>
      <c r="O4031" s="18" t="n">
        <v>0</v>
      </c>
      <c r="P4031" s="17" t="n">
        <v>46182</v>
      </c>
      <c r="Q4031" s="17" t="n">
        <v>46182</v>
      </c>
      <c r="R4031" s="17" t="n">
        <v>46182</v>
      </c>
      <c r="S4031" s="19">
        <f>H4031*I4031</f>
        <v/>
      </c>
      <c r="T4031" s="19">
        <f>H4031*J4031</f>
        <v/>
      </c>
      <c r="U4031">
        <f>IF(AND(K4031=0,G4031&lt;=Assumptions!$C$6),1,0)</f>
        <v/>
      </c>
      <c r="V4031">
        <f>IF(U4031=1,IF(M4031&gt;0,IF(P4031&lt;=G4031+Assumptions!$C$7,1,0),0),0)</f>
        <v/>
      </c>
      <c r="W4031">
        <f>IF(AND(U4031=1,M4031&gt;=H4031*(1-Assumptions!$C$8)),1,0)</f>
        <v/>
      </c>
      <c r="X4031">
        <f>IF(AND(U4031=1,N4031&gt;=H4031*(1-Assumptions!$C$8)),1,0)</f>
        <v/>
      </c>
      <c r="Y4031">
        <f>IF(ISNUMBER(Q4031),1,0)</f>
        <v/>
      </c>
      <c r="Z4031">
        <f>IF(AND(K4031=0,L4031=0,Y4031=0),1,0)</f>
        <v/>
      </c>
      <c r="AA4031">
        <f>IF(AND(Z4031=1,G4031&lt;Assumptions!$C$6),1,0)</f>
        <v/>
      </c>
      <c r="AB4031">
        <f>IF(U4031=0,"",IF(Y4031=1,MAX(0,Q4031-G4031),IF(L4031=1,MAX(0,R4031-G4031),MAX(0,Assumptions!$C$6-G4031))))</f>
        <v/>
      </c>
      <c r="AC4031">
        <f>IF(Y4031=1,Q4031-F4031,"")</f>
        <v/>
      </c>
      <c r="AD4031">
        <f>IF(Y4031=1,AC4031^2,"")</f>
        <v/>
      </c>
      <c r="AE4031" s="19">
        <f>IF(Z4031=1,(H4031-M4031)*I4031,0)</f>
        <v/>
      </c>
      <c r="AF4031">
        <f>IF(G4031&lt;EDATE(Assumptions!$C$6,-12)+1,"prior_12m","last_12m")</f>
        <v/>
      </c>
      <c r="AG4031" s="21">
        <f>DATE(YEAR(G4031),MONTH(G4031),1)</f>
        <v/>
      </c>
    </row>
    <row r="4032">
      <c r="A4032" t="inlineStr">
        <is>
          <t>SPO-02149-1</t>
        </is>
      </c>
      <c r="B4032" t="inlineStr">
        <is>
          <t>SPO-02149</t>
        </is>
      </c>
      <c r="C4032" t="inlineStr">
        <is>
          <t>SUP-07</t>
        </is>
      </c>
      <c r="D4032" t="inlineStr">
        <is>
          <t>MRO</t>
        </is>
      </c>
      <c r="E4032" t="inlineStr">
        <is>
          <t>MRO-07</t>
        </is>
      </c>
      <c r="F4032" s="17" t="n">
        <v>46167</v>
      </c>
      <c r="G4032" s="17" t="n">
        <v>46177</v>
      </c>
      <c r="H4032" s="18" t="n">
        <v>152</v>
      </c>
      <c r="I4032" s="19" t="n">
        <v>14.36</v>
      </c>
      <c r="J4032" s="19" t="n">
        <v>14</v>
      </c>
      <c r="K4032" s="20" t="n">
        <v>0</v>
      </c>
      <c r="L4032" s="20" t="n">
        <v>0</v>
      </c>
      <c r="M4032" s="18" t="n">
        <v>152</v>
      </c>
      <c r="N4032" s="18" t="n">
        <v>152</v>
      </c>
      <c r="O4032" s="18" t="n">
        <v>0</v>
      </c>
      <c r="P4032" s="17" t="n">
        <v>46172</v>
      </c>
      <c r="Q4032" s="17" t="n">
        <v>46172</v>
      </c>
      <c r="R4032" s="17" t="n">
        <v>46172</v>
      </c>
      <c r="S4032" s="19">
        <f>H4032*I4032</f>
        <v/>
      </c>
      <c r="T4032" s="19">
        <f>H4032*J4032</f>
        <v/>
      </c>
      <c r="U4032">
        <f>IF(AND(K4032=0,G4032&lt;=Assumptions!$C$6),1,0)</f>
        <v/>
      </c>
      <c r="V4032">
        <f>IF(U4032=1,IF(M4032&gt;0,IF(P4032&lt;=G4032+Assumptions!$C$7,1,0),0),0)</f>
        <v/>
      </c>
      <c r="W4032">
        <f>IF(AND(U4032=1,M4032&gt;=H4032*(1-Assumptions!$C$8)),1,0)</f>
        <v/>
      </c>
      <c r="X4032">
        <f>IF(AND(U4032=1,N4032&gt;=H4032*(1-Assumptions!$C$8)),1,0)</f>
        <v/>
      </c>
      <c r="Y4032">
        <f>IF(ISNUMBER(Q4032),1,0)</f>
        <v/>
      </c>
      <c r="Z4032">
        <f>IF(AND(K4032=0,L4032=0,Y4032=0),1,0)</f>
        <v/>
      </c>
      <c r="AA4032">
        <f>IF(AND(Z4032=1,G4032&lt;Assumptions!$C$6),1,0)</f>
        <v/>
      </c>
      <c r="AB4032">
        <f>IF(U4032=0,"",IF(Y4032=1,MAX(0,Q4032-G4032),IF(L4032=1,MAX(0,R4032-G4032),MAX(0,Assumptions!$C$6-G4032))))</f>
        <v/>
      </c>
      <c r="AC4032">
        <f>IF(Y4032=1,Q4032-F4032,"")</f>
        <v/>
      </c>
      <c r="AD4032">
        <f>IF(Y4032=1,AC4032^2,"")</f>
        <v/>
      </c>
      <c r="AE4032" s="19">
        <f>IF(Z4032=1,(H4032-M4032)*I4032,0)</f>
        <v/>
      </c>
      <c r="AF4032">
        <f>IF(G4032&lt;EDATE(Assumptions!$C$6,-12)+1,"prior_12m","last_12m")</f>
        <v/>
      </c>
      <c r="AG4032" s="21">
        <f>DATE(YEAR(G4032),MONTH(G4032),1)</f>
        <v/>
      </c>
    </row>
    <row r="4033">
      <c r="A4033" t="inlineStr">
        <is>
          <t>SPO-02149-2</t>
        </is>
      </c>
      <c r="B4033" t="inlineStr">
        <is>
          <t>SPO-02149</t>
        </is>
      </c>
      <c r="C4033" t="inlineStr">
        <is>
          <t>SUP-07</t>
        </is>
      </c>
      <c r="D4033" t="inlineStr">
        <is>
          <t>MRO</t>
        </is>
      </c>
      <c r="E4033" t="inlineStr">
        <is>
          <t>MRO-04</t>
        </is>
      </c>
      <c r="F4033" s="17" t="n">
        <v>46167</v>
      </c>
      <c r="G4033" s="17" t="n">
        <v>46177</v>
      </c>
      <c r="H4033" s="18" t="n">
        <v>23</v>
      </c>
      <c r="I4033" s="19" t="n">
        <v>58.88</v>
      </c>
      <c r="J4033" s="19" t="n">
        <v>58</v>
      </c>
      <c r="K4033" s="20" t="n">
        <v>0</v>
      </c>
      <c r="L4033" s="20" t="n">
        <v>0</v>
      </c>
      <c r="M4033" s="18" t="n">
        <v>23</v>
      </c>
      <c r="N4033" s="18" t="n">
        <v>23</v>
      </c>
      <c r="O4033" s="18" t="n">
        <v>0</v>
      </c>
      <c r="P4033" s="17" t="n">
        <v>46177</v>
      </c>
      <c r="Q4033" s="17" t="n">
        <v>46177</v>
      </c>
      <c r="R4033" s="17" t="n">
        <v>46177</v>
      </c>
      <c r="S4033" s="19">
        <f>H4033*I4033</f>
        <v/>
      </c>
      <c r="T4033" s="19">
        <f>H4033*J4033</f>
        <v/>
      </c>
      <c r="U4033">
        <f>IF(AND(K4033=0,G4033&lt;=Assumptions!$C$6),1,0)</f>
        <v/>
      </c>
      <c r="V4033">
        <f>IF(U4033=1,IF(M4033&gt;0,IF(P4033&lt;=G4033+Assumptions!$C$7,1,0),0),0)</f>
        <v/>
      </c>
      <c r="W4033">
        <f>IF(AND(U4033=1,M4033&gt;=H4033*(1-Assumptions!$C$8)),1,0)</f>
        <v/>
      </c>
      <c r="X4033">
        <f>IF(AND(U4033=1,N4033&gt;=H4033*(1-Assumptions!$C$8)),1,0)</f>
        <v/>
      </c>
      <c r="Y4033">
        <f>IF(ISNUMBER(Q4033),1,0)</f>
        <v/>
      </c>
      <c r="Z4033">
        <f>IF(AND(K4033=0,L4033=0,Y4033=0),1,0)</f>
        <v/>
      </c>
      <c r="AA4033">
        <f>IF(AND(Z4033=1,G4033&lt;Assumptions!$C$6),1,0)</f>
        <v/>
      </c>
      <c r="AB4033">
        <f>IF(U4033=0,"",IF(Y4033=1,MAX(0,Q4033-G4033),IF(L4033=1,MAX(0,R4033-G4033),MAX(0,Assumptions!$C$6-G4033))))</f>
        <v/>
      </c>
      <c r="AC4033">
        <f>IF(Y4033=1,Q4033-F4033,"")</f>
        <v/>
      </c>
      <c r="AD4033">
        <f>IF(Y4033=1,AC4033^2,"")</f>
        <v/>
      </c>
      <c r="AE4033" s="19">
        <f>IF(Z4033=1,(H4033-M4033)*I4033,0)</f>
        <v/>
      </c>
      <c r="AF4033">
        <f>IF(G4033&lt;EDATE(Assumptions!$C$6,-12)+1,"prior_12m","last_12m")</f>
        <v/>
      </c>
      <c r="AG4033" s="21">
        <f>DATE(YEAR(G4033),MONTH(G4033),1)</f>
        <v/>
      </c>
    </row>
    <row r="4034">
      <c r="A4034" t="inlineStr">
        <is>
          <t>SPO-02149-3</t>
        </is>
      </c>
      <c r="B4034" t="inlineStr">
        <is>
          <t>SPO-02149</t>
        </is>
      </c>
      <c r="C4034" t="inlineStr">
        <is>
          <t>SUP-07</t>
        </is>
      </c>
      <c r="D4034" t="inlineStr">
        <is>
          <t>MRO</t>
        </is>
      </c>
      <c r="E4034" t="inlineStr">
        <is>
          <t>MRO-03</t>
        </is>
      </c>
      <c r="F4034" s="17" t="n">
        <v>46167</v>
      </c>
      <c r="G4034" s="17" t="n">
        <v>46177</v>
      </c>
      <c r="H4034" s="18" t="n">
        <v>257</v>
      </c>
      <c r="I4034" s="19" t="n">
        <v>8.99</v>
      </c>
      <c r="J4034" s="19" t="n">
        <v>8.9</v>
      </c>
      <c r="K4034" s="20" t="n">
        <v>0</v>
      </c>
      <c r="L4034" s="20" t="n">
        <v>0</v>
      </c>
      <c r="M4034" s="18" t="n">
        <v>257</v>
      </c>
      <c r="N4034" s="18" t="n">
        <v>193</v>
      </c>
      <c r="O4034" s="18" t="n">
        <v>0</v>
      </c>
      <c r="P4034" s="17" t="n">
        <v>46172</v>
      </c>
      <c r="Q4034" s="17" t="n">
        <v>46181</v>
      </c>
      <c r="R4034" s="17" t="n">
        <v>46181</v>
      </c>
      <c r="S4034" s="19">
        <f>H4034*I4034</f>
        <v/>
      </c>
      <c r="T4034" s="19">
        <f>H4034*J4034</f>
        <v/>
      </c>
      <c r="U4034">
        <f>IF(AND(K4034=0,G4034&lt;=Assumptions!$C$6),1,0)</f>
        <v/>
      </c>
      <c r="V4034">
        <f>IF(U4034=1,IF(M4034&gt;0,IF(P4034&lt;=G4034+Assumptions!$C$7,1,0),0),0)</f>
        <v/>
      </c>
      <c r="W4034">
        <f>IF(AND(U4034=1,M4034&gt;=H4034*(1-Assumptions!$C$8)),1,0)</f>
        <v/>
      </c>
      <c r="X4034">
        <f>IF(AND(U4034=1,N4034&gt;=H4034*(1-Assumptions!$C$8)),1,0)</f>
        <v/>
      </c>
      <c r="Y4034">
        <f>IF(ISNUMBER(Q4034),1,0)</f>
        <v/>
      </c>
      <c r="Z4034">
        <f>IF(AND(K4034=0,L4034=0,Y4034=0),1,0)</f>
        <v/>
      </c>
      <c r="AA4034">
        <f>IF(AND(Z4034=1,G4034&lt;Assumptions!$C$6),1,0)</f>
        <v/>
      </c>
      <c r="AB4034">
        <f>IF(U4034=0,"",IF(Y4034=1,MAX(0,Q4034-G4034),IF(L4034=1,MAX(0,R4034-G4034),MAX(0,Assumptions!$C$6-G4034))))</f>
        <v/>
      </c>
      <c r="AC4034">
        <f>IF(Y4034=1,Q4034-F4034,"")</f>
        <v/>
      </c>
      <c r="AD4034">
        <f>IF(Y4034=1,AC4034^2,"")</f>
        <v/>
      </c>
      <c r="AE4034" s="19">
        <f>IF(Z4034=1,(H4034-M4034)*I4034,0)</f>
        <v/>
      </c>
      <c r="AF4034">
        <f>IF(G4034&lt;EDATE(Assumptions!$C$6,-12)+1,"prior_12m","last_12m")</f>
        <v/>
      </c>
      <c r="AG4034" s="21">
        <f>DATE(YEAR(G4034),MONTH(G4034),1)</f>
        <v/>
      </c>
    </row>
    <row r="4035">
      <c r="A4035" t="inlineStr">
        <is>
          <t>SPO-02150-1</t>
        </is>
      </c>
      <c r="B4035" t="inlineStr">
        <is>
          <t>SPO-02150</t>
        </is>
      </c>
      <c r="C4035" t="inlineStr">
        <is>
          <t>SUP-02</t>
        </is>
      </c>
      <c r="D4035" t="inlineStr">
        <is>
          <t>ELEC</t>
        </is>
      </c>
      <c r="E4035" t="inlineStr">
        <is>
          <t>ELEC-06</t>
        </is>
      </c>
      <c r="F4035" s="17" t="n">
        <v>46167</v>
      </c>
      <c r="G4035" s="17" t="n">
        <v>46183</v>
      </c>
      <c r="H4035" s="18" t="n">
        <v>13</v>
      </c>
      <c r="I4035" s="19" t="n">
        <v>141.84</v>
      </c>
      <c r="J4035" s="19" t="n">
        <v>145</v>
      </c>
      <c r="K4035" s="20" t="n">
        <v>0</v>
      </c>
      <c r="L4035" s="20" t="n">
        <v>0</v>
      </c>
      <c r="M4035" s="18" t="n">
        <v>13</v>
      </c>
      <c r="N4035" s="18" t="n">
        <v>13</v>
      </c>
      <c r="O4035" s="18" t="n">
        <v>0</v>
      </c>
      <c r="P4035" s="17" t="n">
        <v>46179</v>
      </c>
      <c r="Q4035" s="17" t="n">
        <v>46179</v>
      </c>
      <c r="R4035" s="17" t="n">
        <v>46179</v>
      </c>
      <c r="S4035" s="19">
        <f>H4035*I4035</f>
        <v/>
      </c>
      <c r="T4035" s="19">
        <f>H4035*J4035</f>
        <v/>
      </c>
      <c r="U4035">
        <f>IF(AND(K4035=0,G4035&lt;=Assumptions!$C$6),1,0)</f>
        <v/>
      </c>
      <c r="V4035">
        <f>IF(U4035=1,IF(M4035&gt;0,IF(P4035&lt;=G4035+Assumptions!$C$7,1,0),0),0)</f>
        <v/>
      </c>
      <c r="W4035">
        <f>IF(AND(U4035=1,M4035&gt;=H4035*(1-Assumptions!$C$8)),1,0)</f>
        <v/>
      </c>
      <c r="X4035">
        <f>IF(AND(U4035=1,N4035&gt;=H4035*(1-Assumptions!$C$8)),1,0)</f>
        <v/>
      </c>
      <c r="Y4035">
        <f>IF(ISNUMBER(Q4035),1,0)</f>
        <v/>
      </c>
      <c r="Z4035">
        <f>IF(AND(K4035=0,L4035=0,Y4035=0),1,0)</f>
        <v/>
      </c>
      <c r="AA4035">
        <f>IF(AND(Z4035=1,G4035&lt;Assumptions!$C$6),1,0)</f>
        <v/>
      </c>
      <c r="AB4035">
        <f>IF(U4035=0,"",IF(Y4035=1,MAX(0,Q4035-G4035),IF(L4035=1,MAX(0,R4035-G4035),MAX(0,Assumptions!$C$6-G4035))))</f>
        <v/>
      </c>
      <c r="AC4035">
        <f>IF(Y4035=1,Q4035-F4035,"")</f>
        <v/>
      </c>
      <c r="AD4035">
        <f>IF(Y4035=1,AC4035^2,"")</f>
        <v/>
      </c>
      <c r="AE4035" s="19">
        <f>IF(Z4035=1,(H4035-M4035)*I4035,0)</f>
        <v/>
      </c>
      <c r="AF4035">
        <f>IF(G4035&lt;EDATE(Assumptions!$C$6,-12)+1,"prior_12m","last_12m")</f>
        <v/>
      </c>
      <c r="AG4035" s="21">
        <f>DATE(YEAR(G4035),MONTH(G4035),1)</f>
        <v/>
      </c>
    </row>
    <row r="4036">
      <c r="A4036" t="inlineStr">
        <is>
          <t>SPO-02150-2</t>
        </is>
      </c>
      <c r="B4036" t="inlineStr">
        <is>
          <t>SPO-02150</t>
        </is>
      </c>
      <c r="C4036" t="inlineStr">
        <is>
          <t>SUP-02</t>
        </is>
      </c>
      <c r="D4036" t="inlineStr">
        <is>
          <t>ELEC</t>
        </is>
      </c>
      <c r="E4036" t="inlineStr">
        <is>
          <t>ELEC-02</t>
        </is>
      </c>
      <c r="F4036" s="17" t="n">
        <v>46167</v>
      </c>
      <c r="G4036" s="17" t="n">
        <v>46183</v>
      </c>
      <c r="H4036" s="18" t="n">
        <v>451</v>
      </c>
      <c r="I4036" s="19" t="n">
        <v>4.06</v>
      </c>
      <c r="J4036" s="19" t="n">
        <v>4.2</v>
      </c>
      <c r="K4036" s="20" t="n">
        <v>0</v>
      </c>
      <c r="L4036" s="20" t="n">
        <v>0</v>
      </c>
      <c r="M4036" s="18" t="n">
        <v>451</v>
      </c>
      <c r="N4036" s="18" t="n">
        <v>451</v>
      </c>
      <c r="O4036" s="18" t="n">
        <v>0</v>
      </c>
      <c r="P4036" s="17" t="n">
        <v>46180</v>
      </c>
      <c r="Q4036" s="17" t="n">
        <v>46180</v>
      </c>
      <c r="R4036" s="17" t="n">
        <v>46180</v>
      </c>
      <c r="S4036" s="19">
        <f>H4036*I4036</f>
        <v/>
      </c>
      <c r="T4036" s="19">
        <f>H4036*J4036</f>
        <v/>
      </c>
      <c r="U4036">
        <f>IF(AND(K4036=0,G4036&lt;=Assumptions!$C$6),1,0)</f>
        <v/>
      </c>
      <c r="V4036">
        <f>IF(U4036=1,IF(M4036&gt;0,IF(P4036&lt;=G4036+Assumptions!$C$7,1,0),0),0)</f>
        <v/>
      </c>
      <c r="W4036">
        <f>IF(AND(U4036=1,M4036&gt;=H4036*(1-Assumptions!$C$8)),1,0)</f>
        <v/>
      </c>
      <c r="X4036">
        <f>IF(AND(U4036=1,N4036&gt;=H4036*(1-Assumptions!$C$8)),1,0)</f>
        <v/>
      </c>
      <c r="Y4036">
        <f>IF(ISNUMBER(Q4036),1,0)</f>
        <v/>
      </c>
      <c r="Z4036">
        <f>IF(AND(K4036=0,L4036=0,Y4036=0),1,0)</f>
        <v/>
      </c>
      <c r="AA4036">
        <f>IF(AND(Z4036=1,G4036&lt;Assumptions!$C$6),1,0)</f>
        <v/>
      </c>
      <c r="AB4036">
        <f>IF(U4036=0,"",IF(Y4036=1,MAX(0,Q4036-G4036),IF(L4036=1,MAX(0,R4036-G4036),MAX(0,Assumptions!$C$6-G4036))))</f>
        <v/>
      </c>
      <c r="AC4036">
        <f>IF(Y4036=1,Q4036-F4036,"")</f>
        <v/>
      </c>
      <c r="AD4036">
        <f>IF(Y4036=1,AC4036^2,"")</f>
        <v/>
      </c>
      <c r="AE4036" s="19">
        <f>IF(Z4036=1,(H4036-M4036)*I4036,0)</f>
        <v/>
      </c>
      <c r="AF4036">
        <f>IF(G4036&lt;EDATE(Assumptions!$C$6,-12)+1,"prior_12m","last_12m")</f>
        <v/>
      </c>
      <c r="AG4036" s="21">
        <f>DATE(YEAR(G4036),MONTH(G4036),1)</f>
        <v/>
      </c>
    </row>
    <row r="4037">
      <c r="A4037" t="inlineStr">
        <is>
          <t>SPO-02151-1</t>
        </is>
      </c>
      <c r="B4037" t="inlineStr">
        <is>
          <t>SPO-02151</t>
        </is>
      </c>
      <c r="C4037" t="inlineStr">
        <is>
          <t>SUP-01</t>
        </is>
      </c>
      <c r="D4037" t="inlineStr">
        <is>
          <t>ELEC</t>
        </is>
      </c>
      <c r="E4037" t="inlineStr">
        <is>
          <t>ELEC-04</t>
        </is>
      </c>
      <c r="F4037" s="17" t="n">
        <v>46168</v>
      </c>
      <c r="G4037" s="17" t="n">
        <v>46186</v>
      </c>
      <c r="H4037" s="18" t="n">
        <v>66</v>
      </c>
      <c r="I4037" s="19" t="n">
        <v>69.75</v>
      </c>
      <c r="J4037" s="19" t="n">
        <v>72</v>
      </c>
      <c r="K4037" s="20" t="n">
        <v>0</v>
      </c>
      <c r="L4037" s="20" t="n">
        <v>0</v>
      </c>
      <c r="M4037" s="18" t="n">
        <v>66</v>
      </c>
      <c r="N4037" s="18" t="n">
        <v>66</v>
      </c>
      <c r="O4037" s="18" t="n">
        <v>0</v>
      </c>
      <c r="P4037" s="17" t="n">
        <v>46169</v>
      </c>
      <c r="Q4037" s="17" t="n">
        <v>46169</v>
      </c>
      <c r="R4037" s="17" t="n">
        <v>46169</v>
      </c>
      <c r="S4037" s="19">
        <f>H4037*I4037</f>
        <v/>
      </c>
      <c r="T4037" s="19">
        <f>H4037*J4037</f>
        <v/>
      </c>
      <c r="U4037">
        <f>IF(AND(K4037=0,G4037&lt;=Assumptions!$C$6),1,0)</f>
        <v/>
      </c>
      <c r="V4037">
        <f>IF(U4037=1,IF(M4037&gt;0,IF(P4037&lt;=G4037+Assumptions!$C$7,1,0),0),0)</f>
        <v/>
      </c>
      <c r="W4037">
        <f>IF(AND(U4037=1,M4037&gt;=H4037*(1-Assumptions!$C$8)),1,0)</f>
        <v/>
      </c>
      <c r="X4037">
        <f>IF(AND(U4037=1,N4037&gt;=H4037*(1-Assumptions!$C$8)),1,0)</f>
        <v/>
      </c>
      <c r="Y4037">
        <f>IF(ISNUMBER(Q4037),1,0)</f>
        <v/>
      </c>
      <c r="Z4037">
        <f>IF(AND(K4037=0,L4037=0,Y4037=0),1,0)</f>
        <v/>
      </c>
      <c r="AA4037">
        <f>IF(AND(Z4037=1,G4037&lt;Assumptions!$C$6),1,0)</f>
        <v/>
      </c>
      <c r="AB4037">
        <f>IF(U4037=0,"",IF(Y4037=1,MAX(0,Q4037-G4037),IF(L4037=1,MAX(0,R4037-G4037),MAX(0,Assumptions!$C$6-G4037))))</f>
        <v/>
      </c>
      <c r="AC4037">
        <f>IF(Y4037=1,Q4037-F4037,"")</f>
        <v/>
      </c>
      <c r="AD4037">
        <f>IF(Y4037=1,AC4037^2,"")</f>
        <v/>
      </c>
      <c r="AE4037" s="19">
        <f>IF(Z4037=1,(H4037-M4037)*I4037,0)</f>
        <v/>
      </c>
      <c r="AF4037">
        <f>IF(G4037&lt;EDATE(Assumptions!$C$6,-12)+1,"prior_12m","last_12m")</f>
        <v/>
      </c>
      <c r="AG4037" s="21">
        <f>DATE(YEAR(G4037),MONTH(G4037),1)</f>
        <v/>
      </c>
    </row>
    <row r="4038">
      <c r="A4038" t="inlineStr">
        <is>
          <t>SPO-02151-2</t>
        </is>
      </c>
      <c r="B4038" t="inlineStr">
        <is>
          <t>SPO-02151</t>
        </is>
      </c>
      <c r="C4038" t="inlineStr">
        <is>
          <t>SUP-01</t>
        </is>
      </c>
      <c r="D4038" t="inlineStr">
        <is>
          <t>ELEC</t>
        </is>
      </c>
      <c r="E4038" t="inlineStr">
        <is>
          <t>ELEC-02</t>
        </is>
      </c>
      <c r="F4038" s="17" t="n">
        <v>46168</v>
      </c>
      <c r="G4038" s="17" t="n">
        <v>46186</v>
      </c>
      <c r="H4038" s="18" t="n">
        <v>1168</v>
      </c>
      <c r="I4038" s="19" t="n">
        <v>4.46</v>
      </c>
      <c r="J4038" s="19" t="n">
        <v>4.2</v>
      </c>
      <c r="K4038" s="20" t="n">
        <v>0</v>
      </c>
      <c r="L4038" s="20" t="n">
        <v>0</v>
      </c>
      <c r="M4038" s="18" t="n">
        <v>1168</v>
      </c>
      <c r="N4038" s="18" t="n">
        <v>0</v>
      </c>
      <c r="O4038" s="18" t="n">
        <v>0</v>
      </c>
      <c r="P4038" s="17" t="n">
        <v>46283</v>
      </c>
      <c r="Q4038" s="17" t="n">
        <v>46283</v>
      </c>
      <c r="R4038" s="17" t="n">
        <v>46283</v>
      </c>
      <c r="S4038" s="19">
        <f>H4038*I4038</f>
        <v/>
      </c>
      <c r="T4038" s="19">
        <f>H4038*J4038</f>
        <v/>
      </c>
      <c r="U4038">
        <f>IF(AND(K4038=0,G4038&lt;=Assumptions!$C$6),1,0)</f>
        <v/>
      </c>
      <c r="V4038">
        <f>IF(U4038=1,IF(M4038&gt;0,IF(P4038&lt;=G4038+Assumptions!$C$7,1,0),0),0)</f>
        <v/>
      </c>
      <c r="W4038">
        <f>IF(AND(U4038=1,M4038&gt;=H4038*(1-Assumptions!$C$8)),1,0)</f>
        <v/>
      </c>
      <c r="X4038">
        <f>IF(AND(U4038=1,N4038&gt;=H4038*(1-Assumptions!$C$8)),1,0)</f>
        <v/>
      </c>
      <c r="Y4038">
        <f>IF(ISNUMBER(Q4038),1,0)</f>
        <v/>
      </c>
      <c r="Z4038">
        <f>IF(AND(K4038=0,L4038=0,Y4038=0),1,0)</f>
        <v/>
      </c>
      <c r="AA4038">
        <f>IF(AND(Z4038=1,G4038&lt;Assumptions!$C$6),1,0)</f>
        <v/>
      </c>
      <c r="AB4038">
        <f>IF(U4038=0,"",IF(Y4038=1,MAX(0,Q4038-G4038),IF(L4038=1,MAX(0,R4038-G4038),MAX(0,Assumptions!$C$6-G4038))))</f>
        <v/>
      </c>
      <c r="AC4038">
        <f>IF(Y4038=1,Q4038-F4038,"")</f>
        <v/>
      </c>
      <c r="AD4038">
        <f>IF(Y4038=1,AC4038^2,"")</f>
        <v/>
      </c>
      <c r="AE4038" s="19">
        <f>IF(Z4038=1,(H4038-M4038)*I4038,0)</f>
        <v/>
      </c>
      <c r="AF4038">
        <f>IF(G4038&lt;EDATE(Assumptions!$C$6,-12)+1,"prior_12m","last_12m")</f>
        <v/>
      </c>
      <c r="AG4038" s="21">
        <f>DATE(YEAR(G4038),MONTH(G4038),1)</f>
        <v/>
      </c>
    </row>
    <row r="4039">
      <c r="A4039" t="inlineStr">
        <is>
          <t>SPO-02152-1</t>
        </is>
      </c>
      <c r="B4039" t="inlineStr">
        <is>
          <t>SPO-02152</t>
        </is>
      </c>
      <c r="C4039" t="inlineStr">
        <is>
          <t>SUP-01</t>
        </is>
      </c>
      <c r="D4039" t="inlineStr">
        <is>
          <t>ELEC</t>
        </is>
      </c>
      <c r="E4039" t="inlineStr">
        <is>
          <t>ELEC-01</t>
        </is>
      </c>
      <c r="F4039" s="17" t="n">
        <v>46168</v>
      </c>
      <c r="G4039" s="17" t="n">
        <v>46186</v>
      </c>
      <c r="H4039" s="18" t="n">
        <v>45</v>
      </c>
      <c r="I4039" s="19" t="n">
        <v>41.93</v>
      </c>
      <c r="J4039" s="19" t="n">
        <v>38</v>
      </c>
      <c r="K4039" s="20" t="n">
        <v>0</v>
      </c>
      <c r="L4039" s="20" t="n">
        <v>0</v>
      </c>
      <c r="M4039" s="18" t="n">
        <v>45</v>
      </c>
      <c r="N4039" s="18" t="n">
        <v>0</v>
      </c>
      <c r="O4039" s="18" t="n">
        <v>0</v>
      </c>
      <c r="P4039" s="17" t="n">
        <v>46195</v>
      </c>
      <c r="Q4039" s="17" t="n">
        <v>46195</v>
      </c>
      <c r="R4039" s="17" t="n">
        <v>46195</v>
      </c>
      <c r="S4039" s="19">
        <f>H4039*I4039</f>
        <v/>
      </c>
      <c r="T4039" s="19">
        <f>H4039*J4039</f>
        <v/>
      </c>
      <c r="U4039">
        <f>IF(AND(K4039=0,G4039&lt;=Assumptions!$C$6),1,0)</f>
        <v/>
      </c>
      <c r="V4039">
        <f>IF(U4039=1,IF(M4039&gt;0,IF(P4039&lt;=G4039+Assumptions!$C$7,1,0),0),0)</f>
        <v/>
      </c>
      <c r="W4039">
        <f>IF(AND(U4039=1,M4039&gt;=H4039*(1-Assumptions!$C$8)),1,0)</f>
        <v/>
      </c>
      <c r="X4039">
        <f>IF(AND(U4039=1,N4039&gt;=H4039*(1-Assumptions!$C$8)),1,0)</f>
        <v/>
      </c>
      <c r="Y4039">
        <f>IF(ISNUMBER(Q4039),1,0)</f>
        <v/>
      </c>
      <c r="Z4039">
        <f>IF(AND(K4039=0,L4039=0,Y4039=0),1,0)</f>
        <v/>
      </c>
      <c r="AA4039">
        <f>IF(AND(Z4039=1,G4039&lt;Assumptions!$C$6),1,0)</f>
        <v/>
      </c>
      <c r="AB4039">
        <f>IF(U4039=0,"",IF(Y4039=1,MAX(0,Q4039-G4039),IF(L4039=1,MAX(0,R4039-G4039),MAX(0,Assumptions!$C$6-G4039))))</f>
        <v/>
      </c>
      <c r="AC4039">
        <f>IF(Y4039=1,Q4039-F4039,"")</f>
        <v/>
      </c>
      <c r="AD4039">
        <f>IF(Y4039=1,AC4039^2,"")</f>
        <v/>
      </c>
      <c r="AE4039" s="19">
        <f>IF(Z4039=1,(H4039-M4039)*I4039,0)</f>
        <v/>
      </c>
      <c r="AF4039">
        <f>IF(G4039&lt;EDATE(Assumptions!$C$6,-12)+1,"prior_12m","last_12m")</f>
        <v/>
      </c>
      <c r="AG4039" s="21">
        <f>DATE(YEAR(G4039),MONTH(G4039),1)</f>
        <v/>
      </c>
    </row>
    <row r="4040">
      <c r="A4040" t="inlineStr">
        <is>
          <t>SPO-02153-1</t>
        </is>
      </c>
      <c r="B4040" t="inlineStr">
        <is>
          <t>SPO-02153</t>
        </is>
      </c>
      <c r="C4040" t="inlineStr">
        <is>
          <t>SUP-05</t>
        </is>
      </c>
      <c r="D4040" t="inlineStr">
        <is>
          <t>FLEET</t>
        </is>
      </c>
      <c r="E4040" t="inlineStr">
        <is>
          <t>FLEET-04</t>
        </is>
      </c>
      <c r="F4040" s="17" t="n">
        <v>46168</v>
      </c>
      <c r="G4040" s="17" t="n">
        <v>46182</v>
      </c>
      <c r="H4040" s="18" t="n">
        <v>208</v>
      </c>
      <c r="I4040" s="19" t="n">
        <v>9.07</v>
      </c>
      <c r="J4040" s="19" t="n">
        <v>9</v>
      </c>
      <c r="K4040" s="20" t="n">
        <v>1</v>
      </c>
      <c r="L4040" s="20" t="n">
        <v>0</v>
      </c>
      <c r="M4040" s="18" t="n">
        <v>0</v>
      </c>
      <c r="N4040" s="18" t="n">
        <v>0</v>
      </c>
      <c r="O4040" s="18" t="n">
        <v>0</v>
      </c>
      <c r="P4040" s="17" t="n"/>
      <c r="Q4040" s="17" t="n"/>
      <c r="R4040" s="17" t="n"/>
      <c r="S4040" s="19">
        <f>H4040*I4040</f>
        <v/>
      </c>
      <c r="T4040" s="19">
        <f>H4040*J4040</f>
        <v/>
      </c>
      <c r="U4040">
        <f>IF(AND(K4040=0,G4040&lt;=Assumptions!$C$6),1,0)</f>
        <v/>
      </c>
      <c r="V4040">
        <f>IF(U4040=1,IF(M4040&gt;0,IF(P4040&lt;=G4040+Assumptions!$C$7,1,0),0),0)</f>
        <v/>
      </c>
      <c r="W4040">
        <f>IF(AND(U4040=1,M4040&gt;=H4040*(1-Assumptions!$C$8)),1,0)</f>
        <v/>
      </c>
      <c r="X4040">
        <f>IF(AND(U4040=1,N4040&gt;=H4040*(1-Assumptions!$C$8)),1,0)</f>
        <v/>
      </c>
      <c r="Y4040">
        <f>IF(ISNUMBER(Q4040),1,0)</f>
        <v/>
      </c>
      <c r="Z4040">
        <f>IF(AND(K4040=0,L4040=0,Y4040=0),1,0)</f>
        <v/>
      </c>
      <c r="AA4040">
        <f>IF(AND(Z4040=1,G4040&lt;Assumptions!$C$6),1,0)</f>
        <v/>
      </c>
      <c r="AB4040">
        <f>IF(U4040=0,"",IF(Y4040=1,MAX(0,Q4040-G4040),IF(L4040=1,MAX(0,R4040-G4040),MAX(0,Assumptions!$C$6-G4040))))</f>
        <v/>
      </c>
      <c r="AC4040">
        <f>IF(Y4040=1,Q4040-F4040,"")</f>
        <v/>
      </c>
      <c r="AD4040">
        <f>IF(Y4040=1,AC4040^2,"")</f>
        <v/>
      </c>
      <c r="AE4040" s="19">
        <f>IF(Z4040=1,(H4040-M4040)*I4040,0)</f>
        <v/>
      </c>
      <c r="AF4040">
        <f>IF(G4040&lt;EDATE(Assumptions!$C$6,-12)+1,"prior_12m","last_12m")</f>
        <v/>
      </c>
      <c r="AG4040" s="21">
        <f>DATE(YEAR(G4040),MONTH(G4040),1)</f>
        <v/>
      </c>
    </row>
    <row r="4041">
      <c r="A4041" t="inlineStr">
        <is>
          <t>SPO-02153-2</t>
        </is>
      </c>
      <c r="B4041" t="inlineStr">
        <is>
          <t>SPO-02153</t>
        </is>
      </c>
      <c r="C4041" t="inlineStr">
        <is>
          <t>SUP-05</t>
        </is>
      </c>
      <c r="D4041" t="inlineStr">
        <is>
          <t>FLEET</t>
        </is>
      </c>
      <c r="E4041" t="inlineStr">
        <is>
          <t>FLEET-05</t>
        </is>
      </c>
      <c r="F4041" s="17" t="n">
        <v>46168</v>
      </c>
      <c r="G4041" s="17" t="n">
        <v>46182</v>
      </c>
      <c r="H4041" s="18" t="n">
        <v>8</v>
      </c>
      <c r="I4041" s="19" t="n">
        <v>173.82</v>
      </c>
      <c r="J4041" s="19" t="n">
        <v>168</v>
      </c>
      <c r="K4041" s="20" t="n">
        <v>0</v>
      </c>
      <c r="L4041" s="20" t="n">
        <v>0</v>
      </c>
      <c r="M4041" s="18" t="n">
        <v>8</v>
      </c>
      <c r="N4041" s="18" t="n">
        <v>3</v>
      </c>
      <c r="O4041" s="18" t="n">
        <v>0</v>
      </c>
      <c r="P4041" s="17" t="n">
        <v>46176</v>
      </c>
      <c r="Q4041" s="17" t="n">
        <v>46188</v>
      </c>
      <c r="R4041" s="17" t="n">
        <v>46188</v>
      </c>
      <c r="S4041" s="19">
        <f>H4041*I4041</f>
        <v/>
      </c>
      <c r="T4041" s="19">
        <f>H4041*J4041</f>
        <v/>
      </c>
      <c r="U4041">
        <f>IF(AND(K4041=0,G4041&lt;=Assumptions!$C$6),1,0)</f>
        <v/>
      </c>
      <c r="V4041">
        <f>IF(U4041=1,IF(M4041&gt;0,IF(P4041&lt;=G4041+Assumptions!$C$7,1,0),0),0)</f>
        <v/>
      </c>
      <c r="W4041">
        <f>IF(AND(U4041=1,M4041&gt;=H4041*(1-Assumptions!$C$8)),1,0)</f>
        <v/>
      </c>
      <c r="X4041">
        <f>IF(AND(U4041=1,N4041&gt;=H4041*(1-Assumptions!$C$8)),1,0)</f>
        <v/>
      </c>
      <c r="Y4041">
        <f>IF(ISNUMBER(Q4041),1,0)</f>
        <v/>
      </c>
      <c r="Z4041">
        <f>IF(AND(K4041=0,L4041=0,Y4041=0),1,0)</f>
        <v/>
      </c>
      <c r="AA4041">
        <f>IF(AND(Z4041=1,G4041&lt;Assumptions!$C$6),1,0)</f>
        <v/>
      </c>
      <c r="AB4041">
        <f>IF(U4041=0,"",IF(Y4041=1,MAX(0,Q4041-G4041),IF(L4041=1,MAX(0,R4041-G4041),MAX(0,Assumptions!$C$6-G4041))))</f>
        <v/>
      </c>
      <c r="AC4041">
        <f>IF(Y4041=1,Q4041-F4041,"")</f>
        <v/>
      </c>
      <c r="AD4041">
        <f>IF(Y4041=1,AC4041^2,"")</f>
        <v/>
      </c>
      <c r="AE4041" s="19">
        <f>IF(Z4041=1,(H4041-M4041)*I4041,0)</f>
        <v/>
      </c>
      <c r="AF4041">
        <f>IF(G4041&lt;EDATE(Assumptions!$C$6,-12)+1,"prior_12m","last_12m")</f>
        <v/>
      </c>
      <c r="AG4041" s="21">
        <f>DATE(YEAR(G4041),MONTH(G4041),1)</f>
        <v/>
      </c>
    </row>
    <row r="4042">
      <c r="A4042" t="inlineStr">
        <is>
          <t>SPO-02153-3</t>
        </is>
      </c>
      <c r="B4042" t="inlineStr">
        <is>
          <t>SPO-02153</t>
        </is>
      </c>
      <c r="C4042" t="inlineStr">
        <is>
          <t>SUP-05</t>
        </is>
      </c>
      <c r="D4042" t="inlineStr">
        <is>
          <t>FLEET</t>
        </is>
      </c>
      <c r="E4042" t="inlineStr">
        <is>
          <t>FLEET-02</t>
        </is>
      </c>
      <c r="F4042" s="17" t="n">
        <v>46168</v>
      </c>
      <c r="G4042" s="17" t="n">
        <v>46182</v>
      </c>
      <c r="H4042" s="18" t="n">
        <v>197</v>
      </c>
      <c r="I4042" s="19" t="n">
        <v>7.71</v>
      </c>
      <c r="J4042" s="19" t="n">
        <v>7.5</v>
      </c>
      <c r="K4042" s="20" t="n">
        <v>0</v>
      </c>
      <c r="L4042" s="20" t="n">
        <v>0</v>
      </c>
      <c r="M4042" s="18" t="n">
        <v>197</v>
      </c>
      <c r="N4042" s="18" t="n">
        <v>197</v>
      </c>
      <c r="O4042" s="18" t="n">
        <v>0</v>
      </c>
      <c r="P4042" s="17" t="n">
        <v>46181</v>
      </c>
      <c r="Q4042" s="17" t="n">
        <v>46181</v>
      </c>
      <c r="R4042" s="17" t="n">
        <v>46181</v>
      </c>
      <c r="S4042" s="19">
        <f>H4042*I4042</f>
        <v/>
      </c>
      <c r="T4042" s="19">
        <f>H4042*J4042</f>
        <v/>
      </c>
      <c r="U4042">
        <f>IF(AND(K4042=0,G4042&lt;=Assumptions!$C$6),1,0)</f>
        <v/>
      </c>
      <c r="V4042">
        <f>IF(U4042=1,IF(M4042&gt;0,IF(P4042&lt;=G4042+Assumptions!$C$7,1,0),0),0)</f>
        <v/>
      </c>
      <c r="W4042">
        <f>IF(AND(U4042=1,M4042&gt;=H4042*(1-Assumptions!$C$8)),1,0)</f>
        <v/>
      </c>
      <c r="X4042">
        <f>IF(AND(U4042=1,N4042&gt;=H4042*(1-Assumptions!$C$8)),1,0)</f>
        <v/>
      </c>
      <c r="Y4042">
        <f>IF(ISNUMBER(Q4042),1,0)</f>
        <v/>
      </c>
      <c r="Z4042">
        <f>IF(AND(K4042=0,L4042=0,Y4042=0),1,0)</f>
        <v/>
      </c>
      <c r="AA4042">
        <f>IF(AND(Z4042=1,G4042&lt;Assumptions!$C$6),1,0)</f>
        <v/>
      </c>
      <c r="AB4042">
        <f>IF(U4042=0,"",IF(Y4042=1,MAX(0,Q4042-G4042),IF(L4042=1,MAX(0,R4042-G4042),MAX(0,Assumptions!$C$6-G4042))))</f>
        <v/>
      </c>
      <c r="AC4042">
        <f>IF(Y4042=1,Q4042-F4042,"")</f>
        <v/>
      </c>
      <c r="AD4042">
        <f>IF(Y4042=1,AC4042^2,"")</f>
        <v/>
      </c>
      <c r="AE4042" s="19">
        <f>IF(Z4042=1,(H4042-M4042)*I4042,0)</f>
        <v/>
      </c>
      <c r="AF4042">
        <f>IF(G4042&lt;EDATE(Assumptions!$C$6,-12)+1,"prior_12m","last_12m")</f>
        <v/>
      </c>
      <c r="AG4042" s="21">
        <f>DATE(YEAR(G4042),MONTH(G4042),1)</f>
        <v/>
      </c>
    </row>
    <row r="4043">
      <c r="A4043" t="inlineStr">
        <is>
          <t>SPO-02153-4</t>
        </is>
      </c>
      <c r="B4043" t="inlineStr">
        <is>
          <t>SPO-02153</t>
        </is>
      </c>
      <c r="C4043" t="inlineStr">
        <is>
          <t>SUP-05</t>
        </is>
      </c>
      <c r="D4043" t="inlineStr">
        <is>
          <t>FLEET</t>
        </is>
      </c>
      <c r="E4043" t="inlineStr">
        <is>
          <t>FLEET-07</t>
        </is>
      </c>
      <c r="F4043" s="17" t="n">
        <v>46168</v>
      </c>
      <c r="G4043" s="17" t="n">
        <v>46182</v>
      </c>
      <c r="H4043" s="18" t="n">
        <v>11</v>
      </c>
      <c r="I4043" s="19" t="n">
        <v>122.29</v>
      </c>
      <c r="J4043" s="19" t="n">
        <v>118</v>
      </c>
      <c r="K4043" s="20" t="n">
        <v>0</v>
      </c>
      <c r="L4043" s="20" t="n">
        <v>0</v>
      </c>
      <c r="M4043" s="18" t="n">
        <v>11</v>
      </c>
      <c r="N4043" s="18" t="n">
        <v>11</v>
      </c>
      <c r="O4043" s="18" t="n">
        <v>0</v>
      </c>
      <c r="P4043" s="17" t="n">
        <v>46180</v>
      </c>
      <c r="Q4043" s="17" t="n">
        <v>46180</v>
      </c>
      <c r="R4043" s="17" t="n">
        <v>46180</v>
      </c>
      <c r="S4043" s="19">
        <f>H4043*I4043</f>
        <v/>
      </c>
      <c r="T4043" s="19">
        <f>H4043*J4043</f>
        <v/>
      </c>
      <c r="U4043">
        <f>IF(AND(K4043=0,G4043&lt;=Assumptions!$C$6),1,0)</f>
        <v/>
      </c>
      <c r="V4043">
        <f>IF(U4043=1,IF(M4043&gt;0,IF(P4043&lt;=G4043+Assumptions!$C$7,1,0),0),0)</f>
        <v/>
      </c>
      <c r="W4043">
        <f>IF(AND(U4043=1,M4043&gt;=H4043*(1-Assumptions!$C$8)),1,0)</f>
        <v/>
      </c>
      <c r="X4043">
        <f>IF(AND(U4043=1,N4043&gt;=H4043*(1-Assumptions!$C$8)),1,0)</f>
        <v/>
      </c>
      <c r="Y4043">
        <f>IF(ISNUMBER(Q4043),1,0)</f>
        <v/>
      </c>
      <c r="Z4043">
        <f>IF(AND(K4043=0,L4043=0,Y4043=0),1,0)</f>
        <v/>
      </c>
      <c r="AA4043">
        <f>IF(AND(Z4043=1,G4043&lt;Assumptions!$C$6),1,0)</f>
        <v/>
      </c>
      <c r="AB4043">
        <f>IF(U4043=0,"",IF(Y4043=1,MAX(0,Q4043-G4043),IF(L4043=1,MAX(0,R4043-G4043),MAX(0,Assumptions!$C$6-G4043))))</f>
        <v/>
      </c>
      <c r="AC4043">
        <f>IF(Y4043=1,Q4043-F4043,"")</f>
        <v/>
      </c>
      <c r="AD4043">
        <f>IF(Y4043=1,AC4043^2,"")</f>
        <v/>
      </c>
      <c r="AE4043" s="19">
        <f>IF(Z4043=1,(H4043-M4043)*I4043,0)</f>
        <v/>
      </c>
      <c r="AF4043">
        <f>IF(G4043&lt;EDATE(Assumptions!$C$6,-12)+1,"prior_12m","last_12m")</f>
        <v/>
      </c>
      <c r="AG4043" s="21">
        <f>DATE(YEAR(G4043),MONTH(G4043),1)</f>
        <v/>
      </c>
    </row>
    <row r="4044">
      <c r="A4044" t="inlineStr">
        <is>
          <t>SPO-02154-1</t>
        </is>
      </c>
      <c r="B4044" t="inlineStr">
        <is>
          <t>SPO-02154</t>
        </is>
      </c>
      <c r="C4044" t="inlineStr">
        <is>
          <t>SUP-01</t>
        </is>
      </c>
      <c r="D4044" t="inlineStr">
        <is>
          <t>ELEC</t>
        </is>
      </c>
      <c r="E4044" t="inlineStr">
        <is>
          <t>ELEC-02</t>
        </is>
      </c>
      <c r="F4044" s="17" t="n">
        <v>46168</v>
      </c>
      <c r="G4044" s="17" t="n">
        <v>46186</v>
      </c>
      <c r="H4044" s="18" t="n">
        <v>723</v>
      </c>
      <c r="I4044" s="19" t="n">
        <v>4.18</v>
      </c>
      <c r="J4044" s="19" t="n">
        <v>4.2</v>
      </c>
      <c r="K4044" s="20" t="n">
        <v>0</v>
      </c>
      <c r="L4044" s="20" t="n">
        <v>0</v>
      </c>
      <c r="M4044" s="18" t="n">
        <v>723</v>
      </c>
      <c r="N4044" s="18" t="n">
        <v>723</v>
      </c>
      <c r="O4044" s="18" t="n">
        <v>0</v>
      </c>
      <c r="P4044" s="17" t="n">
        <v>46182</v>
      </c>
      <c r="Q4044" s="17" t="n">
        <v>46182</v>
      </c>
      <c r="R4044" s="17" t="n">
        <v>46182</v>
      </c>
      <c r="S4044" s="19">
        <f>H4044*I4044</f>
        <v/>
      </c>
      <c r="T4044" s="19">
        <f>H4044*J4044</f>
        <v/>
      </c>
      <c r="U4044">
        <f>IF(AND(K4044=0,G4044&lt;=Assumptions!$C$6),1,0)</f>
        <v/>
      </c>
      <c r="V4044">
        <f>IF(U4044=1,IF(M4044&gt;0,IF(P4044&lt;=G4044+Assumptions!$C$7,1,0),0),0)</f>
        <v/>
      </c>
      <c r="W4044">
        <f>IF(AND(U4044=1,M4044&gt;=H4044*(1-Assumptions!$C$8)),1,0)</f>
        <v/>
      </c>
      <c r="X4044">
        <f>IF(AND(U4044=1,N4044&gt;=H4044*(1-Assumptions!$C$8)),1,0)</f>
        <v/>
      </c>
      <c r="Y4044">
        <f>IF(ISNUMBER(Q4044),1,0)</f>
        <v/>
      </c>
      <c r="Z4044">
        <f>IF(AND(K4044=0,L4044=0,Y4044=0),1,0)</f>
        <v/>
      </c>
      <c r="AA4044">
        <f>IF(AND(Z4044=1,G4044&lt;Assumptions!$C$6),1,0)</f>
        <v/>
      </c>
      <c r="AB4044">
        <f>IF(U4044=0,"",IF(Y4044=1,MAX(0,Q4044-G4044),IF(L4044=1,MAX(0,R4044-G4044),MAX(0,Assumptions!$C$6-G4044))))</f>
        <v/>
      </c>
      <c r="AC4044">
        <f>IF(Y4044=1,Q4044-F4044,"")</f>
        <v/>
      </c>
      <c r="AD4044">
        <f>IF(Y4044=1,AC4044^2,"")</f>
        <v/>
      </c>
      <c r="AE4044" s="19">
        <f>IF(Z4044=1,(H4044-M4044)*I4044,0)</f>
        <v/>
      </c>
      <c r="AF4044">
        <f>IF(G4044&lt;EDATE(Assumptions!$C$6,-12)+1,"prior_12m","last_12m")</f>
        <v/>
      </c>
      <c r="AG4044" s="21">
        <f>DATE(YEAR(G4044),MONTH(G4044),1)</f>
        <v/>
      </c>
    </row>
    <row r="4045">
      <c r="A4045" t="inlineStr">
        <is>
          <t>SPO-02155-1</t>
        </is>
      </c>
      <c r="B4045" t="inlineStr">
        <is>
          <t>SPO-02155</t>
        </is>
      </c>
      <c r="C4045" t="inlineStr">
        <is>
          <t>SUP-01</t>
        </is>
      </c>
      <c r="D4045" t="inlineStr">
        <is>
          <t>ELEC</t>
        </is>
      </c>
      <c r="E4045" t="inlineStr">
        <is>
          <t>ELEC-06</t>
        </is>
      </c>
      <c r="F4045" s="17" t="n">
        <v>46169</v>
      </c>
      <c r="G4045" s="17" t="n">
        <v>46187</v>
      </c>
      <c r="H4045" s="18" t="n">
        <v>10</v>
      </c>
      <c r="I4045" s="19" t="n">
        <v>146.4</v>
      </c>
      <c r="J4045" s="19" t="n">
        <v>145</v>
      </c>
      <c r="K4045" s="20" t="n">
        <v>0</v>
      </c>
      <c r="L4045" s="20" t="n">
        <v>0</v>
      </c>
      <c r="M4045" s="18" t="n">
        <v>10</v>
      </c>
      <c r="N4045" s="18" t="n">
        <v>10</v>
      </c>
      <c r="O4045" s="18" t="n">
        <v>0</v>
      </c>
      <c r="P4045" s="17" t="n">
        <v>46183</v>
      </c>
      <c r="Q4045" s="17" t="n">
        <v>46183</v>
      </c>
      <c r="R4045" s="17" t="n">
        <v>46183</v>
      </c>
      <c r="S4045" s="19">
        <f>H4045*I4045</f>
        <v/>
      </c>
      <c r="T4045" s="19">
        <f>H4045*J4045</f>
        <v/>
      </c>
      <c r="U4045">
        <f>IF(AND(K4045=0,G4045&lt;=Assumptions!$C$6),1,0)</f>
        <v/>
      </c>
      <c r="V4045">
        <f>IF(U4045=1,IF(M4045&gt;0,IF(P4045&lt;=G4045+Assumptions!$C$7,1,0),0),0)</f>
        <v/>
      </c>
      <c r="W4045">
        <f>IF(AND(U4045=1,M4045&gt;=H4045*(1-Assumptions!$C$8)),1,0)</f>
        <v/>
      </c>
      <c r="X4045">
        <f>IF(AND(U4045=1,N4045&gt;=H4045*(1-Assumptions!$C$8)),1,0)</f>
        <v/>
      </c>
      <c r="Y4045">
        <f>IF(ISNUMBER(Q4045),1,0)</f>
        <v/>
      </c>
      <c r="Z4045">
        <f>IF(AND(K4045=0,L4045=0,Y4045=0),1,0)</f>
        <v/>
      </c>
      <c r="AA4045">
        <f>IF(AND(Z4045=1,G4045&lt;Assumptions!$C$6),1,0)</f>
        <v/>
      </c>
      <c r="AB4045">
        <f>IF(U4045=0,"",IF(Y4045=1,MAX(0,Q4045-G4045),IF(L4045=1,MAX(0,R4045-G4045),MAX(0,Assumptions!$C$6-G4045))))</f>
        <v/>
      </c>
      <c r="AC4045">
        <f>IF(Y4045=1,Q4045-F4045,"")</f>
        <v/>
      </c>
      <c r="AD4045">
        <f>IF(Y4045=1,AC4045^2,"")</f>
        <v/>
      </c>
      <c r="AE4045" s="19">
        <f>IF(Z4045=1,(H4045-M4045)*I4045,0)</f>
        <v/>
      </c>
      <c r="AF4045">
        <f>IF(G4045&lt;EDATE(Assumptions!$C$6,-12)+1,"prior_12m","last_12m")</f>
        <v/>
      </c>
      <c r="AG4045" s="21">
        <f>DATE(YEAR(G4045),MONTH(G4045),1)</f>
        <v/>
      </c>
    </row>
    <row r="4046">
      <c r="A4046" t="inlineStr">
        <is>
          <t>SPO-02155-2</t>
        </is>
      </c>
      <c r="B4046" t="inlineStr">
        <is>
          <t>SPO-02155</t>
        </is>
      </c>
      <c r="C4046" t="inlineStr">
        <is>
          <t>SUP-01</t>
        </is>
      </c>
      <c r="D4046" t="inlineStr">
        <is>
          <t>ELEC</t>
        </is>
      </c>
      <c r="E4046" t="inlineStr">
        <is>
          <t>ELEC-05</t>
        </is>
      </c>
      <c r="F4046" s="17" t="n">
        <v>46169</v>
      </c>
      <c r="G4046" s="17" t="n">
        <v>46187</v>
      </c>
      <c r="H4046" s="18" t="n">
        <v>406</v>
      </c>
      <c r="I4046" s="19" t="n">
        <v>11.62</v>
      </c>
      <c r="J4046" s="19" t="n">
        <v>11.5</v>
      </c>
      <c r="K4046" s="20" t="n">
        <v>0</v>
      </c>
      <c r="L4046" s="20" t="n">
        <v>0</v>
      </c>
      <c r="M4046" s="18" t="n">
        <v>406</v>
      </c>
      <c r="N4046" s="18" t="n">
        <v>0</v>
      </c>
      <c r="O4046" s="18" t="n">
        <v>49</v>
      </c>
      <c r="P4046" s="17" t="n">
        <v>46192</v>
      </c>
      <c r="Q4046" s="17" t="n">
        <v>46192</v>
      </c>
      <c r="R4046" s="17" t="n">
        <v>46192</v>
      </c>
      <c r="S4046" s="19">
        <f>H4046*I4046</f>
        <v/>
      </c>
      <c r="T4046" s="19">
        <f>H4046*J4046</f>
        <v/>
      </c>
      <c r="U4046">
        <f>IF(AND(K4046=0,G4046&lt;=Assumptions!$C$6),1,0)</f>
        <v/>
      </c>
      <c r="V4046">
        <f>IF(U4046=1,IF(M4046&gt;0,IF(P4046&lt;=G4046+Assumptions!$C$7,1,0),0),0)</f>
        <v/>
      </c>
      <c r="W4046">
        <f>IF(AND(U4046=1,M4046&gt;=H4046*(1-Assumptions!$C$8)),1,0)</f>
        <v/>
      </c>
      <c r="X4046">
        <f>IF(AND(U4046=1,N4046&gt;=H4046*(1-Assumptions!$C$8)),1,0)</f>
        <v/>
      </c>
      <c r="Y4046">
        <f>IF(ISNUMBER(Q4046),1,0)</f>
        <v/>
      </c>
      <c r="Z4046">
        <f>IF(AND(K4046=0,L4046=0,Y4046=0),1,0)</f>
        <v/>
      </c>
      <c r="AA4046">
        <f>IF(AND(Z4046=1,G4046&lt;Assumptions!$C$6),1,0)</f>
        <v/>
      </c>
      <c r="AB4046">
        <f>IF(U4046=0,"",IF(Y4046=1,MAX(0,Q4046-G4046),IF(L4046=1,MAX(0,R4046-G4046),MAX(0,Assumptions!$C$6-G4046))))</f>
        <v/>
      </c>
      <c r="AC4046">
        <f>IF(Y4046=1,Q4046-F4046,"")</f>
        <v/>
      </c>
      <c r="AD4046">
        <f>IF(Y4046=1,AC4046^2,"")</f>
        <v/>
      </c>
      <c r="AE4046" s="19">
        <f>IF(Z4046=1,(H4046-M4046)*I4046,0)</f>
        <v/>
      </c>
      <c r="AF4046">
        <f>IF(G4046&lt;EDATE(Assumptions!$C$6,-12)+1,"prior_12m","last_12m")</f>
        <v/>
      </c>
      <c r="AG4046" s="21">
        <f>DATE(YEAR(G4046),MONTH(G4046),1)</f>
        <v/>
      </c>
    </row>
    <row r="4047">
      <c r="A4047" t="inlineStr">
        <is>
          <t>SPO-02155-3</t>
        </is>
      </c>
      <c r="B4047" t="inlineStr">
        <is>
          <t>SPO-02155</t>
        </is>
      </c>
      <c r="C4047" t="inlineStr">
        <is>
          <t>SUP-01</t>
        </is>
      </c>
      <c r="D4047" t="inlineStr">
        <is>
          <t>ELEC</t>
        </is>
      </c>
      <c r="E4047" t="inlineStr">
        <is>
          <t>ELEC-04</t>
        </is>
      </c>
      <c r="F4047" s="17" t="n">
        <v>46169</v>
      </c>
      <c r="G4047" s="17" t="n">
        <v>46187</v>
      </c>
      <c r="H4047" s="18" t="n">
        <v>43</v>
      </c>
      <c r="I4047" s="19" t="n">
        <v>71.17</v>
      </c>
      <c r="J4047" s="19" t="n">
        <v>72</v>
      </c>
      <c r="K4047" s="20" t="n">
        <v>0</v>
      </c>
      <c r="L4047" s="20" t="n">
        <v>0</v>
      </c>
      <c r="M4047" s="18" t="n">
        <v>43</v>
      </c>
      <c r="N4047" s="18" t="n">
        <v>0</v>
      </c>
      <c r="O4047" s="18" t="n">
        <v>0</v>
      </c>
      <c r="P4047" s="17" t="n">
        <v>46196</v>
      </c>
      <c r="Q4047" s="17" t="n">
        <v>46196</v>
      </c>
      <c r="R4047" s="17" t="n">
        <v>46196</v>
      </c>
      <c r="S4047" s="19">
        <f>H4047*I4047</f>
        <v/>
      </c>
      <c r="T4047" s="19">
        <f>H4047*J4047</f>
        <v/>
      </c>
      <c r="U4047">
        <f>IF(AND(K4047=0,G4047&lt;=Assumptions!$C$6),1,0)</f>
        <v/>
      </c>
      <c r="V4047">
        <f>IF(U4047=1,IF(M4047&gt;0,IF(P4047&lt;=G4047+Assumptions!$C$7,1,0),0),0)</f>
        <v/>
      </c>
      <c r="W4047">
        <f>IF(AND(U4047=1,M4047&gt;=H4047*(1-Assumptions!$C$8)),1,0)</f>
        <v/>
      </c>
      <c r="X4047">
        <f>IF(AND(U4047=1,N4047&gt;=H4047*(1-Assumptions!$C$8)),1,0)</f>
        <v/>
      </c>
      <c r="Y4047">
        <f>IF(ISNUMBER(Q4047),1,0)</f>
        <v/>
      </c>
      <c r="Z4047">
        <f>IF(AND(K4047=0,L4047=0,Y4047=0),1,0)</f>
        <v/>
      </c>
      <c r="AA4047">
        <f>IF(AND(Z4047=1,G4047&lt;Assumptions!$C$6),1,0)</f>
        <v/>
      </c>
      <c r="AB4047">
        <f>IF(U4047=0,"",IF(Y4047=1,MAX(0,Q4047-G4047),IF(L4047=1,MAX(0,R4047-G4047),MAX(0,Assumptions!$C$6-G4047))))</f>
        <v/>
      </c>
      <c r="AC4047">
        <f>IF(Y4047=1,Q4047-F4047,"")</f>
        <v/>
      </c>
      <c r="AD4047">
        <f>IF(Y4047=1,AC4047^2,"")</f>
        <v/>
      </c>
      <c r="AE4047" s="19">
        <f>IF(Z4047=1,(H4047-M4047)*I4047,0)</f>
        <v/>
      </c>
      <c r="AF4047">
        <f>IF(G4047&lt;EDATE(Assumptions!$C$6,-12)+1,"prior_12m","last_12m")</f>
        <v/>
      </c>
      <c r="AG4047" s="21">
        <f>DATE(YEAR(G4047),MONTH(G4047),1)</f>
        <v/>
      </c>
    </row>
    <row r="4048">
      <c r="A4048" t="inlineStr">
        <is>
          <t>SPO-02155-4</t>
        </is>
      </c>
      <c r="B4048" t="inlineStr">
        <is>
          <t>SPO-02155</t>
        </is>
      </c>
      <c r="C4048" t="inlineStr">
        <is>
          <t>SUP-01</t>
        </is>
      </c>
      <c r="D4048" t="inlineStr">
        <is>
          <t>ELEC</t>
        </is>
      </c>
      <c r="E4048" t="inlineStr">
        <is>
          <t>ELEC-03</t>
        </is>
      </c>
      <c r="F4048" s="17" t="n">
        <v>46169</v>
      </c>
      <c r="G4048" s="17" t="n">
        <v>46187</v>
      </c>
      <c r="H4048" s="18" t="n">
        <v>25</v>
      </c>
      <c r="I4048" s="19" t="n">
        <v>98.31999999999999</v>
      </c>
      <c r="J4048" s="19" t="n">
        <v>96</v>
      </c>
      <c r="K4048" s="20" t="n">
        <v>0</v>
      </c>
      <c r="L4048" s="20" t="n">
        <v>0</v>
      </c>
      <c r="M4048" s="18" t="n">
        <v>25</v>
      </c>
      <c r="N4048" s="18" t="n">
        <v>0</v>
      </c>
      <c r="O4048" s="18" t="n">
        <v>0</v>
      </c>
      <c r="P4048" s="17" t="n">
        <v>46280</v>
      </c>
      <c r="Q4048" s="17" t="n">
        <v>46280</v>
      </c>
      <c r="R4048" s="17" t="n">
        <v>46280</v>
      </c>
      <c r="S4048" s="19">
        <f>H4048*I4048</f>
        <v/>
      </c>
      <c r="T4048" s="19">
        <f>H4048*J4048</f>
        <v/>
      </c>
      <c r="U4048">
        <f>IF(AND(K4048=0,G4048&lt;=Assumptions!$C$6),1,0)</f>
        <v/>
      </c>
      <c r="V4048">
        <f>IF(U4048=1,IF(M4048&gt;0,IF(P4048&lt;=G4048+Assumptions!$C$7,1,0),0),0)</f>
        <v/>
      </c>
      <c r="W4048">
        <f>IF(AND(U4048=1,M4048&gt;=H4048*(1-Assumptions!$C$8)),1,0)</f>
        <v/>
      </c>
      <c r="X4048">
        <f>IF(AND(U4048=1,N4048&gt;=H4048*(1-Assumptions!$C$8)),1,0)</f>
        <v/>
      </c>
      <c r="Y4048">
        <f>IF(ISNUMBER(Q4048),1,0)</f>
        <v/>
      </c>
      <c r="Z4048">
        <f>IF(AND(K4048=0,L4048=0,Y4048=0),1,0)</f>
        <v/>
      </c>
      <c r="AA4048">
        <f>IF(AND(Z4048=1,G4048&lt;Assumptions!$C$6),1,0)</f>
        <v/>
      </c>
      <c r="AB4048">
        <f>IF(U4048=0,"",IF(Y4048=1,MAX(0,Q4048-G4048),IF(L4048=1,MAX(0,R4048-G4048),MAX(0,Assumptions!$C$6-G4048))))</f>
        <v/>
      </c>
      <c r="AC4048">
        <f>IF(Y4048=1,Q4048-F4048,"")</f>
        <v/>
      </c>
      <c r="AD4048">
        <f>IF(Y4048=1,AC4048^2,"")</f>
        <v/>
      </c>
      <c r="AE4048" s="19">
        <f>IF(Z4048=1,(H4048-M4048)*I4048,0)</f>
        <v/>
      </c>
      <c r="AF4048">
        <f>IF(G4048&lt;EDATE(Assumptions!$C$6,-12)+1,"prior_12m","last_12m")</f>
        <v/>
      </c>
      <c r="AG4048" s="21">
        <f>DATE(YEAR(G4048),MONTH(G4048),1)</f>
        <v/>
      </c>
    </row>
    <row r="4049">
      <c r="A4049" t="inlineStr">
        <is>
          <t>SPO-02156-1</t>
        </is>
      </c>
      <c r="B4049" t="inlineStr">
        <is>
          <t>SPO-02156</t>
        </is>
      </c>
      <c r="C4049" t="inlineStr">
        <is>
          <t>SUP-08</t>
        </is>
      </c>
      <c r="D4049" t="inlineStr">
        <is>
          <t>MRO</t>
        </is>
      </c>
      <c r="E4049" t="inlineStr">
        <is>
          <t>MRO-03</t>
        </is>
      </c>
      <c r="F4049" s="17" t="n">
        <v>46169</v>
      </c>
      <c r="G4049" s="17" t="n">
        <v>46180</v>
      </c>
      <c r="H4049" s="18" t="n">
        <v>184</v>
      </c>
      <c r="I4049" s="19" t="n">
        <v>9.09</v>
      </c>
      <c r="J4049" s="19" t="n">
        <v>8.9</v>
      </c>
      <c r="K4049" s="20" t="n">
        <v>0</v>
      </c>
      <c r="L4049" s="20" t="n">
        <v>0</v>
      </c>
      <c r="M4049" s="18" t="n">
        <v>184</v>
      </c>
      <c r="N4049" s="18" t="n">
        <v>87</v>
      </c>
      <c r="O4049" s="18" t="n">
        <v>0</v>
      </c>
      <c r="P4049" s="17" t="n">
        <v>46179</v>
      </c>
      <c r="Q4049" s="17" t="n">
        <v>46197</v>
      </c>
      <c r="R4049" s="17" t="n">
        <v>46197</v>
      </c>
      <c r="S4049" s="19">
        <f>H4049*I4049</f>
        <v/>
      </c>
      <c r="T4049" s="19">
        <f>H4049*J4049</f>
        <v/>
      </c>
      <c r="U4049">
        <f>IF(AND(K4049=0,G4049&lt;=Assumptions!$C$6),1,0)</f>
        <v/>
      </c>
      <c r="V4049">
        <f>IF(U4049=1,IF(M4049&gt;0,IF(P4049&lt;=G4049+Assumptions!$C$7,1,0),0),0)</f>
        <v/>
      </c>
      <c r="W4049">
        <f>IF(AND(U4049=1,M4049&gt;=H4049*(1-Assumptions!$C$8)),1,0)</f>
        <v/>
      </c>
      <c r="X4049">
        <f>IF(AND(U4049=1,N4049&gt;=H4049*(1-Assumptions!$C$8)),1,0)</f>
        <v/>
      </c>
      <c r="Y4049">
        <f>IF(ISNUMBER(Q4049),1,0)</f>
        <v/>
      </c>
      <c r="Z4049">
        <f>IF(AND(K4049=0,L4049=0,Y4049=0),1,0)</f>
        <v/>
      </c>
      <c r="AA4049">
        <f>IF(AND(Z4049=1,G4049&lt;Assumptions!$C$6),1,0)</f>
        <v/>
      </c>
      <c r="AB4049">
        <f>IF(U4049=0,"",IF(Y4049=1,MAX(0,Q4049-G4049),IF(L4049=1,MAX(0,R4049-G4049),MAX(0,Assumptions!$C$6-G4049))))</f>
        <v/>
      </c>
      <c r="AC4049">
        <f>IF(Y4049=1,Q4049-F4049,"")</f>
        <v/>
      </c>
      <c r="AD4049">
        <f>IF(Y4049=1,AC4049^2,"")</f>
        <v/>
      </c>
      <c r="AE4049" s="19">
        <f>IF(Z4049=1,(H4049-M4049)*I4049,0)</f>
        <v/>
      </c>
      <c r="AF4049">
        <f>IF(G4049&lt;EDATE(Assumptions!$C$6,-12)+1,"prior_12m","last_12m")</f>
        <v/>
      </c>
      <c r="AG4049" s="21">
        <f>DATE(YEAR(G4049),MONTH(G4049),1)</f>
        <v/>
      </c>
    </row>
    <row r="4050">
      <c r="A4050" t="inlineStr">
        <is>
          <t>SPO-02157-1</t>
        </is>
      </c>
      <c r="B4050" t="inlineStr">
        <is>
          <t>SPO-02157</t>
        </is>
      </c>
      <c r="C4050" t="inlineStr">
        <is>
          <t>SUP-11</t>
        </is>
      </c>
      <c r="D4050" t="inlineStr">
        <is>
          <t>PPE</t>
        </is>
      </c>
      <c r="E4050" t="inlineStr">
        <is>
          <t>PPE-03</t>
        </is>
      </c>
      <c r="F4050" s="17" t="n">
        <v>46170</v>
      </c>
      <c r="G4050" s="17" t="n">
        <v>46182</v>
      </c>
      <c r="H4050" s="18" t="n">
        <v>49</v>
      </c>
      <c r="I4050" s="19" t="n">
        <v>21.06</v>
      </c>
      <c r="J4050" s="19" t="n">
        <v>21</v>
      </c>
      <c r="K4050" s="20" t="n">
        <v>0</v>
      </c>
      <c r="L4050" s="20" t="n">
        <v>0</v>
      </c>
      <c r="M4050" s="18" t="n">
        <v>49</v>
      </c>
      <c r="N4050" s="18" t="n">
        <v>49</v>
      </c>
      <c r="O4050" s="18" t="n">
        <v>0</v>
      </c>
      <c r="P4050" s="17" t="n">
        <v>46181</v>
      </c>
      <c r="Q4050" s="17" t="n">
        <v>46181</v>
      </c>
      <c r="R4050" s="17" t="n">
        <v>46181</v>
      </c>
      <c r="S4050" s="19">
        <f>H4050*I4050</f>
        <v/>
      </c>
      <c r="T4050" s="19">
        <f>H4050*J4050</f>
        <v/>
      </c>
      <c r="U4050">
        <f>IF(AND(K4050=0,G4050&lt;=Assumptions!$C$6),1,0)</f>
        <v/>
      </c>
      <c r="V4050">
        <f>IF(U4050=1,IF(M4050&gt;0,IF(P4050&lt;=G4050+Assumptions!$C$7,1,0),0),0)</f>
        <v/>
      </c>
      <c r="W4050">
        <f>IF(AND(U4050=1,M4050&gt;=H4050*(1-Assumptions!$C$8)),1,0)</f>
        <v/>
      </c>
      <c r="X4050">
        <f>IF(AND(U4050=1,N4050&gt;=H4050*(1-Assumptions!$C$8)),1,0)</f>
        <v/>
      </c>
      <c r="Y4050">
        <f>IF(ISNUMBER(Q4050),1,0)</f>
        <v/>
      </c>
      <c r="Z4050">
        <f>IF(AND(K4050=0,L4050=0,Y4050=0),1,0)</f>
        <v/>
      </c>
      <c r="AA4050">
        <f>IF(AND(Z4050=1,G4050&lt;Assumptions!$C$6),1,0)</f>
        <v/>
      </c>
      <c r="AB4050">
        <f>IF(U4050=0,"",IF(Y4050=1,MAX(0,Q4050-G4050),IF(L4050=1,MAX(0,R4050-G4050),MAX(0,Assumptions!$C$6-G4050))))</f>
        <v/>
      </c>
      <c r="AC4050">
        <f>IF(Y4050=1,Q4050-F4050,"")</f>
        <v/>
      </c>
      <c r="AD4050">
        <f>IF(Y4050=1,AC4050^2,"")</f>
        <v/>
      </c>
      <c r="AE4050" s="19">
        <f>IF(Z4050=1,(H4050-M4050)*I4050,0)</f>
        <v/>
      </c>
      <c r="AF4050">
        <f>IF(G4050&lt;EDATE(Assumptions!$C$6,-12)+1,"prior_12m","last_12m")</f>
        <v/>
      </c>
      <c r="AG4050" s="21">
        <f>DATE(YEAR(G4050),MONTH(G4050),1)</f>
        <v/>
      </c>
    </row>
    <row r="4051">
      <c r="A4051" t="inlineStr">
        <is>
          <t>SPO-02158-1</t>
        </is>
      </c>
      <c r="B4051" t="inlineStr">
        <is>
          <t>SPO-02158</t>
        </is>
      </c>
      <c r="C4051" t="inlineStr">
        <is>
          <t>SUP-12</t>
        </is>
      </c>
      <c r="D4051" t="inlineStr">
        <is>
          <t>IT</t>
        </is>
      </c>
      <c r="E4051" t="inlineStr">
        <is>
          <t>IT-05</t>
        </is>
      </c>
      <c r="F4051" s="17" t="n">
        <v>46170</v>
      </c>
      <c r="G4051" s="17" t="n">
        <v>46180</v>
      </c>
      <c r="H4051" s="18" t="n">
        <v>1</v>
      </c>
      <c r="I4051" s="19" t="n">
        <v>722.66</v>
      </c>
      <c r="J4051" s="19" t="n">
        <v>640</v>
      </c>
      <c r="K4051" s="20" t="n">
        <v>0</v>
      </c>
      <c r="L4051" s="20" t="n">
        <v>0</v>
      </c>
      <c r="M4051" s="18" t="n">
        <v>1</v>
      </c>
      <c r="N4051" s="18" t="n">
        <v>1</v>
      </c>
      <c r="O4051" s="18" t="n">
        <v>0</v>
      </c>
      <c r="P4051" s="17" t="n">
        <v>46179</v>
      </c>
      <c r="Q4051" s="17" t="n">
        <v>46179</v>
      </c>
      <c r="R4051" s="17" t="n">
        <v>46179</v>
      </c>
      <c r="S4051" s="19">
        <f>H4051*I4051</f>
        <v/>
      </c>
      <c r="T4051" s="19">
        <f>H4051*J4051</f>
        <v/>
      </c>
      <c r="U4051">
        <f>IF(AND(K4051=0,G4051&lt;=Assumptions!$C$6),1,0)</f>
        <v/>
      </c>
      <c r="V4051">
        <f>IF(U4051=1,IF(M4051&gt;0,IF(P4051&lt;=G4051+Assumptions!$C$7,1,0),0),0)</f>
        <v/>
      </c>
      <c r="W4051">
        <f>IF(AND(U4051=1,M4051&gt;=H4051*(1-Assumptions!$C$8)),1,0)</f>
        <v/>
      </c>
      <c r="X4051">
        <f>IF(AND(U4051=1,N4051&gt;=H4051*(1-Assumptions!$C$8)),1,0)</f>
        <v/>
      </c>
      <c r="Y4051">
        <f>IF(ISNUMBER(Q4051),1,0)</f>
        <v/>
      </c>
      <c r="Z4051">
        <f>IF(AND(K4051=0,L4051=0,Y4051=0),1,0)</f>
        <v/>
      </c>
      <c r="AA4051">
        <f>IF(AND(Z4051=1,G4051&lt;Assumptions!$C$6),1,0)</f>
        <v/>
      </c>
      <c r="AB4051">
        <f>IF(U4051=0,"",IF(Y4051=1,MAX(0,Q4051-G4051),IF(L4051=1,MAX(0,R4051-G4051),MAX(0,Assumptions!$C$6-G4051))))</f>
        <v/>
      </c>
      <c r="AC4051">
        <f>IF(Y4051=1,Q4051-F4051,"")</f>
        <v/>
      </c>
      <c r="AD4051">
        <f>IF(Y4051=1,AC4051^2,"")</f>
        <v/>
      </c>
      <c r="AE4051" s="19">
        <f>IF(Z4051=1,(H4051-M4051)*I4051,0)</f>
        <v/>
      </c>
      <c r="AF4051">
        <f>IF(G4051&lt;EDATE(Assumptions!$C$6,-12)+1,"prior_12m","last_12m")</f>
        <v/>
      </c>
      <c r="AG4051" s="21">
        <f>DATE(YEAR(G4051),MONTH(G4051),1)</f>
        <v/>
      </c>
    </row>
    <row r="4052">
      <c r="A4052" t="inlineStr">
        <is>
          <t>SPO-02159-1</t>
        </is>
      </c>
      <c r="B4052" t="inlineStr">
        <is>
          <t>SPO-02159</t>
        </is>
      </c>
      <c r="C4052" t="inlineStr">
        <is>
          <t>SUP-02</t>
        </is>
      </c>
      <c r="D4052" t="inlineStr">
        <is>
          <t>ELEC</t>
        </is>
      </c>
      <c r="E4052" t="inlineStr">
        <is>
          <t>ELEC-05</t>
        </is>
      </c>
      <c r="F4052" s="17" t="n">
        <v>46170</v>
      </c>
      <c r="G4052" s="17" t="n">
        <v>46186</v>
      </c>
      <c r="H4052" s="18" t="n">
        <v>38</v>
      </c>
      <c r="I4052" s="19" t="n">
        <v>11.68</v>
      </c>
      <c r="J4052" s="19" t="n">
        <v>11.5</v>
      </c>
      <c r="K4052" s="20" t="n">
        <v>0</v>
      </c>
      <c r="L4052" s="20" t="n">
        <v>0</v>
      </c>
      <c r="M4052" s="18" t="n">
        <v>38</v>
      </c>
      <c r="N4052" s="18" t="n">
        <v>38</v>
      </c>
      <c r="O4052" s="18" t="n">
        <v>0</v>
      </c>
      <c r="P4052" s="17" t="n">
        <v>46182</v>
      </c>
      <c r="Q4052" s="17" t="n">
        <v>46182</v>
      </c>
      <c r="R4052" s="17" t="n">
        <v>46182</v>
      </c>
      <c r="S4052" s="19">
        <f>H4052*I4052</f>
        <v/>
      </c>
      <c r="T4052" s="19">
        <f>H4052*J4052</f>
        <v/>
      </c>
      <c r="U4052">
        <f>IF(AND(K4052=0,G4052&lt;=Assumptions!$C$6),1,0)</f>
        <v/>
      </c>
      <c r="V4052">
        <f>IF(U4052=1,IF(M4052&gt;0,IF(P4052&lt;=G4052+Assumptions!$C$7,1,0),0),0)</f>
        <v/>
      </c>
      <c r="W4052">
        <f>IF(AND(U4052=1,M4052&gt;=H4052*(1-Assumptions!$C$8)),1,0)</f>
        <v/>
      </c>
      <c r="X4052">
        <f>IF(AND(U4052=1,N4052&gt;=H4052*(1-Assumptions!$C$8)),1,0)</f>
        <v/>
      </c>
      <c r="Y4052">
        <f>IF(ISNUMBER(Q4052),1,0)</f>
        <v/>
      </c>
      <c r="Z4052">
        <f>IF(AND(K4052=0,L4052=0,Y4052=0),1,0)</f>
        <v/>
      </c>
      <c r="AA4052">
        <f>IF(AND(Z4052=1,G4052&lt;Assumptions!$C$6),1,0)</f>
        <v/>
      </c>
      <c r="AB4052">
        <f>IF(U4052=0,"",IF(Y4052=1,MAX(0,Q4052-G4052),IF(L4052=1,MAX(0,R4052-G4052),MAX(0,Assumptions!$C$6-G4052))))</f>
        <v/>
      </c>
      <c r="AC4052">
        <f>IF(Y4052=1,Q4052-F4052,"")</f>
        <v/>
      </c>
      <c r="AD4052">
        <f>IF(Y4052=1,AC4052^2,"")</f>
        <v/>
      </c>
      <c r="AE4052" s="19">
        <f>IF(Z4052=1,(H4052-M4052)*I4052,0)</f>
        <v/>
      </c>
      <c r="AF4052">
        <f>IF(G4052&lt;EDATE(Assumptions!$C$6,-12)+1,"prior_12m","last_12m")</f>
        <v/>
      </c>
      <c r="AG4052" s="21">
        <f>DATE(YEAR(G4052),MONTH(G4052),1)</f>
        <v/>
      </c>
    </row>
    <row r="4053">
      <c r="A4053" t="inlineStr">
        <is>
          <t>SPO-02159-2</t>
        </is>
      </c>
      <c r="B4053" t="inlineStr">
        <is>
          <t>SPO-02159</t>
        </is>
      </c>
      <c r="C4053" t="inlineStr">
        <is>
          <t>SUP-02</t>
        </is>
      </c>
      <c r="D4053" t="inlineStr">
        <is>
          <t>ELEC</t>
        </is>
      </c>
      <c r="E4053" t="inlineStr">
        <is>
          <t>ELEC-03</t>
        </is>
      </c>
      <c r="F4053" s="17" t="n">
        <v>46170</v>
      </c>
      <c r="G4053" s="17" t="n">
        <v>46186</v>
      </c>
      <c r="H4053" s="18" t="n">
        <v>23</v>
      </c>
      <c r="I4053" s="19" t="n">
        <v>96.11</v>
      </c>
      <c r="J4053" s="19" t="n">
        <v>96</v>
      </c>
      <c r="K4053" s="20" t="n">
        <v>0</v>
      </c>
      <c r="L4053" s="20" t="n">
        <v>0</v>
      </c>
      <c r="M4053" s="18" t="n">
        <v>23</v>
      </c>
      <c r="N4053" s="18" t="n">
        <v>23</v>
      </c>
      <c r="O4053" s="18" t="n">
        <v>0</v>
      </c>
      <c r="P4053" s="17" t="n">
        <v>46183</v>
      </c>
      <c r="Q4053" s="17" t="n">
        <v>46183</v>
      </c>
      <c r="R4053" s="17" t="n">
        <v>46183</v>
      </c>
      <c r="S4053" s="19">
        <f>H4053*I4053</f>
        <v/>
      </c>
      <c r="T4053" s="19">
        <f>H4053*J4053</f>
        <v/>
      </c>
      <c r="U4053">
        <f>IF(AND(K4053=0,G4053&lt;=Assumptions!$C$6),1,0)</f>
        <v/>
      </c>
      <c r="V4053">
        <f>IF(U4053=1,IF(M4053&gt;0,IF(P4053&lt;=G4053+Assumptions!$C$7,1,0),0),0)</f>
        <v/>
      </c>
      <c r="W4053">
        <f>IF(AND(U4053=1,M4053&gt;=H4053*(1-Assumptions!$C$8)),1,0)</f>
        <v/>
      </c>
      <c r="X4053">
        <f>IF(AND(U4053=1,N4053&gt;=H4053*(1-Assumptions!$C$8)),1,0)</f>
        <v/>
      </c>
      <c r="Y4053">
        <f>IF(ISNUMBER(Q4053),1,0)</f>
        <v/>
      </c>
      <c r="Z4053">
        <f>IF(AND(K4053=0,L4053=0,Y4053=0),1,0)</f>
        <v/>
      </c>
      <c r="AA4053">
        <f>IF(AND(Z4053=1,G4053&lt;Assumptions!$C$6),1,0)</f>
        <v/>
      </c>
      <c r="AB4053">
        <f>IF(U4053=0,"",IF(Y4053=1,MAX(0,Q4053-G4053),IF(L4053=1,MAX(0,R4053-G4053),MAX(0,Assumptions!$C$6-G4053))))</f>
        <v/>
      </c>
      <c r="AC4053">
        <f>IF(Y4053=1,Q4053-F4053,"")</f>
        <v/>
      </c>
      <c r="AD4053">
        <f>IF(Y4053=1,AC4053^2,"")</f>
        <v/>
      </c>
      <c r="AE4053" s="19">
        <f>IF(Z4053=1,(H4053-M4053)*I4053,0)</f>
        <v/>
      </c>
      <c r="AF4053">
        <f>IF(G4053&lt;EDATE(Assumptions!$C$6,-12)+1,"prior_12m","last_12m")</f>
        <v/>
      </c>
      <c r="AG4053" s="21">
        <f>DATE(YEAR(G4053),MONTH(G4053),1)</f>
        <v/>
      </c>
    </row>
    <row r="4054">
      <c r="A4054" t="inlineStr">
        <is>
          <t>SPO-02160-1</t>
        </is>
      </c>
      <c r="B4054" t="inlineStr">
        <is>
          <t>SPO-02160</t>
        </is>
      </c>
      <c r="C4054" t="inlineStr">
        <is>
          <t>SUP-14</t>
        </is>
      </c>
      <c r="D4054" t="inlineStr">
        <is>
          <t>FLEET</t>
        </is>
      </c>
      <c r="E4054" t="inlineStr">
        <is>
          <t>FLEET-02</t>
        </is>
      </c>
      <c r="F4054" s="17" t="n">
        <v>46170</v>
      </c>
      <c r="G4054" s="17" t="n">
        <v>46184</v>
      </c>
      <c r="H4054" s="18" t="n">
        <v>310</v>
      </c>
      <c r="I4054" s="19" t="n">
        <v>7.96</v>
      </c>
      <c r="J4054" s="19" t="n">
        <v>7.5</v>
      </c>
      <c r="K4054" s="20" t="n">
        <v>0</v>
      </c>
      <c r="L4054" s="20" t="n">
        <v>0</v>
      </c>
      <c r="M4054" s="18" t="n">
        <v>310</v>
      </c>
      <c r="N4054" s="18" t="n">
        <v>310</v>
      </c>
      <c r="O4054" s="18" t="n">
        <v>0</v>
      </c>
      <c r="P4054" s="17" t="n">
        <v>46184</v>
      </c>
      <c r="Q4054" s="17" t="n">
        <v>46184</v>
      </c>
      <c r="R4054" s="17" t="n">
        <v>46184</v>
      </c>
      <c r="S4054" s="19">
        <f>H4054*I4054</f>
        <v/>
      </c>
      <c r="T4054" s="19">
        <f>H4054*J4054</f>
        <v/>
      </c>
      <c r="U4054">
        <f>IF(AND(K4054=0,G4054&lt;=Assumptions!$C$6),1,0)</f>
        <v/>
      </c>
      <c r="V4054">
        <f>IF(U4054=1,IF(M4054&gt;0,IF(P4054&lt;=G4054+Assumptions!$C$7,1,0),0),0)</f>
        <v/>
      </c>
      <c r="W4054">
        <f>IF(AND(U4054=1,M4054&gt;=H4054*(1-Assumptions!$C$8)),1,0)</f>
        <v/>
      </c>
      <c r="X4054">
        <f>IF(AND(U4054=1,N4054&gt;=H4054*(1-Assumptions!$C$8)),1,0)</f>
        <v/>
      </c>
      <c r="Y4054">
        <f>IF(ISNUMBER(Q4054),1,0)</f>
        <v/>
      </c>
      <c r="Z4054">
        <f>IF(AND(K4054=0,L4054=0,Y4054=0),1,0)</f>
        <v/>
      </c>
      <c r="AA4054">
        <f>IF(AND(Z4054=1,G4054&lt;Assumptions!$C$6),1,0)</f>
        <v/>
      </c>
      <c r="AB4054">
        <f>IF(U4054=0,"",IF(Y4054=1,MAX(0,Q4054-G4054),IF(L4054=1,MAX(0,R4054-G4054),MAX(0,Assumptions!$C$6-G4054))))</f>
        <v/>
      </c>
      <c r="AC4054">
        <f>IF(Y4054=1,Q4054-F4054,"")</f>
        <v/>
      </c>
      <c r="AD4054">
        <f>IF(Y4054=1,AC4054^2,"")</f>
        <v/>
      </c>
      <c r="AE4054" s="19">
        <f>IF(Z4054=1,(H4054-M4054)*I4054,0)</f>
        <v/>
      </c>
      <c r="AF4054">
        <f>IF(G4054&lt;EDATE(Assumptions!$C$6,-12)+1,"prior_12m","last_12m")</f>
        <v/>
      </c>
      <c r="AG4054" s="21">
        <f>DATE(YEAR(G4054),MONTH(G4054),1)</f>
        <v/>
      </c>
    </row>
    <row r="4055">
      <c r="A4055" t="inlineStr">
        <is>
          <t>SPO-02160-2</t>
        </is>
      </c>
      <c r="B4055" t="inlineStr">
        <is>
          <t>SPO-02160</t>
        </is>
      </c>
      <c r="C4055" t="inlineStr">
        <is>
          <t>SUP-14</t>
        </is>
      </c>
      <c r="D4055" t="inlineStr">
        <is>
          <t>FLEET</t>
        </is>
      </c>
      <c r="E4055" t="inlineStr">
        <is>
          <t>FLEET-04</t>
        </is>
      </c>
      <c r="F4055" s="17" t="n">
        <v>46170</v>
      </c>
      <c r="G4055" s="17" t="n">
        <v>46184</v>
      </c>
      <c r="H4055" s="18" t="n">
        <v>101</v>
      </c>
      <c r="I4055" s="19" t="n">
        <v>9.19</v>
      </c>
      <c r="J4055" s="19" t="n">
        <v>9</v>
      </c>
      <c r="K4055" s="20" t="n">
        <v>0</v>
      </c>
      <c r="L4055" s="20" t="n">
        <v>0</v>
      </c>
      <c r="M4055" s="18" t="n">
        <v>101</v>
      </c>
      <c r="N4055" s="18" t="n">
        <v>101</v>
      </c>
      <c r="O4055" s="18" t="n">
        <v>0</v>
      </c>
      <c r="P4055" s="17" t="n">
        <v>46182</v>
      </c>
      <c r="Q4055" s="17" t="n">
        <v>46182</v>
      </c>
      <c r="R4055" s="17" t="n">
        <v>46182</v>
      </c>
      <c r="S4055" s="19">
        <f>H4055*I4055</f>
        <v/>
      </c>
      <c r="T4055" s="19">
        <f>H4055*J4055</f>
        <v/>
      </c>
      <c r="U4055">
        <f>IF(AND(K4055=0,G4055&lt;=Assumptions!$C$6),1,0)</f>
        <v/>
      </c>
      <c r="V4055">
        <f>IF(U4055=1,IF(M4055&gt;0,IF(P4055&lt;=G4055+Assumptions!$C$7,1,0),0),0)</f>
        <v/>
      </c>
      <c r="W4055">
        <f>IF(AND(U4055=1,M4055&gt;=H4055*(1-Assumptions!$C$8)),1,0)</f>
        <v/>
      </c>
      <c r="X4055">
        <f>IF(AND(U4055=1,N4055&gt;=H4055*(1-Assumptions!$C$8)),1,0)</f>
        <v/>
      </c>
      <c r="Y4055">
        <f>IF(ISNUMBER(Q4055),1,0)</f>
        <v/>
      </c>
      <c r="Z4055">
        <f>IF(AND(K4055=0,L4055=0,Y4055=0),1,0)</f>
        <v/>
      </c>
      <c r="AA4055">
        <f>IF(AND(Z4055=1,G4055&lt;Assumptions!$C$6),1,0)</f>
        <v/>
      </c>
      <c r="AB4055">
        <f>IF(U4055=0,"",IF(Y4055=1,MAX(0,Q4055-G4055),IF(L4055=1,MAX(0,R4055-G4055),MAX(0,Assumptions!$C$6-G4055))))</f>
        <v/>
      </c>
      <c r="AC4055">
        <f>IF(Y4055=1,Q4055-F4055,"")</f>
        <v/>
      </c>
      <c r="AD4055">
        <f>IF(Y4055=1,AC4055^2,"")</f>
        <v/>
      </c>
      <c r="AE4055" s="19">
        <f>IF(Z4055=1,(H4055-M4055)*I4055,0)</f>
        <v/>
      </c>
      <c r="AF4055">
        <f>IF(G4055&lt;EDATE(Assumptions!$C$6,-12)+1,"prior_12m","last_12m")</f>
        <v/>
      </c>
      <c r="AG4055" s="21">
        <f>DATE(YEAR(G4055),MONTH(G4055),1)</f>
        <v/>
      </c>
    </row>
    <row r="4056">
      <c r="A4056" t="inlineStr">
        <is>
          <t>SPO-02161-1</t>
        </is>
      </c>
      <c r="B4056" t="inlineStr">
        <is>
          <t>SPO-02161</t>
        </is>
      </c>
      <c r="C4056" t="inlineStr">
        <is>
          <t>SUP-04</t>
        </is>
      </c>
      <c r="D4056" t="inlineStr">
        <is>
          <t>FLEET</t>
        </is>
      </c>
      <c r="E4056" t="inlineStr">
        <is>
          <t>FLEET-04</t>
        </is>
      </c>
      <c r="F4056" s="17" t="n">
        <v>46170</v>
      </c>
      <c r="G4056" s="17" t="n">
        <v>46183</v>
      </c>
      <c r="H4056" s="18" t="n">
        <v>371</v>
      </c>
      <c r="I4056" s="19" t="n">
        <v>8.84</v>
      </c>
      <c r="J4056" s="19" t="n">
        <v>9</v>
      </c>
      <c r="K4056" s="20" t="n">
        <v>0</v>
      </c>
      <c r="L4056" s="20" t="n">
        <v>0</v>
      </c>
      <c r="M4056" s="18" t="n">
        <v>371</v>
      </c>
      <c r="N4056" s="18" t="n">
        <v>0</v>
      </c>
      <c r="O4056" s="18" t="n">
        <v>56</v>
      </c>
      <c r="P4056" s="17" t="n">
        <v>46188</v>
      </c>
      <c r="Q4056" s="17" t="n">
        <v>46188</v>
      </c>
      <c r="R4056" s="17" t="n">
        <v>46188</v>
      </c>
      <c r="S4056" s="19">
        <f>H4056*I4056</f>
        <v/>
      </c>
      <c r="T4056" s="19">
        <f>H4056*J4056</f>
        <v/>
      </c>
      <c r="U4056">
        <f>IF(AND(K4056=0,G4056&lt;=Assumptions!$C$6),1,0)</f>
        <v/>
      </c>
      <c r="V4056">
        <f>IF(U4056=1,IF(M4056&gt;0,IF(P4056&lt;=G4056+Assumptions!$C$7,1,0),0),0)</f>
        <v/>
      </c>
      <c r="W4056">
        <f>IF(AND(U4056=1,M4056&gt;=H4056*(1-Assumptions!$C$8)),1,0)</f>
        <v/>
      </c>
      <c r="X4056">
        <f>IF(AND(U4056=1,N4056&gt;=H4056*(1-Assumptions!$C$8)),1,0)</f>
        <v/>
      </c>
      <c r="Y4056">
        <f>IF(ISNUMBER(Q4056),1,0)</f>
        <v/>
      </c>
      <c r="Z4056">
        <f>IF(AND(K4056=0,L4056=0,Y4056=0),1,0)</f>
        <v/>
      </c>
      <c r="AA4056">
        <f>IF(AND(Z4056=1,G4056&lt;Assumptions!$C$6),1,0)</f>
        <v/>
      </c>
      <c r="AB4056">
        <f>IF(U4056=0,"",IF(Y4056=1,MAX(0,Q4056-G4056),IF(L4056=1,MAX(0,R4056-G4056),MAX(0,Assumptions!$C$6-G4056))))</f>
        <v/>
      </c>
      <c r="AC4056">
        <f>IF(Y4056=1,Q4056-F4056,"")</f>
        <v/>
      </c>
      <c r="AD4056">
        <f>IF(Y4056=1,AC4056^2,"")</f>
        <v/>
      </c>
      <c r="AE4056" s="19">
        <f>IF(Z4056=1,(H4056-M4056)*I4056,0)</f>
        <v/>
      </c>
      <c r="AF4056">
        <f>IF(G4056&lt;EDATE(Assumptions!$C$6,-12)+1,"prior_12m","last_12m")</f>
        <v/>
      </c>
      <c r="AG4056" s="21">
        <f>DATE(YEAR(G4056),MONTH(G4056),1)</f>
        <v/>
      </c>
    </row>
    <row r="4057">
      <c r="A4057" t="inlineStr">
        <is>
          <t>SPO-02161-2</t>
        </is>
      </c>
      <c r="B4057" t="inlineStr">
        <is>
          <t>SPO-02161</t>
        </is>
      </c>
      <c r="C4057" t="inlineStr">
        <is>
          <t>SUP-04</t>
        </is>
      </c>
      <c r="D4057" t="inlineStr">
        <is>
          <t>FLEET</t>
        </is>
      </c>
      <c r="E4057" t="inlineStr">
        <is>
          <t>FLEET-06</t>
        </is>
      </c>
      <c r="F4057" s="17" t="n">
        <v>46170</v>
      </c>
      <c r="G4057" s="17" t="n">
        <v>46183</v>
      </c>
      <c r="H4057" s="18" t="n">
        <v>70</v>
      </c>
      <c r="I4057" s="19" t="n">
        <v>33.18</v>
      </c>
      <c r="J4057" s="19" t="n">
        <v>33</v>
      </c>
      <c r="K4057" s="20" t="n">
        <v>0</v>
      </c>
      <c r="L4057" s="20" t="n">
        <v>1</v>
      </c>
      <c r="M4057" s="18" t="n">
        <v>34</v>
      </c>
      <c r="N4057" s="18" t="n">
        <v>34</v>
      </c>
      <c r="O4057" s="18" t="n">
        <v>0</v>
      </c>
      <c r="P4057" s="17" t="n">
        <v>46177</v>
      </c>
      <c r="Q4057" s="17" t="n"/>
      <c r="R4057" s="17" t="n">
        <v>46177</v>
      </c>
      <c r="S4057" s="19">
        <f>H4057*I4057</f>
        <v/>
      </c>
      <c r="T4057" s="19">
        <f>H4057*J4057</f>
        <v/>
      </c>
      <c r="U4057">
        <f>IF(AND(K4057=0,G4057&lt;=Assumptions!$C$6),1,0)</f>
        <v/>
      </c>
      <c r="V4057">
        <f>IF(U4057=1,IF(M4057&gt;0,IF(P4057&lt;=G4057+Assumptions!$C$7,1,0),0),0)</f>
        <v/>
      </c>
      <c r="W4057">
        <f>IF(AND(U4057=1,M4057&gt;=H4057*(1-Assumptions!$C$8)),1,0)</f>
        <v/>
      </c>
      <c r="X4057">
        <f>IF(AND(U4057=1,N4057&gt;=H4057*(1-Assumptions!$C$8)),1,0)</f>
        <v/>
      </c>
      <c r="Y4057">
        <f>IF(ISNUMBER(Q4057),1,0)</f>
        <v/>
      </c>
      <c r="Z4057">
        <f>IF(AND(K4057=0,L4057=0,Y4057=0),1,0)</f>
        <v/>
      </c>
      <c r="AA4057">
        <f>IF(AND(Z4057=1,G4057&lt;Assumptions!$C$6),1,0)</f>
        <v/>
      </c>
      <c r="AB4057">
        <f>IF(U4057=0,"",IF(Y4057=1,MAX(0,Q4057-G4057),IF(L4057=1,MAX(0,R4057-G4057),MAX(0,Assumptions!$C$6-G4057))))</f>
        <v/>
      </c>
      <c r="AC4057">
        <f>IF(Y4057=1,Q4057-F4057,"")</f>
        <v/>
      </c>
      <c r="AD4057">
        <f>IF(Y4057=1,AC4057^2,"")</f>
        <v/>
      </c>
      <c r="AE4057" s="19">
        <f>IF(Z4057=1,(H4057-M4057)*I4057,0)</f>
        <v/>
      </c>
      <c r="AF4057">
        <f>IF(G4057&lt;EDATE(Assumptions!$C$6,-12)+1,"prior_12m","last_12m")</f>
        <v/>
      </c>
      <c r="AG4057" s="21">
        <f>DATE(YEAR(G4057),MONTH(G4057),1)</f>
        <v/>
      </c>
    </row>
    <row r="4058">
      <c r="A4058" t="inlineStr">
        <is>
          <t>SPO-02162-1</t>
        </is>
      </c>
      <c r="B4058" t="inlineStr">
        <is>
          <t>SPO-02162</t>
        </is>
      </c>
      <c r="C4058" t="inlineStr">
        <is>
          <t>SUP-05</t>
        </is>
      </c>
      <c r="D4058" t="inlineStr">
        <is>
          <t>FLEET</t>
        </is>
      </c>
      <c r="E4058" t="inlineStr">
        <is>
          <t>FLEET-08</t>
        </is>
      </c>
      <c r="F4058" s="17" t="n">
        <v>46171</v>
      </c>
      <c r="G4058" s="17" t="n">
        <v>46185</v>
      </c>
      <c r="H4058" s="18" t="n">
        <v>331</v>
      </c>
      <c r="I4058" s="19" t="n">
        <v>6.35</v>
      </c>
      <c r="J4058" s="19" t="n">
        <v>6.4</v>
      </c>
      <c r="K4058" s="20" t="n">
        <v>0</v>
      </c>
      <c r="L4058" s="20" t="n">
        <v>0</v>
      </c>
      <c r="M4058" s="18" t="n">
        <v>331</v>
      </c>
      <c r="N4058" s="18" t="n">
        <v>331</v>
      </c>
      <c r="O4058" s="18" t="n">
        <v>0</v>
      </c>
      <c r="P4058" s="17" t="n">
        <v>46179</v>
      </c>
      <c r="Q4058" s="17" t="n">
        <v>46179</v>
      </c>
      <c r="R4058" s="17" t="n">
        <v>46179</v>
      </c>
      <c r="S4058" s="19">
        <f>H4058*I4058</f>
        <v/>
      </c>
      <c r="T4058" s="19">
        <f>H4058*J4058</f>
        <v/>
      </c>
      <c r="U4058">
        <f>IF(AND(K4058=0,G4058&lt;=Assumptions!$C$6),1,0)</f>
        <v/>
      </c>
      <c r="V4058">
        <f>IF(U4058=1,IF(M4058&gt;0,IF(P4058&lt;=G4058+Assumptions!$C$7,1,0),0),0)</f>
        <v/>
      </c>
      <c r="W4058">
        <f>IF(AND(U4058=1,M4058&gt;=H4058*(1-Assumptions!$C$8)),1,0)</f>
        <v/>
      </c>
      <c r="X4058">
        <f>IF(AND(U4058=1,N4058&gt;=H4058*(1-Assumptions!$C$8)),1,0)</f>
        <v/>
      </c>
      <c r="Y4058">
        <f>IF(ISNUMBER(Q4058),1,0)</f>
        <v/>
      </c>
      <c r="Z4058">
        <f>IF(AND(K4058=0,L4058=0,Y4058=0),1,0)</f>
        <v/>
      </c>
      <c r="AA4058">
        <f>IF(AND(Z4058=1,G4058&lt;Assumptions!$C$6),1,0)</f>
        <v/>
      </c>
      <c r="AB4058">
        <f>IF(U4058=0,"",IF(Y4058=1,MAX(0,Q4058-G4058),IF(L4058=1,MAX(0,R4058-G4058),MAX(0,Assumptions!$C$6-G4058))))</f>
        <v/>
      </c>
      <c r="AC4058">
        <f>IF(Y4058=1,Q4058-F4058,"")</f>
        <v/>
      </c>
      <c r="AD4058">
        <f>IF(Y4058=1,AC4058^2,"")</f>
        <v/>
      </c>
      <c r="AE4058" s="19">
        <f>IF(Z4058=1,(H4058-M4058)*I4058,0)</f>
        <v/>
      </c>
      <c r="AF4058">
        <f>IF(G4058&lt;EDATE(Assumptions!$C$6,-12)+1,"prior_12m","last_12m")</f>
        <v/>
      </c>
      <c r="AG4058" s="21">
        <f>DATE(YEAR(G4058),MONTH(G4058),1)</f>
        <v/>
      </c>
    </row>
    <row r="4059">
      <c r="A4059" t="inlineStr">
        <is>
          <t>SPO-02163-1</t>
        </is>
      </c>
      <c r="B4059" t="inlineStr">
        <is>
          <t>SPO-02163</t>
        </is>
      </c>
      <c r="C4059" t="inlineStr">
        <is>
          <t>SUP-06</t>
        </is>
      </c>
      <c r="D4059" t="inlineStr">
        <is>
          <t>MRO</t>
        </is>
      </c>
      <c r="E4059" t="inlineStr">
        <is>
          <t>MRO-06</t>
        </is>
      </c>
      <c r="F4059" s="17" t="n">
        <v>46171</v>
      </c>
      <c r="G4059" s="17" t="n">
        <v>46179</v>
      </c>
      <c r="H4059" s="18" t="n">
        <v>159</v>
      </c>
      <c r="I4059" s="19" t="n">
        <v>6.02</v>
      </c>
      <c r="J4059" s="19" t="n">
        <v>6.1</v>
      </c>
      <c r="K4059" s="20" t="n">
        <v>0</v>
      </c>
      <c r="L4059" s="20" t="n">
        <v>0</v>
      </c>
      <c r="M4059" s="18" t="n">
        <v>159</v>
      </c>
      <c r="N4059" s="18" t="n">
        <v>159</v>
      </c>
      <c r="O4059" s="18" t="n">
        <v>0</v>
      </c>
      <c r="P4059" s="17" t="n">
        <v>46176</v>
      </c>
      <c r="Q4059" s="17" t="n">
        <v>46176</v>
      </c>
      <c r="R4059" s="17" t="n">
        <v>46176</v>
      </c>
      <c r="S4059" s="19">
        <f>H4059*I4059</f>
        <v/>
      </c>
      <c r="T4059" s="19">
        <f>H4059*J4059</f>
        <v/>
      </c>
      <c r="U4059">
        <f>IF(AND(K4059=0,G4059&lt;=Assumptions!$C$6),1,0)</f>
        <v/>
      </c>
      <c r="V4059">
        <f>IF(U4059=1,IF(M4059&gt;0,IF(P4059&lt;=G4059+Assumptions!$C$7,1,0),0),0)</f>
        <v/>
      </c>
      <c r="W4059">
        <f>IF(AND(U4059=1,M4059&gt;=H4059*(1-Assumptions!$C$8)),1,0)</f>
        <v/>
      </c>
      <c r="X4059">
        <f>IF(AND(U4059=1,N4059&gt;=H4059*(1-Assumptions!$C$8)),1,0)</f>
        <v/>
      </c>
      <c r="Y4059">
        <f>IF(ISNUMBER(Q4059),1,0)</f>
        <v/>
      </c>
      <c r="Z4059">
        <f>IF(AND(K4059=0,L4059=0,Y4059=0),1,0)</f>
        <v/>
      </c>
      <c r="AA4059">
        <f>IF(AND(Z4059=1,G4059&lt;Assumptions!$C$6),1,0)</f>
        <v/>
      </c>
      <c r="AB4059">
        <f>IF(U4059=0,"",IF(Y4059=1,MAX(0,Q4059-G4059),IF(L4059=1,MAX(0,R4059-G4059),MAX(0,Assumptions!$C$6-G4059))))</f>
        <v/>
      </c>
      <c r="AC4059">
        <f>IF(Y4059=1,Q4059-F4059,"")</f>
        <v/>
      </c>
      <c r="AD4059">
        <f>IF(Y4059=1,AC4059^2,"")</f>
        <v/>
      </c>
      <c r="AE4059" s="19">
        <f>IF(Z4059=1,(H4059-M4059)*I4059,0)</f>
        <v/>
      </c>
      <c r="AF4059">
        <f>IF(G4059&lt;EDATE(Assumptions!$C$6,-12)+1,"prior_12m","last_12m")</f>
        <v/>
      </c>
      <c r="AG4059" s="21">
        <f>DATE(YEAR(G4059),MONTH(G4059),1)</f>
        <v/>
      </c>
    </row>
    <row r="4060">
      <c r="A4060" t="inlineStr">
        <is>
          <t>SPO-02163-2</t>
        </is>
      </c>
      <c r="B4060" t="inlineStr">
        <is>
          <t>SPO-02163</t>
        </is>
      </c>
      <c r="C4060" t="inlineStr">
        <is>
          <t>SUP-06</t>
        </is>
      </c>
      <c r="D4060" t="inlineStr">
        <is>
          <t>MRO</t>
        </is>
      </c>
      <c r="E4060" t="inlineStr">
        <is>
          <t>MRO-03</t>
        </is>
      </c>
      <c r="F4060" s="17" t="n">
        <v>46171</v>
      </c>
      <c r="G4060" s="17" t="n">
        <v>46179</v>
      </c>
      <c r="H4060" s="18" t="n">
        <v>186</v>
      </c>
      <c r="I4060" s="19" t="n">
        <v>8.539999999999999</v>
      </c>
      <c r="J4060" s="19" t="n">
        <v>8.9</v>
      </c>
      <c r="K4060" s="20" t="n">
        <v>0</v>
      </c>
      <c r="L4060" s="20" t="n">
        <v>0</v>
      </c>
      <c r="M4060" s="18" t="n">
        <v>186</v>
      </c>
      <c r="N4060" s="18" t="n">
        <v>96</v>
      </c>
      <c r="O4060" s="18" t="n">
        <v>0</v>
      </c>
      <c r="P4060" s="17" t="n">
        <v>46177</v>
      </c>
      <c r="Q4060" s="17" t="n">
        <v>46185</v>
      </c>
      <c r="R4060" s="17" t="n">
        <v>46185</v>
      </c>
      <c r="S4060" s="19">
        <f>H4060*I4060</f>
        <v/>
      </c>
      <c r="T4060" s="19">
        <f>H4060*J4060</f>
        <v/>
      </c>
      <c r="U4060">
        <f>IF(AND(K4060=0,G4060&lt;=Assumptions!$C$6),1,0)</f>
        <v/>
      </c>
      <c r="V4060">
        <f>IF(U4060=1,IF(M4060&gt;0,IF(P4060&lt;=G4060+Assumptions!$C$7,1,0),0),0)</f>
        <v/>
      </c>
      <c r="W4060">
        <f>IF(AND(U4060=1,M4060&gt;=H4060*(1-Assumptions!$C$8)),1,0)</f>
        <v/>
      </c>
      <c r="X4060">
        <f>IF(AND(U4060=1,N4060&gt;=H4060*(1-Assumptions!$C$8)),1,0)</f>
        <v/>
      </c>
      <c r="Y4060">
        <f>IF(ISNUMBER(Q4060),1,0)</f>
        <v/>
      </c>
      <c r="Z4060">
        <f>IF(AND(K4060=0,L4060=0,Y4060=0),1,0)</f>
        <v/>
      </c>
      <c r="AA4060">
        <f>IF(AND(Z4060=1,G4060&lt;Assumptions!$C$6),1,0)</f>
        <v/>
      </c>
      <c r="AB4060">
        <f>IF(U4060=0,"",IF(Y4060=1,MAX(0,Q4060-G4060),IF(L4060=1,MAX(0,R4060-G4060),MAX(0,Assumptions!$C$6-G4060))))</f>
        <v/>
      </c>
      <c r="AC4060">
        <f>IF(Y4060=1,Q4060-F4060,"")</f>
        <v/>
      </c>
      <c r="AD4060">
        <f>IF(Y4060=1,AC4060^2,"")</f>
        <v/>
      </c>
      <c r="AE4060" s="19">
        <f>IF(Z4060=1,(H4060-M4060)*I4060,0)</f>
        <v/>
      </c>
      <c r="AF4060">
        <f>IF(G4060&lt;EDATE(Assumptions!$C$6,-12)+1,"prior_12m","last_12m")</f>
        <v/>
      </c>
      <c r="AG4060" s="21">
        <f>DATE(YEAR(G4060),MONTH(G4060),1)</f>
        <v/>
      </c>
    </row>
    <row r="4061">
      <c r="A4061" t="inlineStr">
        <is>
          <t>SPO-02164-1</t>
        </is>
      </c>
      <c r="B4061" t="inlineStr">
        <is>
          <t>SPO-02164</t>
        </is>
      </c>
      <c r="C4061" t="inlineStr">
        <is>
          <t>SUP-06</t>
        </is>
      </c>
      <c r="D4061" t="inlineStr">
        <is>
          <t>MRO</t>
        </is>
      </c>
      <c r="E4061" t="inlineStr">
        <is>
          <t>MRO-04</t>
        </is>
      </c>
      <c r="F4061" s="17" t="n">
        <v>46171</v>
      </c>
      <c r="G4061" s="17" t="n">
        <v>46179</v>
      </c>
      <c r="H4061" s="18" t="n">
        <v>35</v>
      </c>
      <c r="I4061" s="19" t="n">
        <v>60.37</v>
      </c>
      <c r="J4061" s="19" t="n">
        <v>58</v>
      </c>
      <c r="K4061" s="20" t="n">
        <v>0</v>
      </c>
      <c r="L4061" s="20" t="n">
        <v>0</v>
      </c>
      <c r="M4061" s="18" t="n">
        <v>35</v>
      </c>
      <c r="N4061" s="18" t="n">
        <v>35</v>
      </c>
      <c r="O4061" s="18" t="n">
        <v>0</v>
      </c>
      <c r="P4061" s="17" t="n">
        <v>46177</v>
      </c>
      <c r="Q4061" s="17" t="n">
        <v>46177</v>
      </c>
      <c r="R4061" s="17" t="n">
        <v>46177</v>
      </c>
      <c r="S4061" s="19">
        <f>H4061*I4061</f>
        <v/>
      </c>
      <c r="T4061" s="19">
        <f>H4061*J4061</f>
        <v/>
      </c>
      <c r="U4061">
        <f>IF(AND(K4061=0,G4061&lt;=Assumptions!$C$6),1,0)</f>
        <v/>
      </c>
      <c r="V4061">
        <f>IF(U4061=1,IF(M4061&gt;0,IF(P4061&lt;=G4061+Assumptions!$C$7,1,0),0),0)</f>
        <v/>
      </c>
      <c r="W4061">
        <f>IF(AND(U4061=1,M4061&gt;=H4061*(1-Assumptions!$C$8)),1,0)</f>
        <v/>
      </c>
      <c r="X4061">
        <f>IF(AND(U4061=1,N4061&gt;=H4061*(1-Assumptions!$C$8)),1,0)</f>
        <v/>
      </c>
      <c r="Y4061">
        <f>IF(ISNUMBER(Q4061),1,0)</f>
        <v/>
      </c>
      <c r="Z4061">
        <f>IF(AND(K4061=0,L4061=0,Y4061=0),1,0)</f>
        <v/>
      </c>
      <c r="AA4061">
        <f>IF(AND(Z4061=1,G4061&lt;Assumptions!$C$6),1,0)</f>
        <v/>
      </c>
      <c r="AB4061">
        <f>IF(U4061=0,"",IF(Y4061=1,MAX(0,Q4061-G4061),IF(L4061=1,MAX(0,R4061-G4061),MAX(0,Assumptions!$C$6-G4061))))</f>
        <v/>
      </c>
      <c r="AC4061">
        <f>IF(Y4061=1,Q4061-F4061,"")</f>
        <v/>
      </c>
      <c r="AD4061">
        <f>IF(Y4061=1,AC4061^2,"")</f>
        <v/>
      </c>
      <c r="AE4061" s="19">
        <f>IF(Z4061=1,(H4061-M4061)*I4061,0)</f>
        <v/>
      </c>
      <c r="AF4061">
        <f>IF(G4061&lt;EDATE(Assumptions!$C$6,-12)+1,"prior_12m","last_12m")</f>
        <v/>
      </c>
      <c r="AG4061" s="21">
        <f>DATE(YEAR(G4061),MONTH(G4061),1)</f>
        <v/>
      </c>
    </row>
    <row r="4062">
      <c r="A4062" t="inlineStr">
        <is>
          <t>SPO-02164-2</t>
        </is>
      </c>
      <c r="B4062" t="inlineStr">
        <is>
          <t>SPO-02164</t>
        </is>
      </c>
      <c r="C4062" t="inlineStr">
        <is>
          <t>SUP-06</t>
        </is>
      </c>
      <c r="D4062" t="inlineStr">
        <is>
          <t>MRO</t>
        </is>
      </c>
      <c r="E4062" t="inlineStr">
        <is>
          <t>MRO-05</t>
        </is>
      </c>
      <c r="F4062" s="17" t="n">
        <v>46171</v>
      </c>
      <c r="G4062" s="17" t="n">
        <v>46179</v>
      </c>
      <c r="H4062" s="18" t="n">
        <v>39</v>
      </c>
      <c r="I4062" s="19" t="n">
        <v>35.04</v>
      </c>
      <c r="J4062" s="19" t="n">
        <v>36</v>
      </c>
      <c r="K4062" s="20" t="n">
        <v>0</v>
      </c>
      <c r="L4062" s="20" t="n">
        <v>0</v>
      </c>
      <c r="M4062" s="18" t="n">
        <v>39</v>
      </c>
      <c r="N4062" s="18" t="n">
        <v>39</v>
      </c>
      <c r="O4062" s="18" t="n">
        <v>0</v>
      </c>
      <c r="P4062" s="17" t="n">
        <v>46177</v>
      </c>
      <c r="Q4062" s="17" t="n">
        <v>46177</v>
      </c>
      <c r="R4062" s="17" t="n">
        <v>46177</v>
      </c>
      <c r="S4062" s="19">
        <f>H4062*I4062</f>
        <v/>
      </c>
      <c r="T4062" s="19">
        <f>H4062*J4062</f>
        <v/>
      </c>
      <c r="U4062">
        <f>IF(AND(K4062=0,G4062&lt;=Assumptions!$C$6),1,0)</f>
        <v/>
      </c>
      <c r="V4062">
        <f>IF(U4062=1,IF(M4062&gt;0,IF(P4062&lt;=G4062+Assumptions!$C$7,1,0),0),0)</f>
        <v/>
      </c>
      <c r="W4062">
        <f>IF(AND(U4062=1,M4062&gt;=H4062*(1-Assumptions!$C$8)),1,0)</f>
        <v/>
      </c>
      <c r="X4062">
        <f>IF(AND(U4062=1,N4062&gt;=H4062*(1-Assumptions!$C$8)),1,0)</f>
        <v/>
      </c>
      <c r="Y4062">
        <f>IF(ISNUMBER(Q4062),1,0)</f>
        <v/>
      </c>
      <c r="Z4062">
        <f>IF(AND(K4062=0,L4062=0,Y4062=0),1,0)</f>
        <v/>
      </c>
      <c r="AA4062">
        <f>IF(AND(Z4062=1,G4062&lt;Assumptions!$C$6),1,0)</f>
        <v/>
      </c>
      <c r="AB4062">
        <f>IF(U4062=0,"",IF(Y4062=1,MAX(0,Q4062-G4062),IF(L4062=1,MAX(0,R4062-G4062),MAX(0,Assumptions!$C$6-G4062))))</f>
        <v/>
      </c>
      <c r="AC4062">
        <f>IF(Y4062=1,Q4062-F4062,"")</f>
        <v/>
      </c>
      <c r="AD4062">
        <f>IF(Y4062=1,AC4062^2,"")</f>
        <v/>
      </c>
      <c r="AE4062" s="19">
        <f>IF(Z4062=1,(H4062-M4062)*I4062,0)</f>
        <v/>
      </c>
      <c r="AF4062">
        <f>IF(G4062&lt;EDATE(Assumptions!$C$6,-12)+1,"prior_12m","last_12m")</f>
        <v/>
      </c>
      <c r="AG4062" s="21">
        <f>DATE(YEAR(G4062),MONTH(G4062),1)</f>
        <v/>
      </c>
    </row>
    <row r="4063">
      <c r="A4063" t="inlineStr">
        <is>
          <t>SPO-02165-1</t>
        </is>
      </c>
      <c r="B4063" t="inlineStr">
        <is>
          <t>SPO-02165</t>
        </is>
      </c>
      <c r="C4063" t="inlineStr">
        <is>
          <t>SUP-01</t>
        </is>
      </c>
      <c r="D4063" t="inlineStr">
        <is>
          <t>ELEC</t>
        </is>
      </c>
      <c r="E4063" t="inlineStr">
        <is>
          <t>ELEC-07</t>
        </is>
      </c>
      <c r="F4063" s="17" t="n">
        <v>46171</v>
      </c>
      <c r="G4063" s="17" t="n">
        <v>46189</v>
      </c>
      <c r="H4063" s="18" t="n">
        <v>721</v>
      </c>
      <c r="I4063" s="19" t="n">
        <v>9.800000000000001</v>
      </c>
      <c r="J4063" s="19" t="n">
        <v>9.800000000000001</v>
      </c>
      <c r="K4063" s="20" t="n">
        <v>1</v>
      </c>
      <c r="L4063" s="20" t="n">
        <v>0</v>
      </c>
      <c r="M4063" s="18" t="n">
        <v>0</v>
      </c>
      <c r="N4063" s="18" t="n">
        <v>0</v>
      </c>
      <c r="O4063" s="18" t="n">
        <v>0</v>
      </c>
      <c r="P4063" s="17" t="n"/>
      <c r="Q4063" s="17" t="n"/>
      <c r="R4063" s="17" t="n"/>
      <c r="S4063" s="19">
        <f>H4063*I4063</f>
        <v/>
      </c>
      <c r="T4063" s="19">
        <f>H4063*J4063</f>
        <v/>
      </c>
      <c r="U4063">
        <f>IF(AND(K4063=0,G4063&lt;=Assumptions!$C$6),1,0)</f>
        <v/>
      </c>
      <c r="V4063">
        <f>IF(U4063=1,IF(M4063&gt;0,IF(P4063&lt;=G4063+Assumptions!$C$7,1,0),0),0)</f>
        <v/>
      </c>
      <c r="W4063">
        <f>IF(AND(U4063=1,M4063&gt;=H4063*(1-Assumptions!$C$8)),1,0)</f>
        <v/>
      </c>
      <c r="X4063">
        <f>IF(AND(U4063=1,N4063&gt;=H4063*(1-Assumptions!$C$8)),1,0)</f>
        <v/>
      </c>
      <c r="Y4063">
        <f>IF(ISNUMBER(Q4063),1,0)</f>
        <v/>
      </c>
      <c r="Z4063">
        <f>IF(AND(K4063=0,L4063=0,Y4063=0),1,0)</f>
        <v/>
      </c>
      <c r="AA4063">
        <f>IF(AND(Z4063=1,G4063&lt;Assumptions!$C$6),1,0)</f>
        <v/>
      </c>
      <c r="AB4063">
        <f>IF(U4063=0,"",IF(Y4063=1,MAX(0,Q4063-G4063),IF(L4063=1,MAX(0,R4063-G4063),MAX(0,Assumptions!$C$6-G4063))))</f>
        <v/>
      </c>
      <c r="AC4063">
        <f>IF(Y4063=1,Q4063-F4063,"")</f>
        <v/>
      </c>
      <c r="AD4063">
        <f>IF(Y4063=1,AC4063^2,"")</f>
        <v/>
      </c>
      <c r="AE4063" s="19">
        <f>IF(Z4063=1,(H4063-M4063)*I4063,0)</f>
        <v/>
      </c>
      <c r="AF4063">
        <f>IF(G4063&lt;EDATE(Assumptions!$C$6,-12)+1,"prior_12m","last_12m")</f>
        <v/>
      </c>
      <c r="AG4063" s="21">
        <f>DATE(YEAR(G4063),MONTH(G4063),1)</f>
        <v/>
      </c>
    </row>
    <row r="4064">
      <c r="A4064" t="inlineStr">
        <is>
          <t>SPO-02165-2</t>
        </is>
      </c>
      <c r="B4064" t="inlineStr">
        <is>
          <t>SPO-02165</t>
        </is>
      </c>
      <c r="C4064" t="inlineStr">
        <is>
          <t>SUP-01</t>
        </is>
      </c>
      <c r="D4064" t="inlineStr">
        <is>
          <t>ELEC</t>
        </is>
      </c>
      <c r="E4064" t="inlineStr">
        <is>
          <t>ELEC-05</t>
        </is>
      </c>
      <c r="F4064" s="17" t="n">
        <v>46171</v>
      </c>
      <c r="G4064" s="17" t="n">
        <v>46189</v>
      </c>
      <c r="H4064" s="18" t="n">
        <v>206</v>
      </c>
      <c r="I4064" s="19" t="n">
        <v>11.96</v>
      </c>
      <c r="J4064" s="19" t="n">
        <v>11.5</v>
      </c>
      <c r="K4064" s="20" t="n">
        <v>0</v>
      </c>
      <c r="L4064" s="20" t="n">
        <v>0</v>
      </c>
      <c r="M4064" s="18" t="n">
        <v>206</v>
      </c>
      <c r="N4064" s="18" t="n">
        <v>206</v>
      </c>
      <c r="O4064" s="18" t="n">
        <v>0</v>
      </c>
      <c r="P4064" s="17" t="n">
        <v>46181</v>
      </c>
      <c r="Q4064" s="17" t="n">
        <v>46181</v>
      </c>
      <c r="R4064" s="17" t="n">
        <v>46181</v>
      </c>
      <c r="S4064" s="19">
        <f>H4064*I4064</f>
        <v/>
      </c>
      <c r="T4064" s="19">
        <f>H4064*J4064</f>
        <v/>
      </c>
      <c r="U4064">
        <f>IF(AND(K4064=0,G4064&lt;=Assumptions!$C$6),1,0)</f>
        <v/>
      </c>
      <c r="V4064">
        <f>IF(U4064=1,IF(M4064&gt;0,IF(P4064&lt;=G4064+Assumptions!$C$7,1,0),0),0)</f>
        <v/>
      </c>
      <c r="W4064">
        <f>IF(AND(U4064=1,M4064&gt;=H4064*(1-Assumptions!$C$8)),1,0)</f>
        <v/>
      </c>
      <c r="X4064">
        <f>IF(AND(U4064=1,N4064&gt;=H4064*(1-Assumptions!$C$8)),1,0)</f>
        <v/>
      </c>
      <c r="Y4064">
        <f>IF(ISNUMBER(Q4064),1,0)</f>
        <v/>
      </c>
      <c r="Z4064">
        <f>IF(AND(K4064=0,L4064=0,Y4064=0),1,0)</f>
        <v/>
      </c>
      <c r="AA4064">
        <f>IF(AND(Z4064=1,G4064&lt;Assumptions!$C$6),1,0)</f>
        <v/>
      </c>
      <c r="AB4064">
        <f>IF(U4064=0,"",IF(Y4064=1,MAX(0,Q4064-G4064),IF(L4064=1,MAX(0,R4064-G4064),MAX(0,Assumptions!$C$6-G4064))))</f>
        <v/>
      </c>
      <c r="AC4064">
        <f>IF(Y4064=1,Q4064-F4064,"")</f>
        <v/>
      </c>
      <c r="AD4064">
        <f>IF(Y4064=1,AC4064^2,"")</f>
        <v/>
      </c>
      <c r="AE4064" s="19">
        <f>IF(Z4064=1,(H4064-M4064)*I4064,0)</f>
        <v/>
      </c>
      <c r="AF4064">
        <f>IF(G4064&lt;EDATE(Assumptions!$C$6,-12)+1,"prior_12m","last_12m")</f>
        <v/>
      </c>
      <c r="AG4064" s="21">
        <f>DATE(YEAR(G4064),MONTH(G4064),1)</f>
        <v/>
      </c>
    </row>
    <row r="4065">
      <c r="A4065" t="inlineStr">
        <is>
          <t>SPO-02165-3</t>
        </is>
      </c>
      <c r="B4065" t="inlineStr">
        <is>
          <t>SPO-02165</t>
        </is>
      </c>
      <c r="C4065" t="inlineStr">
        <is>
          <t>SUP-01</t>
        </is>
      </c>
      <c r="D4065" t="inlineStr">
        <is>
          <t>ELEC</t>
        </is>
      </c>
      <c r="E4065" t="inlineStr">
        <is>
          <t>ELEC-03</t>
        </is>
      </c>
      <c r="F4065" s="17" t="n">
        <v>46171</v>
      </c>
      <c r="G4065" s="17" t="n">
        <v>46189</v>
      </c>
      <c r="H4065" s="18" t="n">
        <v>23</v>
      </c>
      <c r="I4065" s="19" t="n">
        <v>97.45999999999999</v>
      </c>
      <c r="J4065" s="19" t="n">
        <v>96</v>
      </c>
      <c r="K4065" s="20" t="n">
        <v>0</v>
      </c>
      <c r="L4065" s="20" t="n">
        <v>0</v>
      </c>
      <c r="M4065" s="18" t="n">
        <v>23</v>
      </c>
      <c r="N4065" s="18" t="n">
        <v>23</v>
      </c>
      <c r="O4065" s="18" t="n">
        <v>0</v>
      </c>
      <c r="P4065" s="17" t="n">
        <v>46175</v>
      </c>
      <c r="Q4065" s="17" t="n">
        <v>46175</v>
      </c>
      <c r="R4065" s="17" t="n">
        <v>46175</v>
      </c>
      <c r="S4065" s="19">
        <f>H4065*I4065</f>
        <v/>
      </c>
      <c r="T4065" s="19">
        <f>H4065*J4065</f>
        <v/>
      </c>
      <c r="U4065">
        <f>IF(AND(K4065=0,G4065&lt;=Assumptions!$C$6),1,0)</f>
        <v/>
      </c>
      <c r="V4065">
        <f>IF(U4065=1,IF(M4065&gt;0,IF(P4065&lt;=G4065+Assumptions!$C$7,1,0),0),0)</f>
        <v/>
      </c>
      <c r="W4065">
        <f>IF(AND(U4065=1,M4065&gt;=H4065*(1-Assumptions!$C$8)),1,0)</f>
        <v/>
      </c>
      <c r="X4065">
        <f>IF(AND(U4065=1,N4065&gt;=H4065*(1-Assumptions!$C$8)),1,0)</f>
        <v/>
      </c>
      <c r="Y4065">
        <f>IF(ISNUMBER(Q4065),1,0)</f>
        <v/>
      </c>
      <c r="Z4065">
        <f>IF(AND(K4065=0,L4065=0,Y4065=0),1,0)</f>
        <v/>
      </c>
      <c r="AA4065">
        <f>IF(AND(Z4065=1,G4065&lt;Assumptions!$C$6),1,0)</f>
        <v/>
      </c>
      <c r="AB4065">
        <f>IF(U4065=0,"",IF(Y4065=1,MAX(0,Q4065-G4065),IF(L4065=1,MAX(0,R4065-G4065),MAX(0,Assumptions!$C$6-G4065))))</f>
        <v/>
      </c>
      <c r="AC4065">
        <f>IF(Y4065=1,Q4065-F4065,"")</f>
        <v/>
      </c>
      <c r="AD4065">
        <f>IF(Y4065=1,AC4065^2,"")</f>
        <v/>
      </c>
      <c r="AE4065" s="19">
        <f>IF(Z4065=1,(H4065-M4065)*I4065,0)</f>
        <v/>
      </c>
      <c r="AF4065">
        <f>IF(G4065&lt;EDATE(Assumptions!$C$6,-12)+1,"prior_12m","last_12m")</f>
        <v/>
      </c>
      <c r="AG4065" s="21">
        <f>DATE(YEAR(G4065),MONTH(G4065),1)</f>
        <v/>
      </c>
    </row>
    <row r="4066">
      <c r="A4066" t="inlineStr">
        <is>
          <t>SPO-02165-4</t>
        </is>
      </c>
      <c r="B4066" t="inlineStr">
        <is>
          <t>SPO-02165</t>
        </is>
      </c>
      <c r="C4066" t="inlineStr">
        <is>
          <t>SUP-01</t>
        </is>
      </c>
      <c r="D4066" t="inlineStr">
        <is>
          <t>ELEC</t>
        </is>
      </c>
      <c r="E4066" t="inlineStr">
        <is>
          <t>ELEC-08</t>
        </is>
      </c>
      <c r="F4066" s="17" t="n">
        <v>46171</v>
      </c>
      <c r="G4066" s="17" t="n">
        <v>46189</v>
      </c>
      <c r="H4066" s="18" t="n">
        <v>182</v>
      </c>
      <c r="I4066" s="19" t="n">
        <v>18.4</v>
      </c>
      <c r="J4066" s="19" t="n">
        <v>18</v>
      </c>
      <c r="K4066" s="20" t="n">
        <v>0</v>
      </c>
      <c r="L4066" s="20" t="n">
        <v>0</v>
      </c>
      <c r="M4066" s="18" t="n">
        <v>182</v>
      </c>
      <c r="N4066" s="18" t="n">
        <v>90</v>
      </c>
      <c r="O4066" s="18" t="n">
        <v>0</v>
      </c>
      <c r="P4066" s="17" t="n">
        <v>46180</v>
      </c>
      <c r="Q4066" s="17" t="n">
        <v>46198</v>
      </c>
      <c r="R4066" s="17" t="n">
        <v>46198</v>
      </c>
      <c r="S4066" s="19">
        <f>H4066*I4066</f>
        <v/>
      </c>
      <c r="T4066" s="19">
        <f>H4066*J4066</f>
        <v/>
      </c>
      <c r="U4066">
        <f>IF(AND(K4066=0,G4066&lt;=Assumptions!$C$6),1,0)</f>
        <v/>
      </c>
      <c r="V4066">
        <f>IF(U4066=1,IF(M4066&gt;0,IF(P4066&lt;=G4066+Assumptions!$C$7,1,0),0),0)</f>
        <v/>
      </c>
      <c r="W4066">
        <f>IF(AND(U4066=1,M4066&gt;=H4066*(1-Assumptions!$C$8)),1,0)</f>
        <v/>
      </c>
      <c r="X4066">
        <f>IF(AND(U4066=1,N4066&gt;=H4066*(1-Assumptions!$C$8)),1,0)</f>
        <v/>
      </c>
      <c r="Y4066">
        <f>IF(ISNUMBER(Q4066),1,0)</f>
        <v/>
      </c>
      <c r="Z4066">
        <f>IF(AND(K4066=0,L4066=0,Y4066=0),1,0)</f>
        <v/>
      </c>
      <c r="AA4066">
        <f>IF(AND(Z4066=1,G4066&lt;Assumptions!$C$6),1,0)</f>
        <v/>
      </c>
      <c r="AB4066">
        <f>IF(U4066=0,"",IF(Y4066=1,MAX(0,Q4066-G4066),IF(L4066=1,MAX(0,R4066-G4066),MAX(0,Assumptions!$C$6-G4066))))</f>
        <v/>
      </c>
      <c r="AC4066">
        <f>IF(Y4066=1,Q4066-F4066,"")</f>
        <v/>
      </c>
      <c r="AD4066">
        <f>IF(Y4066=1,AC4066^2,"")</f>
        <v/>
      </c>
      <c r="AE4066" s="19">
        <f>IF(Z4066=1,(H4066-M4066)*I4066,0)</f>
        <v/>
      </c>
      <c r="AF4066">
        <f>IF(G4066&lt;EDATE(Assumptions!$C$6,-12)+1,"prior_12m","last_12m")</f>
        <v/>
      </c>
      <c r="AG4066" s="21">
        <f>DATE(YEAR(G4066),MONTH(G4066),1)</f>
        <v/>
      </c>
    </row>
    <row r="4067">
      <c r="A4067" t="inlineStr">
        <is>
          <t>SPO-02166-1</t>
        </is>
      </c>
      <c r="B4067" t="inlineStr">
        <is>
          <t>SPO-02166</t>
        </is>
      </c>
      <c r="C4067" t="inlineStr">
        <is>
          <t>SUP-08</t>
        </is>
      </c>
      <c r="D4067" t="inlineStr">
        <is>
          <t>PPE</t>
        </is>
      </c>
      <c r="E4067" t="inlineStr">
        <is>
          <t>PPE-04</t>
        </is>
      </c>
      <c r="F4067" s="17" t="n">
        <v>46171</v>
      </c>
      <c r="G4067" s="17" t="n">
        <v>46182</v>
      </c>
      <c r="H4067" s="18" t="n">
        <v>126</v>
      </c>
      <c r="I4067" s="19" t="n">
        <v>25.51</v>
      </c>
      <c r="J4067" s="19" t="n">
        <v>26</v>
      </c>
      <c r="K4067" s="20" t="n">
        <v>0</v>
      </c>
      <c r="L4067" s="20" t="n">
        <v>0</v>
      </c>
      <c r="M4067" s="18" t="n">
        <v>126</v>
      </c>
      <c r="N4067" s="18" t="n">
        <v>126</v>
      </c>
      <c r="O4067" s="18" t="n">
        <v>0</v>
      </c>
      <c r="P4067" s="17" t="n">
        <v>46180</v>
      </c>
      <c r="Q4067" s="17" t="n">
        <v>46180</v>
      </c>
      <c r="R4067" s="17" t="n">
        <v>46180</v>
      </c>
      <c r="S4067" s="19">
        <f>H4067*I4067</f>
        <v/>
      </c>
      <c r="T4067" s="19">
        <f>H4067*J4067</f>
        <v/>
      </c>
      <c r="U4067">
        <f>IF(AND(K4067=0,G4067&lt;=Assumptions!$C$6),1,0)</f>
        <v/>
      </c>
      <c r="V4067">
        <f>IF(U4067=1,IF(M4067&gt;0,IF(P4067&lt;=G4067+Assumptions!$C$7,1,0),0),0)</f>
        <v/>
      </c>
      <c r="W4067">
        <f>IF(AND(U4067=1,M4067&gt;=H4067*(1-Assumptions!$C$8)),1,0)</f>
        <v/>
      </c>
      <c r="X4067">
        <f>IF(AND(U4067=1,N4067&gt;=H4067*(1-Assumptions!$C$8)),1,0)</f>
        <v/>
      </c>
      <c r="Y4067">
        <f>IF(ISNUMBER(Q4067),1,0)</f>
        <v/>
      </c>
      <c r="Z4067">
        <f>IF(AND(K4067=0,L4067=0,Y4067=0),1,0)</f>
        <v/>
      </c>
      <c r="AA4067">
        <f>IF(AND(Z4067=1,G4067&lt;Assumptions!$C$6),1,0)</f>
        <v/>
      </c>
      <c r="AB4067">
        <f>IF(U4067=0,"",IF(Y4067=1,MAX(0,Q4067-G4067),IF(L4067=1,MAX(0,R4067-G4067),MAX(0,Assumptions!$C$6-G4067))))</f>
        <v/>
      </c>
      <c r="AC4067">
        <f>IF(Y4067=1,Q4067-F4067,"")</f>
        <v/>
      </c>
      <c r="AD4067">
        <f>IF(Y4067=1,AC4067^2,"")</f>
        <v/>
      </c>
      <c r="AE4067" s="19">
        <f>IF(Z4067=1,(H4067-M4067)*I4067,0)</f>
        <v/>
      </c>
      <c r="AF4067">
        <f>IF(G4067&lt;EDATE(Assumptions!$C$6,-12)+1,"prior_12m","last_12m")</f>
        <v/>
      </c>
      <c r="AG4067" s="21">
        <f>DATE(YEAR(G4067),MONTH(G4067),1)</f>
        <v/>
      </c>
    </row>
    <row r="4068">
      <c r="A4068" t="inlineStr">
        <is>
          <t>SPO-02166-2</t>
        </is>
      </c>
      <c r="B4068" t="inlineStr">
        <is>
          <t>SPO-02166</t>
        </is>
      </c>
      <c r="C4068" t="inlineStr">
        <is>
          <t>SUP-08</t>
        </is>
      </c>
      <c r="D4068" t="inlineStr">
        <is>
          <t>PPE</t>
        </is>
      </c>
      <c r="E4068" t="inlineStr">
        <is>
          <t>PPE-05</t>
        </is>
      </c>
      <c r="F4068" s="17" t="n">
        <v>46171</v>
      </c>
      <c r="G4068" s="17" t="n">
        <v>46182</v>
      </c>
      <c r="H4068" s="18" t="n">
        <v>122</v>
      </c>
      <c r="I4068" s="19" t="n">
        <v>10.95</v>
      </c>
      <c r="J4068" s="19" t="n">
        <v>11</v>
      </c>
      <c r="K4068" s="20" t="n">
        <v>0</v>
      </c>
      <c r="L4068" s="20" t="n">
        <v>0</v>
      </c>
      <c r="M4068" s="18" t="n">
        <v>122</v>
      </c>
      <c r="N4068" s="18" t="n">
        <v>122</v>
      </c>
      <c r="O4068" s="18" t="n">
        <v>0</v>
      </c>
      <c r="P4068" s="17" t="n">
        <v>46179</v>
      </c>
      <c r="Q4068" s="17" t="n">
        <v>46179</v>
      </c>
      <c r="R4068" s="17" t="n">
        <v>46179</v>
      </c>
      <c r="S4068" s="19">
        <f>H4068*I4068</f>
        <v/>
      </c>
      <c r="T4068" s="19">
        <f>H4068*J4068</f>
        <v/>
      </c>
      <c r="U4068">
        <f>IF(AND(K4068=0,G4068&lt;=Assumptions!$C$6),1,0)</f>
        <v/>
      </c>
      <c r="V4068">
        <f>IF(U4068=1,IF(M4068&gt;0,IF(P4068&lt;=G4068+Assumptions!$C$7,1,0),0),0)</f>
        <v/>
      </c>
      <c r="W4068">
        <f>IF(AND(U4068=1,M4068&gt;=H4068*(1-Assumptions!$C$8)),1,0)</f>
        <v/>
      </c>
      <c r="X4068">
        <f>IF(AND(U4068=1,N4068&gt;=H4068*(1-Assumptions!$C$8)),1,0)</f>
        <v/>
      </c>
      <c r="Y4068">
        <f>IF(ISNUMBER(Q4068),1,0)</f>
        <v/>
      </c>
      <c r="Z4068">
        <f>IF(AND(K4068=0,L4068=0,Y4068=0),1,0)</f>
        <v/>
      </c>
      <c r="AA4068">
        <f>IF(AND(Z4068=1,G4068&lt;Assumptions!$C$6),1,0)</f>
        <v/>
      </c>
      <c r="AB4068">
        <f>IF(U4068=0,"",IF(Y4068=1,MAX(0,Q4068-G4068),IF(L4068=1,MAX(0,R4068-G4068),MAX(0,Assumptions!$C$6-G4068))))</f>
        <v/>
      </c>
      <c r="AC4068">
        <f>IF(Y4068=1,Q4068-F4068,"")</f>
        <v/>
      </c>
      <c r="AD4068">
        <f>IF(Y4068=1,AC4068^2,"")</f>
        <v/>
      </c>
      <c r="AE4068" s="19">
        <f>IF(Z4068=1,(H4068-M4068)*I4068,0)</f>
        <v/>
      </c>
      <c r="AF4068">
        <f>IF(G4068&lt;EDATE(Assumptions!$C$6,-12)+1,"prior_12m","last_12m")</f>
        <v/>
      </c>
      <c r="AG4068" s="21">
        <f>DATE(YEAR(G4068),MONTH(G4068),1)</f>
        <v/>
      </c>
    </row>
    <row r="4069">
      <c r="A4069" t="inlineStr">
        <is>
          <t>SPO-02167-1</t>
        </is>
      </c>
      <c r="B4069" t="inlineStr">
        <is>
          <t>SPO-02167</t>
        </is>
      </c>
      <c r="C4069" t="inlineStr">
        <is>
          <t>SUP-09</t>
        </is>
      </c>
      <c r="D4069" t="inlineStr">
        <is>
          <t>CHEM</t>
        </is>
      </c>
      <c r="E4069" t="inlineStr">
        <is>
          <t>CHEM-01</t>
        </is>
      </c>
      <c r="F4069" s="17" t="n">
        <v>46171</v>
      </c>
      <c r="G4069" s="17" t="n">
        <v>46185</v>
      </c>
      <c r="H4069" s="18" t="n">
        <v>2</v>
      </c>
      <c r="I4069" s="19" t="n">
        <v>657.67</v>
      </c>
      <c r="J4069" s="19" t="n">
        <v>640</v>
      </c>
      <c r="K4069" s="20" t="n">
        <v>0</v>
      </c>
      <c r="L4069" s="20" t="n">
        <v>0</v>
      </c>
      <c r="M4069" s="18" t="n">
        <v>2</v>
      </c>
      <c r="N4069" s="18" t="n">
        <v>2</v>
      </c>
      <c r="O4069" s="18" t="n">
        <v>0</v>
      </c>
      <c r="P4069" s="17" t="n">
        <v>46184</v>
      </c>
      <c r="Q4069" s="17" t="n">
        <v>46184</v>
      </c>
      <c r="R4069" s="17" t="n">
        <v>46184</v>
      </c>
      <c r="S4069" s="19">
        <f>H4069*I4069</f>
        <v/>
      </c>
      <c r="T4069" s="19">
        <f>H4069*J4069</f>
        <v/>
      </c>
      <c r="U4069">
        <f>IF(AND(K4069=0,G4069&lt;=Assumptions!$C$6),1,0)</f>
        <v/>
      </c>
      <c r="V4069">
        <f>IF(U4069=1,IF(M4069&gt;0,IF(P4069&lt;=G4069+Assumptions!$C$7,1,0),0),0)</f>
        <v/>
      </c>
      <c r="W4069">
        <f>IF(AND(U4069=1,M4069&gt;=H4069*(1-Assumptions!$C$8)),1,0)</f>
        <v/>
      </c>
      <c r="X4069">
        <f>IF(AND(U4069=1,N4069&gt;=H4069*(1-Assumptions!$C$8)),1,0)</f>
        <v/>
      </c>
      <c r="Y4069">
        <f>IF(ISNUMBER(Q4069),1,0)</f>
        <v/>
      </c>
      <c r="Z4069">
        <f>IF(AND(K4069=0,L4069=0,Y4069=0),1,0)</f>
        <v/>
      </c>
      <c r="AA4069">
        <f>IF(AND(Z4069=1,G4069&lt;Assumptions!$C$6),1,0)</f>
        <v/>
      </c>
      <c r="AB4069">
        <f>IF(U4069=0,"",IF(Y4069=1,MAX(0,Q4069-G4069),IF(L4069=1,MAX(0,R4069-G4069),MAX(0,Assumptions!$C$6-G4069))))</f>
        <v/>
      </c>
      <c r="AC4069">
        <f>IF(Y4069=1,Q4069-F4069,"")</f>
        <v/>
      </c>
      <c r="AD4069">
        <f>IF(Y4069=1,AC4069^2,"")</f>
        <v/>
      </c>
      <c r="AE4069" s="19">
        <f>IF(Z4069=1,(H4069-M4069)*I4069,0)</f>
        <v/>
      </c>
      <c r="AF4069">
        <f>IF(G4069&lt;EDATE(Assumptions!$C$6,-12)+1,"prior_12m","last_12m")</f>
        <v/>
      </c>
      <c r="AG4069" s="21">
        <f>DATE(YEAR(G4069),MONTH(G4069),1)</f>
        <v/>
      </c>
    </row>
    <row r="4070">
      <c r="A4070" t="inlineStr">
        <is>
          <t>SPO-02168-1</t>
        </is>
      </c>
      <c r="B4070" t="inlineStr">
        <is>
          <t>SPO-02168</t>
        </is>
      </c>
      <c r="C4070" t="inlineStr">
        <is>
          <t>SUP-12</t>
        </is>
      </c>
      <c r="D4070" t="inlineStr">
        <is>
          <t>IT</t>
        </is>
      </c>
      <c r="E4070" t="inlineStr">
        <is>
          <t>IT-04</t>
        </is>
      </c>
      <c r="F4070" s="17" t="n">
        <v>46172</v>
      </c>
      <c r="G4070" s="17" t="n">
        <v>46182</v>
      </c>
      <c r="H4070" s="18" t="n">
        <v>186</v>
      </c>
      <c r="I4070" s="19" t="n">
        <v>13.07</v>
      </c>
      <c r="J4070" s="19" t="n">
        <v>12</v>
      </c>
      <c r="K4070" s="20" t="n">
        <v>0</v>
      </c>
      <c r="L4070" s="20" t="n">
        <v>0</v>
      </c>
      <c r="M4070" s="18" t="n">
        <v>186</v>
      </c>
      <c r="N4070" s="18" t="n">
        <v>186</v>
      </c>
      <c r="O4070" s="18" t="n">
        <v>0</v>
      </c>
      <c r="P4070" s="17" t="n">
        <v>46180</v>
      </c>
      <c r="Q4070" s="17" t="n">
        <v>46180</v>
      </c>
      <c r="R4070" s="17" t="n">
        <v>46180</v>
      </c>
      <c r="S4070" s="19">
        <f>H4070*I4070</f>
        <v/>
      </c>
      <c r="T4070" s="19">
        <f>H4070*J4070</f>
        <v/>
      </c>
      <c r="U4070">
        <f>IF(AND(K4070=0,G4070&lt;=Assumptions!$C$6),1,0)</f>
        <v/>
      </c>
      <c r="V4070">
        <f>IF(U4070=1,IF(M4070&gt;0,IF(P4070&lt;=G4070+Assumptions!$C$7,1,0),0),0)</f>
        <v/>
      </c>
      <c r="W4070">
        <f>IF(AND(U4070=1,M4070&gt;=H4070*(1-Assumptions!$C$8)),1,0)</f>
        <v/>
      </c>
      <c r="X4070">
        <f>IF(AND(U4070=1,N4070&gt;=H4070*(1-Assumptions!$C$8)),1,0)</f>
        <v/>
      </c>
      <c r="Y4070">
        <f>IF(ISNUMBER(Q4070),1,0)</f>
        <v/>
      </c>
      <c r="Z4070">
        <f>IF(AND(K4070=0,L4070=0,Y4070=0),1,0)</f>
        <v/>
      </c>
      <c r="AA4070">
        <f>IF(AND(Z4070=1,G4070&lt;Assumptions!$C$6),1,0)</f>
        <v/>
      </c>
      <c r="AB4070">
        <f>IF(U4070=0,"",IF(Y4070=1,MAX(0,Q4070-G4070),IF(L4070=1,MAX(0,R4070-G4070),MAX(0,Assumptions!$C$6-G4070))))</f>
        <v/>
      </c>
      <c r="AC4070">
        <f>IF(Y4070=1,Q4070-F4070,"")</f>
        <v/>
      </c>
      <c r="AD4070">
        <f>IF(Y4070=1,AC4070^2,"")</f>
        <v/>
      </c>
      <c r="AE4070" s="19">
        <f>IF(Z4070=1,(H4070-M4070)*I4070,0)</f>
        <v/>
      </c>
      <c r="AF4070">
        <f>IF(G4070&lt;EDATE(Assumptions!$C$6,-12)+1,"prior_12m","last_12m")</f>
        <v/>
      </c>
      <c r="AG4070" s="21">
        <f>DATE(YEAR(G4070),MONTH(G4070),1)</f>
        <v/>
      </c>
    </row>
    <row r="4071">
      <c r="A4071" t="inlineStr">
        <is>
          <t>SPO-02168-2</t>
        </is>
      </c>
      <c r="B4071" t="inlineStr">
        <is>
          <t>SPO-02168</t>
        </is>
      </c>
      <c r="C4071" t="inlineStr">
        <is>
          <t>SUP-12</t>
        </is>
      </c>
      <c r="D4071" t="inlineStr">
        <is>
          <t>IT</t>
        </is>
      </c>
      <c r="E4071" t="inlineStr">
        <is>
          <t>IT-08</t>
        </is>
      </c>
      <c r="F4071" s="17" t="n">
        <v>46172</v>
      </c>
      <c r="G4071" s="17" t="n">
        <v>46182</v>
      </c>
      <c r="H4071" s="18" t="n">
        <v>7</v>
      </c>
      <c r="I4071" s="19" t="n">
        <v>280.49</v>
      </c>
      <c r="J4071" s="19" t="n">
        <v>245</v>
      </c>
      <c r="K4071" s="20" t="n">
        <v>0</v>
      </c>
      <c r="L4071" s="20" t="n">
        <v>0</v>
      </c>
      <c r="M4071" s="18" t="n">
        <v>7</v>
      </c>
      <c r="N4071" s="18" t="n">
        <v>7</v>
      </c>
      <c r="O4071" s="18" t="n">
        <v>0</v>
      </c>
      <c r="P4071" s="17" t="n">
        <v>46182</v>
      </c>
      <c r="Q4071" s="17" t="n">
        <v>46182</v>
      </c>
      <c r="R4071" s="17" t="n">
        <v>46182</v>
      </c>
      <c r="S4071" s="19">
        <f>H4071*I4071</f>
        <v/>
      </c>
      <c r="T4071" s="19">
        <f>H4071*J4071</f>
        <v/>
      </c>
      <c r="U4071">
        <f>IF(AND(K4071=0,G4071&lt;=Assumptions!$C$6),1,0)</f>
        <v/>
      </c>
      <c r="V4071">
        <f>IF(U4071=1,IF(M4071&gt;0,IF(P4071&lt;=G4071+Assumptions!$C$7,1,0),0),0)</f>
        <v/>
      </c>
      <c r="W4071">
        <f>IF(AND(U4071=1,M4071&gt;=H4071*(1-Assumptions!$C$8)),1,0)</f>
        <v/>
      </c>
      <c r="X4071">
        <f>IF(AND(U4071=1,N4071&gt;=H4071*(1-Assumptions!$C$8)),1,0)</f>
        <v/>
      </c>
      <c r="Y4071">
        <f>IF(ISNUMBER(Q4071),1,0)</f>
        <v/>
      </c>
      <c r="Z4071">
        <f>IF(AND(K4071=0,L4071=0,Y4071=0),1,0)</f>
        <v/>
      </c>
      <c r="AA4071">
        <f>IF(AND(Z4071=1,G4071&lt;Assumptions!$C$6),1,0)</f>
        <v/>
      </c>
      <c r="AB4071">
        <f>IF(U4071=0,"",IF(Y4071=1,MAX(0,Q4071-G4071),IF(L4071=1,MAX(0,R4071-G4071),MAX(0,Assumptions!$C$6-G4071))))</f>
        <v/>
      </c>
      <c r="AC4071">
        <f>IF(Y4071=1,Q4071-F4071,"")</f>
        <v/>
      </c>
      <c r="AD4071">
        <f>IF(Y4071=1,AC4071^2,"")</f>
        <v/>
      </c>
      <c r="AE4071" s="19">
        <f>IF(Z4071=1,(H4071-M4071)*I4071,0)</f>
        <v/>
      </c>
      <c r="AF4071">
        <f>IF(G4071&lt;EDATE(Assumptions!$C$6,-12)+1,"prior_12m","last_12m")</f>
        <v/>
      </c>
      <c r="AG4071" s="21">
        <f>DATE(YEAR(G4071),MONTH(G4071),1)</f>
        <v/>
      </c>
    </row>
    <row r="4072">
      <c r="A4072" t="inlineStr">
        <is>
          <t>SPO-02169-1</t>
        </is>
      </c>
      <c r="B4072" t="inlineStr">
        <is>
          <t>SPO-02169</t>
        </is>
      </c>
      <c r="C4072" t="inlineStr">
        <is>
          <t>SUP-04</t>
        </is>
      </c>
      <c r="D4072" t="inlineStr">
        <is>
          <t>FLEET</t>
        </is>
      </c>
      <c r="E4072" t="inlineStr">
        <is>
          <t>FLEET-08</t>
        </is>
      </c>
      <c r="F4072" s="17" t="n">
        <v>46172</v>
      </c>
      <c r="G4072" s="17" t="n">
        <v>46185</v>
      </c>
      <c r="H4072" s="18" t="n">
        <v>194</v>
      </c>
      <c r="I4072" s="19" t="n">
        <v>6.56</v>
      </c>
      <c r="J4072" s="19" t="n">
        <v>6.4</v>
      </c>
      <c r="K4072" s="20" t="n">
        <v>0</v>
      </c>
      <c r="L4072" s="20" t="n">
        <v>0</v>
      </c>
      <c r="M4072" s="18" t="n">
        <v>194</v>
      </c>
      <c r="N4072" s="18" t="n">
        <v>0</v>
      </c>
      <c r="O4072" s="18" t="n">
        <v>0</v>
      </c>
      <c r="P4072" s="17" t="n">
        <v>46195</v>
      </c>
      <c r="Q4072" s="17" t="n">
        <v>46195</v>
      </c>
      <c r="R4072" s="17" t="n">
        <v>46195</v>
      </c>
      <c r="S4072" s="19">
        <f>H4072*I4072</f>
        <v/>
      </c>
      <c r="T4072" s="19">
        <f>H4072*J4072</f>
        <v/>
      </c>
      <c r="U4072">
        <f>IF(AND(K4072=0,G4072&lt;=Assumptions!$C$6),1,0)</f>
        <v/>
      </c>
      <c r="V4072">
        <f>IF(U4072=1,IF(M4072&gt;0,IF(P4072&lt;=G4072+Assumptions!$C$7,1,0),0),0)</f>
        <v/>
      </c>
      <c r="W4072">
        <f>IF(AND(U4072=1,M4072&gt;=H4072*(1-Assumptions!$C$8)),1,0)</f>
        <v/>
      </c>
      <c r="X4072">
        <f>IF(AND(U4072=1,N4072&gt;=H4072*(1-Assumptions!$C$8)),1,0)</f>
        <v/>
      </c>
      <c r="Y4072">
        <f>IF(ISNUMBER(Q4072),1,0)</f>
        <v/>
      </c>
      <c r="Z4072">
        <f>IF(AND(K4072=0,L4072=0,Y4072=0),1,0)</f>
        <v/>
      </c>
      <c r="AA4072">
        <f>IF(AND(Z4072=1,G4072&lt;Assumptions!$C$6),1,0)</f>
        <v/>
      </c>
      <c r="AB4072">
        <f>IF(U4072=0,"",IF(Y4072=1,MAX(0,Q4072-G4072),IF(L4072=1,MAX(0,R4072-G4072),MAX(0,Assumptions!$C$6-G4072))))</f>
        <v/>
      </c>
      <c r="AC4072">
        <f>IF(Y4072=1,Q4072-F4072,"")</f>
        <v/>
      </c>
      <c r="AD4072">
        <f>IF(Y4072=1,AC4072^2,"")</f>
        <v/>
      </c>
      <c r="AE4072" s="19">
        <f>IF(Z4072=1,(H4072-M4072)*I4072,0)</f>
        <v/>
      </c>
      <c r="AF4072">
        <f>IF(G4072&lt;EDATE(Assumptions!$C$6,-12)+1,"prior_12m","last_12m")</f>
        <v/>
      </c>
      <c r="AG4072" s="21">
        <f>DATE(YEAR(G4072),MONTH(G4072),1)</f>
        <v/>
      </c>
    </row>
    <row r="4073">
      <c r="A4073" t="inlineStr">
        <is>
          <t>SPO-02170-1</t>
        </is>
      </c>
      <c r="B4073" t="inlineStr">
        <is>
          <t>SPO-02170</t>
        </is>
      </c>
      <c r="C4073" t="inlineStr">
        <is>
          <t>SUP-01</t>
        </is>
      </c>
      <c r="D4073" t="inlineStr">
        <is>
          <t>ELEC</t>
        </is>
      </c>
      <c r="E4073" t="inlineStr">
        <is>
          <t>ELEC-07</t>
        </is>
      </c>
      <c r="F4073" s="17" t="n">
        <v>46173</v>
      </c>
      <c r="G4073" s="17" t="n">
        <v>46191</v>
      </c>
      <c r="H4073" s="18" t="n">
        <v>121</v>
      </c>
      <c r="I4073" s="19" t="n">
        <v>9.9</v>
      </c>
      <c r="J4073" s="19" t="n">
        <v>9.800000000000001</v>
      </c>
      <c r="K4073" s="20" t="n">
        <v>0</v>
      </c>
      <c r="L4073" s="20" t="n">
        <v>0</v>
      </c>
      <c r="M4073" s="18" t="n">
        <v>121</v>
      </c>
      <c r="N4073" s="18" t="n">
        <v>121</v>
      </c>
      <c r="O4073" s="18" t="n">
        <v>0</v>
      </c>
      <c r="P4073" s="17" t="n">
        <v>46191</v>
      </c>
      <c r="Q4073" s="17" t="n">
        <v>46191</v>
      </c>
      <c r="R4073" s="17" t="n">
        <v>46191</v>
      </c>
      <c r="S4073" s="19">
        <f>H4073*I4073</f>
        <v/>
      </c>
      <c r="T4073" s="19">
        <f>H4073*J4073</f>
        <v/>
      </c>
      <c r="U4073">
        <f>IF(AND(K4073=0,G4073&lt;=Assumptions!$C$6),1,0)</f>
        <v/>
      </c>
      <c r="V4073">
        <f>IF(U4073=1,IF(M4073&gt;0,IF(P4073&lt;=G4073+Assumptions!$C$7,1,0),0),0)</f>
        <v/>
      </c>
      <c r="W4073">
        <f>IF(AND(U4073=1,M4073&gt;=H4073*(1-Assumptions!$C$8)),1,0)</f>
        <v/>
      </c>
      <c r="X4073">
        <f>IF(AND(U4073=1,N4073&gt;=H4073*(1-Assumptions!$C$8)),1,0)</f>
        <v/>
      </c>
      <c r="Y4073">
        <f>IF(ISNUMBER(Q4073),1,0)</f>
        <v/>
      </c>
      <c r="Z4073">
        <f>IF(AND(K4073=0,L4073=0,Y4073=0),1,0)</f>
        <v/>
      </c>
      <c r="AA4073">
        <f>IF(AND(Z4073=1,G4073&lt;Assumptions!$C$6),1,0)</f>
        <v/>
      </c>
      <c r="AB4073">
        <f>IF(U4073=0,"",IF(Y4073=1,MAX(0,Q4073-G4073),IF(L4073=1,MAX(0,R4073-G4073),MAX(0,Assumptions!$C$6-G4073))))</f>
        <v/>
      </c>
      <c r="AC4073">
        <f>IF(Y4073=1,Q4073-F4073,"")</f>
        <v/>
      </c>
      <c r="AD4073">
        <f>IF(Y4073=1,AC4073^2,"")</f>
        <v/>
      </c>
      <c r="AE4073" s="19">
        <f>IF(Z4073=1,(H4073-M4073)*I4073,0)</f>
        <v/>
      </c>
      <c r="AF4073">
        <f>IF(G4073&lt;EDATE(Assumptions!$C$6,-12)+1,"prior_12m","last_12m")</f>
        <v/>
      </c>
      <c r="AG4073" s="21">
        <f>DATE(YEAR(G4073),MONTH(G4073),1)</f>
        <v/>
      </c>
    </row>
    <row r="4074">
      <c r="A4074" t="inlineStr">
        <is>
          <t>SPO-02171-1</t>
        </is>
      </c>
      <c r="B4074" t="inlineStr">
        <is>
          <t>SPO-02171</t>
        </is>
      </c>
      <c r="C4074" t="inlineStr">
        <is>
          <t>SUP-12</t>
        </is>
      </c>
      <c r="D4074" t="inlineStr">
        <is>
          <t>IT</t>
        </is>
      </c>
      <c r="E4074" t="inlineStr">
        <is>
          <t>IT-01</t>
        </is>
      </c>
      <c r="F4074" s="17" t="n">
        <v>46173</v>
      </c>
      <c r="G4074" s="17" t="n">
        <v>46183</v>
      </c>
      <c r="H4074" s="18" t="n">
        <v>12</v>
      </c>
      <c r="I4074" s="19" t="n">
        <v>211.34</v>
      </c>
      <c r="J4074" s="19" t="n">
        <v>189</v>
      </c>
      <c r="K4074" s="20" t="n">
        <v>0</v>
      </c>
      <c r="L4074" s="20" t="n">
        <v>0</v>
      </c>
      <c r="M4074" s="18" t="n">
        <v>12</v>
      </c>
      <c r="N4074" s="18" t="n">
        <v>12</v>
      </c>
      <c r="O4074" s="18" t="n">
        <v>0</v>
      </c>
      <c r="P4074" s="17" t="n">
        <v>46181</v>
      </c>
      <c r="Q4074" s="17" t="n">
        <v>46181</v>
      </c>
      <c r="R4074" s="17" t="n">
        <v>46181</v>
      </c>
      <c r="S4074" s="19">
        <f>H4074*I4074</f>
        <v/>
      </c>
      <c r="T4074" s="19">
        <f>H4074*J4074</f>
        <v/>
      </c>
      <c r="U4074">
        <f>IF(AND(K4074=0,G4074&lt;=Assumptions!$C$6),1,0)</f>
        <v/>
      </c>
      <c r="V4074">
        <f>IF(U4074=1,IF(M4074&gt;0,IF(P4074&lt;=G4074+Assumptions!$C$7,1,0),0),0)</f>
        <v/>
      </c>
      <c r="W4074">
        <f>IF(AND(U4074=1,M4074&gt;=H4074*(1-Assumptions!$C$8)),1,0)</f>
        <v/>
      </c>
      <c r="X4074">
        <f>IF(AND(U4074=1,N4074&gt;=H4074*(1-Assumptions!$C$8)),1,0)</f>
        <v/>
      </c>
      <c r="Y4074">
        <f>IF(ISNUMBER(Q4074),1,0)</f>
        <v/>
      </c>
      <c r="Z4074">
        <f>IF(AND(K4074=0,L4074=0,Y4074=0),1,0)</f>
        <v/>
      </c>
      <c r="AA4074">
        <f>IF(AND(Z4074=1,G4074&lt;Assumptions!$C$6),1,0)</f>
        <v/>
      </c>
      <c r="AB4074">
        <f>IF(U4074=0,"",IF(Y4074=1,MAX(0,Q4074-G4074),IF(L4074=1,MAX(0,R4074-G4074),MAX(0,Assumptions!$C$6-G4074))))</f>
        <v/>
      </c>
      <c r="AC4074">
        <f>IF(Y4074=1,Q4074-F4074,"")</f>
        <v/>
      </c>
      <c r="AD4074">
        <f>IF(Y4074=1,AC4074^2,"")</f>
        <v/>
      </c>
      <c r="AE4074" s="19">
        <f>IF(Z4074=1,(H4074-M4074)*I4074,0)</f>
        <v/>
      </c>
      <c r="AF4074">
        <f>IF(G4074&lt;EDATE(Assumptions!$C$6,-12)+1,"prior_12m","last_12m")</f>
        <v/>
      </c>
      <c r="AG4074" s="21">
        <f>DATE(YEAR(G4074),MONTH(G4074),1)</f>
        <v/>
      </c>
    </row>
    <row r="4075">
      <c r="A4075" t="inlineStr">
        <is>
          <t>SPO-02171-2</t>
        </is>
      </c>
      <c r="B4075" t="inlineStr">
        <is>
          <t>SPO-02171</t>
        </is>
      </c>
      <c r="C4075" t="inlineStr">
        <is>
          <t>SUP-12</t>
        </is>
      </c>
      <c r="D4075" t="inlineStr">
        <is>
          <t>IT</t>
        </is>
      </c>
      <c r="E4075" t="inlineStr">
        <is>
          <t>IT-05</t>
        </is>
      </c>
      <c r="F4075" s="17" t="n">
        <v>46173</v>
      </c>
      <c r="G4075" s="17" t="n">
        <v>46183</v>
      </c>
      <c r="H4075" s="18" t="n">
        <v>2</v>
      </c>
      <c r="I4075" s="19" t="n">
        <v>662.27</v>
      </c>
      <c r="J4075" s="19" t="n">
        <v>640</v>
      </c>
      <c r="K4075" s="20" t="n">
        <v>0</v>
      </c>
      <c r="L4075" s="20" t="n">
        <v>0</v>
      </c>
      <c r="M4075" s="18" t="n">
        <v>2</v>
      </c>
      <c r="N4075" s="18" t="n">
        <v>2</v>
      </c>
      <c r="O4075" s="18" t="n">
        <v>0</v>
      </c>
      <c r="P4075" s="17" t="n">
        <v>46183</v>
      </c>
      <c r="Q4075" s="17" t="n">
        <v>46183</v>
      </c>
      <c r="R4075" s="17" t="n">
        <v>46183</v>
      </c>
      <c r="S4075" s="19">
        <f>H4075*I4075</f>
        <v/>
      </c>
      <c r="T4075" s="19">
        <f>H4075*J4075</f>
        <v/>
      </c>
      <c r="U4075">
        <f>IF(AND(K4075=0,G4075&lt;=Assumptions!$C$6),1,0)</f>
        <v/>
      </c>
      <c r="V4075">
        <f>IF(U4075=1,IF(M4075&gt;0,IF(P4075&lt;=G4075+Assumptions!$C$7,1,0),0),0)</f>
        <v/>
      </c>
      <c r="W4075">
        <f>IF(AND(U4075=1,M4075&gt;=H4075*(1-Assumptions!$C$8)),1,0)</f>
        <v/>
      </c>
      <c r="X4075">
        <f>IF(AND(U4075=1,N4075&gt;=H4075*(1-Assumptions!$C$8)),1,0)</f>
        <v/>
      </c>
      <c r="Y4075">
        <f>IF(ISNUMBER(Q4075),1,0)</f>
        <v/>
      </c>
      <c r="Z4075">
        <f>IF(AND(K4075=0,L4075=0,Y4075=0),1,0)</f>
        <v/>
      </c>
      <c r="AA4075">
        <f>IF(AND(Z4075=1,G4075&lt;Assumptions!$C$6),1,0)</f>
        <v/>
      </c>
      <c r="AB4075">
        <f>IF(U4075=0,"",IF(Y4075=1,MAX(0,Q4075-G4075),IF(L4075=1,MAX(0,R4075-G4075),MAX(0,Assumptions!$C$6-G4075))))</f>
        <v/>
      </c>
      <c r="AC4075">
        <f>IF(Y4075=1,Q4075-F4075,"")</f>
        <v/>
      </c>
      <c r="AD4075">
        <f>IF(Y4075=1,AC4075^2,"")</f>
        <v/>
      </c>
      <c r="AE4075" s="19">
        <f>IF(Z4075=1,(H4075-M4075)*I4075,0)</f>
        <v/>
      </c>
      <c r="AF4075">
        <f>IF(G4075&lt;EDATE(Assumptions!$C$6,-12)+1,"prior_12m","last_12m")</f>
        <v/>
      </c>
      <c r="AG4075" s="21">
        <f>DATE(YEAR(G4075),MONTH(G4075),1)</f>
        <v/>
      </c>
    </row>
    <row r="4076">
      <c r="A4076" t="inlineStr">
        <is>
          <t>SPO-02172-1</t>
        </is>
      </c>
      <c r="B4076" t="inlineStr">
        <is>
          <t>SPO-02172</t>
        </is>
      </c>
      <c r="C4076" t="inlineStr">
        <is>
          <t>SUP-02</t>
        </is>
      </c>
      <c r="D4076" t="inlineStr">
        <is>
          <t>ELEC</t>
        </is>
      </c>
      <c r="E4076" t="inlineStr">
        <is>
          <t>ELEC-05</t>
        </is>
      </c>
      <c r="F4076" s="17" t="n">
        <v>46173</v>
      </c>
      <c r="G4076" s="17" t="n">
        <v>46189</v>
      </c>
      <c r="H4076" s="18" t="n">
        <v>41</v>
      </c>
      <c r="I4076" s="19" t="n">
        <v>11.27</v>
      </c>
      <c r="J4076" s="19" t="n">
        <v>11.5</v>
      </c>
      <c r="K4076" s="20" t="n">
        <v>0</v>
      </c>
      <c r="L4076" s="20" t="n">
        <v>0</v>
      </c>
      <c r="M4076" s="18" t="n">
        <v>41</v>
      </c>
      <c r="N4076" s="18" t="n">
        <v>41</v>
      </c>
      <c r="O4076" s="18" t="n">
        <v>0</v>
      </c>
      <c r="P4076" s="17" t="n">
        <v>46186</v>
      </c>
      <c r="Q4076" s="17" t="n">
        <v>46186</v>
      </c>
      <c r="R4076" s="17" t="n">
        <v>46186</v>
      </c>
      <c r="S4076" s="19">
        <f>H4076*I4076</f>
        <v/>
      </c>
      <c r="T4076" s="19">
        <f>H4076*J4076</f>
        <v/>
      </c>
      <c r="U4076">
        <f>IF(AND(K4076=0,G4076&lt;=Assumptions!$C$6),1,0)</f>
        <v/>
      </c>
      <c r="V4076">
        <f>IF(U4076=1,IF(M4076&gt;0,IF(P4076&lt;=G4076+Assumptions!$C$7,1,0),0),0)</f>
        <v/>
      </c>
      <c r="W4076">
        <f>IF(AND(U4076=1,M4076&gt;=H4076*(1-Assumptions!$C$8)),1,0)</f>
        <v/>
      </c>
      <c r="X4076">
        <f>IF(AND(U4076=1,N4076&gt;=H4076*(1-Assumptions!$C$8)),1,0)</f>
        <v/>
      </c>
      <c r="Y4076">
        <f>IF(ISNUMBER(Q4076),1,0)</f>
        <v/>
      </c>
      <c r="Z4076">
        <f>IF(AND(K4076=0,L4076=0,Y4076=0),1,0)</f>
        <v/>
      </c>
      <c r="AA4076">
        <f>IF(AND(Z4076=1,G4076&lt;Assumptions!$C$6),1,0)</f>
        <v/>
      </c>
      <c r="AB4076">
        <f>IF(U4076=0,"",IF(Y4076=1,MAX(0,Q4076-G4076),IF(L4076=1,MAX(0,R4076-G4076),MAX(0,Assumptions!$C$6-G4076))))</f>
        <v/>
      </c>
      <c r="AC4076">
        <f>IF(Y4076=1,Q4076-F4076,"")</f>
        <v/>
      </c>
      <c r="AD4076">
        <f>IF(Y4076=1,AC4076^2,"")</f>
        <v/>
      </c>
      <c r="AE4076" s="19">
        <f>IF(Z4076=1,(H4076-M4076)*I4076,0)</f>
        <v/>
      </c>
      <c r="AF4076">
        <f>IF(G4076&lt;EDATE(Assumptions!$C$6,-12)+1,"prior_12m","last_12m")</f>
        <v/>
      </c>
      <c r="AG4076" s="21">
        <f>DATE(YEAR(G4076),MONTH(G4076),1)</f>
        <v/>
      </c>
    </row>
    <row r="4077">
      <c r="A4077" t="inlineStr">
        <is>
          <t>SPO-02172-2</t>
        </is>
      </c>
      <c r="B4077" t="inlineStr">
        <is>
          <t>SPO-02172</t>
        </is>
      </c>
      <c r="C4077" t="inlineStr">
        <is>
          <t>SUP-02</t>
        </is>
      </c>
      <c r="D4077" t="inlineStr">
        <is>
          <t>ELEC</t>
        </is>
      </c>
      <c r="E4077" t="inlineStr">
        <is>
          <t>ELEC-02</t>
        </is>
      </c>
      <c r="F4077" s="17" t="n">
        <v>46173</v>
      </c>
      <c r="G4077" s="17" t="n">
        <v>46189</v>
      </c>
      <c r="H4077" s="18" t="n">
        <v>321</v>
      </c>
      <c r="I4077" s="19" t="n">
        <v>4.42</v>
      </c>
      <c r="J4077" s="19" t="n">
        <v>4.2</v>
      </c>
      <c r="K4077" s="20" t="n">
        <v>0</v>
      </c>
      <c r="L4077" s="20" t="n">
        <v>0</v>
      </c>
      <c r="M4077" s="18" t="n">
        <v>321</v>
      </c>
      <c r="N4077" s="18" t="n">
        <v>321</v>
      </c>
      <c r="O4077" s="18" t="n">
        <v>0</v>
      </c>
      <c r="P4077" s="17" t="n">
        <v>46183</v>
      </c>
      <c r="Q4077" s="17" t="n">
        <v>46183</v>
      </c>
      <c r="R4077" s="17" t="n">
        <v>46183</v>
      </c>
      <c r="S4077" s="19">
        <f>H4077*I4077</f>
        <v/>
      </c>
      <c r="T4077" s="19">
        <f>H4077*J4077</f>
        <v/>
      </c>
      <c r="U4077">
        <f>IF(AND(K4077=0,G4077&lt;=Assumptions!$C$6),1,0)</f>
        <v/>
      </c>
      <c r="V4077">
        <f>IF(U4077=1,IF(M4077&gt;0,IF(P4077&lt;=G4077+Assumptions!$C$7,1,0),0),0)</f>
        <v/>
      </c>
      <c r="W4077">
        <f>IF(AND(U4077=1,M4077&gt;=H4077*(1-Assumptions!$C$8)),1,0)</f>
        <v/>
      </c>
      <c r="X4077">
        <f>IF(AND(U4077=1,N4077&gt;=H4077*(1-Assumptions!$C$8)),1,0)</f>
        <v/>
      </c>
      <c r="Y4077">
        <f>IF(ISNUMBER(Q4077),1,0)</f>
        <v/>
      </c>
      <c r="Z4077">
        <f>IF(AND(K4077=0,L4077=0,Y4077=0),1,0)</f>
        <v/>
      </c>
      <c r="AA4077">
        <f>IF(AND(Z4077=1,G4077&lt;Assumptions!$C$6),1,0)</f>
        <v/>
      </c>
      <c r="AB4077">
        <f>IF(U4077=0,"",IF(Y4077=1,MAX(0,Q4077-G4077),IF(L4077=1,MAX(0,R4077-G4077),MAX(0,Assumptions!$C$6-G4077))))</f>
        <v/>
      </c>
      <c r="AC4077">
        <f>IF(Y4077=1,Q4077-F4077,"")</f>
        <v/>
      </c>
      <c r="AD4077">
        <f>IF(Y4077=1,AC4077^2,"")</f>
        <v/>
      </c>
      <c r="AE4077" s="19">
        <f>IF(Z4077=1,(H4077-M4077)*I4077,0)</f>
        <v/>
      </c>
      <c r="AF4077">
        <f>IF(G4077&lt;EDATE(Assumptions!$C$6,-12)+1,"prior_12m","last_12m")</f>
        <v/>
      </c>
      <c r="AG4077" s="21">
        <f>DATE(YEAR(G4077),MONTH(G4077),1)</f>
        <v/>
      </c>
    </row>
    <row r="4078">
      <c r="A4078" t="inlineStr">
        <is>
          <t>SPO-02173-1</t>
        </is>
      </c>
      <c r="B4078" t="inlineStr">
        <is>
          <t>SPO-02173</t>
        </is>
      </c>
      <c r="C4078" t="inlineStr">
        <is>
          <t>SUP-01</t>
        </is>
      </c>
      <c r="D4078" t="inlineStr">
        <is>
          <t>ELEC</t>
        </is>
      </c>
      <c r="E4078" t="inlineStr">
        <is>
          <t>ELEC-02</t>
        </is>
      </c>
      <c r="F4078" s="17" t="n">
        <v>46173</v>
      </c>
      <c r="G4078" s="17" t="n">
        <v>46191</v>
      </c>
      <c r="H4078" s="18" t="n">
        <v>262</v>
      </c>
      <c r="I4078" s="19" t="n">
        <v>4.35</v>
      </c>
      <c r="J4078" s="19" t="n">
        <v>4.2</v>
      </c>
      <c r="K4078" s="20" t="n">
        <v>0</v>
      </c>
      <c r="L4078" s="20" t="n">
        <v>0</v>
      </c>
      <c r="M4078" s="18" t="n">
        <v>262</v>
      </c>
      <c r="N4078" s="18" t="n">
        <v>262</v>
      </c>
      <c r="O4078" s="18" t="n">
        <v>0</v>
      </c>
      <c r="P4078" s="17" t="n">
        <v>46189</v>
      </c>
      <c r="Q4078" s="17" t="n">
        <v>46189</v>
      </c>
      <c r="R4078" s="17" t="n">
        <v>46189</v>
      </c>
      <c r="S4078" s="19">
        <f>H4078*I4078</f>
        <v/>
      </c>
      <c r="T4078" s="19">
        <f>H4078*J4078</f>
        <v/>
      </c>
      <c r="U4078">
        <f>IF(AND(K4078=0,G4078&lt;=Assumptions!$C$6),1,0)</f>
        <v/>
      </c>
      <c r="V4078">
        <f>IF(U4078=1,IF(M4078&gt;0,IF(P4078&lt;=G4078+Assumptions!$C$7,1,0),0),0)</f>
        <v/>
      </c>
      <c r="W4078">
        <f>IF(AND(U4078=1,M4078&gt;=H4078*(1-Assumptions!$C$8)),1,0)</f>
        <v/>
      </c>
      <c r="X4078">
        <f>IF(AND(U4078=1,N4078&gt;=H4078*(1-Assumptions!$C$8)),1,0)</f>
        <v/>
      </c>
      <c r="Y4078">
        <f>IF(ISNUMBER(Q4078),1,0)</f>
        <v/>
      </c>
      <c r="Z4078">
        <f>IF(AND(K4078=0,L4078=0,Y4078=0),1,0)</f>
        <v/>
      </c>
      <c r="AA4078">
        <f>IF(AND(Z4078=1,G4078&lt;Assumptions!$C$6),1,0)</f>
        <v/>
      </c>
      <c r="AB4078">
        <f>IF(U4078=0,"",IF(Y4078=1,MAX(0,Q4078-G4078),IF(L4078=1,MAX(0,R4078-G4078),MAX(0,Assumptions!$C$6-G4078))))</f>
        <v/>
      </c>
      <c r="AC4078">
        <f>IF(Y4078=1,Q4078-F4078,"")</f>
        <v/>
      </c>
      <c r="AD4078">
        <f>IF(Y4078=1,AC4078^2,"")</f>
        <v/>
      </c>
      <c r="AE4078" s="19">
        <f>IF(Z4078=1,(H4078-M4078)*I4078,0)</f>
        <v/>
      </c>
      <c r="AF4078">
        <f>IF(G4078&lt;EDATE(Assumptions!$C$6,-12)+1,"prior_12m","last_12m")</f>
        <v/>
      </c>
      <c r="AG4078" s="21">
        <f>DATE(YEAR(G4078),MONTH(G4078),1)</f>
        <v/>
      </c>
    </row>
    <row r="4079">
      <c r="A4079" t="inlineStr">
        <is>
          <t>SPO-02174-1</t>
        </is>
      </c>
      <c r="B4079" t="inlineStr">
        <is>
          <t>SPO-02174</t>
        </is>
      </c>
      <c r="C4079" t="inlineStr">
        <is>
          <t>SUP-14</t>
        </is>
      </c>
      <c r="D4079" t="inlineStr">
        <is>
          <t>FLEET</t>
        </is>
      </c>
      <c r="E4079" t="inlineStr">
        <is>
          <t>FLEET-03</t>
        </is>
      </c>
      <c r="F4079" s="17" t="n">
        <v>46174</v>
      </c>
      <c r="G4079" s="17" t="n">
        <v>46188</v>
      </c>
      <c r="H4079" s="18" t="n">
        <v>139</v>
      </c>
      <c r="I4079" s="19" t="n">
        <v>22.72</v>
      </c>
      <c r="J4079" s="19" t="n">
        <v>21</v>
      </c>
      <c r="K4079" s="20" t="n">
        <v>0</v>
      </c>
      <c r="L4079" s="20" t="n">
        <v>0</v>
      </c>
      <c r="M4079" s="18" t="n">
        <v>139</v>
      </c>
      <c r="N4079" s="18" t="n">
        <v>139</v>
      </c>
      <c r="O4079" s="18" t="n">
        <v>0</v>
      </c>
      <c r="P4079" s="17" t="n">
        <v>46187</v>
      </c>
      <c r="Q4079" s="17" t="n">
        <v>46187</v>
      </c>
      <c r="R4079" s="17" t="n">
        <v>46187</v>
      </c>
      <c r="S4079" s="19">
        <f>H4079*I4079</f>
        <v/>
      </c>
      <c r="T4079" s="19">
        <f>H4079*J4079</f>
        <v/>
      </c>
      <c r="U4079">
        <f>IF(AND(K4079=0,G4079&lt;=Assumptions!$C$6),1,0)</f>
        <v/>
      </c>
      <c r="V4079">
        <f>IF(U4079=1,IF(M4079&gt;0,IF(P4079&lt;=G4079+Assumptions!$C$7,1,0),0),0)</f>
        <v/>
      </c>
      <c r="W4079">
        <f>IF(AND(U4079=1,M4079&gt;=H4079*(1-Assumptions!$C$8)),1,0)</f>
        <v/>
      </c>
      <c r="X4079">
        <f>IF(AND(U4079=1,N4079&gt;=H4079*(1-Assumptions!$C$8)),1,0)</f>
        <v/>
      </c>
      <c r="Y4079">
        <f>IF(ISNUMBER(Q4079),1,0)</f>
        <v/>
      </c>
      <c r="Z4079">
        <f>IF(AND(K4079=0,L4079=0,Y4079=0),1,0)</f>
        <v/>
      </c>
      <c r="AA4079">
        <f>IF(AND(Z4079=1,G4079&lt;Assumptions!$C$6),1,0)</f>
        <v/>
      </c>
      <c r="AB4079">
        <f>IF(U4079=0,"",IF(Y4079=1,MAX(0,Q4079-G4079),IF(L4079=1,MAX(0,R4079-G4079),MAX(0,Assumptions!$C$6-G4079))))</f>
        <v/>
      </c>
      <c r="AC4079">
        <f>IF(Y4079=1,Q4079-F4079,"")</f>
        <v/>
      </c>
      <c r="AD4079">
        <f>IF(Y4079=1,AC4079^2,"")</f>
        <v/>
      </c>
      <c r="AE4079" s="19">
        <f>IF(Z4079=1,(H4079-M4079)*I4079,0)</f>
        <v/>
      </c>
      <c r="AF4079">
        <f>IF(G4079&lt;EDATE(Assumptions!$C$6,-12)+1,"prior_12m","last_12m")</f>
        <v/>
      </c>
      <c r="AG4079" s="21">
        <f>DATE(YEAR(G4079),MONTH(G4079),1)</f>
        <v/>
      </c>
    </row>
    <row r="4080">
      <c r="A4080" t="inlineStr">
        <is>
          <t>SPO-02174-2</t>
        </is>
      </c>
      <c r="B4080" t="inlineStr">
        <is>
          <t>SPO-02174</t>
        </is>
      </c>
      <c r="C4080" t="inlineStr">
        <is>
          <t>SUP-14</t>
        </is>
      </c>
      <c r="D4080" t="inlineStr">
        <is>
          <t>FLEET</t>
        </is>
      </c>
      <c r="E4080" t="inlineStr">
        <is>
          <t>FLEET-07</t>
        </is>
      </c>
      <c r="F4080" s="17" t="n">
        <v>46174</v>
      </c>
      <c r="G4080" s="17" t="n">
        <v>46188</v>
      </c>
      <c r="H4080" s="18" t="n">
        <v>19</v>
      </c>
      <c r="I4080" s="19" t="n">
        <v>121.19</v>
      </c>
      <c r="J4080" s="19" t="n">
        <v>118</v>
      </c>
      <c r="K4080" s="20" t="n">
        <v>0</v>
      </c>
      <c r="L4080" s="20" t="n">
        <v>0</v>
      </c>
      <c r="M4080" s="18" t="n">
        <v>19</v>
      </c>
      <c r="N4080" s="18" t="n">
        <v>19</v>
      </c>
      <c r="O4080" s="18" t="n">
        <v>0</v>
      </c>
      <c r="P4080" s="17" t="n">
        <v>46186</v>
      </c>
      <c r="Q4080" s="17" t="n">
        <v>46186</v>
      </c>
      <c r="R4080" s="17" t="n">
        <v>46186</v>
      </c>
      <c r="S4080" s="19">
        <f>H4080*I4080</f>
        <v/>
      </c>
      <c r="T4080" s="19">
        <f>H4080*J4080</f>
        <v/>
      </c>
      <c r="U4080">
        <f>IF(AND(K4080=0,G4080&lt;=Assumptions!$C$6),1,0)</f>
        <v/>
      </c>
      <c r="V4080">
        <f>IF(U4080=1,IF(M4080&gt;0,IF(P4080&lt;=G4080+Assumptions!$C$7,1,0),0),0)</f>
        <v/>
      </c>
      <c r="W4080">
        <f>IF(AND(U4080=1,M4080&gt;=H4080*(1-Assumptions!$C$8)),1,0)</f>
        <v/>
      </c>
      <c r="X4080">
        <f>IF(AND(U4080=1,N4080&gt;=H4080*(1-Assumptions!$C$8)),1,0)</f>
        <v/>
      </c>
      <c r="Y4080">
        <f>IF(ISNUMBER(Q4080),1,0)</f>
        <v/>
      </c>
      <c r="Z4080">
        <f>IF(AND(K4080=0,L4080=0,Y4080=0),1,0)</f>
        <v/>
      </c>
      <c r="AA4080">
        <f>IF(AND(Z4080=1,G4080&lt;Assumptions!$C$6),1,0)</f>
        <v/>
      </c>
      <c r="AB4080">
        <f>IF(U4080=0,"",IF(Y4080=1,MAX(0,Q4080-G4080),IF(L4080=1,MAX(0,R4080-G4080),MAX(0,Assumptions!$C$6-G4080))))</f>
        <v/>
      </c>
      <c r="AC4080">
        <f>IF(Y4080=1,Q4080-F4080,"")</f>
        <v/>
      </c>
      <c r="AD4080">
        <f>IF(Y4080=1,AC4080^2,"")</f>
        <v/>
      </c>
      <c r="AE4080" s="19">
        <f>IF(Z4080=1,(H4080-M4080)*I4080,0)</f>
        <v/>
      </c>
      <c r="AF4080">
        <f>IF(G4080&lt;EDATE(Assumptions!$C$6,-12)+1,"prior_12m","last_12m")</f>
        <v/>
      </c>
      <c r="AG4080" s="21">
        <f>DATE(YEAR(G4080),MONTH(G4080),1)</f>
        <v/>
      </c>
    </row>
    <row r="4081">
      <c r="A4081" t="inlineStr">
        <is>
          <t>SPO-02175-1</t>
        </is>
      </c>
      <c r="B4081" t="inlineStr">
        <is>
          <t>SPO-02175</t>
        </is>
      </c>
      <c r="C4081" t="inlineStr">
        <is>
          <t>SUP-12</t>
        </is>
      </c>
      <c r="D4081" t="inlineStr">
        <is>
          <t>IT</t>
        </is>
      </c>
      <c r="E4081" t="inlineStr">
        <is>
          <t>IT-06</t>
        </is>
      </c>
      <c r="F4081" s="17" t="n">
        <v>46174</v>
      </c>
      <c r="G4081" s="17" t="n">
        <v>46184</v>
      </c>
      <c r="H4081" s="18" t="n">
        <v>45</v>
      </c>
      <c r="I4081" s="19" t="n">
        <v>95.73999999999999</v>
      </c>
      <c r="J4081" s="19" t="n">
        <v>89</v>
      </c>
      <c r="K4081" s="20" t="n">
        <v>0</v>
      </c>
      <c r="L4081" s="20" t="n">
        <v>0</v>
      </c>
      <c r="M4081" s="18" t="n">
        <v>45</v>
      </c>
      <c r="N4081" s="18" t="n">
        <v>45</v>
      </c>
      <c r="O4081" s="18" t="n">
        <v>0</v>
      </c>
      <c r="P4081" s="17" t="n">
        <v>46181</v>
      </c>
      <c r="Q4081" s="17" t="n">
        <v>46181</v>
      </c>
      <c r="R4081" s="17" t="n">
        <v>46181</v>
      </c>
      <c r="S4081" s="19">
        <f>H4081*I4081</f>
        <v/>
      </c>
      <c r="T4081" s="19">
        <f>H4081*J4081</f>
        <v/>
      </c>
      <c r="U4081">
        <f>IF(AND(K4081=0,G4081&lt;=Assumptions!$C$6),1,0)</f>
        <v/>
      </c>
      <c r="V4081">
        <f>IF(U4081=1,IF(M4081&gt;0,IF(P4081&lt;=G4081+Assumptions!$C$7,1,0),0),0)</f>
        <v/>
      </c>
      <c r="W4081">
        <f>IF(AND(U4081=1,M4081&gt;=H4081*(1-Assumptions!$C$8)),1,0)</f>
        <v/>
      </c>
      <c r="X4081">
        <f>IF(AND(U4081=1,N4081&gt;=H4081*(1-Assumptions!$C$8)),1,0)</f>
        <v/>
      </c>
      <c r="Y4081">
        <f>IF(ISNUMBER(Q4081),1,0)</f>
        <v/>
      </c>
      <c r="Z4081">
        <f>IF(AND(K4081=0,L4081=0,Y4081=0),1,0)</f>
        <v/>
      </c>
      <c r="AA4081">
        <f>IF(AND(Z4081=1,G4081&lt;Assumptions!$C$6),1,0)</f>
        <v/>
      </c>
      <c r="AB4081">
        <f>IF(U4081=0,"",IF(Y4081=1,MAX(0,Q4081-G4081),IF(L4081=1,MAX(0,R4081-G4081),MAX(0,Assumptions!$C$6-G4081))))</f>
        <v/>
      </c>
      <c r="AC4081">
        <f>IF(Y4081=1,Q4081-F4081,"")</f>
        <v/>
      </c>
      <c r="AD4081">
        <f>IF(Y4081=1,AC4081^2,"")</f>
        <v/>
      </c>
      <c r="AE4081" s="19">
        <f>IF(Z4081=1,(H4081-M4081)*I4081,0)</f>
        <v/>
      </c>
      <c r="AF4081">
        <f>IF(G4081&lt;EDATE(Assumptions!$C$6,-12)+1,"prior_12m","last_12m")</f>
        <v/>
      </c>
      <c r="AG4081" s="21">
        <f>DATE(YEAR(G4081),MONTH(G4081),1)</f>
        <v/>
      </c>
    </row>
    <row r="4082">
      <c r="A4082" t="inlineStr">
        <is>
          <t>SPO-02175-2</t>
        </is>
      </c>
      <c r="B4082" t="inlineStr">
        <is>
          <t>SPO-02175</t>
        </is>
      </c>
      <c r="C4082" t="inlineStr">
        <is>
          <t>SUP-12</t>
        </is>
      </c>
      <c r="D4082" t="inlineStr">
        <is>
          <t>IT</t>
        </is>
      </c>
      <c r="E4082" t="inlineStr">
        <is>
          <t>IT-07</t>
        </is>
      </c>
      <c r="F4082" s="17" t="n">
        <v>46174</v>
      </c>
      <c r="G4082" s="17" t="n">
        <v>46184</v>
      </c>
      <c r="H4082" s="18" t="n">
        <v>11</v>
      </c>
      <c r="I4082" s="19" t="n">
        <v>79.63</v>
      </c>
      <c r="J4082" s="19" t="n">
        <v>74</v>
      </c>
      <c r="K4082" s="20" t="n">
        <v>0</v>
      </c>
      <c r="L4082" s="20" t="n">
        <v>0</v>
      </c>
      <c r="M4082" s="18" t="n">
        <v>11</v>
      </c>
      <c r="N4082" s="18" t="n">
        <v>11</v>
      </c>
      <c r="O4082" s="18" t="n">
        <v>0</v>
      </c>
      <c r="P4082" s="17" t="n">
        <v>46181</v>
      </c>
      <c r="Q4082" s="17" t="n">
        <v>46181</v>
      </c>
      <c r="R4082" s="17" t="n">
        <v>46181</v>
      </c>
      <c r="S4082" s="19">
        <f>H4082*I4082</f>
        <v/>
      </c>
      <c r="T4082" s="19">
        <f>H4082*J4082</f>
        <v/>
      </c>
      <c r="U4082">
        <f>IF(AND(K4082=0,G4082&lt;=Assumptions!$C$6),1,0)</f>
        <v/>
      </c>
      <c r="V4082">
        <f>IF(U4082=1,IF(M4082&gt;0,IF(P4082&lt;=G4082+Assumptions!$C$7,1,0),0),0)</f>
        <v/>
      </c>
      <c r="W4082">
        <f>IF(AND(U4082=1,M4082&gt;=H4082*(1-Assumptions!$C$8)),1,0)</f>
        <v/>
      </c>
      <c r="X4082">
        <f>IF(AND(U4082=1,N4082&gt;=H4082*(1-Assumptions!$C$8)),1,0)</f>
        <v/>
      </c>
      <c r="Y4082">
        <f>IF(ISNUMBER(Q4082),1,0)</f>
        <v/>
      </c>
      <c r="Z4082">
        <f>IF(AND(K4082=0,L4082=0,Y4082=0),1,0)</f>
        <v/>
      </c>
      <c r="AA4082">
        <f>IF(AND(Z4082=1,G4082&lt;Assumptions!$C$6),1,0)</f>
        <v/>
      </c>
      <c r="AB4082">
        <f>IF(U4082=0,"",IF(Y4082=1,MAX(0,Q4082-G4082),IF(L4082=1,MAX(0,R4082-G4082),MAX(0,Assumptions!$C$6-G4082))))</f>
        <v/>
      </c>
      <c r="AC4082">
        <f>IF(Y4082=1,Q4082-F4082,"")</f>
        <v/>
      </c>
      <c r="AD4082">
        <f>IF(Y4082=1,AC4082^2,"")</f>
        <v/>
      </c>
      <c r="AE4082" s="19">
        <f>IF(Z4082=1,(H4082-M4082)*I4082,0)</f>
        <v/>
      </c>
      <c r="AF4082">
        <f>IF(G4082&lt;EDATE(Assumptions!$C$6,-12)+1,"prior_12m","last_12m")</f>
        <v/>
      </c>
      <c r="AG4082" s="21">
        <f>DATE(YEAR(G4082),MONTH(G4082),1)</f>
        <v/>
      </c>
    </row>
    <row r="4083">
      <c r="A4083" t="inlineStr">
        <is>
          <t>SPO-02175-3</t>
        </is>
      </c>
      <c r="B4083" t="inlineStr">
        <is>
          <t>SPO-02175</t>
        </is>
      </c>
      <c r="C4083" t="inlineStr">
        <is>
          <t>SUP-12</t>
        </is>
      </c>
      <c r="D4083" t="inlineStr">
        <is>
          <t>IT</t>
        </is>
      </c>
      <c r="E4083" t="inlineStr">
        <is>
          <t>IT-03</t>
        </is>
      </c>
      <c r="F4083" s="17" t="n">
        <v>46174</v>
      </c>
      <c r="G4083" s="17" t="n">
        <v>46184</v>
      </c>
      <c r="H4083" s="18" t="n">
        <v>85</v>
      </c>
      <c r="I4083" s="19" t="n">
        <v>44.67</v>
      </c>
      <c r="J4083" s="19" t="n">
        <v>38</v>
      </c>
      <c r="K4083" s="20" t="n">
        <v>1</v>
      </c>
      <c r="L4083" s="20" t="n">
        <v>0</v>
      </c>
      <c r="M4083" s="18" t="n">
        <v>0</v>
      </c>
      <c r="N4083" s="18" t="n">
        <v>0</v>
      </c>
      <c r="O4083" s="18" t="n">
        <v>0</v>
      </c>
      <c r="P4083" s="17" t="n"/>
      <c r="Q4083" s="17" t="n"/>
      <c r="R4083" s="17" t="n"/>
      <c r="S4083" s="19">
        <f>H4083*I4083</f>
        <v/>
      </c>
      <c r="T4083" s="19">
        <f>H4083*J4083</f>
        <v/>
      </c>
      <c r="U4083">
        <f>IF(AND(K4083=0,G4083&lt;=Assumptions!$C$6),1,0)</f>
        <v/>
      </c>
      <c r="V4083">
        <f>IF(U4083=1,IF(M4083&gt;0,IF(P4083&lt;=G4083+Assumptions!$C$7,1,0),0),0)</f>
        <v/>
      </c>
      <c r="W4083">
        <f>IF(AND(U4083=1,M4083&gt;=H4083*(1-Assumptions!$C$8)),1,0)</f>
        <v/>
      </c>
      <c r="X4083">
        <f>IF(AND(U4083=1,N4083&gt;=H4083*(1-Assumptions!$C$8)),1,0)</f>
        <v/>
      </c>
      <c r="Y4083">
        <f>IF(ISNUMBER(Q4083),1,0)</f>
        <v/>
      </c>
      <c r="Z4083">
        <f>IF(AND(K4083=0,L4083=0,Y4083=0),1,0)</f>
        <v/>
      </c>
      <c r="AA4083">
        <f>IF(AND(Z4083=1,G4083&lt;Assumptions!$C$6),1,0)</f>
        <v/>
      </c>
      <c r="AB4083">
        <f>IF(U4083=0,"",IF(Y4083=1,MAX(0,Q4083-G4083),IF(L4083=1,MAX(0,R4083-G4083),MAX(0,Assumptions!$C$6-G4083))))</f>
        <v/>
      </c>
      <c r="AC4083">
        <f>IF(Y4083=1,Q4083-F4083,"")</f>
        <v/>
      </c>
      <c r="AD4083">
        <f>IF(Y4083=1,AC4083^2,"")</f>
        <v/>
      </c>
      <c r="AE4083" s="19">
        <f>IF(Z4083=1,(H4083-M4083)*I4083,0)</f>
        <v/>
      </c>
      <c r="AF4083">
        <f>IF(G4083&lt;EDATE(Assumptions!$C$6,-12)+1,"prior_12m","last_12m")</f>
        <v/>
      </c>
      <c r="AG4083" s="21">
        <f>DATE(YEAR(G4083),MONTH(G4083),1)</f>
        <v/>
      </c>
    </row>
    <row r="4084">
      <c r="A4084" t="inlineStr">
        <is>
          <t>SPO-02176-1</t>
        </is>
      </c>
      <c r="B4084" t="inlineStr">
        <is>
          <t>SPO-02176</t>
        </is>
      </c>
      <c r="C4084" t="inlineStr">
        <is>
          <t>SUP-10</t>
        </is>
      </c>
      <c r="D4084" t="inlineStr">
        <is>
          <t>PPE</t>
        </is>
      </c>
      <c r="E4084" t="inlineStr">
        <is>
          <t>PPE-05</t>
        </is>
      </c>
      <c r="F4084" s="17" t="n">
        <v>46174</v>
      </c>
      <c r="G4084" s="17" t="n">
        <v>46187</v>
      </c>
      <c r="H4084" s="18" t="n">
        <v>137</v>
      </c>
      <c r="I4084" s="19" t="n">
        <v>10.59</v>
      </c>
      <c r="J4084" s="19" t="n">
        <v>11</v>
      </c>
      <c r="K4084" s="20" t="n">
        <v>1</v>
      </c>
      <c r="L4084" s="20" t="n">
        <v>0</v>
      </c>
      <c r="M4084" s="18" t="n">
        <v>0</v>
      </c>
      <c r="N4084" s="18" t="n">
        <v>0</v>
      </c>
      <c r="O4084" s="18" t="n">
        <v>0</v>
      </c>
      <c r="P4084" s="17" t="n"/>
      <c r="Q4084" s="17" t="n"/>
      <c r="R4084" s="17" t="n"/>
      <c r="S4084" s="19">
        <f>H4084*I4084</f>
        <v/>
      </c>
      <c r="T4084" s="19">
        <f>H4084*J4084</f>
        <v/>
      </c>
      <c r="U4084">
        <f>IF(AND(K4084=0,G4084&lt;=Assumptions!$C$6),1,0)</f>
        <v/>
      </c>
      <c r="V4084">
        <f>IF(U4084=1,IF(M4084&gt;0,IF(P4084&lt;=G4084+Assumptions!$C$7,1,0),0),0)</f>
        <v/>
      </c>
      <c r="W4084">
        <f>IF(AND(U4084=1,M4084&gt;=H4084*(1-Assumptions!$C$8)),1,0)</f>
        <v/>
      </c>
      <c r="X4084">
        <f>IF(AND(U4084=1,N4084&gt;=H4084*(1-Assumptions!$C$8)),1,0)</f>
        <v/>
      </c>
      <c r="Y4084">
        <f>IF(ISNUMBER(Q4084),1,0)</f>
        <v/>
      </c>
      <c r="Z4084">
        <f>IF(AND(K4084=0,L4084=0,Y4084=0),1,0)</f>
        <v/>
      </c>
      <c r="AA4084">
        <f>IF(AND(Z4084=1,G4084&lt;Assumptions!$C$6),1,0)</f>
        <v/>
      </c>
      <c r="AB4084">
        <f>IF(U4084=0,"",IF(Y4084=1,MAX(0,Q4084-G4084),IF(L4084=1,MAX(0,R4084-G4084),MAX(0,Assumptions!$C$6-G4084))))</f>
        <v/>
      </c>
      <c r="AC4084">
        <f>IF(Y4084=1,Q4084-F4084,"")</f>
        <v/>
      </c>
      <c r="AD4084">
        <f>IF(Y4084=1,AC4084^2,"")</f>
        <v/>
      </c>
      <c r="AE4084" s="19">
        <f>IF(Z4084=1,(H4084-M4084)*I4084,0)</f>
        <v/>
      </c>
      <c r="AF4084">
        <f>IF(G4084&lt;EDATE(Assumptions!$C$6,-12)+1,"prior_12m","last_12m")</f>
        <v/>
      </c>
      <c r="AG4084" s="21">
        <f>DATE(YEAR(G4084),MONTH(G4084),1)</f>
        <v/>
      </c>
    </row>
    <row r="4085">
      <c r="A4085" t="inlineStr">
        <is>
          <t>SPO-02176-2</t>
        </is>
      </c>
      <c r="B4085" t="inlineStr">
        <is>
          <t>SPO-02176</t>
        </is>
      </c>
      <c r="C4085" t="inlineStr">
        <is>
          <t>SUP-10</t>
        </is>
      </c>
      <c r="D4085" t="inlineStr">
        <is>
          <t>PPE</t>
        </is>
      </c>
      <c r="E4085" t="inlineStr">
        <is>
          <t>PPE-08</t>
        </is>
      </c>
      <c r="F4085" s="17" t="n">
        <v>46174</v>
      </c>
      <c r="G4085" s="17" t="n">
        <v>46187</v>
      </c>
      <c r="H4085" s="18" t="n">
        <v>12</v>
      </c>
      <c r="I4085" s="19" t="n">
        <v>56.71</v>
      </c>
      <c r="J4085" s="19" t="n">
        <v>64</v>
      </c>
      <c r="K4085" s="20" t="n">
        <v>0</v>
      </c>
      <c r="L4085" s="20" t="n">
        <v>0</v>
      </c>
      <c r="M4085" s="18" t="n">
        <v>12</v>
      </c>
      <c r="N4085" s="18" t="n">
        <v>12</v>
      </c>
      <c r="O4085" s="18" t="n">
        <v>0</v>
      </c>
      <c r="P4085" s="17" t="n">
        <v>46185</v>
      </c>
      <c r="Q4085" s="17" t="n">
        <v>46185</v>
      </c>
      <c r="R4085" s="17" t="n">
        <v>46185</v>
      </c>
      <c r="S4085" s="19">
        <f>H4085*I4085</f>
        <v/>
      </c>
      <c r="T4085" s="19">
        <f>H4085*J4085</f>
        <v/>
      </c>
      <c r="U4085">
        <f>IF(AND(K4085=0,G4085&lt;=Assumptions!$C$6),1,0)</f>
        <v/>
      </c>
      <c r="V4085">
        <f>IF(U4085=1,IF(M4085&gt;0,IF(P4085&lt;=G4085+Assumptions!$C$7,1,0),0),0)</f>
        <v/>
      </c>
      <c r="W4085">
        <f>IF(AND(U4085=1,M4085&gt;=H4085*(1-Assumptions!$C$8)),1,0)</f>
        <v/>
      </c>
      <c r="X4085">
        <f>IF(AND(U4085=1,N4085&gt;=H4085*(1-Assumptions!$C$8)),1,0)</f>
        <v/>
      </c>
      <c r="Y4085">
        <f>IF(ISNUMBER(Q4085),1,0)</f>
        <v/>
      </c>
      <c r="Z4085">
        <f>IF(AND(K4085=0,L4085=0,Y4085=0),1,0)</f>
        <v/>
      </c>
      <c r="AA4085">
        <f>IF(AND(Z4085=1,G4085&lt;Assumptions!$C$6),1,0)</f>
        <v/>
      </c>
      <c r="AB4085">
        <f>IF(U4085=0,"",IF(Y4085=1,MAX(0,Q4085-G4085),IF(L4085=1,MAX(0,R4085-G4085),MAX(0,Assumptions!$C$6-G4085))))</f>
        <v/>
      </c>
      <c r="AC4085">
        <f>IF(Y4085=1,Q4085-F4085,"")</f>
        <v/>
      </c>
      <c r="AD4085">
        <f>IF(Y4085=1,AC4085^2,"")</f>
        <v/>
      </c>
      <c r="AE4085" s="19">
        <f>IF(Z4085=1,(H4085-M4085)*I4085,0)</f>
        <v/>
      </c>
      <c r="AF4085">
        <f>IF(G4085&lt;EDATE(Assumptions!$C$6,-12)+1,"prior_12m","last_12m")</f>
        <v/>
      </c>
      <c r="AG4085" s="21">
        <f>DATE(YEAR(G4085),MONTH(G4085),1)</f>
        <v/>
      </c>
    </row>
    <row r="4086">
      <c r="A4086" t="inlineStr">
        <is>
          <t>SPO-02176-3</t>
        </is>
      </c>
      <c r="B4086" t="inlineStr">
        <is>
          <t>SPO-02176</t>
        </is>
      </c>
      <c r="C4086" t="inlineStr">
        <is>
          <t>SUP-10</t>
        </is>
      </c>
      <c r="D4086" t="inlineStr">
        <is>
          <t>PPE</t>
        </is>
      </c>
      <c r="E4086" t="inlineStr">
        <is>
          <t>PPE-04</t>
        </is>
      </c>
      <c r="F4086" s="17" t="n">
        <v>46174</v>
      </c>
      <c r="G4086" s="17" t="n">
        <v>46187</v>
      </c>
      <c r="H4086" s="18" t="n">
        <v>172</v>
      </c>
      <c r="I4086" s="19" t="n">
        <v>26.42</v>
      </c>
      <c r="J4086" s="19" t="n">
        <v>26</v>
      </c>
      <c r="K4086" s="20" t="n">
        <v>0</v>
      </c>
      <c r="L4086" s="20" t="n">
        <v>0</v>
      </c>
      <c r="M4086" s="18" t="n">
        <v>172</v>
      </c>
      <c r="N4086" s="18" t="n">
        <v>172</v>
      </c>
      <c r="O4086" s="18" t="n">
        <v>0</v>
      </c>
      <c r="P4086" s="17" t="n">
        <v>46186</v>
      </c>
      <c r="Q4086" s="17" t="n">
        <v>46186</v>
      </c>
      <c r="R4086" s="17" t="n">
        <v>46186</v>
      </c>
      <c r="S4086" s="19">
        <f>H4086*I4086</f>
        <v/>
      </c>
      <c r="T4086" s="19">
        <f>H4086*J4086</f>
        <v/>
      </c>
      <c r="U4086">
        <f>IF(AND(K4086=0,G4086&lt;=Assumptions!$C$6),1,0)</f>
        <v/>
      </c>
      <c r="V4086">
        <f>IF(U4086=1,IF(M4086&gt;0,IF(P4086&lt;=G4086+Assumptions!$C$7,1,0),0),0)</f>
        <v/>
      </c>
      <c r="W4086">
        <f>IF(AND(U4086=1,M4086&gt;=H4086*(1-Assumptions!$C$8)),1,0)</f>
        <v/>
      </c>
      <c r="X4086">
        <f>IF(AND(U4086=1,N4086&gt;=H4086*(1-Assumptions!$C$8)),1,0)</f>
        <v/>
      </c>
      <c r="Y4086">
        <f>IF(ISNUMBER(Q4086),1,0)</f>
        <v/>
      </c>
      <c r="Z4086">
        <f>IF(AND(K4086=0,L4086=0,Y4086=0),1,0)</f>
        <v/>
      </c>
      <c r="AA4086">
        <f>IF(AND(Z4086=1,G4086&lt;Assumptions!$C$6),1,0)</f>
        <v/>
      </c>
      <c r="AB4086">
        <f>IF(U4086=0,"",IF(Y4086=1,MAX(0,Q4086-G4086),IF(L4086=1,MAX(0,R4086-G4086),MAX(0,Assumptions!$C$6-G4086))))</f>
        <v/>
      </c>
      <c r="AC4086">
        <f>IF(Y4086=1,Q4086-F4086,"")</f>
        <v/>
      </c>
      <c r="AD4086">
        <f>IF(Y4086=1,AC4086^2,"")</f>
        <v/>
      </c>
      <c r="AE4086" s="19">
        <f>IF(Z4086=1,(H4086-M4086)*I4086,0)</f>
        <v/>
      </c>
      <c r="AF4086">
        <f>IF(G4086&lt;EDATE(Assumptions!$C$6,-12)+1,"prior_12m","last_12m")</f>
        <v/>
      </c>
      <c r="AG4086" s="21">
        <f>DATE(YEAR(G4086),MONTH(G4086),1)</f>
        <v/>
      </c>
    </row>
    <row r="4087">
      <c r="A4087" t="inlineStr">
        <is>
          <t>SPO-02177-1</t>
        </is>
      </c>
      <c r="B4087" t="inlineStr">
        <is>
          <t>SPO-02177</t>
        </is>
      </c>
      <c r="C4087" t="inlineStr">
        <is>
          <t>SUP-07</t>
        </is>
      </c>
      <c r="D4087" t="inlineStr">
        <is>
          <t>MRO</t>
        </is>
      </c>
      <c r="E4087" t="inlineStr">
        <is>
          <t>MRO-03</t>
        </is>
      </c>
      <c r="F4087" s="17" t="n">
        <v>46174</v>
      </c>
      <c r="G4087" s="17" t="n">
        <v>46184</v>
      </c>
      <c r="H4087" s="18" t="n">
        <v>152</v>
      </c>
      <c r="I4087" s="19" t="n">
        <v>8.710000000000001</v>
      </c>
      <c r="J4087" s="19" t="n">
        <v>8.9</v>
      </c>
      <c r="K4087" s="20" t="n">
        <v>0</v>
      </c>
      <c r="L4087" s="20" t="n">
        <v>0</v>
      </c>
      <c r="M4087" s="18" t="n">
        <v>152</v>
      </c>
      <c r="N4087" s="18" t="n">
        <v>70</v>
      </c>
      <c r="O4087" s="18" t="n">
        <v>0</v>
      </c>
      <c r="P4087" s="17" t="n">
        <v>46181</v>
      </c>
      <c r="Q4087" s="17" t="n">
        <v>46192</v>
      </c>
      <c r="R4087" s="17" t="n">
        <v>46192</v>
      </c>
      <c r="S4087" s="19">
        <f>H4087*I4087</f>
        <v/>
      </c>
      <c r="T4087" s="19">
        <f>H4087*J4087</f>
        <v/>
      </c>
      <c r="U4087">
        <f>IF(AND(K4087=0,G4087&lt;=Assumptions!$C$6),1,0)</f>
        <v/>
      </c>
      <c r="V4087">
        <f>IF(U4087=1,IF(M4087&gt;0,IF(P4087&lt;=G4087+Assumptions!$C$7,1,0),0),0)</f>
        <v/>
      </c>
      <c r="W4087">
        <f>IF(AND(U4087=1,M4087&gt;=H4087*(1-Assumptions!$C$8)),1,0)</f>
        <v/>
      </c>
      <c r="X4087">
        <f>IF(AND(U4087=1,N4087&gt;=H4087*(1-Assumptions!$C$8)),1,0)</f>
        <v/>
      </c>
      <c r="Y4087">
        <f>IF(ISNUMBER(Q4087),1,0)</f>
        <v/>
      </c>
      <c r="Z4087">
        <f>IF(AND(K4087=0,L4087=0,Y4087=0),1,0)</f>
        <v/>
      </c>
      <c r="AA4087">
        <f>IF(AND(Z4087=1,G4087&lt;Assumptions!$C$6),1,0)</f>
        <v/>
      </c>
      <c r="AB4087">
        <f>IF(U4087=0,"",IF(Y4087=1,MAX(0,Q4087-G4087),IF(L4087=1,MAX(0,R4087-G4087),MAX(0,Assumptions!$C$6-G4087))))</f>
        <v/>
      </c>
      <c r="AC4087">
        <f>IF(Y4087=1,Q4087-F4087,"")</f>
        <v/>
      </c>
      <c r="AD4087">
        <f>IF(Y4087=1,AC4087^2,"")</f>
        <v/>
      </c>
      <c r="AE4087" s="19">
        <f>IF(Z4087=1,(H4087-M4087)*I4087,0)</f>
        <v/>
      </c>
      <c r="AF4087">
        <f>IF(G4087&lt;EDATE(Assumptions!$C$6,-12)+1,"prior_12m","last_12m")</f>
        <v/>
      </c>
      <c r="AG4087" s="21">
        <f>DATE(YEAR(G4087),MONTH(G4087),1)</f>
        <v/>
      </c>
    </row>
    <row r="4088">
      <c r="A4088" t="inlineStr">
        <is>
          <t>SPO-02177-2</t>
        </is>
      </c>
      <c r="B4088" t="inlineStr">
        <is>
          <t>SPO-02177</t>
        </is>
      </c>
      <c r="C4088" t="inlineStr">
        <is>
          <t>SUP-07</t>
        </is>
      </c>
      <c r="D4088" t="inlineStr">
        <is>
          <t>MRO</t>
        </is>
      </c>
      <c r="E4088" t="inlineStr">
        <is>
          <t>MRO-07</t>
        </is>
      </c>
      <c r="F4088" s="17" t="n">
        <v>46174</v>
      </c>
      <c r="G4088" s="17" t="n">
        <v>46184</v>
      </c>
      <c r="H4088" s="18" t="n">
        <v>102</v>
      </c>
      <c r="I4088" s="19" t="n">
        <v>14.63</v>
      </c>
      <c r="J4088" s="19" t="n">
        <v>14</v>
      </c>
      <c r="K4088" s="20" t="n">
        <v>0</v>
      </c>
      <c r="L4088" s="20" t="n">
        <v>0</v>
      </c>
      <c r="M4088" s="18" t="n">
        <v>102</v>
      </c>
      <c r="N4088" s="18" t="n">
        <v>102</v>
      </c>
      <c r="O4088" s="18" t="n">
        <v>0</v>
      </c>
      <c r="P4088" s="17" t="n">
        <v>46182</v>
      </c>
      <c r="Q4088" s="17" t="n">
        <v>46182</v>
      </c>
      <c r="R4088" s="17" t="n">
        <v>46182</v>
      </c>
      <c r="S4088" s="19">
        <f>H4088*I4088</f>
        <v/>
      </c>
      <c r="T4088" s="19">
        <f>H4088*J4088</f>
        <v/>
      </c>
      <c r="U4088">
        <f>IF(AND(K4088=0,G4088&lt;=Assumptions!$C$6),1,0)</f>
        <v/>
      </c>
      <c r="V4088">
        <f>IF(U4088=1,IF(M4088&gt;0,IF(P4088&lt;=G4088+Assumptions!$C$7,1,0),0),0)</f>
        <v/>
      </c>
      <c r="W4088">
        <f>IF(AND(U4088=1,M4088&gt;=H4088*(1-Assumptions!$C$8)),1,0)</f>
        <v/>
      </c>
      <c r="X4088">
        <f>IF(AND(U4088=1,N4088&gt;=H4088*(1-Assumptions!$C$8)),1,0)</f>
        <v/>
      </c>
      <c r="Y4088">
        <f>IF(ISNUMBER(Q4088),1,0)</f>
        <v/>
      </c>
      <c r="Z4088">
        <f>IF(AND(K4088=0,L4088=0,Y4088=0),1,0)</f>
        <v/>
      </c>
      <c r="AA4088">
        <f>IF(AND(Z4088=1,G4088&lt;Assumptions!$C$6),1,0)</f>
        <v/>
      </c>
      <c r="AB4088">
        <f>IF(U4088=0,"",IF(Y4088=1,MAX(0,Q4088-G4088),IF(L4088=1,MAX(0,R4088-G4088),MAX(0,Assumptions!$C$6-G4088))))</f>
        <v/>
      </c>
      <c r="AC4088">
        <f>IF(Y4088=1,Q4088-F4088,"")</f>
        <v/>
      </c>
      <c r="AD4088">
        <f>IF(Y4088=1,AC4088^2,"")</f>
        <v/>
      </c>
      <c r="AE4088" s="19">
        <f>IF(Z4088=1,(H4088-M4088)*I4088,0)</f>
        <v/>
      </c>
      <c r="AF4088">
        <f>IF(G4088&lt;EDATE(Assumptions!$C$6,-12)+1,"prior_12m","last_12m")</f>
        <v/>
      </c>
      <c r="AG4088" s="21">
        <f>DATE(YEAR(G4088),MONTH(G4088),1)</f>
        <v/>
      </c>
    </row>
    <row r="4089">
      <c r="A4089" t="inlineStr">
        <is>
          <t>SPO-02177-3</t>
        </is>
      </c>
      <c r="B4089" t="inlineStr">
        <is>
          <t>SPO-02177</t>
        </is>
      </c>
      <c r="C4089" t="inlineStr">
        <is>
          <t>SUP-07</t>
        </is>
      </c>
      <c r="D4089" t="inlineStr">
        <is>
          <t>MRO</t>
        </is>
      </c>
      <c r="E4089" t="inlineStr">
        <is>
          <t>MRO-08</t>
        </is>
      </c>
      <c r="F4089" s="17" t="n">
        <v>46174</v>
      </c>
      <c r="G4089" s="17" t="n">
        <v>46184</v>
      </c>
      <c r="H4089" s="18" t="n">
        <v>195</v>
      </c>
      <c r="I4089" s="19" t="n">
        <v>6.55</v>
      </c>
      <c r="J4089" s="19" t="n">
        <v>7.2</v>
      </c>
      <c r="K4089" s="20" t="n">
        <v>0</v>
      </c>
      <c r="L4089" s="20" t="n">
        <v>1</v>
      </c>
      <c r="M4089" s="18" t="n">
        <v>150</v>
      </c>
      <c r="N4089" s="18" t="n">
        <v>150</v>
      </c>
      <c r="O4089" s="18" t="n">
        <v>0</v>
      </c>
      <c r="P4089" s="17" t="n">
        <v>46178</v>
      </c>
      <c r="Q4089" s="17" t="n"/>
      <c r="R4089" s="17" t="n">
        <v>46178</v>
      </c>
      <c r="S4089" s="19">
        <f>H4089*I4089</f>
        <v/>
      </c>
      <c r="T4089" s="19">
        <f>H4089*J4089</f>
        <v/>
      </c>
      <c r="U4089">
        <f>IF(AND(K4089=0,G4089&lt;=Assumptions!$C$6),1,0)</f>
        <v/>
      </c>
      <c r="V4089">
        <f>IF(U4089=1,IF(M4089&gt;0,IF(P4089&lt;=G4089+Assumptions!$C$7,1,0),0),0)</f>
        <v/>
      </c>
      <c r="W4089">
        <f>IF(AND(U4089=1,M4089&gt;=H4089*(1-Assumptions!$C$8)),1,0)</f>
        <v/>
      </c>
      <c r="X4089">
        <f>IF(AND(U4089=1,N4089&gt;=H4089*(1-Assumptions!$C$8)),1,0)</f>
        <v/>
      </c>
      <c r="Y4089">
        <f>IF(ISNUMBER(Q4089),1,0)</f>
        <v/>
      </c>
      <c r="Z4089">
        <f>IF(AND(K4089=0,L4089=0,Y4089=0),1,0)</f>
        <v/>
      </c>
      <c r="AA4089">
        <f>IF(AND(Z4089=1,G4089&lt;Assumptions!$C$6),1,0)</f>
        <v/>
      </c>
      <c r="AB4089">
        <f>IF(U4089=0,"",IF(Y4089=1,MAX(0,Q4089-G4089),IF(L4089=1,MAX(0,R4089-G4089),MAX(0,Assumptions!$C$6-G4089))))</f>
        <v/>
      </c>
      <c r="AC4089">
        <f>IF(Y4089=1,Q4089-F4089,"")</f>
        <v/>
      </c>
      <c r="AD4089">
        <f>IF(Y4089=1,AC4089^2,"")</f>
        <v/>
      </c>
      <c r="AE4089" s="19">
        <f>IF(Z4089=1,(H4089-M4089)*I4089,0)</f>
        <v/>
      </c>
      <c r="AF4089">
        <f>IF(G4089&lt;EDATE(Assumptions!$C$6,-12)+1,"prior_12m","last_12m")</f>
        <v/>
      </c>
      <c r="AG4089" s="21">
        <f>DATE(YEAR(G4089),MONTH(G4089),1)</f>
        <v/>
      </c>
    </row>
    <row r="4090">
      <c r="A4090" t="inlineStr">
        <is>
          <t>SPO-02178-1</t>
        </is>
      </c>
      <c r="B4090" t="inlineStr">
        <is>
          <t>SPO-02178</t>
        </is>
      </c>
      <c r="C4090" t="inlineStr">
        <is>
          <t>SUP-02</t>
        </is>
      </c>
      <c r="D4090" t="inlineStr">
        <is>
          <t>ELEC</t>
        </is>
      </c>
      <c r="E4090" t="inlineStr">
        <is>
          <t>ELEC-04</t>
        </is>
      </c>
      <c r="F4090" s="17" t="n">
        <v>46175</v>
      </c>
      <c r="G4090" s="17" t="n">
        <v>46191</v>
      </c>
      <c r="H4090" s="18" t="n">
        <v>22</v>
      </c>
      <c r="I4090" s="19" t="n">
        <v>72.3</v>
      </c>
      <c r="J4090" s="19" t="n">
        <v>72</v>
      </c>
      <c r="K4090" s="20" t="n">
        <v>0</v>
      </c>
      <c r="L4090" s="20" t="n">
        <v>0</v>
      </c>
      <c r="M4090" s="18" t="n">
        <v>22</v>
      </c>
      <c r="N4090" s="18" t="n">
        <v>22</v>
      </c>
      <c r="O4090" s="18" t="n">
        <v>0</v>
      </c>
      <c r="P4090" s="17" t="n">
        <v>46185</v>
      </c>
      <c r="Q4090" s="17" t="n">
        <v>46185</v>
      </c>
      <c r="R4090" s="17" t="n">
        <v>46185</v>
      </c>
      <c r="S4090" s="19">
        <f>H4090*I4090</f>
        <v/>
      </c>
      <c r="T4090" s="19">
        <f>H4090*J4090</f>
        <v/>
      </c>
      <c r="U4090">
        <f>IF(AND(K4090=0,G4090&lt;=Assumptions!$C$6),1,0)</f>
        <v/>
      </c>
      <c r="V4090">
        <f>IF(U4090=1,IF(M4090&gt;0,IF(P4090&lt;=G4090+Assumptions!$C$7,1,0),0),0)</f>
        <v/>
      </c>
      <c r="W4090">
        <f>IF(AND(U4090=1,M4090&gt;=H4090*(1-Assumptions!$C$8)),1,0)</f>
        <v/>
      </c>
      <c r="X4090">
        <f>IF(AND(U4090=1,N4090&gt;=H4090*(1-Assumptions!$C$8)),1,0)</f>
        <v/>
      </c>
      <c r="Y4090">
        <f>IF(ISNUMBER(Q4090),1,0)</f>
        <v/>
      </c>
      <c r="Z4090">
        <f>IF(AND(K4090=0,L4090=0,Y4090=0),1,0)</f>
        <v/>
      </c>
      <c r="AA4090">
        <f>IF(AND(Z4090=1,G4090&lt;Assumptions!$C$6),1,0)</f>
        <v/>
      </c>
      <c r="AB4090">
        <f>IF(U4090=0,"",IF(Y4090=1,MAX(0,Q4090-G4090),IF(L4090=1,MAX(0,R4090-G4090),MAX(0,Assumptions!$C$6-G4090))))</f>
        <v/>
      </c>
      <c r="AC4090">
        <f>IF(Y4090=1,Q4090-F4090,"")</f>
        <v/>
      </c>
      <c r="AD4090">
        <f>IF(Y4090=1,AC4090^2,"")</f>
        <v/>
      </c>
      <c r="AE4090" s="19">
        <f>IF(Z4090=1,(H4090-M4090)*I4090,0)</f>
        <v/>
      </c>
      <c r="AF4090">
        <f>IF(G4090&lt;EDATE(Assumptions!$C$6,-12)+1,"prior_12m","last_12m")</f>
        <v/>
      </c>
      <c r="AG4090" s="21">
        <f>DATE(YEAR(G4090),MONTH(G4090),1)</f>
        <v/>
      </c>
    </row>
    <row r="4091">
      <c r="A4091" t="inlineStr">
        <is>
          <t>SPO-02179-1</t>
        </is>
      </c>
      <c r="B4091" t="inlineStr">
        <is>
          <t>SPO-02179</t>
        </is>
      </c>
      <c r="C4091" t="inlineStr">
        <is>
          <t>SUP-06</t>
        </is>
      </c>
      <c r="D4091" t="inlineStr">
        <is>
          <t>MRO</t>
        </is>
      </c>
      <c r="E4091" t="inlineStr">
        <is>
          <t>MRO-07</t>
        </is>
      </c>
      <c r="F4091" s="17" t="n">
        <v>46175</v>
      </c>
      <c r="G4091" s="17" t="n">
        <v>46183</v>
      </c>
      <c r="H4091" s="18" t="n">
        <v>100</v>
      </c>
      <c r="I4091" s="19" t="n">
        <v>14.19</v>
      </c>
      <c r="J4091" s="19" t="n">
        <v>14</v>
      </c>
      <c r="K4091" s="20" t="n">
        <v>0</v>
      </c>
      <c r="L4091" s="20" t="n">
        <v>0</v>
      </c>
      <c r="M4091" s="18" t="n">
        <v>100</v>
      </c>
      <c r="N4091" s="18" t="n">
        <v>100</v>
      </c>
      <c r="O4091" s="18" t="n">
        <v>0</v>
      </c>
      <c r="P4091" s="17" t="n">
        <v>46180</v>
      </c>
      <c r="Q4091" s="17" t="n">
        <v>46180</v>
      </c>
      <c r="R4091" s="17" t="n">
        <v>46180</v>
      </c>
      <c r="S4091" s="19">
        <f>H4091*I4091</f>
        <v/>
      </c>
      <c r="T4091" s="19">
        <f>H4091*J4091</f>
        <v/>
      </c>
      <c r="U4091">
        <f>IF(AND(K4091=0,G4091&lt;=Assumptions!$C$6),1,0)</f>
        <v/>
      </c>
      <c r="V4091">
        <f>IF(U4091=1,IF(M4091&gt;0,IF(P4091&lt;=G4091+Assumptions!$C$7,1,0),0),0)</f>
        <v/>
      </c>
      <c r="W4091">
        <f>IF(AND(U4091=1,M4091&gt;=H4091*(1-Assumptions!$C$8)),1,0)</f>
        <v/>
      </c>
      <c r="X4091">
        <f>IF(AND(U4091=1,N4091&gt;=H4091*(1-Assumptions!$C$8)),1,0)</f>
        <v/>
      </c>
      <c r="Y4091">
        <f>IF(ISNUMBER(Q4091),1,0)</f>
        <v/>
      </c>
      <c r="Z4091">
        <f>IF(AND(K4091=0,L4091=0,Y4091=0),1,0)</f>
        <v/>
      </c>
      <c r="AA4091">
        <f>IF(AND(Z4091=1,G4091&lt;Assumptions!$C$6),1,0)</f>
        <v/>
      </c>
      <c r="AB4091">
        <f>IF(U4091=0,"",IF(Y4091=1,MAX(0,Q4091-G4091),IF(L4091=1,MAX(0,R4091-G4091),MAX(0,Assumptions!$C$6-G4091))))</f>
        <v/>
      </c>
      <c r="AC4091">
        <f>IF(Y4091=1,Q4091-F4091,"")</f>
        <v/>
      </c>
      <c r="AD4091">
        <f>IF(Y4091=1,AC4091^2,"")</f>
        <v/>
      </c>
      <c r="AE4091" s="19">
        <f>IF(Z4091=1,(H4091-M4091)*I4091,0)</f>
        <v/>
      </c>
      <c r="AF4091">
        <f>IF(G4091&lt;EDATE(Assumptions!$C$6,-12)+1,"prior_12m","last_12m")</f>
        <v/>
      </c>
      <c r="AG4091" s="21">
        <f>DATE(YEAR(G4091),MONTH(G4091),1)</f>
        <v/>
      </c>
    </row>
    <row r="4092">
      <c r="A4092" t="inlineStr">
        <is>
          <t>SPO-02179-2</t>
        </is>
      </c>
      <c r="B4092" t="inlineStr">
        <is>
          <t>SPO-02179</t>
        </is>
      </c>
      <c r="C4092" t="inlineStr">
        <is>
          <t>SUP-06</t>
        </is>
      </c>
      <c r="D4092" t="inlineStr">
        <is>
          <t>MRO</t>
        </is>
      </c>
      <c r="E4092" t="inlineStr">
        <is>
          <t>MRO-04</t>
        </is>
      </c>
      <c r="F4092" s="17" t="n">
        <v>46175</v>
      </c>
      <c r="G4092" s="17" t="n">
        <v>46183</v>
      </c>
      <c r="H4092" s="18" t="n">
        <v>52</v>
      </c>
      <c r="I4092" s="19" t="n">
        <v>56.92</v>
      </c>
      <c r="J4092" s="19" t="n">
        <v>58</v>
      </c>
      <c r="K4092" s="20" t="n">
        <v>0</v>
      </c>
      <c r="L4092" s="20" t="n">
        <v>0</v>
      </c>
      <c r="M4092" s="18" t="n">
        <v>52</v>
      </c>
      <c r="N4092" s="18" t="n">
        <v>52</v>
      </c>
      <c r="O4092" s="18" t="n">
        <v>0</v>
      </c>
      <c r="P4092" s="17" t="n">
        <v>46180</v>
      </c>
      <c r="Q4092" s="17" t="n">
        <v>46180</v>
      </c>
      <c r="R4092" s="17" t="n">
        <v>46180</v>
      </c>
      <c r="S4092" s="19">
        <f>H4092*I4092</f>
        <v/>
      </c>
      <c r="T4092" s="19">
        <f>H4092*J4092</f>
        <v/>
      </c>
      <c r="U4092">
        <f>IF(AND(K4092=0,G4092&lt;=Assumptions!$C$6),1,0)</f>
        <v/>
      </c>
      <c r="V4092">
        <f>IF(U4092=1,IF(M4092&gt;0,IF(P4092&lt;=G4092+Assumptions!$C$7,1,0),0),0)</f>
        <v/>
      </c>
      <c r="W4092">
        <f>IF(AND(U4092=1,M4092&gt;=H4092*(1-Assumptions!$C$8)),1,0)</f>
        <v/>
      </c>
      <c r="X4092">
        <f>IF(AND(U4092=1,N4092&gt;=H4092*(1-Assumptions!$C$8)),1,0)</f>
        <v/>
      </c>
      <c r="Y4092">
        <f>IF(ISNUMBER(Q4092),1,0)</f>
        <v/>
      </c>
      <c r="Z4092">
        <f>IF(AND(K4092=0,L4092=0,Y4092=0),1,0)</f>
        <v/>
      </c>
      <c r="AA4092">
        <f>IF(AND(Z4092=1,G4092&lt;Assumptions!$C$6),1,0)</f>
        <v/>
      </c>
      <c r="AB4092">
        <f>IF(U4092=0,"",IF(Y4092=1,MAX(0,Q4092-G4092),IF(L4092=1,MAX(0,R4092-G4092),MAX(0,Assumptions!$C$6-G4092))))</f>
        <v/>
      </c>
      <c r="AC4092">
        <f>IF(Y4092=1,Q4092-F4092,"")</f>
        <v/>
      </c>
      <c r="AD4092">
        <f>IF(Y4092=1,AC4092^2,"")</f>
        <v/>
      </c>
      <c r="AE4092" s="19">
        <f>IF(Z4092=1,(H4092-M4092)*I4092,0)</f>
        <v/>
      </c>
      <c r="AF4092">
        <f>IF(G4092&lt;EDATE(Assumptions!$C$6,-12)+1,"prior_12m","last_12m")</f>
        <v/>
      </c>
      <c r="AG4092" s="21">
        <f>DATE(YEAR(G4092),MONTH(G4092),1)</f>
        <v/>
      </c>
    </row>
    <row r="4093">
      <c r="A4093" t="inlineStr">
        <is>
          <t>SPO-02180-1</t>
        </is>
      </c>
      <c r="B4093" t="inlineStr">
        <is>
          <t>SPO-02180</t>
        </is>
      </c>
      <c r="C4093" t="inlineStr">
        <is>
          <t>SUP-10</t>
        </is>
      </c>
      <c r="D4093" t="inlineStr">
        <is>
          <t>PPE</t>
        </is>
      </c>
      <c r="E4093" t="inlineStr">
        <is>
          <t>PPE-04</t>
        </is>
      </c>
      <c r="F4093" s="17" t="n">
        <v>46175</v>
      </c>
      <c r="G4093" s="17" t="n">
        <v>46188</v>
      </c>
      <c r="H4093" s="18" t="n">
        <v>103</v>
      </c>
      <c r="I4093" s="19" t="n">
        <v>24.02</v>
      </c>
      <c r="J4093" s="19" t="n">
        <v>26</v>
      </c>
      <c r="K4093" s="20" t="n">
        <v>0</v>
      </c>
      <c r="L4093" s="20" t="n">
        <v>0</v>
      </c>
      <c r="M4093" s="18" t="n">
        <v>103</v>
      </c>
      <c r="N4093" s="18" t="n">
        <v>103</v>
      </c>
      <c r="O4093" s="18" t="n">
        <v>13</v>
      </c>
      <c r="P4093" s="17" t="n">
        <v>46186</v>
      </c>
      <c r="Q4093" s="17" t="n">
        <v>46186</v>
      </c>
      <c r="R4093" s="17" t="n">
        <v>46186</v>
      </c>
      <c r="S4093" s="19">
        <f>H4093*I4093</f>
        <v/>
      </c>
      <c r="T4093" s="19">
        <f>H4093*J4093</f>
        <v/>
      </c>
      <c r="U4093">
        <f>IF(AND(K4093=0,G4093&lt;=Assumptions!$C$6),1,0)</f>
        <v/>
      </c>
      <c r="V4093">
        <f>IF(U4093=1,IF(M4093&gt;0,IF(P4093&lt;=G4093+Assumptions!$C$7,1,0),0),0)</f>
        <v/>
      </c>
      <c r="W4093">
        <f>IF(AND(U4093=1,M4093&gt;=H4093*(1-Assumptions!$C$8)),1,0)</f>
        <v/>
      </c>
      <c r="X4093">
        <f>IF(AND(U4093=1,N4093&gt;=H4093*(1-Assumptions!$C$8)),1,0)</f>
        <v/>
      </c>
      <c r="Y4093">
        <f>IF(ISNUMBER(Q4093),1,0)</f>
        <v/>
      </c>
      <c r="Z4093">
        <f>IF(AND(K4093=0,L4093=0,Y4093=0),1,0)</f>
        <v/>
      </c>
      <c r="AA4093">
        <f>IF(AND(Z4093=1,G4093&lt;Assumptions!$C$6),1,0)</f>
        <v/>
      </c>
      <c r="AB4093">
        <f>IF(U4093=0,"",IF(Y4093=1,MAX(0,Q4093-G4093),IF(L4093=1,MAX(0,R4093-G4093),MAX(0,Assumptions!$C$6-G4093))))</f>
        <v/>
      </c>
      <c r="AC4093">
        <f>IF(Y4093=1,Q4093-F4093,"")</f>
        <v/>
      </c>
      <c r="AD4093">
        <f>IF(Y4093=1,AC4093^2,"")</f>
        <v/>
      </c>
      <c r="AE4093" s="19">
        <f>IF(Z4093=1,(H4093-M4093)*I4093,0)</f>
        <v/>
      </c>
      <c r="AF4093">
        <f>IF(G4093&lt;EDATE(Assumptions!$C$6,-12)+1,"prior_12m","last_12m")</f>
        <v/>
      </c>
      <c r="AG4093" s="21">
        <f>DATE(YEAR(G4093),MONTH(G4093),1)</f>
        <v/>
      </c>
    </row>
    <row r="4094">
      <c r="A4094" t="inlineStr">
        <is>
          <t>SPO-02180-2</t>
        </is>
      </c>
      <c r="B4094" t="inlineStr">
        <is>
          <t>SPO-02180</t>
        </is>
      </c>
      <c r="C4094" t="inlineStr">
        <is>
          <t>SUP-10</t>
        </is>
      </c>
      <c r="D4094" t="inlineStr">
        <is>
          <t>PPE</t>
        </is>
      </c>
      <c r="E4094" t="inlineStr">
        <is>
          <t>PPE-07</t>
        </is>
      </c>
      <c r="F4094" s="17" t="n">
        <v>46175</v>
      </c>
      <c r="G4094" s="17" t="n">
        <v>46188</v>
      </c>
      <c r="H4094" s="18" t="n">
        <v>28</v>
      </c>
      <c r="I4094" s="19" t="n">
        <v>29.94</v>
      </c>
      <c r="J4094" s="19" t="n">
        <v>31</v>
      </c>
      <c r="K4094" s="20" t="n">
        <v>0</v>
      </c>
      <c r="L4094" s="20" t="n">
        <v>0</v>
      </c>
      <c r="M4094" s="18" t="n">
        <v>28</v>
      </c>
      <c r="N4094" s="18" t="n">
        <v>28</v>
      </c>
      <c r="O4094" s="18" t="n">
        <v>0</v>
      </c>
      <c r="P4094" s="17" t="n">
        <v>46188</v>
      </c>
      <c r="Q4094" s="17" t="n">
        <v>46188</v>
      </c>
      <c r="R4094" s="17" t="n">
        <v>46188</v>
      </c>
      <c r="S4094" s="19">
        <f>H4094*I4094</f>
        <v/>
      </c>
      <c r="T4094" s="19">
        <f>H4094*J4094</f>
        <v/>
      </c>
      <c r="U4094">
        <f>IF(AND(K4094=0,G4094&lt;=Assumptions!$C$6),1,0)</f>
        <v/>
      </c>
      <c r="V4094">
        <f>IF(U4094=1,IF(M4094&gt;0,IF(P4094&lt;=G4094+Assumptions!$C$7,1,0),0),0)</f>
        <v/>
      </c>
      <c r="W4094">
        <f>IF(AND(U4094=1,M4094&gt;=H4094*(1-Assumptions!$C$8)),1,0)</f>
        <v/>
      </c>
      <c r="X4094">
        <f>IF(AND(U4094=1,N4094&gt;=H4094*(1-Assumptions!$C$8)),1,0)</f>
        <v/>
      </c>
      <c r="Y4094">
        <f>IF(ISNUMBER(Q4094),1,0)</f>
        <v/>
      </c>
      <c r="Z4094">
        <f>IF(AND(K4094=0,L4094=0,Y4094=0),1,0)</f>
        <v/>
      </c>
      <c r="AA4094">
        <f>IF(AND(Z4094=1,G4094&lt;Assumptions!$C$6),1,0)</f>
        <v/>
      </c>
      <c r="AB4094">
        <f>IF(U4094=0,"",IF(Y4094=1,MAX(0,Q4094-G4094),IF(L4094=1,MAX(0,R4094-G4094),MAX(0,Assumptions!$C$6-G4094))))</f>
        <v/>
      </c>
      <c r="AC4094">
        <f>IF(Y4094=1,Q4094-F4094,"")</f>
        <v/>
      </c>
      <c r="AD4094">
        <f>IF(Y4094=1,AC4094^2,"")</f>
        <v/>
      </c>
      <c r="AE4094" s="19">
        <f>IF(Z4094=1,(H4094-M4094)*I4094,0)</f>
        <v/>
      </c>
      <c r="AF4094">
        <f>IF(G4094&lt;EDATE(Assumptions!$C$6,-12)+1,"prior_12m","last_12m")</f>
        <v/>
      </c>
      <c r="AG4094" s="21">
        <f>DATE(YEAR(G4094),MONTH(G4094),1)</f>
        <v/>
      </c>
    </row>
    <row r="4095">
      <c r="A4095" t="inlineStr">
        <is>
          <t>SPO-02180-3</t>
        </is>
      </c>
      <c r="B4095" t="inlineStr">
        <is>
          <t>SPO-02180</t>
        </is>
      </c>
      <c r="C4095" t="inlineStr">
        <is>
          <t>SUP-10</t>
        </is>
      </c>
      <c r="D4095" t="inlineStr">
        <is>
          <t>PPE</t>
        </is>
      </c>
      <c r="E4095" t="inlineStr">
        <is>
          <t>PPE-03</t>
        </is>
      </c>
      <c r="F4095" s="17" t="n">
        <v>46175</v>
      </c>
      <c r="G4095" s="17" t="n">
        <v>46188</v>
      </c>
      <c r="H4095" s="18" t="n">
        <v>74</v>
      </c>
      <c r="I4095" s="19" t="n">
        <v>21.4</v>
      </c>
      <c r="J4095" s="19" t="n">
        <v>21</v>
      </c>
      <c r="K4095" s="20" t="n">
        <v>0</v>
      </c>
      <c r="L4095" s="20" t="n">
        <v>0</v>
      </c>
      <c r="M4095" s="18" t="n">
        <v>74</v>
      </c>
      <c r="N4095" s="18" t="n">
        <v>74</v>
      </c>
      <c r="O4095" s="18" t="n">
        <v>0</v>
      </c>
      <c r="P4095" s="17" t="n">
        <v>46187</v>
      </c>
      <c r="Q4095" s="17" t="n">
        <v>46187</v>
      </c>
      <c r="R4095" s="17" t="n">
        <v>46187</v>
      </c>
      <c r="S4095" s="19">
        <f>H4095*I4095</f>
        <v/>
      </c>
      <c r="T4095" s="19">
        <f>H4095*J4095</f>
        <v/>
      </c>
      <c r="U4095">
        <f>IF(AND(K4095=0,G4095&lt;=Assumptions!$C$6),1,0)</f>
        <v/>
      </c>
      <c r="V4095">
        <f>IF(U4095=1,IF(M4095&gt;0,IF(P4095&lt;=G4095+Assumptions!$C$7,1,0),0),0)</f>
        <v/>
      </c>
      <c r="W4095">
        <f>IF(AND(U4095=1,M4095&gt;=H4095*(1-Assumptions!$C$8)),1,0)</f>
        <v/>
      </c>
      <c r="X4095">
        <f>IF(AND(U4095=1,N4095&gt;=H4095*(1-Assumptions!$C$8)),1,0)</f>
        <v/>
      </c>
      <c r="Y4095">
        <f>IF(ISNUMBER(Q4095),1,0)</f>
        <v/>
      </c>
      <c r="Z4095">
        <f>IF(AND(K4095=0,L4095=0,Y4095=0),1,0)</f>
        <v/>
      </c>
      <c r="AA4095">
        <f>IF(AND(Z4095=1,G4095&lt;Assumptions!$C$6),1,0)</f>
        <v/>
      </c>
      <c r="AB4095">
        <f>IF(U4095=0,"",IF(Y4095=1,MAX(0,Q4095-G4095),IF(L4095=1,MAX(0,R4095-G4095),MAX(0,Assumptions!$C$6-G4095))))</f>
        <v/>
      </c>
      <c r="AC4095">
        <f>IF(Y4095=1,Q4095-F4095,"")</f>
        <v/>
      </c>
      <c r="AD4095">
        <f>IF(Y4095=1,AC4095^2,"")</f>
        <v/>
      </c>
      <c r="AE4095" s="19">
        <f>IF(Z4095=1,(H4095-M4095)*I4095,0)</f>
        <v/>
      </c>
      <c r="AF4095">
        <f>IF(G4095&lt;EDATE(Assumptions!$C$6,-12)+1,"prior_12m","last_12m")</f>
        <v/>
      </c>
      <c r="AG4095" s="21">
        <f>DATE(YEAR(G4095),MONTH(G4095),1)</f>
        <v/>
      </c>
    </row>
    <row r="4096">
      <c r="A4096" t="inlineStr">
        <is>
          <t>SPO-02181-1</t>
        </is>
      </c>
      <c r="B4096" t="inlineStr">
        <is>
          <t>SPO-02181</t>
        </is>
      </c>
      <c r="C4096" t="inlineStr">
        <is>
          <t>SUP-12</t>
        </is>
      </c>
      <c r="D4096" t="inlineStr">
        <is>
          <t>IT</t>
        </is>
      </c>
      <c r="E4096" t="inlineStr">
        <is>
          <t>IT-08</t>
        </is>
      </c>
      <c r="F4096" s="17" t="n">
        <v>46176</v>
      </c>
      <c r="G4096" s="17" t="n">
        <v>46186</v>
      </c>
      <c r="H4096" s="18" t="n">
        <v>7</v>
      </c>
      <c r="I4096" s="19" t="n">
        <v>281.76</v>
      </c>
      <c r="J4096" s="19" t="n">
        <v>245</v>
      </c>
      <c r="K4096" s="20" t="n">
        <v>0</v>
      </c>
      <c r="L4096" s="20" t="n">
        <v>0</v>
      </c>
      <c r="M4096" s="18" t="n">
        <v>7</v>
      </c>
      <c r="N4096" s="18" t="n">
        <v>7</v>
      </c>
      <c r="O4096" s="18" t="n">
        <v>0</v>
      </c>
      <c r="P4096" s="17" t="n">
        <v>46181</v>
      </c>
      <c r="Q4096" s="17" t="n">
        <v>46181</v>
      </c>
      <c r="R4096" s="17" t="n">
        <v>46181</v>
      </c>
      <c r="S4096" s="19">
        <f>H4096*I4096</f>
        <v/>
      </c>
      <c r="T4096" s="19">
        <f>H4096*J4096</f>
        <v/>
      </c>
      <c r="U4096">
        <f>IF(AND(K4096=0,G4096&lt;=Assumptions!$C$6),1,0)</f>
        <v/>
      </c>
      <c r="V4096">
        <f>IF(U4096=1,IF(M4096&gt;0,IF(P4096&lt;=G4096+Assumptions!$C$7,1,0),0),0)</f>
        <v/>
      </c>
      <c r="W4096">
        <f>IF(AND(U4096=1,M4096&gt;=H4096*(1-Assumptions!$C$8)),1,0)</f>
        <v/>
      </c>
      <c r="X4096">
        <f>IF(AND(U4096=1,N4096&gt;=H4096*(1-Assumptions!$C$8)),1,0)</f>
        <v/>
      </c>
      <c r="Y4096">
        <f>IF(ISNUMBER(Q4096),1,0)</f>
        <v/>
      </c>
      <c r="Z4096">
        <f>IF(AND(K4096=0,L4096=0,Y4096=0),1,0)</f>
        <v/>
      </c>
      <c r="AA4096">
        <f>IF(AND(Z4096=1,G4096&lt;Assumptions!$C$6),1,0)</f>
        <v/>
      </c>
      <c r="AB4096">
        <f>IF(U4096=0,"",IF(Y4096=1,MAX(0,Q4096-G4096),IF(L4096=1,MAX(0,R4096-G4096),MAX(0,Assumptions!$C$6-G4096))))</f>
        <v/>
      </c>
      <c r="AC4096">
        <f>IF(Y4096=1,Q4096-F4096,"")</f>
        <v/>
      </c>
      <c r="AD4096">
        <f>IF(Y4096=1,AC4096^2,"")</f>
        <v/>
      </c>
      <c r="AE4096" s="19">
        <f>IF(Z4096=1,(H4096-M4096)*I4096,0)</f>
        <v/>
      </c>
      <c r="AF4096">
        <f>IF(G4096&lt;EDATE(Assumptions!$C$6,-12)+1,"prior_12m","last_12m")</f>
        <v/>
      </c>
      <c r="AG4096" s="21">
        <f>DATE(YEAR(G4096),MONTH(G4096),1)</f>
        <v/>
      </c>
    </row>
    <row r="4097">
      <c r="A4097" t="inlineStr">
        <is>
          <t>SPO-02181-2</t>
        </is>
      </c>
      <c r="B4097" t="inlineStr">
        <is>
          <t>SPO-02181</t>
        </is>
      </c>
      <c r="C4097" t="inlineStr">
        <is>
          <t>SUP-12</t>
        </is>
      </c>
      <c r="D4097" t="inlineStr">
        <is>
          <t>IT</t>
        </is>
      </c>
      <c r="E4097" t="inlineStr">
        <is>
          <t>IT-03</t>
        </is>
      </c>
      <c r="F4097" s="17" t="n">
        <v>46176</v>
      </c>
      <c r="G4097" s="17" t="n">
        <v>46186</v>
      </c>
      <c r="H4097" s="18" t="n">
        <v>25</v>
      </c>
      <c r="I4097" s="19" t="n">
        <v>43.33</v>
      </c>
      <c r="J4097" s="19" t="n">
        <v>38</v>
      </c>
      <c r="K4097" s="20" t="n">
        <v>0</v>
      </c>
      <c r="L4097" s="20" t="n">
        <v>0</v>
      </c>
      <c r="M4097" s="18" t="n">
        <v>25</v>
      </c>
      <c r="N4097" s="18" t="n">
        <v>25</v>
      </c>
      <c r="O4097" s="18" t="n">
        <v>0</v>
      </c>
      <c r="P4097" s="17" t="n">
        <v>46182</v>
      </c>
      <c r="Q4097" s="17" t="n">
        <v>46182</v>
      </c>
      <c r="R4097" s="17" t="n">
        <v>46182</v>
      </c>
      <c r="S4097" s="19">
        <f>H4097*I4097</f>
        <v/>
      </c>
      <c r="T4097" s="19">
        <f>H4097*J4097</f>
        <v/>
      </c>
      <c r="U4097">
        <f>IF(AND(K4097=0,G4097&lt;=Assumptions!$C$6),1,0)</f>
        <v/>
      </c>
      <c r="V4097">
        <f>IF(U4097=1,IF(M4097&gt;0,IF(P4097&lt;=G4097+Assumptions!$C$7,1,0),0),0)</f>
        <v/>
      </c>
      <c r="W4097">
        <f>IF(AND(U4097=1,M4097&gt;=H4097*(1-Assumptions!$C$8)),1,0)</f>
        <v/>
      </c>
      <c r="X4097">
        <f>IF(AND(U4097=1,N4097&gt;=H4097*(1-Assumptions!$C$8)),1,0)</f>
        <v/>
      </c>
      <c r="Y4097">
        <f>IF(ISNUMBER(Q4097),1,0)</f>
        <v/>
      </c>
      <c r="Z4097">
        <f>IF(AND(K4097=0,L4097=0,Y4097=0),1,0)</f>
        <v/>
      </c>
      <c r="AA4097">
        <f>IF(AND(Z4097=1,G4097&lt;Assumptions!$C$6),1,0)</f>
        <v/>
      </c>
      <c r="AB4097">
        <f>IF(U4097=0,"",IF(Y4097=1,MAX(0,Q4097-G4097),IF(L4097=1,MAX(0,R4097-G4097),MAX(0,Assumptions!$C$6-G4097))))</f>
        <v/>
      </c>
      <c r="AC4097">
        <f>IF(Y4097=1,Q4097-F4097,"")</f>
        <v/>
      </c>
      <c r="AD4097">
        <f>IF(Y4097=1,AC4097^2,"")</f>
        <v/>
      </c>
      <c r="AE4097" s="19">
        <f>IF(Z4097=1,(H4097-M4097)*I4097,0)</f>
        <v/>
      </c>
      <c r="AF4097">
        <f>IF(G4097&lt;EDATE(Assumptions!$C$6,-12)+1,"prior_12m","last_12m")</f>
        <v/>
      </c>
      <c r="AG4097" s="21">
        <f>DATE(YEAR(G4097),MONTH(G4097),1)</f>
        <v/>
      </c>
    </row>
    <row r="4098">
      <c r="A4098" t="inlineStr">
        <is>
          <t>SPO-02182-1</t>
        </is>
      </c>
      <c r="B4098" t="inlineStr">
        <is>
          <t>SPO-02182</t>
        </is>
      </c>
      <c r="C4098" t="inlineStr">
        <is>
          <t>SUP-09</t>
        </is>
      </c>
      <c r="D4098" t="inlineStr">
        <is>
          <t>CHEM</t>
        </is>
      </c>
      <c r="E4098" t="inlineStr">
        <is>
          <t>CHEM-02</t>
        </is>
      </c>
      <c r="F4098" s="17" t="n">
        <v>46176</v>
      </c>
      <c r="G4098" s="17" t="n">
        <v>46190</v>
      </c>
      <c r="H4098" s="18" t="n">
        <v>9</v>
      </c>
      <c r="I4098" s="19" t="n">
        <v>435.2</v>
      </c>
      <c r="J4098" s="19" t="n">
        <v>410</v>
      </c>
      <c r="K4098" s="20" t="n">
        <v>0</v>
      </c>
      <c r="L4098" s="20" t="n">
        <v>0</v>
      </c>
      <c r="M4098" s="18" t="n">
        <v>9</v>
      </c>
      <c r="N4098" s="18" t="n">
        <v>9</v>
      </c>
      <c r="O4098" s="18" t="n">
        <v>0</v>
      </c>
      <c r="P4098" s="17" t="n">
        <v>46186</v>
      </c>
      <c r="Q4098" s="17" t="n">
        <v>46186</v>
      </c>
      <c r="R4098" s="17" t="n">
        <v>46186</v>
      </c>
      <c r="S4098" s="19">
        <f>H4098*I4098</f>
        <v/>
      </c>
      <c r="T4098" s="19">
        <f>H4098*J4098</f>
        <v/>
      </c>
      <c r="U4098">
        <f>IF(AND(K4098=0,G4098&lt;=Assumptions!$C$6),1,0)</f>
        <v/>
      </c>
      <c r="V4098">
        <f>IF(U4098=1,IF(M4098&gt;0,IF(P4098&lt;=G4098+Assumptions!$C$7,1,0),0),0)</f>
        <v/>
      </c>
      <c r="W4098">
        <f>IF(AND(U4098=1,M4098&gt;=H4098*(1-Assumptions!$C$8)),1,0)</f>
        <v/>
      </c>
      <c r="X4098">
        <f>IF(AND(U4098=1,N4098&gt;=H4098*(1-Assumptions!$C$8)),1,0)</f>
        <v/>
      </c>
      <c r="Y4098">
        <f>IF(ISNUMBER(Q4098),1,0)</f>
        <v/>
      </c>
      <c r="Z4098">
        <f>IF(AND(K4098=0,L4098=0,Y4098=0),1,0)</f>
        <v/>
      </c>
      <c r="AA4098">
        <f>IF(AND(Z4098=1,G4098&lt;Assumptions!$C$6),1,0)</f>
        <v/>
      </c>
      <c r="AB4098">
        <f>IF(U4098=0,"",IF(Y4098=1,MAX(0,Q4098-G4098),IF(L4098=1,MAX(0,R4098-G4098),MAX(0,Assumptions!$C$6-G4098))))</f>
        <v/>
      </c>
      <c r="AC4098">
        <f>IF(Y4098=1,Q4098-F4098,"")</f>
        <v/>
      </c>
      <c r="AD4098">
        <f>IF(Y4098=1,AC4098^2,"")</f>
        <v/>
      </c>
      <c r="AE4098" s="19">
        <f>IF(Z4098=1,(H4098-M4098)*I4098,0)</f>
        <v/>
      </c>
      <c r="AF4098">
        <f>IF(G4098&lt;EDATE(Assumptions!$C$6,-12)+1,"prior_12m","last_12m")</f>
        <v/>
      </c>
      <c r="AG4098" s="21">
        <f>DATE(YEAR(G4098),MONTH(G4098),1)</f>
        <v/>
      </c>
    </row>
    <row r="4099">
      <c r="A4099" t="inlineStr">
        <is>
          <t>SPO-02182-2</t>
        </is>
      </c>
      <c r="B4099" t="inlineStr">
        <is>
          <t>SPO-02182</t>
        </is>
      </c>
      <c r="C4099" t="inlineStr">
        <is>
          <t>SUP-09</t>
        </is>
      </c>
      <c r="D4099" t="inlineStr">
        <is>
          <t>CHEM</t>
        </is>
      </c>
      <c r="E4099" t="inlineStr">
        <is>
          <t>CHEM-03</t>
        </is>
      </c>
      <c r="F4099" s="17" t="n">
        <v>46176</v>
      </c>
      <c r="G4099" s="17" t="n">
        <v>46190</v>
      </c>
      <c r="H4099" s="18" t="n">
        <v>3</v>
      </c>
      <c r="I4099" s="19" t="n">
        <v>262.26</v>
      </c>
      <c r="J4099" s="19" t="n">
        <v>265</v>
      </c>
      <c r="K4099" s="20" t="n">
        <v>0</v>
      </c>
      <c r="L4099" s="20" t="n">
        <v>0</v>
      </c>
      <c r="M4099" s="18" t="n">
        <v>3</v>
      </c>
      <c r="N4099" s="18" t="n">
        <v>3</v>
      </c>
      <c r="O4099" s="18" t="n">
        <v>0</v>
      </c>
      <c r="P4099" s="17" t="n">
        <v>46187</v>
      </c>
      <c r="Q4099" s="17" t="n">
        <v>46187</v>
      </c>
      <c r="R4099" s="17" t="n">
        <v>46187</v>
      </c>
      <c r="S4099" s="19">
        <f>H4099*I4099</f>
        <v/>
      </c>
      <c r="T4099" s="19">
        <f>H4099*J4099</f>
        <v/>
      </c>
      <c r="U4099">
        <f>IF(AND(K4099=0,G4099&lt;=Assumptions!$C$6),1,0)</f>
        <v/>
      </c>
      <c r="V4099">
        <f>IF(U4099=1,IF(M4099&gt;0,IF(P4099&lt;=G4099+Assumptions!$C$7,1,0),0),0)</f>
        <v/>
      </c>
      <c r="W4099">
        <f>IF(AND(U4099=1,M4099&gt;=H4099*(1-Assumptions!$C$8)),1,0)</f>
        <v/>
      </c>
      <c r="X4099">
        <f>IF(AND(U4099=1,N4099&gt;=H4099*(1-Assumptions!$C$8)),1,0)</f>
        <v/>
      </c>
      <c r="Y4099">
        <f>IF(ISNUMBER(Q4099),1,0)</f>
        <v/>
      </c>
      <c r="Z4099">
        <f>IF(AND(K4099=0,L4099=0,Y4099=0),1,0)</f>
        <v/>
      </c>
      <c r="AA4099">
        <f>IF(AND(Z4099=1,G4099&lt;Assumptions!$C$6),1,0)</f>
        <v/>
      </c>
      <c r="AB4099">
        <f>IF(U4099=0,"",IF(Y4099=1,MAX(0,Q4099-G4099),IF(L4099=1,MAX(0,R4099-G4099),MAX(0,Assumptions!$C$6-G4099))))</f>
        <v/>
      </c>
      <c r="AC4099">
        <f>IF(Y4099=1,Q4099-F4099,"")</f>
        <v/>
      </c>
      <c r="AD4099">
        <f>IF(Y4099=1,AC4099^2,"")</f>
        <v/>
      </c>
      <c r="AE4099" s="19">
        <f>IF(Z4099=1,(H4099-M4099)*I4099,0)</f>
        <v/>
      </c>
      <c r="AF4099">
        <f>IF(G4099&lt;EDATE(Assumptions!$C$6,-12)+1,"prior_12m","last_12m")</f>
        <v/>
      </c>
      <c r="AG4099" s="21">
        <f>DATE(YEAR(G4099),MONTH(G4099),1)</f>
        <v/>
      </c>
    </row>
    <row r="4100">
      <c r="A4100" t="inlineStr">
        <is>
          <t>SPO-02182-3</t>
        </is>
      </c>
      <c r="B4100" t="inlineStr">
        <is>
          <t>SPO-02182</t>
        </is>
      </c>
      <c r="C4100" t="inlineStr">
        <is>
          <t>SUP-09</t>
        </is>
      </c>
      <c r="D4100" t="inlineStr">
        <is>
          <t>CHEM</t>
        </is>
      </c>
      <c r="E4100" t="inlineStr">
        <is>
          <t>CHEM-06</t>
        </is>
      </c>
      <c r="F4100" s="17" t="n">
        <v>46176</v>
      </c>
      <c r="G4100" s="17" t="n">
        <v>46190</v>
      </c>
      <c r="H4100" s="18" t="n">
        <v>17</v>
      </c>
      <c r="I4100" s="19" t="n">
        <v>360.79</v>
      </c>
      <c r="J4100" s="19" t="n">
        <v>380</v>
      </c>
      <c r="K4100" s="20" t="n">
        <v>0</v>
      </c>
      <c r="L4100" s="20" t="n">
        <v>0</v>
      </c>
      <c r="M4100" s="18" t="n">
        <v>17</v>
      </c>
      <c r="N4100" s="18" t="n">
        <v>17</v>
      </c>
      <c r="O4100" s="18" t="n">
        <v>0</v>
      </c>
      <c r="P4100" s="17" t="n">
        <v>46187</v>
      </c>
      <c r="Q4100" s="17" t="n">
        <v>46187</v>
      </c>
      <c r="R4100" s="17" t="n">
        <v>46187</v>
      </c>
      <c r="S4100" s="19">
        <f>H4100*I4100</f>
        <v/>
      </c>
      <c r="T4100" s="19">
        <f>H4100*J4100</f>
        <v/>
      </c>
      <c r="U4100">
        <f>IF(AND(K4100=0,G4100&lt;=Assumptions!$C$6),1,0)</f>
        <v/>
      </c>
      <c r="V4100">
        <f>IF(U4100=1,IF(M4100&gt;0,IF(P4100&lt;=G4100+Assumptions!$C$7,1,0),0),0)</f>
        <v/>
      </c>
      <c r="W4100">
        <f>IF(AND(U4100=1,M4100&gt;=H4100*(1-Assumptions!$C$8)),1,0)</f>
        <v/>
      </c>
      <c r="X4100">
        <f>IF(AND(U4100=1,N4100&gt;=H4100*(1-Assumptions!$C$8)),1,0)</f>
        <v/>
      </c>
      <c r="Y4100">
        <f>IF(ISNUMBER(Q4100),1,0)</f>
        <v/>
      </c>
      <c r="Z4100">
        <f>IF(AND(K4100=0,L4100=0,Y4100=0),1,0)</f>
        <v/>
      </c>
      <c r="AA4100">
        <f>IF(AND(Z4100=1,G4100&lt;Assumptions!$C$6),1,0)</f>
        <v/>
      </c>
      <c r="AB4100">
        <f>IF(U4100=0,"",IF(Y4100=1,MAX(0,Q4100-G4100),IF(L4100=1,MAX(0,R4100-G4100),MAX(0,Assumptions!$C$6-G4100))))</f>
        <v/>
      </c>
      <c r="AC4100">
        <f>IF(Y4100=1,Q4100-F4100,"")</f>
        <v/>
      </c>
      <c r="AD4100">
        <f>IF(Y4100=1,AC4100^2,"")</f>
        <v/>
      </c>
      <c r="AE4100" s="19">
        <f>IF(Z4100=1,(H4100-M4100)*I4100,0)</f>
        <v/>
      </c>
      <c r="AF4100">
        <f>IF(G4100&lt;EDATE(Assumptions!$C$6,-12)+1,"prior_12m","last_12m")</f>
        <v/>
      </c>
      <c r="AG4100" s="21">
        <f>DATE(YEAR(G4100),MONTH(G4100),1)</f>
        <v/>
      </c>
    </row>
    <row r="4101">
      <c r="A4101" t="inlineStr">
        <is>
          <t>SPO-02183-1</t>
        </is>
      </c>
      <c r="B4101" t="inlineStr">
        <is>
          <t>SPO-02183</t>
        </is>
      </c>
      <c r="C4101" t="inlineStr">
        <is>
          <t>SUP-09</t>
        </is>
      </c>
      <c r="D4101" t="inlineStr">
        <is>
          <t>CHEM</t>
        </is>
      </c>
      <c r="E4101" t="inlineStr">
        <is>
          <t>CHEM-05</t>
        </is>
      </c>
      <c r="F4101" s="17" t="n">
        <v>46176</v>
      </c>
      <c r="G4101" s="17" t="n">
        <v>46190</v>
      </c>
      <c r="H4101" s="18" t="n">
        <v>2</v>
      </c>
      <c r="I4101" s="19" t="n">
        <v>954.33</v>
      </c>
      <c r="J4101" s="19" t="n">
        <v>930</v>
      </c>
      <c r="K4101" s="20" t="n">
        <v>0</v>
      </c>
      <c r="L4101" s="20" t="n">
        <v>0</v>
      </c>
      <c r="M4101" s="18" t="n">
        <v>2</v>
      </c>
      <c r="N4101" s="18" t="n">
        <v>2</v>
      </c>
      <c r="O4101" s="18" t="n">
        <v>0</v>
      </c>
      <c r="P4101" s="17" t="n">
        <v>46187</v>
      </c>
      <c r="Q4101" s="17" t="n">
        <v>46187</v>
      </c>
      <c r="R4101" s="17" t="n">
        <v>46187</v>
      </c>
      <c r="S4101" s="19">
        <f>H4101*I4101</f>
        <v/>
      </c>
      <c r="T4101" s="19">
        <f>H4101*J4101</f>
        <v/>
      </c>
      <c r="U4101">
        <f>IF(AND(K4101=0,G4101&lt;=Assumptions!$C$6),1,0)</f>
        <v/>
      </c>
      <c r="V4101">
        <f>IF(U4101=1,IF(M4101&gt;0,IF(P4101&lt;=G4101+Assumptions!$C$7,1,0),0),0)</f>
        <v/>
      </c>
      <c r="W4101">
        <f>IF(AND(U4101=1,M4101&gt;=H4101*(1-Assumptions!$C$8)),1,0)</f>
        <v/>
      </c>
      <c r="X4101">
        <f>IF(AND(U4101=1,N4101&gt;=H4101*(1-Assumptions!$C$8)),1,0)</f>
        <v/>
      </c>
      <c r="Y4101">
        <f>IF(ISNUMBER(Q4101),1,0)</f>
        <v/>
      </c>
      <c r="Z4101">
        <f>IF(AND(K4101=0,L4101=0,Y4101=0),1,0)</f>
        <v/>
      </c>
      <c r="AA4101">
        <f>IF(AND(Z4101=1,G4101&lt;Assumptions!$C$6),1,0)</f>
        <v/>
      </c>
      <c r="AB4101">
        <f>IF(U4101=0,"",IF(Y4101=1,MAX(0,Q4101-G4101),IF(L4101=1,MAX(0,R4101-G4101),MAX(0,Assumptions!$C$6-G4101))))</f>
        <v/>
      </c>
      <c r="AC4101">
        <f>IF(Y4101=1,Q4101-F4101,"")</f>
        <v/>
      </c>
      <c r="AD4101">
        <f>IF(Y4101=1,AC4101^2,"")</f>
        <v/>
      </c>
      <c r="AE4101" s="19">
        <f>IF(Z4101=1,(H4101-M4101)*I4101,0)</f>
        <v/>
      </c>
      <c r="AF4101">
        <f>IF(G4101&lt;EDATE(Assumptions!$C$6,-12)+1,"prior_12m","last_12m")</f>
        <v/>
      </c>
      <c r="AG4101" s="21">
        <f>DATE(YEAR(G4101),MONTH(G4101),1)</f>
        <v/>
      </c>
    </row>
    <row r="4102">
      <c r="A4102" t="inlineStr">
        <is>
          <t>SPO-02183-2</t>
        </is>
      </c>
      <c r="B4102" t="inlineStr">
        <is>
          <t>SPO-02183</t>
        </is>
      </c>
      <c r="C4102" t="inlineStr">
        <is>
          <t>SUP-09</t>
        </is>
      </c>
      <c r="D4102" t="inlineStr">
        <is>
          <t>CHEM</t>
        </is>
      </c>
      <c r="E4102" t="inlineStr">
        <is>
          <t>CHEM-01</t>
        </is>
      </c>
      <c r="F4102" s="17" t="n">
        <v>46176</v>
      </c>
      <c r="G4102" s="17" t="n">
        <v>46190</v>
      </c>
      <c r="H4102" s="18" t="n">
        <v>2</v>
      </c>
      <c r="I4102" s="19" t="n">
        <v>645.26</v>
      </c>
      <c r="J4102" s="19" t="n">
        <v>640</v>
      </c>
      <c r="K4102" s="20" t="n">
        <v>0</v>
      </c>
      <c r="L4102" s="20" t="n">
        <v>0</v>
      </c>
      <c r="M4102" s="18" t="n">
        <v>2</v>
      </c>
      <c r="N4102" s="18" t="n">
        <v>2</v>
      </c>
      <c r="O4102" s="18" t="n">
        <v>0</v>
      </c>
      <c r="P4102" s="17" t="n">
        <v>46188</v>
      </c>
      <c r="Q4102" s="17" t="n">
        <v>46188</v>
      </c>
      <c r="R4102" s="17" t="n">
        <v>46188</v>
      </c>
      <c r="S4102" s="19">
        <f>H4102*I4102</f>
        <v/>
      </c>
      <c r="T4102" s="19">
        <f>H4102*J4102</f>
        <v/>
      </c>
      <c r="U4102">
        <f>IF(AND(K4102=0,G4102&lt;=Assumptions!$C$6),1,0)</f>
        <v/>
      </c>
      <c r="V4102">
        <f>IF(U4102=1,IF(M4102&gt;0,IF(P4102&lt;=G4102+Assumptions!$C$7,1,0),0),0)</f>
        <v/>
      </c>
      <c r="W4102">
        <f>IF(AND(U4102=1,M4102&gt;=H4102*(1-Assumptions!$C$8)),1,0)</f>
        <v/>
      </c>
      <c r="X4102">
        <f>IF(AND(U4102=1,N4102&gt;=H4102*(1-Assumptions!$C$8)),1,0)</f>
        <v/>
      </c>
      <c r="Y4102">
        <f>IF(ISNUMBER(Q4102),1,0)</f>
        <v/>
      </c>
      <c r="Z4102">
        <f>IF(AND(K4102=0,L4102=0,Y4102=0),1,0)</f>
        <v/>
      </c>
      <c r="AA4102">
        <f>IF(AND(Z4102=1,G4102&lt;Assumptions!$C$6),1,0)</f>
        <v/>
      </c>
      <c r="AB4102">
        <f>IF(U4102=0,"",IF(Y4102=1,MAX(0,Q4102-G4102),IF(L4102=1,MAX(0,R4102-G4102),MAX(0,Assumptions!$C$6-G4102))))</f>
        <v/>
      </c>
      <c r="AC4102">
        <f>IF(Y4102=1,Q4102-F4102,"")</f>
        <v/>
      </c>
      <c r="AD4102">
        <f>IF(Y4102=1,AC4102^2,"")</f>
        <v/>
      </c>
      <c r="AE4102" s="19">
        <f>IF(Z4102=1,(H4102-M4102)*I4102,0)</f>
        <v/>
      </c>
      <c r="AF4102">
        <f>IF(G4102&lt;EDATE(Assumptions!$C$6,-12)+1,"prior_12m","last_12m")</f>
        <v/>
      </c>
      <c r="AG4102" s="21">
        <f>DATE(YEAR(G4102),MONTH(G4102),1)</f>
        <v/>
      </c>
    </row>
    <row r="4103">
      <c r="A4103" t="inlineStr">
        <is>
          <t>SPO-02184-1</t>
        </is>
      </c>
      <c r="B4103" t="inlineStr">
        <is>
          <t>SPO-02184</t>
        </is>
      </c>
      <c r="C4103" t="inlineStr">
        <is>
          <t>SUP-02</t>
        </is>
      </c>
      <c r="D4103" t="inlineStr">
        <is>
          <t>ELEC</t>
        </is>
      </c>
      <c r="E4103" t="inlineStr">
        <is>
          <t>ELEC-05</t>
        </is>
      </c>
      <c r="F4103" s="17" t="n">
        <v>46176</v>
      </c>
      <c r="G4103" s="17" t="n">
        <v>46192</v>
      </c>
      <c r="H4103" s="18" t="n">
        <v>133</v>
      </c>
      <c r="I4103" s="19" t="n">
        <v>12.06</v>
      </c>
      <c r="J4103" s="19" t="n">
        <v>11.5</v>
      </c>
      <c r="K4103" s="20" t="n">
        <v>0</v>
      </c>
      <c r="L4103" s="20" t="n">
        <v>0</v>
      </c>
      <c r="M4103" s="18" t="n">
        <v>133</v>
      </c>
      <c r="N4103" s="18" t="n">
        <v>133</v>
      </c>
      <c r="O4103" s="18" t="n">
        <v>0</v>
      </c>
      <c r="P4103" s="17" t="n">
        <v>46188</v>
      </c>
      <c r="Q4103" s="17" t="n">
        <v>46188</v>
      </c>
      <c r="R4103" s="17" t="n">
        <v>46188</v>
      </c>
      <c r="S4103" s="19">
        <f>H4103*I4103</f>
        <v/>
      </c>
      <c r="T4103" s="19">
        <f>H4103*J4103</f>
        <v/>
      </c>
      <c r="U4103">
        <f>IF(AND(K4103=0,G4103&lt;=Assumptions!$C$6),1,0)</f>
        <v/>
      </c>
      <c r="V4103">
        <f>IF(U4103=1,IF(M4103&gt;0,IF(P4103&lt;=G4103+Assumptions!$C$7,1,0),0),0)</f>
        <v/>
      </c>
      <c r="W4103">
        <f>IF(AND(U4103=1,M4103&gt;=H4103*(1-Assumptions!$C$8)),1,0)</f>
        <v/>
      </c>
      <c r="X4103">
        <f>IF(AND(U4103=1,N4103&gt;=H4103*(1-Assumptions!$C$8)),1,0)</f>
        <v/>
      </c>
      <c r="Y4103">
        <f>IF(ISNUMBER(Q4103),1,0)</f>
        <v/>
      </c>
      <c r="Z4103">
        <f>IF(AND(K4103=0,L4103=0,Y4103=0),1,0)</f>
        <v/>
      </c>
      <c r="AA4103">
        <f>IF(AND(Z4103=1,G4103&lt;Assumptions!$C$6),1,0)</f>
        <v/>
      </c>
      <c r="AB4103">
        <f>IF(U4103=0,"",IF(Y4103=1,MAX(0,Q4103-G4103),IF(L4103=1,MAX(0,R4103-G4103),MAX(0,Assumptions!$C$6-G4103))))</f>
        <v/>
      </c>
      <c r="AC4103">
        <f>IF(Y4103=1,Q4103-F4103,"")</f>
        <v/>
      </c>
      <c r="AD4103">
        <f>IF(Y4103=1,AC4103^2,"")</f>
        <v/>
      </c>
      <c r="AE4103" s="19">
        <f>IF(Z4103=1,(H4103-M4103)*I4103,0)</f>
        <v/>
      </c>
      <c r="AF4103">
        <f>IF(G4103&lt;EDATE(Assumptions!$C$6,-12)+1,"prior_12m","last_12m")</f>
        <v/>
      </c>
      <c r="AG4103" s="21">
        <f>DATE(YEAR(G4103),MONTH(G4103),1)</f>
        <v/>
      </c>
    </row>
    <row r="4104">
      <c r="A4104" t="inlineStr">
        <is>
          <t>SPO-02184-2</t>
        </is>
      </c>
      <c r="B4104" t="inlineStr">
        <is>
          <t>SPO-02184</t>
        </is>
      </c>
      <c r="C4104" t="inlineStr">
        <is>
          <t>SUP-02</t>
        </is>
      </c>
      <c r="D4104" t="inlineStr">
        <is>
          <t>ELEC</t>
        </is>
      </c>
      <c r="E4104" t="inlineStr">
        <is>
          <t>ELEC-07</t>
        </is>
      </c>
      <c r="F4104" s="17" t="n">
        <v>46176</v>
      </c>
      <c r="G4104" s="17" t="n">
        <v>46192</v>
      </c>
      <c r="H4104" s="18" t="n">
        <v>243</v>
      </c>
      <c r="I4104" s="19" t="n">
        <v>9.359999999999999</v>
      </c>
      <c r="J4104" s="19" t="n">
        <v>9.800000000000001</v>
      </c>
      <c r="K4104" s="20" t="n">
        <v>0</v>
      </c>
      <c r="L4104" s="20" t="n">
        <v>0</v>
      </c>
      <c r="M4104" s="18" t="n">
        <v>243</v>
      </c>
      <c r="N4104" s="18" t="n">
        <v>243</v>
      </c>
      <c r="O4104" s="18" t="n">
        <v>0</v>
      </c>
      <c r="P4104" s="17" t="n">
        <v>46188</v>
      </c>
      <c r="Q4104" s="17" t="n">
        <v>46188</v>
      </c>
      <c r="R4104" s="17" t="n">
        <v>46188</v>
      </c>
      <c r="S4104" s="19">
        <f>H4104*I4104</f>
        <v/>
      </c>
      <c r="T4104" s="19">
        <f>H4104*J4104</f>
        <v/>
      </c>
      <c r="U4104">
        <f>IF(AND(K4104=0,G4104&lt;=Assumptions!$C$6),1,0)</f>
        <v/>
      </c>
      <c r="V4104">
        <f>IF(U4104=1,IF(M4104&gt;0,IF(P4104&lt;=G4104+Assumptions!$C$7,1,0),0),0)</f>
        <v/>
      </c>
      <c r="W4104">
        <f>IF(AND(U4104=1,M4104&gt;=H4104*(1-Assumptions!$C$8)),1,0)</f>
        <v/>
      </c>
      <c r="X4104">
        <f>IF(AND(U4104=1,N4104&gt;=H4104*(1-Assumptions!$C$8)),1,0)</f>
        <v/>
      </c>
      <c r="Y4104">
        <f>IF(ISNUMBER(Q4104),1,0)</f>
        <v/>
      </c>
      <c r="Z4104">
        <f>IF(AND(K4104=0,L4104=0,Y4104=0),1,0)</f>
        <v/>
      </c>
      <c r="AA4104">
        <f>IF(AND(Z4104=1,G4104&lt;Assumptions!$C$6),1,0)</f>
        <v/>
      </c>
      <c r="AB4104">
        <f>IF(U4104=0,"",IF(Y4104=1,MAX(0,Q4104-G4104),IF(L4104=1,MAX(0,R4104-G4104),MAX(0,Assumptions!$C$6-G4104))))</f>
        <v/>
      </c>
      <c r="AC4104">
        <f>IF(Y4104=1,Q4104-F4104,"")</f>
        <v/>
      </c>
      <c r="AD4104">
        <f>IF(Y4104=1,AC4104^2,"")</f>
        <v/>
      </c>
      <c r="AE4104" s="19">
        <f>IF(Z4104=1,(H4104-M4104)*I4104,0)</f>
        <v/>
      </c>
      <c r="AF4104">
        <f>IF(G4104&lt;EDATE(Assumptions!$C$6,-12)+1,"prior_12m","last_12m")</f>
        <v/>
      </c>
      <c r="AG4104" s="21">
        <f>DATE(YEAR(G4104),MONTH(G4104),1)</f>
        <v/>
      </c>
    </row>
    <row r="4105">
      <c r="A4105" t="inlineStr">
        <is>
          <t>SPO-02185-1</t>
        </is>
      </c>
      <c r="B4105" t="inlineStr">
        <is>
          <t>SPO-02185</t>
        </is>
      </c>
      <c r="C4105" t="inlineStr">
        <is>
          <t>SUP-06</t>
        </is>
      </c>
      <c r="D4105" t="inlineStr">
        <is>
          <t>MRO</t>
        </is>
      </c>
      <c r="E4105" t="inlineStr">
        <is>
          <t>MRO-03</t>
        </is>
      </c>
      <c r="F4105" s="17" t="n">
        <v>46176</v>
      </c>
      <c r="G4105" s="17" t="n">
        <v>46184</v>
      </c>
      <c r="H4105" s="18" t="n">
        <v>210</v>
      </c>
      <c r="I4105" s="19" t="n">
        <v>8.539999999999999</v>
      </c>
      <c r="J4105" s="19" t="n">
        <v>8.9</v>
      </c>
      <c r="K4105" s="20" t="n">
        <v>0</v>
      </c>
      <c r="L4105" s="20" t="n">
        <v>0</v>
      </c>
      <c r="M4105" s="18" t="n">
        <v>210</v>
      </c>
      <c r="N4105" s="18" t="n">
        <v>210</v>
      </c>
      <c r="O4105" s="18" t="n">
        <v>0</v>
      </c>
      <c r="P4105" s="17" t="n">
        <v>46182</v>
      </c>
      <c r="Q4105" s="17" t="n">
        <v>46182</v>
      </c>
      <c r="R4105" s="17" t="n">
        <v>46182</v>
      </c>
      <c r="S4105" s="19">
        <f>H4105*I4105</f>
        <v/>
      </c>
      <c r="T4105" s="19">
        <f>H4105*J4105</f>
        <v/>
      </c>
      <c r="U4105">
        <f>IF(AND(K4105=0,G4105&lt;=Assumptions!$C$6),1,0)</f>
        <v/>
      </c>
      <c r="V4105">
        <f>IF(U4105=1,IF(M4105&gt;0,IF(P4105&lt;=G4105+Assumptions!$C$7,1,0),0),0)</f>
        <v/>
      </c>
      <c r="W4105">
        <f>IF(AND(U4105=1,M4105&gt;=H4105*(1-Assumptions!$C$8)),1,0)</f>
        <v/>
      </c>
      <c r="X4105">
        <f>IF(AND(U4105=1,N4105&gt;=H4105*(1-Assumptions!$C$8)),1,0)</f>
        <v/>
      </c>
      <c r="Y4105">
        <f>IF(ISNUMBER(Q4105),1,0)</f>
        <v/>
      </c>
      <c r="Z4105">
        <f>IF(AND(K4105=0,L4105=0,Y4105=0),1,0)</f>
        <v/>
      </c>
      <c r="AA4105">
        <f>IF(AND(Z4105=1,G4105&lt;Assumptions!$C$6),1,0)</f>
        <v/>
      </c>
      <c r="AB4105">
        <f>IF(U4105=0,"",IF(Y4105=1,MAX(0,Q4105-G4105),IF(L4105=1,MAX(0,R4105-G4105),MAX(0,Assumptions!$C$6-G4105))))</f>
        <v/>
      </c>
      <c r="AC4105">
        <f>IF(Y4105=1,Q4105-F4105,"")</f>
        <v/>
      </c>
      <c r="AD4105">
        <f>IF(Y4105=1,AC4105^2,"")</f>
        <v/>
      </c>
      <c r="AE4105" s="19">
        <f>IF(Z4105=1,(H4105-M4105)*I4105,0)</f>
        <v/>
      </c>
      <c r="AF4105">
        <f>IF(G4105&lt;EDATE(Assumptions!$C$6,-12)+1,"prior_12m","last_12m")</f>
        <v/>
      </c>
      <c r="AG4105" s="21">
        <f>DATE(YEAR(G4105),MONTH(G4105),1)</f>
        <v/>
      </c>
    </row>
    <row r="4106">
      <c r="A4106" t="inlineStr">
        <is>
          <t>SPO-02185-2</t>
        </is>
      </c>
      <c r="B4106" t="inlineStr">
        <is>
          <t>SPO-02185</t>
        </is>
      </c>
      <c r="C4106" t="inlineStr">
        <is>
          <t>SUP-06</t>
        </is>
      </c>
      <c r="D4106" t="inlineStr">
        <is>
          <t>MRO</t>
        </is>
      </c>
      <c r="E4106" t="inlineStr">
        <is>
          <t>MRO-05</t>
        </is>
      </c>
      <c r="F4106" s="17" t="n">
        <v>46176</v>
      </c>
      <c r="G4106" s="17" t="n">
        <v>46184</v>
      </c>
      <c r="H4106" s="18" t="n">
        <v>37</v>
      </c>
      <c r="I4106" s="19" t="n">
        <v>34.39</v>
      </c>
      <c r="J4106" s="19" t="n">
        <v>36</v>
      </c>
      <c r="K4106" s="20" t="n">
        <v>0</v>
      </c>
      <c r="L4106" s="20" t="n">
        <v>0</v>
      </c>
      <c r="M4106" s="18" t="n">
        <v>37</v>
      </c>
      <c r="N4106" s="18" t="n">
        <v>37</v>
      </c>
      <c r="O4106" s="18" t="n">
        <v>0</v>
      </c>
      <c r="P4106" s="17" t="n">
        <v>46184</v>
      </c>
      <c r="Q4106" s="17" t="n">
        <v>46184</v>
      </c>
      <c r="R4106" s="17" t="n">
        <v>46184</v>
      </c>
      <c r="S4106" s="19">
        <f>H4106*I4106</f>
        <v/>
      </c>
      <c r="T4106" s="19">
        <f>H4106*J4106</f>
        <v/>
      </c>
      <c r="U4106">
        <f>IF(AND(K4106=0,G4106&lt;=Assumptions!$C$6),1,0)</f>
        <v/>
      </c>
      <c r="V4106">
        <f>IF(U4106=1,IF(M4106&gt;0,IF(P4106&lt;=G4106+Assumptions!$C$7,1,0),0),0)</f>
        <v/>
      </c>
      <c r="W4106">
        <f>IF(AND(U4106=1,M4106&gt;=H4106*(1-Assumptions!$C$8)),1,0)</f>
        <v/>
      </c>
      <c r="X4106">
        <f>IF(AND(U4106=1,N4106&gt;=H4106*(1-Assumptions!$C$8)),1,0)</f>
        <v/>
      </c>
      <c r="Y4106">
        <f>IF(ISNUMBER(Q4106),1,0)</f>
        <v/>
      </c>
      <c r="Z4106">
        <f>IF(AND(K4106=0,L4106=0,Y4106=0),1,0)</f>
        <v/>
      </c>
      <c r="AA4106">
        <f>IF(AND(Z4106=1,G4106&lt;Assumptions!$C$6),1,0)</f>
        <v/>
      </c>
      <c r="AB4106">
        <f>IF(U4106=0,"",IF(Y4106=1,MAX(0,Q4106-G4106),IF(L4106=1,MAX(0,R4106-G4106),MAX(0,Assumptions!$C$6-G4106))))</f>
        <v/>
      </c>
      <c r="AC4106">
        <f>IF(Y4106=1,Q4106-F4106,"")</f>
        <v/>
      </c>
      <c r="AD4106">
        <f>IF(Y4106=1,AC4106^2,"")</f>
        <v/>
      </c>
      <c r="AE4106" s="19">
        <f>IF(Z4106=1,(H4106-M4106)*I4106,0)</f>
        <v/>
      </c>
      <c r="AF4106">
        <f>IF(G4106&lt;EDATE(Assumptions!$C$6,-12)+1,"prior_12m","last_12m")</f>
        <v/>
      </c>
      <c r="AG4106" s="21">
        <f>DATE(YEAR(G4106),MONTH(G4106),1)</f>
        <v/>
      </c>
    </row>
    <row r="4107">
      <c r="A4107" t="inlineStr">
        <is>
          <t>SPO-02185-3</t>
        </is>
      </c>
      <c r="B4107" t="inlineStr">
        <is>
          <t>SPO-02185</t>
        </is>
      </c>
      <c r="C4107" t="inlineStr">
        <is>
          <t>SUP-06</t>
        </is>
      </c>
      <c r="D4107" t="inlineStr">
        <is>
          <t>MRO</t>
        </is>
      </c>
      <c r="E4107" t="inlineStr">
        <is>
          <t>MRO-04</t>
        </is>
      </c>
      <c r="F4107" s="17" t="n">
        <v>46176</v>
      </c>
      <c r="G4107" s="17" t="n">
        <v>46184</v>
      </c>
      <c r="H4107" s="18" t="n">
        <v>70</v>
      </c>
      <c r="I4107" s="19" t="n">
        <v>54.59</v>
      </c>
      <c r="J4107" s="19" t="n">
        <v>58</v>
      </c>
      <c r="K4107" s="20" t="n">
        <v>0</v>
      </c>
      <c r="L4107" s="20" t="n">
        <v>0</v>
      </c>
      <c r="M4107" s="18" t="n">
        <v>70</v>
      </c>
      <c r="N4107" s="18" t="n">
        <v>70</v>
      </c>
      <c r="O4107" s="18" t="n">
        <v>0</v>
      </c>
      <c r="P4107" s="17" t="n">
        <v>46183</v>
      </c>
      <c r="Q4107" s="17" t="n">
        <v>46183</v>
      </c>
      <c r="R4107" s="17" t="n">
        <v>46183</v>
      </c>
      <c r="S4107" s="19">
        <f>H4107*I4107</f>
        <v/>
      </c>
      <c r="T4107" s="19">
        <f>H4107*J4107</f>
        <v/>
      </c>
      <c r="U4107">
        <f>IF(AND(K4107=0,G4107&lt;=Assumptions!$C$6),1,0)</f>
        <v/>
      </c>
      <c r="V4107">
        <f>IF(U4107=1,IF(M4107&gt;0,IF(P4107&lt;=G4107+Assumptions!$C$7,1,0),0),0)</f>
        <v/>
      </c>
      <c r="W4107">
        <f>IF(AND(U4107=1,M4107&gt;=H4107*(1-Assumptions!$C$8)),1,0)</f>
        <v/>
      </c>
      <c r="X4107">
        <f>IF(AND(U4107=1,N4107&gt;=H4107*(1-Assumptions!$C$8)),1,0)</f>
        <v/>
      </c>
      <c r="Y4107">
        <f>IF(ISNUMBER(Q4107),1,0)</f>
        <v/>
      </c>
      <c r="Z4107">
        <f>IF(AND(K4107=0,L4107=0,Y4107=0),1,0)</f>
        <v/>
      </c>
      <c r="AA4107">
        <f>IF(AND(Z4107=1,G4107&lt;Assumptions!$C$6),1,0)</f>
        <v/>
      </c>
      <c r="AB4107">
        <f>IF(U4107=0,"",IF(Y4107=1,MAX(0,Q4107-G4107),IF(L4107=1,MAX(0,R4107-G4107),MAX(0,Assumptions!$C$6-G4107))))</f>
        <v/>
      </c>
      <c r="AC4107">
        <f>IF(Y4107=1,Q4107-F4107,"")</f>
        <v/>
      </c>
      <c r="AD4107">
        <f>IF(Y4107=1,AC4107^2,"")</f>
        <v/>
      </c>
      <c r="AE4107" s="19">
        <f>IF(Z4107=1,(H4107-M4107)*I4107,0)</f>
        <v/>
      </c>
      <c r="AF4107">
        <f>IF(G4107&lt;EDATE(Assumptions!$C$6,-12)+1,"prior_12m","last_12m")</f>
        <v/>
      </c>
      <c r="AG4107" s="21">
        <f>DATE(YEAR(G4107),MONTH(G4107),1)</f>
        <v/>
      </c>
    </row>
    <row r="4108">
      <c r="A4108" t="inlineStr">
        <is>
          <t>SPO-02186-1</t>
        </is>
      </c>
      <c r="B4108" t="inlineStr">
        <is>
          <t>SPO-02186</t>
        </is>
      </c>
      <c r="C4108" t="inlineStr">
        <is>
          <t>SUP-04</t>
        </is>
      </c>
      <c r="D4108" t="inlineStr">
        <is>
          <t>FLEET</t>
        </is>
      </c>
      <c r="E4108" t="inlineStr">
        <is>
          <t>FLEET-01</t>
        </is>
      </c>
      <c r="F4108" s="17" t="n">
        <v>46178</v>
      </c>
      <c r="G4108" s="17" t="n">
        <v>46191</v>
      </c>
      <c r="H4108" s="18" t="n">
        <v>18</v>
      </c>
      <c r="I4108" s="19" t="n">
        <v>60.6</v>
      </c>
      <c r="J4108" s="19" t="n">
        <v>64</v>
      </c>
      <c r="K4108" s="20" t="n">
        <v>0</v>
      </c>
      <c r="L4108" s="20" t="n">
        <v>0</v>
      </c>
      <c r="M4108" s="18" t="n">
        <v>18</v>
      </c>
      <c r="N4108" s="18" t="n">
        <v>18</v>
      </c>
      <c r="O4108" s="18" t="n">
        <v>0</v>
      </c>
      <c r="P4108" s="17" t="n">
        <v>46179</v>
      </c>
      <c r="Q4108" s="17" t="n">
        <v>46179</v>
      </c>
      <c r="R4108" s="17" t="n">
        <v>46179</v>
      </c>
      <c r="S4108" s="19">
        <f>H4108*I4108</f>
        <v/>
      </c>
      <c r="T4108" s="19">
        <f>H4108*J4108</f>
        <v/>
      </c>
      <c r="U4108">
        <f>IF(AND(K4108=0,G4108&lt;=Assumptions!$C$6),1,0)</f>
        <v/>
      </c>
      <c r="V4108">
        <f>IF(U4108=1,IF(M4108&gt;0,IF(P4108&lt;=G4108+Assumptions!$C$7,1,0),0),0)</f>
        <v/>
      </c>
      <c r="W4108">
        <f>IF(AND(U4108=1,M4108&gt;=H4108*(1-Assumptions!$C$8)),1,0)</f>
        <v/>
      </c>
      <c r="X4108">
        <f>IF(AND(U4108=1,N4108&gt;=H4108*(1-Assumptions!$C$8)),1,0)</f>
        <v/>
      </c>
      <c r="Y4108">
        <f>IF(ISNUMBER(Q4108),1,0)</f>
        <v/>
      </c>
      <c r="Z4108">
        <f>IF(AND(K4108=0,L4108=0,Y4108=0),1,0)</f>
        <v/>
      </c>
      <c r="AA4108">
        <f>IF(AND(Z4108=1,G4108&lt;Assumptions!$C$6),1,0)</f>
        <v/>
      </c>
      <c r="AB4108">
        <f>IF(U4108=0,"",IF(Y4108=1,MAX(0,Q4108-G4108),IF(L4108=1,MAX(0,R4108-G4108),MAX(0,Assumptions!$C$6-G4108))))</f>
        <v/>
      </c>
      <c r="AC4108">
        <f>IF(Y4108=1,Q4108-F4108,"")</f>
        <v/>
      </c>
      <c r="AD4108">
        <f>IF(Y4108=1,AC4108^2,"")</f>
        <v/>
      </c>
      <c r="AE4108" s="19">
        <f>IF(Z4108=1,(H4108-M4108)*I4108,0)</f>
        <v/>
      </c>
      <c r="AF4108">
        <f>IF(G4108&lt;EDATE(Assumptions!$C$6,-12)+1,"prior_12m","last_12m")</f>
        <v/>
      </c>
      <c r="AG4108" s="21">
        <f>DATE(YEAR(G4108),MONTH(G4108),1)</f>
        <v/>
      </c>
    </row>
    <row r="4109">
      <c r="A4109" t="inlineStr">
        <is>
          <t>SPO-02187-1</t>
        </is>
      </c>
      <c r="B4109" t="inlineStr">
        <is>
          <t>SPO-02187</t>
        </is>
      </c>
      <c r="C4109" t="inlineStr">
        <is>
          <t>SUP-05</t>
        </is>
      </c>
      <c r="D4109" t="inlineStr">
        <is>
          <t>FLEET</t>
        </is>
      </c>
      <c r="E4109" t="inlineStr">
        <is>
          <t>FLEET-08</t>
        </is>
      </c>
      <c r="F4109" s="17" t="n">
        <v>46178</v>
      </c>
      <c r="G4109" s="17" t="n">
        <v>46192</v>
      </c>
      <c r="H4109" s="18" t="n">
        <v>177</v>
      </c>
      <c r="I4109" s="19" t="n">
        <v>6.79</v>
      </c>
      <c r="J4109" s="19" t="n">
        <v>6.4</v>
      </c>
      <c r="K4109" s="20" t="n">
        <v>0</v>
      </c>
      <c r="L4109" s="20" t="n">
        <v>0</v>
      </c>
      <c r="M4109" s="18" t="n">
        <v>177</v>
      </c>
      <c r="N4109" s="18" t="n">
        <v>177</v>
      </c>
      <c r="O4109" s="18" t="n">
        <v>0</v>
      </c>
      <c r="P4109" s="17" t="n">
        <v>46186</v>
      </c>
      <c r="Q4109" s="17" t="n">
        <v>46186</v>
      </c>
      <c r="R4109" s="17" t="n">
        <v>46186</v>
      </c>
      <c r="S4109" s="19">
        <f>H4109*I4109</f>
        <v/>
      </c>
      <c r="T4109" s="19">
        <f>H4109*J4109</f>
        <v/>
      </c>
      <c r="U4109">
        <f>IF(AND(K4109=0,G4109&lt;=Assumptions!$C$6),1,0)</f>
        <v/>
      </c>
      <c r="V4109">
        <f>IF(U4109=1,IF(M4109&gt;0,IF(P4109&lt;=G4109+Assumptions!$C$7,1,0),0),0)</f>
        <v/>
      </c>
      <c r="W4109">
        <f>IF(AND(U4109=1,M4109&gt;=H4109*(1-Assumptions!$C$8)),1,0)</f>
        <v/>
      </c>
      <c r="X4109">
        <f>IF(AND(U4109=1,N4109&gt;=H4109*(1-Assumptions!$C$8)),1,0)</f>
        <v/>
      </c>
      <c r="Y4109">
        <f>IF(ISNUMBER(Q4109),1,0)</f>
        <v/>
      </c>
      <c r="Z4109">
        <f>IF(AND(K4109=0,L4109=0,Y4109=0),1,0)</f>
        <v/>
      </c>
      <c r="AA4109">
        <f>IF(AND(Z4109=1,G4109&lt;Assumptions!$C$6),1,0)</f>
        <v/>
      </c>
      <c r="AB4109">
        <f>IF(U4109=0,"",IF(Y4109=1,MAX(0,Q4109-G4109),IF(L4109=1,MAX(0,R4109-G4109),MAX(0,Assumptions!$C$6-G4109))))</f>
        <v/>
      </c>
      <c r="AC4109">
        <f>IF(Y4109=1,Q4109-F4109,"")</f>
        <v/>
      </c>
      <c r="AD4109">
        <f>IF(Y4109=1,AC4109^2,"")</f>
        <v/>
      </c>
      <c r="AE4109" s="19">
        <f>IF(Z4109=1,(H4109-M4109)*I4109,0)</f>
        <v/>
      </c>
      <c r="AF4109">
        <f>IF(G4109&lt;EDATE(Assumptions!$C$6,-12)+1,"prior_12m","last_12m")</f>
        <v/>
      </c>
      <c r="AG4109" s="21">
        <f>DATE(YEAR(G4109),MONTH(G4109),1)</f>
        <v/>
      </c>
    </row>
    <row r="4110">
      <c r="A4110" t="inlineStr">
        <is>
          <t>SPO-02188-1</t>
        </is>
      </c>
      <c r="B4110" t="inlineStr">
        <is>
          <t>SPO-02188</t>
        </is>
      </c>
      <c r="C4110" t="inlineStr">
        <is>
          <t>SUP-06</t>
        </is>
      </c>
      <c r="D4110" t="inlineStr">
        <is>
          <t>MRO</t>
        </is>
      </c>
      <c r="E4110" t="inlineStr">
        <is>
          <t>MRO-07</t>
        </is>
      </c>
      <c r="F4110" s="17" t="n">
        <v>46179</v>
      </c>
      <c r="G4110" s="17" t="n">
        <v>46187</v>
      </c>
      <c r="H4110" s="18" t="n">
        <v>161</v>
      </c>
      <c r="I4110" s="19" t="n">
        <v>14.33</v>
      </c>
      <c r="J4110" s="19" t="n">
        <v>14</v>
      </c>
      <c r="K4110" s="20" t="n">
        <v>0</v>
      </c>
      <c r="L4110" s="20" t="n">
        <v>0</v>
      </c>
      <c r="M4110" s="18" t="n">
        <v>161</v>
      </c>
      <c r="N4110" s="18" t="n">
        <v>161</v>
      </c>
      <c r="O4110" s="18" t="n">
        <v>0</v>
      </c>
      <c r="P4110" s="17" t="n">
        <v>46187</v>
      </c>
      <c r="Q4110" s="17" t="n">
        <v>46187</v>
      </c>
      <c r="R4110" s="17" t="n">
        <v>46187</v>
      </c>
      <c r="S4110" s="19">
        <f>H4110*I4110</f>
        <v/>
      </c>
      <c r="T4110" s="19">
        <f>H4110*J4110</f>
        <v/>
      </c>
      <c r="U4110">
        <f>IF(AND(K4110=0,G4110&lt;=Assumptions!$C$6),1,0)</f>
        <v/>
      </c>
      <c r="V4110">
        <f>IF(U4110=1,IF(M4110&gt;0,IF(P4110&lt;=G4110+Assumptions!$C$7,1,0),0),0)</f>
        <v/>
      </c>
      <c r="W4110">
        <f>IF(AND(U4110=1,M4110&gt;=H4110*(1-Assumptions!$C$8)),1,0)</f>
        <v/>
      </c>
      <c r="X4110">
        <f>IF(AND(U4110=1,N4110&gt;=H4110*(1-Assumptions!$C$8)),1,0)</f>
        <v/>
      </c>
      <c r="Y4110">
        <f>IF(ISNUMBER(Q4110),1,0)</f>
        <v/>
      </c>
      <c r="Z4110">
        <f>IF(AND(K4110=0,L4110=0,Y4110=0),1,0)</f>
        <v/>
      </c>
      <c r="AA4110">
        <f>IF(AND(Z4110=1,G4110&lt;Assumptions!$C$6),1,0)</f>
        <v/>
      </c>
      <c r="AB4110">
        <f>IF(U4110=0,"",IF(Y4110=1,MAX(0,Q4110-G4110),IF(L4110=1,MAX(0,R4110-G4110),MAX(0,Assumptions!$C$6-G4110))))</f>
        <v/>
      </c>
      <c r="AC4110">
        <f>IF(Y4110=1,Q4110-F4110,"")</f>
        <v/>
      </c>
      <c r="AD4110">
        <f>IF(Y4110=1,AC4110^2,"")</f>
        <v/>
      </c>
      <c r="AE4110" s="19">
        <f>IF(Z4110=1,(H4110-M4110)*I4110,0)</f>
        <v/>
      </c>
      <c r="AF4110">
        <f>IF(G4110&lt;EDATE(Assumptions!$C$6,-12)+1,"prior_12m","last_12m")</f>
        <v/>
      </c>
      <c r="AG4110" s="21">
        <f>DATE(YEAR(G4110),MONTH(G4110),1)</f>
        <v/>
      </c>
    </row>
    <row r="4111">
      <c r="A4111" t="inlineStr">
        <is>
          <t>SPO-02189-1</t>
        </is>
      </c>
      <c r="B4111" t="inlineStr">
        <is>
          <t>SPO-02189</t>
        </is>
      </c>
      <c r="C4111" t="inlineStr">
        <is>
          <t>SUP-04</t>
        </is>
      </c>
      <c r="D4111" t="inlineStr">
        <is>
          <t>FLEET</t>
        </is>
      </c>
      <c r="E4111" t="inlineStr">
        <is>
          <t>FLEET-06</t>
        </is>
      </c>
      <c r="F4111" s="17" t="n">
        <v>46180</v>
      </c>
      <c r="G4111" s="17" t="n">
        <v>46193</v>
      </c>
      <c r="H4111" s="18" t="n">
        <v>74</v>
      </c>
      <c r="I4111" s="19" t="n">
        <v>31.78</v>
      </c>
      <c r="J4111" s="19" t="n">
        <v>33</v>
      </c>
      <c r="K4111" s="20" t="n">
        <v>0</v>
      </c>
      <c r="L4111" s="20" t="n">
        <v>0</v>
      </c>
      <c r="M4111" s="18" t="n">
        <v>74</v>
      </c>
      <c r="N4111" s="18" t="n">
        <v>0</v>
      </c>
      <c r="O4111" s="18" t="n">
        <v>0</v>
      </c>
      <c r="P4111" s="17" t="n">
        <v>46194</v>
      </c>
      <c r="Q4111" s="17" t="n">
        <v>46214</v>
      </c>
      <c r="R4111" s="17" t="n">
        <v>46214</v>
      </c>
      <c r="S4111" s="19">
        <f>H4111*I4111</f>
        <v/>
      </c>
      <c r="T4111" s="19">
        <f>H4111*J4111</f>
        <v/>
      </c>
      <c r="U4111">
        <f>IF(AND(K4111=0,G4111&lt;=Assumptions!$C$6),1,0)</f>
        <v/>
      </c>
      <c r="V4111">
        <f>IF(U4111=1,IF(M4111&gt;0,IF(P4111&lt;=G4111+Assumptions!$C$7,1,0),0),0)</f>
        <v/>
      </c>
      <c r="W4111">
        <f>IF(AND(U4111=1,M4111&gt;=H4111*(1-Assumptions!$C$8)),1,0)</f>
        <v/>
      </c>
      <c r="X4111">
        <f>IF(AND(U4111=1,N4111&gt;=H4111*(1-Assumptions!$C$8)),1,0)</f>
        <v/>
      </c>
      <c r="Y4111">
        <f>IF(ISNUMBER(Q4111),1,0)</f>
        <v/>
      </c>
      <c r="Z4111">
        <f>IF(AND(K4111=0,L4111=0,Y4111=0),1,0)</f>
        <v/>
      </c>
      <c r="AA4111">
        <f>IF(AND(Z4111=1,G4111&lt;Assumptions!$C$6),1,0)</f>
        <v/>
      </c>
      <c r="AB4111">
        <f>IF(U4111=0,"",IF(Y4111=1,MAX(0,Q4111-G4111),IF(L4111=1,MAX(0,R4111-G4111),MAX(0,Assumptions!$C$6-G4111))))</f>
        <v/>
      </c>
      <c r="AC4111">
        <f>IF(Y4111=1,Q4111-F4111,"")</f>
        <v/>
      </c>
      <c r="AD4111">
        <f>IF(Y4111=1,AC4111^2,"")</f>
        <v/>
      </c>
      <c r="AE4111" s="19">
        <f>IF(Z4111=1,(H4111-M4111)*I4111,0)</f>
        <v/>
      </c>
      <c r="AF4111">
        <f>IF(G4111&lt;EDATE(Assumptions!$C$6,-12)+1,"prior_12m","last_12m")</f>
        <v/>
      </c>
      <c r="AG4111" s="21">
        <f>DATE(YEAR(G4111),MONTH(G4111),1)</f>
        <v/>
      </c>
    </row>
    <row r="4112">
      <c r="A4112" t="inlineStr">
        <is>
          <t>SPO-02190-1</t>
        </is>
      </c>
      <c r="B4112" t="inlineStr">
        <is>
          <t>SPO-02190</t>
        </is>
      </c>
      <c r="C4112" t="inlineStr">
        <is>
          <t>SUP-07</t>
        </is>
      </c>
      <c r="D4112" t="inlineStr">
        <is>
          <t>MRO</t>
        </is>
      </c>
      <c r="E4112" t="inlineStr">
        <is>
          <t>MRO-01</t>
        </is>
      </c>
      <c r="F4112" s="17" t="n">
        <v>46180</v>
      </c>
      <c r="G4112" s="17" t="n">
        <v>46190</v>
      </c>
      <c r="H4112" s="18" t="n">
        <v>44</v>
      </c>
      <c r="I4112" s="19" t="n">
        <v>52.83</v>
      </c>
      <c r="J4112" s="19" t="n">
        <v>52</v>
      </c>
      <c r="K4112" s="20" t="n">
        <v>0</v>
      </c>
      <c r="L4112" s="20" t="n">
        <v>0</v>
      </c>
      <c r="M4112" s="18" t="n">
        <v>44</v>
      </c>
      <c r="N4112" s="18" t="n">
        <v>44</v>
      </c>
      <c r="O4112" s="18" t="n">
        <v>0</v>
      </c>
      <c r="P4112" s="17" t="n">
        <v>46188</v>
      </c>
      <c r="Q4112" s="17" t="n">
        <v>46188</v>
      </c>
      <c r="R4112" s="17" t="n">
        <v>46188</v>
      </c>
      <c r="S4112" s="19">
        <f>H4112*I4112</f>
        <v/>
      </c>
      <c r="T4112" s="19">
        <f>H4112*J4112</f>
        <v/>
      </c>
      <c r="U4112">
        <f>IF(AND(K4112=0,G4112&lt;=Assumptions!$C$6),1,0)</f>
        <v/>
      </c>
      <c r="V4112">
        <f>IF(U4112=1,IF(M4112&gt;0,IF(P4112&lt;=G4112+Assumptions!$C$7,1,0),0),0)</f>
        <v/>
      </c>
      <c r="W4112">
        <f>IF(AND(U4112=1,M4112&gt;=H4112*(1-Assumptions!$C$8)),1,0)</f>
        <v/>
      </c>
      <c r="X4112">
        <f>IF(AND(U4112=1,N4112&gt;=H4112*(1-Assumptions!$C$8)),1,0)</f>
        <v/>
      </c>
      <c r="Y4112">
        <f>IF(ISNUMBER(Q4112),1,0)</f>
        <v/>
      </c>
      <c r="Z4112">
        <f>IF(AND(K4112=0,L4112=0,Y4112=0),1,0)</f>
        <v/>
      </c>
      <c r="AA4112">
        <f>IF(AND(Z4112=1,G4112&lt;Assumptions!$C$6),1,0)</f>
        <v/>
      </c>
      <c r="AB4112">
        <f>IF(U4112=0,"",IF(Y4112=1,MAX(0,Q4112-G4112),IF(L4112=1,MAX(0,R4112-G4112),MAX(0,Assumptions!$C$6-G4112))))</f>
        <v/>
      </c>
      <c r="AC4112">
        <f>IF(Y4112=1,Q4112-F4112,"")</f>
        <v/>
      </c>
      <c r="AD4112">
        <f>IF(Y4112=1,AC4112^2,"")</f>
        <v/>
      </c>
      <c r="AE4112" s="19">
        <f>IF(Z4112=1,(H4112-M4112)*I4112,0)</f>
        <v/>
      </c>
      <c r="AF4112">
        <f>IF(G4112&lt;EDATE(Assumptions!$C$6,-12)+1,"prior_12m","last_12m")</f>
        <v/>
      </c>
      <c r="AG4112" s="21">
        <f>DATE(YEAR(G4112),MONTH(G4112),1)</f>
        <v/>
      </c>
    </row>
    <row r="4113">
      <c r="A4113" t="inlineStr">
        <is>
          <t>SPO-02190-2</t>
        </is>
      </c>
      <c r="B4113" t="inlineStr">
        <is>
          <t>SPO-02190</t>
        </is>
      </c>
      <c r="C4113" t="inlineStr">
        <is>
          <t>SUP-07</t>
        </is>
      </c>
      <c r="D4113" t="inlineStr">
        <is>
          <t>MRO</t>
        </is>
      </c>
      <c r="E4113" t="inlineStr">
        <is>
          <t>MRO-06</t>
        </is>
      </c>
      <c r="F4113" s="17" t="n">
        <v>46180</v>
      </c>
      <c r="G4113" s="17" t="n">
        <v>46190</v>
      </c>
      <c r="H4113" s="18" t="n">
        <v>154</v>
      </c>
      <c r="I4113" s="19" t="n">
        <v>5.96</v>
      </c>
      <c r="J4113" s="19" t="n">
        <v>6.1</v>
      </c>
      <c r="K4113" s="20" t="n">
        <v>0</v>
      </c>
      <c r="L4113" s="20" t="n">
        <v>0</v>
      </c>
      <c r="M4113" s="18" t="n">
        <v>154</v>
      </c>
      <c r="N4113" s="18" t="n">
        <v>154</v>
      </c>
      <c r="O4113" s="18" t="n">
        <v>0</v>
      </c>
      <c r="P4113" s="17" t="n">
        <v>46190</v>
      </c>
      <c r="Q4113" s="17" t="n">
        <v>46190</v>
      </c>
      <c r="R4113" s="17" t="n">
        <v>46190</v>
      </c>
      <c r="S4113" s="19">
        <f>H4113*I4113</f>
        <v/>
      </c>
      <c r="T4113" s="19">
        <f>H4113*J4113</f>
        <v/>
      </c>
      <c r="U4113">
        <f>IF(AND(K4113=0,G4113&lt;=Assumptions!$C$6),1,0)</f>
        <v/>
      </c>
      <c r="V4113">
        <f>IF(U4113=1,IF(M4113&gt;0,IF(P4113&lt;=G4113+Assumptions!$C$7,1,0),0),0)</f>
        <v/>
      </c>
      <c r="W4113">
        <f>IF(AND(U4113=1,M4113&gt;=H4113*(1-Assumptions!$C$8)),1,0)</f>
        <v/>
      </c>
      <c r="X4113">
        <f>IF(AND(U4113=1,N4113&gt;=H4113*(1-Assumptions!$C$8)),1,0)</f>
        <v/>
      </c>
      <c r="Y4113">
        <f>IF(ISNUMBER(Q4113),1,0)</f>
        <v/>
      </c>
      <c r="Z4113">
        <f>IF(AND(K4113=0,L4113=0,Y4113=0),1,0)</f>
        <v/>
      </c>
      <c r="AA4113">
        <f>IF(AND(Z4113=1,G4113&lt;Assumptions!$C$6),1,0)</f>
        <v/>
      </c>
      <c r="AB4113">
        <f>IF(U4113=0,"",IF(Y4113=1,MAX(0,Q4113-G4113),IF(L4113=1,MAX(0,R4113-G4113),MAX(0,Assumptions!$C$6-G4113))))</f>
        <v/>
      </c>
      <c r="AC4113">
        <f>IF(Y4113=1,Q4113-F4113,"")</f>
        <v/>
      </c>
      <c r="AD4113">
        <f>IF(Y4113=1,AC4113^2,"")</f>
        <v/>
      </c>
      <c r="AE4113" s="19">
        <f>IF(Z4113=1,(H4113-M4113)*I4113,0)</f>
        <v/>
      </c>
      <c r="AF4113">
        <f>IF(G4113&lt;EDATE(Assumptions!$C$6,-12)+1,"prior_12m","last_12m")</f>
        <v/>
      </c>
      <c r="AG4113" s="21">
        <f>DATE(YEAR(G4113),MONTH(G4113),1)</f>
        <v/>
      </c>
    </row>
    <row r="4114">
      <c r="A4114" t="inlineStr">
        <is>
          <t>SPO-02190-3</t>
        </is>
      </c>
      <c r="B4114" t="inlineStr">
        <is>
          <t>SPO-02190</t>
        </is>
      </c>
      <c r="C4114" t="inlineStr">
        <is>
          <t>SUP-07</t>
        </is>
      </c>
      <c r="D4114" t="inlineStr">
        <is>
          <t>MRO</t>
        </is>
      </c>
      <c r="E4114" t="inlineStr">
        <is>
          <t>MRO-02</t>
        </is>
      </c>
      <c r="F4114" s="17" t="n">
        <v>46180</v>
      </c>
      <c r="G4114" s="17" t="n">
        <v>46190</v>
      </c>
      <c r="H4114" s="18" t="n">
        <v>21</v>
      </c>
      <c r="I4114" s="19" t="n">
        <v>41.18</v>
      </c>
      <c r="J4114" s="19" t="n">
        <v>41</v>
      </c>
      <c r="K4114" s="20" t="n">
        <v>0</v>
      </c>
      <c r="L4114" s="20" t="n">
        <v>0</v>
      </c>
      <c r="M4114" s="18" t="n">
        <v>21</v>
      </c>
      <c r="N4114" s="18" t="n">
        <v>11</v>
      </c>
      <c r="O4114" s="18" t="n">
        <v>0</v>
      </c>
      <c r="P4114" s="17" t="n">
        <v>46186</v>
      </c>
      <c r="Q4114" s="17" t="n">
        <v>46200</v>
      </c>
      <c r="R4114" s="17" t="n">
        <v>46200</v>
      </c>
      <c r="S4114" s="19">
        <f>H4114*I4114</f>
        <v/>
      </c>
      <c r="T4114" s="19">
        <f>H4114*J4114</f>
        <v/>
      </c>
      <c r="U4114">
        <f>IF(AND(K4114=0,G4114&lt;=Assumptions!$C$6),1,0)</f>
        <v/>
      </c>
      <c r="V4114">
        <f>IF(U4114=1,IF(M4114&gt;0,IF(P4114&lt;=G4114+Assumptions!$C$7,1,0),0),0)</f>
        <v/>
      </c>
      <c r="W4114">
        <f>IF(AND(U4114=1,M4114&gt;=H4114*(1-Assumptions!$C$8)),1,0)</f>
        <v/>
      </c>
      <c r="X4114">
        <f>IF(AND(U4114=1,N4114&gt;=H4114*(1-Assumptions!$C$8)),1,0)</f>
        <v/>
      </c>
      <c r="Y4114">
        <f>IF(ISNUMBER(Q4114),1,0)</f>
        <v/>
      </c>
      <c r="Z4114">
        <f>IF(AND(K4114=0,L4114=0,Y4114=0),1,0)</f>
        <v/>
      </c>
      <c r="AA4114">
        <f>IF(AND(Z4114=1,G4114&lt;Assumptions!$C$6),1,0)</f>
        <v/>
      </c>
      <c r="AB4114">
        <f>IF(U4114=0,"",IF(Y4114=1,MAX(0,Q4114-G4114),IF(L4114=1,MAX(0,R4114-G4114),MAX(0,Assumptions!$C$6-G4114))))</f>
        <v/>
      </c>
      <c r="AC4114">
        <f>IF(Y4114=1,Q4114-F4114,"")</f>
        <v/>
      </c>
      <c r="AD4114">
        <f>IF(Y4114=1,AC4114^2,"")</f>
        <v/>
      </c>
      <c r="AE4114" s="19">
        <f>IF(Z4114=1,(H4114-M4114)*I4114,0)</f>
        <v/>
      </c>
      <c r="AF4114">
        <f>IF(G4114&lt;EDATE(Assumptions!$C$6,-12)+1,"prior_12m","last_12m")</f>
        <v/>
      </c>
      <c r="AG4114" s="21">
        <f>DATE(YEAR(G4114),MONTH(G4114),1)</f>
        <v/>
      </c>
    </row>
    <row r="4115">
      <c r="A4115" t="inlineStr">
        <is>
          <t>SPO-02191-1</t>
        </is>
      </c>
      <c r="B4115" t="inlineStr">
        <is>
          <t>SPO-02191</t>
        </is>
      </c>
      <c r="C4115" t="inlineStr">
        <is>
          <t>SUP-01</t>
        </is>
      </c>
      <c r="D4115" t="inlineStr">
        <is>
          <t>ELEC</t>
        </is>
      </c>
      <c r="E4115" t="inlineStr">
        <is>
          <t>ELEC-07</t>
        </is>
      </c>
      <c r="F4115" s="17" t="n">
        <v>46180</v>
      </c>
      <c r="G4115" s="17" t="n">
        <v>46198</v>
      </c>
      <c r="H4115" s="18" t="n">
        <v>208</v>
      </c>
      <c r="I4115" s="19" t="n">
        <v>10.25</v>
      </c>
      <c r="J4115" s="19" t="n">
        <v>9.800000000000001</v>
      </c>
      <c r="K4115" s="20" t="n">
        <v>0</v>
      </c>
      <c r="L4115" s="20" t="n">
        <v>0</v>
      </c>
      <c r="M4115" s="18" t="n">
        <v>208</v>
      </c>
      <c r="N4115" s="18" t="n">
        <v>0</v>
      </c>
      <c r="O4115" s="18" t="n">
        <v>0</v>
      </c>
      <c r="P4115" s="17" t="n">
        <v>46199</v>
      </c>
      <c r="Q4115" s="17" t="n">
        <v>46199</v>
      </c>
      <c r="R4115" s="17" t="n">
        <v>46199</v>
      </c>
      <c r="S4115" s="19">
        <f>H4115*I4115</f>
        <v/>
      </c>
      <c r="T4115" s="19">
        <f>H4115*J4115</f>
        <v/>
      </c>
      <c r="U4115">
        <f>IF(AND(K4115=0,G4115&lt;=Assumptions!$C$6),1,0)</f>
        <v/>
      </c>
      <c r="V4115">
        <f>IF(U4115=1,IF(M4115&gt;0,IF(P4115&lt;=G4115+Assumptions!$C$7,1,0),0),0)</f>
        <v/>
      </c>
      <c r="W4115">
        <f>IF(AND(U4115=1,M4115&gt;=H4115*(1-Assumptions!$C$8)),1,0)</f>
        <v/>
      </c>
      <c r="X4115">
        <f>IF(AND(U4115=1,N4115&gt;=H4115*(1-Assumptions!$C$8)),1,0)</f>
        <v/>
      </c>
      <c r="Y4115">
        <f>IF(ISNUMBER(Q4115),1,0)</f>
        <v/>
      </c>
      <c r="Z4115">
        <f>IF(AND(K4115=0,L4115=0,Y4115=0),1,0)</f>
        <v/>
      </c>
      <c r="AA4115">
        <f>IF(AND(Z4115=1,G4115&lt;Assumptions!$C$6),1,0)</f>
        <v/>
      </c>
      <c r="AB4115">
        <f>IF(U4115=0,"",IF(Y4115=1,MAX(0,Q4115-G4115),IF(L4115=1,MAX(0,R4115-G4115),MAX(0,Assumptions!$C$6-G4115))))</f>
        <v/>
      </c>
      <c r="AC4115">
        <f>IF(Y4115=1,Q4115-F4115,"")</f>
        <v/>
      </c>
      <c r="AD4115">
        <f>IF(Y4115=1,AC4115^2,"")</f>
        <v/>
      </c>
      <c r="AE4115" s="19">
        <f>IF(Z4115=1,(H4115-M4115)*I4115,0)</f>
        <v/>
      </c>
      <c r="AF4115">
        <f>IF(G4115&lt;EDATE(Assumptions!$C$6,-12)+1,"prior_12m","last_12m")</f>
        <v/>
      </c>
      <c r="AG4115" s="21">
        <f>DATE(YEAR(G4115),MONTH(G4115),1)</f>
        <v/>
      </c>
    </row>
    <row r="4116">
      <c r="A4116" t="inlineStr">
        <is>
          <t>SPO-02192-1</t>
        </is>
      </c>
      <c r="B4116" t="inlineStr">
        <is>
          <t>SPO-02192</t>
        </is>
      </c>
      <c r="C4116" t="inlineStr">
        <is>
          <t>SUP-08</t>
        </is>
      </c>
      <c r="D4116" t="inlineStr">
        <is>
          <t>PPE</t>
        </is>
      </c>
      <c r="E4116" t="inlineStr">
        <is>
          <t>PPE-02</t>
        </is>
      </c>
      <c r="F4116" s="17" t="n">
        <v>46180</v>
      </c>
      <c r="G4116" s="17" t="n">
        <v>46191</v>
      </c>
      <c r="H4116" s="18" t="n">
        <v>326</v>
      </c>
      <c r="I4116" s="19" t="n">
        <v>12.15</v>
      </c>
      <c r="J4116" s="19" t="n">
        <v>12.5</v>
      </c>
      <c r="K4116" s="20" t="n">
        <v>0</v>
      </c>
      <c r="L4116" s="20" t="n">
        <v>0</v>
      </c>
      <c r="M4116" s="18" t="n">
        <v>326</v>
      </c>
      <c r="N4116" s="18" t="n">
        <v>152</v>
      </c>
      <c r="O4116" s="18" t="n">
        <v>0</v>
      </c>
      <c r="P4116" s="17" t="n">
        <v>46185</v>
      </c>
      <c r="Q4116" s="17" t="n">
        <v>46200</v>
      </c>
      <c r="R4116" s="17" t="n">
        <v>46200</v>
      </c>
      <c r="S4116" s="19">
        <f>H4116*I4116</f>
        <v/>
      </c>
      <c r="T4116" s="19">
        <f>H4116*J4116</f>
        <v/>
      </c>
      <c r="U4116">
        <f>IF(AND(K4116=0,G4116&lt;=Assumptions!$C$6),1,0)</f>
        <v/>
      </c>
      <c r="V4116">
        <f>IF(U4116=1,IF(M4116&gt;0,IF(P4116&lt;=G4116+Assumptions!$C$7,1,0),0),0)</f>
        <v/>
      </c>
      <c r="W4116">
        <f>IF(AND(U4116=1,M4116&gt;=H4116*(1-Assumptions!$C$8)),1,0)</f>
        <v/>
      </c>
      <c r="X4116">
        <f>IF(AND(U4116=1,N4116&gt;=H4116*(1-Assumptions!$C$8)),1,0)</f>
        <v/>
      </c>
      <c r="Y4116">
        <f>IF(ISNUMBER(Q4116),1,0)</f>
        <v/>
      </c>
      <c r="Z4116">
        <f>IF(AND(K4116=0,L4116=0,Y4116=0),1,0)</f>
        <v/>
      </c>
      <c r="AA4116">
        <f>IF(AND(Z4116=1,G4116&lt;Assumptions!$C$6),1,0)</f>
        <v/>
      </c>
      <c r="AB4116">
        <f>IF(U4116=0,"",IF(Y4116=1,MAX(0,Q4116-G4116),IF(L4116=1,MAX(0,R4116-G4116),MAX(0,Assumptions!$C$6-G4116))))</f>
        <v/>
      </c>
      <c r="AC4116">
        <f>IF(Y4116=1,Q4116-F4116,"")</f>
        <v/>
      </c>
      <c r="AD4116">
        <f>IF(Y4116=1,AC4116^2,"")</f>
        <v/>
      </c>
      <c r="AE4116" s="19">
        <f>IF(Z4116=1,(H4116-M4116)*I4116,0)</f>
        <v/>
      </c>
      <c r="AF4116">
        <f>IF(G4116&lt;EDATE(Assumptions!$C$6,-12)+1,"prior_12m","last_12m")</f>
        <v/>
      </c>
      <c r="AG4116" s="21">
        <f>DATE(YEAR(G4116),MONTH(G4116),1)</f>
        <v/>
      </c>
    </row>
    <row r="4117">
      <c r="A4117" t="inlineStr">
        <is>
          <t>SPO-02193-1</t>
        </is>
      </c>
      <c r="B4117" t="inlineStr">
        <is>
          <t>SPO-02193</t>
        </is>
      </c>
      <c r="C4117" t="inlineStr">
        <is>
          <t>SUP-05</t>
        </is>
      </c>
      <c r="D4117" t="inlineStr">
        <is>
          <t>FLEET</t>
        </is>
      </c>
      <c r="E4117" t="inlineStr">
        <is>
          <t>FLEET-05</t>
        </is>
      </c>
      <c r="F4117" s="17" t="n">
        <v>46181</v>
      </c>
      <c r="G4117" s="17" t="n">
        <v>46195</v>
      </c>
      <c r="H4117" s="18" t="n">
        <v>9</v>
      </c>
      <c r="I4117" s="19" t="n">
        <v>172.48</v>
      </c>
      <c r="J4117" s="19" t="n">
        <v>168</v>
      </c>
      <c r="K4117" s="20" t="n">
        <v>0</v>
      </c>
      <c r="L4117" s="20" t="n">
        <v>0</v>
      </c>
      <c r="M4117" s="18" t="n">
        <v>9</v>
      </c>
      <c r="N4117" s="18" t="n">
        <v>9</v>
      </c>
      <c r="O4117" s="18" t="n">
        <v>0</v>
      </c>
      <c r="P4117" s="17" t="n">
        <v>46192</v>
      </c>
      <c r="Q4117" s="17" t="n">
        <v>46192</v>
      </c>
      <c r="R4117" s="17" t="n">
        <v>46192</v>
      </c>
      <c r="S4117" s="19">
        <f>H4117*I4117</f>
        <v/>
      </c>
      <c r="T4117" s="19">
        <f>H4117*J4117</f>
        <v/>
      </c>
      <c r="U4117">
        <f>IF(AND(K4117=0,G4117&lt;=Assumptions!$C$6),1,0)</f>
        <v/>
      </c>
      <c r="V4117">
        <f>IF(U4117=1,IF(M4117&gt;0,IF(P4117&lt;=G4117+Assumptions!$C$7,1,0),0),0)</f>
        <v/>
      </c>
      <c r="W4117">
        <f>IF(AND(U4117=1,M4117&gt;=H4117*(1-Assumptions!$C$8)),1,0)</f>
        <v/>
      </c>
      <c r="X4117">
        <f>IF(AND(U4117=1,N4117&gt;=H4117*(1-Assumptions!$C$8)),1,0)</f>
        <v/>
      </c>
      <c r="Y4117">
        <f>IF(ISNUMBER(Q4117),1,0)</f>
        <v/>
      </c>
      <c r="Z4117">
        <f>IF(AND(K4117=0,L4117=0,Y4117=0),1,0)</f>
        <v/>
      </c>
      <c r="AA4117">
        <f>IF(AND(Z4117=1,G4117&lt;Assumptions!$C$6),1,0)</f>
        <v/>
      </c>
      <c r="AB4117">
        <f>IF(U4117=0,"",IF(Y4117=1,MAX(0,Q4117-G4117),IF(L4117=1,MAX(0,R4117-G4117),MAX(0,Assumptions!$C$6-G4117))))</f>
        <v/>
      </c>
      <c r="AC4117">
        <f>IF(Y4117=1,Q4117-F4117,"")</f>
        <v/>
      </c>
      <c r="AD4117">
        <f>IF(Y4117=1,AC4117^2,"")</f>
        <v/>
      </c>
      <c r="AE4117" s="19">
        <f>IF(Z4117=1,(H4117-M4117)*I4117,0)</f>
        <v/>
      </c>
      <c r="AF4117">
        <f>IF(G4117&lt;EDATE(Assumptions!$C$6,-12)+1,"prior_12m","last_12m")</f>
        <v/>
      </c>
      <c r="AG4117" s="21">
        <f>DATE(YEAR(G4117),MONTH(G4117),1)</f>
        <v/>
      </c>
    </row>
    <row r="4118">
      <c r="A4118" t="inlineStr">
        <is>
          <t>SPO-02193-2</t>
        </is>
      </c>
      <c r="B4118" t="inlineStr">
        <is>
          <t>SPO-02193</t>
        </is>
      </c>
      <c r="C4118" t="inlineStr">
        <is>
          <t>SUP-05</t>
        </is>
      </c>
      <c r="D4118" t="inlineStr">
        <is>
          <t>FLEET</t>
        </is>
      </c>
      <c r="E4118" t="inlineStr">
        <is>
          <t>FLEET-07</t>
        </is>
      </c>
      <c r="F4118" s="17" t="n">
        <v>46181</v>
      </c>
      <c r="G4118" s="17" t="n">
        <v>46195</v>
      </c>
      <c r="H4118" s="18" t="n">
        <v>17</v>
      </c>
      <c r="I4118" s="19" t="n">
        <v>113.26</v>
      </c>
      <c r="J4118" s="19" t="n">
        <v>118</v>
      </c>
      <c r="K4118" s="20" t="n">
        <v>0</v>
      </c>
      <c r="L4118" s="20" t="n">
        <v>0</v>
      </c>
      <c r="M4118" s="18" t="n">
        <v>17</v>
      </c>
      <c r="N4118" s="18" t="n">
        <v>17</v>
      </c>
      <c r="O4118" s="18" t="n">
        <v>0</v>
      </c>
      <c r="P4118" s="17" t="n">
        <v>46190</v>
      </c>
      <c r="Q4118" s="17" t="n">
        <v>46190</v>
      </c>
      <c r="R4118" s="17" t="n">
        <v>46190</v>
      </c>
      <c r="S4118" s="19">
        <f>H4118*I4118</f>
        <v/>
      </c>
      <c r="T4118" s="19">
        <f>H4118*J4118</f>
        <v/>
      </c>
      <c r="U4118">
        <f>IF(AND(K4118=0,G4118&lt;=Assumptions!$C$6),1,0)</f>
        <v/>
      </c>
      <c r="V4118">
        <f>IF(U4118=1,IF(M4118&gt;0,IF(P4118&lt;=G4118+Assumptions!$C$7,1,0),0),0)</f>
        <v/>
      </c>
      <c r="W4118">
        <f>IF(AND(U4118=1,M4118&gt;=H4118*(1-Assumptions!$C$8)),1,0)</f>
        <v/>
      </c>
      <c r="X4118">
        <f>IF(AND(U4118=1,N4118&gt;=H4118*(1-Assumptions!$C$8)),1,0)</f>
        <v/>
      </c>
      <c r="Y4118">
        <f>IF(ISNUMBER(Q4118),1,0)</f>
        <v/>
      </c>
      <c r="Z4118">
        <f>IF(AND(K4118=0,L4118=0,Y4118=0),1,0)</f>
        <v/>
      </c>
      <c r="AA4118">
        <f>IF(AND(Z4118=1,G4118&lt;Assumptions!$C$6),1,0)</f>
        <v/>
      </c>
      <c r="AB4118">
        <f>IF(U4118=0,"",IF(Y4118=1,MAX(0,Q4118-G4118),IF(L4118=1,MAX(0,R4118-G4118),MAX(0,Assumptions!$C$6-G4118))))</f>
        <v/>
      </c>
      <c r="AC4118">
        <f>IF(Y4118=1,Q4118-F4118,"")</f>
        <v/>
      </c>
      <c r="AD4118">
        <f>IF(Y4118=1,AC4118^2,"")</f>
        <v/>
      </c>
      <c r="AE4118" s="19">
        <f>IF(Z4118=1,(H4118-M4118)*I4118,0)</f>
        <v/>
      </c>
      <c r="AF4118">
        <f>IF(G4118&lt;EDATE(Assumptions!$C$6,-12)+1,"prior_12m","last_12m")</f>
        <v/>
      </c>
      <c r="AG4118" s="21">
        <f>DATE(YEAR(G4118),MONTH(G4118),1)</f>
        <v/>
      </c>
    </row>
    <row r="4119">
      <c r="A4119" t="inlineStr">
        <is>
          <t>SPO-02194-1</t>
        </is>
      </c>
      <c r="B4119" t="inlineStr">
        <is>
          <t>SPO-02194</t>
        </is>
      </c>
      <c r="C4119" t="inlineStr">
        <is>
          <t>SUP-01</t>
        </is>
      </c>
      <c r="D4119" t="inlineStr">
        <is>
          <t>ELEC</t>
        </is>
      </c>
      <c r="E4119" t="inlineStr">
        <is>
          <t>ELEC-07</t>
        </is>
      </c>
      <c r="F4119" s="17" t="n">
        <v>46181</v>
      </c>
      <c r="G4119" s="17" t="n">
        <v>46199</v>
      </c>
      <c r="H4119" s="18" t="n">
        <v>266</v>
      </c>
      <c r="I4119" s="19" t="n">
        <v>9.789999999999999</v>
      </c>
      <c r="J4119" s="19" t="n">
        <v>9.800000000000001</v>
      </c>
      <c r="K4119" s="20" t="n">
        <v>0</v>
      </c>
      <c r="L4119" s="20" t="n">
        <v>0</v>
      </c>
      <c r="M4119" s="18" t="n">
        <v>266</v>
      </c>
      <c r="N4119" s="18" t="n">
        <v>266</v>
      </c>
      <c r="O4119" s="18" t="n">
        <v>0</v>
      </c>
      <c r="P4119" s="17" t="n">
        <v>46194</v>
      </c>
      <c r="Q4119" s="17" t="n">
        <v>46194</v>
      </c>
      <c r="R4119" s="17" t="n">
        <v>46194</v>
      </c>
      <c r="S4119" s="19">
        <f>H4119*I4119</f>
        <v/>
      </c>
      <c r="T4119" s="19">
        <f>H4119*J4119</f>
        <v/>
      </c>
      <c r="U4119">
        <f>IF(AND(K4119=0,G4119&lt;=Assumptions!$C$6),1,0)</f>
        <v/>
      </c>
      <c r="V4119">
        <f>IF(U4119=1,IF(M4119&gt;0,IF(P4119&lt;=G4119+Assumptions!$C$7,1,0),0),0)</f>
        <v/>
      </c>
      <c r="W4119">
        <f>IF(AND(U4119=1,M4119&gt;=H4119*(1-Assumptions!$C$8)),1,0)</f>
        <v/>
      </c>
      <c r="X4119">
        <f>IF(AND(U4119=1,N4119&gt;=H4119*(1-Assumptions!$C$8)),1,0)</f>
        <v/>
      </c>
      <c r="Y4119">
        <f>IF(ISNUMBER(Q4119),1,0)</f>
        <v/>
      </c>
      <c r="Z4119">
        <f>IF(AND(K4119=0,L4119=0,Y4119=0),1,0)</f>
        <v/>
      </c>
      <c r="AA4119">
        <f>IF(AND(Z4119=1,G4119&lt;Assumptions!$C$6),1,0)</f>
        <v/>
      </c>
      <c r="AB4119">
        <f>IF(U4119=0,"",IF(Y4119=1,MAX(0,Q4119-G4119),IF(L4119=1,MAX(0,R4119-G4119),MAX(0,Assumptions!$C$6-G4119))))</f>
        <v/>
      </c>
      <c r="AC4119">
        <f>IF(Y4119=1,Q4119-F4119,"")</f>
        <v/>
      </c>
      <c r="AD4119">
        <f>IF(Y4119=1,AC4119^2,"")</f>
        <v/>
      </c>
      <c r="AE4119" s="19">
        <f>IF(Z4119=1,(H4119-M4119)*I4119,0)</f>
        <v/>
      </c>
      <c r="AF4119">
        <f>IF(G4119&lt;EDATE(Assumptions!$C$6,-12)+1,"prior_12m","last_12m")</f>
        <v/>
      </c>
      <c r="AG4119" s="21">
        <f>DATE(YEAR(G4119),MONTH(G4119),1)</f>
        <v/>
      </c>
    </row>
    <row r="4120">
      <c r="A4120" t="inlineStr">
        <is>
          <t>SPO-02195-1</t>
        </is>
      </c>
      <c r="B4120" t="inlineStr">
        <is>
          <t>SPO-02195</t>
        </is>
      </c>
      <c r="C4120" t="inlineStr">
        <is>
          <t>SUP-06</t>
        </is>
      </c>
      <c r="D4120" t="inlineStr">
        <is>
          <t>MRO</t>
        </is>
      </c>
      <c r="E4120" t="inlineStr">
        <is>
          <t>MRO-06</t>
        </is>
      </c>
      <c r="F4120" s="17" t="n">
        <v>46182</v>
      </c>
      <c r="G4120" s="17" t="n">
        <v>46190</v>
      </c>
      <c r="H4120" s="18" t="n">
        <v>208</v>
      </c>
      <c r="I4120" s="19" t="n">
        <v>6.12</v>
      </c>
      <c r="J4120" s="19" t="n">
        <v>6.1</v>
      </c>
      <c r="K4120" s="20" t="n">
        <v>0</v>
      </c>
      <c r="L4120" s="20" t="n">
        <v>0</v>
      </c>
      <c r="M4120" s="18" t="n">
        <v>208</v>
      </c>
      <c r="N4120" s="18" t="n">
        <v>208</v>
      </c>
      <c r="O4120" s="18" t="n">
        <v>0</v>
      </c>
      <c r="P4120" s="17" t="n">
        <v>46189</v>
      </c>
      <c r="Q4120" s="17" t="n">
        <v>46189</v>
      </c>
      <c r="R4120" s="17" t="n">
        <v>46189</v>
      </c>
      <c r="S4120" s="19">
        <f>H4120*I4120</f>
        <v/>
      </c>
      <c r="T4120" s="19">
        <f>H4120*J4120</f>
        <v/>
      </c>
      <c r="U4120">
        <f>IF(AND(K4120=0,G4120&lt;=Assumptions!$C$6),1,0)</f>
        <v/>
      </c>
      <c r="V4120">
        <f>IF(U4120=1,IF(M4120&gt;0,IF(P4120&lt;=G4120+Assumptions!$C$7,1,0),0),0)</f>
        <v/>
      </c>
      <c r="W4120">
        <f>IF(AND(U4120=1,M4120&gt;=H4120*(1-Assumptions!$C$8)),1,0)</f>
        <v/>
      </c>
      <c r="X4120">
        <f>IF(AND(U4120=1,N4120&gt;=H4120*(1-Assumptions!$C$8)),1,0)</f>
        <v/>
      </c>
      <c r="Y4120">
        <f>IF(ISNUMBER(Q4120),1,0)</f>
        <v/>
      </c>
      <c r="Z4120">
        <f>IF(AND(K4120=0,L4120=0,Y4120=0),1,0)</f>
        <v/>
      </c>
      <c r="AA4120">
        <f>IF(AND(Z4120=1,G4120&lt;Assumptions!$C$6),1,0)</f>
        <v/>
      </c>
      <c r="AB4120">
        <f>IF(U4120=0,"",IF(Y4120=1,MAX(0,Q4120-G4120),IF(L4120=1,MAX(0,R4120-G4120),MAX(0,Assumptions!$C$6-G4120))))</f>
        <v/>
      </c>
      <c r="AC4120">
        <f>IF(Y4120=1,Q4120-F4120,"")</f>
        <v/>
      </c>
      <c r="AD4120">
        <f>IF(Y4120=1,AC4120^2,"")</f>
        <v/>
      </c>
      <c r="AE4120" s="19">
        <f>IF(Z4120=1,(H4120-M4120)*I4120,0)</f>
        <v/>
      </c>
      <c r="AF4120">
        <f>IF(G4120&lt;EDATE(Assumptions!$C$6,-12)+1,"prior_12m","last_12m")</f>
        <v/>
      </c>
      <c r="AG4120" s="21">
        <f>DATE(YEAR(G4120),MONTH(G4120),1)</f>
        <v/>
      </c>
    </row>
    <row r="4121">
      <c r="A4121" t="inlineStr">
        <is>
          <t>SPO-02196-1</t>
        </is>
      </c>
      <c r="B4121" t="inlineStr">
        <is>
          <t>SPO-02196</t>
        </is>
      </c>
      <c r="C4121" t="inlineStr">
        <is>
          <t>SUP-04</t>
        </is>
      </c>
      <c r="D4121" t="inlineStr">
        <is>
          <t>FLEET</t>
        </is>
      </c>
      <c r="E4121" t="inlineStr">
        <is>
          <t>FLEET-02</t>
        </is>
      </c>
      <c r="F4121" s="17" t="n">
        <v>46182</v>
      </c>
      <c r="G4121" s="17" t="n">
        <v>46195</v>
      </c>
      <c r="H4121" s="18" t="n">
        <v>199</v>
      </c>
      <c r="I4121" s="19" t="n">
        <v>7.26</v>
      </c>
      <c r="J4121" s="19" t="n">
        <v>7.5</v>
      </c>
      <c r="K4121" s="20" t="n">
        <v>0</v>
      </c>
      <c r="L4121" s="20" t="n">
        <v>0</v>
      </c>
      <c r="M4121" s="18" t="n">
        <v>199</v>
      </c>
      <c r="N4121" s="18" t="n">
        <v>199</v>
      </c>
      <c r="O4121" s="18" t="n">
        <v>0</v>
      </c>
      <c r="P4121" s="17" t="n">
        <v>46189</v>
      </c>
      <c r="Q4121" s="17" t="n">
        <v>46189</v>
      </c>
      <c r="R4121" s="17" t="n">
        <v>46189</v>
      </c>
      <c r="S4121" s="19">
        <f>H4121*I4121</f>
        <v/>
      </c>
      <c r="T4121" s="19">
        <f>H4121*J4121</f>
        <v/>
      </c>
      <c r="U4121">
        <f>IF(AND(K4121=0,G4121&lt;=Assumptions!$C$6),1,0)</f>
        <v/>
      </c>
      <c r="V4121">
        <f>IF(U4121=1,IF(M4121&gt;0,IF(P4121&lt;=G4121+Assumptions!$C$7,1,0),0),0)</f>
        <v/>
      </c>
      <c r="W4121">
        <f>IF(AND(U4121=1,M4121&gt;=H4121*(1-Assumptions!$C$8)),1,0)</f>
        <v/>
      </c>
      <c r="X4121">
        <f>IF(AND(U4121=1,N4121&gt;=H4121*(1-Assumptions!$C$8)),1,0)</f>
        <v/>
      </c>
      <c r="Y4121">
        <f>IF(ISNUMBER(Q4121),1,0)</f>
        <v/>
      </c>
      <c r="Z4121">
        <f>IF(AND(K4121=0,L4121=0,Y4121=0),1,0)</f>
        <v/>
      </c>
      <c r="AA4121">
        <f>IF(AND(Z4121=1,G4121&lt;Assumptions!$C$6),1,0)</f>
        <v/>
      </c>
      <c r="AB4121">
        <f>IF(U4121=0,"",IF(Y4121=1,MAX(0,Q4121-G4121),IF(L4121=1,MAX(0,R4121-G4121),MAX(0,Assumptions!$C$6-G4121))))</f>
        <v/>
      </c>
      <c r="AC4121">
        <f>IF(Y4121=1,Q4121-F4121,"")</f>
        <v/>
      </c>
      <c r="AD4121">
        <f>IF(Y4121=1,AC4121^2,"")</f>
        <v/>
      </c>
      <c r="AE4121" s="19">
        <f>IF(Z4121=1,(H4121-M4121)*I4121,0)</f>
        <v/>
      </c>
      <c r="AF4121">
        <f>IF(G4121&lt;EDATE(Assumptions!$C$6,-12)+1,"prior_12m","last_12m")</f>
        <v/>
      </c>
      <c r="AG4121" s="21">
        <f>DATE(YEAR(G4121),MONTH(G4121),1)</f>
        <v/>
      </c>
    </row>
    <row r="4122">
      <c r="A4122" t="inlineStr">
        <is>
          <t>SPO-02197-1</t>
        </is>
      </c>
      <c r="B4122" t="inlineStr">
        <is>
          <t>SPO-02197</t>
        </is>
      </c>
      <c r="C4122" t="inlineStr">
        <is>
          <t>SUP-04</t>
        </is>
      </c>
      <c r="D4122" t="inlineStr">
        <is>
          <t>FLEET</t>
        </is>
      </c>
      <c r="E4122" t="inlineStr">
        <is>
          <t>FLEET-07</t>
        </is>
      </c>
      <c r="F4122" s="17" t="n">
        <v>46182</v>
      </c>
      <c r="G4122" s="17" t="n">
        <v>46195</v>
      </c>
      <c r="H4122" s="18" t="n">
        <v>8</v>
      </c>
      <c r="I4122" s="19" t="n">
        <v>113.6</v>
      </c>
      <c r="J4122" s="19" t="n">
        <v>118</v>
      </c>
      <c r="K4122" s="20" t="n">
        <v>0</v>
      </c>
      <c r="L4122" s="20" t="n">
        <v>0</v>
      </c>
      <c r="M4122" s="18" t="n">
        <v>8</v>
      </c>
      <c r="N4122" s="18" t="n">
        <v>0</v>
      </c>
      <c r="O4122" s="18" t="n">
        <v>0</v>
      </c>
      <c r="P4122" s="17" t="n">
        <v>46201</v>
      </c>
      <c r="Q4122" s="17" t="n">
        <v>46201</v>
      </c>
      <c r="R4122" s="17" t="n">
        <v>46201</v>
      </c>
      <c r="S4122" s="19">
        <f>H4122*I4122</f>
        <v/>
      </c>
      <c r="T4122" s="19">
        <f>H4122*J4122</f>
        <v/>
      </c>
      <c r="U4122">
        <f>IF(AND(K4122=0,G4122&lt;=Assumptions!$C$6),1,0)</f>
        <v/>
      </c>
      <c r="V4122">
        <f>IF(U4122=1,IF(M4122&gt;0,IF(P4122&lt;=G4122+Assumptions!$C$7,1,0),0),0)</f>
        <v/>
      </c>
      <c r="W4122">
        <f>IF(AND(U4122=1,M4122&gt;=H4122*(1-Assumptions!$C$8)),1,0)</f>
        <v/>
      </c>
      <c r="X4122">
        <f>IF(AND(U4122=1,N4122&gt;=H4122*(1-Assumptions!$C$8)),1,0)</f>
        <v/>
      </c>
      <c r="Y4122">
        <f>IF(ISNUMBER(Q4122),1,0)</f>
        <v/>
      </c>
      <c r="Z4122">
        <f>IF(AND(K4122=0,L4122=0,Y4122=0),1,0)</f>
        <v/>
      </c>
      <c r="AA4122">
        <f>IF(AND(Z4122=1,G4122&lt;Assumptions!$C$6),1,0)</f>
        <v/>
      </c>
      <c r="AB4122">
        <f>IF(U4122=0,"",IF(Y4122=1,MAX(0,Q4122-G4122),IF(L4122=1,MAX(0,R4122-G4122),MAX(0,Assumptions!$C$6-G4122))))</f>
        <v/>
      </c>
      <c r="AC4122">
        <f>IF(Y4122=1,Q4122-F4122,"")</f>
        <v/>
      </c>
      <c r="AD4122">
        <f>IF(Y4122=1,AC4122^2,"")</f>
        <v/>
      </c>
      <c r="AE4122" s="19">
        <f>IF(Z4122=1,(H4122-M4122)*I4122,0)</f>
        <v/>
      </c>
      <c r="AF4122">
        <f>IF(G4122&lt;EDATE(Assumptions!$C$6,-12)+1,"prior_12m","last_12m")</f>
        <v/>
      </c>
      <c r="AG4122" s="21">
        <f>DATE(YEAR(G4122),MONTH(G4122),1)</f>
        <v/>
      </c>
    </row>
    <row r="4123">
      <c r="A4123" t="inlineStr">
        <is>
          <t>SPO-02198-1</t>
        </is>
      </c>
      <c r="B4123" t="inlineStr">
        <is>
          <t>SPO-02198</t>
        </is>
      </c>
      <c r="C4123" t="inlineStr">
        <is>
          <t>SUP-08</t>
        </is>
      </c>
      <c r="D4123" t="inlineStr">
        <is>
          <t>PPE</t>
        </is>
      </c>
      <c r="E4123" t="inlineStr">
        <is>
          <t>PPE-02</t>
        </is>
      </c>
      <c r="F4123" s="17" t="n">
        <v>46182</v>
      </c>
      <c r="G4123" s="17" t="n">
        <v>46193</v>
      </c>
      <c r="H4123" s="18" t="n">
        <v>163</v>
      </c>
      <c r="I4123" s="19" t="n">
        <v>12.29</v>
      </c>
      <c r="J4123" s="19" t="n">
        <v>12.5</v>
      </c>
      <c r="K4123" s="20" t="n">
        <v>0</v>
      </c>
      <c r="L4123" s="20" t="n">
        <v>0</v>
      </c>
      <c r="M4123" s="18" t="n">
        <v>163</v>
      </c>
      <c r="N4123" s="18" t="n">
        <v>163</v>
      </c>
      <c r="O4123" s="18" t="n">
        <v>0</v>
      </c>
      <c r="P4123" s="17" t="n">
        <v>46190</v>
      </c>
      <c r="Q4123" s="17" t="n">
        <v>46190</v>
      </c>
      <c r="R4123" s="17" t="n">
        <v>46190</v>
      </c>
      <c r="S4123" s="19">
        <f>H4123*I4123</f>
        <v/>
      </c>
      <c r="T4123" s="19">
        <f>H4123*J4123</f>
        <v/>
      </c>
      <c r="U4123">
        <f>IF(AND(K4123=0,G4123&lt;=Assumptions!$C$6),1,0)</f>
        <v/>
      </c>
      <c r="V4123">
        <f>IF(U4123=1,IF(M4123&gt;0,IF(P4123&lt;=G4123+Assumptions!$C$7,1,0),0),0)</f>
        <v/>
      </c>
      <c r="W4123">
        <f>IF(AND(U4123=1,M4123&gt;=H4123*(1-Assumptions!$C$8)),1,0)</f>
        <v/>
      </c>
      <c r="X4123">
        <f>IF(AND(U4123=1,N4123&gt;=H4123*(1-Assumptions!$C$8)),1,0)</f>
        <v/>
      </c>
      <c r="Y4123">
        <f>IF(ISNUMBER(Q4123),1,0)</f>
        <v/>
      </c>
      <c r="Z4123">
        <f>IF(AND(K4123=0,L4123=0,Y4123=0),1,0)</f>
        <v/>
      </c>
      <c r="AA4123">
        <f>IF(AND(Z4123=1,G4123&lt;Assumptions!$C$6),1,0)</f>
        <v/>
      </c>
      <c r="AB4123">
        <f>IF(U4123=0,"",IF(Y4123=1,MAX(0,Q4123-G4123),IF(L4123=1,MAX(0,R4123-G4123),MAX(0,Assumptions!$C$6-G4123))))</f>
        <v/>
      </c>
      <c r="AC4123">
        <f>IF(Y4123=1,Q4123-F4123,"")</f>
        <v/>
      </c>
      <c r="AD4123">
        <f>IF(Y4123=1,AC4123^2,"")</f>
        <v/>
      </c>
      <c r="AE4123" s="19">
        <f>IF(Z4123=1,(H4123-M4123)*I4123,0)</f>
        <v/>
      </c>
      <c r="AF4123">
        <f>IF(G4123&lt;EDATE(Assumptions!$C$6,-12)+1,"prior_12m","last_12m")</f>
        <v/>
      </c>
      <c r="AG4123" s="21">
        <f>DATE(YEAR(G4123),MONTH(G4123),1)</f>
        <v/>
      </c>
    </row>
    <row r="4124">
      <c r="A4124" t="inlineStr">
        <is>
          <t>SPO-02199-1</t>
        </is>
      </c>
      <c r="B4124" t="inlineStr">
        <is>
          <t>SPO-02199</t>
        </is>
      </c>
      <c r="C4124" t="inlineStr">
        <is>
          <t>SUP-11</t>
        </is>
      </c>
      <c r="D4124" t="inlineStr">
        <is>
          <t>PPE</t>
        </is>
      </c>
      <c r="E4124" t="inlineStr">
        <is>
          <t>PPE-08</t>
        </is>
      </c>
      <c r="F4124" s="17" t="n">
        <v>46182</v>
      </c>
      <c r="G4124" s="17" t="n">
        <v>46194</v>
      </c>
      <c r="H4124" s="18" t="n">
        <v>14</v>
      </c>
      <c r="I4124" s="19" t="n">
        <v>64.25</v>
      </c>
      <c r="J4124" s="19" t="n">
        <v>64</v>
      </c>
      <c r="K4124" s="20" t="n">
        <v>0</v>
      </c>
      <c r="L4124" s="20" t="n">
        <v>0</v>
      </c>
      <c r="M4124" s="18" t="n">
        <v>14</v>
      </c>
      <c r="N4124" s="18" t="n">
        <v>14</v>
      </c>
      <c r="O4124" s="18" t="n">
        <v>0</v>
      </c>
      <c r="P4124" s="17" t="n">
        <v>46190</v>
      </c>
      <c r="Q4124" s="17" t="n">
        <v>46190</v>
      </c>
      <c r="R4124" s="17" t="n">
        <v>46190</v>
      </c>
      <c r="S4124" s="19">
        <f>H4124*I4124</f>
        <v/>
      </c>
      <c r="T4124" s="19">
        <f>H4124*J4124</f>
        <v/>
      </c>
      <c r="U4124">
        <f>IF(AND(K4124=0,G4124&lt;=Assumptions!$C$6),1,0)</f>
        <v/>
      </c>
      <c r="V4124">
        <f>IF(U4124=1,IF(M4124&gt;0,IF(P4124&lt;=G4124+Assumptions!$C$7,1,0),0),0)</f>
        <v/>
      </c>
      <c r="W4124">
        <f>IF(AND(U4124=1,M4124&gt;=H4124*(1-Assumptions!$C$8)),1,0)</f>
        <v/>
      </c>
      <c r="X4124">
        <f>IF(AND(U4124=1,N4124&gt;=H4124*(1-Assumptions!$C$8)),1,0)</f>
        <v/>
      </c>
      <c r="Y4124">
        <f>IF(ISNUMBER(Q4124),1,0)</f>
        <v/>
      </c>
      <c r="Z4124">
        <f>IF(AND(K4124=0,L4124=0,Y4124=0),1,0)</f>
        <v/>
      </c>
      <c r="AA4124">
        <f>IF(AND(Z4124=1,G4124&lt;Assumptions!$C$6),1,0)</f>
        <v/>
      </c>
      <c r="AB4124">
        <f>IF(U4124=0,"",IF(Y4124=1,MAX(0,Q4124-G4124),IF(L4124=1,MAX(0,R4124-G4124),MAX(0,Assumptions!$C$6-G4124))))</f>
        <v/>
      </c>
      <c r="AC4124">
        <f>IF(Y4124=1,Q4124-F4124,"")</f>
        <v/>
      </c>
      <c r="AD4124">
        <f>IF(Y4124=1,AC4124^2,"")</f>
        <v/>
      </c>
      <c r="AE4124" s="19">
        <f>IF(Z4124=1,(H4124-M4124)*I4124,0)</f>
        <v/>
      </c>
      <c r="AF4124">
        <f>IF(G4124&lt;EDATE(Assumptions!$C$6,-12)+1,"prior_12m","last_12m")</f>
        <v/>
      </c>
      <c r="AG4124" s="21">
        <f>DATE(YEAR(G4124),MONTH(G4124),1)</f>
        <v/>
      </c>
    </row>
    <row r="4125">
      <c r="A4125" t="inlineStr">
        <is>
          <t>SPO-02200-1</t>
        </is>
      </c>
      <c r="B4125" t="inlineStr">
        <is>
          <t>SPO-02200</t>
        </is>
      </c>
      <c r="C4125" t="inlineStr">
        <is>
          <t>SUP-04</t>
        </is>
      </c>
      <c r="D4125" t="inlineStr">
        <is>
          <t>FLEET</t>
        </is>
      </c>
      <c r="E4125" t="inlineStr">
        <is>
          <t>FLEET-03</t>
        </is>
      </c>
      <c r="F4125" s="17" t="n">
        <v>46183</v>
      </c>
      <c r="G4125" s="17" t="n">
        <v>46196</v>
      </c>
      <c r="H4125" s="18" t="n">
        <v>78</v>
      </c>
      <c r="I4125" s="19" t="n">
        <v>21.23</v>
      </c>
      <c r="J4125" s="19" t="n">
        <v>21</v>
      </c>
      <c r="K4125" s="20" t="n">
        <v>0</v>
      </c>
      <c r="L4125" s="20" t="n">
        <v>0</v>
      </c>
      <c r="M4125" s="18" t="n">
        <v>78</v>
      </c>
      <c r="N4125" s="18" t="n">
        <v>0</v>
      </c>
      <c r="O4125" s="18" t="n">
        <v>0</v>
      </c>
      <c r="P4125" s="17" t="n">
        <v>46198</v>
      </c>
      <c r="Q4125" s="17" t="n">
        <v>46198</v>
      </c>
      <c r="R4125" s="17" t="n">
        <v>46198</v>
      </c>
      <c r="S4125" s="19">
        <f>H4125*I4125</f>
        <v/>
      </c>
      <c r="T4125" s="19">
        <f>H4125*J4125</f>
        <v/>
      </c>
      <c r="U4125">
        <f>IF(AND(K4125=0,G4125&lt;=Assumptions!$C$6),1,0)</f>
        <v/>
      </c>
      <c r="V4125">
        <f>IF(U4125=1,IF(M4125&gt;0,IF(P4125&lt;=G4125+Assumptions!$C$7,1,0),0),0)</f>
        <v/>
      </c>
      <c r="W4125">
        <f>IF(AND(U4125=1,M4125&gt;=H4125*(1-Assumptions!$C$8)),1,0)</f>
        <v/>
      </c>
      <c r="X4125">
        <f>IF(AND(U4125=1,N4125&gt;=H4125*(1-Assumptions!$C$8)),1,0)</f>
        <v/>
      </c>
      <c r="Y4125">
        <f>IF(ISNUMBER(Q4125),1,0)</f>
        <v/>
      </c>
      <c r="Z4125">
        <f>IF(AND(K4125=0,L4125=0,Y4125=0),1,0)</f>
        <v/>
      </c>
      <c r="AA4125">
        <f>IF(AND(Z4125=1,G4125&lt;Assumptions!$C$6),1,0)</f>
        <v/>
      </c>
      <c r="AB4125">
        <f>IF(U4125=0,"",IF(Y4125=1,MAX(0,Q4125-G4125),IF(L4125=1,MAX(0,R4125-G4125),MAX(0,Assumptions!$C$6-G4125))))</f>
        <v/>
      </c>
      <c r="AC4125">
        <f>IF(Y4125=1,Q4125-F4125,"")</f>
        <v/>
      </c>
      <c r="AD4125">
        <f>IF(Y4125=1,AC4125^2,"")</f>
        <v/>
      </c>
      <c r="AE4125" s="19">
        <f>IF(Z4125=1,(H4125-M4125)*I4125,0)</f>
        <v/>
      </c>
      <c r="AF4125">
        <f>IF(G4125&lt;EDATE(Assumptions!$C$6,-12)+1,"prior_12m","last_12m")</f>
        <v/>
      </c>
      <c r="AG4125" s="21">
        <f>DATE(YEAR(G4125),MONTH(G4125),1)</f>
        <v/>
      </c>
    </row>
    <row r="4126">
      <c r="A4126" t="inlineStr">
        <is>
          <t>SPO-02201-1</t>
        </is>
      </c>
      <c r="B4126" t="inlineStr">
        <is>
          <t>SPO-02201</t>
        </is>
      </c>
      <c r="C4126" t="inlineStr">
        <is>
          <t>SUP-06</t>
        </is>
      </c>
      <c r="D4126" t="inlineStr">
        <is>
          <t>MRO</t>
        </is>
      </c>
      <c r="E4126" t="inlineStr">
        <is>
          <t>MRO-08</t>
        </is>
      </c>
      <c r="F4126" s="17" t="n">
        <v>46183</v>
      </c>
      <c r="G4126" s="17" t="n">
        <v>46191</v>
      </c>
      <c r="H4126" s="18" t="n">
        <v>126</v>
      </c>
      <c r="I4126" s="19" t="n">
        <v>7.14</v>
      </c>
      <c r="J4126" s="19" t="n">
        <v>7.2</v>
      </c>
      <c r="K4126" s="20" t="n">
        <v>0</v>
      </c>
      <c r="L4126" s="20" t="n">
        <v>0</v>
      </c>
      <c r="M4126" s="18" t="n">
        <v>126</v>
      </c>
      <c r="N4126" s="18" t="n">
        <v>126</v>
      </c>
      <c r="O4126" s="18" t="n">
        <v>0</v>
      </c>
      <c r="P4126" s="17" t="n">
        <v>46188</v>
      </c>
      <c r="Q4126" s="17" t="n">
        <v>46188</v>
      </c>
      <c r="R4126" s="17" t="n">
        <v>46188</v>
      </c>
      <c r="S4126" s="19">
        <f>H4126*I4126</f>
        <v/>
      </c>
      <c r="T4126" s="19">
        <f>H4126*J4126</f>
        <v/>
      </c>
      <c r="U4126">
        <f>IF(AND(K4126=0,G4126&lt;=Assumptions!$C$6),1,0)</f>
        <v/>
      </c>
      <c r="V4126">
        <f>IF(U4126=1,IF(M4126&gt;0,IF(P4126&lt;=G4126+Assumptions!$C$7,1,0),0),0)</f>
        <v/>
      </c>
      <c r="W4126">
        <f>IF(AND(U4126=1,M4126&gt;=H4126*(1-Assumptions!$C$8)),1,0)</f>
        <v/>
      </c>
      <c r="X4126">
        <f>IF(AND(U4126=1,N4126&gt;=H4126*(1-Assumptions!$C$8)),1,0)</f>
        <v/>
      </c>
      <c r="Y4126">
        <f>IF(ISNUMBER(Q4126),1,0)</f>
        <v/>
      </c>
      <c r="Z4126">
        <f>IF(AND(K4126=0,L4126=0,Y4126=0),1,0)</f>
        <v/>
      </c>
      <c r="AA4126">
        <f>IF(AND(Z4126=1,G4126&lt;Assumptions!$C$6),1,0)</f>
        <v/>
      </c>
      <c r="AB4126">
        <f>IF(U4126=0,"",IF(Y4126=1,MAX(0,Q4126-G4126),IF(L4126=1,MAX(0,R4126-G4126),MAX(0,Assumptions!$C$6-G4126))))</f>
        <v/>
      </c>
      <c r="AC4126">
        <f>IF(Y4126=1,Q4126-F4126,"")</f>
        <v/>
      </c>
      <c r="AD4126">
        <f>IF(Y4126=1,AC4126^2,"")</f>
        <v/>
      </c>
      <c r="AE4126" s="19">
        <f>IF(Z4126=1,(H4126-M4126)*I4126,0)</f>
        <v/>
      </c>
      <c r="AF4126">
        <f>IF(G4126&lt;EDATE(Assumptions!$C$6,-12)+1,"prior_12m","last_12m")</f>
        <v/>
      </c>
      <c r="AG4126" s="21">
        <f>DATE(YEAR(G4126),MONTH(G4126),1)</f>
        <v/>
      </c>
    </row>
    <row r="4127">
      <c r="A4127" t="inlineStr">
        <is>
          <t>SPO-02202-1</t>
        </is>
      </c>
      <c r="B4127" t="inlineStr">
        <is>
          <t>SPO-02202</t>
        </is>
      </c>
      <c r="C4127" t="inlineStr">
        <is>
          <t>SUP-02</t>
        </is>
      </c>
      <c r="D4127" t="inlineStr">
        <is>
          <t>ELEC</t>
        </is>
      </c>
      <c r="E4127" t="inlineStr">
        <is>
          <t>ELEC-05</t>
        </is>
      </c>
      <c r="F4127" s="17" t="n">
        <v>46183</v>
      </c>
      <c r="G4127" s="17" t="n">
        <v>46199</v>
      </c>
      <c r="H4127" s="18" t="n">
        <v>146</v>
      </c>
      <c r="I4127" s="19" t="n">
        <v>11.36</v>
      </c>
      <c r="J4127" s="19" t="n">
        <v>11.5</v>
      </c>
      <c r="K4127" s="20" t="n">
        <v>0</v>
      </c>
      <c r="L4127" s="20" t="n">
        <v>0</v>
      </c>
      <c r="M4127" s="18" t="n">
        <v>146</v>
      </c>
      <c r="N4127" s="18" t="n">
        <v>146</v>
      </c>
      <c r="O4127" s="18" t="n">
        <v>17</v>
      </c>
      <c r="P4127" s="17" t="n">
        <v>46194</v>
      </c>
      <c r="Q4127" s="17" t="n">
        <v>46194</v>
      </c>
      <c r="R4127" s="17" t="n">
        <v>46194</v>
      </c>
      <c r="S4127" s="19">
        <f>H4127*I4127</f>
        <v/>
      </c>
      <c r="T4127" s="19">
        <f>H4127*J4127</f>
        <v/>
      </c>
      <c r="U4127">
        <f>IF(AND(K4127=0,G4127&lt;=Assumptions!$C$6),1,0)</f>
        <v/>
      </c>
      <c r="V4127">
        <f>IF(U4127=1,IF(M4127&gt;0,IF(P4127&lt;=G4127+Assumptions!$C$7,1,0),0),0)</f>
        <v/>
      </c>
      <c r="W4127">
        <f>IF(AND(U4127=1,M4127&gt;=H4127*(1-Assumptions!$C$8)),1,0)</f>
        <v/>
      </c>
      <c r="X4127">
        <f>IF(AND(U4127=1,N4127&gt;=H4127*(1-Assumptions!$C$8)),1,0)</f>
        <v/>
      </c>
      <c r="Y4127">
        <f>IF(ISNUMBER(Q4127),1,0)</f>
        <v/>
      </c>
      <c r="Z4127">
        <f>IF(AND(K4127=0,L4127=0,Y4127=0),1,0)</f>
        <v/>
      </c>
      <c r="AA4127">
        <f>IF(AND(Z4127=1,G4127&lt;Assumptions!$C$6),1,0)</f>
        <v/>
      </c>
      <c r="AB4127">
        <f>IF(U4127=0,"",IF(Y4127=1,MAX(0,Q4127-G4127),IF(L4127=1,MAX(0,R4127-G4127),MAX(0,Assumptions!$C$6-G4127))))</f>
        <v/>
      </c>
      <c r="AC4127">
        <f>IF(Y4127=1,Q4127-F4127,"")</f>
        <v/>
      </c>
      <c r="AD4127">
        <f>IF(Y4127=1,AC4127^2,"")</f>
        <v/>
      </c>
      <c r="AE4127" s="19">
        <f>IF(Z4127=1,(H4127-M4127)*I4127,0)</f>
        <v/>
      </c>
      <c r="AF4127">
        <f>IF(G4127&lt;EDATE(Assumptions!$C$6,-12)+1,"prior_12m","last_12m")</f>
        <v/>
      </c>
      <c r="AG4127" s="21">
        <f>DATE(YEAR(G4127),MONTH(G4127),1)</f>
        <v/>
      </c>
    </row>
    <row r="4128">
      <c r="A4128" t="inlineStr">
        <is>
          <t>SPO-02202-2</t>
        </is>
      </c>
      <c r="B4128" t="inlineStr">
        <is>
          <t>SPO-02202</t>
        </is>
      </c>
      <c r="C4128" t="inlineStr">
        <is>
          <t>SUP-02</t>
        </is>
      </c>
      <c r="D4128" t="inlineStr">
        <is>
          <t>ELEC</t>
        </is>
      </c>
      <c r="E4128" t="inlineStr">
        <is>
          <t>ELEC-07</t>
        </is>
      </c>
      <c r="F4128" s="17" t="n">
        <v>46183</v>
      </c>
      <c r="G4128" s="17" t="n">
        <v>46199</v>
      </c>
      <c r="H4128" s="18" t="n">
        <v>251</v>
      </c>
      <c r="I4128" s="19" t="n">
        <v>9.529999999999999</v>
      </c>
      <c r="J4128" s="19" t="n">
        <v>9.800000000000001</v>
      </c>
      <c r="K4128" s="20" t="n">
        <v>0</v>
      </c>
      <c r="L4128" s="20" t="n">
        <v>0</v>
      </c>
      <c r="M4128" s="18" t="n">
        <v>251</v>
      </c>
      <c r="N4128" s="18" t="n">
        <v>251</v>
      </c>
      <c r="O4128" s="18" t="n">
        <v>0</v>
      </c>
      <c r="P4128" s="17" t="n">
        <v>46195</v>
      </c>
      <c r="Q4128" s="17" t="n">
        <v>46195</v>
      </c>
      <c r="R4128" s="17" t="n">
        <v>46195</v>
      </c>
      <c r="S4128" s="19">
        <f>H4128*I4128</f>
        <v/>
      </c>
      <c r="T4128" s="19">
        <f>H4128*J4128</f>
        <v/>
      </c>
      <c r="U4128">
        <f>IF(AND(K4128=0,G4128&lt;=Assumptions!$C$6),1,0)</f>
        <v/>
      </c>
      <c r="V4128">
        <f>IF(U4128=1,IF(M4128&gt;0,IF(P4128&lt;=G4128+Assumptions!$C$7,1,0),0),0)</f>
        <v/>
      </c>
      <c r="W4128">
        <f>IF(AND(U4128=1,M4128&gt;=H4128*(1-Assumptions!$C$8)),1,0)</f>
        <v/>
      </c>
      <c r="X4128">
        <f>IF(AND(U4128=1,N4128&gt;=H4128*(1-Assumptions!$C$8)),1,0)</f>
        <v/>
      </c>
      <c r="Y4128">
        <f>IF(ISNUMBER(Q4128),1,0)</f>
        <v/>
      </c>
      <c r="Z4128">
        <f>IF(AND(K4128=0,L4128=0,Y4128=0),1,0)</f>
        <v/>
      </c>
      <c r="AA4128">
        <f>IF(AND(Z4128=1,G4128&lt;Assumptions!$C$6),1,0)</f>
        <v/>
      </c>
      <c r="AB4128">
        <f>IF(U4128=0,"",IF(Y4128=1,MAX(0,Q4128-G4128),IF(L4128=1,MAX(0,R4128-G4128),MAX(0,Assumptions!$C$6-G4128))))</f>
        <v/>
      </c>
      <c r="AC4128">
        <f>IF(Y4128=1,Q4128-F4128,"")</f>
        <v/>
      </c>
      <c r="AD4128">
        <f>IF(Y4128=1,AC4128^2,"")</f>
        <v/>
      </c>
      <c r="AE4128" s="19">
        <f>IF(Z4128=1,(H4128-M4128)*I4128,0)</f>
        <v/>
      </c>
      <c r="AF4128">
        <f>IF(G4128&lt;EDATE(Assumptions!$C$6,-12)+1,"prior_12m","last_12m")</f>
        <v/>
      </c>
      <c r="AG4128" s="21">
        <f>DATE(YEAR(G4128),MONTH(G4128),1)</f>
        <v/>
      </c>
    </row>
    <row r="4129">
      <c r="A4129" t="inlineStr">
        <is>
          <t>SPO-02202-3</t>
        </is>
      </c>
      <c r="B4129" t="inlineStr">
        <is>
          <t>SPO-02202</t>
        </is>
      </c>
      <c r="C4129" t="inlineStr">
        <is>
          <t>SUP-02</t>
        </is>
      </c>
      <c r="D4129" t="inlineStr">
        <is>
          <t>ELEC</t>
        </is>
      </c>
      <c r="E4129" t="inlineStr">
        <is>
          <t>ELEC-02</t>
        </is>
      </c>
      <c r="F4129" s="17" t="n">
        <v>46183</v>
      </c>
      <c r="G4129" s="17" t="n">
        <v>46199</v>
      </c>
      <c r="H4129" s="18" t="n">
        <v>232</v>
      </c>
      <c r="I4129" s="19" t="n">
        <v>4.38</v>
      </c>
      <c r="J4129" s="19" t="n">
        <v>4.2</v>
      </c>
      <c r="K4129" s="20" t="n">
        <v>0</v>
      </c>
      <c r="L4129" s="20" t="n">
        <v>0</v>
      </c>
      <c r="M4129" s="18" t="n">
        <v>232</v>
      </c>
      <c r="N4129" s="18" t="n">
        <v>232</v>
      </c>
      <c r="O4129" s="18" t="n">
        <v>0</v>
      </c>
      <c r="P4129" s="17" t="n">
        <v>46198</v>
      </c>
      <c r="Q4129" s="17" t="n">
        <v>46198</v>
      </c>
      <c r="R4129" s="17" t="n">
        <v>46198</v>
      </c>
      <c r="S4129" s="19">
        <f>H4129*I4129</f>
        <v/>
      </c>
      <c r="T4129" s="19">
        <f>H4129*J4129</f>
        <v/>
      </c>
      <c r="U4129">
        <f>IF(AND(K4129=0,G4129&lt;=Assumptions!$C$6),1,0)</f>
        <v/>
      </c>
      <c r="V4129">
        <f>IF(U4129=1,IF(M4129&gt;0,IF(P4129&lt;=G4129+Assumptions!$C$7,1,0),0),0)</f>
        <v/>
      </c>
      <c r="W4129">
        <f>IF(AND(U4129=1,M4129&gt;=H4129*(1-Assumptions!$C$8)),1,0)</f>
        <v/>
      </c>
      <c r="X4129">
        <f>IF(AND(U4129=1,N4129&gt;=H4129*(1-Assumptions!$C$8)),1,0)</f>
        <v/>
      </c>
      <c r="Y4129">
        <f>IF(ISNUMBER(Q4129),1,0)</f>
        <v/>
      </c>
      <c r="Z4129">
        <f>IF(AND(K4129=0,L4129=0,Y4129=0),1,0)</f>
        <v/>
      </c>
      <c r="AA4129">
        <f>IF(AND(Z4129=1,G4129&lt;Assumptions!$C$6),1,0)</f>
        <v/>
      </c>
      <c r="AB4129">
        <f>IF(U4129=0,"",IF(Y4129=1,MAX(0,Q4129-G4129),IF(L4129=1,MAX(0,R4129-G4129),MAX(0,Assumptions!$C$6-G4129))))</f>
        <v/>
      </c>
      <c r="AC4129">
        <f>IF(Y4129=1,Q4129-F4129,"")</f>
        <v/>
      </c>
      <c r="AD4129">
        <f>IF(Y4129=1,AC4129^2,"")</f>
        <v/>
      </c>
      <c r="AE4129" s="19">
        <f>IF(Z4129=1,(H4129-M4129)*I4129,0)</f>
        <v/>
      </c>
      <c r="AF4129">
        <f>IF(G4129&lt;EDATE(Assumptions!$C$6,-12)+1,"prior_12m","last_12m")</f>
        <v/>
      </c>
      <c r="AG4129" s="21">
        <f>DATE(YEAR(G4129),MONTH(G4129),1)</f>
        <v/>
      </c>
    </row>
    <row r="4130">
      <c r="A4130" t="inlineStr">
        <is>
          <t>SPO-02203-1</t>
        </is>
      </c>
      <c r="B4130" t="inlineStr">
        <is>
          <t>SPO-02203</t>
        </is>
      </c>
      <c r="C4130" t="inlineStr">
        <is>
          <t>SUP-11</t>
        </is>
      </c>
      <c r="D4130" t="inlineStr">
        <is>
          <t>PPE</t>
        </is>
      </c>
      <c r="E4130" t="inlineStr">
        <is>
          <t>PPE-04</t>
        </is>
      </c>
      <c r="F4130" s="17" t="n">
        <v>46183</v>
      </c>
      <c r="G4130" s="17" t="n">
        <v>46195</v>
      </c>
      <c r="H4130" s="18" t="n">
        <v>62</v>
      </c>
      <c r="I4130" s="19" t="n">
        <v>25.87</v>
      </c>
      <c r="J4130" s="19" t="n">
        <v>26</v>
      </c>
      <c r="K4130" s="20" t="n">
        <v>0</v>
      </c>
      <c r="L4130" s="20" t="n">
        <v>0</v>
      </c>
      <c r="M4130" s="18" t="n">
        <v>62</v>
      </c>
      <c r="N4130" s="18" t="n">
        <v>62</v>
      </c>
      <c r="O4130" s="18" t="n">
        <v>0</v>
      </c>
      <c r="P4130" s="17" t="n">
        <v>46192</v>
      </c>
      <c r="Q4130" s="17" t="n">
        <v>46192</v>
      </c>
      <c r="R4130" s="17" t="n">
        <v>46192</v>
      </c>
      <c r="S4130" s="19">
        <f>H4130*I4130</f>
        <v/>
      </c>
      <c r="T4130" s="19">
        <f>H4130*J4130</f>
        <v/>
      </c>
      <c r="U4130">
        <f>IF(AND(K4130=0,G4130&lt;=Assumptions!$C$6),1,0)</f>
        <v/>
      </c>
      <c r="V4130">
        <f>IF(U4130=1,IF(M4130&gt;0,IF(P4130&lt;=G4130+Assumptions!$C$7,1,0),0),0)</f>
        <v/>
      </c>
      <c r="W4130">
        <f>IF(AND(U4130=1,M4130&gt;=H4130*(1-Assumptions!$C$8)),1,0)</f>
        <v/>
      </c>
      <c r="X4130">
        <f>IF(AND(U4130=1,N4130&gt;=H4130*(1-Assumptions!$C$8)),1,0)</f>
        <v/>
      </c>
      <c r="Y4130">
        <f>IF(ISNUMBER(Q4130),1,0)</f>
        <v/>
      </c>
      <c r="Z4130">
        <f>IF(AND(K4130=0,L4130=0,Y4130=0),1,0)</f>
        <v/>
      </c>
      <c r="AA4130">
        <f>IF(AND(Z4130=1,G4130&lt;Assumptions!$C$6),1,0)</f>
        <v/>
      </c>
      <c r="AB4130">
        <f>IF(U4130=0,"",IF(Y4130=1,MAX(0,Q4130-G4130),IF(L4130=1,MAX(0,R4130-G4130),MAX(0,Assumptions!$C$6-G4130))))</f>
        <v/>
      </c>
      <c r="AC4130">
        <f>IF(Y4130=1,Q4130-F4130,"")</f>
        <v/>
      </c>
      <c r="AD4130">
        <f>IF(Y4130=1,AC4130^2,"")</f>
        <v/>
      </c>
      <c r="AE4130" s="19">
        <f>IF(Z4130=1,(H4130-M4130)*I4130,0)</f>
        <v/>
      </c>
      <c r="AF4130">
        <f>IF(G4130&lt;EDATE(Assumptions!$C$6,-12)+1,"prior_12m","last_12m")</f>
        <v/>
      </c>
      <c r="AG4130" s="21">
        <f>DATE(YEAR(G4130),MONTH(G4130),1)</f>
        <v/>
      </c>
    </row>
    <row r="4131">
      <c r="A4131" t="inlineStr">
        <is>
          <t>SPO-02204-1</t>
        </is>
      </c>
      <c r="B4131" t="inlineStr">
        <is>
          <t>SPO-02204</t>
        </is>
      </c>
      <c r="C4131" t="inlineStr">
        <is>
          <t>SUP-12</t>
        </is>
      </c>
      <c r="D4131" t="inlineStr">
        <is>
          <t>IT</t>
        </is>
      </c>
      <c r="E4131" t="inlineStr">
        <is>
          <t>IT-05</t>
        </is>
      </c>
      <c r="F4131" s="17" t="n">
        <v>46183</v>
      </c>
      <c r="G4131" s="17" t="n">
        <v>46193</v>
      </c>
      <c r="H4131" s="18" t="n">
        <v>1</v>
      </c>
      <c r="I4131" s="19" t="n">
        <v>712.37</v>
      </c>
      <c r="J4131" s="19" t="n">
        <v>640</v>
      </c>
      <c r="K4131" s="20" t="n">
        <v>0</v>
      </c>
      <c r="L4131" s="20" t="n">
        <v>0</v>
      </c>
      <c r="M4131" s="18" t="n">
        <v>1</v>
      </c>
      <c r="N4131" s="18" t="n">
        <v>1</v>
      </c>
      <c r="O4131" s="18" t="n">
        <v>0</v>
      </c>
      <c r="P4131" s="17" t="n">
        <v>46193</v>
      </c>
      <c r="Q4131" s="17" t="n">
        <v>46193</v>
      </c>
      <c r="R4131" s="17" t="n">
        <v>46193</v>
      </c>
      <c r="S4131" s="19">
        <f>H4131*I4131</f>
        <v/>
      </c>
      <c r="T4131" s="19">
        <f>H4131*J4131</f>
        <v/>
      </c>
      <c r="U4131">
        <f>IF(AND(K4131=0,G4131&lt;=Assumptions!$C$6),1,0)</f>
        <v/>
      </c>
      <c r="V4131">
        <f>IF(U4131=1,IF(M4131&gt;0,IF(P4131&lt;=G4131+Assumptions!$C$7,1,0),0),0)</f>
        <v/>
      </c>
      <c r="W4131">
        <f>IF(AND(U4131=1,M4131&gt;=H4131*(1-Assumptions!$C$8)),1,0)</f>
        <v/>
      </c>
      <c r="X4131">
        <f>IF(AND(U4131=1,N4131&gt;=H4131*(1-Assumptions!$C$8)),1,0)</f>
        <v/>
      </c>
      <c r="Y4131">
        <f>IF(ISNUMBER(Q4131),1,0)</f>
        <v/>
      </c>
      <c r="Z4131">
        <f>IF(AND(K4131=0,L4131=0,Y4131=0),1,0)</f>
        <v/>
      </c>
      <c r="AA4131">
        <f>IF(AND(Z4131=1,G4131&lt;Assumptions!$C$6),1,0)</f>
        <v/>
      </c>
      <c r="AB4131">
        <f>IF(U4131=0,"",IF(Y4131=1,MAX(0,Q4131-G4131),IF(L4131=1,MAX(0,R4131-G4131),MAX(0,Assumptions!$C$6-G4131))))</f>
        <v/>
      </c>
      <c r="AC4131">
        <f>IF(Y4131=1,Q4131-F4131,"")</f>
        <v/>
      </c>
      <c r="AD4131">
        <f>IF(Y4131=1,AC4131^2,"")</f>
        <v/>
      </c>
      <c r="AE4131" s="19">
        <f>IF(Z4131=1,(H4131-M4131)*I4131,0)</f>
        <v/>
      </c>
      <c r="AF4131">
        <f>IF(G4131&lt;EDATE(Assumptions!$C$6,-12)+1,"prior_12m","last_12m")</f>
        <v/>
      </c>
      <c r="AG4131" s="21">
        <f>DATE(YEAR(G4131),MONTH(G4131),1)</f>
        <v/>
      </c>
    </row>
    <row r="4132">
      <c r="A4132" t="inlineStr">
        <is>
          <t>SPO-02205-1</t>
        </is>
      </c>
      <c r="B4132" t="inlineStr">
        <is>
          <t>SPO-02205</t>
        </is>
      </c>
      <c r="C4132" t="inlineStr">
        <is>
          <t>SUP-01</t>
        </is>
      </c>
      <c r="D4132" t="inlineStr">
        <is>
          <t>ELEC</t>
        </is>
      </c>
      <c r="E4132" t="inlineStr">
        <is>
          <t>ELEC-03</t>
        </is>
      </c>
      <c r="F4132" s="17" t="n">
        <v>46183</v>
      </c>
      <c r="G4132" s="17" t="n">
        <v>46201</v>
      </c>
      <c r="H4132" s="18" t="n">
        <v>27</v>
      </c>
      <c r="I4132" s="19" t="n">
        <v>96.73999999999999</v>
      </c>
      <c r="J4132" s="19" t="n">
        <v>96</v>
      </c>
      <c r="K4132" s="20" t="n">
        <v>0</v>
      </c>
      <c r="L4132" s="20" t="n">
        <v>0</v>
      </c>
      <c r="M4132" s="18" t="n">
        <v>27</v>
      </c>
      <c r="N4132" s="18" t="n">
        <v>0</v>
      </c>
      <c r="O4132" s="18" t="n">
        <v>0</v>
      </c>
      <c r="P4132" s="17" t="n">
        <v>46202</v>
      </c>
      <c r="Q4132" s="17" t="n">
        <v>46202</v>
      </c>
      <c r="R4132" s="17" t="n">
        <v>46202</v>
      </c>
      <c r="S4132" s="19">
        <f>H4132*I4132</f>
        <v/>
      </c>
      <c r="T4132" s="19">
        <f>H4132*J4132</f>
        <v/>
      </c>
      <c r="U4132">
        <f>IF(AND(K4132=0,G4132&lt;=Assumptions!$C$6),1,0)</f>
        <v/>
      </c>
      <c r="V4132">
        <f>IF(U4132=1,IF(M4132&gt;0,IF(P4132&lt;=G4132+Assumptions!$C$7,1,0),0),0)</f>
        <v/>
      </c>
      <c r="W4132">
        <f>IF(AND(U4132=1,M4132&gt;=H4132*(1-Assumptions!$C$8)),1,0)</f>
        <v/>
      </c>
      <c r="X4132">
        <f>IF(AND(U4132=1,N4132&gt;=H4132*(1-Assumptions!$C$8)),1,0)</f>
        <v/>
      </c>
      <c r="Y4132">
        <f>IF(ISNUMBER(Q4132),1,0)</f>
        <v/>
      </c>
      <c r="Z4132">
        <f>IF(AND(K4132=0,L4132=0,Y4132=0),1,0)</f>
        <v/>
      </c>
      <c r="AA4132">
        <f>IF(AND(Z4132=1,G4132&lt;Assumptions!$C$6),1,0)</f>
        <v/>
      </c>
      <c r="AB4132">
        <f>IF(U4132=0,"",IF(Y4132=1,MAX(0,Q4132-G4132),IF(L4132=1,MAX(0,R4132-G4132),MAX(0,Assumptions!$C$6-G4132))))</f>
        <v/>
      </c>
      <c r="AC4132">
        <f>IF(Y4132=1,Q4132-F4132,"")</f>
        <v/>
      </c>
      <c r="AD4132">
        <f>IF(Y4132=1,AC4132^2,"")</f>
        <v/>
      </c>
      <c r="AE4132" s="19">
        <f>IF(Z4132=1,(H4132-M4132)*I4132,0)</f>
        <v/>
      </c>
      <c r="AF4132">
        <f>IF(G4132&lt;EDATE(Assumptions!$C$6,-12)+1,"prior_12m","last_12m")</f>
        <v/>
      </c>
      <c r="AG4132" s="21">
        <f>DATE(YEAR(G4132),MONTH(G4132),1)</f>
        <v/>
      </c>
    </row>
    <row r="4133">
      <c r="A4133" t="inlineStr">
        <is>
          <t>SPO-02205-2</t>
        </is>
      </c>
      <c r="B4133" t="inlineStr">
        <is>
          <t>SPO-02205</t>
        </is>
      </c>
      <c r="C4133" t="inlineStr">
        <is>
          <t>SUP-01</t>
        </is>
      </c>
      <c r="D4133" t="inlineStr">
        <is>
          <t>ELEC</t>
        </is>
      </c>
      <c r="E4133" t="inlineStr">
        <is>
          <t>ELEC-01</t>
        </is>
      </c>
      <c r="F4133" s="17" t="n">
        <v>46183</v>
      </c>
      <c r="G4133" s="17" t="n">
        <v>46201</v>
      </c>
      <c r="H4133" s="18" t="n">
        <v>83</v>
      </c>
      <c r="I4133" s="19" t="n">
        <v>36.47</v>
      </c>
      <c r="J4133" s="19" t="n">
        <v>38</v>
      </c>
      <c r="K4133" s="20" t="n">
        <v>0</v>
      </c>
      <c r="L4133" s="20" t="n">
        <v>0</v>
      </c>
      <c r="M4133" s="18" t="n">
        <v>83</v>
      </c>
      <c r="N4133" s="18" t="n">
        <v>0</v>
      </c>
      <c r="O4133" s="18" t="n">
        <v>0</v>
      </c>
      <c r="P4133" s="17" t="n">
        <v>46202</v>
      </c>
      <c r="Q4133" s="17" t="n">
        <v>46202</v>
      </c>
      <c r="R4133" s="17" t="n">
        <v>46202</v>
      </c>
      <c r="S4133" s="19">
        <f>H4133*I4133</f>
        <v/>
      </c>
      <c r="T4133" s="19">
        <f>H4133*J4133</f>
        <v/>
      </c>
      <c r="U4133">
        <f>IF(AND(K4133=0,G4133&lt;=Assumptions!$C$6),1,0)</f>
        <v/>
      </c>
      <c r="V4133">
        <f>IF(U4133=1,IF(M4133&gt;0,IF(P4133&lt;=G4133+Assumptions!$C$7,1,0),0),0)</f>
        <v/>
      </c>
      <c r="W4133">
        <f>IF(AND(U4133=1,M4133&gt;=H4133*(1-Assumptions!$C$8)),1,0)</f>
        <v/>
      </c>
      <c r="X4133">
        <f>IF(AND(U4133=1,N4133&gt;=H4133*(1-Assumptions!$C$8)),1,0)</f>
        <v/>
      </c>
      <c r="Y4133">
        <f>IF(ISNUMBER(Q4133),1,0)</f>
        <v/>
      </c>
      <c r="Z4133">
        <f>IF(AND(K4133=0,L4133=0,Y4133=0),1,0)</f>
        <v/>
      </c>
      <c r="AA4133">
        <f>IF(AND(Z4133=1,G4133&lt;Assumptions!$C$6),1,0)</f>
        <v/>
      </c>
      <c r="AB4133">
        <f>IF(U4133=0,"",IF(Y4133=1,MAX(0,Q4133-G4133),IF(L4133=1,MAX(0,R4133-G4133),MAX(0,Assumptions!$C$6-G4133))))</f>
        <v/>
      </c>
      <c r="AC4133">
        <f>IF(Y4133=1,Q4133-F4133,"")</f>
        <v/>
      </c>
      <c r="AD4133">
        <f>IF(Y4133=1,AC4133^2,"")</f>
        <v/>
      </c>
      <c r="AE4133" s="19">
        <f>IF(Z4133=1,(H4133-M4133)*I4133,0)</f>
        <v/>
      </c>
      <c r="AF4133">
        <f>IF(G4133&lt;EDATE(Assumptions!$C$6,-12)+1,"prior_12m","last_12m")</f>
        <v/>
      </c>
      <c r="AG4133" s="21">
        <f>DATE(YEAR(G4133),MONTH(G4133),1)</f>
        <v/>
      </c>
    </row>
    <row r="4134">
      <c r="A4134" t="inlineStr">
        <is>
          <t>SPO-02206-1</t>
        </is>
      </c>
      <c r="B4134" t="inlineStr">
        <is>
          <t>SPO-02206</t>
        </is>
      </c>
      <c r="C4134" t="inlineStr">
        <is>
          <t>SUP-12</t>
        </is>
      </c>
      <c r="D4134" t="inlineStr">
        <is>
          <t>IT</t>
        </is>
      </c>
      <c r="E4134" t="inlineStr">
        <is>
          <t>IT-04</t>
        </is>
      </c>
      <c r="F4134" s="17" t="n">
        <v>46183</v>
      </c>
      <c r="G4134" s="17" t="n">
        <v>46193</v>
      </c>
      <c r="H4134" s="18" t="n">
        <v>132</v>
      </c>
      <c r="I4134" s="19" t="n">
        <v>13.85</v>
      </c>
      <c r="J4134" s="19" t="n">
        <v>12</v>
      </c>
      <c r="K4134" s="20" t="n">
        <v>0</v>
      </c>
      <c r="L4134" s="20" t="n">
        <v>0</v>
      </c>
      <c r="M4134" s="18" t="n">
        <v>132</v>
      </c>
      <c r="N4134" s="18" t="n">
        <v>132</v>
      </c>
      <c r="O4134" s="18" t="n">
        <v>0</v>
      </c>
      <c r="P4134" s="17" t="n">
        <v>46191</v>
      </c>
      <c r="Q4134" s="17" t="n">
        <v>46191</v>
      </c>
      <c r="R4134" s="17" t="n">
        <v>46191</v>
      </c>
      <c r="S4134" s="19">
        <f>H4134*I4134</f>
        <v/>
      </c>
      <c r="T4134" s="19">
        <f>H4134*J4134</f>
        <v/>
      </c>
      <c r="U4134">
        <f>IF(AND(K4134=0,G4134&lt;=Assumptions!$C$6),1,0)</f>
        <v/>
      </c>
      <c r="V4134">
        <f>IF(U4134=1,IF(M4134&gt;0,IF(P4134&lt;=G4134+Assumptions!$C$7,1,0),0),0)</f>
        <v/>
      </c>
      <c r="W4134">
        <f>IF(AND(U4134=1,M4134&gt;=H4134*(1-Assumptions!$C$8)),1,0)</f>
        <v/>
      </c>
      <c r="X4134">
        <f>IF(AND(U4134=1,N4134&gt;=H4134*(1-Assumptions!$C$8)),1,0)</f>
        <v/>
      </c>
      <c r="Y4134">
        <f>IF(ISNUMBER(Q4134),1,0)</f>
        <v/>
      </c>
      <c r="Z4134">
        <f>IF(AND(K4134=0,L4134=0,Y4134=0),1,0)</f>
        <v/>
      </c>
      <c r="AA4134">
        <f>IF(AND(Z4134=1,G4134&lt;Assumptions!$C$6),1,0)</f>
        <v/>
      </c>
      <c r="AB4134">
        <f>IF(U4134=0,"",IF(Y4134=1,MAX(0,Q4134-G4134),IF(L4134=1,MAX(0,R4134-G4134),MAX(0,Assumptions!$C$6-G4134))))</f>
        <v/>
      </c>
      <c r="AC4134">
        <f>IF(Y4134=1,Q4134-F4134,"")</f>
        <v/>
      </c>
      <c r="AD4134">
        <f>IF(Y4134=1,AC4134^2,"")</f>
        <v/>
      </c>
      <c r="AE4134" s="19">
        <f>IF(Z4134=1,(H4134-M4134)*I4134,0)</f>
        <v/>
      </c>
      <c r="AF4134">
        <f>IF(G4134&lt;EDATE(Assumptions!$C$6,-12)+1,"prior_12m","last_12m")</f>
        <v/>
      </c>
      <c r="AG4134" s="21">
        <f>DATE(YEAR(G4134),MONTH(G4134),1)</f>
        <v/>
      </c>
    </row>
    <row r="4135">
      <c r="A4135" t="inlineStr">
        <is>
          <t>SPO-02206-2</t>
        </is>
      </c>
      <c r="B4135" t="inlineStr">
        <is>
          <t>SPO-02206</t>
        </is>
      </c>
      <c r="C4135" t="inlineStr">
        <is>
          <t>SUP-12</t>
        </is>
      </c>
      <c r="D4135" t="inlineStr">
        <is>
          <t>IT</t>
        </is>
      </c>
      <c r="E4135" t="inlineStr">
        <is>
          <t>IT-07</t>
        </is>
      </c>
      <c r="F4135" s="17" t="n">
        <v>46183</v>
      </c>
      <c r="G4135" s="17" t="n">
        <v>46193</v>
      </c>
      <c r="H4135" s="18" t="n">
        <v>15</v>
      </c>
      <c r="I4135" s="19" t="n">
        <v>88.09</v>
      </c>
      <c r="J4135" s="19" t="n">
        <v>74</v>
      </c>
      <c r="K4135" s="20" t="n">
        <v>0</v>
      </c>
      <c r="L4135" s="20" t="n">
        <v>0</v>
      </c>
      <c r="M4135" s="18" t="n">
        <v>15</v>
      </c>
      <c r="N4135" s="18" t="n">
        <v>15</v>
      </c>
      <c r="O4135" s="18" t="n">
        <v>0</v>
      </c>
      <c r="P4135" s="17" t="n">
        <v>46192</v>
      </c>
      <c r="Q4135" s="17" t="n">
        <v>46192</v>
      </c>
      <c r="R4135" s="17" t="n">
        <v>46192</v>
      </c>
      <c r="S4135" s="19">
        <f>H4135*I4135</f>
        <v/>
      </c>
      <c r="T4135" s="19">
        <f>H4135*J4135</f>
        <v/>
      </c>
      <c r="U4135">
        <f>IF(AND(K4135=0,G4135&lt;=Assumptions!$C$6),1,0)</f>
        <v/>
      </c>
      <c r="V4135">
        <f>IF(U4135=1,IF(M4135&gt;0,IF(P4135&lt;=G4135+Assumptions!$C$7,1,0),0),0)</f>
        <v/>
      </c>
      <c r="W4135">
        <f>IF(AND(U4135=1,M4135&gt;=H4135*(1-Assumptions!$C$8)),1,0)</f>
        <v/>
      </c>
      <c r="X4135">
        <f>IF(AND(U4135=1,N4135&gt;=H4135*(1-Assumptions!$C$8)),1,0)</f>
        <v/>
      </c>
      <c r="Y4135">
        <f>IF(ISNUMBER(Q4135),1,0)</f>
        <v/>
      </c>
      <c r="Z4135">
        <f>IF(AND(K4135=0,L4135=0,Y4135=0),1,0)</f>
        <v/>
      </c>
      <c r="AA4135">
        <f>IF(AND(Z4135=1,G4135&lt;Assumptions!$C$6),1,0)</f>
        <v/>
      </c>
      <c r="AB4135">
        <f>IF(U4135=0,"",IF(Y4135=1,MAX(0,Q4135-G4135),IF(L4135=1,MAX(0,R4135-G4135),MAX(0,Assumptions!$C$6-G4135))))</f>
        <v/>
      </c>
      <c r="AC4135">
        <f>IF(Y4135=1,Q4135-F4135,"")</f>
        <v/>
      </c>
      <c r="AD4135">
        <f>IF(Y4135=1,AC4135^2,"")</f>
        <v/>
      </c>
      <c r="AE4135" s="19">
        <f>IF(Z4135=1,(H4135-M4135)*I4135,0)</f>
        <v/>
      </c>
      <c r="AF4135">
        <f>IF(G4135&lt;EDATE(Assumptions!$C$6,-12)+1,"prior_12m","last_12m")</f>
        <v/>
      </c>
      <c r="AG4135" s="21">
        <f>DATE(YEAR(G4135),MONTH(G4135),1)</f>
        <v/>
      </c>
    </row>
    <row r="4136">
      <c r="A4136" t="inlineStr">
        <is>
          <t>SPO-02206-3</t>
        </is>
      </c>
      <c r="B4136" t="inlineStr">
        <is>
          <t>SPO-02206</t>
        </is>
      </c>
      <c r="C4136" t="inlineStr">
        <is>
          <t>SUP-12</t>
        </is>
      </c>
      <c r="D4136" t="inlineStr">
        <is>
          <t>IT</t>
        </is>
      </c>
      <c r="E4136" t="inlineStr">
        <is>
          <t>IT-01</t>
        </is>
      </c>
      <c r="F4136" s="17" t="n">
        <v>46183</v>
      </c>
      <c r="G4136" s="17" t="n">
        <v>46193</v>
      </c>
      <c r="H4136" s="18" t="n">
        <v>7</v>
      </c>
      <c r="I4136" s="19" t="n">
        <v>210.76</v>
      </c>
      <c r="J4136" s="19" t="n">
        <v>189</v>
      </c>
      <c r="K4136" s="20" t="n">
        <v>0</v>
      </c>
      <c r="L4136" s="20" t="n">
        <v>0</v>
      </c>
      <c r="M4136" s="18" t="n">
        <v>7</v>
      </c>
      <c r="N4136" s="18" t="n">
        <v>7</v>
      </c>
      <c r="O4136" s="18" t="n">
        <v>0</v>
      </c>
      <c r="P4136" s="17" t="n">
        <v>46188</v>
      </c>
      <c r="Q4136" s="17" t="n">
        <v>46188</v>
      </c>
      <c r="R4136" s="17" t="n">
        <v>46188</v>
      </c>
      <c r="S4136" s="19">
        <f>H4136*I4136</f>
        <v/>
      </c>
      <c r="T4136" s="19">
        <f>H4136*J4136</f>
        <v/>
      </c>
      <c r="U4136">
        <f>IF(AND(K4136=0,G4136&lt;=Assumptions!$C$6),1,0)</f>
        <v/>
      </c>
      <c r="V4136">
        <f>IF(U4136=1,IF(M4136&gt;0,IF(P4136&lt;=G4136+Assumptions!$C$7,1,0),0),0)</f>
        <v/>
      </c>
      <c r="W4136">
        <f>IF(AND(U4136=1,M4136&gt;=H4136*(1-Assumptions!$C$8)),1,0)</f>
        <v/>
      </c>
      <c r="X4136">
        <f>IF(AND(U4136=1,N4136&gt;=H4136*(1-Assumptions!$C$8)),1,0)</f>
        <v/>
      </c>
      <c r="Y4136">
        <f>IF(ISNUMBER(Q4136),1,0)</f>
        <v/>
      </c>
      <c r="Z4136">
        <f>IF(AND(K4136=0,L4136=0,Y4136=0),1,0)</f>
        <v/>
      </c>
      <c r="AA4136">
        <f>IF(AND(Z4136=1,G4136&lt;Assumptions!$C$6),1,0)</f>
        <v/>
      </c>
      <c r="AB4136">
        <f>IF(U4136=0,"",IF(Y4136=1,MAX(0,Q4136-G4136),IF(L4136=1,MAX(0,R4136-G4136),MAX(0,Assumptions!$C$6-G4136))))</f>
        <v/>
      </c>
      <c r="AC4136">
        <f>IF(Y4136=1,Q4136-F4136,"")</f>
        <v/>
      </c>
      <c r="AD4136">
        <f>IF(Y4136=1,AC4136^2,"")</f>
        <v/>
      </c>
      <c r="AE4136" s="19">
        <f>IF(Z4136=1,(H4136-M4136)*I4136,0)</f>
        <v/>
      </c>
      <c r="AF4136">
        <f>IF(G4136&lt;EDATE(Assumptions!$C$6,-12)+1,"prior_12m","last_12m")</f>
        <v/>
      </c>
      <c r="AG4136" s="21">
        <f>DATE(YEAR(G4136),MONTH(G4136),1)</f>
        <v/>
      </c>
    </row>
    <row r="4137">
      <c r="A4137" t="inlineStr">
        <is>
          <t>SPO-02207-1</t>
        </is>
      </c>
      <c r="B4137" t="inlineStr">
        <is>
          <t>SPO-02207</t>
        </is>
      </c>
      <c r="C4137" t="inlineStr">
        <is>
          <t>SUP-14</t>
        </is>
      </c>
      <c r="D4137" t="inlineStr">
        <is>
          <t>FLEET</t>
        </is>
      </c>
      <c r="E4137" t="inlineStr">
        <is>
          <t>FLEET-08</t>
        </is>
      </c>
      <c r="F4137" s="17" t="n">
        <v>46184</v>
      </c>
      <c r="G4137" s="17" t="n">
        <v>46198</v>
      </c>
      <c r="H4137" s="18" t="n">
        <v>153</v>
      </c>
      <c r="I4137" s="19" t="n">
        <v>6.21</v>
      </c>
      <c r="J4137" s="19" t="n">
        <v>6.4</v>
      </c>
      <c r="K4137" s="20" t="n">
        <v>0</v>
      </c>
      <c r="L4137" s="20" t="n">
        <v>0</v>
      </c>
      <c r="M4137" s="18" t="n">
        <v>153</v>
      </c>
      <c r="N4137" s="18" t="n">
        <v>153</v>
      </c>
      <c r="O4137" s="18" t="n">
        <v>0</v>
      </c>
      <c r="P4137" s="17" t="n">
        <v>46196</v>
      </c>
      <c r="Q4137" s="17" t="n">
        <v>46196</v>
      </c>
      <c r="R4137" s="17" t="n">
        <v>46196</v>
      </c>
      <c r="S4137" s="19">
        <f>H4137*I4137</f>
        <v/>
      </c>
      <c r="T4137" s="19">
        <f>H4137*J4137</f>
        <v/>
      </c>
      <c r="U4137">
        <f>IF(AND(K4137=0,G4137&lt;=Assumptions!$C$6),1,0)</f>
        <v/>
      </c>
      <c r="V4137">
        <f>IF(U4137=1,IF(M4137&gt;0,IF(P4137&lt;=G4137+Assumptions!$C$7,1,0),0),0)</f>
        <v/>
      </c>
      <c r="W4137">
        <f>IF(AND(U4137=1,M4137&gt;=H4137*(1-Assumptions!$C$8)),1,0)</f>
        <v/>
      </c>
      <c r="X4137">
        <f>IF(AND(U4137=1,N4137&gt;=H4137*(1-Assumptions!$C$8)),1,0)</f>
        <v/>
      </c>
      <c r="Y4137">
        <f>IF(ISNUMBER(Q4137),1,0)</f>
        <v/>
      </c>
      <c r="Z4137">
        <f>IF(AND(K4137=0,L4137=0,Y4137=0),1,0)</f>
        <v/>
      </c>
      <c r="AA4137">
        <f>IF(AND(Z4137=1,G4137&lt;Assumptions!$C$6),1,0)</f>
        <v/>
      </c>
      <c r="AB4137">
        <f>IF(U4137=0,"",IF(Y4137=1,MAX(0,Q4137-G4137),IF(L4137=1,MAX(0,R4137-G4137),MAX(0,Assumptions!$C$6-G4137))))</f>
        <v/>
      </c>
      <c r="AC4137">
        <f>IF(Y4137=1,Q4137-F4137,"")</f>
        <v/>
      </c>
      <c r="AD4137">
        <f>IF(Y4137=1,AC4137^2,"")</f>
        <v/>
      </c>
      <c r="AE4137" s="19">
        <f>IF(Z4137=1,(H4137-M4137)*I4137,0)</f>
        <v/>
      </c>
      <c r="AF4137">
        <f>IF(G4137&lt;EDATE(Assumptions!$C$6,-12)+1,"prior_12m","last_12m")</f>
        <v/>
      </c>
      <c r="AG4137" s="21">
        <f>DATE(YEAR(G4137),MONTH(G4137),1)</f>
        <v/>
      </c>
    </row>
    <row r="4138">
      <c r="A4138" t="inlineStr">
        <is>
          <t>SPO-02208-1</t>
        </is>
      </c>
      <c r="B4138" t="inlineStr">
        <is>
          <t>SPO-02208</t>
        </is>
      </c>
      <c r="C4138" t="inlineStr">
        <is>
          <t>SUP-04</t>
        </is>
      </c>
      <c r="D4138" t="inlineStr">
        <is>
          <t>FLEET</t>
        </is>
      </c>
      <c r="E4138" t="inlineStr">
        <is>
          <t>FLEET-02</t>
        </is>
      </c>
      <c r="F4138" s="17" t="n">
        <v>46184</v>
      </c>
      <c r="G4138" s="17" t="n">
        <v>46197</v>
      </c>
      <c r="H4138" s="18" t="n">
        <v>504</v>
      </c>
      <c r="I4138" s="19" t="n">
        <v>7.57</v>
      </c>
      <c r="J4138" s="19" t="n">
        <v>7.5</v>
      </c>
      <c r="K4138" s="20" t="n">
        <v>0</v>
      </c>
      <c r="L4138" s="20" t="n">
        <v>0</v>
      </c>
      <c r="M4138" s="18" t="n">
        <v>504</v>
      </c>
      <c r="N4138" s="18" t="n">
        <v>504</v>
      </c>
      <c r="O4138" s="18" t="n">
        <v>0</v>
      </c>
      <c r="P4138" s="17" t="n">
        <v>46193</v>
      </c>
      <c r="Q4138" s="17" t="n">
        <v>46193</v>
      </c>
      <c r="R4138" s="17" t="n">
        <v>46193</v>
      </c>
      <c r="S4138" s="19">
        <f>H4138*I4138</f>
        <v/>
      </c>
      <c r="T4138" s="19">
        <f>H4138*J4138</f>
        <v/>
      </c>
      <c r="U4138">
        <f>IF(AND(K4138=0,G4138&lt;=Assumptions!$C$6),1,0)</f>
        <v/>
      </c>
      <c r="V4138">
        <f>IF(U4138=1,IF(M4138&gt;0,IF(P4138&lt;=G4138+Assumptions!$C$7,1,0),0),0)</f>
        <v/>
      </c>
      <c r="W4138">
        <f>IF(AND(U4138=1,M4138&gt;=H4138*(1-Assumptions!$C$8)),1,0)</f>
        <v/>
      </c>
      <c r="X4138">
        <f>IF(AND(U4138=1,N4138&gt;=H4138*(1-Assumptions!$C$8)),1,0)</f>
        <v/>
      </c>
      <c r="Y4138">
        <f>IF(ISNUMBER(Q4138),1,0)</f>
        <v/>
      </c>
      <c r="Z4138">
        <f>IF(AND(K4138=0,L4138=0,Y4138=0),1,0)</f>
        <v/>
      </c>
      <c r="AA4138">
        <f>IF(AND(Z4138=1,G4138&lt;Assumptions!$C$6),1,0)</f>
        <v/>
      </c>
      <c r="AB4138">
        <f>IF(U4138=0,"",IF(Y4138=1,MAX(0,Q4138-G4138),IF(L4138=1,MAX(0,R4138-G4138),MAX(0,Assumptions!$C$6-G4138))))</f>
        <v/>
      </c>
      <c r="AC4138">
        <f>IF(Y4138=1,Q4138-F4138,"")</f>
        <v/>
      </c>
      <c r="AD4138">
        <f>IF(Y4138=1,AC4138^2,"")</f>
        <v/>
      </c>
      <c r="AE4138" s="19">
        <f>IF(Z4138=1,(H4138-M4138)*I4138,0)</f>
        <v/>
      </c>
      <c r="AF4138">
        <f>IF(G4138&lt;EDATE(Assumptions!$C$6,-12)+1,"prior_12m","last_12m")</f>
        <v/>
      </c>
      <c r="AG4138" s="21">
        <f>DATE(YEAR(G4138),MONTH(G4138),1)</f>
        <v/>
      </c>
    </row>
    <row r="4139">
      <c r="A4139" t="inlineStr">
        <is>
          <t>SPO-02209-1</t>
        </is>
      </c>
      <c r="B4139" t="inlineStr">
        <is>
          <t>SPO-02209</t>
        </is>
      </c>
      <c r="C4139" t="inlineStr">
        <is>
          <t>SUP-10</t>
        </is>
      </c>
      <c r="D4139" t="inlineStr">
        <is>
          <t>PPE</t>
        </is>
      </c>
      <c r="E4139" t="inlineStr">
        <is>
          <t>PPE-04</t>
        </is>
      </c>
      <c r="F4139" s="17" t="n">
        <v>46184</v>
      </c>
      <c r="G4139" s="17" t="n">
        <v>46197</v>
      </c>
      <c r="H4139" s="18" t="n">
        <v>20</v>
      </c>
      <c r="I4139" s="19" t="n">
        <v>24.56</v>
      </c>
      <c r="J4139" s="19" t="n">
        <v>26</v>
      </c>
      <c r="K4139" s="20" t="n">
        <v>0</v>
      </c>
      <c r="L4139" s="20" t="n">
        <v>0</v>
      </c>
      <c r="M4139" s="18" t="n">
        <v>20</v>
      </c>
      <c r="N4139" s="18" t="n">
        <v>20</v>
      </c>
      <c r="O4139" s="18" t="n">
        <v>0</v>
      </c>
      <c r="P4139" s="17" t="n">
        <v>46195</v>
      </c>
      <c r="Q4139" s="17" t="n">
        <v>46195</v>
      </c>
      <c r="R4139" s="17" t="n">
        <v>46195</v>
      </c>
      <c r="S4139" s="19">
        <f>H4139*I4139</f>
        <v/>
      </c>
      <c r="T4139" s="19">
        <f>H4139*J4139</f>
        <v/>
      </c>
      <c r="U4139">
        <f>IF(AND(K4139=0,G4139&lt;=Assumptions!$C$6),1,0)</f>
        <v/>
      </c>
      <c r="V4139">
        <f>IF(U4139=1,IF(M4139&gt;0,IF(P4139&lt;=G4139+Assumptions!$C$7,1,0),0),0)</f>
        <v/>
      </c>
      <c r="W4139">
        <f>IF(AND(U4139=1,M4139&gt;=H4139*(1-Assumptions!$C$8)),1,0)</f>
        <v/>
      </c>
      <c r="X4139">
        <f>IF(AND(U4139=1,N4139&gt;=H4139*(1-Assumptions!$C$8)),1,0)</f>
        <v/>
      </c>
      <c r="Y4139">
        <f>IF(ISNUMBER(Q4139),1,0)</f>
        <v/>
      </c>
      <c r="Z4139">
        <f>IF(AND(K4139=0,L4139=0,Y4139=0),1,0)</f>
        <v/>
      </c>
      <c r="AA4139">
        <f>IF(AND(Z4139=1,G4139&lt;Assumptions!$C$6),1,0)</f>
        <v/>
      </c>
      <c r="AB4139">
        <f>IF(U4139=0,"",IF(Y4139=1,MAX(0,Q4139-G4139),IF(L4139=1,MAX(0,R4139-G4139),MAX(0,Assumptions!$C$6-G4139))))</f>
        <v/>
      </c>
      <c r="AC4139">
        <f>IF(Y4139=1,Q4139-F4139,"")</f>
        <v/>
      </c>
      <c r="AD4139">
        <f>IF(Y4139=1,AC4139^2,"")</f>
        <v/>
      </c>
      <c r="AE4139" s="19">
        <f>IF(Z4139=1,(H4139-M4139)*I4139,0)</f>
        <v/>
      </c>
      <c r="AF4139">
        <f>IF(G4139&lt;EDATE(Assumptions!$C$6,-12)+1,"prior_12m","last_12m")</f>
        <v/>
      </c>
      <c r="AG4139" s="21">
        <f>DATE(YEAR(G4139),MONTH(G4139),1)</f>
        <v/>
      </c>
    </row>
    <row r="4140">
      <c r="A4140" t="inlineStr">
        <is>
          <t>SPO-02209-2</t>
        </is>
      </c>
      <c r="B4140" t="inlineStr">
        <is>
          <t>SPO-02209</t>
        </is>
      </c>
      <c r="C4140" t="inlineStr">
        <is>
          <t>SUP-10</t>
        </is>
      </c>
      <c r="D4140" t="inlineStr">
        <is>
          <t>PPE</t>
        </is>
      </c>
      <c r="E4140" t="inlineStr">
        <is>
          <t>PPE-05</t>
        </is>
      </c>
      <c r="F4140" s="17" t="n">
        <v>46184</v>
      </c>
      <c r="G4140" s="17" t="n">
        <v>46197</v>
      </c>
      <c r="H4140" s="18" t="n">
        <v>310</v>
      </c>
      <c r="I4140" s="19" t="n">
        <v>10.78</v>
      </c>
      <c r="J4140" s="19" t="n">
        <v>11</v>
      </c>
      <c r="K4140" s="20" t="n">
        <v>0</v>
      </c>
      <c r="L4140" s="20" t="n">
        <v>0</v>
      </c>
      <c r="M4140" s="18" t="n">
        <v>310</v>
      </c>
      <c r="N4140" s="18" t="n">
        <v>310</v>
      </c>
      <c r="O4140" s="18" t="n">
        <v>0</v>
      </c>
      <c r="P4140" s="17" t="n">
        <v>46192</v>
      </c>
      <c r="Q4140" s="17" t="n">
        <v>46192</v>
      </c>
      <c r="R4140" s="17" t="n">
        <v>46192</v>
      </c>
      <c r="S4140" s="19">
        <f>H4140*I4140</f>
        <v/>
      </c>
      <c r="T4140" s="19">
        <f>H4140*J4140</f>
        <v/>
      </c>
      <c r="U4140">
        <f>IF(AND(K4140=0,G4140&lt;=Assumptions!$C$6),1,0)</f>
        <v/>
      </c>
      <c r="V4140">
        <f>IF(U4140=1,IF(M4140&gt;0,IF(P4140&lt;=G4140+Assumptions!$C$7,1,0),0),0)</f>
        <v/>
      </c>
      <c r="W4140">
        <f>IF(AND(U4140=1,M4140&gt;=H4140*(1-Assumptions!$C$8)),1,0)</f>
        <v/>
      </c>
      <c r="X4140">
        <f>IF(AND(U4140=1,N4140&gt;=H4140*(1-Assumptions!$C$8)),1,0)</f>
        <v/>
      </c>
      <c r="Y4140">
        <f>IF(ISNUMBER(Q4140),1,0)</f>
        <v/>
      </c>
      <c r="Z4140">
        <f>IF(AND(K4140=0,L4140=0,Y4140=0),1,0)</f>
        <v/>
      </c>
      <c r="AA4140">
        <f>IF(AND(Z4140=1,G4140&lt;Assumptions!$C$6),1,0)</f>
        <v/>
      </c>
      <c r="AB4140">
        <f>IF(U4140=0,"",IF(Y4140=1,MAX(0,Q4140-G4140),IF(L4140=1,MAX(0,R4140-G4140),MAX(0,Assumptions!$C$6-G4140))))</f>
        <v/>
      </c>
      <c r="AC4140">
        <f>IF(Y4140=1,Q4140-F4140,"")</f>
        <v/>
      </c>
      <c r="AD4140">
        <f>IF(Y4140=1,AC4140^2,"")</f>
        <v/>
      </c>
      <c r="AE4140" s="19">
        <f>IF(Z4140=1,(H4140-M4140)*I4140,0)</f>
        <v/>
      </c>
      <c r="AF4140">
        <f>IF(G4140&lt;EDATE(Assumptions!$C$6,-12)+1,"prior_12m","last_12m")</f>
        <v/>
      </c>
      <c r="AG4140" s="21">
        <f>DATE(YEAR(G4140),MONTH(G4140),1)</f>
        <v/>
      </c>
    </row>
    <row r="4141">
      <c r="A4141" t="inlineStr">
        <is>
          <t>SPO-02210-1</t>
        </is>
      </c>
      <c r="B4141" t="inlineStr">
        <is>
          <t>SPO-02210</t>
        </is>
      </c>
      <c r="C4141" t="inlineStr">
        <is>
          <t>SUP-06</t>
        </is>
      </c>
      <c r="D4141" t="inlineStr">
        <is>
          <t>MRO</t>
        </is>
      </c>
      <c r="E4141" t="inlineStr">
        <is>
          <t>MRO-07</t>
        </is>
      </c>
      <c r="F4141" s="17" t="n">
        <v>46184</v>
      </c>
      <c r="G4141" s="17" t="n">
        <v>46192</v>
      </c>
      <c r="H4141" s="18" t="n">
        <v>71</v>
      </c>
      <c r="I4141" s="19" t="n">
        <v>13.8</v>
      </c>
      <c r="J4141" s="19" t="n">
        <v>14</v>
      </c>
      <c r="K4141" s="20" t="n">
        <v>0</v>
      </c>
      <c r="L4141" s="20" t="n">
        <v>0</v>
      </c>
      <c r="M4141" s="18" t="n">
        <v>71</v>
      </c>
      <c r="N4141" s="18" t="n">
        <v>71</v>
      </c>
      <c r="O4141" s="18" t="n">
        <v>0</v>
      </c>
      <c r="P4141" s="17" t="n">
        <v>46190</v>
      </c>
      <c r="Q4141" s="17" t="n">
        <v>46190</v>
      </c>
      <c r="R4141" s="17" t="n">
        <v>46190</v>
      </c>
      <c r="S4141" s="19">
        <f>H4141*I4141</f>
        <v/>
      </c>
      <c r="T4141" s="19">
        <f>H4141*J4141</f>
        <v/>
      </c>
      <c r="U4141">
        <f>IF(AND(K4141=0,G4141&lt;=Assumptions!$C$6),1,0)</f>
        <v/>
      </c>
      <c r="V4141">
        <f>IF(U4141=1,IF(M4141&gt;0,IF(P4141&lt;=G4141+Assumptions!$C$7,1,0),0),0)</f>
        <v/>
      </c>
      <c r="W4141">
        <f>IF(AND(U4141=1,M4141&gt;=H4141*(1-Assumptions!$C$8)),1,0)</f>
        <v/>
      </c>
      <c r="X4141">
        <f>IF(AND(U4141=1,N4141&gt;=H4141*(1-Assumptions!$C$8)),1,0)</f>
        <v/>
      </c>
      <c r="Y4141">
        <f>IF(ISNUMBER(Q4141),1,0)</f>
        <v/>
      </c>
      <c r="Z4141">
        <f>IF(AND(K4141=0,L4141=0,Y4141=0),1,0)</f>
        <v/>
      </c>
      <c r="AA4141">
        <f>IF(AND(Z4141=1,G4141&lt;Assumptions!$C$6),1,0)</f>
        <v/>
      </c>
      <c r="AB4141">
        <f>IF(U4141=0,"",IF(Y4141=1,MAX(0,Q4141-G4141),IF(L4141=1,MAX(0,R4141-G4141),MAX(0,Assumptions!$C$6-G4141))))</f>
        <v/>
      </c>
      <c r="AC4141">
        <f>IF(Y4141=1,Q4141-F4141,"")</f>
        <v/>
      </c>
      <c r="AD4141">
        <f>IF(Y4141=1,AC4141^2,"")</f>
        <v/>
      </c>
      <c r="AE4141" s="19">
        <f>IF(Z4141=1,(H4141-M4141)*I4141,0)</f>
        <v/>
      </c>
      <c r="AF4141">
        <f>IF(G4141&lt;EDATE(Assumptions!$C$6,-12)+1,"prior_12m","last_12m")</f>
        <v/>
      </c>
      <c r="AG4141" s="21">
        <f>DATE(YEAR(G4141),MONTH(G4141),1)</f>
        <v/>
      </c>
    </row>
    <row r="4142">
      <c r="A4142" t="inlineStr">
        <is>
          <t>SPO-02210-2</t>
        </is>
      </c>
      <c r="B4142" t="inlineStr">
        <is>
          <t>SPO-02210</t>
        </is>
      </c>
      <c r="C4142" t="inlineStr">
        <is>
          <t>SUP-06</t>
        </is>
      </c>
      <c r="D4142" t="inlineStr">
        <is>
          <t>MRO</t>
        </is>
      </c>
      <c r="E4142" t="inlineStr">
        <is>
          <t>MRO-02</t>
        </is>
      </c>
      <c r="F4142" s="17" t="n">
        <v>46184</v>
      </c>
      <c r="G4142" s="17" t="n">
        <v>46192</v>
      </c>
      <c r="H4142" s="18" t="n">
        <v>16</v>
      </c>
      <c r="I4142" s="19" t="n">
        <v>39.31</v>
      </c>
      <c r="J4142" s="19" t="n">
        <v>41</v>
      </c>
      <c r="K4142" s="20" t="n">
        <v>0</v>
      </c>
      <c r="L4142" s="20" t="n">
        <v>0</v>
      </c>
      <c r="M4142" s="18" t="n">
        <v>16</v>
      </c>
      <c r="N4142" s="18" t="n">
        <v>16</v>
      </c>
      <c r="O4142" s="18" t="n">
        <v>0</v>
      </c>
      <c r="P4142" s="17" t="n">
        <v>46191</v>
      </c>
      <c r="Q4142" s="17" t="n">
        <v>46191</v>
      </c>
      <c r="R4142" s="17" t="n">
        <v>46191</v>
      </c>
      <c r="S4142" s="19">
        <f>H4142*I4142</f>
        <v/>
      </c>
      <c r="T4142" s="19">
        <f>H4142*J4142</f>
        <v/>
      </c>
      <c r="U4142">
        <f>IF(AND(K4142=0,G4142&lt;=Assumptions!$C$6),1,0)</f>
        <v/>
      </c>
      <c r="V4142">
        <f>IF(U4142=1,IF(M4142&gt;0,IF(P4142&lt;=G4142+Assumptions!$C$7,1,0),0),0)</f>
        <v/>
      </c>
      <c r="W4142">
        <f>IF(AND(U4142=1,M4142&gt;=H4142*(1-Assumptions!$C$8)),1,0)</f>
        <v/>
      </c>
      <c r="X4142">
        <f>IF(AND(U4142=1,N4142&gt;=H4142*(1-Assumptions!$C$8)),1,0)</f>
        <v/>
      </c>
      <c r="Y4142">
        <f>IF(ISNUMBER(Q4142),1,0)</f>
        <v/>
      </c>
      <c r="Z4142">
        <f>IF(AND(K4142=0,L4142=0,Y4142=0),1,0)</f>
        <v/>
      </c>
      <c r="AA4142">
        <f>IF(AND(Z4142=1,G4142&lt;Assumptions!$C$6),1,0)</f>
        <v/>
      </c>
      <c r="AB4142">
        <f>IF(U4142=0,"",IF(Y4142=1,MAX(0,Q4142-G4142),IF(L4142=1,MAX(0,R4142-G4142),MAX(0,Assumptions!$C$6-G4142))))</f>
        <v/>
      </c>
      <c r="AC4142">
        <f>IF(Y4142=1,Q4142-F4142,"")</f>
        <v/>
      </c>
      <c r="AD4142">
        <f>IF(Y4142=1,AC4142^2,"")</f>
        <v/>
      </c>
      <c r="AE4142" s="19">
        <f>IF(Z4142=1,(H4142-M4142)*I4142,0)</f>
        <v/>
      </c>
      <c r="AF4142">
        <f>IF(G4142&lt;EDATE(Assumptions!$C$6,-12)+1,"prior_12m","last_12m")</f>
        <v/>
      </c>
      <c r="AG4142" s="21">
        <f>DATE(YEAR(G4142),MONTH(G4142),1)</f>
        <v/>
      </c>
    </row>
    <row r="4143">
      <c r="A4143" t="inlineStr">
        <is>
          <t>SPO-02211-1</t>
        </is>
      </c>
      <c r="B4143" t="inlineStr">
        <is>
          <t>SPO-02211</t>
        </is>
      </c>
      <c r="C4143" t="inlineStr">
        <is>
          <t>SUP-01</t>
        </is>
      </c>
      <c r="D4143" t="inlineStr">
        <is>
          <t>ELEC</t>
        </is>
      </c>
      <c r="E4143" t="inlineStr">
        <is>
          <t>ELEC-08</t>
        </is>
      </c>
      <c r="F4143" s="17" t="n">
        <v>46184</v>
      </c>
      <c r="G4143" s="17" t="n">
        <v>46202</v>
      </c>
      <c r="H4143" s="18" t="n">
        <v>136</v>
      </c>
      <c r="I4143" s="19" t="n">
        <v>19.21</v>
      </c>
      <c r="J4143" s="19" t="n">
        <v>18</v>
      </c>
      <c r="K4143" s="20" t="n">
        <v>0</v>
      </c>
      <c r="L4143" s="20" t="n">
        <v>0</v>
      </c>
      <c r="M4143" s="18" t="n">
        <v>136</v>
      </c>
      <c r="N4143" s="18" t="n">
        <v>136</v>
      </c>
      <c r="O4143" s="18" t="n">
        <v>0</v>
      </c>
      <c r="P4143" s="17" t="n">
        <v>46197</v>
      </c>
      <c r="Q4143" s="17" t="n">
        <v>46197</v>
      </c>
      <c r="R4143" s="17" t="n">
        <v>46197</v>
      </c>
      <c r="S4143" s="19">
        <f>H4143*I4143</f>
        <v/>
      </c>
      <c r="T4143" s="19">
        <f>H4143*J4143</f>
        <v/>
      </c>
      <c r="U4143">
        <f>IF(AND(K4143=0,G4143&lt;=Assumptions!$C$6),1,0)</f>
        <v/>
      </c>
      <c r="V4143">
        <f>IF(U4143=1,IF(M4143&gt;0,IF(P4143&lt;=G4143+Assumptions!$C$7,1,0),0),0)</f>
        <v/>
      </c>
      <c r="W4143">
        <f>IF(AND(U4143=1,M4143&gt;=H4143*(1-Assumptions!$C$8)),1,0)</f>
        <v/>
      </c>
      <c r="X4143">
        <f>IF(AND(U4143=1,N4143&gt;=H4143*(1-Assumptions!$C$8)),1,0)</f>
        <v/>
      </c>
      <c r="Y4143">
        <f>IF(ISNUMBER(Q4143),1,0)</f>
        <v/>
      </c>
      <c r="Z4143">
        <f>IF(AND(K4143=0,L4143=0,Y4143=0),1,0)</f>
        <v/>
      </c>
      <c r="AA4143">
        <f>IF(AND(Z4143=1,G4143&lt;Assumptions!$C$6),1,0)</f>
        <v/>
      </c>
      <c r="AB4143">
        <f>IF(U4143=0,"",IF(Y4143=1,MAX(0,Q4143-G4143),IF(L4143=1,MAX(0,R4143-G4143),MAX(0,Assumptions!$C$6-G4143))))</f>
        <v/>
      </c>
      <c r="AC4143">
        <f>IF(Y4143=1,Q4143-F4143,"")</f>
        <v/>
      </c>
      <c r="AD4143">
        <f>IF(Y4143=1,AC4143^2,"")</f>
        <v/>
      </c>
      <c r="AE4143" s="19">
        <f>IF(Z4143=1,(H4143-M4143)*I4143,0)</f>
        <v/>
      </c>
      <c r="AF4143">
        <f>IF(G4143&lt;EDATE(Assumptions!$C$6,-12)+1,"prior_12m","last_12m")</f>
        <v/>
      </c>
      <c r="AG4143" s="21">
        <f>DATE(YEAR(G4143),MONTH(G4143),1)</f>
        <v/>
      </c>
    </row>
    <row r="4144">
      <c r="A4144" t="inlineStr">
        <is>
          <t>SPO-02211-2</t>
        </is>
      </c>
      <c r="B4144" t="inlineStr">
        <is>
          <t>SPO-02211</t>
        </is>
      </c>
      <c r="C4144" t="inlineStr">
        <is>
          <t>SUP-01</t>
        </is>
      </c>
      <c r="D4144" t="inlineStr">
        <is>
          <t>ELEC</t>
        </is>
      </c>
      <c r="E4144" t="inlineStr">
        <is>
          <t>ELEC-05</t>
        </is>
      </c>
      <c r="F4144" s="17" t="n">
        <v>46184</v>
      </c>
      <c r="G4144" s="17" t="n">
        <v>46202</v>
      </c>
      <c r="H4144" s="18" t="n">
        <v>128</v>
      </c>
      <c r="I4144" s="19" t="n">
        <v>11.61</v>
      </c>
      <c r="J4144" s="19" t="n">
        <v>11.5</v>
      </c>
      <c r="K4144" s="20" t="n">
        <v>0</v>
      </c>
      <c r="L4144" s="20" t="n">
        <v>0</v>
      </c>
      <c r="M4144" s="18" t="n">
        <v>128</v>
      </c>
      <c r="N4144" s="18" t="n">
        <v>0</v>
      </c>
      <c r="O4144" s="18" t="n">
        <v>0</v>
      </c>
      <c r="P4144" s="17" t="n">
        <v>46212</v>
      </c>
      <c r="Q4144" s="17" t="n">
        <v>46212</v>
      </c>
      <c r="R4144" s="17" t="n">
        <v>46212</v>
      </c>
      <c r="S4144" s="19">
        <f>H4144*I4144</f>
        <v/>
      </c>
      <c r="T4144" s="19">
        <f>H4144*J4144</f>
        <v/>
      </c>
      <c r="U4144">
        <f>IF(AND(K4144=0,G4144&lt;=Assumptions!$C$6),1,0)</f>
        <v/>
      </c>
      <c r="V4144">
        <f>IF(U4144=1,IF(M4144&gt;0,IF(P4144&lt;=G4144+Assumptions!$C$7,1,0),0),0)</f>
        <v/>
      </c>
      <c r="W4144">
        <f>IF(AND(U4144=1,M4144&gt;=H4144*(1-Assumptions!$C$8)),1,0)</f>
        <v/>
      </c>
      <c r="X4144">
        <f>IF(AND(U4144=1,N4144&gt;=H4144*(1-Assumptions!$C$8)),1,0)</f>
        <v/>
      </c>
      <c r="Y4144">
        <f>IF(ISNUMBER(Q4144),1,0)</f>
        <v/>
      </c>
      <c r="Z4144">
        <f>IF(AND(K4144=0,L4144=0,Y4144=0),1,0)</f>
        <v/>
      </c>
      <c r="AA4144">
        <f>IF(AND(Z4144=1,G4144&lt;Assumptions!$C$6),1,0)</f>
        <v/>
      </c>
      <c r="AB4144">
        <f>IF(U4144=0,"",IF(Y4144=1,MAX(0,Q4144-G4144),IF(L4144=1,MAX(0,R4144-G4144),MAX(0,Assumptions!$C$6-G4144))))</f>
        <v/>
      </c>
      <c r="AC4144">
        <f>IF(Y4144=1,Q4144-F4144,"")</f>
        <v/>
      </c>
      <c r="AD4144">
        <f>IF(Y4144=1,AC4144^2,"")</f>
        <v/>
      </c>
      <c r="AE4144" s="19">
        <f>IF(Z4144=1,(H4144-M4144)*I4144,0)</f>
        <v/>
      </c>
      <c r="AF4144">
        <f>IF(G4144&lt;EDATE(Assumptions!$C$6,-12)+1,"prior_12m","last_12m")</f>
        <v/>
      </c>
      <c r="AG4144" s="21">
        <f>DATE(YEAR(G4144),MONTH(G4144),1)</f>
        <v/>
      </c>
    </row>
    <row r="4145">
      <c r="A4145" t="inlineStr">
        <is>
          <t>SPO-02212-1</t>
        </is>
      </c>
      <c r="B4145" t="inlineStr">
        <is>
          <t>SPO-02212</t>
        </is>
      </c>
      <c r="C4145" t="inlineStr">
        <is>
          <t>SUP-07</t>
        </is>
      </c>
      <c r="D4145" t="inlineStr">
        <is>
          <t>MRO</t>
        </is>
      </c>
      <c r="E4145" t="inlineStr">
        <is>
          <t>MRO-08</t>
        </is>
      </c>
      <c r="F4145" s="17" t="n">
        <v>46185</v>
      </c>
      <c r="G4145" s="17" t="n">
        <v>46195</v>
      </c>
      <c r="H4145" s="18" t="n">
        <v>75</v>
      </c>
      <c r="I4145" s="19" t="n">
        <v>7.21</v>
      </c>
      <c r="J4145" s="19" t="n">
        <v>7.2</v>
      </c>
      <c r="K4145" s="20" t="n">
        <v>0</v>
      </c>
      <c r="L4145" s="20" t="n">
        <v>0</v>
      </c>
      <c r="M4145" s="18" t="n">
        <v>75</v>
      </c>
      <c r="N4145" s="18" t="n">
        <v>75</v>
      </c>
      <c r="O4145" s="18" t="n">
        <v>0</v>
      </c>
      <c r="P4145" s="17" t="n">
        <v>46194</v>
      </c>
      <c r="Q4145" s="17" t="n">
        <v>46194</v>
      </c>
      <c r="R4145" s="17" t="n">
        <v>46194</v>
      </c>
      <c r="S4145" s="19">
        <f>H4145*I4145</f>
        <v/>
      </c>
      <c r="T4145" s="19">
        <f>H4145*J4145</f>
        <v/>
      </c>
      <c r="U4145">
        <f>IF(AND(K4145=0,G4145&lt;=Assumptions!$C$6),1,0)</f>
        <v/>
      </c>
      <c r="V4145">
        <f>IF(U4145=1,IF(M4145&gt;0,IF(P4145&lt;=G4145+Assumptions!$C$7,1,0),0),0)</f>
        <v/>
      </c>
      <c r="W4145">
        <f>IF(AND(U4145=1,M4145&gt;=H4145*(1-Assumptions!$C$8)),1,0)</f>
        <v/>
      </c>
      <c r="X4145">
        <f>IF(AND(U4145=1,N4145&gt;=H4145*(1-Assumptions!$C$8)),1,0)</f>
        <v/>
      </c>
      <c r="Y4145">
        <f>IF(ISNUMBER(Q4145),1,0)</f>
        <v/>
      </c>
      <c r="Z4145">
        <f>IF(AND(K4145=0,L4145=0,Y4145=0),1,0)</f>
        <v/>
      </c>
      <c r="AA4145">
        <f>IF(AND(Z4145=1,G4145&lt;Assumptions!$C$6),1,0)</f>
        <v/>
      </c>
      <c r="AB4145">
        <f>IF(U4145=0,"",IF(Y4145=1,MAX(0,Q4145-G4145),IF(L4145=1,MAX(0,R4145-G4145),MAX(0,Assumptions!$C$6-G4145))))</f>
        <v/>
      </c>
      <c r="AC4145">
        <f>IF(Y4145=1,Q4145-F4145,"")</f>
        <v/>
      </c>
      <c r="AD4145">
        <f>IF(Y4145=1,AC4145^2,"")</f>
        <v/>
      </c>
      <c r="AE4145" s="19">
        <f>IF(Z4145=1,(H4145-M4145)*I4145,0)</f>
        <v/>
      </c>
      <c r="AF4145">
        <f>IF(G4145&lt;EDATE(Assumptions!$C$6,-12)+1,"prior_12m","last_12m")</f>
        <v/>
      </c>
      <c r="AG4145" s="21">
        <f>DATE(YEAR(G4145),MONTH(G4145),1)</f>
        <v/>
      </c>
    </row>
    <row r="4146">
      <c r="A4146" t="inlineStr">
        <is>
          <t>SPO-02212-2</t>
        </is>
      </c>
      <c r="B4146" t="inlineStr">
        <is>
          <t>SPO-02212</t>
        </is>
      </c>
      <c r="C4146" t="inlineStr">
        <is>
          <t>SUP-07</t>
        </is>
      </c>
      <c r="D4146" t="inlineStr">
        <is>
          <t>MRO</t>
        </is>
      </c>
      <c r="E4146" t="inlineStr">
        <is>
          <t>MRO-03</t>
        </is>
      </c>
      <c r="F4146" s="17" t="n">
        <v>46185</v>
      </c>
      <c r="G4146" s="17" t="n">
        <v>46195</v>
      </c>
      <c r="H4146" s="18" t="n">
        <v>151</v>
      </c>
      <c r="I4146" s="19" t="n">
        <v>8.470000000000001</v>
      </c>
      <c r="J4146" s="19" t="n">
        <v>8.9</v>
      </c>
      <c r="K4146" s="20" t="n">
        <v>0</v>
      </c>
      <c r="L4146" s="20" t="n">
        <v>1</v>
      </c>
      <c r="M4146" s="18" t="n">
        <v>102</v>
      </c>
      <c r="N4146" s="18" t="n">
        <v>102</v>
      </c>
      <c r="O4146" s="18" t="n">
        <v>0</v>
      </c>
      <c r="P4146" s="17" t="n">
        <v>46191</v>
      </c>
      <c r="Q4146" s="17" t="n"/>
      <c r="R4146" s="17" t="n">
        <v>46191</v>
      </c>
      <c r="S4146" s="19">
        <f>H4146*I4146</f>
        <v/>
      </c>
      <c r="T4146" s="19">
        <f>H4146*J4146</f>
        <v/>
      </c>
      <c r="U4146">
        <f>IF(AND(K4146=0,G4146&lt;=Assumptions!$C$6),1,0)</f>
        <v/>
      </c>
      <c r="V4146">
        <f>IF(U4146=1,IF(M4146&gt;0,IF(P4146&lt;=G4146+Assumptions!$C$7,1,0),0),0)</f>
        <v/>
      </c>
      <c r="W4146">
        <f>IF(AND(U4146=1,M4146&gt;=H4146*(1-Assumptions!$C$8)),1,0)</f>
        <v/>
      </c>
      <c r="X4146">
        <f>IF(AND(U4146=1,N4146&gt;=H4146*(1-Assumptions!$C$8)),1,0)</f>
        <v/>
      </c>
      <c r="Y4146">
        <f>IF(ISNUMBER(Q4146),1,0)</f>
        <v/>
      </c>
      <c r="Z4146">
        <f>IF(AND(K4146=0,L4146=0,Y4146=0),1,0)</f>
        <v/>
      </c>
      <c r="AA4146">
        <f>IF(AND(Z4146=1,G4146&lt;Assumptions!$C$6),1,0)</f>
        <v/>
      </c>
      <c r="AB4146">
        <f>IF(U4146=0,"",IF(Y4146=1,MAX(0,Q4146-G4146),IF(L4146=1,MAX(0,R4146-G4146),MAX(0,Assumptions!$C$6-G4146))))</f>
        <v/>
      </c>
      <c r="AC4146">
        <f>IF(Y4146=1,Q4146-F4146,"")</f>
        <v/>
      </c>
      <c r="AD4146">
        <f>IF(Y4146=1,AC4146^2,"")</f>
        <v/>
      </c>
      <c r="AE4146" s="19">
        <f>IF(Z4146=1,(H4146-M4146)*I4146,0)</f>
        <v/>
      </c>
      <c r="AF4146">
        <f>IF(G4146&lt;EDATE(Assumptions!$C$6,-12)+1,"prior_12m","last_12m")</f>
        <v/>
      </c>
      <c r="AG4146" s="21">
        <f>DATE(YEAR(G4146),MONTH(G4146),1)</f>
        <v/>
      </c>
    </row>
    <row r="4147">
      <c r="A4147" t="inlineStr">
        <is>
          <t>SPO-02212-3</t>
        </is>
      </c>
      <c r="B4147" t="inlineStr">
        <is>
          <t>SPO-02212</t>
        </is>
      </c>
      <c r="C4147" t="inlineStr">
        <is>
          <t>SUP-07</t>
        </is>
      </c>
      <c r="D4147" t="inlineStr">
        <is>
          <t>MRO</t>
        </is>
      </c>
      <c r="E4147" t="inlineStr">
        <is>
          <t>MRO-02</t>
        </is>
      </c>
      <c r="F4147" s="17" t="n">
        <v>46185</v>
      </c>
      <c r="G4147" s="17" t="n">
        <v>46195</v>
      </c>
      <c r="H4147" s="18" t="n">
        <v>54</v>
      </c>
      <c r="I4147" s="19" t="n">
        <v>40.85</v>
      </c>
      <c r="J4147" s="19" t="n">
        <v>41</v>
      </c>
      <c r="K4147" s="20" t="n">
        <v>0</v>
      </c>
      <c r="L4147" s="20" t="n">
        <v>0</v>
      </c>
      <c r="M4147" s="18" t="n">
        <v>54</v>
      </c>
      <c r="N4147" s="18" t="n">
        <v>54</v>
      </c>
      <c r="O4147" s="18" t="n">
        <v>0</v>
      </c>
      <c r="P4147" s="17" t="n">
        <v>46193</v>
      </c>
      <c r="Q4147" s="17" t="n">
        <v>46193</v>
      </c>
      <c r="R4147" s="17" t="n">
        <v>46193</v>
      </c>
      <c r="S4147" s="19">
        <f>H4147*I4147</f>
        <v/>
      </c>
      <c r="T4147" s="19">
        <f>H4147*J4147</f>
        <v/>
      </c>
      <c r="U4147">
        <f>IF(AND(K4147=0,G4147&lt;=Assumptions!$C$6),1,0)</f>
        <v/>
      </c>
      <c r="V4147">
        <f>IF(U4147=1,IF(M4147&gt;0,IF(P4147&lt;=G4147+Assumptions!$C$7,1,0),0),0)</f>
        <v/>
      </c>
      <c r="W4147">
        <f>IF(AND(U4147=1,M4147&gt;=H4147*(1-Assumptions!$C$8)),1,0)</f>
        <v/>
      </c>
      <c r="X4147">
        <f>IF(AND(U4147=1,N4147&gt;=H4147*(1-Assumptions!$C$8)),1,0)</f>
        <v/>
      </c>
      <c r="Y4147">
        <f>IF(ISNUMBER(Q4147),1,0)</f>
        <v/>
      </c>
      <c r="Z4147">
        <f>IF(AND(K4147=0,L4147=0,Y4147=0),1,0)</f>
        <v/>
      </c>
      <c r="AA4147">
        <f>IF(AND(Z4147=1,G4147&lt;Assumptions!$C$6),1,0)</f>
        <v/>
      </c>
      <c r="AB4147">
        <f>IF(U4147=0,"",IF(Y4147=1,MAX(0,Q4147-G4147),IF(L4147=1,MAX(0,R4147-G4147),MAX(0,Assumptions!$C$6-G4147))))</f>
        <v/>
      </c>
      <c r="AC4147">
        <f>IF(Y4147=1,Q4147-F4147,"")</f>
        <v/>
      </c>
      <c r="AD4147">
        <f>IF(Y4147=1,AC4147^2,"")</f>
        <v/>
      </c>
      <c r="AE4147" s="19">
        <f>IF(Z4147=1,(H4147-M4147)*I4147,0)</f>
        <v/>
      </c>
      <c r="AF4147">
        <f>IF(G4147&lt;EDATE(Assumptions!$C$6,-12)+1,"prior_12m","last_12m")</f>
        <v/>
      </c>
      <c r="AG4147" s="21">
        <f>DATE(YEAR(G4147),MONTH(G4147),1)</f>
        <v/>
      </c>
    </row>
    <row r="4148">
      <c r="A4148" t="inlineStr">
        <is>
          <t>SPO-02213-1</t>
        </is>
      </c>
      <c r="B4148" t="inlineStr">
        <is>
          <t>SPO-02213</t>
        </is>
      </c>
      <c r="C4148" t="inlineStr">
        <is>
          <t>SUP-12</t>
        </is>
      </c>
      <c r="D4148" t="inlineStr">
        <is>
          <t>IT</t>
        </is>
      </c>
      <c r="E4148" t="inlineStr">
        <is>
          <t>IT-06</t>
        </is>
      </c>
      <c r="F4148" s="17" t="n">
        <v>46185</v>
      </c>
      <c r="G4148" s="17" t="n">
        <v>46195</v>
      </c>
      <c r="H4148" s="18" t="n">
        <v>32</v>
      </c>
      <c r="I4148" s="19" t="n">
        <v>97.28</v>
      </c>
      <c r="J4148" s="19" t="n">
        <v>89</v>
      </c>
      <c r="K4148" s="20" t="n">
        <v>0</v>
      </c>
      <c r="L4148" s="20" t="n">
        <v>0</v>
      </c>
      <c r="M4148" s="18" t="n">
        <v>32</v>
      </c>
      <c r="N4148" s="18" t="n">
        <v>32</v>
      </c>
      <c r="O4148" s="18" t="n">
        <v>0</v>
      </c>
      <c r="P4148" s="17" t="n">
        <v>46195</v>
      </c>
      <c r="Q4148" s="17" t="n">
        <v>46195</v>
      </c>
      <c r="R4148" s="17" t="n">
        <v>46195</v>
      </c>
      <c r="S4148" s="19">
        <f>H4148*I4148</f>
        <v/>
      </c>
      <c r="T4148" s="19">
        <f>H4148*J4148</f>
        <v/>
      </c>
      <c r="U4148">
        <f>IF(AND(K4148=0,G4148&lt;=Assumptions!$C$6),1,0)</f>
        <v/>
      </c>
      <c r="V4148">
        <f>IF(U4148=1,IF(M4148&gt;0,IF(P4148&lt;=G4148+Assumptions!$C$7,1,0),0),0)</f>
        <v/>
      </c>
      <c r="W4148">
        <f>IF(AND(U4148=1,M4148&gt;=H4148*(1-Assumptions!$C$8)),1,0)</f>
        <v/>
      </c>
      <c r="X4148">
        <f>IF(AND(U4148=1,N4148&gt;=H4148*(1-Assumptions!$C$8)),1,0)</f>
        <v/>
      </c>
      <c r="Y4148">
        <f>IF(ISNUMBER(Q4148),1,0)</f>
        <v/>
      </c>
      <c r="Z4148">
        <f>IF(AND(K4148=0,L4148=0,Y4148=0),1,0)</f>
        <v/>
      </c>
      <c r="AA4148">
        <f>IF(AND(Z4148=1,G4148&lt;Assumptions!$C$6),1,0)</f>
        <v/>
      </c>
      <c r="AB4148">
        <f>IF(U4148=0,"",IF(Y4148=1,MAX(0,Q4148-G4148),IF(L4148=1,MAX(0,R4148-G4148),MAX(0,Assumptions!$C$6-G4148))))</f>
        <v/>
      </c>
      <c r="AC4148">
        <f>IF(Y4148=1,Q4148-F4148,"")</f>
        <v/>
      </c>
      <c r="AD4148">
        <f>IF(Y4148=1,AC4148^2,"")</f>
        <v/>
      </c>
      <c r="AE4148" s="19">
        <f>IF(Z4148=1,(H4148-M4148)*I4148,0)</f>
        <v/>
      </c>
      <c r="AF4148">
        <f>IF(G4148&lt;EDATE(Assumptions!$C$6,-12)+1,"prior_12m","last_12m")</f>
        <v/>
      </c>
      <c r="AG4148" s="21">
        <f>DATE(YEAR(G4148),MONTH(G4148),1)</f>
        <v/>
      </c>
    </row>
    <row r="4149">
      <c r="A4149" t="inlineStr">
        <is>
          <t>SPO-02214-1</t>
        </is>
      </c>
      <c r="B4149" t="inlineStr">
        <is>
          <t>SPO-02214</t>
        </is>
      </c>
      <c r="C4149" t="inlineStr">
        <is>
          <t>SUP-02</t>
        </is>
      </c>
      <c r="D4149" t="inlineStr">
        <is>
          <t>ELEC</t>
        </is>
      </c>
      <c r="E4149" t="inlineStr">
        <is>
          <t>ELEC-02</t>
        </is>
      </c>
      <c r="F4149" s="17" t="n">
        <v>46186</v>
      </c>
      <c r="G4149" s="17" t="n">
        <v>46202</v>
      </c>
      <c r="H4149" s="18" t="n">
        <v>580</v>
      </c>
      <c r="I4149" s="19" t="n">
        <v>4.1</v>
      </c>
      <c r="J4149" s="19" t="n">
        <v>4.2</v>
      </c>
      <c r="K4149" s="20" t="n">
        <v>0</v>
      </c>
      <c r="L4149" s="20" t="n">
        <v>0</v>
      </c>
      <c r="M4149" s="18" t="n">
        <v>580</v>
      </c>
      <c r="N4149" s="18" t="n">
        <v>580</v>
      </c>
      <c r="O4149" s="18" t="n">
        <v>0</v>
      </c>
      <c r="P4149" s="17" t="n">
        <v>46196</v>
      </c>
      <c r="Q4149" s="17" t="n">
        <v>46196</v>
      </c>
      <c r="R4149" s="17" t="n">
        <v>46196</v>
      </c>
      <c r="S4149" s="19">
        <f>H4149*I4149</f>
        <v/>
      </c>
      <c r="T4149" s="19">
        <f>H4149*J4149</f>
        <v/>
      </c>
      <c r="U4149">
        <f>IF(AND(K4149=0,G4149&lt;=Assumptions!$C$6),1,0)</f>
        <v/>
      </c>
      <c r="V4149">
        <f>IF(U4149=1,IF(M4149&gt;0,IF(P4149&lt;=G4149+Assumptions!$C$7,1,0),0),0)</f>
        <v/>
      </c>
      <c r="W4149">
        <f>IF(AND(U4149=1,M4149&gt;=H4149*(1-Assumptions!$C$8)),1,0)</f>
        <v/>
      </c>
      <c r="X4149">
        <f>IF(AND(U4149=1,N4149&gt;=H4149*(1-Assumptions!$C$8)),1,0)</f>
        <v/>
      </c>
      <c r="Y4149">
        <f>IF(ISNUMBER(Q4149),1,0)</f>
        <v/>
      </c>
      <c r="Z4149">
        <f>IF(AND(K4149=0,L4149=0,Y4149=0),1,0)</f>
        <v/>
      </c>
      <c r="AA4149">
        <f>IF(AND(Z4149=1,G4149&lt;Assumptions!$C$6),1,0)</f>
        <v/>
      </c>
      <c r="AB4149">
        <f>IF(U4149=0,"",IF(Y4149=1,MAX(0,Q4149-G4149),IF(L4149=1,MAX(0,R4149-G4149),MAX(0,Assumptions!$C$6-G4149))))</f>
        <v/>
      </c>
      <c r="AC4149">
        <f>IF(Y4149=1,Q4149-F4149,"")</f>
        <v/>
      </c>
      <c r="AD4149">
        <f>IF(Y4149=1,AC4149^2,"")</f>
        <v/>
      </c>
      <c r="AE4149" s="19">
        <f>IF(Z4149=1,(H4149-M4149)*I4149,0)</f>
        <v/>
      </c>
      <c r="AF4149">
        <f>IF(G4149&lt;EDATE(Assumptions!$C$6,-12)+1,"prior_12m","last_12m")</f>
        <v/>
      </c>
      <c r="AG4149" s="21">
        <f>DATE(YEAR(G4149),MONTH(G4149),1)</f>
        <v/>
      </c>
    </row>
    <row r="4150">
      <c r="A4150" t="inlineStr">
        <is>
          <t>SPO-02214-2</t>
        </is>
      </c>
      <c r="B4150" t="inlineStr">
        <is>
          <t>SPO-02214</t>
        </is>
      </c>
      <c r="C4150" t="inlineStr">
        <is>
          <t>SUP-02</t>
        </is>
      </c>
      <c r="D4150" t="inlineStr">
        <is>
          <t>ELEC</t>
        </is>
      </c>
      <c r="E4150" t="inlineStr">
        <is>
          <t>ELEC-07</t>
        </is>
      </c>
      <c r="F4150" s="17" t="n">
        <v>46186</v>
      </c>
      <c r="G4150" s="17" t="n">
        <v>46202</v>
      </c>
      <c r="H4150" s="18" t="n">
        <v>181</v>
      </c>
      <c r="I4150" s="19" t="n">
        <v>9.74</v>
      </c>
      <c r="J4150" s="19" t="n">
        <v>9.800000000000001</v>
      </c>
      <c r="K4150" s="20" t="n">
        <v>0</v>
      </c>
      <c r="L4150" s="20" t="n">
        <v>0</v>
      </c>
      <c r="M4150" s="18" t="n">
        <v>181</v>
      </c>
      <c r="N4150" s="18" t="n">
        <v>181</v>
      </c>
      <c r="O4150" s="18" t="n">
        <v>0</v>
      </c>
      <c r="P4150" s="17" t="n">
        <v>46197</v>
      </c>
      <c r="Q4150" s="17" t="n">
        <v>46197</v>
      </c>
      <c r="R4150" s="17" t="n">
        <v>46197</v>
      </c>
      <c r="S4150" s="19">
        <f>H4150*I4150</f>
        <v/>
      </c>
      <c r="T4150" s="19">
        <f>H4150*J4150</f>
        <v/>
      </c>
      <c r="U4150">
        <f>IF(AND(K4150=0,G4150&lt;=Assumptions!$C$6),1,0)</f>
        <v/>
      </c>
      <c r="V4150">
        <f>IF(U4150=1,IF(M4150&gt;0,IF(P4150&lt;=G4150+Assumptions!$C$7,1,0),0),0)</f>
        <v/>
      </c>
      <c r="W4150">
        <f>IF(AND(U4150=1,M4150&gt;=H4150*(1-Assumptions!$C$8)),1,0)</f>
        <v/>
      </c>
      <c r="X4150">
        <f>IF(AND(U4150=1,N4150&gt;=H4150*(1-Assumptions!$C$8)),1,0)</f>
        <v/>
      </c>
      <c r="Y4150">
        <f>IF(ISNUMBER(Q4150),1,0)</f>
        <v/>
      </c>
      <c r="Z4150">
        <f>IF(AND(K4150=0,L4150=0,Y4150=0),1,0)</f>
        <v/>
      </c>
      <c r="AA4150">
        <f>IF(AND(Z4150=1,G4150&lt;Assumptions!$C$6),1,0)</f>
        <v/>
      </c>
      <c r="AB4150">
        <f>IF(U4150=0,"",IF(Y4150=1,MAX(0,Q4150-G4150),IF(L4150=1,MAX(0,R4150-G4150),MAX(0,Assumptions!$C$6-G4150))))</f>
        <v/>
      </c>
      <c r="AC4150">
        <f>IF(Y4150=1,Q4150-F4150,"")</f>
        <v/>
      </c>
      <c r="AD4150">
        <f>IF(Y4150=1,AC4150^2,"")</f>
        <v/>
      </c>
      <c r="AE4150" s="19">
        <f>IF(Z4150=1,(H4150-M4150)*I4150,0)</f>
        <v/>
      </c>
      <c r="AF4150">
        <f>IF(G4150&lt;EDATE(Assumptions!$C$6,-12)+1,"prior_12m","last_12m")</f>
        <v/>
      </c>
      <c r="AG4150" s="21">
        <f>DATE(YEAR(G4150),MONTH(G4150),1)</f>
        <v/>
      </c>
    </row>
    <row r="4151">
      <c r="A4151" t="inlineStr">
        <is>
          <t>SPO-02214-3</t>
        </is>
      </c>
      <c r="B4151" t="inlineStr">
        <is>
          <t>SPO-02214</t>
        </is>
      </c>
      <c r="C4151" t="inlineStr">
        <is>
          <t>SUP-02</t>
        </is>
      </c>
      <c r="D4151" t="inlineStr">
        <is>
          <t>ELEC</t>
        </is>
      </c>
      <c r="E4151" t="inlineStr">
        <is>
          <t>ELEC-03</t>
        </is>
      </c>
      <c r="F4151" s="17" t="n">
        <v>46186</v>
      </c>
      <c r="G4151" s="17" t="n">
        <v>46202</v>
      </c>
      <c r="H4151" s="18" t="n">
        <v>14</v>
      </c>
      <c r="I4151" s="19" t="n">
        <v>96.05</v>
      </c>
      <c r="J4151" s="19" t="n">
        <v>96</v>
      </c>
      <c r="K4151" s="20" t="n">
        <v>0</v>
      </c>
      <c r="L4151" s="20" t="n">
        <v>0</v>
      </c>
      <c r="M4151" s="18" t="n">
        <v>14</v>
      </c>
      <c r="N4151" s="18" t="n">
        <v>14</v>
      </c>
      <c r="O4151" s="18" t="n">
        <v>0</v>
      </c>
      <c r="P4151" s="17" t="n">
        <v>46196</v>
      </c>
      <c r="Q4151" s="17" t="n">
        <v>46196</v>
      </c>
      <c r="R4151" s="17" t="n">
        <v>46196</v>
      </c>
      <c r="S4151" s="19">
        <f>H4151*I4151</f>
        <v/>
      </c>
      <c r="T4151" s="19">
        <f>H4151*J4151</f>
        <v/>
      </c>
      <c r="U4151">
        <f>IF(AND(K4151=0,G4151&lt;=Assumptions!$C$6),1,0)</f>
        <v/>
      </c>
      <c r="V4151">
        <f>IF(U4151=1,IF(M4151&gt;0,IF(P4151&lt;=G4151+Assumptions!$C$7,1,0),0),0)</f>
        <v/>
      </c>
      <c r="W4151">
        <f>IF(AND(U4151=1,M4151&gt;=H4151*(1-Assumptions!$C$8)),1,0)</f>
        <v/>
      </c>
      <c r="X4151">
        <f>IF(AND(U4151=1,N4151&gt;=H4151*(1-Assumptions!$C$8)),1,0)</f>
        <v/>
      </c>
      <c r="Y4151">
        <f>IF(ISNUMBER(Q4151),1,0)</f>
        <v/>
      </c>
      <c r="Z4151">
        <f>IF(AND(K4151=0,L4151=0,Y4151=0),1,0)</f>
        <v/>
      </c>
      <c r="AA4151">
        <f>IF(AND(Z4151=1,G4151&lt;Assumptions!$C$6),1,0)</f>
        <v/>
      </c>
      <c r="AB4151">
        <f>IF(U4151=0,"",IF(Y4151=1,MAX(0,Q4151-G4151),IF(L4151=1,MAX(0,R4151-G4151),MAX(0,Assumptions!$C$6-G4151))))</f>
        <v/>
      </c>
      <c r="AC4151">
        <f>IF(Y4151=1,Q4151-F4151,"")</f>
        <v/>
      </c>
      <c r="AD4151">
        <f>IF(Y4151=1,AC4151^2,"")</f>
        <v/>
      </c>
      <c r="AE4151" s="19">
        <f>IF(Z4151=1,(H4151-M4151)*I4151,0)</f>
        <v/>
      </c>
      <c r="AF4151">
        <f>IF(G4151&lt;EDATE(Assumptions!$C$6,-12)+1,"prior_12m","last_12m")</f>
        <v/>
      </c>
      <c r="AG4151" s="21">
        <f>DATE(YEAR(G4151),MONTH(G4151),1)</f>
        <v/>
      </c>
    </row>
    <row r="4152">
      <c r="A4152" t="inlineStr">
        <is>
          <t>SPO-02215-1</t>
        </is>
      </c>
      <c r="B4152" t="inlineStr">
        <is>
          <t>SPO-02215</t>
        </is>
      </c>
      <c r="C4152" t="inlineStr">
        <is>
          <t>SUP-12</t>
        </is>
      </c>
      <c r="D4152" t="inlineStr">
        <is>
          <t>IT</t>
        </is>
      </c>
      <c r="E4152" t="inlineStr">
        <is>
          <t>IT-06</t>
        </is>
      </c>
      <c r="F4152" s="17" t="n">
        <v>46186</v>
      </c>
      <c r="G4152" s="17" t="n">
        <v>46196</v>
      </c>
      <c r="H4152" s="18" t="n">
        <v>16</v>
      </c>
      <c r="I4152" s="19" t="n">
        <v>99.8</v>
      </c>
      <c r="J4152" s="19" t="n">
        <v>89</v>
      </c>
      <c r="K4152" s="20" t="n">
        <v>0</v>
      </c>
      <c r="L4152" s="20" t="n">
        <v>0</v>
      </c>
      <c r="M4152" s="18" t="n">
        <v>16</v>
      </c>
      <c r="N4152" s="18" t="n">
        <v>0</v>
      </c>
      <c r="O4152" s="18" t="n">
        <v>0</v>
      </c>
      <c r="P4152" s="17" t="n">
        <v>46199</v>
      </c>
      <c r="Q4152" s="17" t="n">
        <v>46199</v>
      </c>
      <c r="R4152" s="17" t="n">
        <v>46199</v>
      </c>
      <c r="S4152" s="19">
        <f>H4152*I4152</f>
        <v/>
      </c>
      <c r="T4152" s="19">
        <f>H4152*J4152</f>
        <v/>
      </c>
      <c r="U4152">
        <f>IF(AND(K4152=0,G4152&lt;=Assumptions!$C$6),1,0)</f>
        <v/>
      </c>
      <c r="V4152">
        <f>IF(U4152=1,IF(M4152&gt;0,IF(P4152&lt;=G4152+Assumptions!$C$7,1,0),0),0)</f>
        <v/>
      </c>
      <c r="W4152">
        <f>IF(AND(U4152=1,M4152&gt;=H4152*(1-Assumptions!$C$8)),1,0)</f>
        <v/>
      </c>
      <c r="X4152">
        <f>IF(AND(U4152=1,N4152&gt;=H4152*(1-Assumptions!$C$8)),1,0)</f>
        <v/>
      </c>
      <c r="Y4152">
        <f>IF(ISNUMBER(Q4152),1,0)</f>
        <v/>
      </c>
      <c r="Z4152">
        <f>IF(AND(K4152=0,L4152=0,Y4152=0),1,0)</f>
        <v/>
      </c>
      <c r="AA4152">
        <f>IF(AND(Z4152=1,G4152&lt;Assumptions!$C$6),1,0)</f>
        <v/>
      </c>
      <c r="AB4152">
        <f>IF(U4152=0,"",IF(Y4152=1,MAX(0,Q4152-G4152),IF(L4152=1,MAX(0,R4152-G4152),MAX(0,Assumptions!$C$6-G4152))))</f>
        <v/>
      </c>
      <c r="AC4152">
        <f>IF(Y4152=1,Q4152-F4152,"")</f>
        <v/>
      </c>
      <c r="AD4152">
        <f>IF(Y4152=1,AC4152^2,"")</f>
        <v/>
      </c>
      <c r="AE4152" s="19">
        <f>IF(Z4152=1,(H4152-M4152)*I4152,0)</f>
        <v/>
      </c>
      <c r="AF4152">
        <f>IF(G4152&lt;EDATE(Assumptions!$C$6,-12)+1,"prior_12m","last_12m")</f>
        <v/>
      </c>
      <c r="AG4152" s="21">
        <f>DATE(YEAR(G4152),MONTH(G4152),1)</f>
        <v/>
      </c>
    </row>
    <row r="4153">
      <c r="A4153" t="inlineStr">
        <is>
          <t>SPO-02216-1</t>
        </is>
      </c>
      <c r="B4153" t="inlineStr">
        <is>
          <t>SPO-02216</t>
        </is>
      </c>
      <c r="C4153" t="inlineStr">
        <is>
          <t>SUP-04</t>
        </is>
      </c>
      <c r="D4153" t="inlineStr">
        <is>
          <t>FLEET</t>
        </is>
      </c>
      <c r="E4153" t="inlineStr">
        <is>
          <t>FLEET-06</t>
        </is>
      </c>
      <c r="F4153" s="17" t="n">
        <v>46186</v>
      </c>
      <c r="G4153" s="17" t="n">
        <v>46199</v>
      </c>
      <c r="H4153" s="18" t="n">
        <v>36</v>
      </c>
      <c r="I4153" s="19" t="n">
        <v>32.08</v>
      </c>
      <c r="J4153" s="19" t="n">
        <v>33</v>
      </c>
      <c r="K4153" s="20" t="n">
        <v>0</v>
      </c>
      <c r="L4153" s="20" t="n">
        <v>0</v>
      </c>
      <c r="M4153" s="18" t="n">
        <v>36</v>
      </c>
      <c r="N4153" s="18" t="n">
        <v>36</v>
      </c>
      <c r="O4153" s="18" t="n">
        <v>0</v>
      </c>
      <c r="P4153" s="17" t="n">
        <v>46196</v>
      </c>
      <c r="Q4153" s="17" t="n">
        <v>46196</v>
      </c>
      <c r="R4153" s="17" t="n">
        <v>46196</v>
      </c>
      <c r="S4153" s="19">
        <f>H4153*I4153</f>
        <v/>
      </c>
      <c r="T4153" s="19">
        <f>H4153*J4153</f>
        <v/>
      </c>
      <c r="U4153">
        <f>IF(AND(K4153=0,G4153&lt;=Assumptions!$C$6),1,0)</f>
        <v/>
      </c>
      <c r="V4153">
        <f>IF(U4153=1,IF(M4153&gt;0,IF(P4153&lt;=G4153+Assumptions!$C$7,1,0),0),0)</f>
        <v/>
      </c>
      <c r="W4153">
        <f>IF(AND(U4153=1,M4153&gt;=H4153*(1-Assumptions!$C$8)),1,0)</f>
        <v/>
      </c>
      <c r="X4153">
        <f>IF(AND(U4153=1,N4153&gt;=H4153*(1-Assumptions!$C$8)),1,0)</f>
        <v/>
      </c>
      <c r="Y4153">
        <f>IF(ISNUMBER(Q4153),1,0)</f>
        <v/>
      </c>
      <c r="Z4153">
        <f>IF(AND(K4153=0,L4153=0,Y4153=0),1,0)</f>
        <v/>
      </c>
      <c r="AA4153">
        <f>IF(AND(Z4153=1,G4153&lt;Assumptions!$C$6),1,0)</f>
        <v/>
      </c>
      <c r="AB4153">
        <f>IF(U4153=0,"",IF(Y4153=1,MAX(0,Q4153-G4153),IF(L4153=1,MAX(0,R4153-G4153),MAX(0,Assumptions!$C$6-G4153))))</f>
        <v/>
      </c>
      <c r="AC4153">
        <f>IF(Y4153=1,Q4153-F4153,"")</f>
        <v/>
      </c>
      <c r="AD4153">
        <f>IF(Y4153=1,AC4153^2,"")</f>
        <v/>
      </c>
      <c r="AE4153" s="19">
        <f>IF(Z4153=1,(H4153-M4153)*I4153,0)</f>
        <v/>
      </c>
      <c r="AF4153">
        <f>IF(G4153&lt;EDATE(Assumptions!$C$6,-12)+1,"prior_12m","last_12m")</f>
        <v/>
      </c>
      <c r="AG4153" s="21">
        <f>DATE(YEAR(G4153),MONTH(G4153),1)</f>
        <v/>
      </c>
    </row>
    <row r="4154">
      <c r="A4154" t="inlineStr">
        <is>
          <t>SPO-02216-2</t>
        </is>
      </c>
      <c r="B4154" t="inlineStr">
        <is>
          <t>SPO-02216</t>
        </is>
      </c>
      <c r="C4154" t="inlineStr">
        <is>
          <t>SUP-04</t>
        </is>
      </c>
      <c r="D4154" t="inlineStr">
        <is>
          <t>FLEET</t>
        </is>
      </c>
      <c r="E4154" t="inlineStr">
        <is>
          <t>FLEET-02</t>
        </is>
      </c>
      <c r="F4154" s="17" t="n">
        <v>46186</v>
      </c>
      <c r="G4154" s="17" t="n">
        <v>46199</v>
      </c>
      <c r="H4154" s="18" t="n">
        <v>269</v>
      </c>
      <c r="I4154" s="19" t="n">
        <v>7.52</v>
      </c>
      <c r="J4154" s="19" t="n">
        <v>7.5</v>
      </c>
      <c r="K4154" s="20" t="n">
        <v>0</v>
      </c>
      <c r="L4154" s="20" t="n">
        <v>0</v>
      </c>
      <c r="M4154" s="18" t="n">
        <v>269</v>
      </c>
      <c r="N4154" s="18" t="n">
        <v>269</v>
      </c>
      <c r="O4154" s="18" t="n">
        <v>0</v>
      </c>
      <c r="P4154" s="17" t="n">
        <v>46190</v>
      </c>
      <c r="Q4154" s="17" t="n">
        <v>46190</v>
      </c>
      <c r="R4154" s="17" t="n">
        <v>46190</v>
      </c>
      <c r="S4154" s="19">
        <f>H4154*I4154</f>
        <v/>
      </c>
      <c r="T4154" s="19">
        <f>H4154*J4154</f>
        <v/>
      </c>
      <c r="U4154">
        <f>IF(AND(K4154=0,G4154&lt;=Assumptions!$C$6),1,0)</f>
        <v/>
      </c>
      <c r="V4154">
        <f>IF(U4154=1,IF(M4154&gt;0,IF(P4154&lt;=G4154+Assumptions!$C$7,1,0),0),0)</f>
        <v/>
      </c>
      <c r="W4154">
        <f>IF(AND(U4154=1,M4154&gt;=H4154*(1-Assumptions!$C$8)),1,0)</f>
        <v/>
      </c>
      <c r="X4154">
        <f>IF(AND(U4154=1,N4154&gt;=H4154*(1-Assumptions!$C$8)),1,0)</f>
        <v/>
      </c>
      <c r="Y4154">
        <f>IF(ISNUMBER(Q4154),1,0)</f>
        <v/>
      </c>
      <c r="Z4154">
        <f>IF(AND(K4154=0,L4154=0,Y4154=0),1,0)</f>
        <v/>
      </c>
      <c r="AA4154">
        <f>IF(AND(Z4154=1,G4154&lt;Assumptions!$C$6),1,0)</f>
        <v/>
      </c>
      <c r="AB4154">
        <f>IF(U4154=0,"",IF(Y4154=1,MAX(0,Q4154-G4154),IF(L4154=1,MAX(0,R4154-G4154),MAX(0,Assumptions!$C$6-G4154))))</f>
        <v/>
      </c>
      <c r="AC4154">
        <f>IF(Y4154=1,Q4154-F4154,"")</f>
        <v/>
      </c>
      <c r="AD4154">
        <f>IF(Y4154=1,AC4154^2,"")</f>
        <v/>
      </c>
      <c r="AE4154" s="19">
        <f>IF(Z4154=1,(H4154-M4154)*I4154,0)</f>
        <v/>
      </c>
      <c r="AF4154">
        <f>IF(G4154&lt;EDATE(Assumptions!$C$6,-12)+1,"prior_12m","last_12m")</f>
        <v/>
      </c>
      <c r="AG4154" s="21">
        <f>DATE(YEAR(G4154),MONTH(G4154),1)</f>
        <v/>
      </c>
    </row>
    <row r="4155">
      <c r="A4155" t="inlineStr">
        <is>
          <t>SPO-02217-1</t>
        </is>
      </c>
      <c r="B4155" t="inlineStr">
        <is>
          <t>SPO-02217</t>
        </is>
      </c>
      <c r="C4155" t="inlineStr">
        <is>
          <t>SUP-01</t>
        </is>
      </c>
      <c r="D4155" t="inlineStr">
        <is>
          <t>ELEC</t>
        </is>
      </c>
      <c r="E4155" t="inlineStr">
        <is>
          <t>ELEC-04</t>
        </is>
      </c>
      <c r="F4155" s="17" t="n">
        <v>46186</v>
      </c>
      <c r="G4155" s="17" t="n">
        <v>46204</v>
      </c>
      <c r="H4155" s="18" t="n">
        <v>41</v>
      </c>
      <c r="I4155" s="19" t="n">
        <v>68.61</v>
      </c>
      <c r="J4155" s="19" t="n">
        <v>72</v>
      </c>
      <c r="K4155" s="20" t="n">
        <v>0</v>
      </c>
      <c r="L4155" s="20" t="n">
        <v>0</v>
      </c>
      <c r="M4155" s="18" t="n">
        <v>41</v>
      </c>
      <c r="N4155" s="18" t="n">
        <v>0</v>
      </c>
      <c r="O4155" s="18" t="n">
        <v>0</v>
      </c>
      <c r="P4155" s="17" t="n">
        <v>46205</v>
      </c>
      <c r="Q4155" s="17" t="n">
        <v>46205</v>
      </c>
      <c r="R4155" s="17" t="n">
        <v>46205</v>
      </c>
      <c r="S4155" s="19">
        <f>H4155*I4155</f>
        <v/>
      </c>
      <c r="T4155" s="19">
        <f>H4155*J4155</f>
        <v/>
      </c>
      <c r="U4155">
        <f>IF(AND(K4155=0,G4155&lt;=Assumptions!$C$6),1,0)</f>
        <v/>
      </c>
      <c r="V4155">
        <f>IF(U4155=1,IF(M4155&gt;0,IF(P4155&lt;=G4155+Assumptions!$C$7,1,0),0),0)</f>
        <v/>
      </c>
      <c r="W4155">
        <f>IF(AND(U4155=1,M4155&gt;=H4155*(1-Assumptions!$C$8)),1,0)</f>
        <v/>
      </c>
      <c r="X4155">
        <f>IF(AND(U4155=1,N4155&gt;=H4155*(1-Assumptions!$C$8)),1,0)</f>
        <v/>
      </c>
      <c r="Y4155">
        <f>IF(ISNUMBER(Q4155),1,0)</f>
        <v/>
      </c>
      <c r="Z4155">
        <f>IF(AND(K4155=0,L4155=0,Y4155=0),1,0)</f>
        <v/>
      </c>
      <c r="AA4155">
        <f>IF(AND(Z4155=1,G4155&lt;Assumptions!$C$6),1,0)</f>
        <v/>
      </c>
      <c r="AB4155">
        <f>IF(U4155=0,"",IF(Y4155=1,MAX(0,Q4155-G4155),IF(L4155=1,MAX(0,R4155-G4155),MAX(0,Assumptions!$C$6-G4155))))</f>
        <v/>
      </c>
      <c r="AC4155">
        <f>IF(Y4155=1,Q4155-F4155,"")</f>
        <v/>
      </c>
      <c r="AD4155">
        <f>IF(Y4155=1,AC4155^2,"")</f>
        <v/>
      </c>
      <c r="AE4155" s="19">
        <f>IF(Z4155=1,(H4155-M4155)*I4155,0)</f>
        <v/>
      </c>
      <c r="AF4155">
        <f>IF(G4155&lt;EDATE(Assumptions!$C$6,-12)+1,"prior_12m","last_12m")</f>
        <v/>
      </c>
      <c r="AG4155" s="21">
        <f>DATE(YEAR(G4155),MONTH(G4155),1)</f>
        <v/>
      </c>
    </row>
    <row r="4156">
      <c r="A4156" t="inlineStr">
        <is>
          <t>SPO-02217-2</t>
        </is>
      </c>
      <c r="B4156" t="inlineStr">
        <is>
          <t>SPO-02217</t>
        </is>
      </c>
      <c r="C4156" t="inlineStr">
        <is>
          <t>SUP-01</t>
        </is>
      </c>
      <c r="D4156" t="inlineStr">
        <is>
          <t>ELEC</t>
        </is>
      </c>
      <c r="E4156" t="inlineStr">
        <is>
          <t>ELEC-03</t>
        </is>
      </c>
      <c r="F4156" s="17" t="n">
        <v>46186</v>
      </c>
      <c r="G4156" s="17" t="n">
        <v>46204</v>
      </c>
      <c r="H4156" s="18" t="n">
        <v>47</v>
      </c>
      <c r="I4156" s="19" t="n">
        <v>98.37</v>
      </c>
      <c r="J4156" s="19" t="n">
        <v>96</v>
      </c>
      <c r="K4156" s="20" t="n">
        <v>0</v>
      </c>
      <c r="L4156" s="20" t="n">
        <v>0</v>
      </c>
      <c r="M4156" s="18" t="n">
        <v>47</v>
      </c>
      <c r="N4156" s="18" t="n">
        <v>47</v>
      </c>
      <c r="O4156" s="18" t="n">
        <v>8</v>
      </c>
      <c r="P4156" s="17" t="n">
        <v>46200</v>
      </c>
      <c r="Q4156" s="17" t="n">
        <v>46200</v>
      </c>
      <c r="R4156" s="17" t="n">
        <v>46200</v>
      </c>
      <c r="S4156" s="19">
        <f>H4156*I4156</f>
        <v/>
      </c>
      <c r="T4156" s="19">
        <f>H4156*J4156</f>
        <v/>
      </c>
      <c r="U4156">
        <f>IF(AND(K4156=0,G4156&lt;=Assumptions!$C$6),1,0)</f>
        <v/>
      </c>
      <c r="V4156">
        <f>IF(U4156=1,IF(M4156&gt;0,IF(P4156&lt;=G4156+Assumptions!$C$7,1,0),0),0)</f>
        <v/>
      </c>
      <c r="W4156">
        <f>IF(AND(U4156=1,M4156&gt;=H4156*(1-Assumptions!$C$8)),1,0)</f>
        <v/>
      </c>
      <c r="X4156">
        <f>IF(AND(U4156=1,N4156&gt;=H4156*(1-Assumptions!$C$8)),1,0)</f>
        <v/>
      </c>
      <c r="Y4156">
        <f>IF(ISNUMBER(Q4156),1,0)</f>
        <v/>
      </c>
      <c r="Z4156">
        <f>IF(AND(K4156=0,L4156=0,Y4156=0),1,0)</f>
        <v/>
      </c>
      <c r="AA4156">
        <f>IF(AND(Z4156=1,G4156&lt;Assumptions!$C$6),1,0)</f>
        <v/>
      </c>
      <c r="AB4156">
        <f>IF(U4156=0,"",IF(Y4156=1,MAX(0,Q4156-G4156),IF(L4156=1,MAX(0,R4156-G4156),MAX(0,Assumptions!$C$6-G4156))))</f>
        <v/>
      </c>
      <c r="AC4156">
        <f>IF(Y4156=1,Q4156-F4156,"")</f>
        <v/>
      </c>
      <c r="AD4156">
        <f>IF(Y4156=1,AC4156^2,"")</f>
        <v/>
      </c>
      <c r="AE4156" s="19">
        <f>IF(Z4156=1,(H4156-M4156)*I4156,0)</f>
        <v/>
      </c>
      <c r="AF4156">
        <f>IF(G4156&lt;EDATE(Assumptions!$C$6,-12)+1,"prior_12m","last_12m")</f>
        <v/>
      </c>
      <c r="AG4156" s="21">
        <f>DATE(YEAR(G4156),MONTH(G4156),1)</f>
        <v/>
      </c>
    </row>
    <row r="4157">
      <c r="A4157" t="inlineStr">
        <is>
          <t>SPO-02218-1</t>
        </is>
      </c>
      <c r="B4157" t="inlineStr">
        <is>
          <t>SPO-02218</t>
        </is>
      </c>
      <c r="C4157" t="inlineStr">
        <is>
          <t>SUP-02</t>
        </is>
      </c>
      <c r="D4157" t="inlineStr">
        <is>
          <t>ELEC</t>
        </is>
      </c>
      <c r="E4157" t="inlineStr">
        <is>
          <t>ELEC-06</t>
        </is>
      </c>
      <c r="F4157" s="17" t="n">
        <v>46186</v>
      </c>
      <c r="G4157" s="17" t="n">
        <v>46202</v>
      </c>
      <c r="H4157" s="18" t="n">
        <v>13</v>
      </c>
      <c r="I4157" s="19" t="n">
        <v>144.33</v>
      </c>
      <c r="J4157" s="19" t="n">
        <v>145</v>
      </c>
      <c r="K4157" s="20" t="n">
        <v>0</v>
      </c>
      <c r="L4157" s="20" t="n">
        <v>0</v>
      </c>
      <c r="M4157" s="18" t="n">
        <v>13</v>
      </c>
      <c r="N4157" s="18" t="n">
        <v>13</v>
      </c>
      <c r="O4157" s="18" t="n">
        <v>0</v>
      </c>
      <c r="P4157" s="17" t="n">
        <v>46198</v>
      </c>
      <c r="Q4157" s="17" t="n">
        <v>46198</v>
      </c>
      <c r="R4157" s="17" t="n">
        <v>46198</v>
      </c>
      <c r="S4157" s="19">
        <f>H4157*I4157</f>
        <v/>
      </c>
      <c r="T4157" s="19">
        <f>H4157*J4157</f>
        <v/>
      </c>
      <c r="U4157">
        <f>IF(AND(K4157=0,G4157&lt;=Assumptions!$C$6),1,0)</f>
        <v/>
      </c>
      <c r="V4157">
        <f>IF(U4157=1,IF(M4157&gt;0,IF(P4157&lt;=G4157+Assumptions!$C$7,1,0),0),0)</f>
        <v/>
      </c>
      <c r="W4157">
        <f>IF(AND(U4157=1,M4157&gt;=H4157*(1-Assumptions!$C$8)),1,0)</f>
        <v/>
      </c>
      <c r="X4157">
        <f>IF(AND(U4157=1,N4157&gt;=H4157*(1-Assumptions!$C$8)),1,0)</f>
        <v/>
      </c>
      <c r="Y4157">
        <f>IF(ISNUMBER(Q4157),1,0)</f>
        <v/>
      </c>
      <c r="Z4157">
        <f>IF(AND(K4157=0,L4157=0,Y4157=0),1,0)</f>
        <v/>
      </c>
      <c r="AA4157">
        <f>IF(AND(Z4157=1,G4157&lt;Assumptions!$C$6),1,0)</f>
        <v/>
      </c>
      <c r="AB4157">
        <f>IF(U4157=0,"",IF(Y4157=1,MAX(0,Q4157-G4157),IF(L4157=1,MAX(0,R4157-G4157),MAX(0,Assumptions!$C$6-G4157))))</f>
        <v/>
      </c>
      <c r="AC4157">
        <f>IF(Y4157=1,Q4157-F4157,"")</f>
        <v/>
      </c>
      <c r="AD4157">
        <f>IF(Y4157=1,AC4157^2,"")</f>
        <v/>
      </c>
      <c r="AE4157" s="19">
        <f>IF(Z4157=1,(H4157-M4157)*I4157,0)</f>
        <v/>
      </c>
      <c r="AF4157">
        <f>IF(G4157&lt;EDATE(Assumptions!$C$6,-12)+1,"prior_12m","last_12m")</f>
        <v/>
      </c>
      <c r="AG4157" s="21">
        <f>DATE(YEAR(G4157),MONTH(G4157),1)</f>
        <v/>
      </c>
    </row>
    <row r="4158">
      <c r="A4158" t="inlineStr">
        <is>
          <t>SPO-02218-2</t>
        </is>
      </c>
      <c r="B4158" t="inlineStr">
        <is>
          <t>SPO-02218</t>
        </is>
      </c>
      <c r="C4158" t="inlineStr">
        <is>
          <t>SUP-02</t>
        </is>
      </c>
      <c r="D4158" t="inlineStr">
        <is>
          <t>ELEC</t>
        </is>
      </c>
      <c r="E4158" t="inlineStr">
        <is>
          <t>ELEC-03</t>
        </is>
      </c>
      <c r="F4158" s="17" t="n">
        <v>46186</v>
      </c>
      <c r="G4158" s="17" t="n">
        <v>46202</v>
      </c>
      <c r="H4158" s="18" t="n">
        <v>16</v>
      </c>
      <c r="I4158" s="19" t="n">
        <v>100.19</v>
      </c>
      <c r="J4158" s="19" t="n">
        <v>96</v>
      </c>
      <c r="K4158" s="20" t="n">
        <v>0</v>
      </c>
      <c r="L4158" s="20" t="n">
        <v>0</v>
      </c>
      <c r="M4158" s="18" t="n">
        <v>16</v>
      </c>
      <c r="N4158" s="18" t="n">
        <v>16</v>
      </c>
      <c r="O4158" s="18" t="n">
        <v>0</v>
      </c>
      <c r="P4158" s="17" t="n">
        <v>46199</v>
      </c>
      <c r="Q4158" s="17" t="n">
        <v>46199</v>
      </c>
      <c r="R4158" s="17" t="n">
        <v>46199</v>
      </c>
      <c r="S4158" s="19">
        <f>H4158*I4158</f>
        <v/>
      </c>
      <c r="T4158" s="19">
        <f>H4158*J4158</f>
        <v/>
      </c>
      <c r="U4158">
        <f>IF(AND(K4158=0,G4158&lt;=Assumptions!$C$6),1,0)</f>
        <v/>
      </c>
      <c r="V4158">
        <f>IF(U4158=1,IF(M4158&gt;0,IF(P4158&lt;=G4158+Assumptions!$C$7,1,0),0),0)</f>
        <v/>
      </c>
      <c r="W4158">
        <f>IF(AND(U4158=1,M4158&gt;=H4158*(1-Assumptions!$C$8)),1,0)</f>
        <v/>
      </c>
      <c r="X4158">
        <f>IF(AND(U4158=1,N4158&gt;=H4158*(1-Assumptions!$C$8)),1,0)</f>
        <v/>
      </c>
      <c r="Y4158">
        <f>IF(ISNUMBER(Q4158),1,0)</f>
        <v/>
      </c>
      <c r="Z4158">
        <f>IF(AND(K4158=0,L4158=0,Y4158=0),1,0)</f>
        <v/>
      </c>
      <c r="AA4158">
        <f>IF(AND(Z4158=1,G4158&lt;Assumptions!$C$6),1,0)</f>
        <v/>
      </c>
      <c r="AB4158">
        <f>IF(U4158=0,"",IF(Y4158=1,MAX(0,Q4158-G4158),IF(L4158=1,MAX(0,R4158-G4158),MAX(0,Assumptions!$C$6-G4158))))</f>
        <v/>
      </c>
      <c r="AC4158">
        <f>IF(Y4158=1,Q4158-F4158,"")</f>
        <v/>
      </c>
      <c r="AD4158">
        <f>IF(Y4158=1,AC4158^2,"")</f>
        <v/>
      </c>
      <c r="AE4158" s="19">
        <f>IF(Z4158=1,(H4158-M4158)*I4158,0)</f>
        <v/>
      </c>
      <c r="AF4158">
        <f>IF(G4158&lt;EDATE(Assumptions!$C$6,-12)+1,"prior_12m","last_12m")</f>
        <v/>
      </c>
      <c r="AG4158" s="21">
        <f>DATE(YEAR(G4158),MONTH(G4158),1)</f>
        <v/>
      </c>
    </row>
    <row r="4159">
      <c r="A4159" t="inlineStr">
        <is>
          <t>SPO-02219-1</t>
        </is>
      </c>
      <c r="B4159" t="inlineStr">
        <is>
          <t>SPO-02219</t>
        </is>
      </c>
      <c r="C4159" t="inlineStr">
        <is>
          <t>SUP-01</t>
        </is>
      </c>
      <c r="D4159" t="inlineStr">
        <is>
          <t>ELEC</t>
        </is>
      </c>
      <c r="E4159" t="inlineStr">
        <is>
          <t>ELEC-01</t>
        </is>
      </c>
      <c r="F4159" s="17" t="n">
        <v>46187</v>
      </c>
      <c r="G4159" s="17" t="n">
        <v>46205</v>
      </c>
      <c r="H4159" s="18" t="n">
        <v>218</v>
      </c>
      <c r="I4159" s="19" t="n">
        <v>37.51</v>
      </c>
      <c r="J4159" s="19" t="n">
        <v>38</v>
      </c>
      <c r="K4159" s="20" t="n">
        <v>0</v>
      </c>
      <c r="L4159" s="20" t="n">
        <v>0</v>
      </c>
      <c r="M4159" s="18" t="n">
        <v>218</v>
      </c>
      <c r="N4159" s="18" t="n">
        <v>0</v>
      </c>
      <c r="O4159" s="18" t="n">
        <v>0</v>
      </c>
      <c r="P4159" s="17" t="n">
        <v>46208</v>
      </c>
      <c r="Q4159" s="17" t="n">
        <v>46208</v>
      </c>
      <c r="R4159" s="17" t="n">
        <v>46208</v>
      </c>
      <c r="S4159" s="19">
        <f>H4159*I4159</f>
        <v/>
      </c>
      <c r="T4159" s="19">
        <f>H4159*J4159</f>
        <v/>
      </c>
      <c r="U4159">
        <f>IF(AND(K4159=0,G4159&lt;=Assumptions!$C$6),1,0)</f>
        <v/>
      </c>
      <c r="V4159">
        <f>IF(U4159=1,IF(M4159&gt;0,IF(P4159&lt;=G4159+Assumptions!$C$7,1,0),0),0)</f>
        <v/>
      </c>
      <c r="W4159">
        <f>IF(AND(U4159=1,M4159&gt;=H4159*(1-Assumptions!$C$8)),1,0)</f>
        <v/>
      </c>
      <c r="X4159">
        <f>IF(AND(U4159=1,N4159&gt;=H4159*(1-Assumptions!$C$8)),1,0)</f>
        <v/>
      </c>
      <c r="Y4159">
        <f>IF(ISNUMBER(Q4159),1,0)</f>
        <v/>
      </c>
      <c r="Z4159">
        <f>IF(AND(K4159=0,L4159=0,Y4159=0),1,0)</f>
        <v/>
      </c>
      <c r="AA4159">
        <f>IF(AND(Z4159=1,G4159&lt;Assumptions!$C$6),1,0)</f>
        <v/>
      </c>
      <c r="AB4159">
        <f>IF(U4159=0,"",IF(Y4159=1,MAX(0,Q4159-G4159),IF(L4159=1,MAX(0,R4159-G4159),MAX(0,Assumptions!$C$6-G4159))))</f>
        <v/>
      </c>
      <c r="AC4159">
        <f>IF(Y4159=1,Q4159-F4159,"")</f>
        <v/>
      </c>
      <c r="AD4159">
        <f>IF(Y4159=1,AC4159^2,"")</f>
        <v/>
      </c>
      <c r="AE4159" s="19">
        <f>IF(Z4159=1,(H4159-M4159)*I4159,0)</f>
        <v/>
      </c>
      <c r="AF4159">
        <f>IF(G4159&lt;EDATE(Assumptions!$C$6,-12)+1,"prior_12m","last_12m")</f>
        <v/>
      </c>
      <c r="AG4159" s="21">
        <f>DATE(YEAR(G4159),MONTH(G4159),1)</f>
        <v/>
      </c>
    </row>
    <row r="4160">
      <c r="A4160" t="inlineStr">
        <is>
          <t>SPO-02220-1</t>
        </is>
      </c>
      <c r="B4160" t="inlineStr">
        <is>
          <t>SPO-02220</t>
        </is>
      </c>
      <c r="C4160" t="inlineStr">
        <is>
          <t>SUP-02</t>
        </is>
      </c>
      <c r="D4160" t="inlineStr">
        <is>
          <t>ELEC</t>
        </is>
      </c>
      <c r="E4160" t="inlineStr">
        <is>
          <t>ELEC-01</t>
        </is>
      </c>
      <c r="F4160" s="17" t="n">
        <v>46187</v>
      </c>
      <c r="G4160" s="17" t="n">
        <v>46203</v>
      </c>
      <c r="H4160" s="18" t="n">
        <v>35</v>
      </c>
      <c r="I4160" s="19" t="n">
        <v>38.66</v>
      </c>
      <c r="J4160" s="19" t="n">
        <v>38</v>
      </c>
      <c r="K4160" s="20" t="n">
        <v>0</v>
      </c>
      <c r="L4160" s="20" t="n">
        <v>0</v>
      </c>
      <c r="M4160" s="18" t="n">
        <v>35</v>
      </c>
      <c r="N4160" s="18" t="n">
        <v>35</v>
      </c>
      <c r="O4160" s="18" t="n">
        <v>0</v>
      </c>
      <c r="P4160" s="17" t="n">
        <v>46199</v>
      </c>
      <c r="Q4160" s="17" t="n">
        <v>46199</v>
      </c>
      <c r="R4160" s="17" t="n">
        <v>46199</v>
      </c>
      <c r="S4160" s="19">
        <f>H4160*I4160</f>
        <v/>
      </c>
      <c r="T4160" s="19">
        <f>H4160*J4160</f>
        <v/>
      </c>
      <c r="U4160">
        <f>IF(AND(K4160=0,G4160&lt;=Assumptions!$C$6),1,0)</f>
        <v/>
      </c>
      <c r="V4160">
        <f>IF(U4160=1,IF(M4160&gt;0,IF(P4160&lt;=G4160+Assumptions!$C$7,1,0),0),0)</f>
        <v/>
      </c>
      <c r="W4160">
        <f>IF(AND(U4160=1,M4160&gt;=H4160*(1-Assumptions!$C$8)),1,0)</f>
        <v/>
      </c>
      <c r="X4160">
        <f>IF(AND(U4160=1,N4160&gt;=H4160*(1-Assumptions!$C$8)),1,0)</f>
        <v/>
      </c>
      <c r="Y4160">
        <f>IF(ISNUMBER(Q4160),1,0)</f>
        <v/>
      </c>
      <c r="Z4160">
        <f>IF(AND(K4160=0,L4160=0,Y4160=0),1,0)</f>
        <v/>
      </c>
      <c r="AA4160">
        <f>IF(AND(Z4160=1,G4160&lt;Assumptions!$C$6),1,0)</f>
        <v/>
      </c>
      <c r="AB4160">
        <f>IF(U4160=0,"",IF(Y4160=1,MAX(0,Q4160-G4160),IF(L4160=1,MAX(0,R4160-G4160),MAX(0,Assumptions!$C$6-G4160))))</f>
        <v/>
      </c>
      <c r="AC4160">
        <f>IF(Y4160=1,Q4160-F4160,"")</f>
        <v/>
      </c>
      <c r="AD4160">
        <f>IF(Y4160=1,AC4160^2,"")</f>
        <v/>
      </c>
      <c r="AE4160" s="19">
        <f>IF(Z4160=1,(H4160-M4160)*I4160,0)</f>
        <v/>
      </c>
      <c r="AF4160">
        <f>IF(G4160&lt;EDATE(Assumptions!$C$6,-12)+1,"prior_12m","last_12m")</f>
        <v/>
      </c>
      <c r="AG4160" s="21">
        <f>DATE(YEAR(G4160),MONTH(G4160),1)</f>
        <v/>
      </c>
    </row>
    <row r="4161">
      <c r="A4161" t="inlineStr">
        <is>
          <t>SPO-02220-2</t>
        </is>
      </c>
      <c r="B4161" t="inlineStr">
        <is>
          <t>SPO-02220</t>
        </is>
      </c>
      <c r="C4161" t="inlineStr">
        <is>
          <t>SUP-02</t>
        </is>
      </c>
      <c r="D4161" t="inlineStr">
        <is>
          <t>ELEC</t>
        </is>
      </c>
      <c r="E4161" t="inlineStr">
        <is>
          <t>ELEC-08</t>
        </is>
      </c>
      <c r="F4161" s="17" t="n">
        <v>46187</v>
      </c>
      <c r="G4161" s="17" t="n">
        <v>46203</v>
      </c>
      <c r="H4161" s="18" t="n">
        <v>105</v>
      </c>
      <c r="I4161" s="19" t="n">
        <v>18.67</v>
      </c>
      <c r="J4161" s="19" t="n">
        <v>18</v>
      </c>
      <c r="K4161" s="20" t="n">
        <v>0</v>
      </c>
      <c r="L4161" s="20" t="n">
        <v>0</v>
      </c>
      <c r="M4161" s="18" t="n">
        <v>105</v>
      </c>
      <c r="N4161" s="18" t="n">
        <v>105</v>
      </c>
      <c r="O4161" s="18" t="n">
        <v>0</v>
      </c>
      <c r="P4161" s="17" t="n">
        <v>46200</v>
      </c>
      <c r="Q4161" s="17" t="n">
        <v>46200</v>
      </c>
      <c r="R4161" s="17" t="n">
        <v>46200</v>
      </c>
      <c r="S4161" s="19">
        <f>H4161*I4161</f>
        <v/>
      </c>
      <c r="T4161" s="19">
        <f>H4161*J4161</f>
        <v/>
      </c>
      <c r="U4161">
        <f>IF(AND(K4161=0,G4161&lt;=Assumptions!$C$6),1,0)</f>
        <v/>
      </c>
      <c r="V4161">
        <f>IF(U4161=1,IF(M4161&gt;0,IF(P4161&lt;=G4161+Assumptions!$C$7,1,0),0),0)</f>
        <v/>
      </c>
      <c r="W4161">
        <f>IF(AND(U4161=1,M4161&gt;=H4161*(1-Assumptions!$C$8)),1,0)</f>
        <v/>
      </c>
      <c r="X4161">
        <f>IF(AND(U4161=1,N4161&gt;=H4161*(1-Assumptions!$C$8)),1,0)</f>
        <v/>
      </c>
      <c r="Y4161">
        <f>IF(ISNUMBER(Q4161),1,0)</f>
        <v/>
      </c>
      <c r="Z4161">
        <f>IF(AND(K4161=0,L4161=0,Y4161=0),1,0)</f>
        <v/>
      </c>
      <c r="AA4161">
        <f>IF(AND(Z4161=1,G4161&lt;Assumptions!$C$6),1,0)</f>
        <v/>
      </c>
      <c r="AB4161">
        <f>IF(U4161=0,"",IF(Y4161=1,MAX(0,Q4161-G4161),IF(L4161=1,MAX(0,R4161-G4161),MAX(0,Assumptions!$C$6-G4161))))</f>
        <v/>
      </c>
      <c r="AC4161">
        <f>IF(Y4161=1,Q4161-F4161,"")</f>
        <v/>
      </c>
      <c r="AD4161">
        <f>IF(Y4161=1,AC4161^2,"")</f>
        <v/>
      </c>
      <c r="AE4161" s="19">
        <f>IF(Z4161=1,(H4161-M4161)*I4161,0)</f>
        <v/>
      </c>
      <c r="AF4161">
        <f>IF(G4161&lt;EDATE(Assumptions!$C$6,-12)+1,"prior_12m","last_12m")</f>
        <v/>
      </c>
      <c r="AG4161" s="21">
        <f>DATE(YEAR(G4161),MONTH(G4161),1)</f>
        <v/>
      </c>
    </row>
    <row r="4162">
      <c r="A4162" t="inlineStr">
        <is>
          <t>SPO-02221-1</t>
        </is>
      </c>
      <c r="B4162" t="inlineStr">
        <is>
          <t>SPO-02221</t>
        </is>
      </c>
      <c r="C4162" t="inlineStr">
        <is>
          <t>SUP-02</t>
        </is>
      </c>
      <c r="D4162" t="inlineStr">
        <is>
          <t>ELEC</t>
        </is>
      </c>
      <c r="E4162" t="inlineStr">
        <is>
          <t>ELEC-08</t>
        </is>
      </c>
      <c r="F4162" s="17" t="n">
        <v>46187</v>
      </c>
      <c r="G4162" s="17" t="n">
        <v>46203</v>
      </c>
      <c r="H4162" s="18" t="n">
        <v>88</v>
      </c>
      <c r="I4162" s="19" t="n">
        <v>18.47</v>
      </c>
      <c r="J4162" s="19" t="n">
        <v>18</v>
      </c>
      <c r="K4162" s="20" t="n">
        <v>0</v>
      </c>
      <c r="L4162" s="20" t="n">
        <v>0</v>
      </c>
      <c r="M4162" s="18" t="n">
        <v>88</v>
      </c>
      <c r="N4162" s="18" t="n">
        <v>88</v>
      </c>
      <c r="O4162" s="18" t="n">
        <v>0</v>
      </c>
      <c r="P4162" s="17" t="n">
        <v>46199</v>
      </c>
      <c r="Q4162" s="17" t="n">
        <v>46199</v>
      </c>
      <c r="R4162" s="17" t="n">
        <v>46199</v>
      </c>
      <c r="S4162" s="19">
        <f>H4162*I4162</f>
        <v/>
      </c>
      <c r="T4162" s="19">
        <f>H4162*J4162</f>
        <v/>
      </c>
      <c r="U4162">
        <f>IF(AND(K4162=0,G4162&lt;=Assumptions!$C$6),1,0)</f>
        <v/>
      </c>
      <c r="V4162">
        <f>IF(U4162=1,IF(M4162&gt;0,IF(P4162&lt;=G4162+Assumptions!$C$7,1,0),0),0)</f>
        <v/>
      </c>
      <c r="W4162">
        <f>IF(AND(U4162=1,M4162&gt;=H4162*(1-Assumptions!$C$8)),1,0)</f>
        <v/>
      </c>
      <c r="X4162">
        <f>IF(AND(U4162=1,N4162&gt;=H4162*(1-Assumptions!$C$8)),1,0)</f>
        <v/>
      </c>
      <c r="Y4162">
        <f>IF(ISNUMBER(Q4162),1,0)</f>
        <v/>
      </c>
      <c r="Z4162">
        <f>IF(AND(K4162=0,L4162=0,Y4162=0),1,0)</f>
        <v/>
      </c>
      <c r="AA4162">
        <f>IF(AND(Z4162=1,G4162&lt;Assumptions!$C$6),1,0)</f>
        <v/>
      </c>
      <c r="AB4162">
        <f>IF(U4162=0,"",IF(Y4162=1,MAX(0,Q4162-G4162),IF(L4162=1,MAX(0,R4162-G4162),MAX(0,Assumptions!$C$6-G4162))))</f>
        <v/>
      </c>
      <c r="AC4162">
        <f>IF(Y4162=1,Q4162-F4162,"")</f>
        <v/>
      </c>
      <c r="AD4162">
        <f>IF(Y4162=1,AC4162^2,"")</f>
        <v/>
      </c>
      <c r="AE4162" s="19">
        <f>IF(Z4162=1,(H4162-M4162)*I4162,0)</f>
        <v/>
      </c>
      <c r="AF4162">
        <f>IF(G4162&lt;EDATE(Assumptions!$C$6,-12)+1,"prior_12m","last_12m")</f>
        <v/>
      </c>
      <c r="AG4162" s="21">
        <f>DATE(YEAR(G4162),MONTH(G4162),1)</f>
        <v/>
      </c>
    </row>
    <row r="4163">
      <c r="A4163" t="inlineStr">
        <is>
          <t>SPO-02221-2</t>
        </is>
      </c>
      <c r="B4163" t="inlineStr">
        <is>
          <t>SPO-02221</t>
        </is>
      </c>
      <c r="C4163" t="inlineStr">
        <is>
          <t>SUP-02</t>
        </is>
      </c>
      <c r="D4163" t="inlineStr">
        <is>
          <t>ELEC</t>
        </is>
      </c>
      <c r="E4163" t="inlineStr">
        <is>
          <t>ELEC-01</t>
        </is>
      </c>
      <c r="F4163" s="17" t="n">
        <v>46187</v>
      </c>
      <c r="G4163" s="17" t="n">
        <v>46203</v>
      </c>
      <c r="H4163" s="18" t="n">
        <v>53</v>
      </c>
      <c r="I4163" s="19" t="n">
        <v>39.9</v>
      </c>
      <c r="J4163" s="19" t="n">
        <v>38</v>
      </c>
      <c r="K4163" s="20" t="n">
        <v>0</v>
      </c>
      <c r="L4163" s="20" t="n">
        <v>0</v>
      </c>
      <c r="M4163" s="18" t="n">
        <v>53</v>
      </c>
      <c r="N4163" s="18" t="n">
        <v>0</v>
      </c>
      <c r="O4163" s="18" t="n">
        <v>0</v>
      </c>
      <c r="P4163" s="17" t="n">
        <v>46204</v>
      </c>
      <c r="Q4163" s="17" t="n">
        <v>46204</v>
      </c>
      <c r="R4163" s="17" t="n">
        <v>46204</v>
      </c>
      <c r="S4163" s="19">
        <f>H4163*I4163</f>
        <v/>
      </c>
      <c r="T4163" s="19">
        <f>H4163*J4163</f>
        <v/>
      </c>
      <c r="U4163">
        <f>IF(AND(K4163=0,G4163&lt;=Assumptions!$C$6),1,0)</f>
        <v/>
      </c>
      <c r="V4163">
        <f>IF(U4163=1,IF(M4163&gt;0,IF(P4163&lt;=G4163+Assumptions!$C$7,1,0),0),0)</f>
        <v/>
      </c>
      <c r="W4163">
        <f>IF(AND(U4163=1,M4163&gt;=H4163*(1-Assumptions!$C$8)),1,0)</f>
        <v/>
      </c>
      <c r="X4163">
        <f>IF(AND(U4163=1,N4163&gt;=H4163*(1-Assumptions!$C$8)),1,0)</f>
        <v/>
      </c>
      <c r="Y4163">
        <f>IF(ISNUMBER(Q4163),1,0)</f>
        <v/>
      </c>
      <c r="Z4163">
        <f>IF(AND(K4163=0,L4163=0,Y4163=0),1,0)</f>
        <v/>
      </c>
      <c r="AA4163">
        <f>IF(AND(Z4163=1,G4163&lt;Assumptions!$C$6),1,0)</f>
        <v/>
      </c>
      <c r="AB4163">
        <f>IF(U4163=0,"",IF(Y4163=1,MAX(0,Q4163-G4163),IF(L4163=1,MAX(0,R4163-G4163),MAX(0,Assumptions!$C$6-G4163))))</f>
        <v/>
      </c>
      <c r="AC4163">
        <f>IF(Y4163=1,Q4163-F4163,"")</f>
        <v/>
      </c>
      <c r="AD4163">
        <f>IF(Y4163=1,AC4163^2,"")</f>
        <v/>
      </c>
      <c r="AE4163" s="19">
        <f>IF(Z4163=1,(H4163-M4163)*I4163,0)</f>
        <v/>
      </c>
      <c r="AF4163">
        <f>IF(G4163&lt;EDATE(Assumptions!$C$6,-12)+1,"prior_12m","last_12m")</f>
        <v/>
      </c>
      <c r="AG4163" s="21">
        <f>DATE(YEAR(G4163),MONTH(G4163),1)</f>
        <v/>
      </c>
    </row>
    <row r="4164">
      <c r="A4164" t="inlineStr">
        <is>
          <t>SPO-02222-1</t>
        </is>
      </c>
      <c r="B4164" t="inlineStr">
        <is>
          <t>SPO-02222</t>
        </is>
      </c>
      <c r="C4164" t="inlineStr">
        <is>
          <t>SUP-02</t>
        </is>
      </c>
      <c r="D4164" t="inlineStr">
        <is>
          <t>ELEC</t>
        </is>
      </c>
      <c r="E4164" t="inlineStr">
        <is>
          <t>ELEC-05</t>
        </is>
      </c>
      <c r="F4164" s="17" t="n">
        <v>46188</v>
      </c>
      <c r="G4164" s="17" t="n">
        <v>46204</v>
      </c>
      <c r="H4164" s="18" t="n">
        <v>151</v>
      </c>
      <c r="I4164" s="19" t="n">
        <v>11.27</v>
      </c>
      <c r="J4164" s="19" t="n">
        <v>11.5</v>
      </c>
      <c r="K4164" s="20" t="n">
        <v>0</v>
      </c>
      <c r="L4164" s="20" t="n">
        <v>0</v>
      </c>
      <c r="M4164" s="18" t="n">
        <v>151</v>
      </c>
      <c r="N4164" s="18" t="n">
        <v>117</v>
      </c>
      <c r="O4164" s="18" t="n">
        <v>0</v>
      </c>
      <c r="P4164" s="17" t="n">
        <v>46201</v>
      </c>
      <c r="Q4164" s="17" t="n">
        <v>46218</v>
      </c>
      <c r="R4164" s="17" t="n">
        <v>46218</v>
      </c>
      <c r="S4164" s="19">
        <f>H4164*I4164</f>
        <v/>
      </c>
      <c r="T4164" s="19">
        <f>H4164*J4164</f>
        <v/>
      </c>
      <c r="U4164">
        <f>IF(AND(K4164=0,G4164&lt;=Assumptions!$C$6),1,0)</f>
        <v/>
      </c>
      <c r="V4164">
        <f>IF(U4164=1,IF(M4164&gt;0,IF(P4164&lt;=G4164+Assumptions!$C$7,1,0),0),0)</f>
        <v/>
      </c>
      <c r="W4164">
        <f>IF(AND(U4164=1,M4164&gt;=H4164*(1-Assumptions!$C$8)),1,0)</f>
        <v/>
      </c>
      <c r="X4164">
        <f>IF(AND(U4164=1,N4164&gt;=H4164*(1-Assumptions!$C$8)),1,0)</f>
        <v/>
      </c>
      <c r="Y4164">
        <f>IF(ISNUMBER(Q4164),1,0)</f>
        <v/>
      </c>
      <c r="Z4164">
        <f>IF(AND(K4164=0,L4164=0,Y4164=0),1,0)</f>
        <v/>
      </c>
      <c r="AA4164">
        <f>IF(AND(Z4164=1,G4164&lt;Assumptions!$C$6),1,0)</f>
        <v/>
      </c>
      <c r="AB4164">
        <f>IF(U4164=0,"",IF(Y4164=1,MAX(0,Q4164-G4164),IF(L4164=1,MAX(0,R4164-G4164),MAX(0,Assumptions!$C$6-G4164))))</f>
        <v/>
      </c>
      <c r="AC4164">
        <f>IF(Y4164=1,Q4164-F4164,"")</f>
        <v/>
      </c>
      <c r="AD4164">
        <f>IF(Y4164=1,AC4164^2,"")</f>
        <v/>
      </c>
      <c r="AE4164" s="19">
        <f>IF(Z4164=1,(H4164-M4164)*I4164,0)</f>
        <v/>
      </c>
      <c r="AF4164">
        <f>IF(G4164&lt;EDATE(Assumptions!$C$6,-12)+1,"prior_12m","last_12m")</f>
        <v/>
      </c>
      <c r="AG4164" s="21">
        <f>DATE(YEAR(G4164),MONTH(G4164),1)</f>
        <v/>
      </c>
    </row>
    <row r="4165">
      <c r="A4165" t="inlineStr">
        <is>
          <t>SPO-02222-2</t>
        </is>
      </c>
      <c r="B4165" t="inlineStr">
        <is>
          <t>SPO-02222</t>
        </is>
      </c>
      <c r="C4165" t="inlineStr">
        <is>
          <t>SUP-02</t>
        </is>
      </c>
      <c r="D4165" t="inlineStr">
        <is>
          <t>ELEC</t>
        </is>
      </c>
      <c r="E4165" t="inlineStr">
        <is>
          <t>ELEC-07</t>
        </is>
      </c>
      <c r="F4165" s="17" t="n">
        <v>46188</v>
      </c>
      <c r="G4165" s="17" t="n">
        <v>46204</v>
      </c>
      <c r="H4165" s="18" t="n">
        <v>121</v>
      </c>
      <c r="I4165" s="19" t="n">
        <v>10.07</v>
      </c>
      <c r="J4165" s="19" t="n">
        <v>9.800000000000001</v>
      </c>
      <c r="K4165" s="20" t="n">
        <v>0</v>
      </c>
      <c r="L4165" s="20" t="n">
        <v>0</v>
      </c>
      <c r="M4165" s="18" t="n">
        <v>121</v>
      </c>
      <c r="N4165" s="18" t="n">
        <v>121</v>
      </c>
      <c r="O4165" s="18" t="n">
        <v>0</v>
      </c>
      <c r="P4165" s="17" t="n">
        <v>46201</v>
      </c>
      <c r="Q4165" s="17" t="n">
        <v>46201</v>
      </c>
      <c r="R4165" s="17" t="n">
        <v>46201</v>
      </c>
      <c r="S4165" s="19">
        <f>H4165*I4165</f>
        <v/>
      </c>
      <c r="T4165" s="19">
        <f>H4165*J4165</f>
        <v/>
      </c>
      <c r="U4165">
        <f>IF(AND(K4165=0,G4165&lt;=Assumptions!$C$6),1,0)</f>
        <v/>
      </c>
      <c r="V4165">
        <f>IF(U4165=1,IF(M4165&gt;0,IF(P4165&lt;=G4165+Assumptions!$C$7,1,0),0),0)</f>
        <v/>
      </c>
      <c r="W4165">
        <f>IF(AND(U4165=1,M4165&gt;=H4165*(1-Assumptions!$C$8)),1,0)</f>
        <v/>
      </c>
      <c r="X4165">
        <f>IF(AND(U4165=1,N4165&gt;=H4165*(1-Assumptions!$C$8)),1,0)</f>
        <v/>
      </c>
      <c r="Y4165">
        <f>IF(ISNUMBER(Q4165),1,0)</f>
        <v/>
      </c>
      <c r="Z4165">
        <f>IF(AND(K4165=0,L4165=0,Y4165=0),1,0)</f>
        <v/>
      </c>
      <c r="AA4165">
        <f>IF(AND(Z4165=1,G4165&lt;Assumptions!$C$6),1,0)</f>
        <v/>
      </c>
      <c r="AB4165">
        <f>IF(U4165=0,"",IF(Y4165=1,MAX(0,Q4165-G4165),IF(L4165=1,MAX(0,R4165-G4165),MAX(0,Assumptions!$C$6-G4165))))</f>
        <v/>
      </c>
      <c r="AC4165">
        <f>IF(Y4165=1,Q4165-F4165,"")</f>
        <v/>
      </c>
      <c r="AD4165">
        <f>IF(Y4165=1,AC4165^2,"")</f>
        <v/>
      </c>
      <c r="AE4165" s="19">
        <f>IF(Z4165=1,(H4165-M4165)*I4165,0)</f>
        <v/>
      </c>
      <c r="AF4165">
        <f>IF(G4165&lt;EDATE(Assumptions!$C$6,-12)+1,"prior_12m","last_12m")</f>
        <v/>
      </c>
      <c r="AG4165" s="21">
        <f>DATE(YEAR(G4165),MONTH(G4165),1)</f>
        <v/>
      </c>
    </row>
    <row r="4166">
      <c r="A4166" t="inlineStr">
        <is>
          <t>SPO-02222-3</t>
        </is>
      </c>
      <c r="B4166" t="inlineStr">
        <is>
          <t>SPO-02222</t>
        </is>
      </c>
      <c r="C4166" t="inlineStr">
        <is>
          <t>SUP-02</t>
        </is>
      </c>
      <c r="D4166" t="inlineStr">
        <is>
          <t>ELEC</t>
        </is>
      </c>
      <c r="E4166" t="inlineStr">
        <is>
          <t>ELEC-03</t>
        </is>
      </c>
      <c r="F4166" s="17" t="n">
        <v>46188</v>
      </c>
      <c r="G4166" s="17" t="n">
        <v>46204</v>
      </c>
      <c r="H4166" s="18" t="n">
        <v>7</v>
      </c>
      <c r="I4166" s="19" t="n">
        <v>102.73</v>
      </c>
      <c r="J4166" s="19" t="n">
        <v>96</v>
      </c>
      <c r="K4166" s="20" t="n">
        <v>0</v>
      </c>
      <c r="L4166" s="20" t="n">
        <v>0</v>
      </c>
      <c r="M4166" s="18" t="n">
        <v>7</v>
      </c>
      <c r="N4166" s="18" t="n">
        <v>7</v>
      </c>
      <c r="O4166" s="18" t="n">
        <v>0</v>
      </c>
      <c r="P4166" s="17" t="n">
        <v>46200</v>
      </c>
      <c r="Q4166" s="17" t="n">
        <v>46200</v>
      </c>
      <c r="R4166" s="17" t="n">
        <v>46200</v>
      </c>
      <c r="S4166" s="19">
        <f>H4166*I4166</f>
        <v/>
      </c>
      <c r="T4166" s="19">
        <f>H4166*J4166</f>
        <v/>
      </c>
      <c r="U4166">
        <f>IF(AND(K4166=0,G4166&lt;=Assumptions!$C$6),1,0)</f>
        <v/>
      </c>
      <c r="V4166">
        <f>IF(U4166=1,IF(M4166&gt;0,IF(P4166&lt;=G4166+Assumptions!$C$7,1,0),0),0)</f>
        <v/>
      </c>
      <c r="W4166">
        <f>IF(AND(U4166=1,M4166&gt;=H4166*(1-Assumptions!$C$8)),1,0)</f>
        <v/>
      </c>
      <c r="X4166">
        <f>IF(AND(U4166=1,N4166&gt;=H4166*(1-Assumptions!$C$8)),1,0)</f>
        <v/>
      </c>
      <c r="Y4166">
        <f>IF(ISNUMBER(Q4166),1,0)</f>
        <v/>
      </c>
      <c r="Z4166">
        <f>IF(AND(K4166=0,L4166=0,Y4166=0),1,0)</f>
        <v/>
      </c>
      <c r="AA4166">
        <f>IF(AND(Z4166=1,G4166&lt;Assumptions!$C$6),1,0)</f>
        <v/>
      </c>
      <c r="AB4166">
        <f>IF(U4166=0,"",IF(Y4166=1,MAX(0,Q4166-G4166),IF(L4166=1,MAX(0,R4166-G4166),MAX(0,Assumptions!$C$6-G4166))))</f>
        <v/>
      </c>
      <c r="AC4166">
        <f>IF(Y4166=1,Q4166-F4166,"")</f>
        <v/>
      </c>
      <c r="AD4166">
        <f>IF(Y4166=1,AC4166^2,"")</f>
        <v/>
      </c>
      <c r="AE4166" s="19">
        <f>IF(Z4166=1,(H4166-M4166)*I4166,0)</f>
        <v/>
      </c>
      <c r="AF4166">
        <f>IF(G4166&lt;EDATE(Assumptions!$C$6,-12)+1,"prior_12m","last_12m")</f>
        <v/>
      </c>
      <c r="AG4166" s="21">
        <f>DATE(YEAR(G4166),MONTH(G4166),1)</f>
        <v/>
      </c>
    </row>
    <row r="4167">
      <c r="A4167" t="inlineStr">
        <is>
          <t>SPO-02222-4</t>
        </is>
      </c>
      <c r="B4167" t="inlineStr">
        <is>
          <t>SPO-02222</t>
        </is>
      </c>
      <c r="C4167" t="inlineStr">
        <is>
          <t>SUP-02</t>
        </is>
      </c>
      <c r="D4167" t="inlineStr">
        <is>
          <t>ELEC</t>
        </is>
      </c>
      <c r="E4167" t="inlineStr">
        <is>
          <t>ELEC-01</t>
        </is>
      </c>
      <c r="F4167" s="17" t="n">
        <v>46188</v>
      </c>
      <c r="G4167" s="17" t="n">
        <v>46204</v>
      </c>
      <c r="H4167" s="18" t="n">
        <v>48</v>
      </c>
      <c r="I4167" s="19" t="n">
        <v>38.82</v>
      </c>
      <c r="J4167" s="19" t="n">
        <v>38</v>
      </c>
      <c r="K4167" s="20" t="n">
        <v>0</v>
      </c>
      <c r="L4167" s="20" t="n">
        <v>0</v>
      </c>
      <c r="M4167" s="18" t="n">
        <v>48</v>
      </c>
      <c r="N4167" s="18" t="n">
        <v>48</v>
      </c>
      <c r="O4167" s="18" t="n">
        <v>0</v>
      </c>
      <c r="P4167" s="17" t="n">
        <v>46202</v>
      </c>
      <c r="Q4167" s="17" t="n">
        <v>46202</v>
      </c>
      <c r="R4167" s="17" t="n">
        <v>46202</v>
      </c>
      <c r="S4167" s="19">
        <f>H4167*I4167</f>
        <v/>
      </c>
      <c r="T4167" s="19">
        <f>H4167*J4167</f>
        <v/>
      </c>
      <c r="U4167">
        <f>IF(AND(K4167=0,G4167&lt;=Assumptions!$C$6),1,0)</f>
        <v/>
      </c>
      <c r="V4167">
        <f>IF(U4167=1,IF(M4167&gt;0,IF(P4167&lt;=G4167+Assumptions!$C$7,1,0),0),0)</f>
        <v/>
      </c>
      <c r="W4167">
        <f>IF(AND(U4167=1,M4167&gt;=H4167*(1-Assumptions!$C$8)),1,0)</f>
        <v/>
      </c>
      <c r="X4167">
        <f>IF(AND(U4167=1,N4167&gt;=H4167*(1-Assumptions!$C$8)),1,0)</f>
        <v/>
      </c>
      <c r="Y4167">
        <f>IF(ISNUMBER(Q4167),1,0)</f>
        <v/>
      </c>
      <c r="Z4167">
        <f>IF(AND(K4167=0,L4167=0,Y4167=0),1,0)</f>
        <v/>
      </c>
      <c r="AA4167">
        <f>IF(AND(Z4167=1,G4167&lt;Assumptions!$C$6),1,0)</f>
        <v/>
      </c>
      <c r="AB4167">
        <f>IF(U4167=0,"",IF(Y4167=1,MAX(0,Q4167-G4167),IF(L4167=1,MAX(0,R4167-G4167),MAX(0,Assumptions!$C$6-G4167))))</f>
        <v/>
      </c>
      <c r="AC4167">
        <f>IF(Y4167=1,Q4167-F4167,"")</f>
        <v/>
      </c>
      <c r="AD4167">
        <f>IF(Y4167=1,AC4167^2,"")</f>
        <v/>
      </c>
      <c r="AE4167" s="19">
        <f>IF(Z4167=1,(H4167-M4167)*I4167,0)</f>
        <v/>
      </c>
      <c r="AF4167">
        <f>IF(G4167&lt;EDATE(Assumptions!$C$6,-12)+1,"prior_12m","last_12m")</f>
        <v/>
      </c>
      <c r="AG4167" s="21">
        <f>DATE(YEAR(G4167),MONTH(G4167),1)</f>
        <v/>
      </c>
    </row>
    <row r="4168">
      <c r="A4168" t="inlineStr">
        <is>
          <t>SPO-02223-1</t>
        </is>
      </c>
      <c r="B4168" t="inlineStr">
        <is>
          <t>SPO-02223</t>
        </is>
      </c>
      <c r="C4168" t="inlineStr">
        <is>
          <t>SUP-12</t>
        </is>
      </c>
      <c r="D4168" t="inlineStr">
        <is>
          <t>IT</t>
        </is>
      </c>
      <c r="E4168" t="inlineStr">
        <is>
          <t>IT-06</t>
        </is>
      </c>
      <c r="F4168" s="17" t="n">
        <v>46188</v>
      </c>
      <c r="G4168" s="17" t="n">
        <v>46198</v>
      </c>
      <c r="H4168" s="18" t="n">
        <v>10</v>
      </c>
      <c r="I4168" s="19" t="n">
        <v>101.97</v>
      </c>
      <c r="J4168" s="19" t="n">
        <v>89</v>
      </c>
      <c r="K4168" s="20" t="n">
        <v>0</v>
      </c>
      <c r="L4168" s="20" t="n">
        <v>0</v>
      </c>
      <c r="M4168" s="18" t="n">
        <v>10</v>
      </c>
      <c r="N4168" s="18" t="n">
        <v>10</v>
      </c>
      <c r="O4168" s="18" t="n">
        <v>0</v>
      </c>
      <c r="P4168" s="17" t="n">
        <v>46194</v>
      </c>
      <c r="Q4168" s="17" t="n">
        <v>46194</v>
      </c>
      <c r="R4168" s="17" t="n">
        <v>46194</v>
      </c>
      <c r="S4168" s="19">
        <f>H4168*I4168</f>
        <v/>
      </c>
      <c r="T4168" s="19">
        <f>H4168*J4168</f>
        <v/>
      </c>
      <c r="U4168">
        <f>IF(AND(K4168=0,G4168&lt;=Assumptions!$C$6),1,0)</f>
        <v/>
      </c>
      <c r="V4168">
        <f>IF(U4168=1,IF(M4168&gt;0,IF(P4168&lt;=G4168+Assumptions!$C$7,1,0),0),0)</f>
        <v/>
      </c>
      <c r="W4168">
        <f>IF(AND(U4168=1,M4168&gt;=H4168*(1-Assumptions!$C$8)),1,0)</f>
        <v/>
      </c>
      <c r="X4168">
        <f>IF(AND(U4168=1,N4168&gt;=H4168*(1-Assumptions!$C$8)),1,0)</f>
        <v/>
      </c>
      <c r="Y4168">
        <f>IF(ISNUMBER(Q4168),1,0)</f>
        <v/>
      </c>
      <c r="Z4168">
        <f>IF(AND(K4168=0,L4168=0,Y4168=0),1,0)</f>
        <v/>
      </c>
      <c r="AA4168">
        <f>IF(AND(Z4168=1,G4168&lt;Assumptions!$C$6),1,0)</f>
        <v/>
      </c>
      <c r="AB4168">
        <f>IF(U4168=0,"",IF(Y4168=1,MAX(0,Q4168-G4168),IF(L4168=1,MAX(0,R4168-G4168),MAX(0,Assumptions!$C$6-G4168))))</f>
        <v/>
      </c>
      <c r="AC4168">
        <f>IF(Y4168=1,Q4168-F4168,"")</f>
        <v/>
      </c>
      <c r="AD4168">
        <f>IF(Y4168=1,AC4168^2,"")</f>
        <v/>
      </c>
      <c r="AE4168" s="19">
        <f>IF(Z4168=1,(H4168-M4168)*I4168,0)</f>
        <v/>
      </c>
      <c r="AF4168">
        <f>IF(G4168&lt;EDATE(Assumptions!$C$6,-12)+1,"prior_12m","last_12m")</f>
        <v/>
      </c>
      <c r="AG4168" s="21">
        <f>DATE(YEAR(G4168),MONTH(G4168),1)</f>
        <v/>
      </c>
    </row>
    <row r="4169">
      <c r="A4169" t="inlineStr">
        <is>
          <t>SPO-02223-2</t>
        </is>
      </c>
      <c r="B4169" t="inlineStr">
        <is>
          <t>SPO-02223</t>
        </is>
      </c>
      <c r="C4169" t="inlineStr">
        <is>
          <t>SUP-12</t>
        </is>
      </c>
      <c r="D4169" t="inlineStr">
        <is>
          <t>IT</t>
        </is>
      </c>
      <c r="E4169" t="inlineStr">
        <is>
          <t>IT-01</t>
        </is>
      </c>
      <c r="F4169" s="17" t="n">
        <v>46188</v>
      </c>
      <c r="G4169" s="17" t="n">
        <v>46198</v>
      </c>
      <c r="H4169" s="18" t="n">
        <v>6</v>
      </c>
      <c r="I4169" s="19" t="n">
        <v>228.22</v>
      </c>
      <c r="J4169" s="19" t="n">
        <v>189</v>
      </c>
      <c r="K4169" s="20" t="n">
        <v>0</v>
      </c>
      <c r="L4169" s="20" t="n">
        <v>0</v>
      </c>
      <c r="M4169" s="18" t="n">
        <v>6</v>
      </c>
      <c r="N4169" s="18" t="n">
        <v>6</v>
      </c>
      <c r="O4169" s="18" t="n">
        <v>0</v>
      </c>
      <c r="P4169" s="17" t="n">
        <v>46198</v>
      </c>
      <c r="Q4169" s="17" t="n">
        <v>46198</v>
      </c>
      <c r="R4169" s="17" t="n">
        <v>46198</v>
      </c>
      <c r="S4169" s="19">
        <f>H4169*I4169</f>
        <v/>
      </c>
      <c r="T4169" s="19">
        <f>H4169*J4169</f>
        <v/>
      </c>
      <c r="U4169">
        <f>IF(AND(K4169=0,G4169&lt;=Assumptions!$C$6),1,0)</f>
        <v/>
      </c>
      <c r="V4169">
        <f>IF(U4169=1,IF(M4169&gt;0,IF(P4169&lt;=G4169+Assumptions!$C$7,1,0),0),0)</f>
        <v/>
      </c>
      <c r="W4169">
        <f>IF(AND(U4169=1,M4169&gt;=H4169*(1-Assumptions!$C$8)),1,0)</f>
        <v/>
      </c>
      <c r="X4169">
        <f>IF(AND(U4169=1,N4169&gt;=H4169*(1-Assumptions!$C$8)),1,0)</f>
        <v/>
      </c>
      <c r="Y4169">
        <f>IF(ISNUMBER(Q4169),1,0)</f>
        <v/>
      </c>
      <c r="Z4169">
        <f>IF(AND(K4169=0,L4169=0,Y4169=0),1,0)</f>
        <v/>
      </c>
      <c r="AA4169">
        <f>IF(AND(Z4169=1,G4169&lt;Assumptions!$C$6),1,0)</f>
        <v/>
      </c>
      <c r="AB4169">
        <f>IF(U4169=0,"",IF(Y4169=1,MAX(0,Q4169-G4169),IF(L4169=1,MAX(0,R4169-G4169),MAX(0,Assumptions!$C$6-G4169))))</f>
        <v/>
      </c>
      <c r="AC4169">
        <f>IF(Y4169=1,Q4169-F4169,"")</f>
        <v/>
      </c>
      <c r="AD4169">
        <f>IF(Y4169=1,AC4169^2,"")</f>
        <v/>
      </c>
      <c r="AE4169" s="19">
        <f>IF(Z4169=1,(H4169-M4169)*I4169,0)</f>
        <v/>
      </c>
      <c r="AF4169">
        <f>IF(G4169&lt;EDATE(Assumptions!$C$6,-12)+1,"prior_12m","last_12m")</f>
        <v/>
      </c>
      <c r="AG4169" s="21">
        <f>DATE(YEAR(G4169),MONTH(G4169),1)</f>
        <v/>
      </c>
    </row>
    <row r="4170">
      <c r="A4170" t="inlineStr">
        <is>
          <t>SPO-02224-1</t>
        </is>
      </c>
      <c r="B4170" t="inlineStr">
        <is>
          <t>SPO-02224</t>
        </is>
      </c>
      <c r="C4170" t="inlineStr">
        <is>
          <t>SUP-12</t>
        </is>
      </c>
      <c r="D4170" t="inlineStr">
        <is>
          <t>IT</t>
        </is>
      </c>
      <c r="E4170" t="inlineStr">
        <is>
          <t>IT-08</t>
        </is>
      </c>
      <c r="F4170" s="17" t="n">
        <v>46188</v>
      </c>
      <c r="G4170" s="17" t="n">
        <v>46198</v>
      </c>
      <c r="H4170" s="18" t="n">
        <v>7</v>
      </c>
      <c r="I4170" s="19" t="n">
        <v>279.33</v>
      </c>
      <c r="J4170" s="19" t="n">
        <v>245</v>
      </c>
      <c r="K4170" s="20" t="n">
        <v>0</v>
      </c>
      <c r="L4170" s="20" t="n">
        <v>0</v>
      </c>
      <c r="M4170" s="18" t="n">
        <v>7</v>
      </c>
      <c r="N4170" s="18" t="n">
        <v>7</v>
      </c>
      <c r="O4170" s="18" t="n">
        <v>0</v>
      </c>
      <c r="P4170" s="17" t="n">
        <v>46193</v>
      </c>
      <c r="Q4170" s="17" t="n">
        <v>46193</v>
      </c>
      <c r="R4170" s="17" t="n">
        <v>46193</v>
      </c>
      <c r="S4170" s="19">
        <f>H4170*I4170</f>
        <v/>
      </c>
      <c r="T4170" s="19">
        <f>H4170*J4170</f>
        <v/>
      </c>
      <c r="U4170">
        <f>IF(AND(K4170=0,G4170&lt;=Assumptions!$C$6),1,0)</f>
        <v/>
      </c>
      <c r="V4170">
        <f>IF(U4170=1,IF(M4170&gt;0,IF(P4170&lt;=G4170+Assumptions!$C$7,1,0),0),0)</f>
        <v/>
      </c>
      <c r="W4170">
        <f>IF(AND(U4170=1,M4170&gt;=H4170*(1-Assumptions!$C$8)),1,0)</f>
        <v/>
      </c>
      <c r="X4170">
        <f>IF(AND(U4170=1,N4170&gt;=H4170*(1-Assumptions!$C$8)),1,0)</f>
        <v/>
      </c>
      <c r="Y4170">
        <f>IF(ISNUMBER(Q4170),1,0)</f>
        <v/>
      </c>
      <c r="Z4170">
        <f>IF(AND(K4170=0,L4170=0,Y4170=0),1,0)</f>
        <v/>
      </c>
      <c r="AA4170">
        <f>IF(AND(Z4170=1,G4170&lt;Assumptions!$C$6),1,0)</f>
        <v/>
      </c>
      <c r="AB4170">
        <f>IF(U4170=0,"",IF(Y4170=1,MAX(0,Q4170-G4170),IF(L4170=1,MAX(0,R4170-G4170),MAX(0,Assumptions!$C$6-G4170))))</f>
        <v/>
      </c>
      <c r="AC4170">
        <f>IF(Y4170=1,Q4170-F4170,"")</f>
        <v/>
      </c>
      <c r="AD4170">
        <f>IF(Y4170=1,AC4170^2,"")</f>
        <v/>
      </c>
      <c r="AE4170" s="19">
        <f>IF(Z4170=1,(H4170-M4170)*I4170,0)</f>
        <v/>
      </c>
      <c r="AF4170">
        <f>IF(G4170&lt;EDATE(Assumptions!$C$6,-12)+1,"prior_12m","last_12m")</f>
        <v/>
      </c>
      <c r="AG4170" s="21">
        <f>DATE(YEAR(G4170),MONTH(G4170),1)</f>
        <v/>
      </c>
    </row>
    <row r="4171">
      <c r="A4171" t="inlineStr">
        <is>
          <t>SPO-02224-2</t>
        </is>
      </c>
      <c r="B4171" t="inlineStr">
        <is>
          <t>SPO-02224</t>
        </is>
      </c>
      <c r="C4171" t="inlineStr">
        <is>
          <t>SUP-12</t>
        </is>
      </c>
      <c r="D4171" t="inlineStr">
        <is>
          <t>IT</t>
        </is>
      </c>
      <c r="E4171" t="inlineStr">
        <is>
          <t>IT-01</t>
        </is>
      </c>
      <c r="F4171" s="17" t="n">
        <v>46188</v>
      </c>
      <c r="G4171" s="17" t="n">
        <v>46198</v>
      </c>
      <c r="H4171" s="18" t="n">
        <v>9</v>
      </c>
      <c r="I4171" s="19" t="n">
        <v>211.34</v>
      </c>
      <c r="J4171" s="19" t="n">
        <v>189</v>
      </c>
      <c r="K4171" s="20" t="n">
        <v>0</v>
      </c>
      <c r="L4171" s="20" t="n">
        <v>0</v>
      </c>
      <c r="M4171" s="18" t="n">
        <v>9</v>
      </c>
      <c r="N4171" s="18" t="n">
        <v>9</v>
      </c>
      <c r="O4171" s="18" t="n">
        <v>0</v>
      </c>
      <c r="P4171" s="17" t="n">
        <v>46198</v>
      </c>
      <c r="Q4171" s="17" t="n">
        <v>46198</v>
      </c>
      <c r="R4171" s="17" t="n">
        <v>46198</v>
      </c>
      <c r="S4171" s="19">
        <f>H4171*I4171</f>
        <v/>
      </c>
      <c r="T4171" s="19">
        <f>H4171*J4171</f>
        <v/>
      </c>
      <c r="U4171">
        <f>IF(AND(K4171=0,G4171&lt;=Assumptions!$C$6),1,0)</f>
        <v/>
      </c>
      <c r="V4171">
        <f>IF(U4171=1,IF(M4171&gt;0,IF(P4171&lt;=G4171+Assumptions!$C$7,1,0),0),0)</f>
        <v/>
      </c>
      <c r="W4171">
        <f>IF(AND(U4171=1,M4171&gt;=H4171*(1-Assumptions!$C$8)),1,0)</f>
        <v/>
      </c>
      <c r="X4171">
        <f>IF(AND(U4171=1,N4171&gt;=H4171*(1-Assumptions!$C$8)),1,0)</f>
        <v/>
      </c>
      <c r="Y4171">
        <f>IF(ISNUMBER(Q4171),1,0)</f>
        <v/>
      </c>
      <c r="Z4171">
        <f>IF(AND(K4171=0,L4171=0,Y4171=0),1,0)</f>
        <v/>
      </c>
      <c r="AA4171">
        <f>IF(AND(Z4171=1,G4171&lt;Assumptions!$C$6),1,0)</f>
        <v/>
      </c>
      <c r="AB4171">
        <f>IF(U4171=0,"",IF(Y4171=1,MAX(0,Q4171-G4171),IF(L4171=1,MAX(0,R4171-G4171),MAX(0,Assumptions!$C$6-G4171))))</f>
        <v/>
      </c>
      <c r="AC4171">
        <f>IF(Y4171=1,Q4171-F4171,"")</f>
        <v/>
      </c>
      <c r="AD4171">
        <f>IF(Y4171=1,AC4171^2,"")</f>
        <v/>
      </c>
      <c r="AE4171" s="19">
        <f>IF(Z4171=1,(H4171-M4171)*I4171,0)</f>
        <v/>
      </c>
      <c r="AF4171">
        <f>IF(G4171&lt;EDATE(Assumptions!$C$6,-12)+1,"prior_12m","last_12m")</f>
        <v/>
      </c>
      <c r="AG4171" s="21">
        <f>DATE(YEAR(G4171),MONTH(G4171),1)</f>
        <v/>
      </c>
    </row>
    <row r="4172">
      <c r="A4172" t="inlineStr">
        <is>
          <t>SPO-02225-1</t>
        </is>
      </c>
      <c r="B4172" t="inlineStr">
        <is>
          <t>SPO-02225</t>
        </is>
      </c>
      <c r="C4172" t="inlineStr">
        <is>
          <t>SUP-01</t>
        </is>
      </c>
      <c r="D4172" t="inlineStr">
        <is>
          <t>ELEC</t>
        </is>
      </c>
      <c r="E4172" t="inlineStr">
        <is>
          <t>ELEC-03</t>
        </is>
      </c>
      <c r="F4172" s="17" t="n">
        <v>46188</v>
      </c>
      <c r="G4172" s="17" t="n">
        <v>46206</v>
      </c>
      <c r="H4172" s="18" t="n">
        <v>17</v>
      </c>
      <c r="I4172" s="19" t="n">
        <v>98.90000000000001</v>
      </c>
      <c r="J4172" s="19" t="n">
        <v>96</v>
      </c>
      <c r="K4172" s="20" t="n">
        <v>0</v>
      </c>
      <c r="L4172" s="20" t="n">
        <v>0</v>
      </c>
      <c r="M4172" s="18" t="n">
        <v>17</v>
      </c>
      <c r="N4172" s="18" t="n">
        <v>17</v>
      </c>
      <c r="O4172" s="18" t="n">
        <v>0</v>
      </c>
      <c r="P4172" s="17" t="n">
        <v>46197</v>
      </c>
      <c r="Q4172" s="17" t="n">
        <v>46197</v>
      </c>
      <c r="R4172" s="17" t="n">
        <v>46197</v>
      </c>
      <c r="S4172" s="19">
        <f>H4172*I4172</f>
        <v/>
      </c>
      <c r="T4172" s="19">
        <f>H4172*J4172</f>
        <v/>
      </c>
      <c r="U4172">
        <f>IF(AND(K4172=0,G4172&lt;=Assumptions!$C$6),1,0)</f>
        <v/>
      </c>
      <c r="V4172">
        <f>IF(U4172=1,IF(M4172&gt;0,IF(P4172&lt;=G4172+Assumptions!$C$7,1,0),0),0)</f>
        <v/>
      </c>
      <c r="W4172">
        <f>IF(AND(U4172=1,M4172&gt;=H4172*(1-Assumptions!$C$8)),1,0)</f>
        <v/>
      </c>
      <c r="X4172">
        <f>IF(AND(U4172=1,N4172&gt;=H4172*(1-Assumptions!$C$8)),1,0)</f>
        <v/>
      </c>
      <c r="Y4172">
        <f>IF(ISNUMBER(Q4172),1,0)</f>
        <v/>
      </c>
      <c r="Z4172">
        <f>IF(AND(K4172=0,L4172=0,Y4172=0),1,0)</f>
        <v/>
      </c>
      <c r="AA4172">
        <f>IF(AND(Z4172=1,G4172&lt;Assumptions!$C$6),1,0)</f>
        <v/>
      </c>
      <c r="AB4172">
        <f>IF(U4172=0,"",IF(Y4172=1,MAX(0,Q4172-G4172),IF(L4172=1,MAX(0,R4172-G4172),MAX(0,Assumptions!$C$6-G4172))))</f>
        <v/>
      </c>
      <c r="AC4172">
        <f>IF(Y4172=1,Q4172-F4172,"")</f>
        <v/>
      </c>
      <c r="AD4172">
        <f>IF(Y4172=1,AC4172^2,"")</f>
        <v/>
      </c>
      <c r="AE4172" s="19">
        <f>IF(Z4172=1,(H4172-M4172)*I4172,0)</f>
        <v/>
      </c>
      <c r="AF4172">
        <f>IF(G4172&lt;EDATE(Assumptions!$C$6,-12)+1,"prior_12m","last_12m")</f>
        <v/>
      </c>
      <c r="AG4172" s="21">
        <f>DATE(YEAR(G4172),MONTH(G4172),1)</f>
        <v/>
      </c>
    </row>
    <row r="4173">
      <c r="A4173" t="inlineStr">
        <is>
          <t>SPO-02225-2</t>
        </is>
      </c>
      <c r="B4173" t="inlineStr">
        <is>
          <t>SPO-02225</t>
        </is>
      </c>
      <c r="C4173" t="inlineStr">
        <is>
          <t>SUP-01</t>
        </is>
      </c>
      <c r="D4173" t="inlineStr">
        <is>
          <t>ELEC</t>
        </is>
      </c>
      <c r="E4173" t="inlineStr">
        <is>
          <t>ELEC-07</t>
        </is>
      </c>
      <c r="F4173" s="17" t="n">
        <v>46188</v>
      </c>
      <c r="G4173" s="17" t="n">
        <v>46206</v>
      </c>
      <c r="H4173" s="18" t="n">
        <v>215</v>
      </c>
      <c r="I4173" s="19" t="n">
        <v>9.630000000000001</v>
      </c>
      <c r="J4173" s="19" t="n">
        <v>9.800000000000001</v>
      </c>
      <c r="K4173" s="20" t="n">
        <v>0</v>
      </c>
      <c r="L4173" s="20" t="n">
        <v>0</v>
      </c>
      <c r="M4173" s="18" t="n">
        <v>215</v>
      </c>
      <c r="N4173" s="18" t="n">
        <v>0</v>
      </c>
      <c r="O4173" s="18" t="n">
        <v>0</v>
      </c>
      <c r="P4173" s="17" t="n">
        <v>46211</v>
      </c>
      <c r="Q4173" s="17" t="n">
        <v>46211</v>
      </c>
      <c r="R4173" s="17" t="n">
        <v>46211</v>
      </c>
      <c r="S4173" s="19">
        <f>H4173*I4173</f>
        <v/>
      </c>
      <c r="T4173" s="19">
        <f>H4173*J4173</f>
        <v/>
      </c>
      <c r="U4173">
        <f>IF(AND(K4173=0,G4173&lt;=Assumptions!$C$6),1,0)</f>
        <v/>
      </c>
      <c r="V4173">
        <f>IF(U4173=1,IF(M4173&gt;0,IF(P4173&lt;=G4173+Assumptions!$C$7,1,0),0),0)</f>
        <v/>
      </c>
      <c r="W4173">
        <f>IF(AND(U4173=1,M4173&gt;=H4173*(1-Assumptions!$C$8)),1,0)</f>
        <v/>
      </c>
      <c r="X4173">
        <f>IF(AND(U4173=1,N4173&gt;=H4173*(1-Assumptions!$C$8)),1,0)</f>
        <v/>
      </c>
      <c r="Y4173">
        <f>IF(ISNUMBER(Q4173),1,0)</f>
        <v/>
      </c>
      <c r="Z4173">
        <f>IF(AND(K4173=0,L4173=0,Y4173=0),1,0)</f>
        <v/>
      </c>
      <c r="AA4173">
        <f>IF(AND(Z4173=1,G4173&lt;Assumptions!$C$6),1,0)</f>
        <v/>
      </c>
      <c r="AB4173">
        <f>IF(U4173=0,"",IF(Y4173=1,MAX(0,Q4173-G4173),IF(L4173=1,MAX(0,R4173-G4173),MAX(0,Assumptions!$C$6-G4173))))</f>
        <v/>
      </c>
      <c r="AC4173">
        <f>IF(Y4173=1,Q4173-F4173,"")</f>
        <v/>
      </c>
      <c r="AD4173">
        <f>IF(Y4173=1,AC4173^2,"")</f>
        <v/>
      </c>
      <c r="AE4173" s="19">
        <f>IF(Z4173=1,(H4173-M4173)*I4173,0)</f>
        <v/>
      </c>
      <c r="AF4173">
        <f>IF(G4173&lt;EDATE(Assumptions!$C$6,-12)+1,"prior_12m","last_12m")</f>
        <v/>
      </c>
      <c r="AG4173" s="21">
        <f>DATE(YEAR(G4173),MONTH(G4173),1)</f>
        <v/>
      </c>
    </row>
    <row r="4174">
      <c r="A4174" t="inlineStr">
        <is>
          <t>SPO-02225-3</t>
        </is>
      </c>
      <c r="B4174" t="inlineStr">
        <is>
          <t>SPO-02225</t>
        </is>
      </c>
      <c r="C4174" t="inlineStr">
        <is>
          <t>SUP-01</t>
        </is>
      </c>
      <c r="D4174" t="inlineStr">
        <is>
          <t>ELEC</t>
        </is>
      </c>
      <c r="E4174" t="inlineStr">
        <is>
          <t>ELEC-08</t>
        </is>
      </c>
      <c r="F4174" s="17" t="n">
        <v>46188</v>
      </c>
      <c r="G4174" s="17" t="n">
        <v>46206</v>
      </c>
      <c r="H4174" s="18" t="n">
        <v>166</v>
      </c>
      <c r="I4174" s="19" t="n">
        <v>18.32</v>
      </c>
      <c r="J4174" s="19" t="n">
        <v>18</v>
      </c>
      <c r="K4174" s="20" t="n">
        <v>0</v>
      </c>
      <c r="L4174" s="20" t="n">
        <v>0</v>
      </c>
      <c r="M4174" s="18" t="n">
        <v>166</v>
      </c>
      <c r="N4174" s="18" t="n">
        <v>166</v>
      </c>
      <c r="O4174" s="18" t="n">
        <v>0</v>
      </c>
      <c r="P4174" s="17" t="n">
        <v>46203</v>
      </c>
      <c r="Q4174" s="17" t="n">
        <v>46203</v>
      </c>
      <c r="R4174" s="17" t="n">
        <v>46203</v>
      </c>
      <c r="S4174" s="19">
        <f>H4174*I4174</f>
        <v/>
      </c>
      <c r="T4174" s="19">
        <f>H4174*J4174</f>
        <v/>
      </c>
      <c r="U4174">
        <f>IF(AND(K4174=0,G4174&lt;=Assumptions!$C$6),1,0)</f>
        <v/>
      </c>
      <c r="V4174">
        <f>IF(U4174=1,IF(M4174&gt;0,IF(P4174&lt;=G4174+Assumptions!$C$7,1,0),0),0)</f>
        <v/>
      </c>
      <c r="W4174">
        <f>IF(AND(U4174=1,M4174&gt;=H4174*(1-Assumptions!$C$8)),1,0)</f>
        <v/>
      </c>
      <c r="X4174">
        <f>IF(AND(U4174=1,N4174&gt;=H4174*(1-Assumptions!$C$8)),1,0)</f>
        <v/>
      </c>
      <c r="Y4174">
        <f>IF(ISNUMBER(Q4174),1,0)</f>
        <v/>
      </c>
      <c r="Z4174">
        <f>IF(AND(K4174=0,L4174=0,Y4174=0),1,0)</f>
        <v/>
      </c>
      <c r="AA4174">
        <f>IF(AND(Z4174=1,G4174&lt;Assumptions!$C$6),1,0)</f>
        <v/>
      </c>
      <c r="AB4174">
        <f>IF(U4174=0,"",IF(Y4174=1,MAX(0,Q4174-G4174),IF(L4174=1,MAX(0,R4174-G4174),MAX(0,Assumptions!$C$6-G4174))))</f>
        <v/>
      </c>
      <c r="AC4174">
        <f>IF(Y4174=1,Q4174-F4174,"")</f>
        <v/>
      </c>
      <c r="AD4174">
        <f>IF(Y4174=1,AC4174^2,"")</f>
        <v/>
      </c>
      <c r="AE4174" s="19">
        <f>IF(Z4174=1,(H4174-M4174)*I4174,0)</f>
        <v/>
      </c>
      <c r="AF4174">
        <f>IF(G4174&lt;EDATE(Assumptions!$C$6,-12)+1,"prior_12m","last_12m")</f>
        <v/>
      </c>
      <c r="AG4174" s="21">
        <f>DATE(YEAR(G4174),MONTH(G4174),1)</f>
        <v/>
      </c>
    </row>
    <row r="4175">
      <c r="A4175" t="inlineStr">
        <is>
          <t>SPO-02226-1</t>
        </is>
      </c>
      <c r="B4175" t="inlineStr">
        <is>
          <t>SPO-02226</t>
        </is>
      </c>
      <c r="C4175" t="inlineStr">
        <is>
          <t>SUP-06</t>
        </is>
      </c>
      <c r="D4175" t="inlineStr">
        <is>
          <t>MRO</t>
        </is>
      </c>
      <c r="E4175" t="inlineStr">
        <is>
          <t>MRO-06</t>
        </is>
      </c>
      <c r="F4175" s="17" t="n">
        <v>46188</v>
      </c>
      <c r="G4175" s="17" t="n">
        <v>46196</v>
      </c>
      <c r="H4175" s="18" t="n">
        <v>161</v>
      </c>
      <c r="I4175" s="19" t="n">
        <v>6.2</v>
      </c>
      <c r="J4175" s="19" t="n">
        <v>6.1</v>
      </c>
      <c r="K4175" s="20" t="n">
        <v>0</v>
      </c>
      <c r="L4175" s="20" t="n">
        <v>0</v>
      </c>
      <c r="M4175" s="18" t="n">
        <v>161</v>
      </c>
      <c r="N4175" s="18" t="n">
        <v>161</v>
      </c>
      <c r="O4175" s="18" t="n">
        <v>0</v>
      </c>
      <c r="P4175" s="17" t="n">
        <v>46194</v>
      </c>
      <c r="Q4175" s="17" t="n">
        <v>46194</v>
      </c>
      <c r="R4175" s="17" t="n">
        <v>46194</v>
      </c>
      <c r="S4175" s="19">
        <f>H4175*I4175</f>
        <v/>
      </c>
      <c r="T4175" s="19">
        <f>H4175*J4175</f>
        <v/>
      </c>
      <c r="U4175">
        <f>IF(AND(K4175=0,G4175&lt;=Assumptions!$C$6),1,0)</f>
        <v/>
      </c>
      <c r="V4175">
        <f>IF(U4175=1,IF(M4175&gt;0,IF(P4175&lt;=G4175+Assumptions!$C$7,1,0),0),0)</f>
        <v/>
      </c>
      <c r="W4175">
        <f>IF(AND(U4175=1,M4175&gt;=H4175*(1-Assumptions!$C$8)),1,0)</f>
        <v/>
      </c>
      <c r="X4175">
        <f>IF(AND(U4175=1,N4175&gt;=H4175*(1-Assumptions!$C$8)),1,0)</f>
        <v/>
      </c>
      <c r="Y4175">
        <f>IF(ISNUMBER(Q4175),1,0)</f>
        <v/>
      </c>
      <c r="Z4175">
        <f>IF(AND(K4175=0,L4175=0,Y4175=0),1,0)</f>
        <v/>
      </c>
      <c r="AA4175">
        <f>IF(AND(Z4175=1,G4175&lt;Assumptions!$C$6),1,0)</f>
        <v/>
      </c>
      <c r="AB4175">
        <f>IF(U4175=0,"",IF(Y4175=1,MAX(0,Q4175-G4175),IF(L4175=1,MAX(0,R4175-G4175),MAX(0,Assumptions!$C$6-G4175))))</f>
        <v/>
      </c>
      <c r="AC4175">
        <f>IF(Y4175=1,Q4175-F4175,"")</f>
        <v/>
      </c>
      <c r="AD4175">
        <f>IF(Y4175=1,AC4175^2,"")</f>
        <v/>
      </c>
      <c r="AE4175" s="19">
        <f>IF(Z4175=1,(H4175-M4175)*I4175,0)</f>
        <v/>
      </c>
      <c r="AF4175">
        <f>IF(G4175&lt;EDATE(Assumptions!$C$6,-12)+1,"prior_12m","last_12m")</f>
        <v/>
      </c>
      <c r="AG4175" s="21">
        <f>DATE(YEAR(G4175),MONTH(G4175),1)</f>
        <v/>
      </c>
    </row>
    <row r="4176">
      <c r="A4176" t="inlineStr">
        <is>
          <t>SPO-02226-2</t>
        </is>
      </c>
      <c r="B4176" t="inlineStr">
        <is>
          <t>SPO-02226</t>
        </is>
      </c>
      <c r="C4176" t="inlineStr">
        <is>
          <t>SUP-06</t>
        </is>
      </c>
      <c r="D4176" t="inlineStr">
        <is>
          <t>MRO</t>
        </is>
      </c>
      <c r="E4176" t="inlineStr">
        <is>
          <t>MRO-02</t>
        </is>
      </c>
      <c r="F4176" s="17" t="n">
        <v>46188</v>
      </c>
      <c r="G4176" s="17" t="n">
        <v>46196</v>
      </c>
      <c r="H4176" s="18" t="n">
        <v>37</v>
      </c>
      <c r="I4176" s="19" t="n">
        <v>39.99</v>
      </c>
      <c r="J4176" s="19" t="n">
        <v>41</v>
      </c>
      <c r="K4176" s="20" t="n">
        <v>0</v>
      </c>
      <c r="L4176" s="20" t="n">
        <v>0</v>
      </c>
      <c r="M4176" s="18" t="n">
        <v>37</v>
      </c>
      <c r="N4176" s="18" t="n">
        <v>37</v>
      </c>
      <c r="O4176" s="18" t="n">
        <v>0</v>
      </c>
      <c r="P4176" s="17" t="n">
        <v>46194</v>
      </c>
      <c r="Q4176" s="17" t="n">
        <v>46194</v>
      </c>
      <c r="R4176" s="17" t="n">
        <v>46194</v>
      </c>
      <c r="S4176" s="19">
        <f>H4176*I4176</f>
        <v/>
      </c>
      <c r="T4176" s="19">
        <f>H4176*J4176</f>
        <v/>
      </c>
      <c r="U4176">
        <f>IF(AND(K4176=0,G4176&lt;=Assumptions!$C$6),1,0)</f>
        <v/>
      </c>
      <c r="V4176">
        <f>IF(U4176=1,IF(M4176&gt;0,IF(P4176&lt;=G4176+Assumptions!$C$7,1,0),0),0)</f>
        <v/>
      </c>
      <c r="W4176">
        <f>IF(AND(U4176=1,M4176&gt;=H4176*(1-Assumptions!$C$8)),1,0)</f>
        <v/>
      </c>
      <c r="X4176">
        <f>IF(AND(U4176=1,N4176&gt;=H4176*(1-Assumptions!$C$8)),1,0)</f>
        <v/>
      </c>
      <c r="Y4176">
        <f>IF(ISNUMBER(Q4176),1,0)</f>
        <v/>
      </c>
      <c r="Z4176">
        <f>IF(AND(K4176=0,L4176=0,Y4176=0),1,0)</f>
        <v/>
      </c>
      <c r="AA4176">
        <f>IF(AND(Z4176=1,G4176&lt;Assumptions!$C$6),1,0)</f>
        <v/>
      </c>
      <c r="AB4176">
        <f>IF(U4176=0,"",IF(Y4176=1,MAX(0,Q4176-G4176),IF(L4176=1,MAX(0,R4176-G4176),MAX(0,Assumptions!$C$6-G4176))))</f>
        <v/>
      </c>
      <c r="AC4176">
        <f>IF(Y4176=1,Q4176-F4176,"")</f>
        <v/>
      </c>
      <c r="AD4176">
        <f>IF(Y4176=1,AC4176^2,"")</f>
        <v/>
      </c>
      <c r="AE4176" s="19">
        <f>IF(Z4176=1,(H4176-M4176)*I4176,0)</f>
        <v/>
      </c>
      <c r="AF4176">
        <f>IF(G4176&lt;EDATE(Assumptions!$C$6,-12)+1,"prior_12m","last_12m")</f>
        <v/>
      </c>
      <c r="AG4176" s="21">
        <f>DATE(YEAR(G4176),MONTH(G4176),1)</f>
        <v/>
      </c>
    </row>
    <row r="4177">
      <c r="A4177" t="inlineStr">
        <is>
          <t>SPO-02227-1</t>
        </is>
      </c>
      <c r="B4177" t="inlineStr">
        <is>
          <t>SPO-02227</t>
        </is>
      </c>
      <c r="C4177" t="inlineStr">
        <is>
          <t>SUP-09</t>
        </is>
      </c>
      <c r="D4177" t="inlineStr">
        <is>
          <t>CHEM</t>
        </is>
      </c>
      <c r="E4177" t="inlineStr">
        <is>
          <t>CHEM-04</t>
        </is>
      </c>
      <c r="F4177" s="17" t="n">
        <v>46188</v>
      </c>
      <c r="G4177" s="17" t="n">
        <v>46202</v>
      </c>
      <c r="H4177" s="18" t="n">
        <v>2</v>
      </c>
      <c r="I4177" s="19" t="n">
        <v>834.79</v>
      </c>
      <c r="J4177" s="19" t="n">
        <v>820</v>
      </c>
      <c r="K4177" s="20" t="n">
        <v>0</v>
      </c>
      <c r="L4177" s="20" t="n">
        <v>0</v>
      </c>
      <c r="M4177" s="18" t="n">
        <v>2</v>
      </c>
      <c r="N4177" s="18" t="n">
        <v>2</v>
      </c>
      <c r="O4177" s="18" t="n">
        <v>0</v>
      </c>
      <c r="P4177" s="17" t="n">
        <v>46197</v>
      </c>
      <c r="Q4177" s="17" t="n">
        <v>46197</v>
      </c>
      <c r="R4177" s="17" t="n">
        <v>46197</v>
      </c>
      <c r="S4177" s="19">
        <f>H4177*I4177</f>
        <v/>
      </c>
      <c r="T4177" s="19">
        <f>H4177*J4177</f>
        <v/>
      </c>
      <c r="U4177">
        <f>IF(AND(K4177=0,G4177&lt;=Assumptions!$C$6),1,0)</f>
        <v/>
      </c>
      <c r="V4177">
        <f>IF(U4177=1,IF(M4177&gt;0,IF(P4177&lt;=G4177+Assumptions!$C$7,1,0),0),0)</f>
        <v/>
      </c>
      <c r="W4177">
        <f>IF(AND(U4177=1,M4177&gt;=H4177*(1-Assumptions!$C$8)),1,0)</f>
        <v/>
      </c>
      <c r="X4177">
        <f>IF(AND(U4177=1,N4177&gt;=H4177*(1-Assumptions!$C$8)),1,0)</f>
        <v/>
      </c>
      <c r="Y4177">
        <f>IF(ISNUMBER(Q4177),1,0)</f>
        <v/>
      </c>
      <c r="Z4177">
        <f>IF(AND(K4177=0,L4177=0,Y4177=0),1,0)</f>
        <v/>
      </c>
      <c r="AA4177">
        <f>IF(AND(Z4177=1,G4177&lt;Assumptions!$C$6),1,0)</f>
        <v/>
      </c>
      <c r="AB4177">
        <f>IF(U4177=0,"",IF(Y4177=1,MAX(0,Q4177-G4177),IF(L4177=1,MAX(0,R4177-G4177),MAX(0,Assumptions!$C$6-G4177))))</f>
        <v/>
      </c>
      <c r="AC4177">
        <f>IF(Y4177=1,Q4177-F4177,"")</f>
        <v/>
      </c>
      <c r="AD4177">
        <f>IF(Y4177=1,AC4177^2,"")</f>
        <v/>
      </c>
      <c r="AE4177" s="19">
        <f>IF(Z4177=1,(H4177-M4177)*I4177,0)</f>
        <v/>
      </c>
      <c r="AF4177">
        <f>IF(G4177&lt;EDATE(Assumptions!$C$6,-12)+1,"prior_12m","last_12m")</f>
        <v/>
      </c>
      <c r="AG4177" s="21">
        <f>DATE(YEAR(G4177),MONTH(G4177),1)</f>
        <v/>
      </c>
    </row>
    <row r="4178">
      <c r="A4178" t="inlineStr">
        <is>
          <t>SPO-02227-2</t>
        </is>
      </c>
      <c r="B4178" t="inlineStr">
        <is>
          <t>SPO-02227</t>
        </is>
      </c>
      <c r="C4178" t="inlineStr">
        <is>
          <t>SUP-09</t>
        </is>
      </c>
      <c r="D4178" t="inlineStr">
        <is>
          <t>CHEM</t>
        </is>
      </c>
      <c r="E4178" t="inlineStr">
        <is>
          <t>CHEM-05</t>
        </is>
      </c>
      <c r="F4178" s="17" t="n">
        <v>46188</v>
      </c>
      <c r="G4178" s="17" t="n">
        <v>46202</v>
      </c>
      <c r="H4178" s="18" t="n">
        <v>2</v>
      </c>
      <c r="I4178" s="19" t="n">
        <v>989.8099999999999</v>
      </c>
      <c r="J4178" s="19" t="n">
        <v>930</v>
      </c>
      <c r="K4178" s="20" t="n">
        <v>0</v>
      </c>
      <c r="L4178" s="20" t="n">
        <v>0</v>
      </c>
      <c r="M4178" s="18" t="n">
        <v>2</v>
      </c>
      <c r="N4178" s="18" t="n">
        <v>2</v>
      </c>
      <c r="O4178" s="18" t="n">
        <v>0</v>
      </c>
      <c r="P4178" s="17" t="n">
        <v>46201</v>
      </c>
      <c r="Q4178" s="17" t="n">
        <v>46201</v>
      </c>
      <c r="R4178" s="17" t="n">
        <v>46201</v>
      </c>
      <c r="S4178" s="19">
        <f>H4178*I4178</f>
        <v/>
      </c>
      <c r="T4178" s="19">
        <f>H4178*J4178</f>
        <v/>
      </c>
      <c r="U4178">
        <f>IF(AND(K4178=0,G4178&lt;=Assumptions!$C$6),1,0)</f>
        <v/>
      </c>
      <c r="V4178">
        <f>IF(U4178=1,IF(M4178&gt;0,IF(P4178&lt;=G4178+Assumptions!$C$7,1,0),0),0)</f>
        <v/>
      </c>
      <c r="W4178">
        <f>IF(AND(U4178=1,M4178&gt;=H4178*(1-Assumptions!$C$8)),1,0)</f>
        <v/>
      </c>
      <c r="X4178">
        <f>IF(AND(U4178=1,N4178&gt;=H4178*(1-Assumptions!$C$8)),1,0)</f>
        <v/>
      </c>
      <c r="Y4178">
        <f>IF(ISNUMBER(Q4178),1,0)</f>
        <v/>
      </c>
      <c r="Z4178">
        <f>IF(AND(K4178=0,L4178=0,Y4178=0),1,0)</f>
        <v/>
      </c>
      <c r="AA4178">
        <f>IF(AND(Z4178=1,G4178&lt;Assumptions!$C$6),1,0)</f>
        <v/>
      </c>
      <c r="AB4178">
        <f>IF(U4178=0,"",IF(Y4178=1,MAX(0,Q4178-G4178),IF(L4178=1,MAX(0,R4178-G4178),MAX(0,Assumptions!$C$6-G4178))))</f>
        <v/>
      </c>
      <c r="AC4178">
        <f>IF(Y4178=1,Q4178-F4178,"")</f>
        <v/>
      </c>
      <c r="AD4178">
        <f>IF(Y4178=1,AC4178^2,"")</f>
        <v/>
      </c>
      <c r="AE4178" s="19">
        <f>IF(Z4178=1,(H4178-M4178)*I4178,0)</f>
        <v/>
      </c>
      <c r="AF4178">
        <f>IF(G4178&lt;EDATE(Assumptions!$C$6,-12)+1,"prior_12m","last_12m")</f>
        <v/>
      </c>
      <c r="AG4178" s="21">
        <f>DATE(YEAR(G4178),MONTH(G4178),1)</f>
        <v/>
      </c>
    </row>
    <row r="4179">
      <c r="A4179" t="inlineStr">
        <is>
          <t>SPO-02227-3</t>
        </is>
      </c>
      <c r="B4179" t="inlineStr">
        <is>
          <t>SPO-02227</t>
        </is>
      </c>
      <c r="C4179" t="inlineStr">
        <is>
          <t>SUP-09</t>
        </is>
      </c>
      <c r="D4179" t="inlineStr">
        <is>
          <t>CHEM</t>
        </is>
      </c>
      <c r="E4179" t="inlineStr">
        <is>
          <t>CHEM-03</t>
        </is>
      </c>
      <c r="F4179" s="17" t="n">
        <v>46188</v>
      </c>
      <c r="G4179" s="17" t="n">
        <v>46202</v>
      </c>
      <c r="H4179" s="18" t="n">
        <v>21</v>
      </c>
      <c r="I4179" s="19" t="n">
        <v>251.26</v>
      </c>
      <c r="J4179" s="19" t="n">
        <v>265</v>
      </c>
      <c r="K4179" s="20" t="n">
        <v>0</v>
      </c>
      <c r="L4179" s="20" t="n">
        <v>0</v>
      </c>
      <c r="M4179" s="18" t="n">
        <v>21</v>
      </c>
      <c r="N4179" s="18" t="n">
        <v>21</v>
      </c>
      <c r="O4179" s="18" t="n">
        <v>0</v>
      </c>
      <c r="P4179" s="17" t="n">
        <v>46201</v>
      </c>
      <c r="Q4179" s="17" t="n">
        <v>46201</v>
      </c>
      <c r="R4179" s="17" t="n">
        <v>46201</v>
      </c>
      <c r="S4179" s="19">
        <f>H4179*I4179</f>
        <v/>
      </c>
      <c r="T4179" s="19">
        <f>H4179*J4179</f>
        <v/>
      </c>
      <c r="U4179">
        <f>IF(AND(K4179=0,G4179&lt;=Assumptions!$C$6),1,0)</f>
        <v/>
      </c>
      <c r="V4179">
        <f>IF(U4179=1,IF(M4179&gt;0,IF(P4179&lt;=G4179+Assumptions!$C$7,1,0),0),0)</f>
        <v/>
      </c>
      <c r="W4179">
        <f>IF(AND(U4179=1,M4179&gt;=H4179*(1-Assumptions!$C$8)),1,0)</f>
        <v/>
      </c>
      <c r="X4179">
        <f>IF(AND(U4179=1,N4179&gt;=H4179*(1-Assumptions!$C$8)),1,0)</f>
        <v/>
      </c>
      <c r="Y4179">
        <f>IF(ISNUMBER(Q4179),1,0)</f>
        <v/>
      </c>
      <c r="Z4179">
        <f>IF(AND(K4179=0,L4179=0,Y4179=0),1,0)</f>
        <v/>
      </c>
      <c r="AA4179">
        <f>IF(AND(Z4179=1,G4179&lt;Assumptions!$C$6),1,0)</f>
        <v/>
      </c>
      <c r="AB4179">
        <f>IF(U4179=0,"",IF(Y4179=1,MAX(0,Q4179-G4179),IF(L4179=1,MAX(0,R4179-G4179),MAX(0,Assumptions!$C$6-G4179))))</f>
        <v/>
      </c>
      <c r="AC4179">
        <f>IF(Y4179=1,Q4179-F4179,"")</f>
        <v/>
      </c>
      <c r="AD4179">
        <f>IF(Y4179=1,AC4179^2,"")</f>
        <v/>
      </c>
      <c r="AE4179" s="19">
        <f>IF(Z4179=1,(H4179-M4179)*I4179,0)</f>
        <v/>
      </c>
      <c r="AF4179">
        <f>IF(G4179&lt;EDATE(Assumptions!$C$6,-12)+1,"prior_12m","last_12m")</f>
        <v/>
      </c>
      <c r="AG4179" s="21">
        <f>DATE(YEAR(G4179),MONTH(G4179),1)</f>
        <v/>
      </c>
    </row>
    <row r="4180">
      <c r="A4180" t="inlineStr">
        <is>
          <t>SPO-02228-1</t>
        </is>
      </c>
      <c r="B4180" t="inlineStr">
        <is>
          <t>SPO-02228</t>
        </is>
      </c>
      <c r="C4180" t="inlineStr">
        <is>
          <t>SUP-01</t>
        </is>
      </c>
      <c r="D4180" t="inlineStr">
        <is>
          <t>ELEC</t>
        </is>
      </c>
      <c r="E4180" t="inlineStr">
        <is>
          <t>ELEC-02</t>
        </is>
      </c>
      <c r="F4180" s="17" t="n">
        <v>46188</v>
      </c>
      <c r="G4180" s="17" t="n">
        <v>46206</v>
      </c>
      <c r="H4180" s="18" t="n">
        <v>436</v>
      </c>
      <c r="I4180" s="19" t="n">
        <v>4.14</v>
      </c>
      <c r="J4180" s="19" t="n">
        <v>4.2</v>
      </c>
      <c r="K4180" s="20" t="n">
        <v>0</v>
      </c>
      <c r="L4180" s="20" t="n">
        <v>0</v>
      </c>
      <c r="M4180" s="18" t="n">
        <v>436</v>
      </c>
      <c r="N4180" s="18" t="n">
        <v>436</v>
      </c>
      <c r="O4180" s="18" t="n">
        <v>0</v>
      </c>
      <c r="P4180" s="17" t="n">
        <v>46202</v>
      </c>
      <c r="Q4180" s="17" t="n">
        <v>46202</v>
      </c>
      <c r="R4180" s="17" t="n">
        <v>46202</v>
      </c>
      <c r="S4180" s="19">
        <f>H4180*I4180</f>
        <v/>
      </c>
      <c r="T4180" s="19">
        <f>H4180*J4180</f>
        <v/>
      </c>
      <c r="U4180">
        <f>IF(AND(K4180=0,G4180&lt;=Assumptions!$C$6),1,0)</f>
        <v/>
      </c>
      <c r="V4180">
        <f>IF(U4180=1,IF(M4180&gt;0,IF(P4180&lt;=G4180+Assumptions!$C$7,1,0),0),0)</f>
        <v/>
      </c>
      <c r="W4180">
        <f>IF(AND(U4180=1,M4180&gt;=H4180*(1-Assumptions!$C$8)),1,0)</f>
        <v/>
      </c>
      <c r="X4180">
        <f>IF(AND(U4180=1,N4180&gt;=H4180*(1-Assumptions!$C$8)),1,0)</f>
        <v/>
      </c>
      <c r="Y4180">
        <f>IF(ISNUMBER(Q4180),1,0)</f>
        <v/>
      </c>
      <c r="Z4180">
        <f>IF(AND(K4180=0,L4180=0,Y4180=0),1,0)</f>
        <v/>
      </c>
      <c r="AA4180">
        <f>IF(AND(Z4180=1,G4180&lt;Assumptions!$C$6),1,0)</f>
        <v/>
      </c>
      <c r="AB4180">
        <f>IF(U4180=0,"",IF(Y4180=1,MAX(0,Q4180-G4180),IF(L4180=1,MAX(0,R4180-G4180),MAX(0,Assumptions!$C$6-G4180))))</f>
        <v/>
      </c>
      <c r="AC4180">
        <f>IF(Y4180=1,Q4180-F4180,"")</f>
        <v/>
      </c>
      <c r="AD4180">
        <f>IF(Y4180=1,AC4180^2,"")</f>
        <v/>
      </c>
      <c r="AE4180" s="19">
        <f>IF(Z4180=1,(H4180-M4180)*I4180,0)</f>
        <v/>
      </c>
      <c r="AF4180">
        <f>IF(G4180&lt;EDATE(Assumptions!$C$6,-12)+1,"prior_12m","last_12m")</f>
        <v/>
      </c>
      <c r="AG4180" s="21">
        <f>DATE(YEAR(G4180),MONTH(G4180),1)</f>
        <v/>
      </c>
    </row>
    <row r="4181">
      <c r="A4181" t="inlineStr">
        <is>
          <t>SPO-02228-2</t>
        </is>
      </c>
      <c r="B4181" t="inlineStr">
        <is>
          <t>SPO-02228</t>
        </is>
      </c>
      <c r="C4181" t="inlineStr">
        <is>
          <t>SUP-01</t>
        </is>
      </c>
      <c r="D4181" t="inlineStr">
        <is>
          <t>ELEC</t>
        </is>
      </c>
      <c r="E4181" t="inlineStr">
        <is>
          <t>ELEC-07</t>
        </is>
      </c>
      <c r="F4181" s="17" t="n">
        <v>46188</v>
      </c>
      <c r="G4181" s="17" t="n">
        <v>46206</v>
      </c>
      <c r="H4181" s="18" t="n">
        <v>273</v>
      </c>
      <c r="I4181" s="19" t="n">
        <v>9.73</v>
      </c>
      <c r="J4181" s="19" t="n">
        <v>9.800000000000001</v>
      </c>
      <c r="K4181" s="20" t="n">
        <v>0</v>
      </c>
      <c r="L4181" s="20" t="n">
        <v>0</v>
      </c>
      <c r="M4181" s="18" t="n">
        <v>273</v>
      </c>
      <c r="N4181" s="18" t="n">
        <v>113</v>
      </c>
      <c r="O4181" s="18" t="n">
        <v>0</v>
      </c>
      <c r="P4181" s="17" t="n">
        <v>46196</v>
      </c>
      <c r="Q4181" s="17" t="n">
        <v>46210</v>
      </c>
      <c r="R4181" s="17" t="n">
        <v>46210</v>
      </c>
      <c r="S4181" s="19">
        <f>H4181*I4181</f>
        <v/>
      </c>
      <c r="T4181" s="19">
        <f>H4181*J4181</f>
        <v/>
      </c>
      <c r="U4181">
        <f>IF(AND(K4181=0,G4181&lt;=Assumptions!$C$6),1,0)</f>
        <v/>
      </c>
      <c r="V4181">
        <f>IF(U4181=1,IF(M4181&gt;0,IF(P4181&lt;=G4181+Assumptions!$C$7,1,0),0),0)</f>
        <v/>
      </c>
      <c r="W4181">
        <f>IF(AND(U4181=1,M4181&gt;=H4181*(1-Assumptions!$C$8)),1,0)</f>
        <v/>
      </c>
      <c r="X4181">
        <f>IF(AND(U4181=1,N4181&gt;=H4181*(1-Assumptions!$C$8)),1,0)</f>
        <v/>
      </c>
      <c r="Y4181">
        <f>IF(ISNUMBER(Q4181),1,0)</f>
        <v/>
      </c>
      <c r="Z4181">
        <f>IF(AND(K4181=0,L4181=0,Y4181=0),1,0)</f>
        <v/>
      </c>
      <c r="AA4181">
        <f>IF(AND(Z4181=1,G4181&lt;Assumptions!$C$6),1,0)</f>
        <v/>
      </c>
      <c r="AB4181">
        <f>IF(U4181=0,"",IF(Y4181=1,MAX(0,Q4181-G4181),IF(L4181=1,MAX(0,R4181-G4181),MAX(0,Assumptions!$C$6-G4181))))</f>
        <v/>
      </c>
      <c r="AC4181">
        <f>IF(Y4181=1,Q4181-F4181,"")</f>
        <v/>
      </c>
      <c r="AD4181">
        <f>IF(Y4181=1,AC4181^2,"")</f>
        <v/>
      </c>
      <c r="AE4181" s="19">
        <f>IF(Z4181=1,(H4181-M4181)*I4181,0)</f>
        <v/>
      </c>
      <c r="AF4181">
        <f>IF(G4181&lt;EDATE(Assumptions!$C$6,-12)+1,"prior_12m","last_12m")</f>
        <v/>
      </c>
      <c r="AG4181" s="21">
        <f>DATE(YEAR(G4181),MONTH(G4181),1)</f>
        <v/>
      </c>
    </row>
    <row r="4182">
      <c r="A4182" t="inlineStr">
        <is>
          <t>SPO-02229-1</t>
        </is>
      </c>
      <c r="B4182" t="inlineStr">
        <is>
          <t>SPO-02229</t>
        </is>
      </c>
      <c r="C4182" t="inlineStr">
        <is>
          <t>SUP-02</t>
        </is>
      </c>
      <c r="D4182" t="inlineStr">
        <is>
          <t>ELEC</t>
        </is>
      </c>
      <c r="E4182" t="inlineStr">
        <is>
          <t>ELEC-01</t>
        </is>
      </c>
      <c r="F4182" s="17" t="n">
        <v>46188</v>
      </c>
      <c r="G4182" s="17" t="n">
        <v>46204</v>
      </c>
      <c r="H4182" s="18" t="n">
        <v>36</v>
      </c>
      <c r="I4182" s="19" t="n">
        <v>38.82</v>
      </c>
      <c r="J4182" s="19" t="n">
        <v>38</v>
      </c>
      <c r="K4182" s="20" t="n">
        <v>0</v>
      </c>
      <c r="L4182" s="20" t="n">
        <v>0</v>
      </c>
      <c r="M4182" s="18" t="n">
        <v>36</v>
      </c>
      <c r="N4182" s="18" t="n">
        <v>36</v>
      </c>
      <c r="O4182" s="18" t="n">
        <v>0</v>
      </c>
      <c r="P4182" s="17" t="n">
        <v>46201</v>
      </c>
      <c r="Q4182" s="17" t="n">
        <v>46201</v>
      </c>
      <c r="R4182" s="17" t="n">
        <v>46201</v>
      </c>
      <c r="S4182" s="19">
        <f>H4182*I4182</f>
        <v/>
      </c>
      <c r="T4182" s="19">
        <f>H4182*J4182</f>
        <v/>
      </c>
      <c r="U4182">
        <f>IF(AND(K4182=0,G4182&lt;=Assumptions!$C$6),1,0)</f>
        <v/>
      </c>
      <c r="V4182">
        <f>IF(U4182=1,IF(M4182&gt;0,IF(P4182&lt;=G4182+Assumptions!$C$7,1,0),0),0)</f>
        <v/>
      </c>
      <c r="W4182">
        <f>IF(AND(U4182=1,M4182&gt;=H4182*(1-Assumptions!$C$8)),1,0)</f>
        <v/>
      </c>
      <c r="X4182">
        <f>IF(AND(U4182=1,N4182&gt;=H4182*(1-Assumptions!$C$8)),1,0)</f>
        <v/>
      </c>
      <c r="Y4182">
        <f>IF(ISNUMBER(Q4182),1,0)</f>
        <v/>
      </c>
      <c r="Z4182">
        <f>IF(AND(K4182=0,L4182=0,Y4182=0),1,0)</f>
        <v/>
      </c>
      <c r="AA4182">
        <f>IF(AND(Z4182=1,G4182&lt;Assumptions!$C$6),1,0)</f>
        <v/>
      </c>
      <c r="AB4182">
        <f>IF(U4182=0,"",IF(Y4182=1,MAX(0,Q4182-G4182),IF(L4182=1,MAX(0,R4182-G4182),MAX(0,Assumptions!$C$6-G4182))))</f>
        <v/>
      </c>
      <c r="AC4182">
        <f>IF(Y4182=1,Q4182-F4182,"")</f>
        <v/>
      </c>
      <c r="AD4182">
        <f>IF(Y4182=1,AC4182^2,"")</f>
        <v/>
      </c>
      <c r="AE4182" s="19">
        <f>IF(Z4182=1,(H4182-M4182)*I4182,0)</f>
        <v/>
      </c>
      <c r="AF4182">
        <f>IF(G4182&lt;EDATE(Assumptions!$C$6,-12)+1,"prior_12m","last_12m")</f>
        <v/>
      </c>
      <c r="AG4182" s="21">
        <f>DATE(YEAR(G4182),MONTH(G4182),1)</f>
        <v/>
      </c>
    </row>
    <row r="4183">
      <c r="A4183" t="inlineStr">
        <is>
          <t>SPO-02229-2</t>
        </is>
      </c>
      <c r="B4183" t="inlineStr">
        <is>
          <t>SPO-02229</t>
        </is>
      </c>
      <c r="C4183" t="inlineStr">
        <is>
          <t>SUP-02</t>
        </is>
      </c>
      <c r="D4183" t="inlineStr">
        <is>
          <t>ELEC</t>
        </is>
      </c>
      <c r="E4183" t="inlineStr">
        <is>
          <t>ELEC-06</t>
        </is>
      </c>
      <c r="F4183" s="17" t="n">
        <v>46188</v>
      </c>
      <c r="G4183" s="17" t="n">
        <v>46204</v>
      </c>
      <c r="H4183" s="18" t="n">
        <v>6</v>
      </c>
      <c r="I4183" s="19" t="n">
        <v>150.79</v>
      </c>
      <c r="J4183" s="19" t="n">
        <v>145</v>
      </c>
      <c r="K4183" s="20" t="n">
        <v>0</v>
      </c>
      <c r="L4183" s="20" t="n">
        <v>0</v>
      </c>
      <c r="M4183" s="18" t="n">
        <v>6</v>
      </c>
      <c r="N4183" s="18" t="n">
        <v>6</v>
      </c>
      <c r="O4183" s="18" t="n">
        <v>0</v>
      </c>
      <c r="P4183" s="17" t="n">
        <v>46204</v>
      </c>
      <c r="Q4183" s="17" t="n">
        <v>46204</v>
      </c>
      <c r="R4183" s="17" t="n">
        <v>46204</v>
      </c>
      <c r="S4183" s="19">
        <f>H4183*I4183</f>
        <v/>
      </c>
      <c r="T4183" s="19">
        <f>H4183*J4183</f>
        <v/>
      </c>
      <c r="U4183">
        <f>IF(AND(K4183=0,G4183&lt;=Assumptions!$C$6),1,0)</f>
        <v/>
      </c>
      <c r="V4183">
        <f>IF(U4183=1,IF(M4183&gt;0,IF(P4183&lt;=G4183+Assumptions!$C$7,1,0),0),0)</f>
        <v/>
      </c>
      <c r="W4183">
        <f>IF(AND(U4183=1,M4183&gt;=H4183*(1-Assumptions!$C$8)),1,0)</f>
        <v/>
      </c>
      <c r="X4183">
        <f>IF(AND(U4183=1,N4183&gt;=H4183*(1-Assumptions!$C$8)),1,0)</f>
        <v/>
      </c>
      <c r="Y4183">
        <f>IF(ISNUMBER(Q4183),1,0)</f>
        <v/>
      </c>
      <c r="Z4183">
        <f>IF(AND(K4183=0,L4183=0,Y4183=0),1,0)</f>
        <v/>
      </c>
      <c r="AA4183">
        <f>IF(AND(Z4183=1,G4183&lt;Assumptions!$C$6),1,0)</f>
        <v/>
      </c>
      <c r="AB4183">
        <f>IF(U4183=0,"",IF(Y4183=1,MAX(0,Q4183-G4183),IF(L4183=1,MAX(0,R4183-G4183),MAX(0,Assumptions!$C$6-G4183))))</f>
        <v/>
      </c>
      <c r="AC4183">
        <f>IF(Y4183=1,Q4183-F4183,"")</f>
        <v/>
      </c>
      <c r="AD4183">
        <f>IF(Y4183=1,AC4183^2,"")</f>
        <v/>
      </c>
      <c r="AE4183" s="19">
        <f>IF(Z4183=1,(H4183-M4183)*I4183,0)</f>
        <v/>
      </c>
      <c r="AF4183">
        <f>IF(G4183&lt;EDATE(Assumptions!$C$6,-12)+1,"prior_12m","last_12m")</f>
        <v/>
      </c>
      <c r="AG4183" s="21">
        <f>DATE(YEAR(G4183),MONTH(G4183),1)</f>
        <v/>
      </c>
    </row>
    <row r="4184">
      <c r="A4184" t="inlineStr">
        <is>
          <t>SPO-02230-1</t>
        </is>
      </c>
      <c r="B4184" t="inlineStr">
        <is>
          <t>SPO-02230</t>
        </is>
      </c>
      <c r="C4184" t="inlineStr">
        <is>
          <t>SUP-01</t>
        </is>
      </c>
      <c r="D4184" t="inlineStr">
        <is>
          <t>ELEC</t>
        </is>
      </c>
      <c r="E4184" t="inlineStr">
        <is>
          <t>ELEC-04</t>
        </is>
      </c>
      <c r="F4184" s="17" t="n">
        <v>46189</v>
      </c>
      <c r="G4184" s="17" t="n">
        <v>46207</v>
      </c>
      <c r="H4184" s="18" t="n">
        <v>50</v>
      </c>
      <c r="I4184" s="19" t="n">
        <v>69.93000000000001</v>
      </c>
      <c r="J4184" s="19" t="n">
        <v>72</v>
      </c>
      <c r="K4184" s="20" t="n">
        <v>0</v>
      </c>
      <c r="L4184" s="20" t="n">
        <v>0</v>
      </c>
      <c r="M4184" s="18" t="n">
        <v>50</v>
      </c>
      <c r="N4184" s="18" t="n">
        <v>50</v>
      </c>
      <c r="O4184" s="18" t="n">
        <v>0</v>
      </c>
      <c r="P4184" s="17" t="n">
        <v>46202</v>
      </c>
      <c r="Q4184" s="17" t="n">
        <v>46202</v>
      </c>
      <c r="R4184" s="17" t="n">
        <v>46202</v>
      </c>
      <c r="S4184" s="19">
        <f>H4184*I4184</f>
        <v/>
      </c>
      <c r="T4184" s="19">
        <f>H4184*J4184</f>
        <v/>
      </c>
      <c r="U4184">
        <f>IF(AND(K4184=0,G4184&lt;=Assumptions!$C$6),1,0)</f>
        <v/>
      </c>
      <c r="V4184">
        <f>IF(U4184=1,IF(M4184&gt;0,IF(P4184&lt;=G4184+Assumptions!$C$7,1,0),0),0)</f>
        <v/>
      </c>
      <c r="W4184">
        <f>IF(AND(U4184=1,M4184&gt;=H4184*(1-Assumptions!$C$8)),1,0)</f>
        <v/>
      </c>
      <c r="X4184">
        <f>IF(AND(U4184=1,N4184&gt;=H4184*(1-Assumptions!$C$8)),1,0)</f>
        <v/>
      </c>
      <c r="Y4184">
        <f>IF(ISNUMBER(Q4184),1,0)</f>
        <v/>
      </c>
      <c r="Z4184">
        <f>IF(AND(K4184=0,L4184=0,Y4184=0),1,0)</f>
        <v/>
      </c>
      <c r="AA4184">
        <f>IF(AND(Z4184=1,G4184&lt;Assumptions!$C$6),1,0)</f>
        <v/>
      </c>
      <c r="AB4184">
        <f>IF(U4184=0,"",IF(Y4184=1,MAX(0,Q4184-G4184),IF(L4184=1,MAX(0,R4184-G4184),MAX(0,Assumptions!$C$6-G4184))))</f>
        <v/>
      </c>
      <c r="AC4184">
        <f>IF(Y4184=1,Q4184-F4184,"")</f>
        <v/>
      </c>
      <c r="AD4184">
        <f>IF(Y4184=1,AC4184^2,"")</f>
        <v/>
      </c>
      <c r="AE4184" s="19">
        <f>IF(Z4184=1,(H4184-M4184)*I4184,0)</f>
        <v/>
      </c>
      <c r="AF4184">
        <f>IF(G4184&lt;EDATE(Assumptions!$C$6,-12)+1,"prior_12m","last_12m")</f>
        <v/>
      </c>
      <c r="AG4184" s="21">
        <f>DATE(YEAR(G4184),MONTH(G4184),1)</f>
        <v/>
      </c>
    </row>
    <row r="4185">
      <c r="A4185" t="inlineStr">
        <is>
          <t>SPO-02230-2</t>
        </is>
      </c>
      <c r="B4185" t="inlineStr">
        <is>
          <t>SPO-02230</t>
        </is>
      </c>
      <c r="C4185" t="inlineStr">
        <is>
          <t>SUP-01</t>
        </is>
      </c>
      <c r="D4185" t="inlineStr">
        <is>
          <t>ELEC</t>
        </is>
      </c>
      <c r="E4185" t="inlineStr">
        <is>
          <t>ELEC-06</t>
        </is>
      </c>
      <c r="F4185" s="17" t="n">
        <v>46189</v>
      </c>
      <c r="G4185" s="17" t="n">
        <v>46207</v>
      </c>
      <c r="H4185" s="18" t="n">
        <v>14</v>
      </c>
      <c r="I4185" s="19" t="n">
        <v>147.65</v>
      </c>
      <c r="J4185" s="19" t="n">
        <v>145</v>
      </c>
      <c r="K4185" s="20" t="n">
        <v>0</v>
      </c>
      <c r="L4185" s="20" t="n">
        <v>0</v>
      </c>
      <c r="M4185" s="18" t="n">
        <v>14</v>
      </c>
      <c r="N4185" s="18" t="n">
        <v>14</v>
      </c>
      <c r="O4185" s="18" t="n">
        <v>0</v>
      </c>
      <c r="P4185" s="17" t="n">
        <v>46202</v>
      </c>
      <c r="Q4185" s="17" t="n">
        <v>46202</v>
      </c>
      <c r="R4185" s="17" t="n">
        <v>46202</v>
      </c>
      <c r="S4185" s="19">
        <f>H4185*I4185</f>
        <v/>
      </c>
      <c r="T4185" s="19">
        <f>H4185*J4185</f>
        <v/>
      </c>
      <c r="U4185">
        <f>IF(AND(K4185=0,G4185&lt;=Assumptions!$C$6),1,0)</f>
        <v/>
      </c>
      <c r="V4185">
        <f>IF(U4185=1,IF(M4185&gt;0,IF(P4185&lt;=G4185+Assumptions!$C$7,1,0),0),0)</f>
        <v/>
      </c>
      <c r="W4185">
        <f>IF(AND(U4185=1,M4185&gt;=H4185*(1-Assumptions!$C$8)),1,0)</f>
        <v/>
      </c>
      <c r="X4185">
        <f>IF(AND(U4185=1,N4185&gt;=H4185*(1-Assumptions!$C$8)),1,0)</f>
        <v/>
      </c>
      <c r="Y4185">
        <f>IF(ISNUMBER(Q4185),1,0)</f>
        <v/>
      </c>
      <c r="Z4185">
        <f>IF(AND(K4185=0,L4185=0,Y4185=0),1,0)</f>
        <v/>
      </c>
      <c r="AA4185">
        <f>IF(AND(Z4185=1,G4185&lt;Assumptions!$C$6),1,0)</f>
        <v/>
      </c>
      <c r="AB4185">
        <f>IF(U4185=0,"",IF(Y4185=1,MAX(0,Q4185-G4185),IF(L4185=1,MAX(0,R4185-G4185),MAX(0,Assumptions!$C$6-G4185))))</f>
        <v/>
      </c>
      <c r="AC4185">
        <f>IF(Y4185=1,Q4185-F4185,"")</f>
        <v/>
      </c>
      <c r="AD4185">
        <f>IF(Y4185=1,AC4185^2,"")</f>
        <v/>
      </c>
      <c r="AE4185" s="19">
        <f>IF(Z4185=1,(H4185-M4185)*I4185,0)</f>
        <v/>
      </c>
      <c r="AF4185">
        <f>IF(G4185&lt;EDATE(Assumptions!$C$6,-12)+1,"prior_12m","last_12m")</f>
        <v/>
      </c>
      <c r="AG4185" s="21">
        <f>DATE(YEAR(G4185),MONTH(G4185),1)</f>
        <v/>
      </c>
    </row>
    <row r="4186">
      <c r="A4186" t="inlineStr">
        <is>
          <t>SPO-02230-3</t>
        </is>
      </c>
      <c r="B4186" t="inlineStr">
        <is>
          <t>SPO-02230</t>
        </is>
      </c>
      <c r="C4186" t="inlineStr">
        <is>
          <t>SUP-01</t>
        </is>
      </c>
      <c r="D4186" t="inlineStr">
        <is>
          <t>ELEC</t>
        </is>
      </c>
      <c r="E4186" t="inlineStr">
        <is>
          <t>ELEC-01</t>
        </is>
      </c>
      <c r="F4186" s="17" t="n">
        <v>46189</v>
      </c>
      <c r="G4186" s="17" t="n">
        <v>46207</v>
      </c>
      <c r="H4186" s="18" t="n">
        <v>56</v>
      </c>
      <c r="I4186" s="19" t="n">
        <v>36.88</v>
      </c>
      <c r="J4186" s="19" t="n">
        <v>38</v>
      </c>
      <c r="K4186" s="20" t="n">
        <v>1</v>
      </c>
      <c r="L4186" s="20" t="n">
        <v>0</v>
      </c>
      <c r="M4186" s="18" t="n">
        <v>0</v>
      </c>
      <c r="N4186" s="18" t="n">
        <v>0</v>
      </c>
      <c r="O4186" s="18" t="n">
        <v>0</v>
      </c>
      <c r="P4186" s="17" t="n"/>
      <c r="Q4186" s="17" t="n"/>
      <c r="R4186" s="17" t="n"/>
      <c r="S4186" s="19">
        <f>H4186*I4186</f>
        <v/>
      </c>
      <c r="T4186" s="19">
        <f>H4186*J4186</f>
        <v/>
      </c>
      <c r="U4186">
        <f>IF(AND(K4186=0,G4186&lt;=Assumptions!$C$6),1,0)</f>
        <v/>
      </c>
      <c r="V4186">
        <f>IF(U4186=1,IF(M4186&gt;0,IF(P4186&lt;=G4186+Assumptions!$C$7,1,0),0),0)</f>
        <v/>
      </c>
      <c r="W4186">
        <f>IF(AND(U4186=1,M4186&gt;=H4186*(1-Assumptions!$C$8)),1,0)</f>
        <v/>
      </c>
      <c r="X4186">
        <f>IF(AND(U4186=1,N4186&gt;=H4186*(1-Assumptions!$C$8)),1,0)</f>
        <v/>
      </c>
      <c r="Y4186">
        <f>IF(ISNUMBER(Q4186),1,0)</f>
        <v/>
      </c>
      <c r="Z4186">
        <f>IF(AND(K4186=0,L4186=0,Y4186=0),1,0)</f>
        <v/>
      </c>
      <c r="AA4186">
        <f>IF(AND(Z4186=1,G4186&lt;Assumptions!$C$6),1,0)</f>
        <v/>
      </c>
      <c r="AB4186">
        <f>IF(U4186=0,"",IF(Y4186=1,MAX(0,Q4186-G4186),IF(L4186=1,MAX(0,R4186-G4186),MAX(0,Assumptions!$C$6-G4186))))</f>
        <v/>
      </c>
      <c r="AC4186">
        <f>IF(Y4186=1,Q4186-F4186,"")</f>
        <v/>
      </c>
      <c r="AD4186">
        <f>IF(Y4186=1,AC4186^2,"")</f>
        <v/>
      </c>
      <c r="AE4186" s="19">
        <f>IF(Z4186=1,(H4186-M4186)*I4186,0)</f>
        <v/>
      </c>
      <c r="AF4186">
        <f>IF(G4186&lt;EDATE(Assumptions!$C$6,-12)+1,"prior_12m","last_12m")</f>
        <v/>
      </c>
      <c r="AG4186" s="21">
        <f>DATE(YEAR(G4186),MONTH(G4186),1)</f>
        <v/>
      </c>
    </row>
    <row r="4187">
      <c r="A4187" t="inlineStr">
        <is>
          <t>SPO-02231-1</t>
        </is>
      </c>
      <c r="B4187" t="inlineStr">
        <is>
          <t>SPO-02231</t>
        </is>
      </c>
      <c r="C4187" t="inlineStr">
        <is>
          <t>SUP-04</t>
        </is>
      </c>
      <c r="D4187" t="inlineStr">
        <is>
          <t>FLEET</t>
        </is>
      </c>
      <c r="E4187" t="inlineStr">
        <is>
          <t>FLEET-05</t>
        </is>
      </c>
      <c r="F4187" s="17" t="n">
        <v>46189</v>
      </c>
      <c r="G4187" s="17" t="n">
        <v>46202</v>
      </c>
      <c r="H4187" s="18" t="n">
        <v>13</v>
      </c>
      <c r="I4187" s="19" t="n">
        <v>163.79</v>
      </c>
      <c r="J4187" s="19" t="n">
        <v>168</v>
      </c>
      <c r="K4187" s="20" t="n">
        <v>0</v>
      </c>
      <c r="L4187" s="20" t="n">
        <v>0</v>
      </c>
      <c r="M4187" s="18" t="n">
        <v>0</v>
      </c>
      <c r="N4187" s="18" t="n">
        <v>0</v>
      </c>
      <c r="O4187" s="18" t="n">
        <v>0</v>
      </c>
      <c r="P4187" s="17" t="n"/>
      <c r="Q4187" s="17" t="n"/>
      <c r="R4187" s="17" t="n"/>
      <c r="S4187" s="19">
        <f>H4187*I4187</f>
        <v/>
      </c>
      <c r="T4187" s="19">
        <f>H4187*J4187</f>
        <v/>
      </c>
      <c r="U4187">
        <f>IF(AND(K4187=0,G4187&lt;=Assumptions!$C$6),1,0)</f>
        <v/>
      </c>
      <c r="V4187">
        <f>IF(U4187=1,IF(M4187&gt;0,IF(P4187&lt;=G4187+Assumptions!$C$7,1,0),0),0)</f>
        <v/>
      </c>
      <c r="W4187">
        <f>IF(AND(U4187=1,M4187&gt;=H4187*(1-Assumptions!$C$8)),1,0)</f>
        <v/>
      </c>
      <c r="X4187">
        <f>IF(AND(U4187=1,N4187&gt;=H4187*(1-Assumptions!$C$8)),1,0)</f>
        <v/>
      </c>
      <c r="Y4187">
        <f>IF(ISNUMBER(Q4187),1,0)</f>
        <v/>
      </c>
      <c r="Z4187">
        <f>IF(AND(K4187=0,L4187=0,Y4187=0),1,0)</f>
        <v/>
      </c>
      <c r="AA4187">
        <f>IF(AND(Z4187=1,G4187&lt;Assumptions!$C$6),1,0)</f>
        <v/>
      </c>
      <c r="AB4187">
        <f>IF(U4187=0,"",IF(Y4187=1,MAX(0,Q4187-G4187),IF(L4187=1,MAX(0,R4187-G4187),MAX(0,Assumptions!$C$6-G4187))))</f>
        <v/>
      </c>
      <c r="AC4187">
        <f>IF(Y4187=1,Q4187-F4187,"")</f>
        <v/>
      </c>
      <c r="AD4187">
        <f>IF(Y4187=1,AC4187^2,"")</f>
        <v/>
      </c>
      <c r="AE4187" s="19">
        <f>IF(Z4187=1,(H4187-M4187)*I4187,0)</f>
        <v/>
      </c>
      <c r="AF4187">
        <f>IF(G4187&lt;EDATE(Assumptions!$C$6,-12)+1,"prior_12m","last_12m")</f>
        <v/>
      </c>
      <c r="AG4187" s="21">
        <f>DATE(YEAR(G4187),MONTH(G4187),1)</f>
        <v/>
      </c>
    </row>
    <row r="4188">
      <c r="A4188" t="inlineStr">
        <is>
          <t>SPO-02231-2</t>
        </is>
      </c>
      <c r="B4188" t="inlineStr">
        <is>
          <t>SPO-02231</t>
        </is>
      </c>
      <c r="C4188" t="inlineStr">
        <is>
          <t>SUP-04</t>
        </is>
      </c>
      <c r="D4188" t="inlineStr">
        <is>
          <t>FLEET</t>
        </is>
      </c>
      <c r="E4188" t="inlineStr">
        <is>
          <t>FLEET-06</t>
        </is>
      </c>
      <c r="F4188" s="17" t="n">
        <v>46189</v>
      </c>
      <c r="G4188" s="17" t="n">
        <v>46202</v>
      </c>
      <c r="H4188" s="18" t="n">
        <v>37</v>
      </c>
      <c r="I4188" s="19" t="n">
        <v>31.42</v>
      </c>
      <c r="J4188" s="19" t="n">
        <v>33</v>
      </c>
      <c r="K4188" s="20" t="n">
        <v>0</v>
      </c>
      <c r="L4188" s="20" t="n">
        <v>0</v>
      </c>
      <c r="M4188" s="18" t="n">
        <v>37</v>
      </c>
      <c r="N4188" s="18" t="n">
        <v>37</v>
      </c>
      <c r="O4188" s="18" t="n">
        <v>0</v>
      </c>
      <c r="P4188" s="17" t="n">
        <v>46197</v>
      </c>
      <c r="Q4188" s="17" t="n">
        <v>46197</v>
      </c>
      <c r="R4188" s="17" t="n">
        <v>46197</v>
      </c>
      <c r="S4188" s="19">
        <f>H4188*I4188</f>
        <v/>
      </c>
      <c r="T4188" s="19">
        <f>H4188*J4188</f>
        <v/>
      </c>
      <c r="U4188">
        <f>IF(AND(K4188=0,G4188&lt;=Assumptions!$C$6),1,0)</f>
        <v/>
      </c>
      <c r="V4188">
        <f>IF(U4188=1,IF(M4188&gt;0,IF(P4188&lt;=G4188+Assumptions!$C$7,1,0),0),0)</f>
        <v/>
      </c>
      <c r="W4188">
        <f>IF(AND(U4188=1,M4188&gt;=H4188*(1-Assumptions!$C$8)),1,0)</f>
        <v/>
      </c>
      <c r="X4188">
        <f>IF(AND(U4188=1,N4188&gt;=H4188*(1-Assumptions!$C$8)),1,0)</f>
        <v/>
      </c>
      <c r="Y4188">
        <f>IF(ISNUMBER(Q4188),1,0)</f>
        <v/>
      </c>
      <c r="Z4188">
        <f>IF(AND(K4188=0,L4188=0,Y4188=0),1,0)</f>
        <v/>
      </c>
      <c r="AA4188">
        <f>IF(AND(Z4188=1,G4188&lt;Assumptions!$C$6),1,0)</f>
        <v/>
      </c>
      <c r="AB4188">
        <f>IF(U4188=0,"",IF(Y4188=1,MAX(0,Q4188-G4188),IF(L4188=1,MAX(0,R4188-G4188),MAX(0,Assumptions!$C$6-G4188))))</f>
        <v/>
      </c>
      <c r="AC4188">
        <f>IF(Y4188=1,Q4188-F4188,"")</f>
        <v/>
      </c>
      <c r="AD4188">
        <f>IF(Y4188=1,AC4188^2,"")</f>
        <v/>
      </c>
      <c r="AE4188" s="19">
        <f>IF(Z4188=1,(H4188-M4188)*I4188,0)</f>
        <v/>
      </c>
      <c r="AF4188">
        <f>IF(G4188&lt;EDATE(Assumptions!$C$6,-12)+1,"prior_12m","last_12m")</f>
        <v/>
      </c>
      <c r="AG4188" s="21">
        <f>DATE(YEAR(G4188),MONTH(G4188),1)</f>
        <v/>
      </c>
    </row>
    <row r="4189">
      <c r="A4189" t="inlineStr">
        <is>
          <t>SPO-02231-3</t>
        </is>
      </c>
      <c r="B4189" t="inlineStr">
        <is>
          <t>SPO-02231</t>
        </is>
      </c>
      <c r="C4189" t="inlineStr">
        <is>
          <t>SUP-04</t>
        </is>
      </c>
      <c r="D4189" t="inlineStr">
        <is>
          <t>FLEET</t>
        </is>
      </c>
      <c r="E4189" t="inlineStr">
        <is>
          <t>FLEET-02</t>
        </is>
      </c>
      <c r="F4189" s="17" t="n">
        <v>46189</v>
      </c>
      <c r="G4189" s="17" t="n">
        <v>46202</v>
      </c>
      <c r="H4189" s="18" t="n">
        <v>172</v>
      </c>
      <c r="I4189" s="19" t="n">
        <v>6.99</v>
      </c>
      <c r="J4189" s="19" t="n">
        <v>7.5</v>
      </c>
      <c r="K4189" s="20" t="n">
        <v>1</v>
      </c>
      <c r="L4189" s="20" t="n">
        <v>0</v>
      </c>
      <c r="M4189" s="18" t="n">
        <v>0</v>
      </c>
      <c r="N4189" s="18" t="n">
        <v>0</v>
      </c>
      <c r="O4189" s="18" t="n">
        <v>0</v>
      </c>
      <c r="P4189" s="17" t="n"/>
      <c r="Q4189" s="17" t="n"/>
      <c r="R4189" s="17" t="n"/>
      <c r="S4189" s="19">
        <f>H4189*I4189</f>
        <v/>
      </c>
      <c r="T4189" s="19">
        <f>H4189*J4189</f>
        <v/>
      </c>
      <c r="U4189">
        <f>IF(AND(K4189=0,G4189&lt;=Assumptions!$C$6),1,0)</f>
        <v/>
      </c>
      <c r="V4189">
        <f>IF(U4189=1,IF(M4189&gt;0,IF(P4189&lt;=G4189+Assumptions!$C$7,1,0),0),0)</f>
        <v/>
      </c>
      <c r="W4189">
        <f>IF(AND(U4189=1,M4189&gt;=H4189*(1-Assumptions!$C$8)),1,0)</f>
        <v/>
      </c>
      <c r="X4189">
        <f>IF(AND(U4189=1,N4189&gt;=H4189*(1-Assumptions!$C$8)),1,0)</f>
        <v/>
      </c>
      <c r="Y4189">
        <f>IF(ISNUMBER(Q4189),1,0)</f>
        <v/>
      </c>
      <c r="Z4189">
        <f>IF(AND(K4189=0,L4189=0,Y4189=0),1,0)</f>
        <v/>
      </c>
      <c r="AA4189">
        <f>IF(AND(Z4189=1,G4189&lt;Assumptions!$C$6),1,0)</f>
        <v/>
      </c>
      <c r="AB4189">
        <f>IF(U4189=0,"",IF(Y4189=1,MAX(0,Q4189-G4189),IF(L4189=1,MAX(0,R4189-G4189),MAX(0,Assumptions!$C$6-G4189))))</f>
        <v/>
      </c>
      <c r="AC4189">
        <f>IF(Y4189=1,Q4189-F4189,"")</f>
        <v/>
      </c>
      <c r="AD4189">
        <f>IF(Y4189=1,AC4189^2,"")</f>
        <v/>
      </c>
      <c r="AE4189" s="19">
        <f>IF(Z4189=1,(H4189-M4189)*I4189,0)</f>
        <v/>
      </c>
      <c r="AF4189">
        <f>IF(G4189&lt;EDATE(Assumptions!$C$6,-12)+1,"prior_12m","last_12m")</f>
        <v/>
      </c>
      <c r="AG4189" s="21">
        <f>DATE(YEAR(G4189),MONTH(G4189),1)</f>
        <v/>
      </c>
    </row>
    <row r="4190">
      <c r="A4190" t="inlineStr">
        <is>
          <t>SPO-02232-1</t>
        </is>
      </c>
      <c r="B4190" t="inlineStr">
        <is>
          <t>SPO-02232</t>
        </is>
      </c>
      <c r="C4190" t="inlineStr">
        <is>
          <t>SUP-04</t>
        </is>
      </c>
      <c r="D4190" t="inlineStr">
        <is>
          <t>FLEET</t>
        </is>
      </c>
      <c r="E4190" t="inlineStr">
        <is>
          <t>FLEET-05</t>
        </is>
      </c>
      <c r="F4190" s="17" t="n">
        <v>46190</v>
      </c>
      <c r="G4190" s="17" t="n">
        <v>46203</v>
      </c>
      <c r="H4190" s="18" t="n">
        <v>8</v>
      </c>
      <c r="I4190" s="19" t="n">
        <v>165.94</v>
      </c>
      <c r="J4190" s="19" t="n">
        <v>168</v>
      </c>
      <c r="K4190" s="20" t="n">
        <v>0</v>
      </c>
      <c r="L4190" s="20" t="n">
        <v>1</v>
      </c>
      <c r="M4190" s="18" t="n">
        <v>6</v>
      </c>
      <c r="N4190" s="18" t="n">
        <v>0</v>
      </c>
      <c r="O4190" s="18" t="n">
        <v>0</v>
      </c>
      <c r="P4190" s="17" t="n">
        <v>46217</v>
      </c>
      <c r="Q4190" s="17" t="n"/>
      <c r="R4190" s="17" t="n">
        <v>46217</v>
      </c>
      <c r="S4190" s="19">
        <f>H4190*I4190</f>
        <v/>
      </c>
      <c r="T4190" s="19">
        <f>H4190*J4190</f>
        <v/>
      </c>
      <c r="U4190">
        <f>IF(AND(K4190=0,G4190&lt;=Assumptions!$C$6),1,0)</f>
        <v/>
      </c>
      <c r="V4190">
        <f>IF(U4190=1,IF(M4190&gt;0,IF(P4190&lt;=G4190+Assumptions!$C$7,1,0),0),0)</f>
        <v/>
      </c>
      <c r="W4190">
        <f>IF(AND(U4190=1,M4190&gt;=H4190*(1-Assumptions!$C$8)),1,0)</f>
        <v/>
      </c>
      <c r="X4190">
        <f>IF(AND(U4190=1,N4190&gt;=H4190*(1-Assumptions!$C$8)),1,0)</f>
        <v/>
      </c>
      <c r="Y4190">
        <f>IF(ISNUMBER(Q4190),1,0)</f>
        <v/>
      </c>
      <c r="Z4190">
        <f>IF(AND(K4190=0,L4190=0,Y4190=0),1,0)</f>
        <v/>
      </c>
      <c r="AA4190">
        <f>IF(AND(Z4190=1,G4190&lt;Assumptions!$C$6),1,0)</f>
        <v/>
      </c>
      <c r="AB4190">
        <f>IF(U4190=0,"",IF(Y4190=1,MAX(0,Q4190-G4190),IF(L4190=1,MAX(0,R4190-G4190),MAX(0,Assumptions!$C$6-G4190))))</f>
        <v/>
      </c>
      <c r="AC4190">
        <f>IF(Y4190=1,Q4190-F4190,"")</f>
        <v/>
      </c>
      <c r="AD4190">
        <f>IF(Y4190=1,AC4190^2,"")</f>
        <v/>
      </c>
      <c r="AE4190" s="19">
        <f>IF(Z4190=1,(H4190-M4190)*I4190,0)</f>
        <v/>
      </c>
      <c r="AF4190">
        <f>IF(G4190&lt;EDATE(Assumptions!$C$6,-12)+1,"prior_12m","last_12m")</f>
        <v/>
      </c>
      <c r="AG4190" s="21">
        <f>DATE(YEAR(G4190),MONTH(G4190),1)</f>
        <v/>
      </c>
    </row>
    <row r="4191">
      <c r="A4191" t="inlineStr">
        <is>
          <t>SPO-02233-1</t>
        </is>
      </c>
      <c r="B4191" t="inlineStr">
        <is>
          <t>SPO-02233</t>
        </is>
      </c>
      <c r="C4191" t="inlineStr">
        <is>
          <t>SUP-07</t>
        </is>
      </c>
      <c r="D4191" t="inlineStr">
        <is>
          <t>MRO</t>
        </is>
      </c>
      <c r="E4191" t="inlineStr">
        <is>
          <t>MRO-01</t>
        </is>
      </c>
      <c r="F4191" s="17" t="n">
        <v>46190</v>
      </c>
      <c r="G4191" s="17" t="n">
        <v>46200</v>
      </c>
      <c r="H4191" s="18" t="n">
        <v>49</v>
      </c>
      <c r="I4191" s="19" t="n">
        <v>50.48</v>
      </c>
      <c r="J4191" s="19" t="n">
        <v>52</v>
      </c>
      <c r="K4191" s="20" t="n">
        <v>0</v>
      </c>
      <c r="L4191" s="20" t="n">
        <v>0</v>
      </c>
      <c r="M4191" s="18" t="n">
        <v>49</v>
      </c>
      <c r="N4191" s="18" t="n">
        <v>49</v>
      </c>
      <c r="O4191" s="18" t="n">
        <v>0</v>
      </c>
      <c r="P4191" s="17" t="n">
        <v>46200</v>
      </c>
      <c r="Q4191" s="17" t="n">
        <v>46200</v>
      </c>
      <c r="R4191" s="17" t="n">
        <v>46200</v>
      </c>
      <c r="S4191" s="19">
        <f>H4191*I4191</f>
        <v/>
      </c>
      <c r="T4191" s="19">
        <f>H4191*J4191</f>
        <v/>
      </c>
      <c r="U4191">
        <f>IF(AND(K4191=0,G4191&lt;=Assumptions!$C$6),1,0)</f>
        <v/>
      </c>
      <c r="V4191">
        <f>IF(U4191=1,IF(M4191&gt;0,IF(P4191&lt;=G4191+Assumptions!$C$7,1,0),0),0)</f>
        <v/>
      </c>
      <c r="W4191">
        <f>IF(AND(U4191=1,M4191&gt;=H4191*(1-Assumptions!$C$8)),1,0)</f>
        <v/>
      </c>
      <c r="X4191">
        <f>IF(AND(U4191=1,N4191&gt;=H4191*(1-Assumptions!$C$8)),1,0)</f>
        <v/>
      </c>
      <c r="Y4191">
        <f>IF(ISNUMBER(Q4191),1,0)</f>
        <v/>
      </c>
      <c r="Z4191">
        <f>IF(AND(K4191=0,L4191=0,Y4191=0),1,0)</f>
        <v/>
      </c>
      <c r="AA4191">
        <f>IF(AND(Z4191=1,G4191&lt;Assumptions!$C$6),1,0)</f>
        <v/>
      </c>
      <c r="AB4191">
        <f>IF(U4191=0,"",IF(Y4191=1,MAX(0,Q4191-G4191),IF(L4191=1,MAX(0,R4191-G4191),MAX(0,Assumptions!$C$6-G4191))))</f>
        <v/>
      </c>
      <c r="AC4191">
        <f>IF(Y4191=1,Q4191-F4191,"")</f>
        <v/>
      </c>
      <c r="AD4191">
        <f>IF(Y4191=1,AC4191^2,"")</f>
        <v/>
      </c>
      <c r="AE4191" s="19">
        <f>IF(Z4191=1,(H4191-M4191)*I4191,0)</f>
        <v/>
      </c>
      <c r="AF4191">
        <f>IF(G4191&lt;EDATE(Assumptions!$C$6,-12)+1,"prior_12m","last_12m")</f>
        <v/>
      </c>
      <c r="AG4191" s="21">
        <f>DATE(YEAR(G4191),MONTH(G4191),1)</f>
        <v/>
      </c>
    </row>
    <row r="4192">
      <c r="A4192" t="inlineStr">
        <is>
          <t>SPO-02234-1</t>
        </is>
      </c>
      <c r="B4192" t="inlineStr">
        <is>
          <t>SPO-02234</t>
        </is>
      </c>
      <c r="C4192" t="inlineStr">
        <is>
          <t>SUP-10</t>
        </is>
      </c>
      <c r="D4192" t="inlineStr">
        <is>
          <t>PPE</t>
        </is>
      </c>
      <c r="E4192" t="inlineStr">
        <is>
          <t>PPE-07</t>
        </is>
      </c>
      <c r="F4192" s="17" t="n">
        <v>46190</v>
      </c>
      <c r="G4192" s="17" t="n">
        <v>46203</v>
      </c>
      <c r="H4192" s="18" t="n">
        <v>63</v>
      </c>
      <c r="I4192" s="19" t="n">
        <v>31.28</v>
      </c>
      <c r="J4192" s="19" t="n">
        <v>31</v>
      </c>
      <c r="K4192" s="20" t="n">
        <v>0</v>
      </c>
      <c r="L4192" s="20" t="n">
        <v>0</v>
      </c>
      <c r="M4192" s="18" t="n">
        <v>63</v>
      </c>
      <c r="N4192" s="18" t="n">
        <v>63</v>
      </c>
      <c r="O4192" s="18" t="n">
        <v>0</v>
      </c>
      <c r="P4192" s="17" t="n">
        <v>46200</v>
      </c>
      <c r="Q4192" s="17" t="n">
        <v>46200</v>
      </c>
      <c r="R4192" s="17" t="n">
        <v>46200</v>
      </c>
      <c r="S4192" s="19">
        <f>H4192*I4192</f>
        <v/>
      </c>
      <c r="T4192" s="19">
        <f>H4192*J4192</f>
        <v/>
      </c>
      <c r="U4192">
        <f>IF(AND(K4192=0,G4192&lt;=Assumptions!$C$6),1,0)</f>
        <v/>
      </c>
      <c r="V4192">
        <f>IF(U4192=1,IF(M4192&gt;0,IF(P4192&lt;=G4192+Assumptions!$C$7,1,0),0),0)</f>
        <v/>
      </c>
      <c r="W4192">
        <f>IF(AND(U4192=1,M4192&gt;=H4192*(1-Assumptions!$C$8)),1,0)</f>
        <v/>
      </c>
      <c r="X4192">
        <f>IF(AND(U4192=1,N4192&gt;=H4192*(1-Assumptions!$C$8)),1,0)</f>
        <v/>
      </c>
      <c r="Y4192">
        <f>IF(ISNUMBER(Q4192),1,0)</f>
        <v/>
      </c>
      <c r="Z4192">
        <f>IF(AND(K4192=0,L4192=0,Y4192=0),1,0)</f>
        <v/>
      </c>
      <c r="AA4192">
        <f>IF(AND(Z4192=1,G4192&lt;Assumptions!$C$6),1,0)</f>
        <v/>
      </c>
      <c r="AB4192">
        <f>IF(U4192=0,"",IF(Y4192=1,MAX(0,Q4192-G4192),IF(L4192=1,MAX(0,R4192-G4192),MAX(0,Assumptions!$C$6-G4192))))</f>
        <v/>
      </c>
      <c r="AC4192">
        <f>IF(Y4192=1,Q4192-F4192,"")</f>
        <v/>
      </c>
      <c r="AD4192">
        <f>IF(Y4192=1,AC4192^2,"")</f>
        <v/>
      </c>
      <c r="AE4192" s="19">
        <f>IF(Z4192=1,(H4192-M4192)*I4192,0)</f>
        <v/>
      </c>
      <c r="AF4192">
        <f>IF(G4192&lt;EDATE(Assumptions!$C$6,-12)+1,"prior_12m","last_12m")</f>
        <v/>
      </c>
      <c r="AG4192" s="21">
        <f>DATE(YEAR(G4192),MONTH(G4192),1)</f>
        <v/>
      </c>
    </row>
    <row r="4193">
      <c r="A4193" t="inlineStr">
        <is>
          <t>SPO-02234-2</t>
        </is>
      </c>
      <c r="B4193" t="inlineStr">
        <is>
          <t>SPO-02234</t>
        </is>
      </c>
      <c r="C4193" t="inlineStr">
        <is>
          <t>SUP-10</t>
        </is>
      </c>
      <c r="D4193" t="inlineStr">
        <is>
          <t>PPE</t>
        </is>
      </c>
      <c r="E4193" t="inlineStr">
        <is>
          <t>PPE-05</t>
        </is>
      </c>
      <c r="F4193" s="17" t="n">
        <v>46190</v>
      </c>
      <c r="G4193" s="17" t="n">
        <v>46203</v>
      </c>
      <c r="H4193" s="18" t="n">
        <v>109</v>
      </c>
      <c r="I4193" s="19" t="n">
        <v>10.39</v>
      </c>
      <c r="J4193" s="19" t="n">
        <v>11</v>
      </c>
      <c r="K4193" s="20" t="n">
        <v>0</v>
      </c>
      <c r="L4193" s="20" t="n">
        <v>0</v>
      </c>
      <c r="M4193" s="18" t="n">
        <v>109</v>
      </c>
      <c r="N4193" s="18" t="n">
        <v>109</v>
      </c>
      <c r="O4193" s="18" t="n">
        <v>23</v>
      </c>
      <c r="P4193" s="17" t="n">
        <v>46199</v>
      </c>
      <c r="Q4193" s="17" t="n">
        <v>46199</v>
      </c>
      <c r="R4193" s="17" t="n">
        <v>46199</v>
      </c>
      <c r="S4193" s="19">
        <f>H4193*I4193</f>
        <v/>
      </c>
      <c r="T4193" s="19">
        <f>H4193*J4193</f>
        <v/>
      </c>
      <c r="U4193">
        <f>IF(AND(K4193=0,G4193&lt;=Assumptions!$C$6),1,0)</f>
        <v/>
      </c>
      <c r="V4193">
        <f>IF(U4193=1,IF(M4193&gt;0,IF(P4193&lt;=G4193+Assumptions!$C$7,1,0),0),0)</f>
        <v/>
      </c>
      <c r="W4193">
        <f>IF(AND(U4193=1,M4193&gt;=H4193*(1-Assumptions!$C$8)),1,0)</f>
        <v/>
      </c>
      <c r="X4193">
        <f>IF(AND(U4193=1,N4193&gt;=H4193*(1-Assumptions!$C$8)),1,0)</f>
        <v/>
      </c>
      <c r="Y4193">
        <f>IF(ISNUMBER(Q4193),1,0)</f>
        <v/>
      </c>
      <c r="Z4193">
        <f>IF(AND(K4193=0,L4193=0,Y4193=0),1,0)</f>
        <v/>
      </c>
      <c r="AA4193">
        <f>IF(AND(Z4193=1,G4193&lt;Assumptions!$C$6),1,0)</f>
        <v/>
      </c>
      <c r="AB4193">
        <f>IF(U4193=0,"",IF(Y4193=1,MAX(0,Q4193-G4193),IF(L4193=1,MAX(0,R4193-G4193),MAX(0,Assumptions!$C$6-G4193))))</f>
        <v/>
      </c>
      <c r="AC4193">
        <f>IF(Y4193=1,Q4193-F4193,"")</f>
        <v/>
      </c>
      <c r="AD4193">
        <f>IF(Y4193=1,AC4193^2,"")</f>
        <v/>
      </c>
      <c r="AE4193" s="19">
        <f>IF(Z4193=1,(H4193-M4193)*I4193,0)</f>
        <v/>
      </c>
      <c r="AF4193">
        <f>IF(G4193&lt;EDATE(Assumptions!$C$6,-12)+1,"prior_12m","last_12m")</f>
        <v/>
      </c>
      <c r="AG4193" s="21">
        <f>DATE(YEAR(G4193),MONTH(G4193),1)</f>
        <v/>
      </c>
    </row>
    <row r="4194">
      <c r="A4194" t="inlineStr">
        <is>
          <t>SPO-02235-1</t>
        </is>
      </c>
      <c r="B4194" t="inlineStr">
        <is>
          <t>SPO-02235</t>
        </is>
      </c>
      <c r="C4194" t="inlineStr">
        <is>
          <t>SUP-12</t>
        </is>
      </c>
      <c r="D4194" t="inlineStr">
        <is>
          <t>IT</t>
        </is>
      </c>
      <c r="E4194" t="inlineStr">
        <is>
          <t>IT-08</t>
        </is>
      </c>
      <c r="F4194" s="17" t="n">
        <v>46190</v>
      </c>
      <c r="G4194" s="17" t="n">
        <v>46200</v>
      </c>
      <c r="H4194" s="18" t="n">
        <v>7</v>
      </c>
      <c r="I4194" s="19" t="n">
        <v>268.08</v>
      </c>
      <c r="J4194" s="19" t="n">
        <v>245</v>
      </c>
      <c r="K4194" s="20" t="n">
        <v>0</v>
      </c>
      <c r="L4194" s="20" t="n">
        <v>0</v>
      </c>
      <c r="M4194" s="18" t="n">
        <v>7</v>
      </c>
      <c r="N4194" s="18" t="n">
        <v>7</v>
      </c>
      <c r="O4194" s="18" t="n">
        <v>0</v>
      </c>
      <c r="P4194" s="17" t="n">
        <v>46197</v>
      </c>
      <c r="Q4194" s="17" t="n">
        <v>46197</v>
      </c>
      <c r="R4194" s="17" t="n">
        <v>46197</v>
      </c>
      <c r="S4194" s="19">
        <f>H4194*I4194</f>
        <v/>
      </c>
      <c r="T4194" s="19">
        <f>H4194*J4194</f>
        <v/>
      </c>
      <c r="U4194">
        <f>IF(AND(K4194=0,G4194&lt;=Assumptions!$C$6),1,0)</f>
        <v/>
      </c>
      <c r="V4194">
        <f>IF(U4194=1,IF(M4194&gt;0,IF(P4194&lt;=G4194+Assumptions!$C$7,1,0),0),0)</f>
        <v/>
      </c>
      <c r="W4194">
        <f>IF(AND(U4194=1,M4194&gt;=H4194*(1-Assumptions!$C$8)),1,0)</f>
        <v/>
      </c>
      <c r="X4194">
        <f>IF(AND(U4194=1,N4194&gt;=H4194*(1-Assumptions!$C$8)),1,0)</f>
        <v/>
      </c>
      <c r="Y4194">
        <f>IF(ISNUMBER(Q4194),1,0)</f>
        <v/>
      </c>
      <c r="Z4194">
        <f>IF(AND(K4194=0,L4194=0,Y4194=0),1,0)</f>
        <v/>
      </c>
      <c r="AA4194">
        <f>IF(AND(Z4194=1,G4194&lt;Assumptions!$C$6),1,0)</f>
        <v/>
      </c>
      <c r="AB4194">
        <f>IF(U4194=0,"",IF(Y4194=1,MAX(0,Q4194-G4194),IF(L4194=1,MAX(0,R4194-G4194),MAX(0,Assumptions!$C$6-G4194))))</f>
        <v/>
      </c>
      <c r="AC4194">
        <f>IF(Y4194=1,Q4194-F4194,"")</f>
        <v/>
      </c>
      <c r="AD4194">
        <f>IF(Y4194=1,AC4194^2,"")</f>
        <v/>
      </c>
      <c r="AE4194" s="19">
        <f>IF(Z4194=1,(H4194-M4194)*I4194,0)</f>
        <v/>
      </c>
      <c r="AF4194">
        <f>IF(G4194&lt;EDATE(Assumptions!$C$6,-12)+1,"prior_12m","last_12m")</f>
        <v/>
      </c>
      <c r="AG4194" s="21">
        <f>DATE(YEAR(G4194),MONTH(G4194),1)</f>
        <v/>
      </c>
    </row>
    <row r="4195">
      <c r="A4195" t="inlineStr">
        <is>
          <t>SPO-02236-1</t>
        </is>
      </c>
      <c r="B4195" t="inlineStr">
        <is>
          <t>SPO-02236</t>
        </is>
      </c>
      <c r="C4195" t="inlineStr">
        <is>
          <t>SUP-01</t>
        </is>
      </c>
      <c r="D4195" t="inlineStr">
        <is>
          <t>ELEC</t>
        </is>
      </c>
      <c r="E4195" t="inlineStr">
        <is>
          <t>ELEC-01</t>
        </is>
      </c>
      <c r="F4195" s="17" t="n">
        <v>46191</v>
      </c>
      <c r="G4195" s="17" t="n">
        <v>46209</v>
      </c>
      <c r="H4195" s="18" t="n">
        <v>146</v>
      </c>
      <c r="I4195" s="19" t="n">
        <v>37.35</v>
      </c>
      <c r="J4195" s="19" t="n">
        <v>38</v>
      </c>
      <c r="K4195" s="20" t="n">
        <v>0</v>
      </c>
      <c r="L4195" s="20" t="n">
        <v>0</v>
      </c>
      <c r="M4195" s="18" t="n">
        <v>146</v>
      </c>
      <c r="N4195" s="18" t="n">
        <v>0</v>
      </c>
      <c r="O4195" s="18" t="n">
        <v>0</v>
      </c>
      <c r="P4195" s="17" t="n">
        <v>46210</v>
      </c>
      <c r="Q4195" s="17" t="n">
        <v>46210</v>
      </c>
      <c r="R4195" s="17" t="n">
        <v>46210</v>
      </c>
      <c r="S4195" s="19">
        <f>H4195*I4195</f>
        <v/>
      </c>
      <c r="T4195" s="19">
        <f>H4195*J4195</f>
        <v/>
      </c>
      <c r="U4195">
        <f>IF(AND(K4195=0,G4195&lt;=Assumptions!$C$6),1,0)</f>
        <v/>
      </c>
      <c r="V4195">
        <f>IF(U4195=1,IF(M4195&gt;0,IF(P4195&lt;=G4195+Assumptions!$C$7,1,0),0),0)</f>
        <v/>
      </c>
      <c r="W4195">
        <f>IF(AND(U4195=1,M4195&gt;=H4195*(1-Assumptions!$C$8)),1,0)</f>
        <v/>
      </c>
      <c r="X4195">
        <f>IF(AND(U4195=1,N4195&gt;=H4195*(1-Assumptions!$C$8)),1,0)</f>
        <v/>
      </c>
      <c r="Y4195">
        <f>IF(ISNUMBER(Q4195),1,0)</f>
        <v/>
      </c>
      <c r="Z4195">
        <f>IF(AND(K4195=0,L4195=0,Y4195=0),1,0)</f>
        <v/>
      </c>
      <c r="AA4195">
        <f>IF(AND(Z4195=1,G4195&lt;Assumptions!$C$6),1,0)</f>
        <v/>
      </c>
      <c r="AB4195">
        <f>IF(U4195=0,"",IF(Y4195=1,MAX(0,Q4195-G4195),IF(L4195=1,MAX(0,R4195-G4195),MAX(0,Assumptions!$C$6-G4195))))</f>
        <v/>
      </c>
      <c r="AC4195">
        <f>IF(Y4195=1,Q4195-F4195,"")</f>
        <v/>
      </c>
      <c r="AD4195">
        <f>IF(Y4195=1,AC4195^2,"")</f>
        <v/>
      </c>
      <c r="AE4195" s="19">
        <f>IF(Z4195=1,(H4195-M4195)*I4195,0)</f>
        <v/>
      </c>
      <c r="AF4195">
        <f>IF(G4195&lt;EDATE(Assumptions!$C$6,-12)+1,"prior_12m","last_12m")</f>
        <v/>
      </c>
      <c r="AG4195" s="21">
        <f>DATE(YEAR(G4195),MONTH(G4195),1)</f>
        <v/>
      </c>
    </row>
    <row r="4196">
      <c r="A4196" t="inlineStr">
        <is>
          <t>SPO-02237-1</t>
        </is>
      </c>
      <c r="B4196" t="inlineStr">
        <is>
          <t>SPO-02237</t>
        </is>
      </c>
      <c r="C4196" t="inlineStr">
        <is>
          <t>SUP-07</t>
        </is>
      </c>
      <c r="D4196" t="inlineStr">
        <is>
          <t>MRO</t>
        </is>
      </c>
      <c r="E4196" t="inlineStr">
        <is>
          <t>MRO-05</t>
        </is>
      </c>
      <c r="F4196" s="17" t="n">
        <v>46191</v>
      </c>
      <c r="G4196" s="17" t="n">
        <v>46201</v>
      </c>
      <c r="H4196" s="18" t="n">
        <v>35</v>
      </c>
      <c r="I4196" s="19" t="n">
        <v>37.41</v>
      </c>
      <c r="J4196" s="19" t="n">
        <v>36</v>
      </c>
      <c r="K4196" s="20" t="n">
        <v>0</v>
      </c>
      <c r="L4196" s="20" t="n">
        <v>0</v>
      </c>
      <c r="M4196" s="18" t="n">
        <v>35</v>
      </c>
      <c r="N4196" s="18" t="n">
        <v>0</v>
      </c>
      <c r="O4196" s="18" t="n">
        <v>0</v>
      </c>
      <c r="P4196" s="17" t="n">
        <v>46202</v>
      </c>
      <c r="Q4196" s="17" t="n">
        <v>46202</v>
      </c>
      <c r="R4196" s="17" t="n">
        <v>46202</v>
      </c>
      <c r="S4196" s="19">
        <f>H4196*I4196</f>
        <v/>
      </c>
      <c r="T4196" s="19">
        <f>H4196*J4196</f>
        <v/>
      </c>
      <c r="U4196">
        <f>IF(AND(K4196=0,G4196&lt;=Assumptions!$C$6),1,0)</f>
        <v/>
      </c>
      <c r="V4196">
        <f>IF(U4196=1,IF(M4196&gt;0,IF(P4196&lt;=G4196+Assumptions!$C$7,1,0),0),0)</f>
        <v/>
      </c>
      <c r="W4196">
        <f>IF(AND(U4196=1,M4196&gt;=H4196*(1-Assumptions!$C$8)),1,0)</f>
        <v/>
      </c>
      <c r="X4196">
        <f>IF(AND(U4196=1,N4196&gt;=H4196*(1-Assumptions!$C$8)),1,0)</f>
        <v/>
      </c>
      <c r="Y4196">
        <f>IF(ISNUMBER(Q4196),1,0)</f>
        <v/>
      </c>
      <c r="Z4196">
        <f>IF(AND(K4196=0,L4196=0,Y4196=0),1,0)</f>
        <v/>
      </c>
      <c r="AA4196">
        <f>IF(AND(Z4196=1,G4196&lt;Assumptions!$C$6),1,0)</f>
        <v/>
      </c>
      <c r="AB4196">
        <f>IF(U4196=0,"",IF(Y4196=1,MAX(0,Q4196-G4196),IF(L4196=1,MAX(0,R4196-G4196),MAX(0,Assumptions!$C$6-G4196))))</f>
        <v/>
      </c>
      <c r="AC4196">
        <f>IF(Y4196=1,Q4196-F4196,"")</f>
        <v/>
      </c>
      <c r="AD4196">
        <f>IF(Y4196=1,AC4196^2,"")</f>
        <v/>
      </c>
      <c r="AE4196" s="19">
        <f>IF(Z4196=1,(H4196-M4196)*I4196,0)</f>
        <v/>
      </c>
      <c r="AF4196">
        <f>IF(G4196&lt;EDATE(Assumptions!$C$6,-12)+1,"prior_12m","last_12m")</f>
        <v/>
      </c>
      <c r="AG4196" s="21">
        <f>DATE(YEAR(G4196),MONTH(G4196),1)</f>
        <v/>
      </c>
    </row>
    <row r="4197">
      <c r="A4197" t="inlineStr">
        <is>
          <t>SPO-02238-1</t>
        </is>
      </c>
      <c r="B4197" t="inlineStr">
        <is>
          <t>SPO-02238</t>
        </is>
      </c>
      <c r="C4197" t="inlineStr">
        <is>
          <t>SUP-02</t>
        </is>
      </c>
      <c r="D4197" t="inlineStr">
        <is>
          <t>ELEC</t>
        </is>
      </c>
      <c r="E4197" t="inlineStr">
        <is>
          <t>ELEC-08</t>
        </is>
      </c>
      <c r="F4197" s="17" t="n">
        <v>46192</v>
      </c>
      <c r="G4197" s="17" t="n">
        <v>46208</v>
      </c>
      <c r="H4197" s="18" t="n">
        <v>54</v>
      </c>
      <c r="I4197" s="19" t="n">
        <v>19.98</v>
      </c>
      <c r="J4197" s="19" t="n">
        <v>18</v>
      </c>
      <c r="K4197" s="20" t="n">
        <v>0</v>
      </c>
      <c r="L4197" s="20" t="n">
        <v>0</v>
      </c>
      <c r="M4197" s="18" t="n">
        <v>54</v>
      </c>
      <c r="N4197" s="18" t="n">
        <v>54</v>
      </c>
      <c r="O4197" s="18" t="n">
        <v>0</v>
      </c>
      <c r="P4197" s="17" t="n">
        <v>46203</v>
      </c>
      <c r="Q4197" s="17" t="n">
        <v>46203</v>
      </c>
      <c r="R4197" s="17" t="n">
        <v>46203</v>
      </c>
      <c r="S4197" s="19">
        <f>H4197*I4197</f>
        <v/>
      </c>
      <c r="T4197" s="19">
        <f>H4197*J4197</f>
        <v/>
      </c>
      <c r="U4197">
        <f>IF(AND(K4197=0,G4197&lt;=Assumptions!$C$6),1,0)</f>
        <v/>
      </c>
      <c r="V4197">
        <f>IF(U4197=1,IF(M4197&gt;0,IF(P4197&lt;=G4197+Assumptions!$C$7,1,0),0),0)</f>
        <v/>
      </c>
      <c r="W4197">
        <f>IF(AND(U4197=1,M4197&gt;=H4197*(1-Assumptions!$C$8)),1,0)</f>
        <v/>
      </c>
      <c r="X4197">
        <f>IF(AND(U4197=1,N4197&gt;=H4197*(1-Assumptions!$C$8)),1,0)</f>
        <v/>
      </c>
      <c r="Y4197">
        <f>IF(ISNUMBER(Q4197),1,0)</f>
        <v/>
      </c>
      <c r="Z4197">
        <f>IF(AND(K4197=0,L4197=0,Y4197=0),1,0)</f>
        <v/>
      </c>
      <c r="AA4197">
        <f>IF(AND(Z4197=1,G4197&lt;Assumptions!$C$6),1,0)</f>
        <v/>
      </c>
      <c r="AB4197">
        <f>IF(U4197=0,"",IF(Y4197=1,MAX(0,Q4197-G4197),IF(L4197=1,MAX(0,R4197-G4197),MAX(0,Assumptions!$C$6-G4197))))</f>
        <v/>
      </c>
      <c r="AC4197">
        <f>IF(Y4197=1,Q4197-F4197,"")</f>
        <v/>
      </c>
      <c r="AD4197">
        <f>IF(Y4197=1,AC4197^2,"")</f>
        <v/>
      </c>
      <c r="AE4197" s="19">
        <f>IF(Z4197=1,(H4197-M4197)*I4197,0)</f>
        <v/>
      </c>
      <c r="AF4197">
        <f>IF(G4197&lt;EDATE(Assumptions!$C$6,-12)+1,"prior_12m","last_12m")</f>
        <v/>
      </c>
      <c r="AG4197" s="21">
        <f>DATE(YEAR(G4197),MONTH(G4197),1)</f>
        <v/>
      </c>
    </row>
    <row r="4198">
      <c r="A4198" t="inlineStr">
        <is>
          <t>SPO-02239-1</t>
        </is>
      </c>
      <c r="B4198" t="inlineStr">
        <is>
          <t>SPO-02239</t>
        </is>
      </c>
      <c r="C4198" t="inlineStr">
        <is>
          <t>SUP-02</t>
        </is>
      </c>
      <c r="D4198" t="inlineStr">
        <is>
          <t>ELEC</t>
        </is>
      </c>
      <c r="E4198" t="inlineStr">
        <is>
          <t>ELEC-05</t>
        </is>
      </c>
      <c r="F4198" s="17" t="n">
        <v>46192</v>
      </c>
      <c r="G4198" s="17" t="n">
        <v>46208</v>
      </c>
      <c r="H4198" s="18" t="n">
        <v>211</v>
      </c>
      <c r="I4198" s="19" t="n">
        <v>11.59</v>
      </c>
      <c r="J4198" s="19" t="n">
        <v>11.5</v>
      </c>
      <c r="K4198" s="20" t="n">
        <v>0</v>
      </c>
      <c r="L4198" s="20" t="n">
        <v>0</v>
      </c>
      <c r="M4198" s="18" t="n">
        <v>211</v>
      </c>
      <c r="N4198" s="18" t="n">
        <v>211</v>
      </c>
      <c r="O4198" s="18" t="n">
        <v>0</v>
      </c>
      <c r="P4198" s="17" t="n">
        <v>46206</v>
      </c>
      <c r="Q4198" s="17" t="n">
        <v>46206</v>
      </c>
      <c r="R4198" s="17" t="n">
        <v>46206</v>
      </c>
      <c r="S4198" s="19">
        <f>H4198*I4198</f>
        <v/>
      </c>
      <c r="T4198" s="19">
        <f>H4198*J4198</f>
        <v/>
      </c>
      <c r="U4198">
        <f>IF(AND(K4198=0,G4198&lt;=Assumptions!$C$6),1,0)</f>
        <v/>
      </c>
      <c r="V4198">
        <f>IF(U4198=1,IF(M4198&gt;0,IF(P4198&lt;=G4198+Assumptions!$C$7,1,0),0),0)</f>
        <v/>
      </c>
      <c r="W4198">
        <f>IF(AND(U4198=1,M4198&gt;=H4198*(1-Assumptions!$C$8)),1,0)</f>
        <v/>
      </c>
      <c r="X4198">
        <f>IF(AND(U4198=1,N4198&gt;=H4198*(1-Assumptions!$C$8)),1,0)</f>
        <v/>
      </c>
      <c r="Y4198">
        <f>IF(ISNUMBER(Q4198),1,0)</f>
        <v/>
      </c>
      <c r="Z4198">
        <f>IF(AND(K4198=0,L4198=0,Y4198=0),1,0)</f>
        <v/>
      </c>
      <c r="AA4198">
        <f>IF(AND(Z4198=1,G4198&lt;Assumptions!$C$6),1,0)</f>
        <v/>
      </c>
      <c r="AB4198">
        <f>IF(U4198=0,"",IF(Y4198=1,MAX(0,Q4198-G4198),IF(L4198=1,MAX(0,R4198-G4198),MAX(0,Assumptions!$C$6-G4198))))</f>
        <v/>
      </c>
      <c r="AC4198">
        <f>IF(Y4198=1,Q4198-F4198,"")</f>
        <v/>
      </c>
      <c r="AD4198">
        <f>IF(Y4198=1,AC4198^2,"")</f>
        <v/>
      </c>
      <c r="AE4198" s="19">
        <f>IF(Z4198=1,(H4198-M4198)*I4198,0)</f>
        <v/>
      </c>
      <c r="AF4198">
        <f>IF(G4198&lt;EDATE(Assumptions!$C$6,-12)+1,"prior_12m","last_12m")</f>
        <v/>
      </c>
      <c r="AG4198" s="21">
        <f>DATE(YEAR(G4198),MONTH(G4198),1)</f>
        <v/>
      </c>
    </row>
    <row r="4199">
      <c r="A4199" t="inlineStr">
        <is>
          <t>SPO-02239-2</t>
        </is>
      </c>
      <c r="B4199" t="inlineStr">
        <is>
          <t>SPO-02239</t>
        </is>
      </c>
      <c r="C4199" t="inlineStr">
        <is>
          <t>SUP-02</t>
        </is>
      </c>
      <c r="D4199" t="inlineStr">
        <is>
          <t>ELEC</t>
        </is>
      </c>
      <c r="E4199" t="inlineStr">
        <is>
          <t>ELEC-04</t>
        </is>
      </c>
      <c r="F4199" s="17" t="n">
        <v>46192</v>
      </c>
      <c r="G4199" s="17" t="n">
        <v>46208</v>
      </c>
      <c r="H4199" s="18" t="n">
        <v>29</v>
      </c>
      <c r="I4199" s="19" t="n">
        <v>71.01000000000001</v>
      </c>
      <c r="J4199" s="19" t="n">
        <v>72</v>
      </c>
      <c r="K4199" s="20" t="n">
        <v>0</v>
      </c>
      <c r="L4199" s="20" t="n">
        <v>0</v>
      </c>
      <c r="M4199" s="18" t="n">
        <v>29</v>
      </c>
      <c r="N4199" s="18" t="n">
        <v>29</v>
      </c>
      <c r="O4199" s="18" t="n">
        <v>0</v>
      </c>
      <c r="P4199" s="17" t="n">
        <v>46205</v>
      </c>
      <c r="Q4199" s="17" t="n">
        <v>46205</v>
      </c>
      <c r="R4199" s="17" t="n">
        <v>46205</v>
      </c>
      <c r="S4199" s="19">
        <f>H4199*I4199</f>
        <v/>
      </c>
      <c r="T4199" s="19">
        <f>H4199*J4199</f>
        <v/>
      </c>
      <c r="U4199">
        <f>IF(AND(K4199=0,G4199&lt;=Assumptions!$C$6),1,0)</f>
        <v/>
      </c>
      <c r="V4199">
        <f>IF(U4199=1,IF(M4199&gt;0,IF(P4199&lt;=G4199+Assumptions!$C$7,1,0),0),0)</f>
        <v/>
      </c>
      <c r="W4199">
        <f>IF(AND(U4199=1,M4199&gt;=H4199*(1-Assumptions!$C$8)),1,0)</f>
        <v/>
      </c>
      <c r="X4199">
        <f>IF(AND(U4199=1,N4199&gt;=H4199*(1-Assumptions!$C$8)),1,0)</f>
        <v/>
      </c>
      <c r="Y4199">
        <f>IF(ISNUMBER(Q4199),1,0)</f>
        <v/>
      </c>
      <c r="Z4199">
        <f>IF(AND(K4199=0,L4199=0,Y4199=0),1,0)</f>
        <v/>
      </c>
      <c r="AA4199">
        <f>IF(AND(Z4199=1,G4199&lt;Assumptions!$C$6),1,0)</f>
        <v/>
      </c>
      <c r="AB4199">
        <f>IF(U4199=0,"",IF(Y4199=1,MAX(0,Q4199-G4199),IF(L4199=1,MAX(0,R4199-G4199),MAX(0,Assumptions!$C$6-G4199))))</f>
        <v/>
      </c>
      <c r="AC4199">
        <f>IF(Y4199=1,Q4199-F4199,"")</f>
        <v/>
      </c>
      <c r="AD4199">
        <f>IF(Y4199=1,AC4199^2,"")</f>
        <v/>
      </c>
      <c r="AE4199" s="19">
        <f>IF(Z4199=1,(H4199-M4199)*I4199,0)</f>
        <v/>
      </c>
      <c r="AF4199">
        <f>IF(G4199&lt;EDATE(Assumptions!$C$6,-12)+1,"prior_12m","last_12m")</f>
        <v/>
      </c>
      <c r="AG4199" s="21">
        <f>DATE(YEAR(G4199),MONTH(G4199),1)</f>
        <v/>
      </c>
    </row>
    <row r="4200">
      <c r="A4200" t="inlineStr">
        <is>
          <t>SPO-02240-1</t>
        </is>
      </c>
      <c r="B4200" t="inlineStr">
        <is>
          <t>SPO-02240</t>
        </is>
      </c>
      <c r="C4200" t="inlineStr">
        <is>
          <t>SUP-12</t>
        </is>
      </c>
      <c r="D4200" t="inlineStr">
        <is>
          <t>IT</t>
        </is>
      </c>
      <c r="E4200" t="inlineStr">
        <is>
          <t>IT-01</t>
        </is>
      </c>
      <c r="F4200" s="17" t="n">
        <v>46192</v>
      </c>
      <c r="G4200" s="17" t="n">
        <v>46202</v>
      </c>
      <c r="H4200" s="18" t="n">
        <v>6</v>
      </c>
      <c r="I4200" s="19" t="n">
        <v>210.53</v>
      </c>
      <c r="J4200" s="19" t="n">
        <v>189</v>
      </c>
      <c r="K4200" s="20" t="n">
        <v>0</v>
      </c>
      <c r="L4200" s="20" t="n">
        <v>0</v>
      </c>
      <c r="M4200" s="18" t="n">
        <v>6</v>
      </c>
      <c r="N4200" s="18" t="n">
        <v>0</v>
      </c>
      <c r="O4200" s="18" t="n">
        <v>0</v>
      </c>
      <c r="P4200" s="17" t="n">
        <v>46203</v>
      </c>
      <c r="Q4200" s="17" t="n">
        <v>46203</v>
      </c>
      <c r="R4200" s="17" t="n">
        <v>46203</v>
      </c>
      <c r="S4200" s="19">
        <f>H4200*I4200</f>
        <v/>
      </c>
      <c r="T4200" s="19">
        <f>H4200*J4200</f>
        <v/>
      </c>
      <c r="U4200">
        <f>IF(AND(K4200=0,G4200&lt;=Assumptions!$C$6),1,0)</f>
        <v/>
      </c>
      <c r="V4200">
        <f>IF(U4200=1,IF(M4200&gt;0,IF(P4200&lt;=G4200+Assumptions!$C$7,1,0),0),0)</f>
        <v/>
      </c>
      <c r="W4200">
        <f>IF(AND(U4200=1,M4200&gt;=H4200*(1-Assumptions!$C$8)),1,0)</f>
        <v/>
      </c>
      <c r="X4200">
        <f>IF(AND(U4200=1,N4200&gt;=H4200*(1-Assumptions!$C$8)),1,0)</f>
        <v/>
      </c>
      <c r="Y4200">
        <f>IF(ISNUMBER(Q4200),1,0)</f>
        <v/>
      </c>
      <c r="Z4200">
        <f>IF(AND(K4200=0,L4200=0,Y4200=0),1,0)</f>
        <v/>
      </c>
      <c r="AA4200">
        <f>IF(AND(Z4200=1,G4200&lt;Assumptions!$C$6),1,0)</f>
        <v/>
      </c>
      <c r="AB4200">
        <f>IF(U4200=0,"",IF(Y4200=1,MAX(0,Q4200-G4200),IF(L4200=1,MAX(0,R4200-G4200),MAX(0,Assumptions!$C$6-G4200))))</f>
        <v/>
      </c>
      <c r="AC4200">
        <f>IF(Y4200=1,Q4200-F4200,"")</f>
        <v/>
      </c>
      <c r="AD4200">
        <f>IF(Y4200=1,AC4200^2,"")</f>
        <v/>
      </c>
      <c r="AE4200" s="19">
        <f>IF(Z4200=1,(H4200-M4200)*I4200,0)</f>
        <v/>
      </c>
      <c r="AF4200">
        <f>IF(G4200&lt;EDATE(Assumptions!$C$6,-12)+1,"prior_12m","last_12m")</f>
        <v/>
      </c>
      <c r="AG4200" s="21">
        <f>DATE(YEAR(G4200),MONTH(G4200),1)</f>
        <v/>
      </c>
    </row>
    <row r="4201">
      <c r="A4201" t="inlineStr">
        <is>
          <t>SPO-02241-1</t>
        </is>
      </c>
      <c r="B4201" t="inlineStr">
        <is>
          <t>SPO-02241</t>
        </is>
      </c>
      <c r="C4201" t="inlineStr">
        <is>
          <t>SUP-01</t>
        </is>
      </c>
      <c r="D4201" t="inlineStr">
        <is>
          <t>ELEC</t>
        </is>
      </c>
      <c r="E4201" t="inlineStr">
        <is>
          <t>ELEC-06</t>
        </is>
      </c>
      <c r="F4201" s="17" t="n">
        <v>46193</v>
      </c>
      <c r="G4201" s="17" t="n">
        <v>46211</v>
      </c>
      <c r="H4201" s="18" t="n">
        <v>38</v>
      </c>
      <c r="I4201" s="19" t="n">
        <v>147.42</v>
      </c>
      <c r="J4201" s="19" t="n">
        <v>145</v>
      </c>
      <c r="K4201" s="20" t="n">
        <v>0</v>
      </c>
      <c r="L4201" s="20" t="n">
        <v>0</v>
      </c>
      <c r="M4201" s="18" t="n">
        <v>38</v>
      </c>
      <c r="N4201" s="18" t="n">
        <v>0</v>
      </c>
      <c r="O4201" s="18" t="n">
        <v>0</v>
      </c>
      <c r="P4201" s="17" t="n">
        <v>46218</v>
      </c>
      <c r="Q4201" s="17" t="n">
        <v>46218</v>
      </c>
      <c r="R4201" s="17" t="n">
        <v>46218</v>
      </c>
      <c r="S4201" s="19">
        <f>H4201*I4201</f>
        <v/>
      </c>
      <c r="T4201" s="19">
        <f>H4201*J4201</f>
        <v/>
      </c>
      <c r="U4201">
        <f>IF(AND(K4201=0,G4201&lt;=Assumptions!$C$6),1,0)</f>
        <v/>
      </c>
      <c r="V4201">
        <f>IF(U4201=1,IF(M4201&gt;0,IF(P4201&lt;=G4201+Assumptions!$C$7,1,0),0),0)</f>
        <v/>
      </c>
      <c r="W4201">
        <f>IF(AND(U4201=1,M4201&gt;=H4201*(1-Assumptions!$C$8)),1,0)</f>
        <v/>
      </c>
      <c r="X4201">
        <f>IF(AND(U4201=1,N4201&gt;=H4201*(1-Assumptions!$C$8)),1,0)</f>
        <v/>
      </c>
      <c r="Y4201">
        <f>IF(ISNUMBER(Q4201),1,0)</f>
        <v/>
      </c>
      <c r="Z4201">
        <f>IF(AND(K4201=0,L4201=0,Y4201=0),1,0)</f>
        <v/>
      </c>
      <c r="AA4201">
        <f>IF(AND(Z4201=1,G4201&lt;Assumptions!$C$6),1,0)</f>
        <v/>
      </c>
      <c r="AB4201">
        <f>IF(U4201=0,"",IF(Y4201=1,MAX(0,Q4201-G4201),IF(L4201=1,MAX(0,R4201-G4201),MAX(0,Assumptions!$C$6-G4201))))</f>
        <v/>
      </c>
      <c r="AC4201">
        <f>IF(Y4201=1,Q4201-F4201,"")</f>
        <v/>
      </c>
      <c r="AD4201">
        <f>IF(Y4201=1,AC4201^2,"")</f>
        <v/>
      </c>
      <c r="AE4201" s="19">
        <f>IF(Z4201=1,(H4201-M4201)*I4201,0)</f>
        <v/>
      </c>
      <c r="AF4201">
        <f>IF(G4201&lt;EDATE(Assumptions!$C$6,-12)+1,"prior_12m","last_12m")</f>
        <v/>
      </c>
      <c r="AG4201" s="21">
        <f>DATE(YEAR(G4201),MONTH(G4201),1)</f>
        <v/>
      </c>
    </row>
    <row r="4202">
      <c r="A4202" t="inlineStr">
        <is>
          <t>SPO-02242-1</t>
        </is>
      </c>
      <c r="B4202" t="inlineStr">
        <is>
          <t>SPO-02242</t>
        </is>
      </c>
      <c r="C4202" t="inlineStr">
        <is>
          <t>SUP-06</t>
        </is>
      </c>
      <c r="D4202" t="inlineStr">
        <is>
          <t>MRO</t>
        </is>
      </c>
      <c r="E4202" t="inlineStr">
        <is>
          <t>MRO-05</t>
        </is>
      </c>
      <c r="F4202" s="17" t="n">
        <v>46193</v>
      </c>
      <c r="G4202" s="17" t="n">
        <v>46201</v>
      </c>
      <c r="H4202" s="18" t="n">
        <v>19</v>
      </c>
      <c r="I4202" s="19" t="n">
        <v>35.33</v>
      </c>
      <c r="J4202" s="19" t="n">
        <v>36</v>
      </c>
      <c r="K4202" s="20" t="n">
        <v>0</v>
      </c>
      <c r="L4202" s="20" t="n">
        <v>0</v>
      </c>
      <c r="M4202" s="18" t="n">
        <v>19</v>
      </c>
      <c r="N4202" s="18" t="n">
        <v>19</v>
      </c>
      <c r="O4202" s="18" t="n">
        <v>0</v>
      </c>
      <c r="P4202" s="17" t="n">
        <v>46200</v>
      </c>
      <c r="Q4202" s="17" t="n">
        <v>46200</v>
      </c>
      <c r="R4202" s="17" t="n">
        <v>46200</v>
      </c>
      <c r="S4202" s="19">
        <f>H4202*I4202</f>
        <v/>
      </c>
      <c r="T4202" s="19">
        <f>H4202*J4202</f>
        <v/>
      </c>
      <c r="U4202">
        <f>IF(AND(K4202=0,G4202&lt;=Assumptions!$C$6),1,0)</f>
        <v/>
      </c>
      <c r="V4202">
        <f>IF(U4202=1,IF(M4202&gt;0,IF(P4202&lt;=G4202+Assumptions!$C$7,1,0),0),0)</f>
        <v/>
      </c>
      <c r="W4202">
        <f>IF(AND(U4202=1,M4202&gt;=H4202*(1-Assumptions!$C$8)),1,0)</f>
        <v/>
      </c>
      <c r="X4202">
        <f>IF(AND(U4202=1,N4202&gt;=H4202*(1-Assumptions!$C$8)),1,0)</f>
        <v/>
      </c>
      <c r="Y4202">
        <f>IF(ISNUMBER(Q4202),1,0)</f>
        <v/>
      </c>
      <c r="Z4202">
        <f>IF(AND(K4202=0,L4202=0,Y4202=0),1,0)</f>
        <v/>
      </c>
      <c r="AA4202">
        <f>IF(AND(Z4202=1,G4202&lt;Assumptions!$C$6),1,0)</f>
        <v/>
      </c>
      <c r="AB4202">
        <f>IF(U4202=0,"",IF(Y4202=1,MAX(0,Q4202-G4202),IF(L4202=1,MAX(0,R4202-G4202),MAX(0,Assumptions!$C$6-G4202))))</f>
        <v/>
      </c>
      <c r="AC4202">
        <f>IF(Y4202=1,Q4202-F4202,"")</f>
        <v/>
      </c>
      <c r="AD4202">
        <f>IF(Y4202=1,AC4202^2,"")</f>
        <v/>
      </c>
      <c r="AE4202" s="19">
        <f>IF(Z4202=1,(H4202-M4202)*I4202,0)</f>
        <v/>
      </c>
      <c r="AF4202">
        <f>IF(G4202&lt;EDATE(Assumptions!$C$6,-12)+1,"prior_12m","last_12m")</f>
        <v/>
      </c>
      <c r="AG4202" s="21">
        <f>DATE(YEAR(G4202),MONTH(G4202),1)</f>
        <v/>
      </c>
    </row>
    <row r="4203">
      <c r="A4203" t="inlineStr">
        <is>
          <t>SPO-02242-2</t>
        </is>
      </c>
      <c r="B4203" t="inlineStr">
        <is>
          <t>SPO-02242</t>
        </is>
      </c>
      <c r="C4203" t="inlineStr">
        <is>
          <t>SUP-06</t>
        </is>
      </c>
      <c r="D4203" t="inlineStr">
        <is>
          <t>MRO</t>
        </is>
      </c>
      <c r="E4203" t="inlineStr">
        <is>
          <t>MRO-02</t>
        </is>
      </c>
      <c r="F4203" s="17" t="n">
        <v>46193</v>
      </c>
      <c r="G4203" s="17" t="n">
        <v>46201</v>
      </c>
      <c r="H4203" s="18" t="n">
        <v>31</v>
      </c>
      <c r="I4203" s="19" t="n">
        <v>40.86</v>
      </c>
      <c r="J4203" s="19" t="n">
        <v>41</v>
      </c>
      <c r="K4203" s="20" t="n">
        <v>0</v>
      </c>
      <c r="L4203" s="20" t="n">
        <v>0</v>
      </c>
      <c r="M4203" s="18" t="n">
        <v>31</v>
      </c>
      <c r="N4203" s="18" t="n">
        <v>31</v>
      </c>
      <c r="O4203" s="18" t="n">
        <v>0</v>
      </c>
      <c r="P4203" s="17" t="n">
        <v>46199</v>
      </c>
      <c r="Q4203" s="17" t="n">
        <v>46199</v>
      </c>
      <c r="R4203" s="17" t="n">
        <v>46199</v>
      </c>
      <c r="S4203" s="19">
        <f>H4203*I4203</f>
        <v/>
      </c>
      <c r="T4203" s="19">
        <f>H4203*J4203</f>
        <v/>
      </c>
      <c r="U4203">
        <f>IF(AND(K4203=0,G4203&lt;=Assumptions!$C$6),1,0)</f>
        <v/>
      </c>
      <c r="V4203">
        <f>IF(U4203=1,IF(M4203&gt;0,IF(P4203&lt;=G4203+Assumptions!$C$7,1,0),0),0)</f>
        <v/>
      </c>
      <c r="W4203">
        <f>IF(AND(U4203=1,M4203&gt;=H4203*(1-Assumptions!$C$8)),1,0)</f>
        <v/>
      </c>
      <c r="X4203">
        <f>IF(AND(U4203=1,N4203&gt;=H4203*(1-Assumptions!$C$8)),1,0)</f>
        <v/>
      </c>
      <c r="Y4203">
        <f>IF(ISNUMBER(Q4203),1,0)</f>
        <v/>
      </c>
      <c r="Z4203">
        <f>IF(AND(K4203=0,L4203=0,Y4203=0),1,0)</f>
        <v/>
      </c>
      <c r="AA4203">
        <f>IF(AND(Z4203=1,G4203&lt;Assumptions!$C$6),1,0)</f>
        <v/>
      </c>
      <c r="AB4203">
        <f>IF(U4203=0,"",IF(Y4203=1,MAX(0,Q4203-G4203),IF(L4203=1,MAX(0,R4203-G4203),MAX(0,Assumptions!$C$6-G4203))))</f>
        <v/>
      </c>
      <c r="AC4203">
        <f>IF(Y4203=1,Q4203-F4203,"")</f>
        <v/>
      </c>
      <c r="AD4203">
        <f>IF(Y4203=1,AC4203^2,"")</f>
        <v/>
      </c>
      <c r="AE4203" s="19">
        <f>IF(Z4203=1,(H4203-M4203)*I4203,0)</f>
        <v/>
      </c>
      <c r="AF4203">
        <f>IF(G4203&lt;EDATE(Assumptions!$C$6,-12)+1,"prior_12m","last_12m")</f>
        <v/>
      </c>
      <c r="AG4203" s="21">
        <f>DATE(YEAR(G4203),MONTH(G4203),1)</f>
        <v/>
      </c>
    </row>
    <row r="4204">
      <c r="A4204" t="inlineStr">
        <is>
          <t>SPO-02242-3</t>
        </is>
      </c>
      <c r="B4204" t="inlineStr">
        <is>
          <t>SPO-02242</t>
        </is>
      </c>
      <c r="C4204" t="inlineStr">
        <is>
          <t>SUP-06</t>
        </is>
      </c>
      <c r="D4204" t="inlineStr">
        <is>
          <t>MRO</t>
        </is>
      </c>
      <c r="E4204" t="inlineStr">
        <is>
          <t>MRO-03</t>
        </is>
      </c>
      <c r="F4204" s="17" t="n">
        <v>46193</v>
      </c>
      <c r="G4204" s="17" t="n">
        <v>46201</v>
      </c>
      <c r="H4204" s="18" t="n">
        <v>84</v>
      </c>
      <c r="I4204" s="19" t="n">
        <v>9.15</v>
      </c>
      <c r="J4204" s="19" t="n">
        <v>8.9</v>
      </c>
      <c r="K4204" s="20" t="n">
        <v>0</v>
      </c>
      <c r="L4204" s="20" t="n">
        <v>0</v>
      </c>
      <c r="M4204" s="18" t="n">
        <v>84</v>
      </c>
      <c r="N4204" s="18" t="n">
        <v>84</v>
      </c>
      <c r="O4204" s="18" t="n">
        <v>0</v>
      </c>
      <c r="P4204" s="17" t="n">
        <v>46200</v>
      </c>
      <c r="Q4204" s="17" t="n">
        <v>46200</v>
      </c>
      <c r="R4204" s="17" t="n">
        <v>46200</v>
      </c>
      <c r="S4204" s="19">
        <f>H4204*I4204</f>
        <v/>
      </c>
      <c r="T4204" s="19">
        <f>H4204*J4204</f>
        <v/>
      </c>
      <c r="U4204">
        <f>IF(AND(K4204=0,G4204&lt;=Assumptions!$C$6),1,0)</f>
        <v/>
      </c>
      <c r="V4204">
        <f>IF(U4204=1,IF(M4204&gt;0,IF(P4204&lt;=G4204+Assumptions!$C$7,1,0),0),0)</f>
        <v/>
      </c>
      <c r="W4204">
        <f>IF(AND(U4204=1,M4204&gt;=H4204*(1-Assumptions!$C$8)),1,0)</f>
        <v/>
      </c>
      <c r="X4204">
        <f>IF(AND(U4204=1,N4204&gt;=H4204*(1-Assumptions!$C$8)),1,0)</f>
        <v/>
      </c>
      <c r="Y4204">
        <f>IF(ISNUMBER(Q4204),1,0)</f>
        <v/>
      </c>
      <c r="Z4204">
        <f>IF(AND(K4204=0,L4204=0,Y4204=0),1,0)</f>
        <v/>
      </c>
      <c r="AA4204">
        <f>IF(AND(Z4204=1,G4204&lt;Assumptions!$C$6),1,0)</f>
        <v/>
      </c>
      <c r="AB4204">
        <f>IF(U4204=0,"",IF(Y4204=1,MAX(0,Q4204-G4204),IF(L4204=1,MAX(0,R4204-G4204),MAX(0,Assumptions!$C$6-G4204))))</f>
        <v/>
      </c>
      <c r="AC4204">
        <f>IF(Y4204=1,Q4204-F4204,"")</f>
        <v/>
      </c>
      <c r="AD4204">
        <f>IF(Y4204=1,AC4204^2,"")</f>
        <v/>
      </c>
      <c r="AE4204" s="19">
        <f>IF(Z4204=1,(H4204-M4204)*I4204,0)</f>
        <v/>
      </c>
      <c r="AF4204">
        <f>IF(G4204&lt;EDATE(Assumptions!$C$6,-12)+1,"prior_12m","last_12m")</f>
        <v/>
      </c>
      <c r="AG4204" s="21">
        <f>DATE(YEAR(G4204),MONTH(G4204),1)</f>
        <v/>
      </c>
    </row>
    <row r="4205">
      <c r="A4205" t="inlineStr">
        <is>
          <t>SPO-02243-1</t>
        </is>
      </c>
      <c r="B4205" t="inlineStr">
        <is>
          <t>SPO-02243</t>
        </is>
      </c>
      <c r="C4205" t="inlineStr">
        <is>
          <t>SUP-12</t>
        </is>
      </c>
      <c r="D4205" t="inlineStr">
        <is>
          <t>IT</t>
        </is>
      </c>
      <c r="E4205" t="inlineStr">
        <is>
          <t>IT-01</t>
        </is>
      </c>
      <c r="F4205" s="17" t="n">
        <v>46193</v>
      </c>
      <c r="G4205" s="17" t="n">
        <v>46203</v>
      </c>
      <c r="H4205" s="18" t="n">
        <v>8</v>
      </c>
      <c r="I4205" s="19" t="n">
        <v>210.39</v>
      </c>
      <c r="J4205" s="19" t="n">
        <v>189</v>
      </c>
      <c r="K4205" s="20" t="n">
        <v>0</v>
      </c>
      <c r="L4205" s="20" t="n">
        <v>0</v>
      </c>
      <c r="M4205" s="18" t="n">
        <v>8</v>
      </c>
      <c r="N4205" s="18" t="n">
        <v>8</v>
      </c>
      <c r="O4205" s="18" t="n">
        <v>0</v>
      </c>
      <c r="P4205" s="17" t="n">
        <v>46197</v>
      </c>
      <c r="Q4205" s="17" t="n">
        <v>46197</v>
      </c>
      <c r="R4205" s="17" t="n">
        <v>46197</v>
      </c>
      <c r="S4205" s="19">
        <f>H4205*I4205</f>
        <v/>
      </c>
      <c r="T4205" s="19">
        <f>H4205*J4205</f>
        <v/>
      </c>
      <c r="U4205">
        <f>IF(AND(K4205=0,G4205&lt;=Assumptions!$C$6),1,0)</f>
        <v/>
      </c>
      <c r="V4205">
        <f>IF(U4205=1,IF(M4205&gt;0,IF(P4205&lt;=G4205+Assumptions!$C$7,1,0),0),0)</f>
        <v/>
      </c>
      <c r="W4205">
        <f>IF(AND(U4205=1,M4205&gt;=H4205*(1-Assumptions!$C$8)),1,0)</f>
        <v/>
      </c>
      <c r="X4205">
        <f>IF(AND(U4205=1,N4205&gt;=H4205*(1-Assumptions!$C$8)),1,0)</f>
        <v/>
      </c>
      <c r="Y4205">
        <f>IF(ISNUMBER(Q4205),1,0)</f>
        <v/>
      </c>
      <c r="Z4205">
        <f>IF(AND(K4205=0,L4205=0,Y4205=0),1,0)</f>
        <v/>
      </c>
      <c r="AA4205">
        <f>IF(AND(Z4205=1,G4205&lt;Assumptions!$C$6),1,0)</f>
        <v/>
      </c>
      <c r="AB4205">
        <f>IF(U4205=0,"",IF(Y4205=1,MAX(0,Q4205-G4205),IF(L4205=1,MAX(0,R4205-G4205),MAX(0,Assumptions!$C$6-G4205))))</f>
        <v/>
      </c>
      <c r="AC4205">
        <f>IF(Y4205=1,Q4205-F4205,"")</f>
        <v/>
      </c>
      <c r="AD4205">
        <f>IF(Y4205=1,AC4205^2,"")</f>
        <v/>
      </c>
      <c r="AE4205" s="19">
        <f>IF(Z4205=1,(H4205-M4205)*I4205,0)</f>
        <v/>
      </c>
      <c r="AF4205">
        <f>IF(G4205&lt;EDATE(Assumptions!$C$6,-12)+1,"prior_12m","last_12m")</f>
        <v/>
      </c>
      <c r="AG4205" s="21">
        <f>DATE(YEAR(G4205),MONTH(G4205),1)</f>
        <v/>
      </c>
    </row>
    <row r="4206">
      <c r="A4206" t="inlineStr">
        <is>
          <t>SPO-02243-2</t>
        </is>
      </c>
      <c r="B4206" t="inlineStr">
        <is>
          <t>SPO-02243</t>
        </is>
      </c>
      <c r="C4206" t="inlineStr">
        <is>
          <t>SUP-12</t>
        </is>
      </c>
      <c r="D4206" t="inlineStr">
        <is>
          <t>IT</t>
        </is>
      </c>
      <c r="E4206" t="inlineStr">
        <is>
          <t>IT-08</t>
        </is>
      </c>
      <c r="F4206" s="17" t="n">
        <v>46193</v>
      </c>
      <c r="G4206" s="17" t="n">
        <v>46203</v>
      </c>
      <c r="H4206" s="18" t="n">
        <v>8</v>
      </c>
      <c r="I4206" s="19" t="n">
        <v>279.5</v>
      </c>
      <c r="J4206" s="19" t="n">
        <v>245</v>
      </c>
      <c r="K4206" s="20" t="n">
        <v>0</v>
      </c>
      <c r="L4206" s="20" t="n">
        <v>0</v>
      </c>
      <c r="M4206" s="18" t="n">
        <v>8</v>
      </c>
      <c r="N4206" s="18" t="n">
        <v>8</v>
      </c>
      <c r="O4206" s="18" t="n">
        <v>0</v>
      </c>
      <c r="P4206" s="17" t="n">
        <v>46197</v>
      </c>
      <c r="Q4206" s="17" t="n">
        <v>46197</v>
      </c>
      <c r="R4206" s="17" t="n">
        <v>46197</v>
      </c>
      <c r="S4206" s="19">
        <f>H4206*I4206</f>
        <v/>
      </c>
      <c r="T4206" s="19">
        <f>H4206*J4206</f>
        <v/>
      </c>
      <c r="U4206">
        <f>IF(AND(K4206=0,G4206&lt;=Assumptions!$C$6),1,0)</f>
        <v/>
      </c>
      <c r="V4206">
        <f>IF(U4206=1,IF(M4206&gt;0,IF(P4206&lt;=G4206+Assumptions!$C$7,1,0),0),0)</f>
        <v/>
      </c>
      <c r="W4206">
        <f>IF(AND(U4206=1,M4206&gt;=H4206*(1-Assumptions!$C$8)),1,0)</f>
        <v/>
      </c>
      <c r="X4206">
        <f>IF(AND(U4206=1,N4206&gt;=H4206*(1-Assumptions!$C$8)),1,0)</f>
        <v/>
      </c>
      <c r="Y4206">
        <f>IF(ISNUMBER(Q4206),1,0)</f>
        <v/>
      </c>
      <c r="Z4206">
        <f>IF(AND(K4206=0,L4206=0,Y4206=0),1,0)</f>
        <v/>
      </c>
      <c r="AA4206">
        <f>IF(AND(Z4206=1,G4206&lt;Assumptions!$C$6),1,0)</f>
        <v/>
      </c>
      <c r="AB4206">
        <f>IF(U4206=0,"",IF(Y4206=1,MAX(0,Q4206-G4206),IF(L4206=1,MAX(0,R4206-G4206),MAX(0,Assumptions!$C$6-G4206))))</f>
        <v/>
      </c>
      <c r="AC4206">
        <f>IF(Y4206=1,Q4206-F4206,"")</f>
        <v/>
      </c>
      <c r="AD4206">
        <f>IF(Y4206=1,AC4206^2,"")</f>
        <v/>
      </c>
      <c r="AE4206" s="19">
        <f>IF(Z4206=1,(H4206-M4206)*I4206,0)</f>
        <v/>
      </c>
      <c r="AF4206">
        <f>IF(G4206&lt;EDATE(Assumptions!$C$6,-12)+1,"prior_12m","last_12m")</f>
        <v/>
      </c>
      <c r="AG4206" s="21">
        <f>DATE(YEAR(G4206),MONTH(G4206),1)</f>
        <v/>
      </c>
    </row>
    <row r="4207">
      <c r="A4207" t="inlineStr">
        <is>
          <t>SPO-02244-1</t>
        </is>
      </c>
      <c r="B4207" t="inlineStr">
        <is>
          <t>SPO-02244</t>
        </is>
      </c>
      <c r="C4207" t="inlineStr">
        <is>
          <t>SUP-06</t>
        </is>
      </c>
      <c r="D4207" t="inlineStr">
        <is>
          <t>MRO</t>
        </is>
      </c>
      <c r="E4207" t="inlineStr">
        <is>
          <t>MRO-05</t>
        </is>
      </c>
      <c r="F4207" s="17" t="n">
        <v>46194</v>
      </c>
      <c r="G4207" s="17" t="n">
        <v>46202</v>
      </c>
      <c r="H4207" s="18" t="n">
        <v>40</v>
      </c>
      <c r="I4207" s="19" t="n">
        <v>35.78</v>
      </c>
      <c r="J4207" s="19" t="n">
        <v>36</v>
      </c>
      <c r="K4207" s="20" t="n">
        <v>0</v>
      </c>
      <c r="L4207" s="20" t="n">
        <v>0</v>
      </c>
      <c r="M4207" s="18" t="n">
        <v>40</v>
      </c>
      <c r="N4207" s="18" t="n">
        <v>40</v>
      </c>
      <c r="O4207" s="18" t="n">
        <v>0</v>
      </c>
      <c r="P4207" s="17" t="n">
        <v>46201</v>
      </c>
      <c r="Q4207" s="17" t="n">
        <v>46201</v>
      </c>
      <c r="R4207" s="17" t="n">
        <v>46201</v>
      </c>
      <c r="S4207" s="19">
        <f>H4207*I4207</f>
        <v/>
      </c>
      <c r="T4207" s="19">
        <f>H4207*J4207</f>
        <v/>
      </c>
      <c r="U4207">
        <f>IF(AND(K4207=0,G4207&lt;=Assumptions!$C$6),1,0)</f>
        <v/>
      </c>
      <c r="V4207">
        <f>IF(U4207=1,IF(M4207&gt;0,IF(P4207&lt;=G4207+Assumptions!$C$7,1,0),0),0)</f>
        <v/>
      </c>
      <c r="W4207">
        <f>IF(AND(U4207=1,M4207&gt;=H4207*(1-Assumptions!$C$8)),1,0)</f>
        <v/>
      </c>
      <c r="X4207">
        <f>IF(AND(U4207=1,N4207&gt;=H4207*(1-Assumptions!$C$8)),1,0)</f>
        <v/>
      </c>
      <c r="Y4207">
        <f>IF(ISNUMBER(Q4207),1,0)</f>
        <v/>
      </c>
      <c r="Z4207">
        <f>IF(AND(K4207=0,L4207=0,Y4207=0),1,0)</f>
        <v/>
      </c>
      <c r="AA4207">
        <f>IF(AND(Z4207=1,G4207&lt;Assumptions!$C$6),1,0)</f>
        <v/>
      </c>
      <c r="AB4207">
        <f>IF(U4207=0,"",IF(Y4207=1,MAX(0,Q4207-G4207),IF(L4207=1,MAX(0,R4207-G4207),MAX(0,Assumptions!$C$6-G4207))))</f>
        <v/>
      </c>
      <c r="AC4207">
        <f>IF(Y4207=1,Q4207-F4207,"")</f>
        <v/>
      </c>
      <c r="AD4207">
        <f>IF(Y4207=1,AC4207^2,"")</f>
        <v/>
      </c>
      <c r="AE4207" s="19">
        <f>IF(Z4207=1,(H4207-M4207)*I4207,0)</f>
        <v/>
      </c>
      <c r="AF4207">
        <f>IF(G4207&lt;EDATE(Assumptions!$C$6,-12)+1,"prior_12m","last_12m")</f>
        <v/>
      </c>
      <c r="AG4207" s="21">
        <f>DATE(YEAR(G4207),MONTH(G4207),1)</f>
        <v/>
      </c>
    </row>
    <row r="4208">
      <c r="A4208" t="inlineStr">
        <is>
          <t>SPO-02244-2</t>
        </is>
      </c>
      <c r="B4208" t="inlineStr">
        <is>
          <t>SPO-02244</t>
        </is>
      </c>
      <c r="C4208" t="inlineStr">
        <is>
          <t>SUP-06</t>
        </is>
      </c>
      <c r="D4208" t="inlineStr">
        <is>
          <t>MRO</t>
        </is>
      </c>
      <c r="E4208" t="inlineStr">
        <is>
          <t>MRO-04</t>
        </is>
      </c>
      <c r="F4208" s="17" t="n">
        <v>46194</v>
      </c>
      <c r="G4208" s="17" t="n">
        <v>46202</v>
      </c>
      <c r="H4208" s="18" t="n">
        <v>34</v>
      </c>
      <c r="I4208" s="19" t="n">
        <v>60.9</v>
      </c>
      <c r="J4208" s="19" t="n">
        <v>58</v>
      </c>
      <c r="K4208" s="20" t="n">
        <v>0</v>
      </c>
      <c r="L4208" s="20" t="n">
        <v>0</v>
      </c>
      <c r="M4208" s="18" t="n">
        <v>34</v>
      </c>
      <c r="N4208" s="18" t="n">
        <v>34</v>
      </c>
      <c r="O4208" s="18" t="n">
        <v>0</v>
      </c>
      <c r="P4208" s="17" t="n">
        <v>46197</v>
      </c>
      <c r="Q4208" s="17" t="n">
        <v>46197</v>
      </c>
      <c r="R4208" s="17" t="n">
        <v>46197</v>
      </c>
      <c r="S4208" s="19">
        <f>H4208*I4208</f>
        <v/>
      </c>
      <c r="T4208" s="19">
        <f>H4208*J4208</f>
        <v/>
      </c>
      <c r="U4208">
        <f>IF(AND(K4208=0,G4208&lt;=Assumptions!$C$6),1,0)</f>
        <v/>
      </c>
      <c r="V4208">
        <f>IF(U4208=1,IF(M4208&gt;0,IF(P4208&lt;=G4208+Assumptions!$C$7,1,0),0),0)</f>
        <v/>
      </c>
      <c r="W4208">
        <f>IF(AND(U4208=1,M4208&gt;=H4208*(1-Assumptions!$C$8)),1,0)</f>
        <v/>
      </c>
      <c r="X4208">
        <f>IF(AND(U4208=1,N4208&gt;=H4208*(1-Assumptions!$C$8)),1,0)</f>
        <v/>
      </c>
      <c r="Y4208">
        <f>IF(ISNUMBER(Q4208),1,0)</f>
        <v/>
      </c>
      <c r="Z4208">
        <f>IF(AND(K4208=0,L4208=0,Y4208=0),1,0)</f>
        <v/>
      </c>
      <c r="AA4208">
        <f>IF(AND(Z4208=1,G4208&lt;Assumptions!$C$6),1,0)</f>
        <v/>
      </c>
      <c r="AB4208">
        <f>IF(U4208=0,"",IF(Y4208=1,MAX(0,Q4208-G4208),IF(L4208=1,MAX(0,R4208-G4208),MAX(0,Assumptions!$C$6-G4208))))</f>
        <v/>
      </c>
      <c r="AC4208">
        <f>IF(Y4208=1,Q4208-F4208,"")</f>
        <v/>
      </c>
      <c r="AD4208">
        <f>IF(Y4208=1,AC4208^2,"")</f>
        <v/>
      </c>
      <c r="AE4208" s="19">
        <f>IF(Z4208=1,(H4208-M4208)*I4208,0)</f>
        <v/>
      </c>
      <c r="AF4208">
        <f>IF(G4208&lt;EDATE(Assumptions!$C$6,-12)+1,"prior_12m","last_12m")</f>
        <v/>
      </c>
      <c r="AG4208" s="21">
        <f>DATE(YEAR(G4208),MONTH(G4208),1)</f>
        <v/>
      </c>
    </row>
    <row r="4209">
      <c r="A4209" t="inlineStr">
        <is>
          <t>SPO-02245-1</t>
        </is>
      </c>
      <c r="B4209" t="inlineStr">
        <is>
          <t>SPO-02245</t>
        </is>
      </c>
      <c r="C4209" t="inlineStr">
        <is>
          <t>SUP-01</t>
        </is>
      </c>
      <c r="D4209" t="inlineStr">
        <is>
          <t>ELEC</t>
        </is>
      </c>
      <c r="E4209" t="inlineStr">
        <is>
          <t>ELEC-04</t>
        </is>
      </c>
      <c r="F4209" s="17" t="n">
        <v>46194</v>
      </c>
      <c r="G4209" s="17" t="n">
        <v>46212</v>
      </c>
      <c r="H4209" s="18" t="n">
        <v>42</v>
      </c>
      <c r="I4209" s="19" t="n">
        <v>70.53</v>
      </c>
      <c r="J4209" s="19" t="n">
        <v>72</v>
      </c>
      <c r="K4209" s="20" t="n">
        <v>0</v>
      </c>
      <c r="L4209" s="20" t="n">
        <v>0</v>
      </c>
      <c r="M4209" s="18" t="n">
        <v>42</v>
      </c>
      <c r="N4209" s="18" t="n">
        <v>42</v>
      </c>
      <c r="O4209" s="18" t="n">
        <v>0</v>
      </c>
      <c r="P4209" s="17" t="n">
        <v>46211</v>
      </c>
      <c r="Q4209" s="17" t="n">
        <v>46211</v>
      </c>
      <c r="R4209" s="17" t="n">
        <v>46211</v>
      </c>
      <c r="S4209" s="19">
        <f>H4209*I4209</f>
        <v/>
      </c>
      <c r="T4209" s="19">
        <f>H4209*J4209</f>
        <v/>
      </c>
      <c r="U4209">
        <f>IF(AND(K4209=0,G4209&lt;=Assumptions!$C$6),1,0)</f>
        <v/>
      </c>
      <c r="V4209">
        <f>IF(U4209=1,IF(M4209&gt;0,IF(P4209&lt;=G4209+Assumptions!$C$7,1,0),0),0)</f>
        <v/>
      </c>
      <c r="W4209">
        <f>IF(AND(U4209=1,M4209&gt;=H4209*(1-Assumptions!$C$8)),1,0)</f>
        <v/>
      </c>
      <c r="X4209">
        <f>IF(AND(U4209=1,N4209&gt;=H4209*(1-Assumptions!$C$8)),1,0)</f>
        <v/>
      </c>
      <c r="Y4209">
        <f>IF(ISNUMBER(Q4209),1,0)</f>
        <v/>
      </c>
      <c r="Z4209">
        <f>IF(AND(K4209=0,L4209=0,Y4209=0),1,0)</f>
        <v/>
      </c>
      <c r="AA4209">
        <f>IF(AND(Z4209=1,G4209&lt;Assumptions!$C$6),1,0)</f>
        <v/>
      </c>
      <c r="AB4209">
        <f>IF(U4209=0,"",IF(Y4209=1,MAX(0,Q4209-G4209),IF(L4209=1,MAX(0,R4209-G4209),MAX(0,Assumptions!$C$6-G4209))))</f>
        <v/>
      </c>
      <c r="AC4209">
        <f>IF(Y4209=1,Q4209-F4209,"")</f>
        <v/>
      </c>
      <c r="AD4209">
        <f>IF(Y4209=1,AC4209^2,"")</f>
        <v/>
      </c>
      <c r="AE4209" s="19">
        <f>IF(Z4209=1,(H4209-M4209)*I4209,0)</f>
        <v/>
      </c>
      <c r="AF4209">
        <f>IF(G4209&lt;EDATE(Assumptions!$C$6,-12)+1,"prior_12m","last_12m")</f>
        <v/>
      </c>
      <c r="AG4209" s="21">
        <f>DATE(YEAR(G4209),MONTH(G4209),1)</f>
        <v/>
      </c>
    </row>
    <row r="4210">
      <c r="A4210" t="inlineStr">
        <is>
          <t>SPO-02245-2</t>
        </is>
      </c>
      <c r="B4210" t="inlineStr">
        <is>
          <t>SPO-02245</t>
        </is>
      </c>
      <c r="C4210" t="inlineStr">
        <is>
          <t>SUP-01</t>
        </is>
      </c>
      <c r="D4210" t="inlineStr">
        <is>
          <t>ELEC</t>
        </is>
      </c>
      <c r="E4210" t="inlineStr">
        <is>
          <t>ELEC-02</t>
        </is>
      </c>
      <c r="F4210" s="17" t="n">
        <v>46194</v>
      </c>
      <c r="G4210" s="17" t="n">
        <v>46212</v>
      </c>
      <c r="H4210" s="18" t="n">
        <v>837</v>
      </c>
      <c r="I4210" s="19" t="n">
        <v>4.26</v>
      </c>
      <c r="J4210" s="19" t="n">
        <v>4.2</v>
      </c>
      <c r="K4210" s="20" t="n">
        <v>0</v>
      </c>
      <c r="L4210" s="20" t="n">
        <v>0</v>
      </c>
      <c r="M4210" s="18" t="n">
        <v>837</v>
      </c>
      <c r="N4210" s="18" t="n">
        <v>837</v>
      </c>
      <c r="O4210" s="18" t="n">
        <v>0</v>
      </c>
      <c r="P4210" s="17" t="n">
        <v>46196</v>
      </c>
      <c r="Q4210" s="17" t="n">
        <v>46196</v>
      </c>
      <c r="R4210" s="17" t="n">
        <v>46196</v>
      </c>
      <c r="S4210" s="19">
        <f>H4210*I4210</f>
        <v/>
      </c>
      <c r="T4210" s="19">
        <f>H4210*J4210</f>
        <v/>
      </c>
      <c r="U4210">
        <f>IF(AND(K4210=0,G4210&lt;=Assumptions!$C$6),1,0)</f>
        <v/>
      </c>
      <c r="V4210">
        <f>IF(U4210=1,IF(M4210&gt;0,IF(P4210&lt;=G4210+Assumptions!$C$7,1,0),0),0)</f>
        <v/>
      </c>
      <c r="W4210">
        <f>IF(AND(U4210=1,M4210&gt;=H4210*(1-Assumptions!$C$8)),1,0)</f>
        <v/>
      </c>
      <c r="X4210">
        <f>IF(AND(U4210=1,N4210&gt;=H4210*(1-Assumptions!$C$8)),1,0)</f>
        <v/>
      </c>
      <c r="Y4210">
        <f>IF(ISNUMBER(Q4210),1,0)</f>
        <v/>
      </c>
      <c r="Z4210">
        <f>IF(AND(K4210=0,L4210=0,Y4210=0),1,0)</f>
        <v/>
      </c>
      <c r="AA4210">
        <f>IF(AND(Z4210=1,G4210&lt;Assumptions!$C$6),1,0)</f>
        <v/>
      </c>
      <c r="AB4210">
        <f>IF(U4210=0,"",IF(Y4210=1,MAX(0,Q4210-G4210),IF(L4210=1,MAX(0,R4210-G4210),MAX(0,Assumptions!$C$6-G4210))))</f>
        <v/>
      </c>
      <c r="AC4210">
        <f>IF(Y4210=1,Q4210-F4210,"")</f>
        <v/>
      </c>
      <c r="AD4210">
        <f>IF(Y4210=1,AC4210^2,"")</f>
        <v/>
      </c>
      <c r="AE4210" s="19">
        <f>IF(Z4210=1,(H4210-M4210)*I4210,0)</f>
        <v/>
      </c>
      <c r="AF4210">
        <f>IF(G4210&lt;EDATE(Assumptions!$C$6,-12)+1,"prior_12m","last_12m")</f>
        <v/>
      </c>
      <c r="AG4210" s="21">
        <f>DATE(YEAR(G4210),MONTH(G4210),1)</f>
        <v/>
      </c>
    </row>
    <row r="4211">
      <c r="A4211" t="inlineStr">
        <is>
          <t>SPO-02246-1</t>
        </is>
      </c>
      <c r="B4211" t="inlineStr">
        <is>
          <t>SPO-02246</t>
        </is>
      </c>
      <c r="C4211" t="inlineStr">
        <is>
          <t>SUP-02</t>
        </is>
      </c>
      <c r="D4211" t="inlineStr">
        <is>
          <t>ELEC</t>
        </is>
      </c>
      <c r="E4211" t="inlineStr">
        <is>
          <t>ELEC-02</t>
        </is>
      </c>
      <c r="F4211" s="17" t="n">
        <v>46194</v>
      </c>
      <c r="G4211" s="17" t="n">
        <v>46210</v>
      </c>
      <c r="H4211" s="18" t="n">
        <v>325</v>
      </c>
      <c r="I4211" s="19" t="n">
        <v>4.1</v>
      </c>
      <c r="J4211" s="19" t="n">
        <v>4.2</v>
      </c>
      <c r="K4211" s="20" t="n">
        <v>0</v>
      </c>
      <c r="L4211" s="20" t="n">
        <v>0</v>
      </c>
      <c r="M4211" s="18" t="n">
        <v>325</v>
      </c>
      <c r="N4211" s="18" t="n">
        <v>325</v>
      </c>
      <c r="O4211" s="18" t="n">
        <v>0</v>
      </c>
      <c r="P4211" s="17" t="n">
        <v>46207</v>
      </c>
      <c r="Q4211" s="17" t="n">
        <v>46207</v>
      </c>
      <c r="R4211" s="17" t="n">
        <v>46207</v>
      </c>
      <c r="S4211" s="19">
        <f>H4211*I4211</f>
        <v/>
      </c>
      <c r="T4211" s="19">
        <f>H4211*J4211</f>
        <v/>
      </c>
      <c r="U4211">
        <f>IF(AND(K4211=0,G4211&lt;=Assumptions!$C$6),1,0)</f>
        <v/>
      </c>
      <c r="V4211">
        <f>IF(U4211=1,IF(M4211&gt;0,IF(P4211&lt;=G4211+Assumptions!$C$7,1,0),0),0)</f>
        <v/>
      </c>
      <c r="W4211">
        <f>IF(AND(U4211=1,M4211&gt;=H4211*(1-Assumptions!$C$8)),1,0)</f>
        <v/>
      </c>
      <c r="X4211">
        <f>IF(AND(U4211=1,N4211&gt;=H4211*(1-Assumptions!$C$8)),1,0)</f>
        <v/>
      </c>
      <c r="Y4211">
        <f>IF(ISNUMBER(Q4211),1,0)</f>
        <v/>
      </c>
      <c r="Z4211">
        <f>IF(AND(K4211=0,L4211=0,Y4211=0),1,0)</f>
        <v/>
      </c>
      <c r="AA4211">
        <f>IF(AND(Z4211=1,G4211&lt;Assumptions!$C$6),1,0)</f>
        <v/>
      </c>
      <c r="AB4211">
        <f>IF(U4211=0,"",IF(Y4211=1,MAX(0,Q4211-G4211),IF(L4211=1,MAX(0,R4211-G4211),MAX(0,Assumptions!$C$6-G4211))))</f>
        <v/>
      </c>
      <c r="AC4211">
        <f>IF(Y4211=1,Q4211-F4211,"")</f>
        <v/>
      </c>
      <c r="AD4211">
        <f>IF(Y4211=1,AC4211^2,"")</f>
        <v/>
      </c>
      <c r="AE4211" s="19">
        <f>IF(Z4211=1,(H4211-M4211)*I4211,0)</f>
        <v/>
      </c>
      <c r="AF4211">
        <f>IF(G4211&lt;EDATE(Assumptions!$C$6,-12)+1,"prior_12m","last_12m")</f>
        <v/>
      </c>
      <c r="AG4211" s="21">
        <f>DATE(YEAR(G4211),MONTH(G4211),1)</f>
        <v/>
      </c>
    </row>
    <row r="4212">
      <c r="A4212" t="inlineStr">
        <is>
          <t>SPO-02246-2</t>
        </is>
      </c>
      <c r="B4212" t="inlineStr">
        <is>
          <t>SPO-02246</t>
        </is>
      </c>
      <c r="C4212" t="inlineStr">
        <is>
          <t>SUP-02</t>
        </is>
      </c>
      <c r="D4212" t="inlineStr">
        <is>
          <t>ELEC</t>
        </is>
      </c>
      <c r="E4212" t="inlineStr">
        <is>
          <t>ELEC-01</t>
        </is>
      </c>
      <c r="F4212" s="17" t="n">
        <v>46194</v>
      </c>
      <c r="G4212" s="17" t="n">
        <v>46210</v>
      </c>
      <c r="H4212" s="18" t="n">
        <v>43</v>
      </c>
      <c r="I4212" s="19" t="n">
        <v>37.53</v>
      </c>
      <c r="J4212" s="19" t="n">
        <v>38</v>
      </c>
      <c r="K4212" s="20" t="n">
        <v>0</v>
      </c>
      <c r="L4212" s="20" t="n">
        <v>0</v>
      </c>
      <c r="M4212" s="18" t="n">
        <v>43</v>
      </c>
      <c r="N4212" s="18" t="n">
        <v>43</v>
      </c>
      <c r="O4212" s="18" t="n">
        <v>0</v>
      </c>
      <c r="P4212" s="17" t="n">
        <v>46206</v>
      </c>
      <c r="Q4212" s="17" t="n">
        <v>46206</v>
      </c>
      <c r="R4212" s="17" t="n">
        <v>46206</v>
      </c>
      <c r="S4212" s="19">
        <f>H4212*I4212</f>
        <v/>
      </c>
      <c r="T4212" s="19">
        <f>H4212*J4212</f>
        <v/>
      </c>
      <c r="U4212">
        <f>IF(AND(K4212=0,G4212&lt;=Assumptions!$C$6),1,0)</f>
        <v/>
      </c>
      <c r="V4212">
        <f>IF(U4212=1,IF(M4212&gt;0,IF(P4212&lt;=G4212+Assumptions!$C$7,1,0),0),0)</f>
        <v/>
      </c>
      <c r="W4212">
        <f>IF(AND(U4212=1,M4212&gt;=H4212*(1-Assumptions!$C$8)),1,0)</f>
        <v/>
      </c>
      <c r="X4212">
        <f>IF(AND(U4212=1,N4212&gt;=H4212*(1-Assumptions!$C$8)),1,0)</f>
        <v/>
      </c>
      <c r="Y4212">
        <f>IF(ISNUMBER(Q4212),1,0)</f>
        <v/>
      </c>
      <c r="Z4212">
        <f>IF(AND(K4212=0,L4212=0,Y4212=0),1,0)</f>
        <v/>
      </c>
      <c r="AA4212">
        <f>IF(AND(Z4212=1,G4212&lt;Assumptions!$C$6),1,0)</f>
        <v/>
      </c>
      <c r="AB4212">
        <f>IF(U4212=0,"",IF(Y4212=1,MAX(0,Q4212-G4212),IF(L4212=1,MAX(0,R4212-G4212),MAX(0,Assumptions!$C$6-G4212))))</f>
        <v/>
      </c>
      <c r="AC4212">
        <f>IF(Y4212=1,Q4212-F4212,"")</f>
        <v/>
      </c>
      <c r="AD4212">
        <f>IF(Y4212=1,AC4212^2,"")</f>
        <v/>
      </c>
      <c r="AE4212" s="19">
        <f>IF(Z4212=1,(H4212-M4212)*I4212,0)</f>
        <v/>
      </c>
      <c r="AF4212">
        <f>IF(G4212&lt;EDATE(Assumptions!$C$6,-12)+1,"prior_12m","last_12m")</f>
        <v/>
      </c>
      <c r="AG4212" s="21">
        <f>DATE(YEAR(G4212),MONTH(G4212),1)</f>
        <v/>
      </c>
    </row>
    <row r="4213">
      <c r="A4213" t="inlineStr">
        <is>
          <t>SPO-02246-3</t>
        </is>
      </c>
      <c r="B4213" t="inlineStr">
        <is>
          <t>SPO-02246</t>
        </is>
      </c>
      <c r="C4213" t="inlineStr">
        <is>
          <t>SUP-02</t>
        </is>
      </c>
      <c r="D4213" t="inlineStr">
        <is>
          <t>ELEC</t>
        </is>
      </c>
      <c r="E4213" t="inlineStr">
        <is>
          <t>ELEC-07</t>
        </is>
      </c>
      <c r="F4213" s="17" t="n">
        <v>46194</v>
      </c>
      <c r="G4213" s="17" t="n">
        <v>46210</v>
      </c>
      <c r="H4213" s="18" t="n">
        <v>119</v>
      </c>
      <c r="I4213" s="19" t="n">
        <v>9.550000000000001</v>
      </c>
      <c r="J4213" s="19" t="n">
        <v>9.800000000000001</v>
      </c>
      <c r="K4213" s="20" t="n">
        <v>0</v>
      </c>
      <c r="L4213" s="20" t="n">
        <v>0</v>
      </c>
      <c r="M4213" s="18" t="n">
        <v>119</v>
      </c>
      <c r="N4213" s="18" t="n">
        <v>119</v>
      </c>
      <c r="O4213" s="18" t="n">
        <v>0</v>
      </c>
      <c r="P4213" s="17" t="n">
        <v>46208</v>
      </c>
      <c r="Q4213" s="17" t="n">
        <v>46208</v>
      </c>
      <c r="R4213" s="17" t="n">
        <v>46208</v>
      </c>
      <c r="S4213" s="19">
        <f>H4213*I4213</f>
        <v/>
      </c>
      <c r="T4213" s="19">
        <f>H4213*J4213</f>
        <v/>
      </c>
      <c r="U4213">
        <f>IF(AND(K4213=0,G4213&lt;=Assumptions!$C$6),1,0)</f>
        <v/>
      </c>
      <c r="V4213">
        <f>IF(U4213=1,IF(M4213&gt;0,IF(P4213&lt;=G4213+Assumptions!$C$7,1,0),0),0)</f>
        <v/>
      </c>
      <c r="W4213">
        <f>IF(AND(U4213=1,M4213&gt;=H4213*(1-Assumptions!$C$8)),1,0)</f>
        <v/>
      </c>
      <c r="X4213">
        <f>IF(AND(U4213=1,N4213&gt;=H4213*(1-Assumptions!$C$8)),1,0)</f>
        <v/>
      </c>
      <c r="Y4213">
        <f>IF(ISNUMBER(Q4213),1,0)</f>
        <v/>
      </c>
      <c r="Z4213">
        <f>IF(AND(K4213=0,L4213=0,Y4213=0),1,0)</f>
        <v/>
      </c>
      <c r="AA4213">
        <f>IF(AND(Z4213=1,G4213&lt;Assumptions!$C$6),1,0)</f>
        <v/>
      </c>
      <c r="AB4213">
        <f>IF(U4213=0,"",IF(Y4213=1,MAX(0,Q4213-G4213),IF(L4213=1,MAX(0,R4213-G4213),MAX(0,Assumptions!$C$6-G4213))))</f>
        <v/>
      </c>
      <c r="AC4213">
        <f>IF(Y4213=1,Q4213-F4213,"")</f>
        <v/>
      </c>
      <c r="AD4213">
        <f>IF(Y4213=1,AC4213^2,"")</f>
        <v/>
      </c>
      <c r="AE4213" s="19">
        <f>IF(Z4213=1,(H4213-M4213)*I4213,0)</f>
        <v/>
      </c>
      <c r="AF4213">
        <f>IF(G4213&lt;EDATE(Assumptions!$C$6,-12)+1,"prior_12m","last_12m")</f>
        <v/>
      </c>
      <c r="AG4213" s="21">
        <f>DATE(YEAR(G4213),MONTH(G4213),1)</f>
        <v/>
      </c>
    </row>
    <row r="4214">
      <c r="A4214" t="inlineStr">
        <is>
          <t>SPO-02246-4</t>
        </is>
      </c>
      <c r="B4214" t="inlineStr">
        <is>
          <t>SPO-02246</t>
        </is>
      </c>
      <c r="C4214" t="inlineStr">
        <is>
          <t>SUP-02</t>
        </is>
      </c>
      <c r="D4214" t="inlineStr">
        <is>
          <t>ELEC</t>
        </is>
      </c>
      <c r="E4214" t="inlineStr">
        <is>
          <t>ELEC-03</t>
        </is>
      </c>
      <c r="F4214" s="17" t="n">
        <v>46194</v>
      </c>
      <c r="G4214" s="17" t="n">
        <v>46210</v>
      </c>
      <c r="H4214" s="18" t="n">
        <v>9</v>
      </c>
      <c r="I4214" s="19" t="n">
        <v>98.29000000000001</v>
      </c>
      <c r="J4214" s="19" t="n">
        <v>96</v>
      </c>
      <c r="K4214" s="20" t="n">
        <v>0</v>
      </c>
      <c r="L4214" s="20" t="n">
        <v>0</v>
      </c>
      <c r="M4214" s="18" t="n">
        <v>9</v>
      </c>
      <c r="N4214" s="18" t="n">
        <v>9</v>
      </c>
      <c r="O4214" s="18" t="n">
        <v>0</v>
      </c>
      <c r="P4214" s="17" t="n">
        <v>46207</v>
      </c>
      <c r="Q4214" s="17" t="n">
        <v>46207</v>
      </c>
      <c r="R4214" s="17" t="n">
        <v>46207</v>
      </c>
      <c r="S4214" s="19">
        <f>H4214*I4214</f>
        <v/>
      </c>
      <c r="T4214" s="19">
        <f>H4214*J4214</f>
        <v/>
      </c>
      <c r="U4214">
        <f>IF(AND(K4214=0,G4214&lt;=Assumptions!$C$6),1,0)</f>
        <v/>
      </c>
      <c r="V4214">
        <f>IF(U4214=1,IF(M4214&gt;0,IF(P4214&lt;=G4214+Assumptions!$C$7,1,0),0),0)</f>
        <v/>
      </c>
      <c r="W4214">
        <f>IF(AND(U4214=1,M4214&gt;=H4214*(1-Assumptions!$C$8)),1,0)</f>
        <v/>
      </c>
      <c r="X4214">
        <f>IF(AND(U4214=1,N4214&gt;=H4214*(1-Assumptions!$C$8)),1,0)</f>
        <v/>
      </c>
      <c r="Y4214">
        <f>IF(ISNUMBER(Q4214),1,0)</f>
        <v/>
      </c>
      <c r="Z4214">
        <f>IF(AND(K4214=0,L4214=0,Y4214=0),1,0)</f>
        <v/>
      </c>
      <c r="AA4214">
        <f>IF(AND(Z4214=1,G4214&lt;Assumptions!$C$6),1,0)</f>
        <v/>
      </c>
      <c r="AB4214">
        <f>IF(U4214=0,"",IF(Y4214=1,MAX(0,Q4214-G4214),IF(L4214=1,MAX(0,R4214-G4214),MAX(0,Assumptions!$C$6-G4214))))</f>
        <v/>
      </c>
      <c r="AC4214">
        <f>IF(Y4214=1,Q4214-F4214,"")</f>
        <v/>
      </c>
      <c r="AD4214">
        <f>IF(Y4214=1,AC4214^2,"")</f>
        <v/>
      </c>
      <c r="AE4214" s="19">
        <f>IF(Z4214=1,(H4214-M4214)*I4214,0)</f>
        <v/>
      </c>
      <c r="AF4214">
        <f>IF(G4214&lt;EDATE(Assumptions!$C$6,-12)+1,"prior_12m","last_12m")</f>
        <v/>
      </c>
      <c r="AG4214" s="21">
        <f>DATE(YEAR(G4214),MONTH(G4214),1)</f>
        <v/>
      </c>
    </row>
    <row r="4215">
      <c r="A4215" t="inlineStr">
        <is>
          <t>SPO-02247-1</t>
        </is>
      </c>
      <c r="B4215" t="inlineStr">
        <is>
          <t>SPO-02247</t>
        </is>
      </c>
      <c r="C4215" t="inlineStr">
        <is>
          <t>SUP-06</t>
        </is>
      </c>
      <c r="D4215" t="inlineStr">
        <is>
          <t>MRO</t>
        </is>
      </c>
      <c r="E4215" t="inlineStr">
        <is>
          <t>MRO-07</t>
        </is>
      </c>
      <c r="F4215" s="17" t="n">
        <v>46195</v>
      </c>
      <c r="G4215" s="17" t="n">
        <v>46203</v>
      </c>
      <c r="H4215" s="18" t="n">
        <v>105</v>
      </c>
      <c r="I4215" s="19" t="n">
        <v>13.55</v>
      </c>
      <c r="J4215" s="19" t="n">
        <v>14</v>
      </c>
      <c r="K4215" s="20" t="n">
        <v>0</v>
      </c>
      <c r="L4215" s="20" t="n">
        <v>0</v>
      </c>
      <c r="M4215" s="18" t="n">
        <v>105</v>
      </c>
      <c r="N4215" s="18" t="n">
        <v>105</v>
      </c>
      <c r="O4215" s="18" t="n">
        <v>0</v>
      </c>
      <c r="P4215" s="17" t="n">
        <v>46201</v>
      </c>
      <c r="Q4215" s="17" t="n">
        <v>46201</v>
      </c>
      <c r="R4215" s="17" t="n">
        <v>46201</v>
      </c>
      <c r="S4215" s="19">
        <f>H4215*I4215</f>
        <v/>
      </c>
      <c r="T4215" s="19">
        <f>H4215*J4215</f>
        <v/>
      </c>
      <c r="U4215">
        <f>IF(AND(K4215=0,G4215&lt;=Assumptions!$C$6),1,0)</f>
        <v/>
      </c>
      <c r="V4215">
        <f>IF(U4215=1,IF(M4215&gt;0,IF(P4215&lt;=G4215+Assumptions!$C$7,1,0),0),0)</f>
        <v/>
      </c>
      <c r="W4215">
        <f>IF(AND(U4215=1,M4215&gt;=H4215*(1-Assumptions!$C$8)),1,0)</f>
        <v/>
      </c>
      <c r="X4215">
        <f>IF(AND(U4215=1,N4215&gt;=H4215*(1-Assumptions!$C$8)),1,0)</f>
        <v/>
      </c>
      <c r="Y4215">
        <f>IF(ISNUMBER(Q4215),1,0)</f>
        <v/>
      </c>
      <c r="Z4215">
        <f>IF(AND(K4215=0,L4215=0,Y4215=0),1,0)</f>
        <v/>
      </c>
      <c r="AA4215">
        <f>IF(AND(Z4215=1,G4215&lt;Assumptions!$C$6),1,0)</f>
        <v/>
      </c>
      <c r="AB4215">
        <f>IF(U4215=0,"",IF(Y4215=1,MAX(0,Q4215-G4215),IF(L4215=1,MAX(0,R4215-G4215),MAX(0,Assumptions!$C$6-G4215))))</f>
        <v/>
      </c>
      <c r="AC4215">
        <f>IF(Y4215=1,Q4215-F4215,"")</f>
        <v/>
      </c>
      <c r="AD4215">
        <f>IF(Y4215=1,AC4215^2,"")</f>
        <v/>
      </c>
      <c r="AE4215" s="19">
        <f>IF(Z4215=1,(H4215-M4215)*I4215,0)</f>
        <v/>
      </c>
      <c r="AF4215">
        <f>IF(G4215&lt;EDATE(Assumptions!$C$6,-12)+1,"prior_12m","last_12m")</f>
        <v/>
      </c>
      <c r="AG4215" s="21">
        <f>DATE(YEAR(G4215),MONTH(G4215),1)</f>
        <v/>
      </c>
    </row>
    <row r="4216">
      <c r="A4216" t="inlineStr">
        <is>
          <t>SPO-02247-2</t>
        </is>
      </c>
      <c r="B4216" t="inlineStr">
        <is>
          <t>SPO-02247</t>
        </is>
      </c>
      <c r="C4216" t="inlineStr">
        <is>
          <t>SUP-06</t>
        </is>
      </c>
      <c r="D4216" t="inlineStr">
        <is>
          <t>MRO</t>
        </is>
      </c>
      <c r="E4216" t="inlineStr">
        <is>
          <t>MRO-01</t>
        </is>
      </c>
      <c r="F4216" s="17" t="n">
        <v>46195</v>
      </c>
      <c r="G4216" s="17" t="n">
        <v>46203</v>
      </c>
      <c r="H4216" s="18" t="n">
        <v>85</v>
      </c>
      <c r="I4216" s="19" t="n">
        <v>50.2</v>
      </c>
      <c r="J4216" s="19" t="n">
        <v>52</v>
      </c>
      <c r="K4216" s="20" t="n">
        <v>0</v>
      </c>
      <c r="L4216" s="20" t="n">
        <v>0</v>
      </c>
      <c r="M4216" s="18" t="n">
        <v>85</v>
      </c>
      <c r="N4216" s="18" t="n">
        <v>85</v>
      </c>
      <c r="O4216" s="18" t="n">
        <v>0</v>
      </c>
      <c r="P4216" s="17" t="n">
        <v>46202</v>
      </c>
      <c r="Q4216" s="17" t="n">
        <v>46202</v>
      </c>
      <c r="R4216" s="17" t="n">
        <v>46202</v>
      </c>
      <c r="S4216" s="19">
        <f>H4216*I4216</f>
        <v/>
      </c>
      <c r="T4216" s="19">
        <f>H4216*J4216</f>
        <v/>
      </c>
      <c r="U4216">
        <f>IF(AND(K4216=0,G4216&lt;=Assumptions!$C$6),1,0)</f>
        <v/>
      </c>
      <c r="V4216">
        <f>IF(U4216=1,IF(M4216&gt;0,IF(P4216&lt;=G4216+Assumptions!$C$7,1,0),0),0)</f>
        <v/>
      </c>
      <c r="W4216">
        <f>IF(AND(U4216=1,M4216&gt;=H4216*(1-Assumptions!$C$8)),1,0)</f>
        <v/>
      </c>
      <c r="X4216">
        <f>IF(AND(U4216=1,N4216&gt;=H4216*(1-Assumptions!$C$8)),1,0)</f>
        <v/>
      </c>
      <c r="Y4216">
        <f>IF(ISNUMBER(Q4216),1,0)</f>
        <v/>
      </c>
      <c r="Z4216">
        <f>IF(AND(K4216=0,L4216=0,Y4216=0),1,0)</f>
        <v/>
      </c>
      <c r="AA4216">
        <f>IF(AND(Z4216=1,G4216&lt;Assumptions!$C$6),1,0)</f>
        <v/>
      </c>
      <c r="AB4216">
        <f>IF(U4216=0,"",IF(Y4216=1,MAX(0,Q4216-G4216),IF(L4216=1,MAX(0,R4216-G4216),MAX(0,Assumptions!$C$6-G4216))))</f>
        <v/>
      </c>
      <c r="AC4216">
        <f>IF(Y4216=1,Q4216-F4216,"")</f>
        <v/>
      </c>
      <c r="AD4216">
        <f>IF(Y4216=1,AC4216^2,"")</f>
        <v/>
      </c>
      <c r="AE4216" s="19">
        <f>IF(Z4216=1,(H4216-M4216)*I4216,0)</f>
        <v/>
      </c>
      <c r="AF4216">
        <f>IF(G4216&lt;EDATE(Assumptions!$C$6,-12)+1,"prior_12m","last_12m")</f>
        <v/>
      </c>
      <c r="AG4216" s="21">
        <f>DATE(YEAR(G4216),MONTH(G4216),1)</f>
        <v/>
      </c>
    </row>
    <row r="4217">
      <c r="A4217" t="inlineStr">
        <is>
          <t>SPO-02248-1</t>
        </is>
      </c>
      <c r="B4217" t="inlineStr">
        <is>
          <t>SPO-02248</t>
        </is>
      </c>
      <c r="C4217" t="inlineStr">
        <is>
          <t>SUP-01</t>
        </is>
      </c>
      <c r="D4217" t="inlineStr">
        <is>
          <t>ELEC</t>
        </is>
      </c>
      <c r="E4217" t="inlineStr">
        <is>
          <t>ELEC-03</t>
        </is>
      </c>
      <c r="F4217" s="17" t="n">
        <v>46195</v>
      </c>
      <c r="G4217" s="17" t="n">
        <v>46213</v>
      </c>
      <c r="H4217" s="18" t="n">
        <v>33</v>
      </c>
      <c r="I4217" s="19" t="n">
        <v>101.87</v>
      </c>
      <c r="J4217" s="19" t="n">
        <v>96</v>
      </c>
      <c r="K4217" s="20" t="n">
        <v>0</v>
      </c>
      <c r="L4217" s="20" t="n">
        <v>0</v>
      </c>
      <c r="M4217" s="18" t="n">
        <v>33</v>
      </c>
      <c r="N4217" s="18" t="n">
        <v>33</v>
      </c>
      <c r="O4217" s="18" t="n">
        <v>0</v>
      </c>
      <c r="P4217" s="17" t="n">
        <v>46212</v>
      </c>
      <c r="Q4217" s="17" t="n">
        <v>46212</v>
      </c>
      <c r="R4217" s="17" t="n">
        <v>46212</v>
      </c>
      <c r="S4217" s="19">
        <f>H4217*I4217</f>
        <v/>
      </c>
      <c r="T4217" s="19">
        <f>H4217*J4217</f>
        <v/>
      </c>
      <c r="U4217">
        <f>IF(AND(K4217=0,G4217&lt;=Assumptions!$C$6),1,0)</f>
        <v/>
      </c>
      <c r="V4217">
        <f>IF(U4217=1,IF(M4217&gt;0,IF(P4217&lt;=G4217+Assumptions!$C$7,1,0),0),0)</f>
        <v/>
      </c>
      <c r="W4217">
        <f>IF(AND(U4217=1,M4217&gt;=H4217*(1-Assumptions!$C$8)),1,0)</f>
        <v/>
      </c>
      <c r="X4217">
        <f>IF(AND(U4217=1,N4217&gt;=H4217*(1-Assumptions!$C$8)),1,0)</f>
        <v/>
      </c>
      <c r="Y4217">
        <f>IF(ISNUMBER(Q4217),1,0)</f>
        <v/>
      </c>
      <c r="Z4217">
        <f>IF(AND(K4217=0,L4217=0,Y4217=0),1,0)</f>
        <v/>
      </c>
      <c r="AA4217">
        <f>IF(AND(Z4217=1,G4217&lt;Assumptions!$C$6),1,0)</f>
        <v/>
      </c>
      <c r="AB4217">
        <f>IF(U4217=0,"",IF(Y4217=1,MAX(0,Q4217-G4217),IF(L4217=1,MAX(0,R4217-G4217),MAX(0,Assumptions!$C$6-G4217))))</f>
        <v/>
      </c>
      <c r="AC4217">
        <f>IF(Y4217=1,Q4217-F4217,"")</f>
        <v/>
      </c>
      <c r="AD4217">
        <f>IF(Y4217=1,AC4217^2,"")</f>
        <v/>
      </c>
      <c r="AE4217" s="19">
        <f>IF(Z4217=1,(H4217-M4217)*I4217,0)</f>
        <v/>
      </c>
      <c r="AF4217">
        <f>IF(G4217&lt;EDATE(Assumptions!$C$6,-12)+1,"prior_12m","last_12m")</f>
        <v/>
      </c>
      <c r="AG4217" s="21">
        <f>DATE(YEAR(G4217),MONTH(G4217),1)</f>
        <v/>
      </c>
    </row>
    <row r="4218">
      <c r="A4218" t="inlineStr">
        <is>
          <t>SPO-02249-1</t>
        </is>
      </c>
      <c r="B4218" t="inlineStr">
        <is>
          <t>SPO-02249</t>
        </is>
      </c>
      <c r="C4218" t="inlineStr">
        <is>
          <t>SUP-02</t>
        </is>
      </c>
      <c r="D4218" t="inlineStr">
        <is>
          <t>ELEC</t>
        </is>
      </c>
      <c r="E4218" t="inlineStr">
        <is>
          <t>ELEC-01</t>
        </is>
      </c>
      <c r="F4218" s="17" t="n">
        <v>46195</v>
      </c>
      <c r="G4218" s="17" t="n">
        <v>46211</v>
      </c>
      <c r="H4218" s="18" t="n">
        <v>53</v>
      </c>
      <c r="I4218" s="19" t="n">
        <v>37.13</v>
      </c>
      <c r="J4218" s="19" t="n">
        <v>38</v>
      </c>
      <c r="K4218" s="20" t="n">
        <v>0</v>
      </c>
      <c r="L4218" s="20" t="n">
        <v>0</v>
      </c>
      <c r="M4218" s="18" t="n">
        <v>53</v>
      </c>
      <c r="N4218" s="18" t="n">
        <v>0</v>
      </c>
      <c r="O4218" s="18" t="n">
        <v>0</v>
      </c>
      <c r="P4218" s="17" t="n">
        <v>46212</v>
      </c>
      <c r="Q4218" s="17" t="n">
        <v>46212</v>
      </c>
      <c r="R4218" s="17" t="n">
        <v>46212</v>
      </c>
      <c r="S4218" s="19">
        <f>H4218*I4218</f>
        <v/>
      </c>
      <c r="T4218" s="19">
        <f>H4218*J4218</f>
        <v/>
      </c>
      <c r="U4218">
        <f>IF(AND(K4218=0,G4218&lt;=Assumptions!$C$6),1,0)</f>
        <v/>
      </c>
      <c r="V4218">
        <f>IF(U4218=1,IF(M4218&gt;0,IF(P4218&lt;=G4218+Assumptions!$C$7,1,0),0),0)</f>
        <v/>
      </c>
      <c r="W4218">
        <f>IF(AND(U4218=1,M4218&gt;=H4218*(1-Assumptions!$C$8)),1,0)</f>
        <v/>
      </c>
      <c r="X4218">
        <f>IF(AND(U4218=1,N4218&gt;=H4218*(1-Assumptions!$C$8)),1,0)</f>
        <v/>
      </c>
      <c r="Y4218">
        <f>IF(ISNUMBER(Q4218),1,0)</f>
        <v/>
      </c>
      <c r="Z4218">
        <f>IF(AND(K4218=0,L4218=0,Y4218=0),1,0)</f>
        <v/>
      </c>
      <c r="AA4218">
        <f>IF(AND(Z4218=1,G4218&lt;Assumptions!$C$6),1,0)</f>
        <v/>
      </c>
      <c r="AB4218">
        <f>IF(U4218=0,"",IF(Y4218=1,MAX(0,Q4218-G4218),IF(L4218=1,MAX(0,R4218-G4218),MAX(0,Assumptions!$C$6-G4218))))</f>
        <v/>
      </c>
      <c r="AC4218">
        <f>IF(Y4218=1,Q4218-F4218,"")</f>
        <v/>
      </c>
      <c r="AD4218">
        <f>IF(Y4218=1,AC4218^2,"")</f>
        <v/>
      </c>
      <c r="AE4218" s="19">
        <f>IF(Z4218=1,(H4218-M4218)*I4218,0)</f>
        <v/>
      </c>
      <c r="AF4218">
        <f>IF(G4218&lt;EDATE(Assumptions!$C$6,-12)+1,"prior_12m","last_12m")</f>
        <v/>
      </c>
      <c r="AG4218" s="21">
        <f>DATE(YEAR(G4218),MONTH(G4218),1)</f>
        <v/>
      </c>
    </row>
    <row r="4219">
      <c r="A4219" t="inlineStr">
        <is>
          <t>SPO-02250-1</t>
        </is>
      </c>
      <c r="B4219" t="inlineStr">
        <is>
          <t>SPO-02250</t>
        </is>
      </c>
      <c r="C4219" t="inlineStr">
        <is>
          <t>SUP-06</t>
        </is>
      </c>
      <c r="D4219" t="inlineStr">
        <is>
          <t>MRO</t>
        </is>
      </c>
      <c r="E4219" t="inlineStr">
        <is>
          <t>MRO-08</t>
        </is>
      </c>
      <c r="F4219" s="17" t="n">
        <v>46195</v>
      </c>
      <c r="G4219" s="17" t="n">
        <v>46203</v>
      </c>
      <c r="H4219" s="18" t="n">
        <v>134</v>
      </c>
      <c r="I4219" s="19" t="n">
        <v>7.22</v>
      </c>
      <c r="J4219" s="19" t="n">
        <v>7.2</v>
      </c>
      <c r="K4219" s="20" t="n">
        <v>0</v>
      </c>
      <c r="L4219" s="20" t="n">
        <v>0</v>
      </c>
      <c r="M4219" s="18" t="n">
        <v>134</v>
      </c>
      <c r="N4219" s="18" t="n">
        <v>134</v>
      </c>
      <c r="O4219" s="18" t="n">
        <v>0</v>
      </c>
      <c r="P4219" s="17" t="n">
        <v>46201</v>
      </c>
      <c r="Q4219" s="17" t="n">
        <v>46201</v>
      </c>
      <c r="R4219" s="17" t="n">
        <v>46201</v>
      </c>
      <c r="S4219" s="19">
        <f>H4219*I4219</f>
        <v/>
      </c>
      <c r="T4219" s="19">
        <f>H4219*J4219</f>
        <v/>
      </c>
      <c r="U4219">
        <f>IF(AND(K4219=0,G4219&lt;=Assumptions!$C$6),1,0)</f>
        <v/>
      </c>
      <c r="V4219">
        <f>IF(U4219=1,IF(M4219&gt;0,IF(P4219&lt;=G4219+Assumptions!$C$7,1,0),0),0)</f>
        <v/>
      </c>
      <c r="W4219">
        <f>IF(AND(U4219=1,M4219&gt;=H4219*(1-Assumptions!$C$8)),1,0)</f>
        <v/>
      </c>
      <c r="X4219">
        <f>IF(AND(U4219=1,N4219&gt;=H4219*(1-Assumptions!$C$8)),1,0)</f>
        <v/>
      </c>
      <c r="Y4219">
        <f>IF(ISNUMBER(Q4219),1,0)</f>
        <v/>
      </c>
      <c r="Z4219">
        <f>IF(AND(K4219=0,L4219=0,Y4219=0),1,0)</f>
        <v/>
      </c>
      <c r="AA4219">
        <f>IF(AND(Z4219=1,G4219&lt;Assumptions!$C$6),1,0)</f>
        <v/>
      </c>
      <c r="AB4219">
        <f>IF(U4219=0,"",IF(Y4219=1,MAX(0,Q4219-G4219),IF(L4219=1,MAX(0,R4219-G4219),MAX(0,Assumptions!$C$6-G4219))))</f>
        <v/>
      </c>
      <c r="AC4219">
        <f>IF(Y4219=1,Q4219-F4219,"")</f>
        <v/>
      </c>
      <c r="AD4219">
        <f>IF(Y4219=1,AC4219^2,"")</f>
        <v/>
      </c>
      <c r="AE4219" s="19">
        <f>IF(Z4219=1,(H4219-M4219)*I4219,0)</f>
        <v/>
      </c>
      <c r="AF4219">
        <f>IF(G4219&lt;EDATE(Assumptions!$C$6,-12)+1,"prior_12m","last_12m")</f>
        <v/>
      </c>
      <c r="AG4219" s="21">
        <f>DATE(YEAR(G4219),MONTH(G4219),1)</f>
        <v/>
      </c>
    </row>
    <row r="4220">
      <c r="A4220" t="inlineStr">
        <is>
          <t>SPO-02250-2</t>
        </is>
      </c>
      <c r="B4220" t="inlineStr">
        <is>
          <t>SPO-02250</t>
        </is>
      </c>
      <c r="C4220" t="inlineStr">
        <is>
          <t>SUP-06</t>
        </is>
      </c>
      <c r="D4220" t="inlineStr">
        <is>
          <t>MRO</t>
        </is>
      </c>
      <c r="E4220" t="inlineStr">
        <is>
          <t>MRO-06</t>
        </is>
      </c>
      <c r="F4220" s="17" t="n">
        <v>46195</v>
      </c>
      <c r="G4220" s="17" t="n">
        <v>46203</v>
      </c>
      <c r="H4220" s="18" t="n">
        <v>303</v>
      </c>
      <c r="I4220" s="19" t="n">
        <v>6.03</v>
      </c>
      <c r="J4220" s="19" t="n">
        <v>6.1</v>
      </c>
      <c r="K4220" s="20" t="n">
        <v>0</v>
      </c>
      <c r="L4220" s="20" t="n">
        <v>0</v>
      </c>
      <c r="M4220" s="18" t="n">
        <v>303</v>
      </c>
      <c r="N4220" s="18" t="n">
        <v>303</v>
      </c>
      <c r="O4220" s="18" t="n">
        <v>0</v>
      </c>
      <c r="P4220" s="17" t="n">
        <v>46202</v>
      </c>
      <c r="Q4220" s="17" t="n">
        <v>46202</v>
      </c>
      <c r="R4220" s="17" t="n">
        <v>46202</v>
      </c>
      <c r="S4220" s="19">
        <f>H4220*I4220</f>
        <v/>
      </c>
      <c r="T4220" s="19">
        <f>H4220*J4220</f>
        <v/>
      </c>
      <c r="U4220">
        <f>IF(AND(K4220=0,G4220&lt;=Assumptions!$C$6),1,0)</f>
        <v/>
      </c>
      <c r="V4220">
        <f>IF(U4220=1,IF(M4220&gt;0,IF(P4220&lt;=G4220+Assumptions!$C$7,1,0),0),0)</f>
        <v/>
      </c>
      <c r="W4220">
        <f>IF(AND(U4220=1,M4220&gt;=H4220*(1-Assumptions!$C$8)),1,0)</f>
        <v/>
      </c>
      <c r="X4220">
        <f>IF(AND(U4220=1,N4220&gt;=H4220*(1-Assumptions!$C$8)),1,0)</f>
        <v/>
      </c>
      <c r="Y4220">
        <f>IF(ISNUMBER(Q4220),1,0)</f>
        <v/>
      </c>
      <c r="Z4220">
        <f>IF(AND(K4220=0,L4220=0,Y4220=0),1,0)</f>
        <v/>
      </c>
      <c r="AA4220">
        <f>IF(AND(Z4220=1,G4220&lt;Assumptions!$C$6),1,0)</f>
        <v/>
      </c>
      <c r="AB4220">
        <f>IF(U4220=0,"",IF(Y4220=1,MAX(0,Q4220-G4220),IF(L4220=1,MAX(0,R4220-G4220),MAX(0,Assumptions!$C$6-G4220))))</f>
        <v/>
      </c>
      <c r="AC4220">
        <f>IF(Y4220=1,Q4220-F4220,"")</f>
        <v/>
      </c>
      <c r="AD4220">
        <f>IF(Y4220=1,AC4220^2,"")</f>
        <v/>
      </c>
      <c r="AE4220" s="19">
        <f>IF(Z4220=1,(H4220-M4220)*I4220,0)</f>
        <v/>
      </c>
      <c r="AF4220">
        <f>IF(G4220&lt;EDATE(Assumptions!$C$6,-12)+1,"prior_12m","last_12m")</f>
        <v/>
      </c>
      <c r="AG4220" s="21">
        <f>DATE(YEAR(G4220),MONTH(G4220),1)</f>
        <v/>
      </c>
    </row>
    <row r="4221">
      <c r="A4221" t="inlineStr">
        <is>
          <t>SPO-02250-3</t>
        </is>
      </c>
      <c r="B4221" t="inlineStr">
        <is>
          <t>SPO-02250</t>
        </is>
      </c>
      <c r="C4221" t="inlineStr">
        <is>
          <t>SUP-06</t>
        </is>
      </c>
      <c r="D4221" t="inlineStr">
        <is>
          <t>MRO</t>
        </is>
      </c>
      <c r="E4221" t="inlineStr">
        <is>
          <t>MRO-04</t>
        </is>
      </c>
      <c r="F4221" s="17" t="n">
        <v>46195</v>
      </c>
      <c r="G4221" s="17" t="n">
        <v>46203</v>
      </c>
      <c r="H4221" s="18" t="n">
        <v>53</v>
      </c>
      <c r="I4221" s="19" t="n">
        <v>56.67</v>
      </c>
      <c r="J4221" s="19" t="n">
        <v>58</v>
      </c>
      <c r="K4221" s="20" t="n">
        <v>0</v>
      </c>
      <c r="L4221" s="20" t="n">
        <v>0</v>
      </c>
      <c r="M4221" s="18" t="n">
        <v>53</v>
      </c>
      <c r="N4221" s="18" t="n">
        <v>53</v>
      </c>
      <c r="O4221" s="18" t="n">
        <v>0</v>
      </c>
      <c r="P4221" s="17" t="n">
        <v>46201</v>
      </c>
      <c r="Q4221" s="17" t="n">
        <v>46201</v>
      </c>
      <c r="R4221" s="17" t="n">
        <v>46201</v>
      </c>
      <c r="S4221" s="19">
        <f>H4221*I4221</f>
        <v/>
      </c>
      <c r="T4221" s="19">
        <f>H4221*J4221</f>
        <v/>
      </c>
      <c r="U4221">
        <f>IF(AND(K4221=0,G4221&lt;=Assumptions!$C$6),1,0)</f>
        <v/>
      </c>
      <c r="V4221">
        <f>IF(U4221=1,IF(M4221&gt;0,IF(P4221&lt;=G4221+Assumptions!$C$7,1,0),0),0)</f>
        <v/>
      </c>
      <c r="W4221">
        <f>IF(AND(U4221=1,M4221&gt;=H4221*(1-Assumptions!$C$8)),1,0)</f>
        <v/>
      </c>
      <c r="X4221">
        <f>IF(AND(U4221=1,N4221&gt;=H4221*(1-Assumptions!$C$8)),1,0)</f>
        <v/>
      </c>
      <c r="Y4221">
        <f>IF(ISNUMBER(Q4221),1,0)</f>
        <v/>
      </c>
      <c r="Z4221">
        <f>IF(AND(K4221=0,L4221=0,Y4221=0),1,0)</f>
        <v/>
      </c>
      <c r="AA4221">
        <f>IF(AND(Z4221=1,G4221&lt;Assumptions!$C$6),1,0)</f>
        <v/>
      </c>
      <c r="AB4221">
        <f>IF(U4221=0,"",IF(Y4221=1,MAX(0,Q4221-G4221),IF(L4221=1,MAX(0,R4221-G4221),MAX(0,Assumptions!$C$6-G4221))))</f>
        <v/>
      </c>
      <c r="AC4221">
        <f>IF(Y4221=1,Q4221-F4221,"")</f>
        <v/>
      </c>
      <c r="AD4221">
        <f>IF(Y4221=1,AC4221^2,"")</f>
        <v/>
      </c>
      <c r="AE4221" s="19">
        <f>IF(Z4221=1,(H4221-M4221)*I4221,0)</f>
        <v/>
      </c>
      <c r="AF4221">
        <f>IF(G4221&lt;EDATE(Assumptions!$C$6,-12)+1,"prior_12m","last_12m")</f>
        <v/>
      </c>
      <c r="AG4221" s="21">
        <f>DATE(YEAR(G4221),MONTH(G4221),1)</f>
        <v/>
      </c>
    </row>
    <row r="4222">
      <c r="A4222" t="inlineStr">
        <is>
          <t>SPO-02251-1</t>
        </is>
      </c>
      <c r="B4222" t="inlineStr">
        <is>
          <t>SPO-02251</t>
        </is>
      </c>
      <c r="C4222" t="inlineStr">
        <is>
          <t>SUP-09</t>
        </is>
      </c>
      <c r="D4222" t="inlineStr">
        <is>
          <t>CHEM</t>
        </is>
      </c>
      <c r="E4222" t="inlineStr">
        <is>
          <t>CHEM-01</t>
        </is>
      </c>
      <c r="F4222" s="17" t="n">
        <v>46196</v>
      </c>
      <c r="G4222" s="17" t="n">
        <v>46210</v>
      </c>
      <c r="H4222" s="18" t="n">
        <v>2</v>
      </c>
      <c r="I4222" s="19" t="n">
        <v>713.39</v>
      </c>
      <c r="J4222" s="19" t="n">
        <v>640</v>
      </c>
      <c r="K4222" s="20" t="n">
        <v>0</v>
      </c>
      <c r="L4222" s="20" t="n">
        <v>0</v>
      </c>
      <c r="M4222" s="18" t="n">
        <v>2</v>
      </c>
      <c r="N4222" s="18" t="n">
        <v>2</v>
      </c>
      <c r="O4222" s="18" t="n">
        <v>1</v>
      </c>
      <c r="P4222" s="17" t="n">
        <v>46208</v>
      </c>
      <c r="Q4222" s="17" t="n">
        <v>46208</v>
      </c>
      <c r="R4222" s="17" t="n">
        <v>46208</v>
      </c>
      <c r="S4222" s="19">
        <f>H4222*I4222</f>
        <v/>
      </c>
      <c r="T4222" s="19">
        <f>H4222*J4222</f>
        <v/>
      </c>
      <c r="U4222">
        <f>IF(AND(K4222=0,G4222&lt;=Assumptions!$C$6),1,0)</f>
        <v/>
      </c>
      <c r="V4222">
        <f>IF(U4222=1,IF(M4222&gt;0,IF(P4222&lt;=G4222+Assumptions!$C$7,1,0),0),0)</f>
        <v/>
      </c>
      <c r="W4222">
        <f>IF(AND(U4222=1,M4222&gt;=H4222*(1-Assumptions!$C$8)),1,0)</f>
        <v/>
      </c>
      <c r="X4222">
        <f>IF(AND(U4222=1,N4222&gt;=H4222*(1-Assumptions!$C$8)),1,0)</f>
        <v/>
      </c>
      <c r="Y4222">
        <f>IF(ISNUMBER(Q4222),1,0)</f>
        <v/>
      </c>
      <c r="Z4222">
        <f>IF(AND(K4222=0,L4222=0,Y4222=0),1,0)</f>
        <v/>
      </c>
      <c r="AA4222">
        <f>IF(AND(Z4222=1,G4222&lt;Assumptions!$C$6),1,0)</f>
        <v/>
      </c>
      <c r="AB4222">
        <f>IF(U4222=0,"",IF(Y4222=1,MAX(0,Q4222-G4222),IF(L4222=1,MAX(0,R4222-G4222),MAX(0,Assumptions!$C$6-G4222))))</f>
        <v/>
      </c>
      <c r="AC4222">
        <f>IF(Y4222=1,Q4222-F4222,"")</f>
        <v/>
      </c>
      <c r="AD4222">
        <f>IF(Y4222=1,AC4222^2,"")</f>
        <v/>
      </c>
      <c r="AE4222" s="19">
        <f>IF(Z4222=1,(H4222-M4222)*I4222,0)</f>
        <v/>
      </c>
      <c r="AF4222">
        <f>IF(G4222&lt;EDATE(Assumptions!$C$6,-12)+1,"prior_12m","last_12m")</f>
        <v/>
      </c>
      <c r="AG4222" s="21">
        <f>DATE(YEAR(G4222),MONTH(G4222),1)</f>
        <v/>
      </c>
    </row>
    <row r="4223">
      <c r="A4223" t="inlineStr">
        <is>
          <t>SPO-02251-2</t>
        </is>
      </c>
      <c r="B4223" t="inlineStr">
        <is>
          <t>SPO-02251</t>
        </is>
      </c>
      <c r="C4223" t="inlineStr">
        <is>
          <t>SUP-09</t>
        </is>
      </c>
      <c r="D4223" t="inlineStr">
        <is>
          <t>CHEM</t>
        </is>
      </c>
      <c r="E4223" t="inlineStr">
        <is>
          <t>CHEM-03</t>
        </is>
      </c>
      <c r="F4223" s="17" t="n">
        <v>46196</v>
      </c>
      <c r="G4223" s="17" t="n">
        <v>46210</v>
      </c>
      <c r="H4223" s="18" t="n">
        <v>3</v>
      </c>
      <c r="I4223" s="19" t="n">
        <v>262.69</v>
      </c>
      <c r="J4223" s="19" t="n">
        <v>265</v>
      </c>
      <c r="K4223" s="20" t="n">
        <v>0</v>
      </c>
      <c r="L4223" s="20" t="n">
        <v>0</v>
      </c>
      <c r="M4223" s="18" t="n">
        <v>3</v>
      </c>
      <c r="N4223" s="18" t="n">
        <v>3</v>
      </c>
      <c r="O4223" s="18" t="n">
        <v>0</v>
      </c>
      <c r="P4223" s="17" t="n">
        <v>46206</v>
      </c>
      <c r="Q4223" s="17" t="n">
        <v>46206</v>
      </c>
      <c r="R4223" s="17" t="n">
        <v>46206</v>
      </c>
      <c r="S4223" s="19">
        <f>H4223*I4223</f>
        <v/>
      </c>
      <c r="T4223" s="19">
        <f>H4223*J4223</f>
        <v/>
      </c>
      <c r="U4223">
        <f>IF(AND(K4223=0,G4223&lt;=Assumptions!$C$6),1,0)</f>
        <v/>
      </c>
      <c r="V4223">
        <f>IF(U4223=1,IF(M4223&gt;0,IF(P4223&lt;=G4223+Assumptions!$C$7,1,0),0),0)</f>
        <v/>
      </c>
      <c r="W4223">
        <f>IF(AND(U4223=1,M4223&gt;=H4223*(1-Assumptions!$C$8)),1,0)</f>
        <v/>
      </c>
      <c r="X4223">
        <f>IF(AND(U4223=1,N4223&gt;=H4223*(1-Assumptions!$C$8)),1,0)</f>
        <v/>
      </c>
      <c r="Y4223">
        <f>IF(ISNUMBER(Q4223),1,0)</f>
        <v/>
      </c>
      <c r="Z4223">
        <f>IF(AND(K4223=0,L4223=0,Y4223=0),1,0)</f>
        <v/>
      </c>
      <c r="AA4223">
        <f>IF(AND(Z4223=1,G4223&lt;Assumptions!$C$6),1,0)</f>
        <v/>
      </c>
      <c r="AB4223">
        <f>IF(U4223=0,"",IF(Y4223=1,MAX(0,Q4223-G4223),IF(L4223=1,MAX(0,R4223-G4223),MAX(0,Assumptions!$C$6-G4223))))</f>
        <v/>
      </c>
      <c r="AC4223">
        <f>IF(Y4223=1,Q4223-F4223,"")</f>
        <v/>
      </c>
      <c r="AD4223">
        <f>IF(Y4223=1,AC4223^2,"")</f>
        <v/>
      </c>
      <c r="AE4223" s="19">
        <f>IF(Z4223=1,(H4223-M4223)*I4223,0)</f>
        <v/>
      </c>
      <c r="AF4223">
        <f>IF(G4223&lt;EDATE(Assumptions!$C$6,-12)+1,"prior_12m","last_12m")</f>
        <v/>
      </c>
      <c r="AG4223" s="21">
        <f>DATE(YEAR(G4223),MONTH(G4223),1)</f>
        <v/>
      </c>
    </row>
    <row r="4224">
      <c r="A4224" t="inlineStr">
        <is>
          <t>SPO-02252-1</t>
        </is>
      </c>
      <c r="B4224" t="inlineStr">
        <is>
          <t>SPO-02252</t>
        </is>
      </c>
      <c r="C4224" t="inlineStr">
        <is>
          <t>SUP-12</t>
        </is>
      </c>
      <c r="D4224" t="inlineStr">
        <is>
          <t>IT</t>
        </is>
      </c>
      <c r="E4224" t="inlineStr">
        <is>
          <t>IT-07</t>
        </is>
      </c>
      <c r="F4224" s="17" t="n">
        <v>46196</v>
      </c>
      <c r="G4224" s="17" t="n">
        <v>46206</v>
      </c>
      <c r="H4224" s="18" t="n">
        <v>21</v>
      </c>
      <c r="I4224" s="19" t="n">
        <v>86.25</v>
      </c>
      <c r="J4224" s="19" t="n">
        <v>74</v>
      </c>
      <c r="K4224" s="20" t="n">
        <v>0</v>
      </c>
      <c r="L4224" s="20" t="n">
        <v>0</v>
      </c>
      <c r="M4224" s="18" t="n">
        <v>21</v>
      </c>
      <c r="N4224" s="18" t="n">
        <v>21</v>
      </c>
      <c r="O4224" s="18" t="n">
        <v>0</v>
      </c>
      <c r="P4224" s="17" t="n">
        <v>46200</v>
      </c>
      <c r="Q4224" s="17" t="n">
        <v>46200</v>
      </c>
      <c r="R4224" s="17" t="n">
        <v>46200</v>
      </c>
      <c r="S4224" s="19">
        <f>H4224*I4224</f>
        <v/>
      </c>
      <c r="T4224" s="19">
        <f>H4224*J4224</f>
        <v/>
      </c>
      <c r="U4224">
        <f>IF(AND(K4224=0,G4224&lt;=Assumptions!$C$6),1,0)</f>
        <v/>
      </c>
      <c r="V4224">
        <f>IF(U4224=1,IF(M4224&gt;0,IF(P4224&lt;=G4224+Assumptions!$C$7,1,0),0),0)</f>
        <v/>
      </c>
      <c r="W4224">
        <f>IF(AND(U4224=1,M4224&gt;=H4224*(1-Assumptions!$C$8)),1,0)</f>
        <v/>
      </c>
      <c r="X4224">
        <f>IF(AND(U4224=1,N4224&gt;=H4224*(1-Assumptions!$C$8)),1,0)</f>
        <v/>
      </c>
      <c r="Y4224">
        <f>IF(ISNUMBER(Q4224),1,0)</f>
        <v/>
      </c>
      <c r="Z4224">
        <f>IF(AND(K4224=0,L4224=0,Y4224=0),1,0)</f>
        <v/>
      </c>
      <c r="AA4224">
        <f>IF(AND(Z4224=1,G4224&lt;Assumptions!$C$6),1,0)</f>
        <v/>
      </c>
      <c r="AB4224">
        <f>IF(U4224=0,"",IF(Y4224=1,MAX(0,Q4224-G4224),IF(L4224=1,MAX(0,R4224-G4224),MAX(0,Assumptions!$C$6-G4224))))</f>
        <v/>
      </c>
      <c r="AC4224">
        <f>IF(Y4224=1,Q4224-F4224,"")</f>
        <v/>
      </c>
      <c r="AD4224">
        <f>IF(Y4224=1,AC4224^2,"")</f>
        <v/>
      </c>
      <c r="AE4224" s="19">
        <f>IF(Z4224=1,(H4224-M4224)*I4224,0)</f>
        <v/>
      </c>
      <c r="AF4224">
        <f>IF(G4224&lt;EDATE(Assumptions!$C$6,-12)+1,"prior_12m","last_12m")</f>
        <v/>
      </c>
      <c r="AG4224" s="21">
        <f>DATE(YEAR(G4224),MONTH(G4224),1)</f>
        <v/>
      </c>
    </row>
    <row r="4225">
      <c r="A4225" t="inlineStr">
        <is>
          <t>SPO-02252-2</t>
        </is>
      </c>
      <c r="B4225" t="inlineStr">
        <is>
          <t>SPO-02252</t>
        </is>
      </c>
      <c r="C4225" t="inlineStr">
        <is>
          <t>SUP-12</t>
        </is>
      </c>
      <c r="D4225" t="inlineStr">
        <is>
          <t>IT</t>
        </is>
      </c>
      <c r="E4225" t="inlineStr">
        <is>
          <t>IT-03</t>
        </is>
      </c>
      <c r="F4225" s="17" t="n">
        <v>46196</v>
      </c>
      <c r="G4225" s="17" t="n">
        <v>46206</v>
      </c>
      <c r="H4225" s="18" t="n">
        <v>63</v>
      </c>
      <c r="I4225" s="19" t="n">
        <v>44.1</v>
      </c>
      <c r="J4225" s="19" t="n">
        <v>38</v>
      </c>
      <c r="K4225" s="20" t="n">
        <v>0</v>
      </c>
      <c r="L4225" s="20" t="n">
        <v>0</v>
      </c>
      <c r="M4225" s="18" t="n">
        <v>63</v>
      </c>
      <c r="N4225" s="18" t="n">
        <v>0</v>
      </c>
      <c r="O4225" s="18" t="n">
        <v>0</v>
      </c>
      <c r="P4225" s="17" t="n">
        <v>46208</v>
      </c>
      <c r="Q4225" s="17" t="n">
        <v>46208</v>
      </c>
      <c r="R4225" s="17" t="n">
        <v>46208</v>
      </c>
      <c r="S4225" s="19">
        <f>H4225*I4225</f>
        <v/>
      </c>
      <c r="T4225" s="19">
        <f>H4225*J4225</f>
        <v/>
      </c>
      <c r="U4225">
        <f>IF(AND(K4225=0,G4225&lt;=Assumptions!$C$6),1,0)</f>
        <v/>
      </c>
      <c r="V4225">
        <f>IF(U4225=1,IF(M4225&gt;0,IF(P4225&lt;=G4225+Assumptions!$C$7,1,0),0),0)</f>
        <v/>
      </c>
      <c r="W4225">
        <f>IF(AND(U4225=1,M4225&gt;=H4225*(1-Assumptions!$C$8)),1,0)</f>
        <v/>
      </c>
      <c r="X4225">
        <f>IF(AND(U4225=1,N4225&gt;=H4225*(1-Assumptions!$C$8)),1,0)</f>
        <v/>
      </c>
      <c r="Y4225">
        <f>IF(ISNUMBER(Q4225),1,0)</f>
        <v/>
      </c>
      <c r="Z4225">
        <f>IF(AND(K4225=0,L4225=0,Y4225=0),1,0)</f>
        <v/>
      </c>
      <c r="AA4225">
        <f>IF(AND(Z4225=1,G4225&lt;Assumptions!$C$6),1,0)</f>
        <v/>
      </c>
      <c r="AB4225">
        <f>IF(U4225=0,"",IF(Y4225=1,MAX(0,Q4225-G4225),IF(L4225=1,MAX(0,R4225-G4225),MAX(0,Assumptions!$C$6-G4225))))</f>
        <v/>
      </c>
      <c r="AC4225">
        <f>IF(Y4225=1,Q4225-F4225,"")</f>
        <v/>
      </c>
      <c r="AD4225">
        <f>IF(Y4225=1,AC4225^2,"")</f>
        <v/>
      </c>
      <c r="AE4225" s="19">
        <f>IF(Z4225=1,(H4225-M4225)*I4225,0)</f>
        <v/>
      </c>
      <c r="AF4225">
        <f>IF(G4225&lt;EDATE(Assumptions!$C$6,-12)+1,"prior_12m","last_12m")</f>
        <v/>
      </c>
      <c r="AG4225" s="21">
        <f>DATE(YEAR(G4225),MONTH(G4225),1)</f>
        <v/>
      </c>
    </row>
    <row r="4226">
      <c r="A4226" t="inlineStr">
        <is>
          <t>SPO-02253-1</t>
        </is>
      </c>
      <c r="B4226" t="inlineStr">
        <is>
          <t>SPO-02253</t>
        </is>
      </c>
      <c r="C4226" t="inlineStr">
        <is>
          <t>SUP-14</t>
        </is>
      </c>
      <c r="D4226" t="inlineStr">
        <is>
          <t>FLEET</t>
        </is>
      </c>
      <c r="E4226" t="inlineStr">
        <is>
          <t>FLEET-05</t>
        </is>
      </c>
      <c r="F4226" s="17" t="n">
        <v>46197</v>
      </c>
      <c r="G4226" s="17" t="n">
        <v>46211</v>
      </c>
      <c r="H4226" s="18" t="n">
        <v>5</v>
      </c>
      <c r="I4226" s="19" t="n">
        <v>172.42</v>
      </c>
      <c r="J4226" s="19" t="n">
        <v>168</v>
      </c>
      <c r="K4226" s="20" t="n">
        <v>0</v>
      </c>
      <c r="L4226" s="20" t="n">
        <v>1</v>
      </c>
      <c r="M4226" s="18" t="n">
        <v>3</v>
      </c>
      <c r="N4226" s="18" t="n">
        <v>3</v>
      </c>
      <c r="O4226" s="18" t="n">
        <v>0</v>
      </c>
      <c r="P4226" s="17" t="n">
        <v>46208</v>
      </c>
      <c r="Q4226" s="17" t="n"/>
      <c r="R4226" s="17" t="n">
        <v>46208</v>
      </c>
      <c r="S4226" s="19">
        <f>H4226*I4226</f>
        <v/>
      </c>
      <c r="T4226" s="19">
        <f>H4226*J4226</f>
        <v/>
      </c>
      <c r="U4226">
        <f>IF(AND(K4226=0,G4226&lt;=Assumptions!$C$6),1,0)</f>
        <v/>
      </c>
      <c r="V4226">
        <f>IF(U4226=1,IF(M4226&gt;0,IF(P4226&lt;=G4226+Assumptions!$C$7,1,0),0),0)</f>
        <v/>
      </c>
      <c r="W4226">
        <f>IF(AND(U4226=1,M4226&gt;=H4226*(1-Assumptions!$C$8)),1,0)</f>
        <v/>
      </c>
      <c r="X4226">
        <f>IF(AND(U4226=1,N4226&gt;=H4226*(1-Assumptions!$C$8)),1,0)</f>
        <v/>
      </c>
      <c r="Y4226">
        <f>IF(ISNUMBER(Q4226),1,0)</f>
        <v/>
      </c>
      <c r="Z4226">
        <f>IF(AND(K4226=0,L4226=0,Y4226=0),1,0)</f>
        <v/>
      </c>
      <c r="AA4226">
        <f>IF(AND(Z4226=1,G4226&lt;Assumptions!$C$6),1,0)</f>
        <v/>
      </c>
      <c r="AB4226">
        <f>IF(U4226=0,"",IF(Y4226=1,MAX(0,Q4226-G4226),IF(L4226=1,MAX(0,R4226-G4226),MAX(0,Assumptions!$C$6-G4226))))</f>
        <v/>
      </c>
      <c r="AC4226">
        <f>IF(Y4226=1,Q4226-F4226,"")</f>
        <v/>
      </c>
      <c r="AD4226">
        <f>IF(Y4226=1,AC4226^2,"")</f>
        <v/>
      </c>
      <c r="AE4226" s="19">
        <f>IF(Z4226=1,(H4226-M4226)*I4226,0)</f>
        <v/>
      </c>
      <c r="AF4226">
        <f>IF(G4226&lt;EDATE(Assumptions!$C$6,-12)+1,"prior_12m","last_12m")</f>
        <v/>
      </c>
      <c r="AG4226" s="21">
        <f>DATE(YEAR(G4226),MONTH(G4226),1)</f>
        <v/>
      </c>
    </row>
    <row r="4227">
      <c r="A4227" t="inlineStr">
        <is>
          <t>SPO-02253-2</t>
        </is>
      </c>
      <c r="B4227" t="inlineStr">
        <is>
          <t>SPO-02253</t>
        </is>
      </c>
      <c r="C4227" t="inlineStr">
        <is>
          <t>SUP-14</t>
        </is>
      </c>
      <c r="D4227" t="inlineStr">
        <is>
          <t>FLEET</t>
        </is>
      </c>
      <c r="E4227" t="inlineStr">
        <is>
          <t>FLEET-01</t>
        </is>
      </c>
      <c r="F4227" s="17" t="n">
        <v>46197</v>
      </c>
      <c r="G4227" s="17" t="n">
        <v>46211</v>
      </c>
      <c r="H4227" s="18" t="n">
        <v>12</v>
      </c>
      <c r="I4227" s="19" t="n">
        <v>63.74</v>
      </c>
      <c r="J4227" s="19" t="n">
        <v>64</v>
      </c>
      <c r="K4227" s="20" t="n">
        <v>0</v>
      </c>
      <c r="L4227" s="20" t="n">
        <v>0</v>
      </c>
      <c r="M4227" s="18" t="n">
        <v>12</v>
      </c>
      <c r="N4227" s="18" t="n">
        <v>12</v>
      </c>
      <c r="O4227" s="18" t="n">
        <v>0</v>
      </c>
      <c r="P4227" s="17" t="n">
        <v>46204</v>
      </c>
      <c r="Q4227" s="17" t="n">
        <v>46204</v>
      </c>
      <c r="R4227" s="17" t="n">
        <v>46204</v>
      </c>
      <c r="S4227" s="19">
        <f>H4227*I4227</f>
        <v/>
      </c>
      <c r="T4227" s="19">
        <f>H4227*J4227</f>
        <v/>
      </c>
      <c r="U4227">
        <f>IF(AND(K4227=0,G4227&lt;=Assumptions!$C$6),1,0)</f>
        <v/>
      </c>
      <c r="V4227">
        <f>IF(U4227=1,IF(M4227&gt;0,IF(P4227&lt;=G4227+Assumptions!$C$7,1,0),0),0)</f>
        <v/>
      </c>
      <c r="W4227">
        <f>IF(AND(U4227=1,M4227&gt;=H4227*(1-Assumptions!$C$8)),1,0)</f>
        <v/>
      </c>
      <c r="X4227">
        <f>IF(AND(U4227=1,N4227&gt;=H4227*(1-Assumptions!$C$8)),1,0)</f>
        <v/>
      </c>
      <c r="Y4227">
        <f>IF(ISNUMBER(Q4227),1,0)</f>
        <v/>
      </c>
      <c r="Z4227">
        <f>IF(AND(K4227=0,L4227=0,Y4227=0),1,0)</f>
        <v/>
      </c>
      <c r="AA4227">
        <f>IF(AND(Z4227=1,G4227&lt;Assumptions!$C$6),1,0)</f>
        <v/>
      </c>
      <c r="AB4227">
        <f>IF(U4227=0,"",IF(Y4227=1,MAX(0,Q4227-G4227),IF(L4227=1,MAX(0,R4227-G4227),MAX(0,Assumptions!$C$6-G4227))))</f>
        <v/>
      </c>
      <c r="AC4227">
        <f>IF(Y4227=1,Q4227-F4227,"")</f>
        <v/>
      </c>
      <c r="AD4227">
        <f>IF(Y4227=1,AC4227^2,"")</f>
        <v/>
      </c>
      <c r="AE4227" s="19">
        <f>IF(Z4227=1,(H4227-M4227)*I4227,0)</f>
        <v/>
      </c>
      <c r="AF4227">
        <f>IF(G4227&lt;EDATE(Assumptions!$C$6,-12)+1,"prior_12m","last_12m")</f>
        <v/>
      </c>
      <c r="AG4227" s="21">
        <f>DATE(YEAR(G4227),MONTH(G4227),1)</f>
        <v/>
      </c>
    </row>
    <row r="4228">
      <c r="A4228" t="inlineStr">
        <is>
          <t>SPO-02254-1</t>
        </is>
      </c>
      <c r="B4228" t="inlineStr">
        <is>
          <t>SPO-02254</t>
        </is>
      </c>
      <c r="C4228" t="inlineStr">
        <is>
          <t>SUP-08</t>
        </is>
      </c>
      <c r="D4228" t="inlineStr">
        <is>
          <t>MRO</t>
        </is>
      </c>
      <c r="E4228" t="inlineStr">
        <is>
          <t>MRO-06</t>
        </is>
      </c>
      <c r="F4228" s="17" t="n">
        <v>46197</v>
      </c>
      <c r="G4228" s="17" t="n">
        <v>46208</v>
      </c>
      <c r="H4228" s="18" t="n">
        <v>375</v>
      </c>
      <c r="I4228" s="19" t="n">
        <v>6.12</v>
      </c>
      <c r="J4228" s="19" t="n">
        <v>6.1</v>
      </c>
      <c r="K4228" s="20" t="n">
        <v>0</v>
      </c>
      <c r="L4228" s="20" t="n">
        <v>0</v>
      </c>
      <c r="M4228" s="18" t="n">
        <v>375</v>
      </c>
      <c r="N4228" s="18" t="n">
        <v>375</v>
      </c>
      <c r="O4228" s="18" t="n">
        <v>0</v>
      </c>
      <c r="P4228" s="17" t="n">
        <v>46206</v>
      </c>
      <c r="Q4228" s="17" t="n">
        <v>46206</v>
      </c>
      <c r="R4228" s="17" t="n">
        <v>46206</v>
      </c>
      <c r="S4228" s="19">
        <f>H4228*I4228</f>
        <v/>
      </c>
      <c r="T4228" s="19">
        <f>H4228*J4228</f>
        <v/>
      </c>
      <c r="U4228">
        <f>IF(AND(K4228=0,G4228&lt;=Assumptions!$C$6),1,0)</f>
        <v/>
      </c>
      <c r="V4228">
        <f>IF(U4228=1,IF(M4228&gt;0,IF(P4228&lt;=G4228+Assumptions!$C$7,1,0),0),0)</f>
        <v/>
      </c>
      <c r="W4228">
        <f>IF(AND(U4228=1,M4228&gt;=H4228*(1-Assumptions!$C$8)),1,0)</f>
        <v/>
      </c>
      <c r="X4228">
        <f>IF(AND(U4228=1,N4228&gt;=H4228*(1-Assumptions!$C$8)),1,0)</f>
        <v/>
      </c>
      <c r="Y4228">
        <f>IF(ISNUMBER(Q4228),1,0)</f>
        <v/>
      </c>
      <c r="Z4228">
        <f>IF(AND(K4228=0,L4228=0,Y4228=0),1,0)</f>
        <v/>
      </c>
      <c r="AA4228">
        <f>IF(AND(Z4228=1,G4228&lt;Assumptions!$C$6),1,0)</f>
        <v/>
      </c>
      <c r="AB4228">
        <f>IF(U4228=0,"",IF(Y4228=1,MAX(0,Q4228-G4228),IF(L4228=1,MAX(0,R4228-G4228),MAX(0,Assumptions!$C$6-G4228))))</f>
        <v/>
      </c>
      <c r="AC4228">
        <f>IF(Y4228=1,Q4228-F4228,"")</f>
        <v/>
      </c>
      <c r="AD4228">
        <f>IF(Y4228=1,AC4228^2,"")</f>
        <v/>
      </c>
      <c r="AE4228" s="19">
        <f>IF(Z4228=1,(H4228-M4228)*I4228,0)</f>
        <v/>
      </c>
      <c r="AF4228">
        <f>IF(G4228&lt;EDATE(Assumptions!$C$6,-12)+1,"prior_12m","last_12m")</f>
        <v/>
      </c>
      <c r="AG4228" s="21">
        <f>DATE(YEAR(G4228),MONTH(G4228),1)</f>
        <v/>
      </c>
    </row>
    <row r="4229">
      <c r="A4229" t="inlineStr">
        <is>
          <t>SPO-02255-1</t>
        </is>
      </c>
      <c r="B4229" t="inlineStr">
        <is>
          <t>SPO-02255</t>
        </is>
      </c>
      <c r="C4229" t="inlineStr">
        <is>
          <t>SUP-05</t>
        </is>
      </c>
      <c r="D4229" t="inlineStr">
        <is>
          <t>FLEET</t>
        </is>
      </c>
      <c r="E4229" t="inlineStr">
        <is>
          <t>FLEET-02</t>
        </is>
      </c>
      <c r="F4229" s="17" t="n">
        <v>46198</v>
      </c>
      <c r="G4229" s="17" t="n">
        <v>46212</v>
      </c>
      <c r="H4229" s="18" t="n">
        <v>352</v>
      </c>
      <c r="I4229" s="19" t="n">
        <v>7.5</v>
      </c>
      <c r="J4229" s="19" t="n">
        <v>7.5</v>
      </c>
      <c r="K4229" s="20" t="n">
        <v>0</v>
      </c>
      <c r="L4229" s="20" t="n">
        <v>0</v>
      </c>
      <c r="M4229" s="18" t="n">
        <v>352</v>
      </c>
      <c r="N4229" s="18" t="n">
        <v>352</v>
      </c>
      <c r="O4229" s="18" t="n">
        <v>28</v>
      </c>
      <c r="P4229" s="17" t="n">
        <v>46208</v>
      </c>
      <c r="Q4229" s="17" t="n">
        <v>46208</v>
      </c>
      <c r="R4229" s="17" t="n">
        <v>46208</v>
      </c>
      <c r="S4229" s="19">
        <f>H4229*I4229</f>
        <v/>
      </c>
      <c r="T4229" s="19">
        <f>H4229*J4229</f>
        <v/>
      </c>
      <c r="U4229">
        <f>IF(AND(K4229=0,G4229&lt;=Assumptions!$C$6),1,0)</f>
        <v/>
      </c>
      <c r="V4229">
        <f>IF(U4229=1,IF(M4229&gt;0,IF(P4229&lt;=G4229+Assumptions!$C$7,1,0),0),0)</f>
        <v/>
      </c>
      <c r="W4229">
        <f>IF(AND(U4229=1,M4229&gt;=H4229*(1-Assumptions!$C$8)),1,0)</f>
        <v/>
      </c>
      <c r="X4229">
        <f>IF(AND(U4229=1,N4229&gt;=H4229*(1-Assumptions!$C$8)),1,0)</f>
        <v/>
      </c>
      <c r="Y4229">
        <f>IF(ISNUMBER(Q4229),1,0)</f>
        <v/>
      </c>
      <c r="Z4229">
        <f>IF(AND(K4229=0,L4229=0,Y4229=0),1,0)</f>
        <v/>
      </c>
      <c r="AA4229">
        <f>IF(AND(Z4229=1,G4229&lt;Assumptions!$C$6),1,0)</f>
        <v/>
      </c>
      <c r="AB4229">
        <f>IF(U4229=0,"",IF(Y4229=1,MAX(0,Q4229-G4229),IF(L4229=1,MAX(0,R4229-G4229),MAX(0,Assumptions!$C$6-G4229))))</f>
        <v/>
      </c>
      <c r="AC4229">
        <f>IF(Y4229=1,Q4229-F4229,"")</f>
        <v/>
      </c>
      <c r="AD4229">
        <f>IF(Y4229=1,AC4229^2,"")</f>
        <v/>
      </c>
      <c r="AE4229" s="19">
        <f>IF(Z4229=1,(H4229-M4229)*I4229,0)</f>
        <v/>
      </c>
      <c r="AF4229">
        <f>IF(G4229&lt;EDATE(Assumptions!$C$6,-12)+1,"prior_12m","last_12m")</f>
        <v/>
      </c>
      <c r="AG4229" s="21">
        <f>DATE(YEAR(G4229),MONTH(G4229),1)</f>
        <v/>
      </c>
    </row>
    <row r="4230">
      <c r="A4230" t="inlineStr">
        <is>
          <t>SPO-02256-1</t>
        </is>
      </c>
      <c r="B4230" t="inlineStr">
        <is>
          <t>SPO-02256</t>
        </is>
      </c>
      <c r="C4230" t="inlineStr">
        <is>
          <t>SUP-07</t>
        </is>
      </c>
      <c r="D4230" t="inlineStr">
        <is>
          <t>MRO</t>
        </is>
      </c>
      <c r="E4230" t="inlineStr">
        <is>
          <t>MRO-04</t>
        </is>
      </c>
      <c r="F4230" s="17" t="n">
        <v>46198</v>
      </c>
      <c r="G4230" s="17" t="n">
        <v>46208</v>
      </c>
      <c r="H4230" s="18" t="n">
        <v>23</v>
      </c>
      <c r="I4230" s="19" t="n">
        <v>62.9</v>
      </c>
      <c r="J4230" s="19" t="n">
        <v>58</v>
      </c>
      <c r="K4230" s="20" t="n">
        <v>0</v>
      </c>
      <c r="L4230" s="20" t="n">
        <v>0</v>
      </c>
      <c r="M4230" s="18" t="n">
        <v>23</v>
      </c>
      <c r="N4230" s="18" t="n">
        <v>23</v>
      </c>
      <c r="O4230" s="18" t="n">
        <v>0</v>
      </c>
      <c r="P4230" s="17" t="n">
        <v>46201</v>
      </c>
      <c r="Q4230" s="17" t="n">
        <v>46201</v>
      </c>
      <c r="R4230" s="17" t="n">
        <v>46201</v>
      </c>
      <c r="S4230" s="19">
        <f>H4230*I4230</f>
        <v/>
      </c>
      <c r="T4230" s="19">
        <f>H4230*J4230</f>
        <v/>
      </c>
      <c r="U4230">
        <f>IF(AND(K4230=0,G4230&lt;=Assumptions!$C$6),1,0)</f>
        <v/>
      </c>
      <c r="V4230">
        <f>IF(U4230=1,IF(M4230&gt;0,IF(P4230&lt;=G4230+Assumptions!$C$7,1,0),0),0)</f>
        <v/>
      </c>
      <c r="W4230">
        <f>IF(AND(U4230=1,M4230&gt;=H4230*(1-Assumptions!$C$8)),1,0)</f>
        <v/>
      </c>
      <c r="X4230">
        <f>IF(AND(U4230=1,N4230&gt;=H4230*(1-Assumptions!$C$8)),1,0)</f>
        <v/>
      </c>
      <c r="Y4230">
        <f>IF(ISNUMBER(Q4230),1,0)</f>
        <v/>
      </c>
      <c r="Z4230">
        <f>IF(AND(K4230=0,L4230=0,Y4230=0),1,0)</f>
        <v/>
      </c>
      <c r="AA4230">
        <f>IF(AND(Z4230=1,G4230&lt;Assumptions!$C$6),1,0)</f>
        <v/>
      </c>
      <c r="AB4230">
        <f>IF(U4230=0,"",IF(Y4230=1,MAX(0,Q4230-G4230),IF(L4230=1,MAX(0,R4230-G4230),MAX(0,Assumptions!$C$6-G4230))))</f>
        <v/>
      </c>
      <c r="AC4230">
        <f>IF(Y4230=1,Q4230-F4230,"")</f>
        <v/>
      </c>
      <c r="AD4230">
        <f>IF(Y4230=1,AC4230^2,"")</f>
        <v/>
      </c>
      <c r="AE4230" s="19">
        <f>IF(Z4230=1,(H4230-M4230)*I4230,0)</f>
        <v/>
      </c>
      <c r="AF4230">
        <f>IF(G4230&lt;EDATE(Assumptions!$C$6,-12)+1,"prior_12m","last_12m")</f>
        <v/>
      </c>
      <c r="AG4230" s="21">
        <f>DATE(YEAR(G4230),MONTH(G4230),1)</f>
        <v/>
      </c>
    </row>
    <row r="4231">
      <c r="A4231" t="inlineStr">
        <is>
          <t>SPO-02257-1</t>
        </is>
      </c>
      <c r="B4231" t="inlineStr">
        <is>
          <t>SPO-02257</t>
        </is>
      </c>
      <c r="C4231" t="inlineStr">
        <is>
          <t>SUP-06</t>
        </is>
      </c>
      <c r="D4231" t="inlineStr">
        <is>
          <t>MRO</t>
        </is>
      </c>
      <c r="E4231" t="inlineStr">
        <is>
          <t>MRO-04</t>
        </is>
      </c>
      <c r="F4231" s="17" t="n">
        <v>46198</v>
      </c>
      <c r="G4231" s="17" t="n">
        <v>46206</v>
      </c>
      <c r="H4231" s="18" t="n">
        <v>36</v>
      </c>
      <c r="I4231" s="19" t="n">
        <v>60.57</v>
      </c>
      <c r="J4231" s="19" t="n">
        <v>58</v>
      </c>
      <c r="K4231" s="20" t="n">
        <v>0</v>
      </c>
      <c r="L4231" s="20" t="n">
        <v>0</v>
      </c>
      <c r="M4231" s="18" t="n">
        <v>36</v>
      </c>
      <c r="N4231" s="18" t="n">
        <v>36</v>
      </c>
      <c r="O4231" s="18" t="n">
        <v>0</v>
      </c>
      <c r="P4231" s="17" t="n">
        <v>46202</v>
      </c>
      <c r="Q4231" s="17" t="n">
        <v>46202</v>
      </c>
      <c r="R4231" s="17" t="n">
        <v>46202</v>
      </c>
      <c r="S4231" s="19">
        <f>H4231*I4231</f>
        <v/>
      </c>
      <c r="T4231" s="19">
        <f>H4231*J4231</f>
        <v/>
      </c>
      <c r="U4231">
        <f>IF(AND(K4231=0,G4231&lt;=Assumptions!$C$6),1,0)</f>
        <v/>
      </c>
      <c r="V4231">
        <f>IF(U4231=1,IF(M4231&gt;0,IF(P4231&lt;=G4231+Assumptions!$C$7,1,0),0),0)</f>
        <v/>
      </c>
      <c r="W4231">
        <f>IF(AND(U4231=1,M4231&gt;=H4231*(1-Assumptions!$C$8)),1,0)</f>
        <v/>
      </c>
      <c r="X4231">
        <f>IF(AND(U4231=1,N4231&gt;=H4231*(1-Assumptions!$C$8)),1,0)</f>
        <v/>
      </c>
      <c r="Y4231">
        <f>IF(ISNUMBER(Q4231),1,0)</f>
        <v/>
      </c>
      <c r="Z4231">
        <f>IF(AND(K4231=0,L4231=0,Y4231=0),1,0)</f>
        <v/>
      </c>
      <c r="AA4231">
        <f>IF(AND(Z4231=1,G4231&lt;Assumptions!$C$6),1,0)</f>
        <v/>
      </c>
      <c r="AB4231">
        <f>IF(U4231=0,"",IF(Y4231=1,MAX(0,Q4231-G4231),IF(L4231=1,MAX(0,R4231-G4231),MAX(0,Assumptions!$C$6-G4231))))</f>
        <v/>
      </c>
      <c r="AC4231">
        <f>IF(Y4231=1,Q4231-F4231,"")</f>
        <v/>
      </c>
      <c r="AD4231">
        <f>IF(Y4231=1,AC4231^2,"")</f>
        <v/>
      </c>
      <c r="AE4231" s="19">
        <f>IF(Z4231=1,(H4231-M4231)*I4231,0)</f>
        <v/>
      </c>
      <c r="AF4231">
        <f>IF(G4231&lt;EDATE(Assumptions!$C$6,-12)+1,"prior_12m","last_12m")</f>
        <v/>
      </c>
      <c r="AG4231" s="21">
        <f>DATE(YEAR(G4231),MONTH(G4231),1)</f>
        <v/>
      </c>
    </row>
    <row r="4232">
      <c r="A4232" t="inlineStr">
        <is>
          <t>SPO-02258-1</t>
        </is>
      </c>
      <c r="B4232" t="inlineStr">
        <is>
          <t>SPO-02258</t>
        </is>
      </c>
      <c r="C4232" t="inlineStr">
        <is>
          <t>SUP-10</t>
        </is>
      </c>
      <c r="D4232" t="inlineStr">
        <is>
          <t>PPE</t>
        </is>
      </c>
      <c r="E4232" t="inlineStr">
        <is>
          <t>PPE-08</t>
        </is>
      </c>
      <c r="F4232" s="17" t="n">
        <v>46198</v>
      </c>
      <c r="G4232" s="17" t="n">
        <v>46211</v>
      </c>
      <c r="H4232" s="18" t="n">
        <v>36</v>
      </c>
      <c r="I4232" s="19" t="n">
        <v>60.43</v>
      </c>
      <c r="J4232" s="19" t="n">
        <v>64</v>
      </c>
      <c r="K4232" s="20" t="n">
        <v>0</v>
      </c>
      <c r="L4232" s="20" t="n">
        <v>0</v>
      </c>
      <c r="M4232" s="18" t="n">
        <v>36</v>
      </c>
      <c r="N4232" s="18" t="n">
        <v>36</v>
      </c>
      <c r="O4232" s="18" t="n">
        <v>2</v>
      </c>
      <c r="P4232" s="17" t="n">
        <v>46209</v>
      </c>
      <c r="Q4232" s="17" t="n">
        <v>46209</v>
      </c>
      <c r="R4232" s="17" t="n">
        <v>46209</v>
      </c>
      <c r="S4232" s="19">
        <f>H4232*I4232</f>
        <v/>
      </c>
      <c r="T4232" s="19">
        <f>H4232*J4232</f>
        <v/>
      </c>
      <c r="U4232">
        <f>IF(AND(K4232=0,G4232&lt;=Assumptions!$C$6),1,0)</f>
        <v/>
      </c>
      <c r="V4232">
        <f>IF(U4232=1,IF(M4232&gt;0,IF(P4232&lt;=G4232+Assumptions!$C$7,1,0),0),0)</f>
        <v/>
      </c>
      <c r="W4232">
        <f>IF(AND(U4232=1,M4232&gt;=H4232*(1-Assumptions!$C$8)),1,0)</f>
        <v/>
      </c>
      <c r="X4232">
        <f>IF(AND(U4232=1,N4232&gt;=H4232*(1-Assumptions!$C$8)),1,0)</f>
        <v/>
      </c>
      <c r="Y4232">
        <f>IF(ISNUMBER(Q4232),1,0)</f>
        <v/>
      </c>
      <c r="Z4232">
        <f>IF(AND(K4232=0,L4232=0,Y4232=0),1,0)</f>
        <v/>
      </c>
      <c r="AA4232">
        <f>IF(AND(Z4232=1,G4232&lt;Assumptions!$C$6),1,0)</f>
        <v/>
      </c>
      <c r="AB4232">
        <f>IF(U4232=0,"",IF(Y4232=1,MAX(0,Q4232-G4232),IF(L4232=1,MAX(0,R4232-G4232),MAX(0,Assumptions!$C$6-G4232))))</f>
        <v/>
      </c>
      <c r="AC4232">
        <f>IF(Y4232=1,Q4232-F4232,"")</f>
        <v/>
      </c>
      <c r="AD4232">
        <f>IF(Y4232=1,AC4232^2,"")</f>
        <v/>
      </c>
      <c r="AE4232" s="19">
        <f>IF(Z4232=1,(H4232-M4232)*I4232,0)</f>
        <v/>
      </c>
      <c r="AF4232">
        <f>IF(G4232&lt;EDATE(Assumptions!$C$6,-12)+1,"prior_12m","last_12m")</f>
        <v/>
      </c>
      <c r="AG4232" s="21">
        <f>DATE(YEAR(G4232),MONTH(G4232),1)</f>
        <v/>
      </c>
    </row>
    <row r="4233">
      <c r="A4233" t="inlineStr">
        <is>
          <t>SPO-02258-2</t>
        </is>
      </c>
      <c r="B4233" t="inlineStr">
        <is>
          <t>SPO-02258</t>
        </is>
      </c>
      <c r="C4233" t="inlineStr">
        <is>
          <t>SUP-10</t>
        </is>
      </c>
      <c r="D4233" t="inlineStr">
        <is>
          <t>PPE</t>
        </is>
      </c>
      <c r="E4233" t="inlineStr">
        <is>
          <t>PPE-06</t>
        </is>
      </c>
      <c r="F4233" s="17" t="n">
        <v>46198</v>
      </c>
      <c r="G4233" s="17" t="n">
        <v>46211</v>
      </c>
      <c r="H4233" s="18" t="n">
        <v>8</v>
      </c>
      <c r="I4233" s="19" t="n">
        <v>109.56</v>
      </c>
      <c r="J4233" s="19" t="n">
        <v>115</v>
      </c>
      <c r="K4233" s="20" t="n">
        <v>0</v>
      </c>
      <c r="L4233" s="20" t="n">
        <v>0</v>
      </c>
      <c r="M4233" s="18" t="n">
        <v>8</v>
      </c>
      <c r="N4233" s="18" t="n">
        <v>8</v>
      </c>
      <c r="O4233" s="18" t="n">
        <v>0</v>
      </c>
      <c r="P4233" s="17" t="n">
        <v>46204</v>
      </c>
      <c r="Q4233" s="17" t="n">
        <v>46204</v>
      </c>
      <c r="R4233" s="17" t="n">
        <v>46204</v>
      </c>
      <c r="S4233" s="19">
        <f>H4233*I4233</f>
        <v/>
      </c>
      <c r="T4233" s="19">
        <f>H4233*J4233</f>
        <v/>
      </c>
      <c r="U4233">
        <f>IF(AND(K4233=0,G4233&lt;=Assumptions!$C$6),1,0)</f>
        <v/>
      </c>
      <c r="V4233">
        <f>IF(U4233=1,IF(M4233&gt;0,IF(P4233&lt;=G4233+Assumptions!$C$7,1,0),0),0)</f>
        <v/>
      </c>
      <c r="W4233">
        <f>IF(AND(U4233=1,M4233&gt;=H4233*(1-Assumptions!$C$8)),1,0)</f>
        <v/>
      </c>
      <c r="X4233">
        <f>IF(AND(U4233=1,N4233&gt;=H4233*(1-Assumptions!$C$8)),1,0)</f>
        <v/>
      </c>
      <c r="Y4233">
        <f>IF(ISNUMBER(Q4233),1,0)</f>
        <v/>
      </c>
      <c r="Z4233">
        <f>IF(AND(K4233=0,L4233=0,Y4233=0),1,0)</f>
        <v/>
      </c>
      <c r="AA4233">
        <f>IF(AND(Z4233=1,G4233&lt;Assumptions!$C$6),1,0)</f>
        <v/>
      </c>
      <c r="AB4233">
        <f>IF(U4233=0,"",IF(Y4233=1,MAX(0,Q4233-G4233),IF(L4233=1,MAX(0,R4233-G4233),MAX(0,Assumptions!$C$6-G4233))))</f>
        <v/>
      </c>
      <c r="AC4233">
        <f>IF(Y4233=1,Q4233-F4233,"")</f>
        <v/>
      </c>
      <c r="AD4233">
        <f>IF(Y4233=1,AC4233^2,"")</f>
        <v/>
      </c>
      <c r="AE4233" s="19">
        <f>IF(Z4233=1,(H4233-M4233)*I4233,0)</f>
        <v/>
      </c>
      <c r="AF4233">
        <f>IF(G4233&lt;EDATE(Assumptions!$C$6,-12)+1,"prior_12m","last_12m")</f>
        <v/>
      </c>
      <c r="AG4233" s="21">
        <f>DATE(YEAR(G4233),MONTH(G4233),1)</f>
        <v/>
      </c>
    </row>
    <row r="4234">
      <c r="A4234" t="inlineStr">
        <is>
          <t>SPO-02259-1</t>
        </is>
      </c>
      <c r="B4234" t="inlineStr">
        <is>
          <t>SPO-02259</t>
        </is>
      </c>
      <c r="C4234" t="inlineStr">
        <is>
          <t>SUP-06</t>
        </is>
      </c>
      <c r="D4234" t="inlineStr">
        <is>
          <t>MRO</t>
        </is>
      </c>
      <c r="E4234" t="inlineStr">
        <is>
          <t>MRO-02</t>
        </is>
      </c>
      <c r="F4234" s="17" t="n">
        <v>46198</v>
      </c>
      <c r="G4234" s="17" t="n">
        <v>46206</v>
      </c>
      <c r="H4234" s="18" t="n">
        <v>20</v>
      </c>
      <c r="I4234" s="19" t="n">
        <v>41.78</v>
      </c>
      <c r="J4234" s="19" t="n">
        <v>41</v>
      </c>
      <c r="K4234" s="20" t="n">
        <v>0</v>
      </c>
      <c r="L4234" s="20" t="n">
        <v>0</v>
      </c>
      <c r="M4234" s="18" t="n">
        <v>20</v>
      </c>
      <c r="N4234" s="18" t="n">
        <v>20</v>
      </c>
      <c r="O4234" s="18" t="n">
        <v>0</v>
      </c>
      <c r="P4234" s="17" t="n">
        <v>46203</v>
      </c>
      <c r="Q4234" s="17" t="n">
        <v>46203</v>
      </c>
      <c r="R4234" s="17" t="n">
        <v>46203</v>
      </c>
      <c r="S4234" s="19">
        <f>H4234*I4234</f>
        <v/>
      </c>
      <c r="T4234" s="19">
        <f>H4234*J4234</f>
        <v/>
      </c>
      <c r="U4234">
        <f>IF(AND(K4234=0,G4234&lt;=Assumptions!$C$6),1,0)</f>
        <v/>
      </c>
      <c r="V4234">
        <f>IF(U4234=1,IF(M4234&gt;0,IF(P4234&lt;=G4234+Assumptions!$C$7,1,0),0),0)</f>
        <v/>
      </c>
      <c r="W4234">
        <f>IF(AND(U4234=1,M4234&gt;=H4234*(1-Assumptions!$C$8)),1,0)</f>
        <v/>
      </c>
      <c r="X4234">
        <f>IF(AND(U4234=1,N4234&gt;=H4234*(1-Assumptions!$C$8)),1,0)</f>
        <v/>
      </c>
      <c r="Y4234">
        <f>IF(ISNUMBER(Q4234),1,0)</f>
        <v/>
      </c>
      <c r="Z4234">
        <f>IF(AND(K4234=0,L4234=0,Y4234=0),1,0)</f>
        <v/>
      </c>
      <c r="AA4234">
        <f>IF(AND(Z4234=1,G4234&lt;Assumptions!$C$6),1,0)</f>
        <v/>
      </c>
      <c r="AB4234">
        <f>IF(U4234=0,"",IF(Y4234=1,MAX(0,Q4234-G4234),IF(L4234=1,MAX(0,R4234-G4234),MAX(0,Assumptions!$C$6-G4234))))</f>
        <v/>
      </c>
      <c r="AC4234">
        <f>IF(Y4234=1,Q4234-F4234,"")</f>
        <v/>
      </c>
      <c r="AD4234">
        <f>IF(Y4234=1,AC4234^2,"")</f>
        <v/>
      </c>
      <c r="AE4234" s="19">
        <f>IF(Z4234=1,(H4234-M4234)*I4234,0)</f>
        <v/>
      </c>
      <c r="AF4234">
        <f>IF(G4234&lt;EDATE(Assumptions!$C$6,-12)+1,"prior_12m","last_12m")</f>
        <v/>
      </c>
      <c r="AG4234" s="21">
        <f>DATE(YEAR(G4234),MONTH(G4234),1)</f>
        <v/>
      </c>
    </row>
    <row r="4235">
      <c r="A4235" t="inlineStr">
        <is>
          <t>SPO-02260-1</t>
        </is>
      </c>
      <c r="B4235" t="inlineStr">
        <is>
          <t>SPO-02260</t>
        </is>
      </c>
      <c r="C4235" t="inlineStr">
        <is>
          <t>SUP-02</t>
        </is>
      </c>
      <c r="D4235" t="inlineStr">
        <is>
          <t>ELEC</t>
        </is>
      </c>
      <c r="E4235" t="inlineStr">
        <is>
          <t>ELEC-05</t>
        </is>
      </c>
      <c r="F4235" s="17" t="n">
        <v>46198</v>
      </c>
      <c r="G4235" s="17" t="n">
        <v>46214</v>
      </c>
      <c r="H4235" s="18" t="n">
        <v>84</v>
      </c>
      <c r="I4235" s="19" t="n">
        <v>11.61</v>
      </c>
      <c r="J4235" s="19" t="n">
        <v>11.5</v>
      </c>
      <c r="K4235" s="20" t="n">
        <v>0</v>
      </c>
      <c r="L4235" s="20" t="n">
        <v>0</v>
      </c>
      <c r="M4235" s="18" t="n">
        <v>84</v>
      </c>
      <c r="N4235" s="18" t="n">
        <v>84</v>
      </c>
      <c r="O4235" s="18" t="n">
        <v>0</v>
      </c>
      <c r="P4235" s="17" t="n">
        <v>46208</v>
      </c>
      <c r="Q4235" s="17" t="n">
        <v>46208</v>
      </c>
      <c r="R4235" s="17" t="n">
        <v>46208</v>
      </c>
      <c r="S4235" s="19">
        <f>H4235*I4235</f>
        <v/>
      </c>
      <c r="T4235" s="19">
        <f>H4235*J4235</f>
        <v/>
      </c>
      <c r="U4235">
        <f>IF(AND(K4235=0,G4235&lt;=Assumptions!$C$6),1,0)</f>
        <v/>
      </c>
      <c r="V4235">
        <f>IF(U4235=1,IF(M4235&gt;0,IF(P4235&lt;=G4235+Assumptions!$C$7,1,0),0),0)</f>
        <v/>
      </c>
      <c r="W4235">
        <f>IF(AND(U4235=1,M4235&gt;=H4235*(1-Assumptions!$C$8)),1,0)</f>
        <v/>
      </c>
      <c r="X4235">
        <f>IF(AND(U4235=1,N4235&gt;=H4235*(1-Assumptions!$C$8)),1,0)</f>
        <v/>
      </c>
      <c r="Y4235">
        <f>IF(ISNUMBER(Q4235),1,0)</f>
        <v/>
      </c>
      <c r="Z4235">
        <f>IF(AND(K4235=0,L4235=0,Y4235=0),1,0)</f>
        <v/>
      </c>
      <c r="AA4235">
        <f>IF(AND(Z4235=1,G4235&lt;Assumptions!$C$6),1,0)</f>
        <v/>
      </c>
      <c r="AB4235">
        <f>IF(U4235=0,"",IF(Y4235=1,MAX(0,Q4235-G4235),IF(L4235=1,MAX(0,R4235-G4235),MAX(0,Assumptions!$C$6-G4235))))</f>
        <v/>
      </c>
      <c r="AC4235">
        <f>IF(Y4235=1,Q4235-F4235,"")</f>
        <v/>
      </c>
      <c r="AD4235">
        <f>IF(Y4235=1,AC4235^2,"")</f>
        <v/>
      </c>
      <c r="AE4235" s="19">
        <f>IF(Z4235=1,(H4235-M4235)*I4235,0)</f>
        <v/>
      </c>
      <c r="AF4235">
        <f>IF(G4235&lt;EDATE(Assumptions!$C$6,-12)+1,"prior_12m","last_12m")</f>
        <v/>
      </c>
      <c r="AG4235" s="21">
        <f>DATE(YEAR(G4235),MONTH(G4235),1)</f>
        <v/>
      </c>
    </row>
    <row r="4236">
      <c r="A4236" t="inlineStr">
        <is>
          <t>SPO-02261-1</t>
        </is>
      </c>
      <c r="B4236" t="inlineStr">
        <is>
          <t>SPO-02261</t>
        </is>
      </c>
      <c r="C4236" t="inlineStr">
        <is>
          <t>SUP-05</t>
        </is>
      </c>
      <c r="D4236" t="inlineStr">
        <is>
          <t>FLEET</t>
        </is>
      </c>
      <c r="E4236" t="inlineStr">
        <is>
          <t>FLEET-05</t>
        </is>
      </c>
      <c r="F4236" s="17" t="n">
        <v>46199</v>
      </c>
      <c r="G4236" s="17" t="n">
        <v>46213</v>
      </c>
      <c r="H4236" s="18" t="n">
        <v>11</v>
      </c>
      <c r="I4236" s="19" t="n">
        <v>173.03</v>
      </c>
      <c r="J4236" s="19" t="n">
        <v>168</v>
      </c>
      <c r="K4236" s="20" t="n">
        <v>0</v>
      </c>
      <c r="L4236" s="20" t="n">
        <v>0</v>
      </c>
      <c r="M4236" s="18" t="n">
        <v>11</v>
      </c>
      <c r="N4236" s="18" t="n">
        <v>11</v>
      </c>
      <c r="O4236" s="18" t="n">
        <v>0</v>
      </c>
      <c r="P4236" s="17" t="n">
        <v>46208</v>
      </c>
      <c r="Q4236" s="17" t="n">
        <v>46208</v>
      </c>
      <c r="R4236" s="17" t="n">
        <v>46208</v>
      </c>
      <c r="S4236" s="19">
        <f>H4236*I4236</f>
        <v/>
      </c>
      <c r="T4236" s="19">
        <f>H4236*J4236</f>
        <v/>
      </c>
      <c r="U4236">
        <f>IF(AND(K4236=0,G4236&lt;=Assumptions!$C$6),1,0)</f>
        <v/>
      </c>
      <c r="V4236">
        <f>IF(U4236=1,IF(M4236&gt;0,IF(P4236&lt;=G4236+Assumptions!$C$7,1,0),0),0)</f>
        <v/>
      </c>
      <c r="W4236">
        <f>IF(AND(U4236=1,M4236&gt;=H4236*(1-Assumptions!$C$8)),1,0)</f>
        <v/>
      </c>
      <c r="X4236">
        <f>IF(AND(U4236=1,N4236&gt;=H4236*(1-Assumptions!$C$8)),1,0)</f>
        <v/>
      </c>
      <c r="Y4236">
        <f>IF(ISNUMBER(Q4236),1,0)</f>
        <v/>
      </c>
      <c r="Z4236">
        <f>IF(AND(K4236=0,L4236=0,Y4236=0),1,0)</f>
        <v/>
      </c>
      <c r="AA4236">
        <f>IF(AND(Z4236=1,G4236&lt;Assumptions!$C$6),1,0)</f>
        <v/>
      </c>
      <c r="AB4236">
        <f>IF(U4236=0,"",IF(Y4236=1,MAX(0,Q4236-G4236),IF(L4236=1,MAX(0,R4236-G4236),MAX(0,Assumptions!$C$6-G4236))))</f>
        <v/>
      </c>
      <c r="AC4236">
        <f>IF(Y4236=1,Q4236-F4236,"")</f>
        <v/>
      </c>
      <c r="AD4236">
        <f>IF(Y4236=1,AC4236^2,"")</f>
        <v/>
      </c>
      <c r="AE4236" s="19">
        <f>IF(Z4236=1,(H4236-M4236)*I4236,0)</f>
        <v/>
      </c>
      <c r="AF4236">
        <f>IF(G4236&lt;EDATE(Assumptions!$C$6,-12)+1,"prior_12m","last_12m")</f>
        <v/>
      </c>
      <c r="AG4236" s="21">
        <f>DATE(YEAR(G4236),MONTH(G4236),1)</f>
        <v/>
      </c>
    </row>
    <row r="4237">
      <c r="A4237" t="inlineStr">
        <is>
          <t>SPO-02261-2</t>
        </is>
      </c>
      <c r="B4237" t="inlineStr">
        <is>
          <t>SPO-02261</t>
        </is>
      </c>
      <c r="C4237" t="inlineStr">
        <is>
          <t>SUP-05</t>
        </is>
      </c>
      <c r="D4237" t="inlineStr">
        <is>
          <t>FLEET</t>
        </is>
      </c>
      <c r="E4237" t="inlineStr">
        <is>
          <t>FLEET-01</t>
        </is>
      </c>
      <c r="F4237" s="17" t="n">
        <v>46199</v>
      </c>
      <c r="G4237" s="17" t="n">
        <v>46213</v>
      </c>
      <c r="H4237" s="18" t="n">
        <v>25</v>
      </c>
      <c r="I4237" s="19" t="n">
        <v>64.73</v>
      </c>
      <c r="J4237" s="19" t="n">
        <v>64</v>
      </c>
      <c r="K4237" s="20" t="n">
        <v>0</v>
      </c>
      <c r="L4237" s="20" t="n">
        <v>0</v>
      </c>
      <c r="M4237" s="18" t="n">
        <v>25</v>
      </c>
      <c r="N4237" s="18" t="n">
        <v>25</v>
      </c>
      <c r="O4237" s="18" t="n">
        <v>0</v>
      </c>
      <c r="P4237" s="17" t="n">
        <v>46213</v>
      </c>
      <c r="Q4237" s="17" t="n">
        <v>46213</v>
      </c>
      <c r="R4237" s="17" t="n">
        <v>46213</v>
      </c>
      <c r="S4237" s="19">
        <f>H4237*I4237</f>
        <v/>
      </c>
      <c r="T4237" s="19">
        <f>H4237*J4237</f>
        <v/>
      </c>
      <c r="U4237">
        <f>IF(AND(K4237=0,G4237&lt;=Assumptions!$C$6),1,0)</f>
        <v/>
      </c>
      <c r="V4237">
        <f>IF(U4237=1,IF(M4237&gt;0,IF(P4237&lt;=G4237+Assumptions!$C$7,1,0),0),0)</f>
        <v/>
      </c>
      <c r="W4237">
        <f>IF(AND(U4237=1,M4237&gt;=H4237*(1-Assumptions!$C$8)),1,0)</f>
        <v/>
      </c>
      <c r="X4237">
        <f>IF(AND(U4237=1,N4237&gt;=H4237*(1-Assumptions!$C$8)),1,0)</f>
        <v/>
      </c>
      <c r="Y4237">
        <f>IF(ISNUMBER(Q4237),1,0)</f>
        <v/>
      </c>
      <c r="Z4237">
        <f>IF(AND(K4237=0,L4237=0,Y4237=0),1,0)</f>
        <v/>
      </c>
      <c r="AA4237">
        <f>IF(AND(Z4237=1,G4237&lt;Assumptions!$C$6),1,0)</f>
        <v/>
      </c>
      <c r="AB4237">
        <f>IF(U4237=0,"",IF(Y4237=1,MAX(0,Q4237-G4237),IF(L4237=1,MAX(0,R4237-G4237),MAX(0,Assumptions!$C$6-G4237))))</f>
        <v/>
      </c>
      <c r="AC4237">
        <f>IF(Y4237=1,Q4237-F4237,"")</f>
        <v/>
      </c>
      <c r="AD4237">
        <f>IF(Y4237=1,AC4237^2,"")</f>
        <v/>
      </c>
      <c r="AE4237" s="19">
        <f>IF(Z4237=1,(H4237-M4237)*I4237,0)</f>
        <v/>
      </c>
      <c r="AF4237">
        <f>IF(G4237&lt;EDATE(Assumptions!$C$6,-12)+1,"prior_12m","last_12m")</f>
        <v/>
      </c>
      <c r="AG4237" s="21">
        <f>DATE(YEAR(G4237),MONTH(G4237),1)</f>
        <v/>
      </c>
    </row>
    <row r="4238">
      <c r="A4238" t="inlineStr">
        <is>
          <t>SPO-02262-1</t>
        </is>
      </c>
      <c r="B4238" t="inlineStr">
        <is>
          <t>SPO-02262</t>
        </is>
      </c>
      <c r="C4238" t="inlineStr">
        <is>
          <t>SUP-06</t>
        </is>
      </c>
      <c r="D4238" t="inlineStr">
        <is>
          <t>MRO</t>
        </is>
      </c>
      <c r="E4238" t="inlineStr">
        <is>
          <t>MRO-05</t>
        </is>
      </c>
      <c r="F4238" s="17" t="n">
        <v>46199</v>
      </c>
      <c r="G4238" s="17" t="n">
        <v>46207</v>
      </c>
      <c r="H4238" s="18" t="n">
        <v>38</v>
      </c>
      <c r="I4238" s="19" t="n">
        <v>33.94</v>
      </c>
      <c r="J4238" s="19" t="n">
        <v>36</v>
      </c>
      <c r="K4238" s="20" t="n">
        <v>0</v>
      </c>
      <c r="L4238" s="20" t="n">
        <v>0</v>
      </c>
      <c r="M4238" s="18" t="n">
        <v>38</v>
      </c>
      <c r="N4238" s="18" t="n">
        <v>23</v>
      </c>
      <c r="O4238" s="18" t="n">
        <v>0</v>
      </c>
      <c r="P4238" s="17" t="n">
        <v>46204</v>
      </c>
      <c r="Q4238" s="17" t="n">
        <v>46215</v>
      </c>
      <c r="R4238" s="17" t="n">
        <v>46215</v>
      </c>
      <c r="S4238" s="19">
        <f>H4238*I4238</f>
        <v/>
      </c>
      <c r="T4238" s="19">
        <f>H4238*J4238</f>
        <v/>
      </c>
      <c r="U4238">
        <f>IF(AND(K4238=0,G4238&lt;=Assumptions!$C$6),1,0)</f>
        <v/>
      </c>
      <c r="V4238">
        <f>IF(U4238=1,IF(M4238&gt;0,IF(P4238&lt;=G4238+Assumptions!$C$7,1,0),0),0)</f>
        <v/>
      </c>
      <c r="W4238">
        <f>IF(AND(U4238=1,M4238&gt;=H4238*(1-Assumptions!$C$8)),1,0)</f>
        <v/>
      </c>
      <c r="X4238">
        <f>IF(AND(U4238=1,N4238&gt;=H4238*(1-Assumptions!$C$8)),1,0)</f>
        <v/>
      </c>
      <c r="Y4238">
        <f>IF(ISNUMBER(Q4238),1,0)</f>
        <v/>
      </c>
      <c r="Z4238">
        <f>IF(AND(K4238=0,L4238=0,Y4238=0),1,0)</f>
        <v/>
      </c>
      <c r="AA4238">
        <f>IF(AND(Z4238=1,G4238&lt;Assumptions!$C$6),1,0)</f>
        <v/>
      </c>
      <c r="AB4238">
        <f>IF(U4238=0,"",IF(Y4238=1,MAX(0,Q4238-G4238),IF(L4238=1,MAX(0,R4238-G4238),MAX(0,Assumptions!$C$6-G4238))))</f>
        <v/>
      </c>
      <c r="AC4238">
        <f>IF(Y4238=1,Q4238-F4238,"")</f>
        <v/>
      </c>
      <c r="AD4238">
        <f>IF(Y4238=1,AC4238^2,"")</f>
        <v/>
      </c>
      <c r="AE4238" s="19">
        <f>IF(Z4238=1,(H4238-M4238)*I4238,0)</f>
        <v/>
      </c>
      <c r="AF4238">
        <f>IF(G4238&lt;EDATE(Assumptions!$C$6,-12)+1,"prior_12m","last_12m")</f>
        <v/>
      </c>
      <c r="AG4238" s="21">
        <f>DATE(YEAR(G4238),MONTH(G4238),1)</f>
        <v/>
      </c>
    </row>
    <row r="4239">
      <c r="A4239" t="inlineStr">
        <is>
          <t>SPO-02263-1</t>
        </is>
      </c>
      <c r="B4239" t="inlineStr">
        <is>
          <t>SPO-02263</t>
        </is>
      </c>
      <c r="C4239" t="inlineStr">
        <is>
          <t>SUP-12</t>
        </is>
      </c>
      <c r="D4239" t="inlineStr">
        <is>
          <t>IT</t>
        </is>
      </c>
      <c r="E4239" t="inlineStr">
        <is>
          <t>IT-06</t>
        </is>
      </c>
      <c r="F4239" s="17" t="n">
        <v>46200</v>
      </c>
      <c r="G4239" s="17" t="n">
        <v>46210</v>
      </c>
      <c r="H4239" s="18" t="n">
        <v>10</v>
      </c>
      <c r="I4239" s="19" t="n">
        <v>99.59</v>
      </c>
      <c r="J4239" s="19" t="n">
        <v>89</v>
      </c>
      <c r="K4239" s="20" t="n">
        <v>0</v>
      </c>
      <c r="L4239" s="20" t="n">
        <v>0</v>
      </c>
      <c r="M4239" s="18" t="n">
        <v>10</v>
      </c>
      <c r="N4239" s="18" t="n">
        <v>10</v>
      </c>
      <c r="O4239" s="18" t="n">
        <v>0</v>
      </c>
      <c r="P4239" s="17" t="n">
        <v>46204</v>
      </c>
      <c r="Q4239" s="17" t="n">
        <v>46204</v>
      </c>
      <c r="R4239" s="17" t="n">
        <v>46204</v>
      </c>
      <c r="S4239" s="19">
        <f>H4239*I4239</f>
        <v/>
      </c>
      <c r="T4239" s="19">
        <f>H4239*J4239</f>
        <v/>
      </c>
      <c r="U4239">
        <f>IF(AND(K4239=0,G4239&lt;=Assumptions!$C$6),1,0)</f>
        <v/>
      </c>
      <c r="V4239">
        <f>IF(U4239=1,IF(M4239&gt;0,IF(P4239&lt;=G4239+Assumptions!$C$7,1,0),0),0)</f>
        <v/>
      </c>
      <c r="W4239">
        <f>IF(AND(U4239=1,M4239&gt;=H4239*(1-Assumptions!$C$8)),1,0)</f>
        <v/>
      </c>
      <c r="X4239">
        <f>IF(AND(U4239=1,N4239&gt;=H4239*(1-Assumptions!$C$8)),1,0)</f>
        <v/>
      </c>
      <c r="Y4239">
        <f>IF(ISNUMBER(Q4239),1,0)</f>
        <v/>
      </c>
      <c r="Z4239">
        <f>IF(AND(K4239=0,L4239=0,Y4239=0),1,0)</f>
        <v/>
      </c>
      <c r="AA4239">
        <f>IF(AND(Z4239=1,G4239&lt;Assumptions!$C$6),1,0)</f>
        <v/>
      </c>
      <c r="AB4239">
        <f>IF(U4239=0,"",IF(Y4239=1,MAX(0,Q4239-G4239),IF(L4239=1,MAX(0,R4239-G4239),MAX(0,Assumptions!$C$6-G4239))))</f>
        <v/>
      </c>
      <c r="AC4239">
        <f>IF(Y4239=1,Q4239-F4239,"")</f>
        <v/>
      </c>
      <c r="AD4239">
        <f>IF(Y4239=1,AC4239^2,"")</f>
        <v/>
      </c>
      <c r="AE4239" s="19">
        <f>IF(Z4239=1,(H4239-M4239)*I4239,0)</f>
        <v/>
      </c>
      <c r="AF4239">
        <f>IF(G4239&lt;EDATE(Assumptions!$C$6,-12)+1,"prior_12m","last_12m")</f>
        <v/>
      </c>
      <c r="AG4239" s="21">
        <f>DATE(YEAR(G4239),MONTH(G4239),1)</f>
        <v/>
      </c>
    </row>
    <row r="4240">
      <c r="A4240" t="inlineStr">
        <is>
          <t>SPO-02264-1</t>
        </is>
      </c>
      <c r="B4240" t="inlineStr">
        <is>
          <t>SPO-02264</t>
        </is>
      </c>
      <c r="C4240" t="inlineStr">
        <is>
          <t>SUP-01</t>
        </is>
      </c>
      <c r="D4240" t="inlineStr">
        <is>
          <t>ELEC</t>
        </is>
      </c>
      <c r="E4240" t="inlineStr">
        <is>
          <t>ELEC-01</t>
        </is>
      </c>
      <c r="F4240" s="17" t="n">
        <v>46200</v>
      </c>
      <c r="G4240" s="17" t="n">
        <v>46218</v>
      </c>
      <c r="H4240" s="18" t="n">
        <v>58</v>
      </c>
      <c r="I4240" s="19" t="n">
        <v>39.9</v>
      </c>
      <c r="J4240" s="19" t="n">
        <v>38</v>
      </c>
      <c r="K4240" s="20" t="n">
        <v>0</v>
      </c>
      <c r="L4240" s="20" t="n">
        <v>0</v>
      </c>
      <c r="M4240" s="18" t="n">
        <v>58</v>
      </c>
      <c r="N4240" s="18" t="n">
        <v>0</v>
      </c>
      <c r="O4240" s="18" t="n">
        <v>0</v>
      </c>
      <c r="P4240" s="17" t="n">
        <v>46222</v>
      </c>
      <c r="Q4240" s="17" t="n">
        <v>46222</v>
      </c>
      <c r="R4240" s="17" t="n">
        <v>46222</v>
      </c>
      <c r="S4240" s="19">
        <f>H4240*I4240</f>
        <v/>
      </c>
      <c r="T4240" s="19">
        <f>H4240*J4240</f>
        <v/>
      </c>
      <c r="U4240">
        <f>IF(AND(K4240=0,G4240&lt;=Assumptions!$C$6),1,0)</f>
        <v/>
      </c>
      <c r="V4240">
        <f>IF(U4240=1,IF(M4240&gt;0,IF(P4240&lt;=G4240+Assumptions!$C$7,1,0),0),0)</f>
        <v/>
      </c>
      <c r="W4240">
        <f>IF(AND(U4240=1,M4240&gt;=H4240*(1-Assumptions!$C$8)),1,0)</f>
        <v/>
      </c>
      <c r="X4240">
        <f>IF(AND(U4240=1,N4240&gt;=H4240*(1-Assumptions!$C$8)),1,0)</f>
        <v/>
      </c>
      <c r="Y4240">
        <f>IF(ISNUMBER(Q4240),1,0)</f>
        <v/>
      </c>
      <c r="Z4240">
        <f>IF(AND(K4240=0,L4240=0,Y4240=0),1,0)</f>
        <v/>
      </c>
      <c r="AA4240">
        <f>IF(AND(Z4240=1,G4240&lt;Assumptions!$C$6),1,0)</f>
        <v/>
      </c>
      <c r="AB4240">
        <f>IF(U4240=0,"",IF(Y4240=1,MAX(0,Q4240-G4240),IF(L4240=1,MAX(0,R4240-G4240),MAX(0,Assumptions!$C$6-G4240))))</f>
        <v/>
      </c>
      <c r="AC4240">
        <f>IF(Y4240=1,Q4240-F4240,"")</f>
        <v/>
      </c>
      <c r="AD4240">
        <f>IF(Y4240=1,AC4240^2,"")</f>
        <v/>
      </c>
      <c r="AE4240" s="19">
        <f>IF(Z4240=1,(H4240-M4240)*I4240,0)</f>
        <v/>
      </c>
      <c r="AF4240">
        <f>IF(G4240&lt;EDATE(Assumptions!$C$6,-12)+1,"prior_12m","last_12m")</f>
        <v/>
      </c>
      <c r="AG4240" s="21">
        <f>DATE(YEAR(G4240),MONTH(G4240),1)</f>
        <v/>
      </c>
    </row>
    <row r="4241">
      <c r="A4241" t="inlineStr">
        <is>
          <t>SPO-02265-1</t>
        </is>
      </c>
      <c r="B4241" t="inlineStr">
        <is>
          <t>SPO-02265</t>
        </is>
      </c>
      <c r="C4241" t="inlineStr">
        <is>
          <t>SUP-04</t>
        </is>
      </c>
      <c r="D4241" t="inlineStr">
        <is>
          <t>FLEET</t>
        </is>
      </c>
      <c r="E4241" t="inlineStr">
        <is>
          <t>FLEET-05</t>
        </is>
      </c>
      <c r="F4241" s="17" t="n">
        <v>46200</v>
      </c>
      <c r="G4241" s="17" t="n">
        <v>46213</v>
      </c>
      <c r="H4241" s="18" t="n">
        <v>16</v>
      </c>
      <c r="I4241" s="19" t="n">
        <v>171.59</v>
      </c>
      <c r="J4241" s="19" t="n">
        <v>168</v>
      </c>
      <c r="K4241" s="20" t="n">
        <v>0</v>
      </c>
      <c r="L4241" s="20" t="n">
        <v>0</v>
      </c>
      <c r="M4241" s="18" t="n">
        <v>16</v>
      </c>
      <c r="N4241" s="18" t="n">
        <v>0</v>
      </c>
      <c r="O4241" s="18" t="n">
        <v>0</v>
      </c>
      <c r="P4241" s="17" t="n">
        <v>46215</v>
      </c>
      <c r="Q4241" s="17" t="n">
        <v>46215</v>
      </c>
      <c r="R4241" s="17" t="n">
        <v>46215</v>
      </c>
      <c r="S4241" s="19">
        <f>H4241*I4241</f>
        <v/>
      </c>
      <c r="T4241" s="19">
        <f>H4241*J4241</f>
        <v/>
      </c>
      <c r="U4241">
        <f>IF(AND(K4241=0,G4241&lt;=Assumptions!$C$6),1,0)</f>
        <v/>
      </c>
      <c r="V4241">
        <f>IF(U4241=1,IF(M4241&gt;0,IF(P4241&lt;=G4241+Assumptions!$C$7,1,0),0),0)</f>
        <v/>
      </c>
      <c r="W4241">
        <f>IF(AND(U4241=1,M4241&gt;=H4241*(1-Assumptions!$C$8)),1,0)</f>
        <v/>
      </c>
      <c r="X4241">
        <f>IF(AND(U4241=1,N4241&gt;=H4241*(1-Assumptions!$C$8)),1,0)</f>
        <v/>
      </c>
      <c r="Y4241">
        <f>IF(ISNUMBER(Q4241),1,0)</f>
        <v/>
      </c>
      <c r="Z4241">
        <f>IF(AND(K4241=0,L4241=0,Y4241=0),1,0)</f>
        <v/>
      </c>
      <c r="AA4241">
        <f>IF(AND(Z4241=1,G4241&lt;Assumptions!$C$6),1,0)</f>
        <v/>
      </c>
      <c r="AB4241">
        <f>IF(U4241=0,"",IF(Y4241=1,MAX(0,Q4241-G4241),IF(L4241=1,MAX(0,R4241-G4241),MAX(0,Assumptions!$C$6-G4241))))</f>
        <v/>
      </c>
      <c r="AC4241">
        <f>IF(Y4241=1,Q4241-F4241,"")</f>
        <v/>
      </c>
      <c r="AD4241">
        <f>IF(Y4241=1,AC4241^2,"")</f>
        <v/>
      </c>
      <c r="AE4241" s="19">
        <f>IF(Z4241=1,(H4241-M4241)*I4241,0)</f>
        <v/>
      </c>
      <c r="AF4241">
        <f>IF(G4241&lt;EDATE(Assumptions!$C$6,-12)+1,"prior_12m","last_12m")</f>
        <v/>
      </c>
      <c r="AG4241" s="21">
        <f>DATE(YEAR(G4241),MONTH(G4241),1)</f>
        <v/>
      </c>
    </row>
    <row r="4242">
      <c r="A4242" t="inlineStr">
        <is>
          <t>SPO-02266-1</t>
        </is>
      </c>
      <c r="B4242" t="inlineStr">
        <is>
          <t>SPO-02266</t>
        </is>
      </c>
      <c r="C4242" t="inlineStr">
        <is>
          <t>SUP-14</t>
        </is>
      </c>
      <c r="D4242" t="inlineStr">
        <is>
          <t>FLEET</t>
        </is>
      </c>
      <c r="E4242" t="inlineStr">
        <is>
          <t>FLEET-02</t>
        </is>
      </c>
      <c r="F4242" s="17" t="n">
        <v>46200</v>
      </c>
      <c r="G4242" s="17" t="n">
        <v>46214</v>
      </c>
      <c r="H4242" s="18" t="n">
        <v>99</v>
      </c>
      <c r="I4242" s="19" t="n">
        <v>7.45</v>
      </c>
      <c r="J4242" s="19" t="n">
        <v>7.5</v>
      </c>
      <c r="K4242" s="20" t="n">
        <v>0</v>
      </c>
      <c r="L4242" s="20" t="n">
        <v>0</v>
      </c>
      <c r="M4242" s="18" t="n">
        <v>99</v>
      </c>
      <c r="N4242" s="18" t="n">
        <v>48</v>
      </c>
      <c r="O4242" s="18" t="n">
        <v>0</v>
      </c>
      <c r="P4242" s="17" t="n">
        <v>46206</v>
      </c>
      <c r="Q4242" s="17" t="n">
        <v>46222</v>
      </c>
      <c r="R4242" s="17" t="n">
        <v>46222</v>
      </c>
      <c r="S4242" s="19">
        <f>H4242*I4242</f>
        <v/>
      </c>
      <c r="T4242" s="19">
        <f>H4242*J4242</f>
        <v/>
      </c>
      <c r="U4242">
        <f>IF(AND(K4242=0,G4242&lt;=Assumptions!$C$6),1,0)</f>
        <v/>
      </c>
      <c r="V4242">
        <f>IF(U4242=1,IF(M4242&gt;0,IF(P4242&lt;=G4242+Assumptions!$C$7,1,0),0),0)</f>
        <v/>
      </c>
      <c r="W4242">
        <f>IF(AND(U4242=1,M4242&gt;=H4242*(1-Assumptions!$C$8)),1,0)</f>
        <v/>
      </c>
      <c r="X4242">
        <f>IF(AND(U4242=1,N4242&gt;=H4242*(1-Assumptions!$C$8)),1,0)</f>
        <v/>
      </c>
      <c r="Y4242">
        <f>IF(ISNUMBER(Q4242),1,0)</f>
        <v/>
      </c>
      <c r="Z4242">
        <f>IF(AND(K4242=0,L4242=0,Y4242=0),1,0)</f>
        <v/>
      </c>
      <c r="AA4242">
        <f>IF(AND(Z4242=1,G4242&lt;Assumptions!$C$6),1,0)</f>
        <v/>
      </c>
      <c r="AB4242">
        <f>IF(U4242=0,"",IF(Y4242=1,MAX(0,Q4242-G4242),IF(L4242=1,MAX(0,R4242-G4242),MAX(0,Assumptions!$C$6-G4242))))</f>
        <v/>
      </c>
      <c r="AC4242">
        <f>IF(Y4242=1,Q4242-F4242,"")</f>
        <v/>
      </c>
      <c r="AD4242">
        <f>IF(Y4242=1,AC4242^2,"")</f>
        <v/>
      </c>
      <c r="AE4242" s="19">
        <f>IF(Z4242=1,(H4242-M4242)*I4242,0)</f>
        <v/>
      </c>
      <c r="AF4242">
        <f>IF(G4242&lt;EDATE(Assumptions!$C$6,-12)+1,"prior_12m","last_12m")</f>
        <v/>
      </c>
      <c r="AG4242" s="21">
        <f>DATE(YEAR(G4242),MONTH(G4242),1)</f>
        <v/>
      </c>
    </row>
    <row r="4243">
      <c r="A4243" t="inlineStr">
        <is>
          <t>SPO-02267-1</t>
        </is>
      </c>
      <c r="B4243" t="inlineStr">
        <is>
          <t>SPO-02267</t>
        </is>
      </c>
      <c r="C4243" t="inlineStr">
        <is>
          <t>SUP-05</t>
        </is>
      </c>
      <c r="D4243" t="inlineStr">
        <is>
          <t>FLEET</t>
        </is>
      </c>
      <c r="E4243" t="inlineStr">
        <is>
          <t>FLEET-01</t>
        </is>
      </c>
      <c r="F4243" s="17" t="n">
        <v>46200</v>
      </c>
      <c r="G4243" s="17" t="n">
        <v>46214</v>
      </c>
      <c r="H4243" s="18" t="n">
        <v>27</v>
      </c>
      <c r="I4243" s="19" t="n">
        <v>65.23</v>
      </c>
      <c r="J4243" s="19" t="n">
        <v>64</v>
      </c>
      <c r="K4243" s="20" t="n">
        <v>0</v>
      </c>
      <c r="L4243" s="20" t="n">
        <v>0</v>
      </c>
      <c r="M4243" s="18" t="n">
        <v>27</v>
      </c>
      <c r="N4243" s="18" t="n">
        <v>27</v>
      </c>
      <c r="O4243" s="18" t="n">
        <v>0</v>
      </c>
      <c r="P4243" s="17" t="n">
        <v>46212</v>
      </c>
      <c r="Q4243" s="17" t="n">
        <v>46212</v>
      </c>
      <c r="R4243" s="17" t="n">
        <v>46212</v>
      </c>
      <c r="S4243" s="19">
        <f>H4243*I4243</f>
        <v/>
      </c>
      <c r="T4243" s="19">
        <f>H4243*J4243</f>
        <v/>
      </c>
      <c r="U4243">
        <f>IF(AND(K4243=0,G4243&lt;=Assumptions!$C$6),1,0)</f>
        <v/>
      </c>
      <c r="V4243">
        <f>IF(U4243=1,IF(M4243&gt;0,IF(P4243&lt;=G4243+Assumptions!$C$7,1,0),0),0)</f>
        <v/>
      </c>
      <c r="W4243">
        <f>IF(AND(U4243=1,M4243&gt;=H4243*(1-Assumptions!$C$8)),1,0)</f>
        <v/>
      </c>
      <c r="X4243">
        <f>IF(AND(U4243=1,N4243&gt;=H4243*(1-Assumptions!$C$8)),1,0)</f>
        <v/>
      </c>
      <c r="Y4243">
        <f>IF(ISNUMBER(Q4243),1,0)</f>
        <v/>
      </c>
      <c r="Z4243">
        <f>IF(AND(K4243=0,L4243=0,Y4243=0),1,0)</f>
        <v/>
      </c>
      <c r="AA4243">
        <f>IF(AND(Z4243=1,G4243&lt;Assumptions!$C$6),1,0)</f>
        <v/>
      </c>
      <c r="AB4243">
        <f>IF(U4243=0,"",IF(Y4243=1,MAX(0,Q4243-G4243),IF(L4243=1,MAX(0,R4243-G4243),MAX(0,Assumptions!$C$6-G4243))))</f>
        <v/>
      </c>
      <c r="AC4243">
        <f>IF(Y4243=1,Q4243-F4243,"")</f>
        <v/>
      </c>
      <c r="AD4243">
        <f>IF(Y4243=1,AC4243^2,"")</f>
        <v/>
      </c>
      <c r="AE4243" s="19">
        <f>IF(Z4243=1,(H4243-M4243)*I4243,0)</f>
        <v/>
      </c>
      <c r="AF4243">
        <f>IF(G4243&lt;EDATE(Assumptions!$C$6,-12)+1,"prior_12m","last_12m")</f>
        <v/>
      </c>
      <c r="AG4243" s="21">
        <f>DATE(YEAR(G4243),MONTH(G4243),1)</f>
        <v/>
      </c>
    </row>
    <row r="4244">
      <c r="A4244" t="inlineStr">
        <is>
          <t>SPO-02268-1</t>
        </is>
      </c>
      <c r="B4244" t="inlineStr">
        <is>
          <t>SPO-02268</t>
        </is>
      </c>
      <c r="C4244" t="inlineStr">
        <is>
          <t>SUP-12</t>
        </is>
      </c>
      <c r="D4244" t="inlineStr">
        <is>
          <t>IT</t>
        </is>
      </c>
      <c r="E4244" t="inlineStr">
        <is>
          <t>IT-05</t>
        </is>
      </c>
      <c r="F4244" s="17" t="n">
        <v>46201</v>
      </c>
      <c r="G4244" s="17" t="n">
        <v>46211</v>
      </c>
      <c r="H4244" s="18" t="n">
        <v>4</v>
      </c>
      <c r="I4244" s="19" t="n">
        <v>708.67</v>
      </c>
      <c r="J4244" s="19" t="n">
        <v>640</v>
      </c>
      <c r="K4244" s="20" t="n">
        <v>0</v>
      </c>
      <c r="L4244" s="20" t="n">
        <v>0</v>
      </c>
      <c r="M4244" s="18" t="n">
        <v>4</v>
      </c>
      <c r="N4244" s="18" t="n">
        <v>4</v>
      </c>
      <c r="O4244" s="18" t="n">
        <v>0</v>
      </c>
      <c r="P4244" s="17" t="n">
        <v>46207</v>
      </c>
      <c r="Q4244" s="17" t="n">
        <v>46207</v>
      </c>
      <c r="R4244" s="17" t="n">
        <v>46207</v>
      </c>
      <c r="S4244" s="19">
        <f>H4244*I4244</f>
        <v/>
      </c>
      <c r="T4244" s="19">
        <f>H4244*J4244</f>
        <v/>
      </c>
      <c r="U4244">
        <f>IF(AND(K4244=0,G4244&lt;=Assumptions!$C$6),1,0)</f>
        <v/>
      </c>
      <c r="V4244">
        <f>IF(U4244=1,IF(M4244&gt;0,IF(P4244&lt;=G4244+Assumptions!$C$7,1,0),0),0)</f>
        <v/>
      </c>
      <c r="W4244">
        <f>IF(AND(U4244=1,M4244&gt;=H4244*(1-Assumptions!$C$8)),1,0)</f>
        <v/>
      </c>
      <c r="X4244">
        <f>IF(AND(U4244=1,N4244&gt;=H4244*(1-Assumptions!$C$8)),1,0)</f>
        <v/>
      </c>
      <c r="Y4244">
        <f>IF(ISNUMBER(Q4244),1,0)</f>
        <v/>
      </c>
      <c r="Z4244">
        <f>IF(AND(K4244=0,L4244=0,Y4244=0),1,0)</f>
        <v/>
      </c>
      <c r="AA4244">
        <f>IF(AND(Z4244=1,G4244&lt;Assumptions!$C$6),1,0)</f>
        <v/>
      </c>
      <c r="AB4244">
        <f>IF(U4244=0,"",IF(Y4244=1,MAX(0,Q4244-G4244),IF(L4244=1,MAX(0,R4244-G4244),MAX(0,Assumptions!$C$6-G4244))))</f>
        <v/>
      </c>
      <c r="AC4244">
        <f>IF(Y4244=1,Q4244-F4244,"")</f>
        <v/>
      </c>
      <c r="AD4244">
        <f>IF(Y4244=1,AC4244^2,"")</f>
        <v/>
      </c>
      <c r="AE4244" s="19">
        <f>IF(Z4244=1,(H4244-M4244)*I4244,0)</f>
        <v/>
      </c>
      <c r="AF4244">
        <f>IF(G4244&lt;EDATE(Assumptions!$C$6,-12)+1,"prior_12m","last_12m")</f>
        <v/>
      </c>
      <c r="AG4244" s="21">
        <f>DATE(YEAR(G4244),MONTH(G4244),1)</f>
        <v/>
      </c>
    </row>
    <row r="4245">
      <c r="A4245" t="inlineStr">
        <is>
          <t>SPO-02268-2</t>
        </is>
      </c>
      <c r="B4245" t="inlineStr">
        <is>
          <t>SPO-02268</t>
        </is>
      </c>
      <c r="C4245" t="inlineStr">
        <is>
          <t>SUP-12</t>
        </is>
      </c>
      <c r="D4245" t="inlineStr">
        <is>
          <t>IT</t>
        </is>
      </c>
      <c r="E4245" t="inlineStr">
        <is>
          <t>IT-01</t>
        </is>
      </c>
      <c r="F4245" s="17" t="n">
        <v>46201</v>
      </c>
      <c r="G4245" s="17" t="n">
        <v>46211</v>
      </c>
      <c r="H4245" s="18" t="n">
        <v>17</v>
      </c>
      <c r="I4245" s="19" t="n">
        <v>228.04</v>
      </c>
      <c r="J4245" s="19" t="n">
        <v>189</v>
      </c>
      <c r="K4245" s="20" t="n">
        <v>0</v>
      </c>
      <c r="L4245" s="20" t="n">
        <v>0</v>
      </c>
      <c r="M4245" s="18" t="n">
        <v>17</v>
      </c>
      <c r="N4245" s="18" t="n">
        <v>17</v>
      </c>
      <c r="O4245" s="18" t="n">
        <v>0</v>
      </c>
      <c r="P4245" s="17" t="n">
        <v>46207</v>
      </c>
      <c r="Q4245" s="17" t="n">
        <v>46207</v>
      </c>
      <c r="R4245" s="17" t="n">
        <v>46207</v>
      </c>
      <c r="S4245" s="19">
        <f>H4245*I4245</f>
        <v/>
      </c>
      <c r="T4245" s="19">
        <f>H4245*J4245</f>
        <v/>
      </c>
      <c r="U4245">
        <f>IF(AND(K4245=0,G4245&lt;=Assumptions!$C$6),1,0)</f>
        <v/>
      </c>
      <c r="V4245">
        <f>IF(U4245=1,IF(M4245&gt;0,IF(P4245&lt;=G4245+Assumptions!$C$7,1,0),0),0)</f>
        <v/>
      </c>
      <c r="W4245">
        <f>IF(AND(U4245=1,M4245&gt;=H4245*(1-Assumptions!$C$8)),1,0)</f>
        <v/>
      </c>
      <c r="X4245">
        <f>IF(AND(U4245=1,N4245&gt;=H4245*(1-Assumptions!$C$8)),1,0)</f>
        <v/>
      </c>
      <c r="Y4245">
        <f>IF(ISNUMBER(Q4245),1,0)</f>
        <v/>
      </c>
      <c r="Z4245">
        <f>IF(AND(K4245=0,L4245=0,Y4245=0),1,0)</f>
        <v/>
      </c>
      <c r="AA4245">
        <f>IF(AND(Z4245=1,G4245&lt;Assumptions!$C$6),1,0)</f>
        <v/>
      </c>
      <c r="AB4245">
        <f>IF(U4245=0,"",IF(Y4245=1,MAX(0,Q4245-G4245),IF(L4245=1,MAX(0,R4245-G4245),MAX(0,Assumptions!$C$6-G4245))))</f>
        <v/>
      </c>
      <c r="AC4245">
        <f>IF(Y4245=1,Q4245-F4245,"")</f>
        <v/>
      </c>
      <c r="AD4245">
        <f>IF(Y4245=1,AC4245^2,"")</f>
        <v/>
      </c>
      <c r="AE4245" s="19">
        <f>IF(Z4245=1,(H4245-M4245)*I4245,0)</f>
        <v/>
      </c>
      <c r="AF4245">
        <f>IF(G4245&lt;EDATE(Assumptions!$C$6,-12)+1,"prior_12m","last_12m")</f>
        <v/>
      </c>
      <c r="AG4245" s="21">
        <f>DATE(YEAR(G4245),MONTH(G4245),1)</f>
        <v/>
      </c>
    </row>
    <row r="4246">
      <c r="A4246" t="inlineStr">
        <is>
          <t>SPO-02269-1</t>
        </is>
      </c>
      <c r="B4246" t="inlineStr">
        <is>
          <t>SPO-02269</t>
        </is>
      </c>
      <c r="C4246" t="inlineStr">
        <is>
          <t>SUP-12</t>
        </is>
      </c>
      <c r="D4246" t="inlineStr">
        <is>
          <t>IT</t>
        </is>
      </c>
      <c r="E4246" t="inlineStr">
        <is>
          <t>IT-08</t>
        </is>
      </c>
      <c r="F4246" s="17" t="n">
        <v>46201</v>
      </c>
      <c r="G4246" s="17" t="n">
        <v>46211</v>
      </c>
      <c r="H4246" s="18" t="n">
        <v>2</v>
      </c>
      <c r="I4246" s="19" t="n">
        <v>271.8</v>
      </c>
      <c r="J4246" s="19" t="n">
        <v>245</v>
      </c>
      <c r="K4246" s="20" t="n">
        <v>0</v>
      </c>
      <c r="L4246" s="20" t="n">
        <v>0</v>
      </c>
      <c r="M4246" s="18" t="n">
        <v>2</v>
      </c>
      <c r="N4246" s="18" t="n">
        <v>2</v>
      </c>
      <c r="O4246" s="18" t="n">
        <v>0</v>
      </c>
      <c r="P4246" s="17" t="n">
        <v>46209</v>
      </c>
      <c r="Q4246" s="17" t="n">
        <v>46209</v>
      </c>
      <c r="R4246" s="17" t="n">
        <v>46209</v>
      </c>
      <c r="S4246" s="19">
        <f>H4246*I4246</f>
        <v/>
      </c>
      <c r="T4246" s="19">
        <f>H4246*J4246</f>
        <v/>
      </c>
      <c r="U4246">
        <f>IF(AND(K4246=0,G4246&lt;=Assumptions!$C$6),1,0)</f>
        <v/>
      </c>
      <c r="V4246">
        <f>IF(U4246=1,IF(M4246&gt;0,IF(P4246&lt;=G4246+Assumptions!$C$7,1,0),0),0)</f>
        <v/>
      </c>
      <c r="W4246">
        <f>IF(AND(U4246=1,M4246&gt;=H4246*(1-Assumptions!$C$8)),1,0)</f>
        <v/>
      </c>
      <c r="X4246">
        <f>IF(AND(U4246=1,N4246&gt;=H4246*(1-Assumptions!$C$8)),1,0)</f>
        <v/>
      </c>
      <c r="Y4246">
        <f>IF(ISNUMBER(Q4246),1,0)</f>
        <v/>
      </c>
      <c r="Z4246">
        <f>IF(AND(K4246=0,L4246=0,Y4246=0),1,0)</f>
        <v/>
      </c>
      <c r="AA4246">
        <f>IF(AND(Z4246=1,G4246&lt;Assumptions!$C$6),1,0)</f>
        <v/>
      </c>
      <c r="AB4246">
        <f>IF(U4246=0,"",IF(Y4246=1,MAX(0,Q4246-G4246),IF(L4246=1,MAX(0,R4246-G4246),MAX(0,Assumptions!$C$6-G4246))))</f>
        <v/>
      </c>
      <c r="AC4246">
        <f>IF(Y4246=1,Q4246-F4246,"")</f>
        <v/>
      </c>
      <c r="AD4246">
        <f>IF(Y4246=1,AC4246^2,"")</f>
        <v/>
      </c>
      <c r="AE4246" s="19">
        <f>IF(Z4246=1,(H4246-M4246)*I4246,0)</f>
        <v/>
      </c>
      <c r="AF4246">
        <f>IF(G4246&lt;EDATE(Assumptions!$C$6,-12)+1,"prior_12m","last_12m")</f>
        <v/>
      </c>
      <c r="AG4246" s="21">
        <f>DATE(YEAR(G4246),MONTH(G4246),1)</f>
        <v/>
      </c>
    </row>
    <row r="4247">
      <c r="A4247" t="inlineStr">
        <is>
          <t>SPO-02269-2</t>
        </is>
      </c>
      <c r="B4247" t="inlineStr">
        <is>
          <t>SPO-02269</t>
        </is>
      </c>
      <c r="C4247" t="inlineStr">
        <is>
          <t>SUP-12</t>
        </is>
      </c>
      <c r="D4247" t="inlineStr">
        <is>
          <t>IT</t>
        </is>
      </c>
      <c r="E4247" t="inlineStr">
        <is>
          <t>IT-04</t>
        </is>
      </c>
      <c r="F4247" s="17" t="n">
        <v>46201</v>
      </c>
      <c r="G4247" s="17" t="n">
        <v>46211</v>
      </c>
      <c r="H4247" s="18" t="n">
        <v>107</v>
      </c>
      <c r="I4247" s="19" t="n">
        <v>14.23</v>
      </c>
      <c r="J4247" s="19" t="n">
        <v>12</v>
      </c>
      <c r="K4247" s="20" t="n">
        <v>0</v>
      </c>
      <c r="L4247" s="20" t="n">
        <v>0</v>
      </c>
      <c r="M4247" s="18" t="n">
        <v>107</v>
      </c>
      <c r="N4247" s="18" t="n">
        <v>107</v>
      </c>
      <c r="O4247" s="18" t="n">
        <v>0</v>
      </c>
      <c r="P4247" s="17" t="n">
        <v>46210</v>
      </c>
      <c r="Q4247" s="17" t="n">
        <v>46210</v>
      </c>
      <c r="R4247" s="17" t="n">
        <v>46210</v>
      </c>
      <c r="S4247" s="19">
        <f>H4247*I4247</f>
        <v/>
      </c>
      <c r="T4247" s="19">
        <f>H4247*J4247</f>
        <v/>
      </c>
      <c r="U4247">
        <f>IF(AND(K4247=0,G4247&lt;=Assumptions!$C$6),1,0)</f>
        <v/>
      </c>
      <c r="V4247">
        <f>IF(U4247=1,IF(M4247&gt;0,IF(P4247&lt;=G4247+Assumptions!$C$7,1,0),0),0)</f>
        <v/>
      </c>
      <c r="W4247">
        <f>IF(AND(U4247=1,M4247&gt;=H4247*(1-Assumptions!$C$8)),1,0)</f>
        <v/>
      </c>
      <c r="X4247">
        <f>IF(AND(U4247=1,N4247&gt;=H4247*(1-Assumptions!$C$8)),1,0)</f>
        <v/>
      </c>
      <c r="Y4247">
        <f>IF(ISNUMBER(Q4247),1,0)</f>
        <v/>
      </c>
      <c r="Z4247">
        <f>IF(AND(K4247=0,L4247=0,Y4247=0),1,0)</f>
        <v/>
      </c>
      <c r="AA4247">
        <f>IF(AND(Z4247=1,G4247&lt;Assumptions!$C$6),1,0)</f>
        <v/>
      </c>
      <c r="AB4247">
        <f>IF(U4247=0,"",IF(Y4247=1,MAX(0,Q4247-G4247),IF(L4247=1,MAX(0,R4247-G4247),MAX(0,Assumptions!$C$6-G4247))))</f>
        <v/>
      </c>
      <c r="AC4247">
        <f>IF(Y4247=1,Q4247-F4247,"")</f>
        <v/>
      </c>
      <c r="AD4247">
        <f>IF(Y4247=1,AC4247^2,"")</f>
        <v/>
      </c>
      <c r="AE4247" s="19">
        <f>IF(Z4247=1,(H4247-M4247)*I4247,0)</f>
        <v/>
      </c>
      <c r="AF4247">
        <f>IF(G4247&lt;EDATE(Assumptions!$C$6,-12)+1,"prior_12m","last_12m")</f>
        <v/>
      </c>
      <c r="AG4247" s="21">
        <f>DATE(YEAR(G4247),MONTH(G4247),1)</f>
        <v/>
      </c>
    </row>
    <row r="4248">
      <c r="A4248" t="inlineStr">
        <is>
          <t>SPO-02270-1</t>
        </is>
      </c>
      <c r="B4248" t="inlineStr">
        <is>
          <t>SPO-02270</t>
        </is>
      </c>
      <c r="C4248" t="inlineStr">
        <is>
          <t>SUP-01</t>
        </is>
      </c>
      <c r="D4248" t="inlineStr">
        <is>
          <t>ELEC</t>
        </is>
      </c>
      <c r="E4248" t="inlineStr">
        <is>
          <t>ELEC-04</t>
        </is>
      </c>
      <c r="F4248" s="17" t="n">
        <v>46202</v>
      </c>
      <c r="G4248" s="17" t="n">
        <v>46220</v>
      </c>
      <c r="H4248" s="18" t="n">
        <v>68</v>
      </c>
      <c r="I4248" s="19" t="n">
        <v>70.72</v>
      </c>
      <c r="J4248" s="19" t="n">
        <v>72</v>
      </c>
      <c r="K4248" s="20" t="n">
        <v>0</v>
      </c>
      <c r="L4248" s="20" t="n">
        <v>0</v>
      </c>
      <c r="M4248" s="18" t="n">
        <v>68</v>
      </c>
      <c r="N4248" s="18" t="n">
        <v>68</v>
      </c>
      <c r="O4248" s="18" t="n">
        <v>0</v>
      </c>
      <c r="P4248" s="17" t="n">
        <v>46213</v>
      </c>
      <c r="Q4248" s="17" t="n">
        <v>46213</v>
      </c>
      <c r="R4248" s="17" t="n">
        <v>46213</v>
      </c>
      <c r="S4248" s="19">
        <f>H4248*I4248</f>
        <v/>
      </c>
      <c r="T4248" s="19">
        <f>H4248*J4248</f>
        <v/>
      </c>
      <c r="U4248">
        <f>IF(AND(K4248=0,G4248&lt;=Assumptions!$C$6),1,0)</f>
        <v/>
      </c>
      <c r="V4248">
        <f>IF(U4248=1,IF(M4248&gt;0,IF(P4248&lt;=G4248+Assumptions!$C$7,1,0),0),0)</f>
        <v/>
      </c>
      <c r="W4248">
        <f>IF(AND(U4248=1,M4248&gt;=H4248*(1-Assumptions!$C$8)),1,0)</f>
        <v/>
      </c>
      <c r="X4248">
        <f>IF(AND(U4248=1,N4248&gt;=H4248*(1-Assumptions!$C$8)),1,0)</f>
        <v/>
      </c>
      <c r="Y4248">
        <f>IF(ISNUMBER(Q4248),1,0)</f>
        <v/>
      </c>
      <c r="Z4248">
        <f>IF(AND(K4248=0,L4248=0,Y4248=0),1,0)</f>
        <v/>
      </c>
      <c r="AA4248">
        <f>IF(AND(Z4248=1,G4248&lt;Assumptions!$C$6),1,0)</f>
        <v/>
      </c>
      <c r="AB4248">
        <f>IF(U4248=0,"",IF(Y4248=1,MAX(0,Q4248-G4248),IF(L4248=1,MAX(0,R4248-G4248),MAX(0,Assumptions!$C$6-G4248))))</f>
        <v/>
      </c>
      <c r="AC4248">
        <f>IF(Y4248=1,Q4248-F4248,"")</f>
        <v/>
      </c>
      <c r="AD4248">
        <f>IF(Y4248=1,AC4248^2,"")</f>
        <v/>
      </c>
      <c r="AE4248" s="19">
        <f>IF(Z4248=1,(H4248-M4248)*I4248,0)</f>
        <v/>
      </c>
      <c r="AF4248">
        <f>IF(G4248&lt;EDATE(Assumptions!$C$6,-12)+1,"prior_12m","last_12m")</f>
        <v/>
      </c>
      <c r="AG4248" s="21">
        <f>DATE(YEAR(G4248),MONTH(G4248),1)</f>
        <v/>
      </c>
    </row>
    <row r="4249">
      <c r="A4249" t="inlineStr">
        <is>
          <t>SPO-02270-2</t>
        </is>
      </c>
      <c r="B4249" t="inlineStr">
        <is>
          <t>SPO-02270</t>
        </is>
      </c>
      <c r="C4249" t="inlineStr">
        <is>
          <t>SUP-01</t>
        </is>
      </c>
      <c r="D4249" t="inlineStr">
        <is>
          <t>ELEC</t>
        </is>
      </c>
      <c r="E4249" t="inlineStr">
        <is>
          <t>ELEC-05</t>
        </is>
      </c>
      <c r="F4249" s="17" t="n">
        <v>46202</v>
      </c>
      <c r="G4249" s="17" t="n">
        <v>46220</v>
      </c>
      <c r="H4249" s="18" t="n">
        <v>215</v>
      </c>
      <c r="I4249" s="19" t="n">
        <v>11.37</v>
      </c>
      <c r="J4249" s="19" t="n">
        <v>11.5</v>
      </c>
      <c r="K4249" s="20" t="n">
        <v>0</v>
      </c>
      <c r="L4249" s="20" t="n">
        <v>0</v>
      </c>
      <c r="M4249" s="18" t="n">
        <v>215</v>
      </c>
      <c r="N4249" s="18" t="n">
        <v>0</v>
      </c>
      <c r="O4249" s="18" t="n">
        <v>0</v>
      </c>
      <c r="P4249" s="17" t="n">
        <v>46222</v>
      </c>
      <c r="Q4249" s="17" t="n">
        <v>46222</v>
      </c>
      <c r="R4249" s="17" t="n">
        <v>46222</v>
      </c>
      <c r="S4249" s="19">
        <f>H4249*I4249</f>
        <v/>
      </c>
      <c r="T4249" s="19">
        <f>H4249*J4249</f>
        <v/>
      </c>
      <c r="U4249">
        <f>IF(AND(K4249=0,G4249&lt;=Assumptions!$C$6),1,0)</f>
        <v/>
      </c>
      <c r="V4249">
        <f>IF(U4249=1,IF(M4249&gt;0,IF(P4249&lt;=G4249+Assumptions!$C$7,1,0),0),0)</f>
        <v/>
      </c>
      <c r="W4249">
        <f>IF(AND(U4249=1,M4249&gt;=H4249*(1-Assumptions!$C$8)),1,0)</f>
        <v/>
      </c>
      <c r="X4249">
        <f>IF(AND(U4249=1,N4249&gt;=H4249*(1-Assumptions!$C$8)),1,0)</f>
        <v/>
      </c>
      <c r="Y4249">
        <f>IF(ISNUMBER(Q4249),1,0)</f>
        <v/>
      </c>
      <c r="Z4249">
        <f>IF(AND(K4249=0,L4249=0,Y4249=0),1,0)</f>
        <v/>
      </c>
      <c r="AA4249">
        <f>IF(AND(Z4249=1,G4249&lt;Assumptions!$C$6),1,0)</f>
        <v/>
      </c>
      <c r="AB4249">
        <f>IF(U4249=0,"",IF(Y4249=1,MAX(0,Q4249-G4249),IF(L4249=1,MAX(0,R4249-G4249),MAX(0,Assumptions!$C$6-G4249))))</f>
        <v/>
      </c>
      <c r="AC4249">
        <f>IF(Y4249=1,Q4249-F4249,"")</f>
        <v/>
      </c>
      <c r="AD4249">
        <f>IF(Y4249=1,AC4249^2,"")</f>
        <v/>
      </c>
      <c r="AE4249" s="19">
        <f>IF(Z4249=1,(H4249-M4249)*I4249,0)</f>
        <v/>
      </c>
      <c r="AF4249">
        <f>IF(G4249&lt;EDATE(Assumptions!$C$6,-12)+1,"prior_12m","last_12m")</f>
        <v/>
      </c>
      <c r="AG4249" s="21">
        <f>DATE(YEAR(G4249),MONTH(G4249),1)</f>
        <v/>
      </c>
    </row>
    <row r="4250">
      <c r="A4250" t="inlineStr">
        <is>
          <t>SPO-02271-1</t>
        </is>
      </c>
      <c r="B4250" t="inlineStr">
        <is>
          <t>SPO-02271</t>
        </is>
      </c>
      <c r="C4250" t="inlineStr">
        <is>
          <t>SUP-06</t>
        </is>
      </c>
      <c r="D4250" t="inlineStr">
        <is>
          <t>MRO</t>
        </is>
      </c>
      <c r="E4250" t="inlineStr">
        <is>
          <t>MRO-02</t>
        </is>
      </c>
      <c r="F4250" s="17" t="n">
        <v>46202</v>
      </c>
      <c r="G4250" s="17" t="n">
        <v>46210</v>
      </c>
      <c r="H4250" s="18" t="n">
        <v>36</v>
      </c>
      <c r="I4250" s="19" t="n">
        <v>38.92</v>
      </c>
      <c r="J4250" s="19" t="n">
        <v>41</v>
      </c>
      <c r="K4250" s="20" t="n">
        <v>0</v>
      </c>
      <c r="L4250" s="20" t="n">
        <v>0</v>
      </c>
      <c r="M4250" s="18" t="n">
        <v>36</v>
      </c>
      <c r="N4250" s="18" t="n">
        <v>36</v>
      </c>
      <c r="O4250" s="18" t="n">
        <v>0</v>
      </c>
      <c r="P4250" s="17" t="n">
        <v>46207</v>
      </c>
      <c r="Q4250" s="17" t="n">
        <v>46207</v>
      </c>
      <c r="R4250" s="17" t="n">
        <v>46207</v>
      </c>
      <c r="S4250" s="19">
        <f>H4250*I4250</f>
        <v/>
      </c>
      <c r="T4250" s="19">
        <f>H4250*J4250</f>
        <v/>
      </c>
      <c r="U4250">
        <f>IF(AND(K4250=0,G4250&lt;=Assumptions!$C$6),1,0)</f>
        <v/>
      </c>
      <c r="V4250">
        <f>IF(U4250=1,IF(M4250&gt;0,IF(P4250&lt;=G4250+Assumptions!$C$7,1,0),0),0)</f>
        <v/>
      </c>
      <c r="W4250">
        <f>IF(AND(U4250=1,M4250&gt;=H4250*(1-Assumptions!$C$8)),1,0)</f>
        <v/>
      </c>
      <c r="X4250">
        <f>IF(AND(U4250=1,N4250&gt;=H4250*(1-Assumptions!$C$8)),1,0)</f>
        <v/>
      </c>
      <c r="Y4250">
        <f>IF(ISNUMBER(Q4250),1,0)</f>
        <v/>
      </c>
      <c r="Z4250">
        <f>IF(AND(K4250=0,L4250=0,Y4250=0),1,0)</f>
        <v/>
      </c>
      <c r="AA4250">
        <f>IF(AND(Z4250=1,G4250&lt;Assumptions!$C$6),1,0)</f>
        <v/>
      </c>
      <c r="AB4250">
        <f>IF(U4250=0,"",IF(Y4250=1,MAX(0,Q4250-G4250),IF(L4250=1,MAX(0,R4250-G4250),MAX(0,Assumptions!$C$6-G4250))))</f>
        <v/>
      </c>
      <c r="AC4250">
        <f>IF(Y4250=1,Q4250-F4250,"")</f>
        <v/>
      </c>
      <c r="AD4250">
        <f>IF(Y4250=1,AC4250^2,"")</f>
        <v/>
      </c>
      <c r="AE4250" s="19">
        <f>IF(Z4250=1,(H4250-M4250)*I4250,0)</f>
        <v/>
      </c>
      <c r="AF4250">
        <f>IF(G4250&lt;EDATE(Assumptions!$C$6,-12)+1,"prior_12m","last_12m")</f>
        <v/>
      </c>
      <c r="AG4250" s="21">
        <f>DATE(YEAR(G4250),MONTH(G4250),1)</f>
        <v/>
      </c>
    </row>
    <row r="4251">
      <c r="A4251" t="inlineStr">
        <is>
          <t>SPO-02271-2</t>
        </is>
      </c>
      <c r="B4251" t="inlineStr">
        <is>
          <t>SPO-02271</t>
        </is>
      </c>
      <c r="C4251" t="inlineStr">
        <is>
          <t>SUP-06</t>
        </is>
      </c>
      <c r="D4251" t="inlineStr">
        <is>
          <t>MRO</t>
        </is>
      </c>
      <c r="E4251" t="inlineStr">
        <is>
          <t>MRO-03</t>
        </is>
      </c>
      <c r="F4251" s="17" t="n">
        <v>46202</v>
      </c>
      <c r="G4251" s="17" t="n">
        <v>46210</v>
      </c>
      <c r="H4251" s="18" t="n">
        <v>100</v>
      </c>
      <c r="I4251" s="19" t="n">
        <v>8.5</v>
      </c>
      <c r="J4251" s="19" t="n">
        <v>8.9</v>
      </c>
      <c r="K4251" s="20" t="n">
        <v>0</v>
      </c>
      <c r="L4251" s="20" t="n">
        <v>0</v>
      </c>
      <c r="M4251" s="18" t="n">
        <v>100</v>
      </c>
      <c r="N4251" s="18" t="n">
        <v>100</v>
      </c>
      <c r="O4251" s="18" t="n">
        <v>0</v>
      </c>
      <c r="P4251" s="17" t="n">
        <v>46207</v>
      </c>
      <c r="Q4251" s="17" t="n">
        <v>46207</v>
      </c>
      <c r="R4251" s="17" t="n">
        <v>46207</v>
      </c>
      <c r="S4251" s="19">
        <f>H4251*I4251</f>
        <v/>
      </c>
      <c r="T4251" s="19">
        <f>H4251*J4251</f>
        <v/>
      </c>
      <c r="U4251">
        <f>IF(AND(K4251=0,G4251&lt;=Assumptions!$C$6),1,0)</f>
        <v/>
      </c>
      <c r="V4251">
        <f>IF(U4251=1,IF(M4251&gt;0,IF(P4251&lt;=G4251+Assumptions!$C$7,1,0),0),0)</f>
        <v/>
      </c>
      <c r="W4251">
        <f>IF(AND(U4251=1,M4251&gt;=H4251*(1-Assumptions!$C$8)),1,0)</f>
        <v/>
      </c>
      <c r="X4251">
        <f>IF(AND(U4251=1,N4251&gt;=H4251*(1-Assumptions!$C$8)),1,0)</f>
        <v/>
      </c>
      <c r="Y4251">
        <f>IF(ISNUMBER(Q4251),1,0)</f>
        <v/>
      </c>
      <c r="Z4251">
        <f>IF(AND(K4251=0,L4251=0,Y4251=0),1,0)</f>
        <v/>
      </c>
      <c r="AA4251">
        <f>IF(AND(Z4251=1,G4251&lt;Assumptions!$C$6),1,0)</f>
        <v/>
      </c>
      <c r="AB4251">
        <f>IF(U4251=0,"",IF(Y4251=1,MAX(0,Q4251-G4251),IF(L4251=1,MAX(0,R4251-G4251),MAX(0,Assumptions!$C$6-G4251))))</f>
        <v/>
      </c>
      <c r="AC4251">
        <f>IF(Y4251=1,Q4251-F4251,"")</f>
        <v/>
      </c>
      <c r="AD4251">
        <f>IF(Y4251=1,AC4251^2,"")</f>
        <v/>
      </c>
      <c r="AE4251" s="19">
        <f>IF(Z4251=1,(H4251-M4251)*I4251,0)</f>
        <v/>
      </c>
      <c r="AF4251">
        <f>IF(G4251&lt;EDATE(Assumptions!$C$6,-12)+1,"prior_12m","last_12m")</f>
        <v/>
      </c>
      <c r="AG4251" s="21">
        <f>DATE(YEAR(G4251),MONTH(G4251),1)</f>
        <v/>
      </c>
    </row>
    <row r="4252">
      <c r="A4252" t="inlineStr">
        <is>
          <t>SPO-02272-1</t>
        </is>
      </c>
      <c r="B4252" t="inlineStr">
        <is>
          <t>SPO-02272</t>
        </is>
      </c>
      <c r="C4252" t="inlineStr">
        <is>
          <t>SUP-04</t>
        </is>
      </c>
      <c r="D4252" t="inlineStr">
        <is>
          <t>FLEET</t>
        </is>
      </c>
      <c r="E4252" t="inlineStr">
        <is>
          <t>FLEET-08</t>
        </is>
      </c>
      <c r="F4252" s="17" t="n">
        <v>46202</v>
      </c>
      <c r="G4252" s="17" t="n">
        <v>46215</v>
      </c>
      <c r="H4252" s="18" t="n">
        <v>140</v>
      </c>
      <c r="I4252" s="19" t="n">
        <v>6.36</v>
      </c>
      <c r="J4252" s="19" t="n">
        <v>6.4</v>
      </c>
      <c r="K4252" s="20" t="n">
        <v>0</v>
      </c>
      <c r="L4252" s="20" t="n">
        <v>0</v>
      </c>
      <c r="M4252" s="18" t="n">
        <v>140</v>
      </c>
      <c r="N4252" s="18" t="n">
        <v>0</v>
      </c>
      <c r="O4252" s="18" t="n">
        <v>0</v>
      </c>
      <c r="P4252" s="17" t="n">
        <v>46236</v>
      </c>
      <c r="Q4252" s="17" t="n">
        <v>46236</v>
      </c>
      <c r="R4252" s="17" t="n">
        <v>46236</v>
      </c>
      <c r="S4252" s="19">
        <f>H4252*I4252</f>
        <v/>
      </c>
      <c r="T4252" s="19">
        <f>H4252*J4252</f>
        <v/>
      </c>
      <c r="U4252">
        <f>IF(AND(K4252=0,G4252&lt;=Assumptions!$C$6),1,0)</f>
        <v/>
      </c>
      <c r="V4252">
        <f>IF(U4252=1,IF(M4252&gt;0,IF(P4252&lt;=G4252+Assumptions!$C$7,1,0),0),0)</f>
        <v/>
      </c>
      <c r="W4252">
        <f>IF(AND(U4252=1,M4252&gt;=H4252*(1-Assumptions!$C$8)),1,0)</f>
        <v/>
      </c>
      <c r="X4252">
        <f>IF(AND(U4252=1,N4252&gt;=H4252*(1-Assumptions!$C$8)),1,0)</f>
        <v/>
      </c>
      <c r="Y4252">
        <f>IF(ISNUMBER(Q4252),1,0)</f>
        <v/>
      </c>
      <c r="Z4252">
        <f>IF(AND(K4252=0,L4252=0,Y4252=0),1,0)</f>
        <v/>
      </c>
      <c r="AA4252">
        <f>IF(AND(Z4252=1,G4252&lt;Assumptions!$C$6),1,0)</f>
        <v/>
      </c>
      <c r="AB4252">
        <f>IF(U4252=0,"",IF(Y4252=1,MAX(0,Q4252-G4252),IF(L4252=1,MAX(0,R4252-G4252),MAX(0,Assumptions!$C$6-G4252))))</f>
        <v/>
      </c>
      <c r="AC4252">
        <f>IF(Y4252=1,Q4252-F4252,"")</f>
        <v/>
      </c>
      <c r="AD4252">
        <f>IF(Y4252=1,AC4252^2,"")</f>
        <v/>
      </c>
      <c r="AE4252" s="19">
        <f>IF(Z4252=1,(H4252-M4252)*I4252,0)</f>
        <v/>
      </c>
      <c r="AF4252">
        <f>IF(G4252&lt;EDATE(Assumptions!$C$6,-12)+1,"prior_12m","last_12m")</f>
        <v/>
      </c>
      <c r="AG4252" s="21">
        <f>DATE(YEAR(G4252),MONTH(G4252),1)</f>
        <v/>
      </c>
    </row>
    <row r="4253">
      <c r="A4253" t="inlineStr">
        <is>
          <t>SPO-02273-1</t>
        </is>
      </c>
      <c r="B4253" t="inlineStr">
        <is>
          <t>SPO-02273</t>
        </is>
      </c>
      <c r="C4253" t="inlineStr">
        <is>
          <t>SUP-08</t>
        </is>
      </c>
      <c r="D4253" t="inlineStr">
        <is>
          <t>MRO</t>
        </is>
      </c>
      <c r="E4253" t="inlineStr">
        <is>
          <t>MRO-04</t>
        </is>
      </c>
      <c r="F4253" s="17" t="n">
        <v>46203</v>
      </c>
      <c r="G4253" s="17" t="n">
        <v>46214</v>
      </c>
      <c r="H4253" s="18" t="n">
        <v>15</v>
      </c>
      <c r="I4253" s="19" t="n">
        <v>59.25</v>
      </c>
      <c r="J4253" s="19" t="n">
        <v>58</v>
      </c>
      <c r="K4253" s="20" t="n">
        <v>0</v>
      </c>
      <c r="L4253" s="20" t="n">
        <v>0</v>
      </c>
      <c r="M4253" s="18" t="n">
        <v>15</v>
      </c>
      <c r="N4253" s="18" t="n">
        <v>15</v>
      </c>
      <c r="O4253" s="18" t="n">
        <v>0</v>
      </c>
      <c r="P4253" s="17" t="n">
        <v>46209</v>
      </c>
      <c r="Q4253" s="17" t="n">
        <v>46209</v>
      </c>
      <c r="R4253" s="17" t="n">
        <v>46209</v>
      </c>
      <c r="S4253" s="19">
        <f>H4253*I4253</f>
        <v/>
      </c>
      <c r="T4253" s="19">
        <f>H4253*J4253</f>
        <v/>
      </c>
      <c r="U4253">
        <f>IF(AND(K4253=0,G4253&lt;=Assumptions!$C$6),1,0)</f>
        <v/>
      </c>
      <c r="V4253">
        <f>IF(U4253=1,IF(M4253&gt;0,IF(P4253&lt;=G4253+Assumptions!$C$7,1,0),0),0)</f>
        <v/>
      </c>
      <c r="W4253">
        <f>IF(AND(U4253=1,M4253&gt;=H4253*(1-Assumptions!$C$8)),1,0)</f>
        <v/>
      </c>
      <c r="X4253">
        <f>IF(AND(U4253=1,N4253&gt;=H4253*(1-Assumptions!$C$8)),1,0)</f>
        <v/>
      </c>
      <c r="Y4253">
        <f>IF(ISNUMBER(Q4253),1,0)</f>
        <v/>
      </c>
      <c r="Z4253">
        <f>IF(AND(K4253=0,L4253=0,Y4253=0),1,0)</f>
        <v/>
      </c>
      <c r="AA4253">
        <f>IF(AND(Z4253=1,G4253&lt;Assumptions!$C$6),1,0)</f>
        <v/>
      </c>
      <c r="AB4253">
        <f>IF(U4253=0,"",IF(Y4253=1,MAX(0,Q4253-G4253),IF(L4253=1,MAX(0,R4253-G4253),MAX(0,Assumptions!$C$6-G4253))))</f>
        <v/>
      </c>
      <c r="AC4253">
        <f>IF(Y4253=1,Q4253-F4253,"")</f>
        <v/>
      </c>
      <c r="AD4253">
        <f>IF(Y4253=1,AC4253^2,"")</f>
        <v/>
      </c>
      <c r="AE4253" s="19">
        <f>IF(Z4253=1,(H4253-M4253)*I4253,0)</f>
        <v/>
      </c>
      <c r="AF4253">
        <f>IF(G4253&lt;EDATE(Assumptions!$C$6,-12)+1,"prior_12m","last_12m")</f>
        <v/>
      </c>
      <c r="AG4253" s="21">
        <f>DATE(YEAR(G4253),MONTH(G4253),1)</f>
        <v/>
      </c>
    </row>
    <row r="4254">
      <c r="A4254" t="inlineStr">
        <is>
          <t>SPO-02274-1</t>
        </is>
      </c>
      <c r="B4254" t="inlineStr">
        <is>
          <t>SPO-02274</t>
        </is>
      </c>
      <c r="C4254" t="inlineStr">
        <is>
          <t>SUP-08</t>
        </is>
      </c>
      <c r="D4254" t="inlineStr">
        <is>
          <t>MRO</t>
        </is>
      </c>
      <c r="E4254" t="inlineStr">
        <is>
          <t>MRO-08</t>
        </is>
      </c>
      <c r="F4254" s="17" t="n">
        <v>46203</v>
      </c>
      <c r="G4254" s="17" t="n">
        <v>46214</v>
      </c>
      <c r="H4254" s="18" t="n">
        <v>231</v>
      </c>
      <c r="I4254" s="19" t="n">
        <v>7.2</v>
      </c>
      <c r="J4254" s="19" t="n">
        <v>7.2</v>
      </c>
      <c r="K4254" s="20" t="n">
        <v>0</v>
      </c>
      <c r="L4254" s="20" t="n">
        <v>0</v>
      </c>
      <c r="M4254" s="18" t="n">
        <v>231</v>
      </c>
      <c r="N4254" s="18" t="n">
        <v>231</v>
      </c>
      <c r="O4254" s="18" t="n">
        <v>0</v>
      </c>
      <c r="P4254" s="17" t="n">
        <v>46211</v>
      </c>
      <c r="Q4254" s="17" t="n">
        <v>46211</v>
      </c>
      <c r="R4254" s="17" t="n">
        <v>46211</v>
      </c>
      <c r="S4254" s="19">
        <f>H4254*I4254</f>
        <v/>
      </c>
      <c r="T4254" s="19">
        <f>H4254*J4254</f>
        <v/>
      </c>
      <c r="U4254">
        <f>IF(AND(K4254=0,G4254&lt;=Assumptions!$C$6),1,0)</f>
        <v/>
      </c>
      <c r="V4254">
        <f>IF(U4254=1,IF(M4254&gt;0,IF(P4254&lt;=G4254+Assumptions!$C$7,1,0),0),0)</f>
        <v/>
      </c>
      <c r="W4254">
        <f>IF(AND(U4254=1,M4254&gt;=H4254*(1-Assumptions!$C$8)),1,0)</f>
        <v/>
      </c>
      <c r="X4254">
        <f>IF(AND(U4254=1,N4254&gt;=H4254*(1-Assumptions!$C$8)),1,0)</f>
        <v/>
      </c>
      <c r="Y4254">
        <f>IF(ISNUMBER(Q4254),1,0)</f>
        <v/>
      </c>
      <c r="Z4254">
        <f>IF(AND(K4254=0,L4254=0,Y4254=0),1,0)</f>
        <v/>
      </c>
      <c r="AA4254">
        <f>IF(AND(Z4254=1,G4254&lt;Assumptions!$C$6),1,0)</f>
        <v/>
      </c>
      <c r="AB4254">
        <f>IF(U4254=0,"",IF(Y4254=1,MAX(0,Q4254-G4254),IF(L4254=1,MAX(0,R4254-G4254),MAX(0,Assumptions!$C$6-G4254))))</f>
        <v/>
      </c>
      <c r="AC4254">
        <f>IF(Y4254=1,Q4254-F4254,"")</f>
        <v/>
      </c>
      <c r="AD4254">
        <f>IF(Y4254=1,AC4254^2,"")</f>
        <v/>
      </c>
      <c r="AE4254" s="19">
        <f>IF(Z4254=1,(H4254-M4254)*I4254,0)</f>
        <v/>
      </c>
      <c r="AF4254">
        <f>IF(G4254&lt;EDATE(Assumptions!$C$6,-12)+1,"prior_12m","last_12m")</f>
        <v/>
      </c>
      <c r="AG4254" s="21">
        <f>DATE(YEAR(G4254),MONTH(G4254),1)</f>
        <v/>
      </c>
    </row>
    <row r="4255">
      <c r="A4255" t="inlineStr">
        <is>
          <t>SPO-02274-2</t>
        </is>
      </c>
      <c r="B4255" t="inlineStr">
        <is>
          <t>SPO-02274</t>
        </is>
      </c>
      <c r="C4255" t="inlineStr">
        <is>
          <t>SUP-08</t>
        </is>
      </c>
      <c r="D4255" t="inlineStr">
        <is>
          <t>MRO</t>
        </is>
      </c>
      <c r="E4255" t="inlineStr">
        <is>
          <t>MRO-03</t>
        </is>
      </c>
      <c r="F4255" s="17" t="n">
        <v>46203</v>
      </c>
      <c r="G4255" s="17" t="n">
        <v>46214</v>
      </c>
      <c r="H4255" s="18" t="n">
        <v>83</v>
      </c>
      <c r="I4255" s="19" t="n">
        <v>9.359999999999999</v>
      </c>
      <c r="J4255" s="19" t="n">
        <v>8.9</v>
      </c>
      <c r="K4255" s="20" t="n">
        <v>0</v>
      </c>
      <c r="L4255" s="20" t="n">
        <v>0</v>
      </c>
      <c r="M4255" s="18" t="n">
        <v>83</v>
      </c>
      <c r="N4255" s="18" t="n">
        <v>83</v>
      </c>
      <c r="O4255" s="18" t="n">
        <v>0</v>
      </c>
      <c r="P4255" s="17" t="n">
        <v>46211</v>
      </c>
      <c r="Q4255" s="17" t="n">
        <v>46211</v>
      </c>
      <c r="R4255" s="17" t="n">
        <v>46211</v>
      </c>
      <c r="S4255" s="19">
        <f>H4255*I4255</f>
        <v/>
      </c>
      <c r="T4255" s="19">
        <f>H4255*J4255</f>
        <v/>
      </c>
      <c r="U4255">
        <f>IF(AND(K4255=0,G4255&lt;=Assumptions!$C$6),1,0)</f>
        <v/>
      </c>
      <c r="V4255">
        <f>IF(U4255=1,IF(M4255&gt;0,IF(P4255&lt;=G4255+Assumptions!$C$7,1,0),0),0)</f>
        <v/>
      </c>
      <c r="W4255">
        <f>IF(AND(U4255=1,M4255&gt;=H4255*(1-Assumptions!$C$8)),1,0)</f>
        <v/>
      </c>
      <c r="X4255">
        <f>IF(AND(U4255=1,N4255&gt;=H4255*(1-Assumptions!$C$8)),1,0)</f>
        <v/>
      </c>
      <c r="Y4255">
        <f>IF(ISNUMBER(Q4255),1,0)</f>
        <v/>
      </c>
      <c r="Z4255">
        <f>IF(AND(K4255=0,L4255=0,Y4255=0),1,0)</f>
        <v/>
      </c>
      <c r="AA4255">
        <f>IF(AND(Z4255=1,G4255&lt;Assumptions!$C$6),1,0)</f>
        <v/>
      </c>
      <c r="AB4255">
        <f>IF(U4255=0,"",IF(Y4255=1,MAX(0,Q4255-G4255),IF(L4255=1,MAX(0,R4255-G4255),MAX(0,Assumptions!$C$6-G4255))))</f>
        <v/>
      </c>
      <c r="AC4255">
        <f>IF(Y4255=1,Q4255-F4255,"")</f>
        <v/>
      </c>
      <c r="AD4255">
        <f>IF(Y4255=1,AC4255^2,"")</f>
        <v/>
      </c>
      <c r="AE4255" s="19">
        <f>IF(Z4255=1,(H4255-M4255)*I4255,0)</f>
        <v/>
      </c>
      <c r="AF4255">
        <f>IF(G4255&lt;EDATE(Assumptions!$C$6,-12)+1,"prior_12m","last_12m")</f>
        <v/>
      </c>
      <c r="AG4255" s="21">
        <f>DATE(YEAR(G4255),MONTH(G4255),1)</f>
        <v/>
      </c>
    </row>
    <row r="4256">
      <c r="A4256" t="inlineStr">
        <is>
          <t>SPO-02275-1</t>
        </is>
      </c>
      <c r="B4256" t="inlineStr">
        <is>
          <t>SPO-02275</t>
        </is>
      </c>
      <c r="C4256" t="inlineStr">
        <is>
          <t>SUP-02</t>
        </is>
      </c>
      <c r="D4256" t="inlineStr">
        <is>
          <t>ELEC</t>
        </is>
      </c>
      <c r="E4256" t="inlineStr">
        <is>
          <t>ELEC-03</t>
        </is>
      </c>
      <c r="F4256" s="17" t="n">
        <v>46203</v>
      </c>
      <c r="G4256" s="17" t="n">
        <v>46219</v>
      </c>
      <c r="H4256" s="18" t="n">
        <v>19</v>
      </c>
      <c r="I4256" s="19" t="n">
        <v>97.38</v>
      </c>
      <c r="J4256" s="19" t="n">
        <v>96</v>
      </c>
      <c r="K4256" s="20" t="n">
        <v>0</v>
      </c>
      <c r="L4256" s="20" t="n">
        <v>0</v>
      </c>
      <c r="M4256" s="18" t="n">
        <v>19</v>
      </c>
      <c r="N4256" s="18" t="n">
        <v>19</v>
      </c>
      <c r="O4256" s="18" t="n">
        <v>0</v>
      </c>
      <c r="P4256" s="17" t="n">
        <v>46216</v>
      </c>
      <c r="Q4256" s="17" t="n">
        <v>46216</v>
      </c>
      <c r="R4256" s="17" t="n">
        <v>46216</v>
      </c>
      <c r="S4256" s="19">
        <f>H4256*I4256</f>
        <v/>
      </c>
      <c r="T4256" s="19">
        <f>H4256*J4256</f>
        <v/>
      </c>
      <c r="U4256">
        <f>IF(AND(K4256=0,G4256&lt;=Assumptions!$C$6),1,0)</f>
        <v/>
      </c>
      <c r="V4256">
        <f>IF(U4256=1,IF(M4256&gt;0,IF(P4256&lt;=G4256+Assumptions!$C$7,1,0),0),0)</f>
        <v/>
      </c>
      <c r="W4256">
        <f>IF(AND(U4256=1,M4256&gt;=H4256*(1-Assumptions!$C$8)),1,0)</f>
        <v/>
      </c>
      <c r="X4256">
        <f>IF(AND(U4256=1,N4256&gt;=H4256*(1-Assumptions!$C$8)),1,0)</f>
        <v/>
      </c>
      <c r="Y4256">
        <f>IF(ISNUMBER(Q4256),1,0)</f>
        <v/>
      </c>
      <c r="Z4256">
        <f>IF(AND(K4256=0,L4256=0,Y4256=0),1,0)</f>
        <v/>
      </c>
      <c r="AA4256">
        <f>IF(AND(Z4256=1,G4256&lt;Assumptions!$C$6),1,0)</f>
        <v/>
      </c>
      <c r="AB4256">
        <f>IF(U4256=0,"",IF(Y4256=1,MAX(0,Q4256-G4256),IF(L4256=1,MAX(0,R4256-G4256),MAX(0,Assumptions!$C$6-G4256))))</f>
        <v/>
      </c>
      <c r="AC4256">
        <f>IF(Y4256=1,Q4256-F4256,"")</f>
        <v/>
      </c>
      <c r="AD4256">
        <f>IF(Y4256=1,AC4256^2,"")</f>
        <v/>
      </c>
      <c r="AE4256" s="19">
        <f>IF(Z4256=1,(H4256-M4256)*I4256,0)</f>
        <v/>
      </c>
      <c r="AF4256">
        <f>IF(G4256&lt;EDATE(Assumptions!$C$6,-12)+1,"prior_12m","last_12m")</f>
        <v/>
      </c>
      <c r="AG4256" s="21">
        <f>DATE(YEAR(G4256),MONTH(G4256),1)</f>
        <v/>
      </c>
    </row>
    <row r="4257">
      <c r="A4257" t="inlineStr">
        <is>
          <t>SPO-02276-1</t>
        </is>
      </c>
      <c r="B4257" t="inlineStr">
        <is>
          <t>SPO-02276</t>
        </is>
      </c>
      <c r="C4257" t="inlineStr">
        <is>
          <t>SUP-08</t>
        </is>
      </c>
      <c r="D4257" t="inlineStr">
        <is>
          <t>MRO</t>
        </is>
      </c>
      <c r="E4257" t="inlineStr">
        <is>
          <t>MRO-06</t>
        </is>
      </c>
      <c r="F4257" s="17" t="n">
        <v>46203</v>
      </c>
      <c r="G4257" s="17" t="n">
        <v>46214</v>
      </c>
      <c r="H4257" s="18" t="n">
        <v>220</v>
      </c>
      <c r="I4257" s="19" t="n">
        <v>6.15</v>
      </c>
      <c r="J4257" s="19" t="n">
        <v>6.1</v>
      </c>
      <c r="K4257" s="20" t="n">
        <v>0</v>
      </c>
      <c r="L4257" s="20" t="n">
        <v>0</v>
      </c>
      <c r="M4257" s="18" t="n">
        <v>220</v>
      </c>
      <c r="N4257" s="18" t="n">
        <v>220</v>
      </c>
      <c r="O4257" s="18" t="n">
        <v>0</v>
      </c>
      <c r="P4257" s="17" t="n">
        <v>46211</v>
      </c>
      <c r="Q4257" s="17" t="n">
        <v>46211</v>
      </c>
      <c r="R4257" s="17" t="n">
        <v>46211</v>
      </c>
      <c r="S4257" s="19">
        <f>H4257*I4257</f>
        <v/>
      </c>
      <c r="T4257" s="19">
        <f>H4257*J4257</f>
        <v/>
      </c>
      <c r="U4257">
        <f>IF(AND(K4257=0,G4257&lt;=Assumptions!$C$6),1,0)</f>
        <v/>
      </c>
      <c r="V4257">
        <f>IF(U4257=1,IF(M4257&gt;0,IF(P4257&lt;=G4257+Assumptions!$C$7,1,0),0),0)</f>
        <v/>
      </c>
      <c r="W4257">
        <f>IF(AND(U4257=1,M4257&gt;=H4257*(1-Assumptions!$C$8)),1,0)</f>
        <v/>
      </c>
      <c r="X4257">
        <f>IF(AND(U4257=1,N4257&gt;=H4257*(1-Assumptions!$C$8)),1,0)</f>
        <v/>
      </c>
      <c r="Y4257">
        <f>IF(ISNUMBER(Q4257),1,0)</f>
        <v/>
      </c>
      <c r="Z4257">
        <f>IF(AND(K4257=0,L4257=0,Y4257=0),1,0)</f>
        <v/>
      </c>
      <c r="AA4257">
        <f>IF(AND(Z4257=1,G4257&lt;Assumptions!$C$6),1,0)</f>
        <v/>
      </c>
      <c r="AB4257">
        <f>IF(U4257=0,"",IF(Y4257=1,MAX(0,Q4257-G4257),IF(L4257=1,MAX(0,R4257-G4257),MAX(0,Assumptions!$C$6-G4257))))</f>
        <v/>
      </c>
      <c r="AC4257">
        <f>IF(Y4257=1,Q4257-F4257,"")</f>
        <v/>
      </c>
      <c r="AD4257">
        <f>IF(Y4257=1,AC4257^2,"")</f>
        <v/>
      </c>
      <c r="AE4257" s="19">
        <f>IF(Z4257=1,(H4257-M4257)*I4257,0)</f>
        <v/>
      </c>
      <c r="AF4257">
        <f>IF(G4257&lt;EDATE(Assumptions!$C$6,-12)+1,"prior_12m","last_12m")</f>
        <v/>
      </c>
      <c r="AG4257" s="21">
        <f>DATE(YEAR(G4257),MONTH(G4257),1)</f>
        <v/>
      </c>
    </row>
    <row r="4258">
      <c r="A4258" t="inlineStr">
        <is>
          <t>SPO-02276-2</t>
        </is>
      </c>
      <c r="B4258" t="inlineStr">
        <is>
          <t>SPO-02276</t>
        </is>
      </c>
      <c r="C4258" t="inlineStr">
        <is>
          <t>SUP-08</t>
        </is>
      </c>
      <c r="D4258" t="inlineStr">
        <is>
          <t>MRO</t>
        </is>
      </c>
      <c r="E4258" t="inlineStr">
        <is>
          <t>MRO-05</t>
        </is>
      </c>
      <c r="F4258" s="17" t="n">
        <v>46203</v>
      </c>
      <c r="G4258" s="17" t="n">
        <v>46214</v>
      </c>
      <c r="H4258" s="18" t="n">
        <v>26</v>
      </c>
      <c r="I4258" s="19" t="n">
        <v>35.46</v>
      </c>
      <c r="J4258" s="19" t="n">
        <v>36</v>
      </c>
      <c r="K4258" s="20" t="n">
        <v>0</v>
      </c>
      <c r="L4258" s="20" t="n">
        <v>0</v>
      </c>
      <c r="M4258" s="18" t="n">
        <v>26</v>
      </c>
      <c r="N4258" s="18" t="n">
        <v>26</v>
      </c>
      <c r="O4258" s="18" t="n">
        <v>0</v>
      </c>
      <c r="P4258" s="17" t="n">
        <v>46213</v>
      </c>
      <c r="Q4258" s="17" t="n">
        <v>46213</v>
      </c>
      <c r="R4258" s="17" t="n">
        <v>46213</v>
      </c>
      <c r="S4258" s="19">
        <f>H4258*I4258</f>
        <v/>
      </c>
      <c r="T4258" s="19">
        <f>H4258*J4258</f>
        <v/>
      </c>
      <c r="U4258">
        <f>IF(AND(K4258=0,G4258&lt;=Assumptions!$C$6),1,0)</f>
        <v/>
      </c>
      <c r="V4258">
        <f>IF(U4258=1,IF(M4258&gt;0,IF(P4258&lt;=G4258+Assumptions!$C$7,1,0),0),0)</f>
        <v/>
      </c>
      <c r="W4258">
        <f>IF(AND(U4258=1,M4258&gt;=H4258*(1-Assumptions!$C$8)),1,0)</f>
        <v/>
      </c>
      <c r="X4258">
        <f>IF(AND(U4258=1,N4258&gt;=H4258*(1-Assumptions!$C$8)),1,0)</f>
        <v/>
      </c>
      <c r="Y4258">
        <f>IF(ISNUMBER(Q4258),1,0)</f>
        <v/>
      </c>
      <c r="Z4258">
        <f>IF(AND(K4258=0,L4258=0,Y4258=0),1,0)</f>
        <v/>
      </c>
      <c r="AA4258">
        <f>IF(AND(Z4258=1,G4258&lt;Assumptions!$C$6),1,0)</f>
        <v/>
      </c>
      <c r="AB4258">
        <f>IF(U4258=0,"",IF(Y4258=1,MAX(0,Q4258-G4258),IF(L4258=1,MAX(0,R4258-G4258),MAX(0,Assumptions!$C$6-G4258))))</f>
        <v/>
      </c>
      <c r="AC4258">
        <f>IF(Y4258=1,Q4258-F4258,"")</f>
        <v/>
      </c>
      <c r="AD4258">
        <f>IF(Y4258=1,AC4258^2,"")</f>
        <v/>
      </c>
      <c r="AE4258" s="19">
        <f>IF(Z4258=1,(H4258-M4258)*I4258,0)</f>
        <v/>
      </c>
      <c r="AF4258">
        <f>IF(G4258&lt;EDATE(Assumptions!$C$6,-12)+1,"prior_12m","last_12m")</f>
        <v/>
      </c>
      <c r="AG4258" s="21">
        <f>DATE(YEAR(G4258),MONTH(G4258),1)</f>
        <v/>
      </c>
    </row>
    <row r="4259">
      <c r="A4259" t="inlineStr">
        <is>
          <t>SPO-02277-1</t>
        </is>
      </c>
      <c r="B4259" t="inlineStr">
        <is>
          <t>SPO-02277</t>
        </is>
      </c>
      <c r="C4259" t="inlineStr">
        <is>
          <t>SUP-10</t>
        </is>
      </c>
      <c r="D4259" t="inlineStr">
        <is>
          <t>PPE</t>
        </is>
      </c>
      <c r="E4259" t="inlineStr">
        <is>
          <t>PPE-01</t>
        </is>
      </c>
      <c r="F4259" s="17" t="n">
        <v>46203</v>
      </c>
      <c r="G4259" s="17" t="n">
        <v>46216</v>
      </c>
      <c r="H4259" s="18" t="n">
        <v>160</v>
      </c>
      <c r="I4259" s="19" t="n">
        <v>4.59</v>
      </c>
      <c r="J4259" s="19" t="n">
        <v>4.8</v>
      </c>
      <c r="K4259" s="20" t="n">
        <v>0</v>
      </c>
      <c r="L4259" s="20" t="n">
        <v>0</v>
      </c>
      <c r="M4259" s="18" t="n">
        <v>160</v>
      </c>
      <c r="N4259" s="18" t="n">
        <v>160</v>
      </c>
      <c r="O4259" s="18" t="n">
        <v>0</v>
      </c>
      <c r="P4259" s="17" t="n">
        <v>46211</v>
      </c>
      <c r="Q4259" s="17" t="n">
        <v>46211</v>
      </c>
      <c r="R4259" s="17" t="n">
        <v>46211</v>
      </c>
      <c r="S4259" s="19">
        <f>H4259*I4259</f>
        <v/>
      </c>
      <c r="T4259" s="19">
        <f>H4259*J4259</f>
        <v/>
      </c>
      <c r="U4259">
        <f>IF(AND(K4259=0,G4259&lt;=Assumptions!$C$6),1,0)</f>
        <v/>
      </c>
      <c r="V4259">
        <f>IF(U4259=1,IF(M4259&gt;0,IF(P4259&lt;=G4259+Assumptions!$C$7,1,0),0),0)</f>
        <v/>
      </c>
      <c r="W4259">
        <f>IF(AND(U4259=1,M4259&gt;=H4259*(1-Assumptions!$C$8)),1,0)</f>
        <v/>
      </c>
      <c r="X4259">
        <f>IF(AND(U4259=1,N4259&gt;=H4259*(1-Assumptions!$C$8)),1,0)</f>
        <v/>
      </c>
      <c r="Y4259">
        <f>IF(ISNUMBER(Q4259),1,0)</f>
        <v/>
      </c>
      <c r="Z4259">
        <f>IF(AND(K4259=0,L4259=0,Y4259=0),1,0)</f>
        <v/>
      </c>
      <c r="AA4259">
        <f>IF(AND(Z4259=1,G4259&lt;Assumptions!$C$6),1,0)</f>
        <v/>
      </c>
      <c r="AB4259">
        <f>IF(U4259=0,"",IF(Y4259=1,MAX(0,Q4259-G4259),IF(L4259=1,MAX(0,R4259-G4259),MAX(0,Assumptions!$C$6-G4259))))</f>
        <v/>
      </c>
      <c r="AC4259">
        <f>IF(Y4259=1,Q4259-F4259,"")</f>
        <v/>
      </c>
      <c r="AD4259">
        <f>IF(Y4259=1,AC4259^2,"")</f>
        <v/>
      </c>
      <c r="AE4259" s="19">
        <f>IF(Z4259=1,(H4259-M4259)*I4259,0)</f>
        <v/>
      </c>
      <c r="AF4259">
        <f>IF(G4259&lt;EDATE(Assumptions!$C$6,-12)+1,"prior_12m","last_12m")</f>
        <v/>
      </c>
      <c r="AG4259" s="21">
        <f>DATE(YEAR(G4259),MONTH(G4259),1)</f>
        <v/>
      </c>
    </row>
    <row r="4260">
      <c r="A4260" t="inlineStr">
        <is>
          <t>SPO-02278-1</t>
        </is>
      </c>
      <c r="B4260" t="inlineStr">
        <is>
          <t>SPO-02278</t>
        </is>
      </c>
      <c r="C4260" t="inlineStr">
        <is>
          <t>SUP-02</t>
        </is>
      </c>
      <c r="D4260" t="inlineStr">
        <is>
          <t>ELEC</t>
        </is>
      </c>
      <c r="E4260" t="inlineStr">
        <is>
          <t>ELEC-06</t>
        </is>
      </c>
      <c r="F4260" s="17" t="n">
        <v>46203</v>
      </c>
      <c r="G4260" s="17" t="n">
        <v>46219</v>
      </c>
      <c r="H4260" s="18" t="n">
        <v>7</v>
      </c>
      <c r="I4260" s="19" t="n">
        <v>151.83</v>
      </c>
      <c r="J4260" s="19" t="n">
        <v>145</v>
      </c>
      <c r="K4260" s="20" t="n">
        <v>0</v>
      </c>
      <c r="L4260" s="20" t="n">
        <v>0</v>
      </c>
      <c r="M4260" s="18" t="n">
        <v>7</v>
      </c>
      <c r="N4260" s="18" t="n">
        <v>7</v>
      </c>
      <c r="O4260" s="18" t="n">
        <v>0</v>
      </c>
      <c r="P4260" s="17" t="n">
        <v>46218</v>
      </c>
      <c r="Q4260" s="17" t="n">
        <v>46218</v>
      </c>
      <c r="R4260" s="17" t="n">
        <v>46218</v>
      </c>
      <c r="S4260" s="19">
        <f>H4260*I4260</f>
        <v/>
      </c>
      <c r="T4260" s="19">
        <f>H4260*J4260</f>
        <v/>
      </c>
      <c r="U4260">
        <f>IF(AND(K4260=0,G4260&lt;=Assumptions!$C$6),1,0)</f>
        <v/>
      </c>
      <c r="V4260">
        <f>IF(U4260=1,IF(M4260&gt;0,IF(P4260&lt;=G4260+Assumptions!$C$7,1,0),0),0)</f>
        <v/>
      </c>
      <c r="W4260">
        <f>IF(AND(U4260=1,M4260&gt;=H4260*(1-Assumptions!$C$8)),1,0)</f>
        <v/>
      </c>
      <c r="X4260">
        <f>IF(AND(U4260=1,N4260&gt;=H4260*(1-Assumptions!$C$8)),1,0)</f>
        <v/>
      </c>
      <c r="Y4260">
        <f>IF(ISNUMBER(Q4260),1,0)</f>
        <v/>
      </c>
      <c r="Z4260">
        <f>IF(AND(K4260=0,L4260=0,Y4260=0),1,0)</f>
        <v/>
      </c>
      <c r="AA4260">
        <f>IF(AND(Z4260=1,G4260&lt;Assumptions!$C$6),1,0)</f>
        <v/>
      </c>
      <c r="AB4260">
        <f>IF(U4260=0,"",IF(Y4260=1,MAX(0,Q4260-G4260),IF(L4260=1,MAX(0,R4260-G4260),MAX(0,Assumptions!$C$6-G4260))))</f>
        <v/>
      </c>
      <c r="AC4260">
        <f>IF(Y4260=1,Q4260-F4260,"")</f>
        <v/>
      </c>
      <c r="AD4260">
        <f>IF(Y4260=1,AC4260^2,"")</f>
        <v/>
      </c>
      <c r="AE4260" s="19">
        <f>IF(Z4260=1,(H4260-M4260)*I4260,0)</f>
        <v/>
      </c>
      <c r="AF4260">
        <f>IF(G4260&lt;EDATE(Assumptions!$C$6,-12)+1,"prior_12m","last_12m")</f>
        <v/>
      </c>
      <c r="AG4260" s="21">
        <f>DATE(YEAR(G4260),MONTH(G4260),1)</f>
        <v/>
      </c>
    </row>
    <row r="4261">
      <c r="A4261" t="inlineStr">
        <is>
          <t>SPO-02278-2</t>
        </is>
      </c>
      <c r="B4261" t="inlineStr">
        <is>
          <t>SPO-02278</t>
        </is>
      </c>
      <c r="C4261" t="inlineStr">
        <is>
          <t>SUP-02</t>
        </is>
      </c>
      <c r="D4261" t="inlineStr">
        <is>
          <t>ELEC</t>
        </is>
      </c>
      <c r="E4261" t="inlineStr">
        <is>
          <t>ELEC-05</t>
        </is>
      </c>
      <c r="F4261" s="17" t="n">
        <v>46203</v>
      </c>
      <c r="G4261" s="17" t="n">
        <v>46219</v>
      </c>
      <c r="H4261" s="18" t="n">
        <v>222</v>
      </c>
      <c r="I4261" s="19" t="n">
        <v>11.52</v>
      </c>
      <c r="J4261" s="19" t="n">
        <v>11.5</v>
      </c>
      <c r="K4261" s="20" t="n">
        <v>0</v>
      </c>
      <c r="L4261" s="20" t="n">
        <v>0</v>
      </c>
      <c r="M4261" s="18" t="n">
        <v>222</v>
      </c>
      <c r="N4261" s="18" t="n">
        <v>222</v>
      </c>
      <c r="O4261" s="18" t="n">
        <v>0</v>
      </c>
      <c r="P4261" s="17" t="n">
        <v>46214</v>
      </c>
      <c r="Q4261" s="17" t="n">
        <v>46214</v>
      </c>
      <c r="R4261" s="17" t="n">
        <v>46214</v>
      </c>
      <c r="S4261" s="19">
        <f>H4261*I4261</f>
        <v/>
      </c>
      <c r="T4261" s="19">
        <f>H4261*J4261</f>
        <v/>
      </c>
      <c r="U4261">
        <f>IF(AND(K4261=0,G4261&lt;=Assumptions!$C$6),1,0)</f>
        <v/>
      </c>
      <c r="V4261">
        <f>IF(U4261=1,IF(M4261&gt;0,IF(P4261&lt;=G4261+Assumptions!$C$7,1,0),0),0)</f>
        <v/>
      </c>
      <c r="W4261">
        <f>IF(AND(U4261=1,M4261&gt;=H4261*(1-Assumptions!$C$8)),1,0)</f>
        <v/>
      </c>
      <c r="X4261">
        <f>IF(AND(U4261=1,N4261&gt;=H4261*(1-Assumptions!$C$8)),1,0)</f>
        <v/>
      </c>
      <c r="Y4261">
        <f>IF(ISNUMBER(Q4261),1,0)</f>
        <v/>
      </c>
      <c r="Z4261">
        <f>IF(AND(K4261=0,L4261=0,Y4261=0),1,0)</f>
        <v/>
      </c>
      <c r="AA4261">
        <f>IF(AND(Z4261=1,G4261&lt;Assumptions!$C$6),1,0)</f>
        <v/>
      </c>
      <c r="AB4261">
        <f>IF(U4261=0,"",IF(Y4261=1,MAX(0,Q4261-G4261),IF(L4261=1,MAX(0,R4261-G4261),MAX(0,Assumptions!$C$6-G4261))))</f>
        <v/>
      </c>
      <c r="AC4261">
        <f>IF(Y4261=1,Q4261-F4261,"")</f>
        <v/>
      </c>
      <c r="AD4261">
        <f>IF(Y4261=1,AC4261^2,"")</f>
        <v/>
      </c>
      <c r="AE4261" s="19">
        <f>IF(Z4261=1,(H4261-M4261)*I4261,0)</f>
        <v/>
      </c>
      <c r="AF4261">
        <f>IF(G4261&lt;EDATE(Assumptions!$C$6,-12)+1,"prior_12m","last_12m")</f>
        <v/>
      </c>
      <c r="AG4261" s="21">
        <f>DATE(YEAR(G4261),MONTH(G4261),1)</f>
        <v/>
      </c>
    </row>
    <row r="4262">
      <c r="A4262" t="inlineStr">
        <is>
          <t>SPO-02279-1</t>
        </is>
      </c>
      <c r="B4262" t="inlineStr">
        <is>
          <t>SPO-02279</t>
        </is>
      </c>
      <c r="C4262" t="inlineStr">
        <is>
          <t>SUP-11</t>
        </is>
      </c>
      <c r="D4262" t="inlineStr">
        <is>
          <t>PPE</t>
        </is>
      </c>
      <c r="E4262" t="inlineStr">
        <is>
          <t>PPE-02</t>
        </is>
      </c>
      <c r="F4262" s="17" t="n">
        <v>46204</v>
      </c>
      <c r="G4262" s="17" t="n">
        <v>46216</v>
      </c>
      <c r="H4262" s="18" t="n">
        <v>346</v>
      </c>
      <c r="I4262" s="19" t="n">
        <v>12.39</v>
      </c>
      <c r="J4262" s="19" t="n">
        <v>12.5</v>
      </c>
      <c r="K4262" s="20" t="n">
        <v>0</v>
      </c>
      <c r="L4262" s="20" t="n">
        <v>0</v>
      </c>
      <c r="M4262" s="18" t="n">
        <v>346</v>
      </c>
      <c r="N4262" s="18" t="n">
        <v>346</v>
      </c>
      <c r="O4262" s="18" t="n">
        <v>0</v>
      </c>
      <c r="P4262" s="17" t="n">
        <v>46212</v>
      </c>
      <c r="Q4262" s="17" t="n">
        <v>46212</v>
      </c>
      <c r="R4262" s="17" t="n">
        <v>46212</v>
      </c>
      <c r="S4262" s="19">
        <f>H4262*I4262</f>
        <v/>
      </c>
      <c r="T4262" s="19">
        <f>H4262*J4262</f>
        <v/>
      </c>
      <c r="U4262">
        <f>IF(AND(K4262=0,G4262&lt;=Assumptions!$C$6),1,0)</f>
        <v/>
      </c>
      <c r="V4262">
        <f>IF(U4262=1,IF(M4262&gt;0,IF(P4262&lt;=G4262+Assumptions!$C$7,1,0),0),0)</f>
        <v/>
      </c>
      <c r="W4262">
        <f>IF(AND(U4262=1,M4262&gt;=H4262*(1-Assumptions!$C$8)),1,0)</f>
        <v/>
      </c>
      <c r="X4262">
        <f>IF(AND(U4262=1,N4262&gt;=H4262*(1-Assumptions!$C$8)),1,0)</f>
        <v/>
      </c>
      <c r="Y4262">
        <f>IF(ISNUMBER(Q4262),1,0)</f>
        <v/>
      </c>
      <c r="Z4262">
        <f>IF(AND(K4262=0,L4262=0,Y4262=0),1,0)</f>
        <v/>
      </c>
      <c r="AA4262">
        <f>IF(AND(Z4262=1,G4262&lt;Assumptions!$C$6),1,0)</f>
        <v/>
      </c>
      <c r="AB4262">
        <f>IF(U4262=0,"",IF(Y4262=1,MAX(0,Q4262-G4262),IF(L4262=1,MAX(0,R4262-G4262),MAX(0,Assumptions!$C$6-G4262))))</f>
        <v/>
      </c>
      <c r="AC4262">
        <f>IF(Y4262=1,Q4262-F4262,"")</f>
        <v/>
      </c>
      <c r="AD4262">
        <f>IF(Y4262=1,AC4262^2,"")</f>
        <v/>
      </c>
      <c r="AE4262" s="19">
        <f>IF(Z4262=1,(H4262-M4262)*I4262,0)</f>
        <v/>
      </c>
      <c r="AF4262">
        <f>IF(G4262&lt;EDATE(Assumptions!$C$6,-12)+1,"prior_12m","last_12m")</f>
        <v/>
      </c>
      <c r="AG4262" s="21">
        <f>DATE(YEAR(G4262),MONTH(G4262),1)</f>
        <v/>
      </c>
    </row>
    <row r="4263">
      <c r="A4263" t="inlineStr">
        <is>
          <t>SPO-02280-1</t>
        </is>
      </c>
      <c r="B4263" t="inlineStr">
        <is>
          <t>SPO-02280</t>
        </is>
      </c>
      <c r="C4263" t="inlineStr">
        <is>
          <t>SUP-02</t>
        </is>
      </c>
      <c r="D4263" t="inlineStr">
        <is>
          <t>ELEC</t>
        </is>
      </c>
      <c r="E4263" t="inlineStr">
        <is>
          <t>ELEC-08</t>
        </is>
      </c>
      <c r="F4263" s="17" t="n">
        <v>46204</v>
      </c>
      <c r="G4263" s="17" t="n">
        <v>46220</v>
      </c>
      <c r="H4263" s="18" t="n">
        <v>46</v>
      </c>
      <c r="I4263" s="19" t="n">
        <v>18.72</v>
      </c>
      <c r="J4263" s="19" t="n">
        <v>18</v>
      </c>
      <c r="K4263" s="20" t="n">
        <v>0</v>
      </c>
      <c r="L4263" s="20" t="n">
        <v>0</v>
      </c>
      <c r="M4263" s="18" t="n">
        <v>46</v>
      </c>
      <c r="N4263" s="18" t="n">
        <v>46</v>
      </c>
      <c r="O4263" s="18" t="n">
        <v>0</v>
      </c>
      <c r="P4263" s="17" t="n">
        <v>46217</v>
      </c>
      <c r="Q4263" s="17" t="n">
        <v>46217</v>
      </c>
      <c r="R4263" s="17" t="n">
        <v>46217</v>
      </c>
      <c r="S4263" s="19">
        <f>H4263*I4263</f>
        <v/>
      </c>
      <c r="T4263" s="19">
        <f>H4263*J4263</f>
        <v/>
      </c>
      <c r="U4263">
        <f>IF(AND(K4263=0,G4263&lt;=Assumptions!$C$6),1,0)</f>
        <v/>
      </c>
      <c r="V4263">
        <f>IF(U4263=1,IF(M4263&gt;0,IF(P4263&lt;=G4263+Assumptions!$C$7,1,0),0),0)</f>
        <v/>
      </c>
      <c r="W4263">
        <f>IF(AND(U4263=1,M4263&gt;=H4263*(1-Assumptions!$C$8)),1,0)</f>
        <v/>
      </c>
      <c r="X4263">
        <f>IF(AND(U4263=1,N4263&gt;=H4263*(1-Assumptions!$C$8)),1,0)</f>
        <v/>
      </c>
      <c r="Y4263">
        <f>IF(ISNUMBER(Q4263),1,0)</f>
        <v/>
      </c>
      <c r="Z4263">
        <f>IF(AND(K4263=0,L4263=0,Y4263=0),1,0)</f>
        <v/>
      </c>
      <c r="AA4263">
        <f>IF(AND(Z4263=1,G4263&lt;Assumptions!$C$6),1,0)</f>
        <v/>
      </c>
      <c r="AB4263">
        <f>IF(U4263=0,"",IF(Y4263=1,MAX(0,Q4263-G4263),IF(L4263=1,MAX(0,R4263-G4263),MAX(0,Assumptions!$C$6-G4263))))</f>
        <v/>
      </c>
      <c r="AC4263">
        <f>IF(Y4263=1,Q4263-F4263,"")</f>
        <v/>
      </c>
      <c r="AD4263">
        <f>IF(Y4263=1,AC4263^2,"")</f>
        <v/>
      </c>
      <c r="AE4263" s="19">
        <f>IF(Z4263=1,(H4263-M4263)*I4263,0)</f>
        <v/>
      </c>
      <c r="AF4263">
        <f>IF(G4263&lt;EDATE(Assumptions!$C$6,-12)+1,"prior_12m","last_12m")</f>
        <v/>
      </c>
      <c r="AG4263" s="21">
        <f>DATE(YEAR(G4263),MONTH(G4263),1)</f>
        <v/>
      </c>
    </row>
    <row r="4264">
      <c r="A4264" t="inlineStr">
        <is>
          <t>SPO-02280-2</t>
        </is>
      </c>
      <c r="B4264" t="inlineStr">
        <is>
          <t>SPO-02280</t>
        </is>
      </c>
      <c r="C4264" t="inlineStr">
        <is>
          <t>SUP-02</t>
        </is>
      </c>
      <c r="D4264" t="inlineStr">
        <is>
          <t>ELEC</t>
        </is>
      </c>
      <c r="E4264" t="inlineStr">
        <is>
          <t>ELEC-01</t>
        </is>
      </c>
      <c r="F4264" s="17" t="n">
        <v>46204</v>
      </c>
      <c r="G4264" s="17" t="n">
        <v>46220</v>
      </c>
      <c r="H4264" s="18" t="n">
        <v>20</v>
      </c>
      <c r="I4264" s="19" t="n">
        <v>38.91</v>
      </c>
      <c r="J4264" s="19" t="n">
        <v>38</v>
      </c>
      <c r="K4264" s="20" t="n">
        <v>0</v>
      </c>
      <c r="L4264" s="20" t="n">
        <v>0</v>
      </c>
      <c r="M4264" s="18" t="n">
        <v>20</v>
      </c>
      <c r="N4264" s="18" t="n">
        <v>20</v>
      </c>
      <c r="O4264" s="18" t="n">
        <v>0</v>
      </c>
      <c r="P4264" s="17" t="n">
        <v>46216</v>
      </c>
      <c r="Q4264" s="17" t="n">
        <v>46216</v>
      </c>
      <c r="R4264" s="17" t="n">
        <v>46216</v>
      </c>
      <c r="S4264" s="19">
        <f>H4264*I4264</f>
        <v/>
      </c>
      <c r="T4264" s="19">
        <f>H4264*J4264</f>
        <v/>
      </c>
      <c r="U4264">
        <f>IF(AND(K4264=0,G4264&lt;=Assumptions!$C$6),1,0)</f>
        <v/>
      </c>
      <c r="V4264">
        <f>IF(U4264=1,IF(M4264&gt;0,IF(P4264&lt;=G4264+Assumptions!$C$7,1,0),0),0)</f>
        <v/>
      </c>
      <c r="W4264">
        <f>IF(AND(U4264=1,M4264&gt;=H4264*(1-Assumptions!$C$8)),1,0)</f>
        <v/>
      </c>
      <c r="X4264">
        <f>IF(AND(U4264=1,N4264&gt;=H4264*(1-Assumptions!$C$8)),1,0)</f>
        <v/>
      </c>
      <c r="Y4264">
        <f>IF(ISNUMBER(Q4264),1,0)</f>
        <v/>
      </c>
      <c r="Z4264">
        <f>IF(AND(K4264=0,L4264=0,Y4264=0),1,0)</f>
        <v/>
      </c>
      <c r="AA4264">
        <f>IF(AND(Z4264=1,G4264&lt;Assumptions!$C$6),1,0)</f>
        <v/>
      </c>
      <c r="AB4264">
        <f>IF(U4264=0,"",IF(Y4264=1,MAX(0,Q4264-G4264),IF(L4264=1,MAX(0,R4264-G4264),MAX(0,Assumptions!$C$6-G4264))))</f>
        <v/>
      </c>
      <c r="AC4264">
        <f>IF(Y4264=1,Q4264-F4264,"")</f>
        <v/>
      </c>
      <c r="AD4264">
        <f>IF(Y4264=1,AC4264^2,"")</f>
        <v/>
      </c>
      <c r="AE4264" s="19">
        <f>IF(Z4264=1,(H4264-M4264)*I4264,0)</f>
        <v/>
      </c>
      <c r="AF4264">
        <f>IF(G4264&lt;EDATE(Assumptions!$C$6,-12)+1,"prior_12m","last_12m")</f>
        <v/>
      </c>
      <c r="AG4264" s="21">
        <f>DATE(YEAR(G4264),MONTH(G4264),1)</f>
        <v/>
      </c>
    </row>
    <row r="4265">
      <c r="A4265" t="inlineStr">
        <is>
          <t>SPO-02280-3</t>
        </is>
      </c>
      <c r="B4265" t="inlineStr">
        <is>
          <t>SPO-02280</t>
        </is>
      </c>
      <c r="C4265" t="inlineStr">
        <is>
          <t>SUP-02</t>
        </is>
      </c>
      <c r="D4265" t="inlineStr">
        <is>
          <t>ELEC</t>
        </is>
      </c>
      <c r="E4265" t="inlineStr">
        <is>
          <t>ELEC-03</t>
        </is>
      </c>
      <c r="F4265" s="17" t="n">
        <v>46204</v>
      </c>
      <c r="G4265" s="17" t="n">
        <v>46220</v>
      </c>
      <c r="H4265" s="18" t="n">
        <v>13</v>
      </c>
      <c r="I4265" s="19" t="n">
        <v>90.53</v>
      </c>
      <c r="J4265" s="19" t="n">
        <v>96</v>
      </c>
      <c r="K4265" s="20" t="n">
        <v>0</v>
      </c>
      <c r="L4265" s="20" t="n">
        <v>0</v>
      </c>
      <c r="M4265" s="18" t="n">
        <v>13</v>
      </c>
      <c r="N4265" s="18" t="n">
        <v>13</v>
      </c>
      <c r="O4265" s="18" t="n">
        <v>0</v>
      </c>
      <c r="P4265" s="17" t="n">
        <v>46216</v>
      </c>
      <c r="Q4265" s="17" t="n">
        <v>46216</v>
      </c>
      <c r="R4265" s="17" t="n">
        <v>46216</v>
      </c>
      <c r="S4265" s="19">
        <f>H4265*I4265</f>
        <v/>
      </c>
      <c r="T4265" s="19">
        <f>H4265*J4265</f>
        <v/>
      </c>
      <c r="U4265">
        <f>IF(AND(K4265=0,G4265&lt;=Assumptions!$C$6),1,0)</f>
        <v/>
      </c>
      <c r="V4265">
        <f>IF(U4265=1,IF(M4265&gt;0,IF(P4265&lt;=G4265+Assumptions!$C$7,1,0),0),0)</f>
        <v/>
      </c>
      <c r="W4265">
        <f>IF(AND(U4265=1,M4265&gt;=H4265*(1-Assumptions!$C$8)),1,0)</f>
        <v/>
      </c>
      <c r="X4265">
        <f>IF(AND(U4265=1,N4265&gt;=H4265*(1-Assumptions!$C$8)),1,0)</f>
        <v/>
      </c>
      <c r="Y4265">
        <f>IF(ISNUMBER(Q4265),1,0)</f>
        <v/>
      </c>
      <c r="Z4265">
        <f>IF(AND(K4265=0,L4265=0,Y4265=0),1,0)</f>
        <v/>
      </c>
      <c r="AA4265">
        <f>IF(AND(Z4265=1,G4265&lt;Assumptions!$C$6),1,0)</f>
        <v/>
      </c>
      <c r="AB4265">
        <f>IF(U4265=0,"",IF(Y4265=1,MAX(0,Q4265-G4265),IF(L4265=1,MAX(0,R4265-G4265),MAX(0,Assumptions!$C$6-G4265))))</f>
        <v/>
      </c>
      <c r="AC4265">
        <f>IF(Y4265=1,Q4265-F4265,"")</f>
        <v/>
      </c>
      <c r="AD4265">
        <f>IF(Y4265=1,AC4265^2,"")</f>
        <v/>
      </c>
      <c r="AE4265" s="19">
        <f>IF(Z4265=1,(H4265-M4265)*I4265,0)</f>
        <v/>
      </c>
      <c r="AF4265">
        <f>IF(G4265&lt;EDATE(Assumptions!$C$6,-12)+1,"prior_12m","last_12m")</f>
        <v/>
      </c>
      <c r="AG4265" s="21">
        <f>DATE(YEAR(G4265),MONTH(G4265),1)</f>
        <v/>
      </c>
    </row>
    <row r="4266">
      <c r="A4266" t="inlineStr">
        <is>
          <t>SPO-02281-1</t>
        </is>
      </c>
      <c r="B4266" t="inlineStr">
        <is>
          <t>SPO-02281</t>
        </is>
      </c>
      <c r="C4266" t="inlineStr">
        <is>
          <t>SUP-08</t>
        </is>
      </c>
      <c r="D4266" t="inlineStr">
        <is>
          <t>PPE</t>
        </is>
      </c>
      <c r="E4266" t="inlineStr">
        <is>
          <t>PPE-06</t>
        </is>
      </c>
      <c r="F4266" s="17" t="n">
        <v>46204</v>
      </c>
      <c r="G4266" s="17" t="n">
        <v>46215</v>
      </c>
      <c r="H4266" s="18" t="n">
        <v>20</v>
      </c>
      <c r="I4266" s="19" t="n">
        <v>119.9</v>
      </c>
      <c r="J4266" s="19" t="n">
        <v>115</v>
      </c>
      <c r="K4266" s="20" t="n">
        <v>0</v>
      </c>
      <c r="L4266" s="20" t="n">
        <v>0</v>
      </c>
      <c r="M4266" s="18" t="n">
        <v>20</v>
      </c>
      <c r="N4266" s="18" t="n">
        <v>20</v>
      </c>
      <c r="O4266" s="18" t="n">
        <v>0</v>
      </c>
      <c r="P4266" s="17" t="n">
        <v>46211</v>
      </c>
      <c r="Q4266" s="17" t="n">
        <v>46211</v>
      </c>
      <c r="R4266" s="17" t="n">
        <v>46211</v>
      </c>
      <c r="S4266" s="19">
        <f>H4266*I4266</f>
        <v/>
      </c>
      <c r="T4266" s="19">
        <f>H4266*J4266</f>
        <v/>
      </c>
      <c r="U4266">
        <f>IF(AND(K4266=0,G4266&lt;=Assumptions!$C$6),1,0)</f>
        <v/>
      </c>
      <c r="V4266">
        <f>IF(U4266=1,IF(M4266&gt;0,IF(P4266&lt;=G4266+Assumptions!$C$7,1,0),0),0)</f>
        <v/>
      </c>
      <c r="W4266">
        <f>IF(AND(U4266=1,M4266&gt;=H4266*(1-Assumptions!$C$8)),1,0)</f>
        <v/>
      </c>
      <c r="X4266">
        <f>IF(AND(U4266=1,N4266&gt;=H4266*(1-Assumptions!$C$8)),1,0)</f>
        <v/>
      </c>
      <c r="Y4266">
        <f>IF(ISNUMBER(Q4266),1,0)</f>
        <v/>
      </c>
      <c r="Z4266">
        <f>IF(AND(K4266=0,L4266=0,Y4266=0),1,0)</f>
        <v/>
      </c>
      <c r="AA4266">
        <f>IF(AND(Z4266=1,G4266&lt;Assumptions!$C$6),1,0)</f>
        <v/>
      </c>
      <c r="AB4266">
        <f>IF(U4266=0,"",IF(Y4266=1,MAX(0,Q4266-G4266),IF(L4266=1,MAX(0,R4266-G4266),MAX(0,Assumptions!$C$6-G4266))))</f>
        <v/>
      </c>
      <c r="AC4266">
        <f>IF(Y4266=1,Q4266-F4266,"")</f>
        <v/>
      </c>
      <c r="AD4266">
        <f>IF(Y4266=1,AC4266^2,"")</f>
        <v/>
      </c>
      <c r="AE4266" s="19">
        <f>IF(Z4266=1,(H4266-M4266)*I4266,0)</f>
        <v/>
      </c>
      <c r="AF4266">
        <f>IF(G4266&lt;EDATE(Assumptions!$C$6,-12)+1,"prior_12m","last_12m")</f>
        <v/>
      </c>
      <c r="AG4266" s="21">
        <f>DATE(YEAR(G4266),MONTH(G4266),1)</f>
        <v/>
      </c>
    </row>
    <row r="4267">
      <c r="A4267" t="inlineStr">
        <is>
          <t>SPO-02282-1</t>
        </is>
      </c>
      <c r="B4267" t="inlineStr">
        <is>
          <t>SPO-02282</t>
        </is>
      </c>
      <c r="C4267" t="inlineStr">
        <is>
          <t>SUP-01</t>
        </is>
      </c>
      <c r="D4267" t="inlineStr">
        <is>
          <t>ELEC</t>
        </is>
      </c>
      <c r="E4267" t="inlineStr">
        <is>
          <t>ELEC-07</t>
        </is>
      </c>
      <c r="F4267" s="17" t="n">
        <v>46205</v>
      </c>
      <c r="G4267" s="17" t="n">
        <v>46223</v>
      </c>
      <c r="H4267" s="18" t="n">
        <v>272</v>
      </c>
      <c r="I4267" s="19" t="n">
        <v>9.27</v>
      </c>
      <c r="J4267" s="19" t="n">
        <v>9.800000000000001</v>
      </c>
      <c r="K4267" s="20" t="n">
        <v>0</v>
      </c>
      <c r="L4267" s="20" t="n">
        <v>0</v>
      </c>
      <c r="M4267" s="18" t="n">
        <v>272</v>
      </c>
      <c r="N4267" s="18" t="n">
        <v>0</v>
      </c>
      <c r="O4267" s="18" t="n">
        <v>0</v>
      </c>
      <c r="P4267" s="17" t="n">
        <v>46294</v>
      </c>
      <c r="Q4267" s="17" t="n">
        <v>46294</v>
      </c>
      <c r="R4267" s="17" t="n">
        <v>46294</v>
      </c>
      <c r="S4267" s="19">
        <f>H4267*I4267</f>
        <v/>
      </c>
      <c r="T4267" s="19">
        <f>H4267*J4267</f>
        <v/>
      </c>
      <c r="U4267">
        <f>IF(AND(K4267=0,G4267&lt;=Assumptions!$C$6),1,0)</f>
        <v/>
      </c>
      <c r="V4267">
        <f>IF(U4267=1,IF(M4267&gt;0,IF(P4267&lt;=G4267+Assumptions!$C$7,1,0),0),0)</f>
        <v/>
      </c>
      <c r="W4267">
        <f>IF(AND(U4267=1,M4267&gt;=H4267*(1-Assumptions!$C$8)),1,0)</f>
        <v/>
      </c>
      <c r="X4267">
        <f>IF(AND(U4267=1,N4267&gt;=H4267*(1-Assumptions!$C$8)),1,0)</f>
        <v/>
      </c>
      <c r="Y4267">
        <f>IF(ISNUMBER(Q4267),1,0)</f>
        <v/>
      </c>
      <c r="Z4267">
        <f>IF(AND(K4267=0,L4267=0,Y4267=0),1,0)</f>
        <v/>
      </c>
      <c r="AA4267">
        <f>IF(AND(Z4267=1,G4267&lt;Assumptions!$C$6),1,0)</f>
        <v/>
      </c>
      <c r="AB4267">
        <f>IF(U4267=0,"",IF(Y4267=1,MAX(0,Q4267-G4267),IF(L4267=1,MAX(0,R4267-G4267),MAX(0,Assumptions!$C$6-G4267))))</f>
        <v/>
      </c>
      <c r="AC4267">
        <f>IF(Y4267=1,Q4267-F4267,"")</f>
        <v/>
      </c>
      <c r="AD4267">
        <f>IF(Y4267=1,AC4267^2,"")</f>
        <v/>
      </c>
      <c r="AE4267" s="19">
        <f>IF(Z4267=1,(H4267-M4267)*I4267,0)</f>
        <v/>
      </c>
      <c r="AF4267">
        <f>IF(G4267&lt;EDATE(Assumptions!$C$6,-12)+1,"prior_12m","last_12m")</f>
        <v/>
      </c>
      <c r="AG4267" s="21">
        <f>DATE(YEAR(G4267),MONTH(G4267),1)</f>
        <v/>
      </c>
    </row>
    <row r="4268">
      <c r="A4268" t="inlineStr">
        <is>
          <t>SPO-02283-1</t>
        </is>
      </c>
      <c r="B4268" t="inlineStr">
        <is>
          <t>SPO-02283</t>
        </is>
      </c>
      <c r="C4268" t="inlineStr">
        <is>
          <t>SUP-12</t>
        </is>
      </c>
      <c r="D4268" t="inlineStr">
        <is>
          <t>IT</t>
        </is>
      </c>
      <c r="E4268" t="inlineStr">
        <is>
          <t>IT-03</t>
        </is>
      </c>
      <c r="F4268" s="17" t="n">
        <v>46205</v>
      </c>
      <c r="G4268" s="17" t="n">
        <v>46215</v>
      </c>
      <c r="H4268" s="18" t="n">
        <v>44</v>
      </c>
      <c r="I4268" s="19" t="n">
        <v>44.77</v>
      </c>
      <c r="J4268" s="19" t="n">
        <v>38</v>
      </c>
      <c r="K4268" s="20" t="n">
        <v>0</v>
      </c>
      <c r="L4268" s="20" t="n">
        <v>0</v>
      </c>
      <c r="M4268" s="18" t="n">
        <v>44</v>
      </c>
      <c r="N4268" s="18" t="n">
        <v>44</v>
      </c>
      <c r="O4268" s="18" t="n">
        <v>0</v>
      </c>
      <c r="P4268" s="17" t="n">
        <v>46214</v>
      </c>
      <c r="Q4268" s="17" t="n">
        <v>46214</v>
      </c>
      <c r="R4268" s="17" t="n">
        <v>46214</v>
      </c>
      <c r="S4268" s="19">
        <f>H4268*I4268</f>
        <v/>
      </c>
      <c r="T4268" s="19">
        <f>H4268*J4268</f>
        <v/>
      </c>
      <c r="U4268">
        <f>IF(AND(K4268=0,G4268&lt;=Assumptions!$C$6),1,0)</f>
        <v/>
      </c>
      <c r="V4268">
        <f>IF(U4268=1,IF(M4268&gt;0,IF(P4268&lt;=G4268+Assumptions!$C$7,1,0),0),0)</f>
        <v/>
      </c>
      <c r="W4268">
        <f>IF(AND(U4268=1,M4268&gt;=H4268*(1-Assumptions!$C$8)),1,0)</f>
        <v/>
      </c>
      <c r="X4268">
        <f>IF(AND(U4268=1,N4268&gt;=H4268*(1-Assumptions!$C$8)),1,0)</f>
        <v/>
      </c>
      <c r="Y4268">
        <f>IF(ISNUMBER(Q4268),1,0)</f>
        <v/>
      </c>
      <c r="Z4268">
        <f>IF(AND(K4268=0,L4268=0,Y4268=0),1,0)</f>
        <v/>
      </c>
      <c r="AA4268">
        <f>IF(AND(Z4268=1,G4268&lt;Assumptions!$C$6),1,0)</f>
        <v/>
      </c>
      <c r="AB4268">
        <f>IF(U4268=0,"",IF(Y4268=1,MAX(0,Q4268-G4268),IF(L4268=1,MAX(0,R4268-G4268),MAX(0,Assumptions!$C$6-G4268))))</f>
        <v/>
      </c>
      <c r="AC4268">
        <f>IF(Y4268=1,Q4268-F4268,"")</f>
        <v/>
      </c>
      <c r="AD4268">
        <f>IF(Y4268=1,AC4268^2,"")</f>
        <v/>
      </c>
      <c r="AE4268" s="19">
        <f>IF(Z4268=1,(H4268-M4268)*I4268,0)</f>
        <v/>
      </c>
      <c r="AF4268">
        <f>IF(G4268&lt;EDATE(Assumptions!$C$6,-12)+1,"prior_12m","last_12m")</f>
        <v/>
      </c>
      <c r="AG4268" s="21">
        <f>DATE(YEAR(G4268),MONTH(G4268),1)</f>
        <v/>
      </c>
    </row>
    <row r="4269">
      <c r="A4269" t="inlineStr">
        <is>
          <t>SPO-02284-1</t>
        </is>
      </c>
      <c r="B4269" t="inlineStr">
        <is>
          <t>SPO-02284</t>
        </is>
      </c>
      <c r="C4269" t="inlineStr">
        <is>
          <t>SUP-08</t>
        </is>
      </c>
      <c r="D4269" t="inlineStr">
        <is>
          <t>PPE</t>
        </is>
      </c>
      <c r="E4269" t="inlineStr">
        <is>
          <t>PPE-04</t>
        </is>
      </c>
      <c r="F4269" s="17" t="n">
        <v>46206</v>
      </c>
      <c r="G4269" s="17" t="n">
        <v>46217</v>
      </c>
      <c r="H4269" s="18" t="n">
        <v>54</v>
      </c>
      <c r="I4269" s="19" t="n">
        <v>25.2</v>
      </c>
      <c r="J4269" s="19" t="n">
        <v>26</v>
      </c>
      <c r="K4269" s="20" t="n">
        <v>0</v>
      </c>
      <c r="L4269" s="20" t="n">
        <v>0</v>
      </c>
      <c r="M4269" s="18" t="n">
        <v>54</v>
      </c>
      <c r="N4269" s="18" t="n">
        <v>54</v>
      </c>
      <c r="O4269" s="18" t="n">
        <v>0</v>
      </c>
      <c r="P4269" s="17" t="n">
        <v>46215</v>
      </c>
      <c r="Q4269" s="17" t="n">
        <v>46215</v>
      </c>
      <c r="R4269" s="17" t="n">
        <v>46215</v>
      </c>
      <c r="S4269" s="19">
        <f>H4269*I4269</f>
        <v/>
      </c>
      <c r="T4269" s="19">
        <f>H4269*J4269</f>
        <v/>
      </c>
      <c r="U4269">
        <f>IF(AND(K4269=0,G4269&lt;=Assumptions!$C$6),1,0)</f>
        <v/>
      </c>
      <c r="V4269">
        <f>IF(U4269=1,IF(M4269&gt;0,IF(P4269&lt;=G4269+Assumptions!$C$7,1,0),0),0)</f>
        <v/>
      </c>
      <c r="W4269">
        <f>IF(AND(U4269=1,M4269&gt;=H4269*(1-Assumptions!$C$8)),1,0)</f>
        <v/>
      </c>
      <c r="X4269">
        <f>IF(AND(U4269=1,N4269&gt;=H4269*(1-Assumptions!$C$8)),1,0)</f>
        <v/>
      </c>
      <c r="Y4269">
        <f>IF(ISNUMBER(Q4269),1,0)</f>
        <v/>
      </c>
      <c r="Z4269">
        <f>IF(AND(K4269=0,L4269=0,Y4269=0),1,0)</f>
        <v/>
      </c>
      <c r="AA4269">
        <f>IF(AND(Z4269=1,G4269&lt;Assumptions!$C$6),1,0)</f>
        <v/>
      </c>
      <c r="AB4269">
        <f>IF(U4269=0,"",IF(Y4269=1,MAX(0,Q4269-G4269),IF(L4269=1,MAX(0,R4269-G4269),MAX(0,Assumptions!$C$6-G4269))))</f>
        <v/>
      </c>
      <c r="AC4269">
        <f>IF(Y4269=1,Q4269-F4269,"")</f>
        <v/>
      </c>
      <c r="AD4269">
        <f>IF(Y4269=1,AC4269^2,"")</f>
        <v/>
      </c>
      <c r="AE4269" s="19">
        <f>IF(Z4269=1,(H4269-M4269)*I4269,0)</f>
        <v/>
      </c>
      <c r="AF4269">
        <f>IF(G4269&lt;EDATE(Assumptions!$C$6,-12)+1,"prior_12m","last_12m")</f>
        <v/>
      </c>
      <c r="AG4269" s="21">
        <f>DATE(YEAR(G4269),MONTH(G4269),1)</f>
        <v/>
      </c>
    </row>
    <row r="4270">
      <c r="A4270" t="inlineStr">
        <is>
          <t>SPO-02285-1</t>
        </is>
      </c>
      <c r="B4270" t="inlineStr">
        <is>
          <t>SPO-02285</t>
        </is>
      </c>
      <c r="C4270" t="inlineStr">
        <is>
          <t>SUP-09</t>
        </is>
      </c>
      <c r="D4270" t="inlineStr">
        <is>
          <t>CHEM</t>
        </is>
      </c>
      <c r="E4270" t="inlineStr">
        <is>
          <t>CHEM-04</t>
        </is>
      </c>
      <c r="F4270" s="17" t="n">
        <v>46206</v>
      </c>
      <c r="G4270" s="17" t="n">
        <v>46220</v>
      </c>
      <c r="H4270" s="18" t="n">
        <v>1</v>
      </c>
      <c r="I4270" s="19" t="n">
        <v>809.9</v>
      </c>
      <c r="J4270" s="19" t="n">
        <v>820</v>
      </c>
      <c r="K4270" s="20" t="n">
        <v>0</v>
      </c>
      <c r="L4270" s="20" t="n">
        <v>0</v>
      </c>
      <c r="M4270" s="18" t="n">
        <v>1</v>
      </c>
      <c r="N4270" s="18" t="n">
        <v>1</v>
      </c>
      <c r="O4270" s="18" t="n">
        <v>0</v>
      </c>
      <c r="P4270" s="17" t="n">
        <v>46216</v>
      </c>
      <c r="Q4270" s="17" t="n">
        <v>46216</v>
      </c>
      <c r="R4270" s="17" t="n">
        <v>46216</v>
      </c>
      <c r="S4270" s="19">
        <f>H4270*I4270</f>
        <v/>
      </c>
      <c r="T4270" s="19">
        <f>H4270*J4270</f>
        <v/>
      </c>
      <c r="U4270">
        <f>IF(AND(K4270=0,G4270&lt;=Assumptions!$C$6),1,0)</f>
        <v/>
      </c>
      <c r="V4270">
        <f>IF(U4270=1,IF(M4270&gt;0,IF(P4270&lt;=G4270+Assumptions!$C$7,1,0),0),0)</f>
        <v/>
      </c>
      <c r="W4270">
        <f>IF(AND(U4270=1,M4270&gt;=H4270*(1-Assumptions!$C$8)),1,0)</f>
        <v/>
      </c>
      <c r="X4270">
        <f>IF(AND(U4270=1,N4270&gt;=H4270*(1-Assumptions!$C$8)),1,0)</f>
        <v/>
      </c>
      <c r="Y4270">
        <f>IF(ISNUMBER(Q4270),1,0)</f>
        <v/>
      </c>
      <c r="Z4270">
        <f>IF(AND(K4270=0,L4270=0,Y4270=0),1,0)</f>
        <v/>
      </c>
      <c r="AA4270">
        <f>IF(AND(Z4270=1,G4270&lt;Assumptions!$C$6),1,0)</f>
        <v/>
      </c>
      <c r="AB4270">
        <f>IF(U4270=0,"",IF(Y4270=1,MAX(0,Q4270-G4270),IF(L4270=1,MAX(0,R4270-G4270),MAX(0,Assumptions!$C$6-G4270))))</f>
        <v/>
      </c>
      <c r="AC4270">
        <f>IF(Y4270=1,Q4270-F4270,"")</f>
        <v/>
      </c>
      <c r="AD4270">
        <f>IF(Y4270=1,AC4270^2,"")</f>
        <v/>
      </c>
      <c r="AE4270" s="19">
        <f>IF(Z4270=1,(H4270-M4270)*I4270,0)</f>
        <v/>
      </c>
      <c r="AF4270">
        <f>IF(G4270&lt;EDATE(Assumptions!$C$6,-12)+1,"prior_12m","last_12m")</f>
        <v/>
      </c>
      <c r="AG4270" s="21">
        <f>DATE(YEAR(G4270),MONTH(G4270),1)</f>
        <v/>
      </c>
    </row>
    <row r="4271">
      <c r="A4271" t="inlineStr">
        <is>
          <t>SPO-02285-2</t>
        </is>
      </c>
      <c r="B4271" t="inlineStr">
        <is>
          <t>SPO-02285</t>
        </is>
      </c>
      <c r="C4271" t="inlineStr">
        <is>
          <t>SUP-09</t>
        </is>
      </c>
      <c r="D4271" t="inlineStr">
        <is>
          <t>CHEM</t>
        </is>
      </c>
      <c r="E4271" t="inlineStr">
        <is>
          <t>CHEM-01</t>
        </is>
      </c>
      <c r="F4271" s="17" t="n">
        <v>46206</v>
      </c>
      <c r="G4271" s="17" t="n">
        <v>46220</v>
      </c>
      <c r="H4271" s="18" t="n">
        <v>5</v>
      </c>
      <c r="I4271" s="19" t="n">
        <v>672.2</v>
      </c>
      <c r="J4271" s="19" t="n">
        <v>640</v>
      </c>
      <c r="K4271" s="20" t="n">
        <v>0</v>
      </c>
      <c r="L4271" s="20" t="n">
        <v>0</v>
      </c>
      <c r="M4271" s="18" t="n">
        <v>5</v>
      </c>
      <c r="N4271" s="18" t="n">
        <v>5</v>
      </c>
      <c r="O4271" s="18" t="n">
        <v>0</v>
      </c>
      <c r="P4271" s="17" t="n">
        <v>46220</v>
      </c>
      <c r="Q4271" s="17" t="n">
        <v>46220</v>
      </c>
      <c r="R4271" s="17" t="n">
        <v>46220</v>
      </c>
      <c r="S4271" s="19">
        <f>H4271*I4271</f>
        <v/>
      </c>
      <c r="T4271" s="19">
        <f>H4271*J4271</f>
        <v/>
      </c>
      <c r="U4271">
        <f>IF(AND(K4271=0,G4271&lt;=Assumptions!$C$6),1,0)</f>
        <v/>
      </c>
      <c r="V4271">
        <f>IF(U4271=1,IF(M4271&gt;0,IF(P4271&lt;=G4271+Assumptions!$C$7,1,0),0),0)</f>
        <v/>
      </c>
      <c r="W4271">
        <f>IF(AND(U4271=1,M4271&gt;=H4271*(1-Assumptions!$C$8)),1,0)</f>
        <v/>
      </c>
      <c r="X4271">
        <f>IF(AND(U4271=1,N4271&gt;=H4271*(1-Assumptions!$C$8)),1,0)</f>
        <v/>
      </c>
      <c r="Y4271">
        <f>IF(ISNUMBER(Q4271),1,0)</f>
        <v/>
      </c>
      <c r="Z4271">
        <f>IF(AND(K4271=0,L4271=0,Y4271=0),1,0)</f>
        <v/>
      </c>
      <c r="AA4271">
        <f>IF(AND(Z4271=1,G4271&lt;Assumptions!$C$6),1,0)</f>
        <v/>
      </c>
      <c r="AB4271">
        <f>IF(U4271=0,"",IF(Y4271=1,MAX(0,Q4271-G4271),IF(L4271=1,MAX(0,R4271-G4271),MAX(0,Assumptions!$C$6-G4271))))</f>
        <v/>
      </c>
      <c r="AC4271">
        <f>IF(Y4271=1,Q4271-F4271,"")</f>
        <v/>
      </c>
      <c r="AD4271">
        <f>IF(Y4271=1,AC4271^2,"")</f>
        <v/>
      </c>
      <c r="AE4271" s="19">
        <f>IF(Z4271=1,(H4271-M4271)*I4271,0)</f>
        <v/>
      </c>
      <c r="AF4271">
        <f>IF(G4271&lt;EDATE(Assumptions!$C$6,-12)+1,"prior_12m","last_12m")</f>
        <v/>
      </c>
      <c r="AG4271" s="21">
        <f>DATE(YEAR(G4271),MONTH(G4271),1)</f>
        <v/>
      </c>
    </row>
    <row r="4272">
      <c r="A4272" t="inlineStr">
        <is>
          <t>SPO-02285-3</t>
        </is>
      </c>
      <c r="B4272" t="inlineStr">
        <is>
          <t>SPO-02285</t>
        </is>
      </c>
      <c r="C4272" t="inlineStr">
        <is>
          <t>SUP-09</t>
        </is>
      </c>
      <c r="D4272" t="inlineStr">
        <is>
          <t>CHEM</t>
        </is>
      </c>
      <c r="E4272" t="inlineStr">
        <is>
          <t>CHEM-05</t>
        </is>
      </c>
      <c r="F4272" s="17" t="n">
        <v>46206</v>
      </c>
      <c r="G4272" s="17" t="n">
        <v>46220</v>
      </c>
      <c r="H4272" s="18" t="n">
        <v>3</v>
      </c>
      <c r="I4272" s="19" t="n">
        <v>985.59</v>
      </c>
      <c r="J4272" s="19" t="n">
        <v>930</v>
      </c>
      <c r="K4272" s="20" t="n">
        <v>0</v>
      </c>
      <c r="L4272" s="20" t="n">
        <v>0</v>
      </c>
      <c r="M4272" s="18" t="n">
        <v>3</v>
      </c>
      <c r="N4272" s="18" t="n">
        <v>3</v>
      </c>
      <c r="O4272" s="18" t="n">
        <v>0</v>
      </c>
      <c r="P4272" s="17" t="n">
        <v>46217</v>
      </c>
      <c r="Q4272" s="17" t="n">
        <v>46217</v>
      </c>
      <c r="R4272" s="17" t="n">
        <v>46217</v>
      </c>
      <c r="S4272" s="19">
        <f>H4272*I4272</f>
        <v/>
      </c>
      <c r="T4272" s="19">
        <f>H4272*J4272</f>
        <v/>
      </c>
      <c r="U4272">
        <f>IF(AND(K4272=0,G4272&lt;=Assumptions!$C$6),1,0)</f>
        <v/>
      </c>
      <c r="V4272">
        <f>IF(U4272=1,IF(M4272&gt;0,IF(P4272&lt;=G4272+Assumptions!$C$7,1,0),0),0)</f>
        <v/>
      </c>
      <c r="W4272">
        <f>IF(AND(U4272=1,M4272&gt;=H4272*(1-Assumptions!$C$8)),1,0)</f>
        <v/>
      </c>
      <c r="X4272">
        <f>IF(AND(U4272=1,N4272&gt;=H4272*(1-Assumptions!$C$8)),1,0)</f>
        <v/>
      </c>
      <c r="Y4272">
        <f>IF(ISNUMBER(Q4272),1,0)</f>
        <v/>
      </c>
      <c r="Z4272">
        <f>IF(AND(K4272=0,L4272=0,Y4272=0),1,0)</f>
        <v/>
      </c>
      <c r="AA4272">
        <f>IF(AND(Z4272=1,G4272&lt;Assumptions!$C$6),1,0)</f>
        <v/>
      </c>
      <c r="AB4272">
        <f>IF(U4272=0,"",IF(Y4272=1,MAX(0,Q4272-G4272),IF(L4272=1,MAX(0,R4272-G4272),MAX(0,Assumptions!$C$6-G4272))))</f>
        <v/>
      </c>
      <c r="AC4272">
        <f>IF(Y4272=1,Q4272-F4272,"")</f>
        <v/>
      </c>
      <c r="AD4272">
        <f>IF(Y4272=1,AC4272^2,"")</f>
        <v/>
      </c>
      <c r="AE4272" s="19">
        <f>IF(Z4272=1,(H4272-M4272)*I4272,0)</f>
        <v/>
      </c>
      <c r="AF4272">
        <f>IF(G4272&lt;EDATE(Assumptions!$C$6,-12)+1,"prior_12m","last_12m")</f>
        <v/>
      </c>
      <c r="AG4272" s="21">
        <f>DATE(YEAR(G4272),MONTH(G4272),1)</f>
        <v/>
      </c>
    </row>
    <row r="4273">
      <c r="A4273" t="inlineStr">
        <is>
          <t>SPO-02286-1</t>
        </is>
      </c>
      <c r="B4273" t="inlineStr">
        <is>
          <t>SPO-02286</t>
        </is>
      </c>
      <c r="C4273" t="inlineStr">
        <is>
          <t>SUP-11</t>
        </is>
      </c>
      <c r="D4273" t="inlineStr">
        <is>
          <t>PPE</t>
        </is>
      </c>
      <c r="E4273" t="inlineStr">
        <is>
          <t>PPE-04</t>
        </is>
      </c>
      <c r="F4273" s="17" t="n">
        <v>46206</v>
      </c>
      <c r="G4273" s="17" t="n">
        <v>46218</v>
      </c>
      <c r="H4273" s="18" t="n">
        <v>65</v>
      </c>
      <c r="I4273" s="19" t="n">
        <v>27.29</v>
      </c>
      <c r="J4273" s="19" t="n">
        <v>26</v>
      </c>
      <c r="K4273" s="20" t="n">
        <v>0</v>
      </c>
      <c r="L4273" s="20" t="n">
        <v>1</v>
      </c>
      <c r="M4273" s="18" t="n">
        <v>52</v>
      </c>
      <c r="N4273" s="18" t="n">
        <v>52</v>
      </c>
      <c r="O4273" s="18" t="n">
        <v>0</v>
      </c>
      <c r="P4273" s="17" t="n">
        <v>46214</v>
      </c>
      <c r="Q4273" s="17" t="n"/>
      <c r="R4273" s="17" t="n">
        <v>46214</v>
      </c>
      <c r="S4273" s="19">
        <f>H4273*I4273</f>
        <v/>
      </c>
      <c r="T4273" s="19">
        <f>H4273*J4273</f>
        <v/>
      </c>
      <c r="U4273">
        <f>IF(AND(K4273=0,G4273&lt;=Assumptions!$C$6),1,0)</f>
        <v/>
      </c>
      <c r="V4273">
        <f>IF(U4273=1,IF(M4273&gt;0,IF(P4273&lt;=G4273+Assumptions!$C$7,1,0),0),0)</f>
        <v/>
      </c>
      <c r="W4273">
        <f>IF(AND(U4273=1,M4273&gt;=H4273*(1-Assumptions!$C$8)),1,0)</f>
        <v/>
      </c>
      <c r="X4273">
        <f>IF(AND(U4273=1,N4273&gt;=H4273*(1-Assumptions!$C$8)),1,0)</f>
        <v/>
      </c>
      <c r="Y4273">
        <f>IF(ISNUMBER(Q4273),1,0)</f>
        <v/>
      </c>
      <c r="Z4273">
        <f>IF(AND(K4273=0,L4273=0,Y4273=0),1,0)</f>
        <v/>
      </c>
      <c r="AA4273">
        <f>IF(AND(Z4273=1,G4273&lt;Assumptions!$C$6),1,0)</f>
        <v/>
      </c>
      <c r="AB4273">
        <f>IF(U4273=0,"",IF(Y4273=1,MAX(0,Q4273-G4273),IF(L4273=1,MAX(0,R4273-G4273),MAX(0,Assumptions!$C$6-G4273))))</f>
        <v/>
      </c>
      <c r="AC4273">
        <f>IF(Y4273=1,Q4273-F4273,"")</f>
        <v/>
      </c>
      <c r="AD4273">
        <f>IF(Y4273=1,AC4273^2,"")</f>
        <v/>
      </c>
      <c r="AE4273" s="19">
        <f>IF(Z4273=1,(H4273-M4273)*I4273,0)</f>
        <v/>
      </c>
      <c r="AF4273">
        <f>IF(G4273&lt;EDATE(Assumptions!$C$6,-12)+1,"prior_12m","last_12m")</f>
        <v/>
      </c>
      <c r="AG4273" s="21">
        <f>DATE(YEAR(G4273),MONTH(G4273),1)</f>
        <v/>
      </c>
    </row>
    <row r="4274">
      <c r="A4274" t="inlineStr">
        <is>
          <t>SPO-02286-2</t>
        </is>
      </c>
      <c r="B4274" t="inlineStr">
        <is>
          <t>SPO-02286</t>
        </is>
      </c>
      <c r="C4274" t="inlineStr">
        <is>
          <t>SUP-11</t>
        </is>
      </c>
      <c r="D4274" t="inlineStr">
        <is>
          <t>PPE</t>
        </is>
      </c>
      <c r="E4274" t="inlineStr">
        <is>
          <t>PPE-06</t>
        </is>
      </c>
      <c r="F4274" s="17" t="n">
        <v>46206</v>
      </c>
      <c r="G4274" s="17" t="n">
        <v>46218</v>
      </c>
      <c r="H4274" s="18" t="n">
        <v>34</v>
      </c>
      <c r="I4274" s="19" t="n">
        <v>120.2</v>
      </c>
      <c r="J4274" s="19" t="n">
        <v>115</v>
      </c>
      <c r="K4274" s="20" t="n">
        <v>0</v>
      </c>
      <c r="L4274" s="20" t="n">
        <v>0</v>
      </c>
      <c r="M4274" s="18" t="n">
        <v>34</v>
      </c>
      <c r="N4274" s="18" t="n">
        <v>34</v>
      </c>
      <c r="O4274" s="18" t="n">
        <v>0</v>
      </c>
      <c r="P4274" s="17" t="n">
        <v>46214</v>
      </c>
      <c r="Q4274" s="17" t="n">
        <v>46214</v>
      </c>
      <c r="R4274" s="17" t="n">
        <v>46214</v>
      </c>
      <c r="S4274" s="19">
        <f>H4274*I4274</f>
        <v/>
      </c>
      <c r="T4274" s="19">
        <f>H4274*J4274</f>
        <v/>
      </c>
      <c r="U4274">
        <f>IF(AND(K4274=0,G4274&lt;=Assumptions!$C$6),1,0)</f>
        <v/>
      </c>
      <c r="V4274">
        <f>IF(U4274=1,IF(M4274&gt;0,IF(P4274&lt;=G4274+Assumptions!$C$7,1,0),0),0)</f>
        <v/>
      </c>
      <c r="W4274">
        <f>IF(AND(U4274=1,M4274&gt;=H4274*(1-Assumptions!$C$8)),1,0)</f>
        <v/>
      </c>
      <c r="X4274">
        <f>IF(AND(U4274=1,N4274&gt;=H4274*(1-Assumptions!$C$8)),1,0)</f>
        <v/>
      </c>
      <c r="Y4274">
        <f>IF(ISNUMBER(Q4274),1,0)</f>
        <v/>
      </c>
      <c r="Z4274">
        <f>IF(AND(K4274=0,L4274=0,Y4274=0),1,0)</f>
        <v/>
      </c>
      <c r="AA4274">
        <f>IF(AND(Z4274=1,G4274&lt;Assumptions!$C$6),1,0)</f>
        <v/>
      </c>
      <c r="AB4274">
        <f>IF(U4274=0,"",IF(Y4274=1,MAX(0,Q4274-G4274),IF(L4274=1,MAX(0,R4274-G4274),MAX(0,Assumptions!$C$6-G4274))))</f>
        <v/>
      </c>
      <c r="AC4274">
        <f>IF(Y4274=1,Q4274-F4274,"")</f>
        <v/>
      </c>
      <c r="AD4274">
        <f>IF(Y4274=1,AC4274^2,"")</f>
        <v/>
      </c>
      <c r="AE4274" s="19">
        <f>IF(Z4274=1,(H4274-M4274)*I4274,0)</f>
        <v/>
      </c>
      <c r="AF4274">
        <f>IF(G4274&lt;EDATE(Assumptions!$C$6,-12)+1,"prior_12m","last_12m")</f>
        <v/>
      </c>
      <c r="AG4274" s="21">
        <f>DATE(YEAR(G4274),MONTH(G4274),1)</f>
        <v/>
      </c>
    </row>
    <row r="4275">
      <c r="A4275" t="inlineStr">
        <is>
          <t>SPO-02287-1</t>
        </is>
      </c>
      <c r="B4275" t="inlineStr">
        <is>
          <t>SPO-02287</t>
        </is>
      </c>
      <c r="C4275" t="inlineStr">
        <is>
          <t>SUP-06</t>
        </is>
      </c>
      <c r="D4275" t="inlineStr">
        <is>
          <t>MRO</t>
        </is>
      </c>
      <c r="E4275" t="inlineStr">
        <is>
          <t>MRO-02</t>
        </is>
      </c>
      <c r="F4275" s="17" t="n">
        <v>46207</v>
      </c>
      <c r="G4275" s="17" t="n">
        <v>46215</v>
      </c>
      <c r="H4275" s="18" t="n">
        <v>20</v>
      </c>
      <c r="I4275" s="19" t="n">
        <v>42.87</v>
      </c>
      <c r="J4275" s="19" t="n">
        <v>41</v>
      </c>
      <c r="K4275" s="20" t="n">
        <v>0</v>
      </c>
      <c r="L4275" s="20" t="n">
        <v>0</v>
      </c>
      <c r="M4275" s="18" t="n">
        <v>20</v>
      </c>
      <c r="N4275" s="18" t="n">
        <v>20</v>
      </c>
      <c r="O4275" s="18" t="n">
        <v>0</v>
      </c>
      <c r="P4275" s="17" t="n">
        <v>46213</v>
      </c>
      <c r="Q4275" s="17" t="n">
        <v>46213</v>
      </c>
      <c r="R4275" s="17" t="n">
        <v>46213</v>
      </c>
      <c r="S4275" s="19">
        <f>H4275*I4275</f>
        <v/>
      </c>
      <c r="T4275" s="19">
        <f>H4275*J4275</f>
        <v/>
      </c>
      <c r="U4275">
        <f>IF(AND(K4275=0,G4275&lt;=Assumptions!$C$6),1,0)</f>
        <v/>
      </c>
      <c r="V4275">
        <f>IF(U4275=1,IF(M4275&gt;0,IF(P4275&lt;=G4275+Assumptions!$C$7,1,0),0),0)</f>
        <v/>
      </c>
      <c r="W4275">
        <f>IF(AND(U4275=1,M4275&gt;=H4275*(1-Assumptions!$C$8)),1,0)</f>
        <v/>
      </c>
      <c r="X4275">
        <f>IF(AND(U4275=1,N4275&gt;=H4275*(1-Assumptions!$C$8)),1,0)</f>
        <v/>
      </c>
      <c r="Y4275">
        <f>IF(ISNUMBER(Q4275),1,0)</f>
        <v/>
      </c>
      <c r="Z4275">
        <f>IF(AND(K4275=0,L4275=0,Y4275=0),1,0)</f>
        <v/>
      </c>
      <c r="AA4275">
        <f>IF(AND(Z4275=1,G4275&lt;Assumptions!$C$6),1,0)</f>
        <v/>
      </c>
      <c r="AB4275">
        <f>IF(U4275=0,"",IF(Y4275=1,MAX(0,Q4275-G4275),IF(L4275=1,MAX(0,R4275-G4275),MAX(0,Assumptions!$C$6-G4275))))</f>
        <v/>
      </c>
      <c r="AC4275">
        <f>IF(Y4275=1,Q4275-F4275,"")</f>
        <v/>
      </c>
      <c r="AD4275">
        <f>IF(Y4275=1,AC4275^2,"")</f>
        <v/>
      </c>
      <c r="AE4275" s="19">
        <f>IF(Z4275=1,(H4275-M4275)*I4275,0)</f>
        <v/>
      </c>
      <c r="AF4275">
        <f>IF(G4275&lt;EDATE(Assumptions!$C$6,-12)+1,"prior_12m","last_12m")</f>
        <v/>
      </c>
      <c r="AG4275" s="21">
        <f>DATE(YEAR(G4275),MONTH(G4275),1)</f>
        <v/>
      </c>
    </row>
    <row r="4276">
      <c r="A4276" t="inlineStr">
        <is>
          <t>SPO-02287-2</t>
        </is>
      </c>
      <c r="B4276" t="inlineStr">
        <is>
          <t>SPO-02287</t>
        </is>
      </c>
      <c r="C4276" t="inlineStr">
        <is>
          <t>SUP-06</t>
        </is>
      </c>
      <c r="D4276" t="inlineStr">
        <is>
          <t>MRO</t>
        </is>
      </c>
      <c r="E4276" t="inlineStr">
        <is>
          <t>MRO-06</t>
        </is>
      </c>
      <c r="F4276" s="17" t="n">
        <v>46207</v>
      </c>
      <c r="G4276" s="17" t="n">
        <v>46215</v>
      </c>
      <c r="H4276" s="18" t="n">
        <v>497</v>
      </c>
      <c r="I4276" s="19" t="n">
        <v>5.84</v>
      </c>
      <c r="J4276" s="19" t="n">
        <v>6.1</v>
      </c>
      <c r="K4276" s="20" t="n">
        <v>0</v>
      </c>
      <c r="L4276" s="20" t="n">
        <v>0</v>
      </c>
      <c r="M4276" s="18" t="n">
        <v>497</v>
      </c>
      <c r="N4276" s="18" t="n">
        <v>497</v>
      </c>
      <c r="O4276" s="18" t="n">
        <v>0</v>
      </c>
      <c r="P4276" s="17" t="n">
        <v>46213</v>
      </c>
      <c r="Q4276" s="17" t="n">
        <v>46213</v>
      </c>
      <c r="R4276" s="17" t="n">
        <v>46213</v>
      </c>
      <c r="S4276" s="19">
        <f>H4276*I4276</f>
        <v/>
      </c>
      <c r="T4276" s="19">
        <f>H4276*J4276</f>
        <v/>
      </c>
      <c r="U4276">
        <f>IF(AND(K4276=0,G4276&lt;=Assumptions!$C$6),1,0)</f>
        <v/>
      </c>
      <c r="V4276">
        <f>IF(U4276=1,IF(M4276&gt;0,IF(P4276&lt;=G4276+Assumptions!$C$7,1,0),0),0)</f>
        <v/>
      </c>
      <c r="W4276">
        <f>IF(AND(U4276=1,M4276&gt;=H4276*(1-Assumptions!$C$8)),1,0)</f>
        <v/>
      </c>
      <c r="X4276">
        <f>IF(AND(U4276=1,N4276&gt;=H4276*(1-Assumptions!$C$8)),1,0)</f>
        <v/>
      </c>
      <c r="Y4276">
        <f>IF(ISNUMBER(Q4276),1,0)</f>
        <v/>
      </c>
      <c r="Z4276">
        <f>IF(AND(K4276=0,L4276=0,Y4276=0),1,0)</f>
        <v/>
      </c>
      <c r="AA4276">
        <f>IF(AND(Z4276=1,G4276&lt;Assumptions!$C$6),1,0)</f>
        <v/>
      </c>
      <c r="AB4276">
        <f>IF(U4276=0,"",IF(Y4276=1,MAX(0,Q4276-G4276),IF(L4276=1,MAX(0,R4276-G4276),MAX(0,Assumptions!$C$6-G4276))))</f>
        <v/>
      </c>
      <c r="AC4276">
        <f>IF(Y4276=1,Q4276-F4276,"")</f>
        <v/>
      </c>
      <c r="AD4276">
        <f>IF(Y4276=1,AC4276^2,"")</f>
        <v/>
      </c>
      <c r="AE4276" s="19">
        <f>IF(Z4276=1,(H4276-M4276)*I4276,0)</f>
        <v/>
      </c>
      <c r="AF4276">
        <f>IF(G4276&lt;EDATE(Assumptions!$C$6,-12)+1,"prior_12m","last_12m")</f>
        <v/>
      </c>
      <c r="AG4276" s="21">
        <f>DATE(YEAR(G4276),MONTH(G4276),1)</f>
        <v/>
      </c>
    </row>
    <row r="4277">
      <c r="A4277" t="inlineStr">
        <is>
          <t>SPO-02288-1</t>
        </is>
      </c>
      <c r="B4277" t="inlineStr">
        <is>
          <t>SPO-02288</t>
        </is>
      </c>
      <c r="C4277" t="inlineStr">
        <is>
          <t>SUP-06</t>
        </is>
      </c>
      <c r="D4277" t="inlineStr">
        <is>
          <t>MRO</t>
        </is>
      </c>
      <c r="E4277" t="inlineStr">
        <is>
          <t>MRO-02</t>
        </is>
      </c>
      <c r="F4277" s="17" t="n">
        <v>46207</v>
      </c>
      <c r="G4277" s="17" t="n">
        <v>46215</v>
      </c>
      <c r="H4277" s="18" t="n">
        <v>15</v>
      </c>
      <c r="I4277" s="19" t="n">
        <v>40.39</v>
      </c>
      <c r="J4277" s="19" t="n">
        <v>41</v>
      </c>
      <c r="K4277" s="20" t="n">
        <v>0</v>
      </c>
      <c r="L4277" s="20" t="n">
        <v>0</v>
      </c>
      <c r="M4277" s="18" t="n">
        <v>15</v>
      </c>
      <c r="N4277" s="18" t="n">
        <v>15</v>
      </c>
      <c r="O4277" s="18" t="n">
        <v>0</v>
      </c>
      <c r="P4277" s="17" t="n">
        <v>46211</v>
      </c>
      <c r="Q4277" s="17" t="n">
        <v>46211</v>
      </c>
      <c r="R4277" s="17" t="n">
        <v>46211</v>
      </c>
      <c r="S4277" s="19">
        <f>H4277*I4277</f>
        <v/>
      </c>
      <c r="T4277" s="19">
        <f>H4277*J4277</f>
        <v/>
      </c>
      <c r="U4277">
        <f>IF(AND(K4277=0,G4277&lt;=Assumptions!$C$6),1,0)</f>
        <v/>
      </c>
      <c r="V4277">
        <f>IF(U4277=1,IF(M4277&gt;0,IF(P4277&lt;=G4277+Assumptions!$C$7,1,0),0),0)</f>
        <v/>
      </c>
      <c r="W4277">
        <f>IF(AND(U4277=1,M4277&gt;=H4277*(1-Assumptions!$C$8)),1,0)</f>
        <v/>
      </c>
      <c r="X4277">
        <f>IF(AND(U4277=1,N4277&gt;=H4277*(1-Assumptions!$C$8)),1,0)</f>
        <v/>
      </c>
      <c r="Y4277">
        <f>IF(ISNUMBER(Q4277),1,0)</f>
        <v/>
      </c>
      <c r="Z4277">
        <f>IF(AND(K4277=0,L4277=0,Y4277=0),1,0)</f>
        <v/>
      </c>
      <c r="AA4277">
        <f>IF(AND(Z4277=1,G4277&lt;Assumptions!$C$6),1,0)</f>
        <v/>
      </c>
      <c r="AB4277">
        <f>IF(U4277=0,"",IF(Y4277=1,MAX(0,Q4277-G4277),IF(L4277=1,MAX(0,R4277-G4277),MAX(0,Assumptions!$C$6-G4277))))</f>
        <v/>
      </c>
      <c r="AC4277">
        <f>IF(Y4277=1,Q4277-F4277,"")</f>
        <v/>
      </c>
      <c r="AD4277">
        <f>IF(Y4277=1,AC4277^2,"")</f>
        <v/>
      </c>
      <c r="AE4277" s="19">
        <f>IF(Z4277=1,(H4277-M4277)*I4277,0)</f>
        <v/>
      </c>
      <c r="AF4277">
        <f>IF(G4277&lt;EDATE(Assumptions!$C$6,-12)+1,"prior_12m","last_12m")</f>
        <v/>
      </c>
      <c r="AG4277" s="21">
        <f>DATE(YEAR(G4277),MONTH(G4277),1)</f>
        <v/>
      </c>
    </row>
    <row r="4278">
      <c r="A4278" t="inlineStr">
        <is>
          <t>SPO-02289-1</t>
        </is>
      </c>
      <c r="B4278" t="inlineStr">
        <is>
          <t>SPO-02289</t>
        </is>
      </c>
      <c r="C4278" t="inlineStr">
        <is>
          <t>SUP-08</t>
        </is>
      </c>
      <c r="D4278" t="inlineStr">
        <is>
          <t>PPE</t>
        </is>
      </c>
      <c r="E4278" t="inlineStr">
        <is>
          <t>PPE-03</t>
        </is>
      </c>
      <c r="F4278" s="17" t="n">
        <v>46207</v>
      </c>
      <c r="G4278" s="17" t="n">
        <v>46218</v>
      </c>
      <c r="H4278" s="18" t="n">
        <v>121</v>
      </c>
      <c r="I4278" s="19" t="n">
        <v>20.92</v>
      </c>
      <c r="J4278" s="19" t="n">
        <v>21</v>
      </c>
      <c r="K4278" s="20" t="n">
        <v>0</v>
      </c>
      <c r="L4278" s="20" t="n">
        <v>0</v>
      </c>
      <c r="M4278" s="18" t="n">
        <v>121</v>
      </c>
      <c r="N4278" s="18" t="n">
        <v>121</v>
      </c>
      <c r="O4278" s="18" t="n">
        <v>0</v>
      </c>
      <c r="P4278" s="17" t="n">
        <v>46216</v>
      </c>
      <c r="Q4278" s="17" t="n">
        <v>46216</v>
      </c>
      <c r="R4278" s="17" t="n">
        <v>46216</v>
      </c>
      <c r="S4278" s="19">
        <f>H4278*I4278</f>
        <v/>
      </c>
      <c r="T4278" s="19">
        <f>H4278*J4278</f>
        <v/>
      </c>
      <c r="U4278">
        <f>IF(AND(K4278=0,G4278&lt;=Assumptions!$C$6),1,0)</f>
        <v/>
      </c>
      <c r="V4278">
        <f>IF(U4278=1,IF(M4278&gt;0,IF(P4278&lt;=G4278+Assumptions!$C$7,1,0),0),0)</f>
        <v/>
      </c>
      <c r="W4278">
        <f>IF(AND(U4278=1,M4278&gt;=H4278*(1-Assumptions!$C$8)),1,0)</f>
        <v/>
      </c>
      <c r="X4278">
        <f>IF(AND(U4278=1,N4278&gt;=H4278*(1-Assumptions!$C$8)),1,0)</f>
        <v/>
      </c>
      <c r="Y4278">
        <f>IF(ISNUMBER(Q4278),1,0)</f>
        <v/>
      </c>
      <c r="Z4278">
        <f>IF(AND(K4278=0,L4278=0,Y4278=0),1,0)</f>
        <v/>
      </c>
      <c r="AA4278">
        <f>IF(AND(Z4278=1,G4278&lt;Assumptions!$C$6),1,0)</f>
        <v/>
      </c>
      <c r="AB4278">
        <f>IF(U4278=0,"",IF(Y4278=1,MAX(0,Q4278-G4278),IF(L4278=1,MAX(0,R4278-G4278),MAX(0,Assumptions!$C$6-G4278))))</f>
        <v/>
      </c>
      <c r="AC4278">
        <f>IF(Y4278=1,Q4278-F4278,"")</f>
        <v/>
      </c>
      <c r="AD4278">
        <f>IF(Y4278=1,AC4278^2,"")</f>
        <v/>
      </c>
      <c r="AE4278" s="19">
        <f>IF(Z4278=1,(H4278-M4278)*I4278,0)</f>
        <v/>
      </c>
      <c r="AF4278">
        <f>IF(G4278&lt;EDATE(Assumptions!$C$6,-12)+1,"prior_12m","last_12m")</f>
        <v/>
      </c>
      <c r="AG4278" s="21">
        <f>DATE(YEAR(G4278),MONTH(G4278),1)</f>
        <v/>
      </c>
    </row>
    <row r="4279">
      <c r="A4279" t="inlineStr">
        <is>
          <t>SPO-02289-2</t>
        </is>
      </c>
      <c r="B4279" t="inlineStr">
        <is>
          <t>SPO-02289</t>
        </is>
      </c>
      <c r="C4279" t="inlineStr">
        <is>
          <t>SUP-08</t>
        </is>
      </c>
      <c r="D4279" t="inlineStr">
        <is>
          <t>PPE</t>
        </is>
      </c>
      <c r="E4279" t="inlineStr">
        <is>
          <t>PPE-05</t>
        </is>
      </c>
      <c r="F4279" s="17" t="n">
        <v>46207</v>
      </c>
      <c r="G4279" s="17" t="n">
        <v>46218</v>
      </c>
      <c r="H4279" s="18" t="n">
        <v>111</v>
      </c>
      <c r="I4279" s="19" t="n">
        <v>10.52</v>
      </c>
      <c r="J4279" s="19" t="n">
        <v>11</v>
      </c>
      <c r="K4279" s="20" t="n">
        <v>0</v>
      </c>
      <c r="L4279" s="20" t="n">
        <v>0</v>
      </c>
      <c r="M4279" s="18" t="n">
        <v>111</v>
      </c>
      <c r="N4279" s="18" t="n">
        <v>111</v>
      </c>
      <c r="O4279" s="18" t="n">
        <v>0</v>
      </c>
      <c r="P4279" s="17" t="n">
        <v>46216</v>
      </c>
      <c r="Q4279" s="17" t="n">
        <v>46216</v>
      </c>
      <c r="R4279" s="17" t="n">
        <v>46216</v>
      </c>
      <c r="S4279" s="19">
        <f>H4279*I4279</f>
        <v/>
      </c>
      <c r="T4279" s="19">
        <f>H4279*J4279</f>
        <v/>
      </c>
      <c r="U4279">
        <f>IF(AND(K4279=0,G4279&lt;=Assumptions!$C$6),1,0)</f>
        <v/>
      </c>
      <c r="V4279">
        <f>IF(U4279=1,IF(M4279&gt;0,IF(P4279&lt;=G4279+Assumptions!$C$7,1,0),0),0)</f>
        <v/>
      </c>
      <c r="W4279">
        <f>IF(AND(U4279=1,M4279&gt;=H4279*(1-Assumptions!$C$8)),1,0)</f>
        <v/>
      </c>
      <c r="X4279">
        <f>IF(AND(U4279=1,N4279&gt;=H4279*(1-Assumptions!$C$8)),1,0)</f>
        <v/>
      </c>
      <c r="Y4279">
        <f>IF(ISNUMBER(Q4279),1,0)</f>
        <v/>
      </c>
      <c r="Z4279">
        <f>IF(AND(K4279=0,L4279=0,Y4279=0),1,0)</f>
        <v/>
      </c>
      <c r="AA4279">
        <f>IF(AND(Z4279=1,G4279&lt;Assumptions!$C$6),1,0)</f>
        <v/>
      </c>
      <c r="AB4279">
        <f>IF(U4279=0,"",IF(Y4279=1,MAX(0,Q4279-G4279),IF(L4279=1,MAX(0,R4279-G4279),MAX(0,Assumptions!$C$6-G4279))))</f>
        <v/>
      </c>
      <c r="AC4279">
        <f>IF(Y4279=1,Q4279-F4279,"")</f>
        <v/>
      </c>
      <c r="AD4279">
        <f>IF(Y4279=1,AC4279^2,"")</f>
        <v/>
      </c>
      <c r="AE4279" s="19">
        <f>IF(Z4279=1,(H4279-M4279)*I4279,0)</f>
        <v/>
      </c>
      <c r="AF4279">
        <f>IF(G4279&lt;EDATE(Assumptions!$C$6,-12)+1,"prior_12m","last_12m")</f>
        <v/>
      </c>
      <c r="AG4279" s="21">
        <f>DATE(YEAR(G4279),MONTH(G4279),1)</f>
        <v/>
      </c>
    </row>
    <row r="4280">
      <c r="A4280" t="inlineStr">
        <is>
          <t>SPO-02289-3</t>
        </is>
      </c>
      <c r="B4280" t="inlineStr">
        <is>
          <t>SPO-02289</t>
        </is>
      </c>
      <c r="C4280" t="inlineStr">
        <is>
          <t>SUP-08</t>
        </is>
      </c>
      <c r="D4280" t="inlineStr">
        <is>
          <t>PPE</t>
        </is>
      </c>
      <c r="E4280" t="inlineStr">
        <is>
          <t>PPE-01</t>
        </is>
      </c>
      <c r="F4280" s="17" t="n">
        <v>46207</v>
      </c>
      <c r="G4280" s="17" t="n">
        <v>46218</v>
      </c>
      <c r="H4280" s="18" t="n">
        <v>229</v>
      </c>
      <c r="I4280" s="19" t="n">
        <v>4.57</v>
      </c>
      <c r="J4280" s="19" t="n">
        <v>4.8</v>
      </c>
      <c r="K4280" s="20" t="n">
        <v>0</v>
      </c>
      <c r="L4280" s="20" t="n">
        <v>0</v>
      </c>
      <c r="M4280" s="18" t="n">
        <v>229</v>
      </c>
      <c r="N4280" s="18" t="n">
        <v>229</v>
      </c>
      <c r="O4280" s="18" t="n">
        <v>0</v>
      </c>
      <c r="P4280" s="17" t="n">
        <v>46216</v>
      </c>
      <c r="Q4280" s="17" t="n">
        <v>46216</v>
      </c>
      <c r="R4280" s="17" t="n">
        <v>46216</v>
      </c>
      <c r="S4280" s="19">
        <f>H4280*I4280</f>
        <v/>
      </c>
      <c r="T4280" s="19">
        <f>H4280*J4280</f>
        <v/>
      </c>
      <c r="U4280">
        <f>IF(AND(K4280=0,G4280&lt;=Assumptions!$C$6),1,0)</f>
        <v/>
      </c>
      <c r="V4280">
        <f>IF(U4280=1,IF(M4280&gt;0,IF(P4280&lt;=G4280+Assumptions!$C$7,1,0),0),0)</f>
        <v/>
      </c>
      <c r="W4280">
        <f>IF(AND(U4280=1,M4280&gt;=H4280*(1-Assumptions!$C$8)),1,0)</f>
        <v/>
      </c>
      <c r="X4280">
        <f>IF(AND(U4280=1,N4280&gt;=H4280*(1-Assumptions!$C$8)),1,0)</f>
        <v/>
      </c>
      <c r="Y4280">
        <f>IF(ISNUMBER(Q4280),1,0)</f>
        <v/>
      </c>
      <c r="Z4280">
        <f>IF(AND(K4280=0,L4280=0,Y4280=0),1,0)</f>
        <v/>
      </c>
      <c r="AA4280">
        <f>IF(AND(Z4280=1,G4280&lt;Assumptions!$C$6),1,0)</f>
        <v/>
      </c>
      <c r="AB4280">
        <f>IF(U4280=0,"",IF(Y4280=1,MAX(0,Q4280-G4280),IF(L4280=1,MAX(0,R4280-G4280),MAX(0,Assumptions!$C$6-G4280))))</f>
        <v/>
      </c>
      <c r="AC4280">
        <f>IF(Y4280=1,Q4280-F4280,"")</f>
        <v/>
      </c>
      <c r="AD4280">
        <f>IF(Y4280=1,AC4280^2,"")</f>
        <v/>
      </c>
      <c r="AE4280" s="19">
        <f>IF(Z4280=1,(H4280-M4280)*I4280,0)</f>
        <v/>
      </c>
      <c r="AF4280">
        <f>IF(G4280&lt;EDATE(Assumptions!$C$6,-12)+1,"prior_12m","last_12m")</f>
        <v/>
      </c>
      <c r="AG4280" s="21">
        <f>DATE(YEAR(G4280),MONTH(G4280),1)</f>
        <v/>
      </c>
    </row>
    <row r="4281">
      <c r="A4281" t="inlineStr">
        <is>
          <t>SPO-02290-1</t>
        </is>
      </c>
      <c r="B4281" t="inlineStr">
        <is>
          <t>SPO-02290</t>
        </is>
      </c>
      <c r="C4281" t="inlineStr">
        <is>
          <t>SUP-12</t>
        </is>
      </c>
      <c r="D4281" t="inlineStr">
        <is>
          <t>IT</t>
        </is>
      </c>
      <c r="E4281" t="inlineStr">
        <is>
          <t>IT-06</t>
        </is>
      </c>
      <c r="F4281" s="17" t="n">
        <v>46207</v>
      </c>
      <c r="G4281" s="17" t="n">
        <v>46217</v>
      </c>
      <c r="H4281" s="18" t="n">
        <v>31</v>
      </c>
      <c r="I4281" s="19" t="n">
        <v>98.18000000000001</v>
      </c>
      <c r="J4281" s="19" t="n">
        <v>89</v>
      </c>
      <c r="K4281" s="20" t="n">
        <v>0</v>
      </c>
      <c r="L4281" s="20" t="n">
        <v>0</v>
      </c>
      <c r="M4281" s="18" t="n">
        <v>31</v>
      </c>
      <c r="N4281" s="18" t="n">
        <v>31</v>
      </c>
      <c r="O4281" s="18" t="n">
        <v>0</v>
      </c>
      <c r="P4281" s="17" t="n">
        <v>46214</v>
      </c>
      <c r="Q4281" s="17" t="n">
        <v>46214</v>
      </c>
      <c r="R4281" s="17" t="n">
        <v>46214</v>
      </c>
      <c r="S4281" s="19">
        <f>H4281*I4281</f>
        <v/>
      </c>
      <c r="T4281" s="19">
        <f>H4281*J4281</f>
        <v/>
      </c>
      <c r="U4281">
        <f>IF(AND(K4281=0,G4281&lt;=Assumptions!$C$6),1,0)</f>
        <v/>
      </c>
      <c r="V4281">
        <f>IF(U4281=1,IF(M4281&gt;0,IF(P4281&lt;=G4281+Assumptions!$C$7,1,0),0),0)</f>
        <v/>
      </c>
      <c r="W4281">
        <f>IF(AND(U4281=1,M4281&gt;=H4281*(1-Assumptions!$C$8)),1,0)</f>
        <v/>
      </c>
      <c r="X4281">
        <f>IF(AND(U4281=1,N4281&gt;=H4281*(1-Assumptions!$C$8)),1,0)</f>
        <v/>
      </c>
      <c r="Y4281">
        <f>IF(ISNUMBER(Q4281),1,0)</f>
        <v/>
      </c>
      <c r="Z4281">
        <f>IF(AND(K4281=0,L4281=0,Y4281=0),1,0)</f>
        <v/>
      </c>
      <c r="AA4281">
        <f>IF(AND(Z4281=1,G4281&lt;Assumptions!$C$6),1,0)</f>
        <v/>
      </c>
      <c r="AB4281">
        <f>IF(U4281=0,"",IF(Y4281=1,MAX(0,Q4281-G4281),IF(L4281=1,MAX(0,R4281-G4281),MAX(0,Assumptions!$C$6-G4281))))</f>
        <v/>
      </c>
      <c r="AC4281">
        <f>IF(Y4281=1,Q4281-F4281,"")</f>
        <v/>
      </c>
      <c r="AD4281">
        <f>IF(Y4281=1,AC4281^2,"")</f>
        <v/>
      </c>
      <c r="AE4281" s="19">
        <f>IF(Z4281=1,(H4281-M4281)*I4281,0)</f>
        <v/>
      </c>
      <c r="AF4281">
        <f>IF(G4281&lt;EDATE(Assumptions!$C$6,-12)+1,"prior_12m","last_12m")</f>
        <v/>
      </c>
      <c r="AG4281" s="21">
        <f>DATE(YEAR(G4281),MONTH(G4281),1)</f>
        <v/>
      </c>
    </row>
    <row r="4282">
      <c r="A4282" t="inlineStr">
        <is>
          <t>SPO-02291-1</t>
        </is>
      </c>
      <c r="B4282" t="inlineStr">
        <is>
          <t>SPO-02291</t>
        </is>
      </c>
      <c r="C4282" t="inlineStr">
        <is>
          <t>SUP-12</t>
        </is>
      </c>
      <c r="D4282" t="inlineStr">
        <is>
          <t>IT</t>
        </is>
      </c>
      <c r="E4282" t="inlineStr">
        <is>
          <t>IT-03</t>
        </is>
      </c>
      <c r="F4282" s="17" t="n">
        <v>46208</v>
      </c>
      <c r="G4282" s="17" t="n">
        <v>46218</v>
      </c>
      <c r="H4282" s="18" t="n">
        <v>11</v>
      </c>
      <c r="I4282" s="19" t="n">
        <v>42.42</v>
      </c>
      <c r="J4282" s="19" t="n">
        <v>38</v>
      </c>
      <c r="K4282" s="20" t="n">
        <v>0</v>
      </c>
      <c r="L4282" s="20" t="n">
        <v>0</v>
      </c>
      <c r="M4282" s="18" t="n">
        <v>11</v>
      </c>
      <c r="N4282" s="18" t="n">
        <v>11</v>
      </c>
      <c r="O4282" s="18" t="n">
        <v>0</v>
      </c>
      <c r="P4282" s="17" t="n">
        <v>46215</v>
      </c>
      <c r="Q4282" s="17" t="n">
        <v>46215</v>
      </c>
      <c r="R4282" s="17" t="n">
        <v>46215</v>
      </c>
      <c r="S4282" s="19">
        <f>H4282*I4282</f>
        <v/>
      </c>
      <c r="T4282" s="19">
        <f>H4282*J4282</f>
        <v/>
      </c>
      <c r="U4282">
        <f>IF(AND(K4282=0,G4282&lt;=Assumptions!$C$6),1,0)</f>
        <v/>
      </c>
      <c r="V4282">
        <f>IF(U4282=1,IF(M4282&gt;0,IF(P4282&lt;=G4282+Assumptions!$C$7,1,0),0),0)</f>
        <v/>
      </c>
      <c r="W4282">
        <f>IF(AND(U4282=1,M4282&gt;=H4282*(1-Assumptions!$C$8)),1,0)</f>
        <v/>
      </c>
      <c r="X4282">
        <f>IF(AND(U4282=1,N4282&gt;=H4282*(1-Assumptions!$C$8)),1,0)</f>
        <v/>
      </c>
      <c r="Y4282">
        <f>IF(ISNUMBER(Q4282),1,0)</f>
        <v/>
      </c>
      <c r="Z4282">
        <f>IF(AND(K4282=0,L4282=0,Y4282=0),1,0)</f>
        <v/>
      </c>
      <c r="AA4282">
        <f>IF(AND(Z4282=1,G4282&lt;Assumptions!$C$6),1,0)</f>
        <v/>
      </c>
      <c r="AB4282">
        <f>IF(U4282=0,"",IF(Y4282=1,MAX(0,Q4282-G4282),IF(L4282=1,MAX(0,R4282-G4282),MAX(0,Assumptions!$C$6-G4282))))</f>
        <v/>
      </c>
      <c r="AC4282">
        <f>IF(Y4282=1,Q4282-F4282,"")</f>
        <v/>
      </c>
      <c r="AD4282">
        <f>IF(Y4282=1,AC4282^2,"")</f>
        <v/>
      </c>
      <c r="AE4282" s="19">
        <f>IF(Z4282=1,(H4282-M4282)*I4282,0)</f>
        <v/>
      </c>
      <c r="AF4282">
        <f>IF(G4282&lt;EDATE(Assumptions!$C$6,-12)+1,"prior_12m","last_12m")</f>
        <v/>
      </c>
      <c r="AG4282" s="21">
        <f>DATE(YEAR(G4282),MONTH(G4282),1)</f>
        <v/>
      </c>
    </row>
    <row r="4283">
      <c r="A4283" t="inlineStr">
        <is>
          <t>SPO-02292-1</t>
        </is>
      </c>
      <c r="B4283" t="inlineStr">
        <is>
          <t>SPO-02292</t>
        </is>
      </c>
      <c r="C4283" t="inlineStr">
        <is>
          <t>SUP-05</t>
        </is>
      </c>
      <c r="D4283" t="inlineStr">
        <is>
          <t>FLEET</t>
        </is>
      </c>
      <c r="E4283" t="inlineStr">
        <is>
          <t>FLEET-02</t>
        </is>
      </c>
      <c r="F4283" s="17" t="n">
        <v>46208</v>
      </c>
      <c r="G4283" s="17" t="n">
        <v>46222</v>
      </c>
      <c r="H4283" s="18" t="n">
        <v>200</v>
      </c>
      <c r="I4283" s="19" t="n">
        <v>7.27</v>
      </c>
      <c r="J4283" s="19" t="n">
        <v>7.5</v>
      </c>
      <c r="K4283" s="20" t="n">
        <v>0</v>
      </c>
      <c r="L4283" s="20" t="n">
        <v>0</v>
      </c>
      <c r="M4283" s="18" t="n">
        <v>200</v>
      </c>
      <c r="N4283" s="18" t="n">
        <v>200</v>
      </c>
      <c r="O4283" s="18" t="n">
        <v>0</v>
      </c>
      <c r="P4283" s="17" t="n">
        <v>46218</v>
      </c>
      <c r="Q4283" s="17" t="n">
        <v>46218</v>
      </c>
      <c r="R4283" s="17" t="n">
        <v>46218</v>
      </c>
      <c r="S4283" s="19">
        <f>H4283*I4283</f>
        <v/>
      </c>
      <c r="T4283" s="19">
        <f>H4283*J4283</f>
        <v/>
      </c>
      <c r="U4283">
        <f>IF(AND(K4283=0,G4283&lt;=Assumptions!$C$6),1,0)</f>
        <v/>
      </c>
      <c r="V4283">
        <f>IF(U4283=1,IF(M4283&gt;0,IF(P4283&lt;=G4283+Assumptions!$C$7,1,0),0),0)</f>
        <v/>
      </c>
      <c r="W4283">
        <f>IF(AND(U4283=1,M4283&gt;=H4283*(1-Assumptions!$C$8)),1,0)</f>
        <v/>
      </c>
      <c r="X4283">
        <f>IF(AND(U4283=1,N4283&gt;=H4283*(1-Assumptions!$C$8)),1,0)</f>
        <v/>
      </c>
      <c r="Y4283">
        <f>IF(ISNUMBER(Q4283),1,0)</f>
        <v/>
      </c>
      <c r="Z4283">
        <f>IF(AND(K4283=0,L4283=0,Y4283=0),1,0)</f>
        <v/>
      </c>
      <c r="AA4283">
        <f>IF(AND(Z4283=1,G4283&lt;Assumptions!$C$6),1,0)</f>
        <v/>
      </c>
      <c r="AB4283">
        <f>IF(U4283=0,"",IF(Y4283=1,MAX(0,Q4283-G4283),IF(L4283=1,MAX(0,R4283-G4283),MAX(0,Assumptions!$C$6-G4283))))</f>
        <v/>
      </c>
      <c r="AC4283">
        <f>IF(Y4283=1,Q4283-F4283,"")</f>
        <v/>
      </c>
      <c r="AD4283">
        <f>IF(Y4283=1,AC4283^2,"")</f>
        <v/>
      </c>
      <c r="AE4283" s="19">
        <f>IF(Z4283=1,(H4283-M4283)*I4283,0)</f>
        <v/>
      </c>
      <c r="AF4283">
        <f>IF(G4283&lt;EDATE(Assumptions!$C$6,-12)+1,"prior_12m","last_12m")</f>
        <v/>
      </c>
      <c r="AG4283" s="21">
        <f>DATE(YEAR(G4283),MONTH(G4283),1)</f>
        <v/>
      </c>
    </row>
    <row r="4284">
      <c r="A4284" t="inlineStr">
        <is>
          <t>SPO-02292-2</t>
        </is>
      </c>
      <c r="B4284" t="inlineStr">
        <is>
          <t>SPO-02292</t>
        </is>
      </c>
      <c r="C4284" t="inlineStr">
        <is>
          <t>SUP-05</t>
        </is>
      </c>
      <c r="D4284" t="inlineStr">
        <is>
          <t>FLEET</t>
        </is>
      </c>
      <c r="E4284" t="inlineStr">
        <is>
          <t>FLEET-08</t>
        </is>
      </c>
      <c r="F4284" s="17" t="n">
        <v>46208</v>
      </c>
      <c r="G4284" s="17" t="n">
        <v>46222</v>
      </c>
      <c r="H4284" s="18" t="n">
        <v>74</v>
      </c>
      <c r="I4284" s="19" t="n">
        <v>6.53</v>
      </c>
      <c r="J4284" s="19" t="n">
        <v>6.4</v>
      </c>
      <c r="K4284" s="20" t="n">
        <v>0</v>
      </c>
      <c r="L4284" s="20" t="n">
        <v>0</v>
      </c>
      <c r="M4284" s="18" t="n">
        <v>74</v>
      </c>
      <c r="N4284" s="18" t="n">
        <v>74</v>
      </c>
      <c r="O4284" s="18" t="n">
        <v>0</v>
      </c>
      <c r="P4284" s="17" t="n">
        <v>46220</v>
      </c>
      <c r="Q4284" s="17" t="n">
        <v>46220</v>
      </c>
      <c r="R4284" s="17" t="n">
        <v>46220</v>
      </c>
      <c r="S4284" s="19">
        <f>H4284*I4284</f>
        <v/>
      </c>
      <c r="T4284" s="19">
        <f>H4284*J4284</f>
        <v/>
      </c>
      <c r="U4284">
        <f>IF(AND(K4284=0,G4284&lt;=Assumptions!$C$6),1,0)</f>
        <v/>
      </c>
      <c r="V4284">
        <f>IF(U4284=1,IF(M4284&gt;0,IF(P4284&lt;=G4284+Assumptions!$C$7,1,0),0),0)</f>
        <v/>
      </c>
      <c r="W4284">
        <f>IF(AND(U4284=1,M4284&gt;=H4284*(1-Assumptions!$C$8)),1,0)</f>
        <v/>
      </c>
      <c r="X4284">
        <f>IF(AND(U4284=1,N4284&gt;=H4284*(1-Assumptions!$C$8)),1,0)</f>
        <v/>
      </c>
      <c r="Y4284">
        <f>IF(ISNUMBER(Q4284),1,0)</f>
        <v/>
      </c>
      <c r="Z4284">
        <f>IF(AND(K4284=0,L4284=0,Y4284=0),1,0)</f>
        <v/>
      </c>
      <c r="AA4284">
        <f>IF(AND(Z4284=1,G4284&lt;Assumptions!$C$6),1,0)</f>
        <v/>
      </c>
      <c r="AB4284">
        <f>IF(U4284=0,"",IF(Y4284=1,MAX(0,Q4284-G4284),IF(L4284=1,MAX(0,R4284-G4284),MAX(0,Assumptions!$C$6-G4284))))</f>
        <v/>
      </c>
      <c r="AC4284">
        <f>IF(Y4284=1,Q4284-F4284,"")</f>
        <v/>
      </c>
      <c r="AD4284">
        <f>IF(Y4284=1,AC4284^2,"")</f>
        <v/>
      </c>
      <c r="AE4284" s="19">
        <f>IF(Z4284=1,(H4284-M4284)*I4284,0)</f>
        <v/>
      </c>
      <c r="AF4284">
        <f>IF(G4284&lt;EDATE(Assumptions!$C$6,-12)+1,"prior_12m","last_12m")</f>
        <v/>
      </c>
      <c r="AG4284" s="21">
        <f>DATE(YEAR(G4284),MONTH(G4284),1)</f>
        <v/>
      </c>
    </row>
    <row r="4285">
      <c r="A4285" t="inlineStr">
        <is>
          <t>SPO-02292-3</t>
        </is>
      </c>
      <c r="B4285" t="inlineStr">
        <is>
          <t>SPO-02292</t>
        </is>
      </c>
      <c r="C4285" t="inlineStr">
        <is>
          <t>SUP-05</t>
        </is>
      </c>
      <c r="D4285" t="inlineStr">
        <is>
          <t>FLEET</t>
        </is>
      </c>
      <c r="E4285" t="inlineStr">
        <is>
          <t>FLEET-06</t>
        </is>
      </c>
      <c r="F4285" s="17" t="n">
        <v>46208</v>
      </c>
      <c r="G4285" s="17" t="n">
        <v>46222</v>
      </c>
      <c r="H4285" s="18" t="n">
        <v>17</v>
      </c>
      <c r="I4285" s="19" t="n">
        <v>31.31</v>
      </c>
      <c r="J4285" s="19" t="n">
        <v>33</v>
      </c>
      <c r="K4285" s="20" t="n">
        <v>0</v>
      </c>
      <c r="L4285" s="20" t="n">
        <v>0</v>
      </c>
      <c r="M4285" s="18" t="n">
        <v>17</v>
      </c>
      <c r="N4285" s="18" t="n">
        <v>17</v>
      </c>
      <c r="O4285" s="18" t="n">
        <v>0</v>
      </c>
      <c r="P4285" s="17" t="n">
        <v>46218</v>
      </c>
      <c r="Q4285" s="17" t="n">
        <v>46218</v>
      </c>
      <c r="R4285" s="17" t="n">
        <v>46218</v>
      </c>
      <c r="S4285" s="19">
        <f>H4285*I4285</f>
        <v/>
      </c>
      <c r="T4285" s="19">
        <f>H4285*J4285</f>
        <v/>
      </c>
      <c r="U4285">
        <f>IF(AND(K4285=0,G4285&lt;=Assumptions!$C$6),1,0)</f>
        <v/>
      </c>
      <c r="V4285">
        <f>IF(U4285=1,IF(M4285&gt;0,IF(P4285&lt;=G4285+Assumptions!$C$7,1,0),0),0)</f>
        <v/>
      </c>
      <c r="W4285">
        <f>IF(AND(U4285=1,M4285&gt;=H4285*(1-Assumptions!$C$8)),1,0)</f>
        <v/>
      </c>
      <c r="X4285">
        <f>IF(AND(U4285=1,N4285&gt;=H4285*(1-Assumptions!$C$8)),1,0)</f>
        <v/>
      </c>
      <c r="Y4285">
        <f>IF(ISNUMBER(Q4285),1,0)</f>
        <v/>
      </c>
      <c r="Z4285">
        <f>IF(AND(K4285=0,L4285=0,Y4285=0),1,0)</f>
        <v/>
      </c>
      <c r="AA4285">
        <f>IF(AND(Z4285=1,G4285&lt;Assumptions!$C$6),1,0)</f>
        <v/>
      </c>
      <c r="AB4285">
        <f>IF(U4285=0,"",IF(Y4285=1,MAX(0,Q4285-G4285),IF(L4285=1,MAX(0,R4285-G4285),MAX(0,Assumptions!$C$6-G4285))))</f>
        <v/>
      </c>
      <c r="AC4285">
        <f>IF(Y4285=1,Q4285-F4285,"")</f>
        <v/>
      </c>
      <c r="AD4285">
        <f>IF(Y4285=1,AC4285^2,"")</f>
        <v/>
      </c>
      <c r="AE4285" s="19">
        <f>IF(Z4285=1,(H4285-M4285)*I4285,0)</f>
        <v/>
      </c>
      <c r="AF4285">
        <f>IF(G4285&lt;EDATE(Assumptions!$C$6,-12)+1,"prior_12m","last_12m")</f>
        <v/>
      </c>
      <c r="AG4285" s="21">
        <f>DATE(YEAR(G4285),MONTH(G4285),1)</f>
        <v/>
      </c>
    </row>
    <row r="4286">
      <c r="A4286" t="inlineStr">
        <is>
          <t>SPO-02293-1</t>
        </is>
      </c>
      <c r="B4286" t="inlineStr">
        <is>
          <t>SPO-02293</t>
        </is>
      </c>
      <c r="C4286" t="inlineStr">
        <is>
          <t>SUP-04</t>
        </is>
      </c>
      <c r="D4286" t="inlineStr">
        <is>
          <t>FLEET</t>
        </is>
      </c>
      <c r="E4286" t="inlineStr">
        <is>
          <t>FLEET-02</t>
        </is>
      </c>
      <c r="F4286" s="17" t="n">
        <v>46208</v>
      </c>
      <c r="G4286" s="17" t="n">
        <v>46221</v>
      </c>
      <c r="H4286" s="18" t="n">
        <v>182</v>
      </c>
      <c r="I4286" s="19" t="n">
        <v>7.53</v>
      </c>
      <c r="J4286" s="19" t="n">
        <v>7.5</v>
      </c>
      <c r="K4286" s="20" t="n">
        <v>0</v>
      </c>
      <c r="L4286" s="20" t="n">
        <v>0</v>
      </c>
      <c r="M4286" s="18" t="n">
        <v>182</v>
      </c>
      <c r="N4286" s="18" t="n">
        <v>182</v>
      </c>
      <c r="O4286" s="18" t="n">
        <v>0</v>
      </c>
      <c r="P4286" s="17" t="n">
        <v>46221</v>
      </c>
      <c r="Q4286" s="17" t="n">
        <v>46221</v>
      </c>
      <c r="R4286" s="17" t="n">
        <v>46221</v>
      </c>
      <c r="S4286" s="19">
        <f>H4286*I4286</f>
        <v/>
      </c>
      <c r="T4286" s="19">
        <f>H4286*J4286</f>
        <v/>
      </c>
      <c r="U4286">
        <f>IF(AND(K4286=0,G4286&lt;=Assumptions!$C$6),1,0)</f>
        <v/>
      </c>
      <c r="V4286">
        <f>IF(U4286=1,IF(M4286&gt;0,IF(P4286&lt;=G4286+Assumptions!$C$7,1,0),0),0)</f>
        <v/>
      </c>
      <c r="W4286">
        <f>IF(AND(U4286=1,M4286&gt;=H4286*(1-Assumptions!$C$8)),1,0)</f>
        <v/>
      </c>
      <c r="X4286">
        <f>IF(AND(U4286=1,N4286&gt;=H4286*(1-Assumptions!$C$8)),1,0)</f>
        <v/>
      </c>
      <c r="Y4286">
        <f>IF(ISNUMBER(Q4286),1,0)</f>
        <v/>
      </c>
      <c r="Z4286">
        <f>IF(AND(K4286=0,L4286=0,Y4286=0),1,0)</f>
        <v/>
      </c>
      <c r="AA4286">
        <f>IF(AND(Z4286=1,G4286&lt;Assumptions!$C$6),1,0)</f>
        <v/>
      </c>
      <c r="AB4286">
        <f>IF(U4286=0,"",IF(Y4286=1,MAX(0,Q4286-G4286),IF(L4286=1,MAX(0,R4286-G4286),MAX(0,Assumptions!$C$6-G4286))))</f>
        <v/>
      </c>
      <c r="AC4286">
        <f>IF(Y4286=1,Q4286-F4286,"")</f>
        <v/>
      </c>
      <c r="AD4286">
        <f>IF(Y4286=1,AC4286^2,"")</f>
        <v/>
      </c>
      <c r="AE4286" s="19">
        <f>IF(Z4286=1,(H4286-M4286)*I4286,0)</f>
        <v/>
      </c>
      <c r="AF4286">
        <f>IF(G4286&lt;EDATE(Assumptions!$C$6,-12)+1,"prior_12m","last_12m")</f>
        <v/>
      </c>
      <c r="AG4286" s="21">
        <f>DATE(YEAR(G4286),MONTH(G4286),1)</f>
        <v/>
      </c>
    </row>
    <row r="4287">
      <c r="A4287" t="inlineStr">
        <is>
          <t>SPO-02293-2</t>
        </is>
      </c>
      <c r="B4287" t="inlineStr">
        <is>
          <t>SPO-02293</t>
        </is>
      </c>
      <c r="C4287" t="inlineStr">
        <is>
          <t>SUP-04</t>
        </is>
      </c>
      <c r="D4287" t="inlineStr">
        <is>
          <t>FLEET</t>
        </is>
      </c>
      <c r="E4287" t="inlineStr">
        <is>
          <t>FLEET-06</t>
        </is>
      </c>
      <c r="F4287" s="17" t="n">
        <v>46208</v>
      </c>
      <c r="G4287" s="17" t="n">
        <v>46221</v>
      </c>
      <c r="H4287" s="18" t="n">
        <v>50</v>
      </c>
      <c r="I4287" s="19" t="n">
        <v>31.53</v>
      </c>
      <c r="J4287" s="19" t="n">
        <v>33</v>
      </c>
      <c r="K4287" s="20" t="n">
        <v>0</v>
      </c>
      <c r="L4287" s="20" t="n">
        <v>0</v>
      </c>
      <c r="M4287" s="18" t="n">
        <v>50</v>
      </c>
      <c r="N4287" s="18" t="n">
        <v>0</v>
      </c>
      <c r="O4287" s="18" t="n">
        <v>0</v>
      </c>
      <c r="P4287" s="17" t="n">
        <v>46230</v>
      </c>
      <c r="Q4287" s="17" t="n">
        <v>46230</v>
      </c>
      <c r="R4287" s="17" t="n">
        <v>46230</v>
      </c>
      <c r="S4287" s="19">
        <f>H4287*I4287</f>
        <v/>
      </c>
      <c r="T4287" s="19">
        <f>H4287*J4287</f>
        <v/>
      </c>
      <c r="U4287">
        <f>IF(AND(K4287=0,G4287&lt;=Assumptions!$C$6),1,0)</f>
        <v/>
      </c>
      <c r="V4287">
        <f>IF(U4287=1,IF(M4287&gt;0,IF(P4287&lt;=G4287+Assumptions!$C$7,1,0),0),0)</f>
        <v/>
      </c>
      <c r="W4287">
        <f>IF(AND(U4287=1,M4287&gt;=H4287*(1-Assumptions!$C$8)),1,0)</f>
        <v/>
      </c>
      <c r="X4287">
        <f>IF(AND(U4287=1,N4287&gt;=H4287*(1-Assumptions!$C$8)),1,0)</f>
        <v/>
      </c>
      <c r="Y4287">
        <f>IF(ISNUMBER(Q4287),1,0)</f>
        <v/>
      </c>
      <c r="Z4287">
        <f>IF(AND(K4287=0,L4287=0,Y4287=0),1,0)</f>
        <v/>
      </c>
      <c r="AA4287">
        <f>IF(AND(Z4287=1,G4287&lt;Assumptions!$C$6),1,0)</f>
        <v/>
      </c>
      <c r="AB4287">
        <f>IF(U4287=0,"",IF(Y4287=1,MAX(0,Q4287-G4287),IF(L4287=1,MAX(0,R4287-G4287),MAX(0,Assumptions!$C$6-G4287))))</f>
        <v/>
      </c>
      <c r="AC4287">
        <f>IF(Y4287=1,Q4287-F4287,"")</f>
        <v/>
      </c>
      <c r="AD4287">
        <f>IF(Y4287=1,AC4287^2,"")</f>
        <v/>
      </c>
      <c r="AE4287" s="19">
        <f>IF(Z4287=1,(H4287-M4287)*I4287,0)</f>
        <v/>
      </c>
      <c r="AF4287">
        <f>IF(G4287&lt;EDATE(Assumptions!$C$6,-12)+1,"prior_12m","last_12m")</f>
        <v/>
      </c>
      <c r="AG4287" s="21">
        <f>DATE(YEAR(G4287),MONTH(G4287),1)</f>
        <v/>
      </c>
    </row>
    <row r="4288">
      <c r="A4288" t="inlineStr">
        <is>
          <t>SPO-02293-3</t>
        </is>
      </c>
      <c r="B4288" t="inlineStr">
        <is>
          <t>SPO-02293</t>
        </is>
      </c>
      <c r="C4288" t="inlineStr">
        <is>
          <t>SUP-04</t>
        </is>
      </c>
      <c r="D4288" t="inlineStr">
        <is>
          <t>FLEET</t>
        </is>
      </c>
      <c r="E4288" t="inlineStr">
        <is>
          <t>FLEET-01</t>
        </is>
      </c>
      <c r="F4288" s="17" t="n">
        <v>46208</v>
      </c>
      <c r="G4288" s="17" t="n">
        <v>46221</v>
      </c>
      <c r="H4288" s="18" t="n">
        <v>13</v>
      </c>
      <c r="I4288" s="19" t="n">
        <v>62.23</v>
      </c>
      <c r="J4288" s="19" t="n">
        <v>64</v>
      </c>
      <c r="K4288" s="20" t="n">
        <v>0</v>
      </c>
      <c r="L4288" s="20" t="n">
        <v>0</v>
      </c>
      <c r="M4288" s="18" t="n">
        <v>13</v>
      </c>
      <c r="N4288" s="18" t="n">
        <v>13</v>
      </c>
      <c r="O4288" s="18" t="n">
        <v>3</v>
      </c>
      <c r="P4288" s="17" t="n">
        <v>46214</v>
      </c>
      <c r="Q4288" s="17" t="n">
        <v>46214</v>
      </c>
      <c r="R4288" s="17" t="n">
        <v>46214</v>
      </c>
      <c r="S4288" s="19">
        <f>H4288*I4288</f>
        <v/>
      </c>
      <c r="T4288" s="19">
        <f>H4288*J4288</f>
        <v/>
      </c>
      <c r="U4288">
        <f>IF(AND(K4288=0,G4288&lt;=Assumptions!$C$6),1,0)</f>
        <v/>
      </c>
      <c r="V4288">
        <f>IF(U4288=1,IF(M4288&gt;0,IF(P4288&lt;=G4288+Assumptions!$C$7,1,0),0),0)</f>
        <v/>
      </c>
      <c r="W4288">
        <f>IF(AND(U4288=1,M4288&gt;=H4288*(1-Assumptions!$C$8)),1,0)</f>
        <v/>
      </c>
      <c r="X4288">
        <f>IF(AND(U4288=1,N4288&gt;=H4288*(1-Assumptions!$C$8)),1,0)</f>
        <v/>
      </c>
      <c r="Y4288">
        <f>IF(ISNUMBER(Q4288),1,0)</f>
        <v/>
      </c>
      <c r="Z4288">
        <f>IF(AND(K4288=0,L4288=0,Y4288=0),1,0)</f>
        <v/>
      </c>
      <c r="AA4288">
        <f>IF(AND(Z4288=1,G4288&lt;Assumptions!$C$6),1,0)</f>
        <v/>
      </c>
      <c r="AB4288">
        <f>IF(U4288=0,"",IF(Y4288=1,MAX(0,Q4288-G4288),IF(L4288=1,MAX(0,R4288-G4288),MAX(0,Assumptions!$C$6-G4288))))</f>
        <v/>
      </c>
      <c r="AC4288">
        <f>IF(Y4288=1,Q4288-F4288,"")</f>
        <v/>
      </c>
      <c r="AD4288">
        <f>IF(Y4288=1,AC4288^2,"")</f>
        <v/>
      </c>
      <c r="AE4288" s="19">
        <f>IF(Z4288=1,(H4288-M4288)*I4288,0)</f>
        <v/>
      </c>
      <c r="AF4288">
        <f>IF(G4288&lt;EDATE(Assumptions!$C$6,-12)+1,"prior_12m","last_12m")</f>
        <v/>
      </c>
      <c r="AG4288" s="21">
        <f>DATE(YEAR(G4288),MONTH(G4288),1)</f>
        <v/>
      </c>
    </row>
    <row r="4289">
      <c r="A4289" t="inlineStr">
        <is>
          <t>SPO-02294-1</t>
        </is>
      </c>
      <c r="B4289" t="inlineStr">
        <is>
          <t>SPO-02294</t>
        </is>
      </c>
      <c r="C4289" t="inlineStr">
        <is>
          <t>SUP-07</t>
        </is>
      </c>
      <c r="D4289" t="inlineStr">
        <is>
          <t>MRO</t>
        </is>
      </c>
      <c r="E4289" t="inlineStr">
        <is>
          <t>MRO-01</t>
        </is>
      </c>
      <c r="F4289" s="17" t="n">
        <v>46208</v>
      </c>
      <c r="G4289" s="17" t="n">
        <v>46218</v>
      </c>
      <c r="H4289" s="18" t="n">
        <v>35</v>
      </c>
      <c r="I4289" s="19" t="n">
        <v>51.25</v>
      </c>
      <c r="J4289" s="19" t="n">
        <v>52</v>
      </c>
      <c r="K4289" s="20" t="n">
        <v>0</v>
      </c>
      <c r="L4289" s="20" t="n">
        <v>0</v>
      </c>
      <c r="M4289" s="18" t="n">
        <v>35</v>
      </c>
      <c r="N4289" s="18" t="n">
        <v>35</v>
      </c>
      <c r="O4289" s="18" t="n">
        <v>0</v>
      </c>
      <c r="P4289" s="17" t="n">
        <v>46211</v>
      </c>
      <c r="Q4289" s="17" t="n">
        <v>46211</v>
      </c>
      <c r="R4289" s="17" t="n">
        <v>46211</v>
      </c>
      <c r="S4289" s="19">
        <f>H4289*I4289</f>
        <v/>
      </c>
      <c r="T4289" s="19">
        <f>H4289*J4289</f>
        <v/>
      </c>
      <c r="U4289">
        <f>IF(AND(K4289=0,G4289&lt;=Assumptions!$C$6),1,0)</f>
        <v/>
      </c>
      <c r="V4289">
        <f>IF(U4289=1,IF(M4289&gt;0,IF(P4289&lt;=G4289+Assumptions!$C$7,1,0),0),0)</f>
        <v/>
      </c>
      <c r="W4289">
        <f>IF(AND(U4289=1,M4289&gt;=H4289*(1-Assumptions!$C$8)),1,0)</f>
        <v/>
      </c>
      <c r="X4289">
        <f>IF(AND(U4289=1,N4289&gt;=H4289*(1-Assumptions!$C$8)),1,0)</f>
        <v/>
      </c>
      <c r="Y4289">
        <f>IF(ISNUMBER(Q4289),1,0)</f>
        <v/>
      </c>
      <c r="Z4289">
        <f>IF(AND(K4289=0,L4289=0,Y4289=0),1,0)</f>
        <v/>
      </c>
      <c r="AA4289">
        <f>IF(AND(Z4289=1,G4289&lt;Assumptions!$C$6),1,0)</f>
        <v/>
      </c>
      <c r="AB4289">
        <f>IF(U4289=0,"",IF(Y4289=1,MAX(0,Q4289-G4289),IF(L4289=1,MAX(0,R4289-G4289),MAX(0,Assumptions!$C$6-G4289))))</f>
        <v/>
      </c>
      <c r="AC4289">
        <f>IF(Y4289=1,Q4289-F4289,"")</f>
        <v/>
      </c>
      <c r="AD4289">
        <f>IF(Y4289=1,AC4289^2,"")</f>
        <v/>
      </c>
      <c r="AE4289" s="19">
        <f>IF(Z4289=1,(H4289-M4289)*I4289,0)</f>
        <v/>
      </c>
      <c r="AF4289">
        <f>IF(G4289&lt;EDATE(Assumptions!$C$6,-12)+1,"prior_12m","last_12m")</f>
        <v/>
      </c>
      <c r="AG4289" s="21">
        <f>DATE(YEAR(G4289),MONTH(G4289),1)</f>
        <v/>
      </c>
    </row>
    <row r="4290">
      <c r="A4290" t="inlineStr">
        <is>
          <t>SPO-02294-2</t>
        </is>
      </c>
      <c r="B4290" t="inlineStr">
        <is>
          <t>SPO-02294</t>
        </is>
      </c>
      <c r="C4290" t="inlineStr">
        <is>
          <t>SUP-07</t>
        </is>
      </c>
      <c r="D4290" t="inlineStr">
        <is>
          <t>MRO</t>
        </is>
      </c>
      <c r="E4290" t="inlineStr">
        <is>
          <t>MRO-03</t>
        </is>
      </c>
      <c r="F4290" s="17" t="n">
        <v>46208</v>
      </c>
      <c r="G4290" s="17" t="n">
        <v>46218</v>
      </c>
      <c r="H4290" s="18" t="n">
        <v>229</v>
      </c>
      <c r="I4290" s="19" t="n">
        <v>8.94</v>
      </c>
      <c r="J4290" s="19" t="n">
        <v>8.9</v>
      </c>
      <c r="K4290" s="20" t="n">
        <v>0</v>
      </c>
      <c r="L4290" s="20" t="n">
        <v>0</v>
      </c>
      <c r="M4290" s="18" t="n">
        <v>229</v>
      </c>
      <c r="N4290" s="18" t="n">
        <v>229</v>
      </c>
      <c r="O4290" s="18" t="n">
        <v>0</v>
      </c>
      <c r="P4290" s="17" t="n">
        <v>46209</v>
      </c>
      <c r="Q4290" s="17" t="n">
        <v>46209</v>
      </c>
      <c r="R4290" s="17" t="n">
        <v>46209</v>
      </c>
      <c r="S4290" s="19">
        <f>H4290*I4290</f>
        <v/>
      </c>
      <c r="T4290" s="19">
        <f>H4290*J4290</f>
        <v/>
      </c>
      <c r="U4290">
        <f>IF(AND(K4290=0,G4290&lt;=Assumptions!$C$6),1,0)</f>
        <v/>
      </c>
      <c r="V4290">
        <f>IF(U4290=1,IF(M4290&gt;0,IF(P4290&lt;=G4290+Assumptions!$C$7,1,0),0),0)</f>
        <v/>
      </c>
      <c r="W4290">
        <f>IF(AND(U4290=1,M4290&gt;=H4290*(1-Assumptions!$C$8)),1,0)</f>
        <v/>
      </c>
      <c r="X4290">
        <f>IF(AND(U4290=1,N4290&gt;=H4290*(1-Assumptions!$C$8)),1,0)</f>
        <v/>
      </c>
      <c r="Y4290">
        <f>IF(ISNUMBER(Q4290),1,0)</f>
        <v/>
      </c>
      <c r="Z4290">
        <f>IF(AND(K4290=0,L4290=0,Y4290=0),1,0)</f>
        <v/>
      </c>
      <c r="AA4290">
        <f>IF(AND(Z4290=1,G4290&lt;Assumptions!$C$6),1,0)</f>
        <v/>
      </c>
      <c r="AB4290">
        <f>IF(U4290=0,"",IF(Y4290=1,MAX(0,Q4290-G4290),IF(L4290=1,MAX(0,R4290-G4290),MAX(0,Assumptions!$C$6-G4290))))</f>
        <v/>
      </c>
      <c r="AC4290">
        <f>IF(Y4290=1,Q4290-F4290,"")</f>
        <v/>
      </c>
      <c r="AD4290">
        <f>IF(Y4290=1,AC4290^2,"")</f>
        <v/>
      </c>
      <c r="AE4290" s="19">
        <f>IF(Z4290=1,(H4290-M4290)*I4290,0)</f>
        <v/>
      </c>
      <c r="AF4290">
        <f>IF(G4290&lt;EDATE(Assumptions!$C$6,-12)+1,"prior_12m","last_12m")</f>
        <v/>
      </c>
      <c r="AG4290" s="21">
        <f>DATE(YEAR(G4290),MONTH(G4290),1)</f>
        <v/>
      </c>
    </row>
    <row r="4291">
      <c r="A4291" t="inlineStr">
        <is>
          <t>SPO-02295-1</t>
        </is>
      </c>
      <c r="B4291" t="inlineStr">
        <is>
          <t>SPO-02295</t>
        </is>
      </c>
      <c r="C4291" t="inlineStr">
        <is>
          <t>SUP-02</t>
        </is>
      </c>
      <c r="D4291" t="inlineStr">
        <is>
          <t>ELEC</t>
        </is>
      </c>
      <c r="E4291" t="inlineStr">
        <is>
          <t>ELEC-04</t>
        </is>
      </c>
      <c r="F4291" s="17" t="n">
        <v>46208</v>
      </c>
      <c r="G4291" s="17" t="n">
        <v>46224</v>
      </c>
      <c r="H4291" s="18" t="n">
        <v>15</v>
      </c>
      <c r="I4291" s="19" t="n">
        <v>73.48999999999999</v>
      </c>
      <c r="J4291" s="19" t="n">
        <v>72</v>
      </c>
      <c r="K4291" s="20" t="n">
        <v>0</v>
      </c>
      <c r="L4291" s="20" t="n">
        <v>0</v>
      </c>
      <c r="M4291" s="18" t="n">
        <v>15</v>
      </c>
      <c r="N4291" s="18" t="n">
        <v>15</v>
      </c>
      <c r="O4291" s="18" t="n">
        <v>0</v>
      </c>
      <c r="P4291" s="17" t="n">
        <v>46222</v>
      </c>
      <c r="Q4291" s="17" t="n">
        <v>46222</v>
      </c>
      <c r="R4291" s="17" t="n">
        <v>46222</v>
      </c>
      <c r="S4291" s="19">
        <f>H4291*I4291</f>
        <v/>
      </c>
      <c r="T4291" s="19">
        <f>H4291*J4291</f>
        <v/>
      </c>
      <c r="U4291">
        <f>IF(AND(K4291=0,G4291&lt;=Assumptions!$C$6),1,0)</f>
        <v/>
      </c>
      <c r="V4291">
        <f>IF(U4291=1,IF(M4291&gt;0,IF(P4291&lt;=G4291+Assumptions!$C$7,1,0),0),0)</f>
        <v/>
      </c>
      <c r="W4291">
        <f>IF(AND(U4291=1,M4291&gt;=H4291*(1-Assumptions!$C$8)),1,0)</f>
        <v/>
      </c>
      <c r="X4291">
        <f>IF(AND(U4291=1,N4291&gt;=H4291*(1-Assumptions!$C$8)),1,0)</f>
        <v/>
      </c>
      <c r="Y4291">
        <f>IF(ISNUMBER(Q4291),1,0)</f>
        <v/>
      </c>
      <c r="Z4291">
        <f>IF(AND(K4291=0,L4291=0,Y4291=0),1,0)</f>
        <v/>
      </c>
      <c r="AA4291">
        <f>IF(AND(Z4291=1,G4291&lt;Assumptions!$C$6),1,0)</f>
        <v/>
      </c>
      <c r="AB4291">
        <f>IF(U4291=0,"",IF(Y4291=1,MAX(0,Q4291-G4291),IF(L4291=1,MAX(0,R4291-G4291),MAX(0,Assumptions!$C$6-G4291))))</f>
        <v/>
      </c>
      <c r="AC4291">
        <f>IF(Y4291=1,Q4291-F4291,"")</f>
        <v/>
      </c>
      <c r="AD4291">
        <f>IF(Y4291=1,AC4291^2,"")</f>
        <v/>
      </c>
      <c r="AE4291" s="19">
        <f>IF(Z4291=1,(H4291-M4291)*I4291,0)</f>
        <v/>
      </c>
      <c r="AF4291">
        <f>IF(G4291&lt;EDATE(Assumptions!$C$6,-12)+1,"prior_12m","last_12m")</f>
        <v/>
      </c>
      <c r="AG4291" s="21">
        <f>DATE(YEAR(G4291),MONTH(G4291),1)</f>
        <v/>
      </c>
    </row>
    <row r="4292">
      <c r="A4292" t="inlineStr">
        <is>
          <t>SPO-02295-2</t>
        </is>
      </c>
      <c r="B4292" t="inlineStr">
        <is>
          <t>SPO-02295</t>
        </is>
      </c>
      <c r="C4292" t="inlineStr">
        <is>
          <t>SUP-02</t>
        </is>
      </c>
      <c r="D4292" t="inlineStr">
        <is>
          <t>ELEC</t>
        </is>
      </c>
      <c r="E4292" t="inlineStr">
        <is>
          <t>ELEC-02</t>
        </is>
      </c>
      <c r="F4292" s="17" t="n">
        <v>46208</v>
      </c>
      <c r="G4292" s="17" t="n">
        <v>46224</v>
      </c>
      <c r="H4292" s="18" t="n">
        <v>216</v>
      </c>
      <c r="I4292" s="19" t="n">
        <v>4.15</v>
      </c>
      <c r="J4292" s="19" t="n">
        <v>4.2</v>
      </c>
      <c r="K4292" s="20" t="n">
        <v>0</v>
      </c>
      <c r="L4292" s="20" t="n">
        <v>0</v>
      </c>
      <c r="M4292" s="18" t="n">
        <v>216</v>
      </c>
      <c r="N4292" s="18" t="n">
        <v>216</v>
      </c>
      <c r="O4292" s="18" t="n">
        <v>0</v>
      </c>
      <c r="P4292" s="17" t="n">
        <v>46221</v>
      </c>
      <c r="Q4292" s="17" t="n">
        <v>46221</v>
      </c>
      <c r="R4292" s="17" t="n">
        <v>46221</v>
      </c>
      <c r="S4292" s="19">
        <f>H4292*I4292</f>
        <v/>
      </c>
      <c r="T4292" s="19">
        <f>H4292*J4292</f>
        <v/>
      </c>
      <c r="U4292">
        <f>IF(AND(K4292=0,G4292&lt;=Assumptions!$C$6),1,0)</f>
        <v/>
      </c>
      <c r="V4292">
        <f>IF(U4292=1,IF(M4292&gt;0,IF(P4292&lt;=G4292+Assumptions!$C$7,1,0),0),0)</f>
        <v/>
      </c>
      <c r="W4292">
        <f>IF(AND(U4292=1,M4292&gt;=H4292*(1-Assumptions!$C$8)),1,0)</f>
        <v/>
      </c>
      <c r="X4292">
        <f>IF(AND(U4292=1,N4292&gt;=H4292*(1-Assumptions!$C$8)),1,0)</f>
        <v/>
      </c>
      <c r="Y4292">
        <f>IF(ISNUMBER(Q4292),1,0)</f>
        <v/>
      </c>
      <c r="Z4292">
        <f>IF(AND(K4292=0,L4292=0,Y4292=0),1,0)</f>
        <v/>
      </c>
      <c r="AA4292">
        <f>IF(AND(Z4292=1,G4292&lt;Assumptions!$C$6),1,0)</f>
        <v/>
      </c>
      <c r="AB4292">
        <f>IF(U4292=0,"",IF(Y4292=1,MAX(0,Q4292-G4292),IF(L4292=1,MAX(0,R4292-G4292),MAX(0,Assumptions!$C$6-G4292))))</f>
        <v/>
      </c>
      <c r="AC4292">
        <f>IF(Y4292=1,Q4292-F4292,"")</f>
        <v/>
      </c>
      <c r="AD4292">
        <f>IF(Y4292=1,AC4292^2,"")</f>
        <v/>
      </c>
      <c r="AE4292" s="19">
        <f>IF(Z4292=1,(H4292-M4292)*I4292,0)</f>
        <v/>
      </c>
      <c r="AF4292">
        <f>IF(G4292&lt;EDATE(Assumptions!$C$6,-12)+1,"prior_12m","last_12m")</f>
        <v/>
      </c>
      <c r="AG4292" s="21">
        <f>DATE(YEAR(G4292),MONTH(G4292),1)</f>
        <v/>
      </c>
    </row>
    <row r="4293">
      <c r="A4293" t="inlineStr">
        <is>
          <t>SPO-02296-1</t>
        </is>
      </c>
      <c r="B4293" t="inlineStr">
        <is>
          <t>SPO-02296</t>
        </is>
      </c>
      <c r="C4293" t="inlineStr">
        <is>
          <t>SUP-12</t>
        </is>
      </c>
      <c r="D4293" t="inlineStr">
        <is>
          <t>IT</t>
        </is>
      </c>
      <c r="E4293" t="inlineStr">
        <is>
          <t>IT-02</t>
        </is>
      </c>
      <c r="F4293" s="17" t="n">
        <v>46208</v>
      </c>
      <c r="G4293" s="17" t="n">
        <v>46218</v>
      </c>
      <c r="H4293" s="18" t="n">
        <v>7</v>
      </c>
      <c r="I4293" s="19" t="n">
        <v>175.78</v>
      </c>
      <c r="J4293" s="19" t="n">
        <v>162</v>
      </c>
      <c r="K4293" s="20" t="n">
        <v>0</v>
      </c>
      <c r="L4293" s="20" t="n">
        <v>0</v>
      </c>
      <c r="M4293" s="18" t="n">
        <v>7</v>
      </c>
      <c r="N4293" s="18" t="n">
        <v>7</v>
      </c>
      <c r="O4293" s="18" t="n">
        <v>0</v>
      </c>
      <c r="P4293" s="17" t="n">
        <v>46214</v>
      </c>
      <c r="Q4293" s="17" t="n">
        <v>46214</v>
      </c>
      <c r="R4293" s="17" t="n">
        <v>46214</v>
      </c>
      <c r="S4293" s="19">
        <f>H4293*I4293</f>
        <v/>
      </c>
      <c r="T4293" s="19">
        <f>H4293*J4293</f>
        <v/>
      </c>
      <c r="U4293">
        <f>IF(AND(K4293=0,G4293&lt;=Assumptions!$C$6),1,0)</f>
        <v/>
      </c>
      <c r="V4293">
        <f>IF(U4293=1,IF(M4293&gt;0,IF(P4293&lt;=G4293+Assumptions!$C$7,1,0),0),0)</f>
        <v/>
      </c>
      <c r="W4293">
        <f>IF(AND(U4293=1,M4293&gt;=H4293*(1-Assumptions!$C$8)),1,0)</f>
        <v/>
      </c>
      <c r="X4293">
        <f>IF(AND(U4293=1,N4293&gt;=H4293*(1-Assumptions!$C$8)),1,0)</f>
        <v/>
      </c>
      <c r="Y4293">
        <f>IF(ISNUMBER(Q4293),1,0)</f>
        <v/>
      </c>
      <c r="Z4293">
        <f>IF(AND(K4293=0,L4293=0,Y4293=0),1,0)</f>
        <v/>
      </c>
      <c r="AA4293">
        <f>IF(AND(Z4293=1,G4293&lt;Assumptions!$C$6),1,0)</f>
        <v/>
      </c>
      <c r="AB4293">
        <f>IF(U4293=0,"",IF(Y4293=1,MAX(0,Q4293-G4293),IF(L4293=1,MAX(0,R4293-G4293),MAX(0,Assumptions!$C$6-G4293))))</f>
        <v/>
      </c>
      <c r="AC4293">
        <f>IF(Y4293=1,Q4293-F4293,"")</f>
        <v/>
      </c>
      <c r="AD4293">
        <f>IF(Y4293=1,AC4293^2,"")</f>
        <v/>
      </c>
      <c r="AE4293" s="19">
        <f>IF(Z4293=1,(H4293-M4293)*I4293,0)</f>
        <v/>
      </c>
      <c r="AF4293">
        <f>IF(G4293&lt;EDATE(Assumptions!$C$6,-12)+1,"prior_12m","last_12m")</f>
        <v/>
      </c>
      <c r="AG4293" s="21">
        <f>DATE(YEAR(G4293),MONTH(G4293),1)</f>
        <v/>
      </c>
    </row>
    <row r="4294">
      <c r="A4294" t="inlineStr">
        <is>
          <t>SPO-02297-1</t>
        </is>
      </c>
      <c r="B4294" t="inlineStr">
        <is>
          <t>SPO-02297</t>
        </is>
      </c>
      <c r="C4294" t="inlineStr">
        <is>
          <t>SUP-08</t>
        </is>
      </c>
      <c r="D4294" t="inlineStr">
        <is>
          <t>MRO</t>
        </is>
      </c>
      <c r="E4294" t="inlineStr">
        <is>
          <t>MRO-01</t>
        </is>
      </c>
      <c r="F4294" s="17" t="n">
        <v>46209</v>
      </c>
      <c r="G4294" s="17" t="n">
        <v>46220</v>
      </c>
      <c r="H4294" s="18" t="n">
        <v>35</v>
      </c>
      <c r="I4294" s="19" t="n">
        <v>52.78</v>
      </c>
      <c r="J4294" s="19" t="n">
        <v>52</v>
      </c>
      <c r="K4294" s="20" t="n">
        <v>1</v>
      </c>
      <c r="L4294" s="20" t="n">
        <v>0</v>
      </c>
      <c r="M4294" s="18" t="n">
        <v>0</v>
      </c>
      <c r="N4294" s="18" t="n">
        <v>0</v>
      </c>
      <c r="O4294" s="18" t="n">
        <v>0</v>
      </c>
      <c r="P4294" s="17" t="n"/>
      <c r="Q4294" s="17" t="n"/>
      <c r="R4294" s="17" t="n"/>
      <c r="S4294" s="19">
        <f>H4294*I4294</f>
        <v/>
      </c>
      <c r="T4294" s="19">
        <f>H4294*J4294</f>
        <v/>
      </c>
      <c r="U4294">
        <f>IF(AND(K4294=0,G4294&lt;=Assumptions!$C$6),1,0)</f>
        <v/>
      </c>
      <c r="V4294">
        <f>IF(U4294=1,IF(M4294&gt;0,IF(P4294&lt;=G4294+Assumptions!$C$7,1,0),0),0)</f>
        <v/>
      </c>
      <c r="W4294">
        <f>IF(AND(U4294=1,M4294&gt;=H4294*(1-Assumptions!$C$8)),1,0)</f>
        <v/>
      </c>
      <c r="X4294">
        <f>IF(AND(U4294=1,N4294&gt;=H4294*(1-Assumptions!$C$8)),1,0)</f>
        <v/>
      </c>
      <c r="Y4294">
        <f>IF(ISNUMBER(Q4294),1,0)</f>
        <v/>
      </c>
      <c r="Z4294">
        <f>IF(AND(K4294=0,L4294=0,Y4294=0),1,0)</f>
        <v/>
      </c>
      <c r="AA4294">
        <f>IF(AND(Z4294=1,G4294&lt;Assumptions!$C$6),1,0)</f>
        <v/>
      </c>
      <c r="AB4294">
        <f>IF(U4294=0,"",IF(Y4294=1,MAX(0,Q4294-G4294),IF(L4294=1,MAX(0,R4294-G4294),MAX(0,Assumptions!$C$6-G4294))))</f>
        <v/>
      </c>
      <c r="AC4294">
        <f>IF(Y4294=1,Q4294-F4294,"")</f>
        <v/>
      </c>
      <c r="AD4294">
        <f>IF(Y4294=1,AC4294^2,"")</f>
        <v/>
      </c>
      <c r="AE4294" s="19">
        <f>IF(Z4294=1,(H4294-M4294)*I4294,0)</f>
        <v/>
      </c>
      <c r="AF4294">
        <f>IF(G4294&lt;EDATE(Assumptions!$C$6,-12)+1,"prior_12m","last_12m")</f>
        <v/>
      </c>
      <c r="AG4294" s="21">
        <f>DATE(YEAR(G4294),MONTH(G4294),1)</f>
        <v/>
      </c>
    </row>
    <row r="4295">
      <c r="A4295" t="inlineStr">
        <is>
          <t>SPO-02297-2</t>
        </is>
      </c>
      <c r="B4295" t="inlineStr">
        <is>
          <t>SPO-02297</t>
        </is>
      </c>
      <c r="C4295" t="inlineStr">
        <is>
          <t>SUP-08</t>
        </is>
      </c>
      <c r="D4295" t="inlineStr">
        <is>
          <t>MRO</t>
        </is>
      </c>
      <c r="E4295" t="inlineStr">
        <is>
          <t>MRO-07</t>
        </is>
      </c>
      <c r="F4295" s="17" t="n">
        <v>46209</v>
      </c>
      <c r="G4295" s="17" t="n">
        <v>46220</v>
      </c>
      <c r="H4295" s="18" t="n">
        <v>107</v>
      </c>
      <c r="I4295" s="19" t="n">
        <v>14.02</v>
      </c>
      <c r="J4295" s="19" t="n">
        <v>14</v>
      </c>
      <c r="K4295" s="20" t="n">
        <v>0</v>
      </c>
      <c r="L4295" s="20" t="n">
        <v>0</v>
      </c>
      <c r="M4295" s="18" t="n">
        <v>107</v>
      </c>
      <c r="N4295" s="18" t="n">
        <v>107</v>
      </c>
      <c r="O4295" s="18" t="n">
        <v>0</v>
      </c>
      <c r="P4295" s="17" t="n">
        <v>46216</v>
      </c>
      <c r="Q4295" s="17" t="n">
        <v>46216</v>
      </c>
      <c r="R4295" s="17" t="n">
        <v>46216</v>
      </c>
      <c r="S4295" s="19">
        <f>H4295*I4295</f>
        <v/>
      </c>
      <c r="T4295" s="19">
        <f>H4295*J4295</f>
        <v/>
      </c>
      <c r="U4295">
        <f>IF(AND(K4295=0,G4295&lt;=Assumptions!$C$6),1,0)</f>
        <v/>
      </c>
      <c r="V4295">
        <f>IF(U4295=1,IF(M4295&gt;0,IF(P4295&lt;=G4295+Assumptions!$C$7,1,0),0),0)</f>
        <v/>
      </c>
      <c r="W4295">
        <f>IF(AND(U4295=1,M4295&gt;=H4295*(1-Assumptions!$C$8)),1,0)</f>
        <v/>
      </c>
      <c r="X4295">
        <f>IF(AND(U4295=1,N4295&gt;=H4295*(1-Assumptions!$C$8)),1,0)</f>
        <v/>
      </c>
      <c r="Y4295">
        <f>IF(ISNUMBER(Q4295),1,0)</f>
        <v/>
      </c>
      <c r="Z4295">
        <f>IF(AND(K4295=0,L4295=0,Y4295=0),1,0)</f>
        <v/>
      </c>
      <c r="AA4295">
        <f>IF(AND(Z4295=1,G4295&lt;Assumptions!$C$6),1,0)</f>
        <v/>
      </c>
      <c r="AB4295">
        <f>IF(U4295=0,"",IF(Y4295=1,MAX(0,Q4295-G4295),IF(L4295=1,MAX(0,R4295-G4295),MAX(0,Assumptions!$C$6-G4295))))</f>
        <v/>
      </c>
      <c r="AC4295">
        <f>IF(Y4295=1,Q4295-F4295,"")</f>
        <v/>
      </c>
      <c r="AD4295">
        <f>IF(Y4295=1,AC4295^2,"")</f>
        <v/>
      </c>
      <c r="AE4295" s="19">
        <f>IF(Z4295=1,(H4295-M4295)*I4295,0)</f>
        <v/>
      </c>
      <c r="AF4295">
        <f>IF(G4295&lt;EDATE(Assumptions!$C$6,-12)+1,"prior_12m","last_12m")</f>
        <v/>
      </c>
      <c r="AG4295" s="21">
        <f>DATE(YEAR(G4295),MONTH(G4295),1)</f>
        <v/>
      </c>
    </row>
    <row r="4296">
      <c r="A4296" t="inlineStr">
        <is>
          <t>SPO-02298-1</t>
        </is>
      </c>
      <c r="B4296" t="inlineStr">
        <is>
          <t>SPO-02298</t>
        </is>
      </c>
      <c r="C4296" t="inlineStr">
        <is>
          <t>SUP-11</t>
        </is>
      </c>
      <c r="D4296" t="inlineStr">
        <is>
          <t>PPE</t>
        </is>
      </c>
      <c r="E4296" t="inlineStr">
        <is>
          <t>PPE-01</t>
        </is>
      </c>
      <c r="F4296" s="17" t="n">
        <v>46209</v>
      </c>
      <c r="G4296" s="17" t="n">
        <v>46221</v>
      </c>
      <c r="H4296" s="18" t="n">
        <v>310</v>
      </c>
      <c r="I4296" s="19" t="n">
        <v>4.68</v>
      </c>
      <c r="J4296" s="19" t="n">
        <v>4.8</v>
      </c>
      <c r="K4296" s="20" t="n">
        <v>0</v>
      </c>
      <c r="L4296" s="20" t="n">
        <v>0</v>
      </c>
      <c r="M4296" s="18" t="n">
        <v>310</v>
      </c>
      <c r="N4296" s="18" t="n">
        <v>310</v>
      </c>
      <c r="O4296" s="18" t="n">
        <v>0</v>
      </c>
      <c r="P4296" s="17" t="n">
        <v>46217</v>
      </c>
      <c r="Q4296" s="17" t="n">
        <v>46217</v>
      </c>
      <c r="R4296" s="17" t="n">
        <v>46217</v>
      </c>
      <c r="S4296" s="19">
        <f>H4296*I4296</f>
        <v/>
      </c>
      <c r="T4296" s="19">
        <f>H4296*J4296</f>
        <v/>
      </c>
      <c r="U4296">
        <f>IF(AND(K4296=0,G4296&lt;=Assumptions!$C$6),1,0)</f>
        <v/>
      </c>
      <c r="V4296">
        <f>IF(U4296=1,IF(M4296&gt;0,IF(P4296&lt;=G4296+Assumptions!$C$7,1,0),0),0)</f>
        <v/>
      </c>
      <c r="W4296">
        <f>IF(AND(U4296=1,M4296&gt;=H4296*(1-Assumptions!$C$8)),1,0)</f>
        <v/>
      </c>
      <c r="X4296">
        <f>IF(AND(U4296=1,N4296&gt;=H4296*(1-Assumptions!$C$8)),1,0)</f>
        <v/>
      </c>
      <c r="Y4296">
        <f>IF(ISNUMBER(Q4296),1,0)</f>
        <v/>
      </c>
      <c r="Z4296">
        <f>IF(AND(K4296=0,L4296=0,Y4296=0),1,0)</f>
        <v/>
      </c>
      <c r="AA4296">
        <f>IF(AND(Z4296=1,G4296&lt;Assumptions!$C$6),1,0)</f>
        <v/>
      </c>
      <c r="AB4296">
        <f>IF(U4296=0,"",IF(Y4296=1,MAX(0,Q4296-G4296),IF(L4296=1,MAX(0,R4296-G4296),MAX(0,Assumptions!$C$6-G4296))))</f>
        <v/>
      </c>
      <c r="AC4296">
        <f>IF(Y4296=1,Q4296-F4296,"")</f>
        <v/>
      </c>
      <c r="AD4296">
        <f>IF(Y4296=1,AC4296^2,"")</f>
        <v/>
      </c>
      <c r="AE4296" s="19">
        <f>IF(Z4296=1,(H4296-M4296)*I4296,0)</f>
        <v/>
      </c>
      <c r="AF4296">
        <f>IF(G4296&lt;EDATE(Assumptions!$C$6,-12)+1,"prior_12m","last_12m")</f>
        <v/>
      </c>
      <c r="AG4296" s="21">
        <f>DATE(YEAR(G4296),MONTH(G4296),1)</f>
        <v/>
      </c>
    </row>
    <row r="4297">
      <c r="A4297" t="inlineStr">
        <is>
          <t>SPO-02299-1</t>
        </is>
      </c>
      <c r="B4297" t="inlineStr">
        <is>
          <t>SPO-02299</t>
        </is>
      </c>
      <c r="C4297" t="inlineStr">
        <is>
          <t>SUP-04</t>
        </is>
      </c>
      <c r="D4297" t="inlineStr">
        <is>
          <t>FLEET</t>
        </is>
      </c>
      <c r="E4297" t="inlineStr">
        <is>
          <t>FLEET-06</t>
        </is>
      </c>
      <c r="F4297" s="17" t="n">
        <v>46209</v>
      </c>
      <c r="G4297" s="17" t="n">
        <v>46222</v>
      </c>
      <c r="H4297" s="18" t="n">
        <v>39</v>
      </c>
      <c r="I4297" s="19" t="n">
        <v>33.2</v>
      </c>
      <c r="J4297" s="19" t="n">
        <v>33</v>
      </c>
      <c r="K4297" s="20" t="n">
        <v>0</v>
      </c>
      <c r="L4297" s="20" t="n">
        <v>0</v>
      </c>
      <c r="M4297" s="18" t="n">
        <v>39</v>
      </c>
      <c r="N4297" s="18" t="n">
        <v>39</v>
      </c>
      <c r="O4297" s="18" t="n">
        <v>0</v>
      </c>
      <c r="P4297" s="17" t="n">
        <v>46218</v>
      </c>
      <c r="Q4297" s="17" t="n">
        <v>46218</v>
      </c>
      <c r="R4297" s="17" t="n">
        <v>46218</v>
      </c>
      <c r="S4297" s="19">
        <f>H4297*I4297</f>
        <v/>
      </c>
      <c r="T4297" s="19">
        <f>H4297*J4297</f>
        <v/>
      </c>
      <c r="U4297">
        <f>IF(AND(K4297=0,G4297&lt;=Assumptions!$C$6),1,0)</f>
        <v/>
      </c>
      <c r="V4297">
        <f>IF(U4297=1,IF(M4297&gt;0,IF(P4297&lt;=G4297+Assumptions!$C$7,1,0),0),0)</f>
        <v/>
      </c>
      <c r="W4297">
        <f>IF(AND(U4297=1,M4297&gt;=H4297*(1-Assumptions!$C$8)),1,0)</f>
        <v/>
      </c>
      <c r="X4297">
        <f>IF(AND(U4297=1,N4297&gt;=H4297*(1-Assumptions!$C$8)),1,0)</f>
        <v/>
      </c>
      <c r="Y4297">
        <f>IF(ISNUMBER(Q4297),1,0)</f>
        <v/>
      </c>
      <c r="Z4297">
        <f>IF(AND(K4297=0,L4297=0,Y4297=0),1,0)</f>
        <v/>
      </c>
      <c r="AA4297">
        <f>IF(AND(Z4297=1,G4297&lt;Assumptions!$C$6),1,0)</f>
        <v/>
      </c>
      <c r="AB4297">
        <f>IF(U4297=0,"",IF(Y4297=1,MAX(0,Q4297-G4297),IF(L4297=1,MAX(0,R4297-G4297),MAX(0,Assumptions!$C$6-G4297))))</f>
        <v/>
      </c>
      <c r="AC4297">
        <f>IF(Y4297=1,Q4297-F4297,"")</f>
        <v/>
      </c>
      <c r="AD4297">
        <f>IF(Y4297=1,AC4297^2,"")</f>
        <v/>
      </c>
      <c r="AE4297" s="19">
        <f>IF(Z4297=1,(H4297-M4297)*I4297,0)</f>
        <v/>
      </c>
      <c r="AF4297">
        <f>IF(G4297&lt;EDATE(Assumptions!$C$6,-12)+1,"prior_12m","last_12m")</f>
        <v/>
      </c>
      <c r="AG4297" s="21">
        <f>DATE(YEAR(G4297),MONTH(G4297),1)</f>
        <v/>
      </c>
    </row>
    <row r="4298">
      <c r="A4298" t="inlineStr">
        <is>
          <t>SPO-02299-2</t>
        </is>
      </c>
      <c r="B4298" t="inlineStr">
        <is>
          <t>SPO-02299</t>
        </is>
      </c>
      <c r="C4298" t="inlineStr">
        <is>
          <t>SUP-04</t>
        </is>
      </c>
      <c r="D4298" t="inlineStr">
        <is>
          <t>FLEET</t>
        </is>
      </c>
      <c r="E4298" t="inlineStr">
        <is>
          <t>FLEET-03</t>
        </is>
      </c>
      <c r="F4298" s="17" t="n">
        <v>46209</v>
      </c>
      <c r="G4298" s="17" t="n">
        <v>46222</v>
      </c>
      <c r="H4298" s="18" t="n">
        <v>116</v>
      </c>
      <c r="I4298" s="19" t="n">
        <v>21.14</v>
      </c>
      <c r="J4298" s="19" t="n">
        <v>21</v>
      </c>
      <c r="K4298" s="20" t="n">
        <v>0</v>
      </c>
      <c r="L4298" s="20" t="n">
        <v>0</v>
      </c>
      <c r="M4298" s="18" t="n">
        <v>116</v>
      </c>
      <c r="N4298" s="18" t="n">
        <v>116</v>
      </c>
      <c r="O4298" s="18" t="n">
        <v>0</v>
      </c>
      <c r="P4298" s="17" t="n">
        <v>46217</v>
      </c>
      <c r="Q4298" s="17" t="n">
        <v>46217</v>
      </c>
      <c r="R4298" s="17" t="n">
        <v>46217</v>
      </c>
      <c r="S4298" s="19">
        <f>H4298*I4298</f>
        <v/>
      </c>
      <c r="T4298" s="19">
        <f>H4298*J4298</f>
        <v/>
      </c>
      <c r="U4298">
        <f>IF(AND(K4298=0,G4298&lt;=Assumptions!$C$6),1,0)</f>
        <v/>
      </c>
      <c r="V4298">
        <f>IF(U4298=1,IF(M4298&gt;0,IF(P4298&lt;=G4298+Assumptions!$C$7,1,0),0),0)</f>
        <v/>
      </c>
      <c r="W4298">
        <f>IF(AND(U4298=1,M4298&gt;=H4298*(1-Assumptions!$C$8)),1,0)</f>
        <v/>
      </c>
      <c r="X4298">
        <f>IF(AND(U4298=1,N4298&gt;=H4298*(1-Assumptions!$C$8)),1,0)</f>
        <v/>
      </c>
      <c r="Y4298">
        <f>IF(ISNUMBER(Q4298),1,0)</f>
        <v/>
      </c>
      <c r="Z4298">
        <f>IF(AND(K4298=0,L4298=0,Y4298=0),1,0)</f>
        <v/>
      </c>
      <c r="AA4298">
        <f>IF(AND(Z4298=1,G4298&lt;Assumptions!$C$6),1,0)</f>
        <v/>
      </c>
      <c r="AB4298">
        <f>IF(U4298=0,"",IF(Y4298=1,MAX(0,Q4298-G4298),IF(L4298=1,MAX(0,R4298-G4298),MAX(0,Assumptions!$C$6-G4298))))</f>
        <v/>
      </c>
      <c r="AC4298">
        <f>IF(Y4298=1,Q4298-F4298,"")</f>
        <v/>
      </c>
      <c r="AD4298">
        <f>IF(Y4298=1,AC4298^2,"")</f>
        <v/>
      </c>
      <c r="AE4298" s="19">
        <f>IF(Z4298=1,(H4298-M4298)*I4298,0)</f>
        <v/>
      </c>
      <c r="AF4298">
        <f>IF(G4298&lt;EDATE(Assumptions!$C$6,-12)+1,"prior_12m","last_12m")</f>
        <v/>
      </c>
      <c r="AG4298" s="21">
        <f>DATE(YEAR(G4298),MONTH(G4298),1)</f>
        <v/>
      </c>
    </row>
    <row r="4299">
      <c r="A4299" t="inlineStr">
        <is>
          <t>SPO-02300-1</t>
        </is>
      </c>
      <c r="B4299" t="inlineStr">
        <is>
          <t>SPO-02300</t>
        </is>
      </c>
      <c r="C4299" t="inlineStr">
        <is>
          <t>SUP-05</t>
        </is>
      </c>
      <c r="D4299" t="inlineStr">
        <is>
          <t>FLEET</t>
        </is>
      </c>
      <c r="E4299" t="inlineStr">
        <is>
          <t>FLEET-05</t>
        </is>
      </c>
      <c r="F4299" s="17" t="n">
        <v>46209</v>
      </c>
      <c r="G4299" s="17" t="n">
        <v>46223</v>
      </c>
      <c r="H4299" s="18" t="n">
        <v>4</v>
      </c>
      <c r="I4299" s="19" t="n">
        <v>167.21</v>
      </c>
      <c r="J4299" s="19" t="n">
        <v>168</v>
      </c>
      <c r="K4299" s="20" t="n">
        <v>0</v>
      </c>
      <c r="L4299" s="20" t="n">
        <v>0</v>
      </c>
      <c r="M4299" s="18" t="n">
        <v>4</v>
      </c>
      <c r="N4299" s="18" t="n">
        <v>4</v>
      </c>
      <c r="O4299" s="18" t="n">
        <v>0</v>
      </c>
      <c r="P4299" s="17" t="n">
        <v>46217</v>
      </c>
      <c r="Q4299" s="17" t="n">
        <v>46217</v>
      </c>
      <c r="R4299" s="17" t="n">
        <v>46217</v>
      </c>
      <c r="S4299" s="19">
        <f>H4299*I4299</f>
        <v/>
      </c>
      <c r="T4299" s="19">
        <f>H4299*J4299</f>
        <v/>
      </c>
      <c r="U4299">
        <f>IF(AND(K4299=0,G4299&lt;=Assumptions!$C$6),1,0)</f>
        <v/>
      </c>
      <c r="V4299">
        <f>IF(U4299=1,IF(M4299&gt;0,IF(P4299&lt;=G4299+Assumptions!$C$7,1,0),0),0)</f>
        <v/>
      </c>
      <c r="W4299">
        <f>IF(AND(U4299=1,M4299&gt;=H4299*(1-Assumptions!$C$8)),1,0)</f>
        <v/>
      </c>
      <c r="X4299">
        <f>IF(AND(U4299=1,N4299&gt;=H4299*(1-Assumptions!$C$8)),1,0)</f>
        <v/>
      </c>
      <c r="Y4299">
        <f>IF(ISNUMBER(Q4299),1,0)</f>
        <v/>
      </c>
      <c r="Z4299">
        <f>IF(AND(K4299=0,L4299=0,Y4299=0),1,0)</f>
        <v/>
      </c>
      <c r="AA4299">
        <f>IF(AND(Z4299=1,G4299&lt;Assumptions!$C$6),1,0)</f>
        <v/>
      </c>
      <c r="AB4299">
        <f>IF(U4299=0,"",IF(Y4299=1,MAX(0,Q4299-G4299),IF(L4299=1,MAX(0,R4299-G4299),MAX(0,Assumptions!$C$6-G4299))))</f>
        <v/>
      </c>
      <c r="AC4299">
        <f>IF(Y4299=1,Q4299-F4299,"")</f>
        <v/>
      </c>
      <c r="AD4299">
        <f>IF(Y4299=1,AC4299^2,"")</f>
        <v/>
      </c>
      <c r="AE4299" s="19">
        <f>IF(Z4299=1,(H4299-M4299)*I4299,0)</f>
        <v/>
      </c>
      <c r="AF4299">
        <f>IF(G4299&lt;EDATE(Assumptions!$C$6,-12)+1,"prior_12m","last_12m")</f>
        <v/>
      </c>
      <c r="AG4299" s="21">
        <f>DATE(YEAR(G4299),MONTH(G4299),1)</f>
        <v/>
      </c>
    </row>
    <row r="4300">
      <c r="A4300" t="inlineStr">
        <is>
          <t>SPO-02300-2</t>
        </is>
      </c>
      <c r="B4300" t="inlineStr">
        <is>
          <t>SPO-02300</t>
        </is>
      </c>
      <c r="C4300" t="inlineStr">
        <is>
          <t>SUP-05</t>
        </is>
      </c>
      <c r="D4300" t="inlineStr">
        <is>
          <t>FLEET</t>
        </is>
      </c>
      <c r="E4300" t="inlineStr">
        <is>
          <t>FLEET-08</t>
        </is>
      </c>
      <c r="F4300" s="17" t="n">
        <v>46209</v>
      </c>
      <c r="G4300" s="17" t="n">
        <v>46223</v>
      </c>
      <c r="H4300" s="18" t="n">
        <v>187</v>
      </c>
      <c r="I4300" s="19" t="n">
        <v>6.84</v>
      </c>
      <c r="J4300" s="19" t="n">
        <v>6.4</v>
      </c>
      <c r="K4300" s="20" t="n">
        <v>0</v>
      </c>
      <c r="L4300" s="20" t="n">
        <v>0</v>
      </c>
      <c r="M4300" s="18" t="n">
        <v>187</v>
      </c>
      <c r="N4300" s="18" t="n">
        <v>187</v>
      </c>
      <c r="O4300" s="18" t="n">
        <v>0</v>
      </c>
      <c r="P4300" s="17" t="n">
        <v>46220</v>
      </c>
      <c r="Q4300" s="17" t="n">
        <v>46220</v>
      </c>
      <c r="R4300" s="17" t="n">
        <v>46220</v>
      </c>
      <c r="S4300" s="19">
        <f>H4300*I4300</f>
        <v/>
      </c>
      <c r="T4300" s="19">
        <f>H4300*J4300</f>
        <v/>
      </c>
      <c r="U4300">
        <f>IF(AND(K4300=0,G4300&lt;=Assumptions!$C$6),1,0)</f>
        <v/>
      </c>
      <c r="V4300">
        <f>IF(U4300=1,IF(M4300&gt;0,IF(P4300&lt;=G4300+Assumptions!$C$7,1,0),0),0)</f>
        <v/>
      </c>
      <c r="W4300">
        <f>IF(AND(U4300=1,M4300&gt;=H4300*(1-Assumptions!$C$8)),1,0)</f>
        <v/>
      </c>
      <c r="X4300">
        <f>IF(AND(U4300=1,N4300&gt;=H4300*(1-Assumptions!$C$8)),1,0)</f>
        <v/>
      </c>
      <c r="Y4300">
        <f>IF(ISNUMBER(Q4300),1,0)</f>
        <v/>
      </c>
      <c r="Z4300">
        <f>IF(AND(K4300=0,L4300=0,Y4300=0),1,0)</f>
        <v/>
      </c>
      <c r="AA4300">
        <f>IF(AND(Z4300=1,G4300&lt;Assumptions!$C$6),1,0)</f>
        <v/>
      </c>
      <c r="AB4300">
        <f>IF(U4300=0,"",IF(Y4300=1,MAX(0,Q4300-G4300),IF(L4300=1,MAX(0,R4300-G4300),MAX(0,Assumptions!$C$6-G4300))))</f>
        <v/>
      </c>
      <c r="AC4300">
        <f>IF(Y4300=1,Q4300-F4300,"")</f>
        <v/>
      </c>
      <c r="AD4300">
        <f>IF(Y4300=1,AC4300^2,"")</f>
        <v/>
      </c>
      <c r="AE4300" s="19">
        <f>IF(Z4300=1,(H4300-M4300)*I4300,0)</f>
        <v/>
      </c>
      <c r="AF4300">
        <f>IF(G4300&lt;EDATE(Assumptions!$C$6,-12)+1,"prior_12m","last_12m")</f>
        <v/>
      </c>
      <c r="AG4300" s="21">
        <f>DATE(YEAR(G4300),MONTH(G4300),1)</f>
        <v/>
      </c>
    </row>
    <row r="4301">
      <c r="A4301" t="inlineStr">
        <is>
          <t>SPO-02300-3</t>
        </is>
      </c>
      <c r="B4301" t="inlineStr">
        <is>
          <t>SPO-02300</t>
        </is>
      </c>
      <c r="C4301" t="inlineStr">
        <is>
          <t>SUP-05</t>
        </is>
      </c>
      <c r="D4301" t="inlineStr">
        <is>
          <t>FLEET</t>
        </is>
      </c>
      <c r="E4301" t="inlineStr">
        <is>
          <t>FLEET-04</t>
        </is>
      </c>
      <c r="F4301" s="17" t="n">
        <v>46209</v>
      </c>
      <c r="G4301" s="17" t="n">
        <v>46223</v>
      </c>
      <c r="H4301" s="18" t="n">
        <v>54</v>
      </c>
      <c r="I4301" s="19" t="n">
        <v>8.57</v>
      </c>
      <c r="J4301" s="19" t="n">
        <v>9</v>
      </c>
      <c r="K4301" s="20" t="n">
        <v>0</v>
      </c>
      <c r="L4301" s="20" t="n">
        <v>0</v>
      </c>
      <c r="M4301" s="18" t="n">
        <v>54</v>
      </c>
      <c r="N4301" s="18" t="n">
        <v>54</v>
      </c>
      <c r="O4301" s="18" t="n">
        <v>0</v>
      </c>
      <c r="P4301" s="17" t="n">
        <v>46222</v>
      </c>
      <c r="Q4301" s="17" t="n">
        <v>46222</v>
      </c>
      <c r="R4301" s="17" t="n">
        <v>46222</v>
      </c>
      <c r="S4301" s="19">
        <f>H4301*I4301</f>
        <v/>
      </c>
      <c r="T4301" s="19">
        <f>H4301*J4301</f>
        <v/>
      </c>
      <c r="U4301">
        <f>IF(AND(K4301=0,G4301&lt;=Assumptions!$C$6),1,0)</f>
        <v/>
      </c>
      <c r="V4301">
        <f>IF(U4301=1,IF(M4301&gt;0,IF(P4301&lt;=G4301+Assumptions!$C$7,1,0),0),0)</f>
        <v/>
      </c>
      <c r="W4301">
        <f>IF(AND(U4301=1,M4301&gt;=H4301*(1-Assumptions!$C$8)),1,0)</f>
        <v/>
      </c>
      <c r="X4301">
        <f>IF(AND(U4301=1,N4301&gt;=H4301*(1-Assumptions!$C$8)),1,0)</f>
        <v/>
      </c>
      <c r="Y4301">
        <f>IF(ISNUMBER(Q4301),1,0)</f>
        <v/>
      </c>
      <c r="Z4301">
        <f>IF(AND(K4301=0,L4301=0,Y4301=0),1,0)</f>
        <v/>
      </c>
      <c r="AA4301">
        <f>IF(AND(Z4301=1,G4301&lt;Assumptions!$C$6),1,0)</f>
        <v/>
      </c>
      <c r="AB4301">
        <f>IF(U4301=0,"",IF(Y4301=1,MAX(0,Q4301-G4301),IF(L4301=1,MAX(0,R4301-G4301),MAX(0,Assumptions!$C$6-G4301))))</f>
        <v/>
      </c>
      <c r="AC4301">
        <f>IF(Y4301=1,Q4301-F4301,"")</f>
        <v/>
      </c>
      <c r="AD4301">
        <f>IF(Y4301=1,AC4301^2,"")</f>
        <v/>
      </c>
      <c r="AE4301" s="19">
        <f>IF(Z4301=1,(H4301-M4301)*I4301,0)</f>
        <v/>
      </c>
      <c r="AF4301">
        <f>IF(G4301&lt;EDATE(Assumptions!$C$6,-12)+1,"prior_12m","last_12m")</f>
        <v/>
      </c>
      <c r="AG4301" s="21">
        <f>DATE(YEAR(G4301),MONTH(G4301),1)</f>
        <v/>
      </c>
    </row>
    <row r="4302">
      <c r="A4302" t="inlineStr">
        <is>
          <t>SPO-02301-1</t>
        </is>
      </c>
      <c r="B4302" t="inlineStr">
        <is>
          <t>SPO-02301</t>
        </is>
      </c>
      <c r="C4302" t="inlineStr">
        <is>
          <t>SUP-12</t>
        </is>
      </c>
      <c r="D4302" t="inlineStr">
        <is>
          <t>IT</t>
        </is>
      </c>
      <c r="E4302" t="inlineStr">
        <is>
          <t>IT-01</t>
        </is>
      </c>
      <c r="F4302" s="17" t="n">
        <v>46210</v>
      </c>
      <c r="G4302" s="17" t="n">
        <v>46220</v>
      </c>
      <c r="H4302" s="18" t="n">
        <v>3</v>
      </c>
      <c r="I4302" s="19" t="n">
        <v>217.81</v>
      </c>
      <c r="J4302" s="19" t="n">
        <v>189</v>
      </c>
      <c r="K4302" s="20" t="n">
        <v>0</v>
      </c>
      <c r="L4302" s="20" t="n">
        <v>0</v>
      </c>
      <c r="M4302" s="18" t="n">
        <v>3</v>
      </c>
      <c r="N4302" s="18" t="n">
        <v>3</v>
      </c>
      <c r="O4302" s="18" t="n">
        <v>0</v>
      </c>
      <c r="P4302" s="17" t="n">
        <v>46220</v>
      </c>
      <c r="Q4302" s="17" t="n">
        <v>46220</v>
      </c>
      <c r="R4302" s="17" t="n">
        <v>46220</v>
      </c>
      <c r="S4302" s="19">
        <f>H4302*I4302</f>
        <v/>
      </c>
      <c r="T4302" s="19">
        <f>H4302*J4302</f>
        <v/>
      </c>
      <c r="U4302">
        <f>IF(AND(K4302=0,G4302&lt;=Assumptions!$C$6),1,0)</f>
        <v/>
      </c>
      <c r="V4302">
        <f>IF(U4302=1,IF(M4302&gt;0,IF(P4302&lt;=G4302+Assumptions!$C$7,1,0),0),0)</f>
        <v/>
      </c>
      <c r="W4302">
        <f>IF(AND(U4302=1,M4302&gt;=H4302*(1-Assumptions!$C$8)),1,0)</f>
        <v/>
      </c>
      <c r="X4302">
        <f>IF(AND(U4302=1,N4302&gt;=H4302*(1-Assumptions!$C$8)),1,0)</f>
        <v/>
      </c>
      <c r="Y4302">
        <f>IF(ISNUMBER(Q4302),1,0)</f>
        <v/>
      </c>
      <c r="Z4302">
        <f>IF(AND(K4302=0,L4302=0,Y4302=0),1,0)</f>
        <v/>
      </c>
      <c r="AA4302">
        <f>IF(AND(Z4302=1,G4302&lt;Assumptions!$C$6),1,0)</f>
        <v/>
      </c>
      <c r="AB4302">
        <f>IF(U4302=0,"",IF(Y4302=1,MAX(0,Q4302-G4302),IF(L4302=1,MAX(0,R4302-G4302),MAX(0,Assumptions!$C$6-G4302))))</f>
        <v/>
      </c>
      <c r="AC4302">
        <f>IF(Y4302=1,Q4302-F4302,"")</f>
        <v/>
      </c>
      <c r="AD4302">
        <f>IF(Y4302=1,AC4302^2,"")</f>
        <v/>
      </c>
      <c r="AE4302" s="19">
        <f>IF(Z4302=1,(H4302-M4302)*I4302,0)</f>
        <v/>
      </c>
      <c r="AF4302">
        <f>IF(G4302&lt;EDATE(Assumptions!$C$6,-12)+1,"prior_12m","last_12m")</f>
        <v/>
      </c>
      <c r="AG4302" s="21">
        <f>DATE(YEAR(G4302),MONTH(G4302),1)</f>
        <v/>
      </c>
    </row>
    <row r="4303">
      <c r="A4303" t="inlineStr">
        <is>
          <t>SPO-02301-2</t>
        </is>
      </c>
      <c r="B4303" t="inlineStr">
        <is>
          <t>SPO-02301</t>
        </is>
      </c>
      <c r="C4303" t="inlineStr">
        <is>
          <t>SUP-12</t>
        </is>
      </c>
      <c r="D4303" t="inlineStr">
        <is>
          <t>IT</t>
        </is>
      </c>
      <c r="E4303" t="inlineStr">
        <is>
          <t>IT-06</t>
        </is>
      </c>
      <c r="F4303" s="17" t="n">
        <v>46210</v>
      </c>
      <c r="G4303" s="17" t="n">
        <v>46220</v>
      </c>
      <c r="H4303" s="18" t="n">
        <v>12</v>
      </c>
      <c r="I4303" s="19" t="n">
        <v>98.78</v>
      </c>
      <c r="J4303" s="19" t="n">
        <v>89</v>
      </c>
      <c r="K4303" s="20" t="n">
        <v>0</v>
      </c>
      <c r="L4303" s="20" t="n">
        <v>0</v>
      </c>
      <c r="M4303" s="18" t="n">
        <v>12</v>
      </c>
      <c r="N4303" s="18" t="n">
        <v>12</v>
      </c>
      <c r="O4303" s="18" t="n">
        <v>0</v>
      </c>
      <c r="P4303" s="17" t="n">
        <v>46216</v>
      </c>
      <c r="Q4303" s="17" t="n">
        <v>46216</v>
      </c>
      <c r="R4303" s="17" t="n">
        <v>46216</v>
      </c>
      <c r="S4303" s="19">
        <f>H4303*I4303</f>
        <v/>
      </c>
      <c r="T4303" s="19">
        <f>H4303*J4303</f>
        <v/>
      </c>
      <c r="U4303">
        <f>IF(AND(K4303=0,G4303&lt;=Assumptions!$C$6),1,0)</f>
        <v/>
      </c>
      <c r="V4303">
        <f>IF(U4303=1,IF(M4303&gt;0,IF(P4303&lt;=G4303+Assumptions!$C$7,1,0),0),0)</f>
        <v/>
      </c>
      <c r="W4303">
        <f>IF(AND(U4303=1,M4303&gt;=H4303*(1-Assumptions!$C$8)),1,0)</f>
        <v/>
      </c>
      <c r="X4303">
        <f>IF(AND(U4303=1,N4303&gt;=H4303*(1-Assumptions!$C$8)),1,0)</f>
        <v/>
      </c>
      <c r="Y4303">
        <f>IF(ISNUMBER(Q4303),1,0)</f>
        <v/>
      </c>
      <c r="Z4303">
        <f>IF(AND(K4303=0,L4303=0,Y4303=0),1,0)</f>
        <v/>
      </c>
      <c r="AA4303">
        <f>IF(AND(Z4303=1,G4303&lt;Assumptions!$C$6),1,0)</f>
        <v/>
      </c>
      <c r="AB4303">
        <f>IF(U4303=0,"",IF(Y4303=1,MAX(0,Q4303-G4303),IF(L4303=1,MAX(0,R4303-G4303),MAX(0,Assumptions!$C$6-G4303))))</f>
        <v/>
      </c>
      <c r="AC4303">
        <f>IF(Y4303=1,Q4303-F4303,"")</f>
        <v/>
      </c>
      <c r="AD4303">
        <f>IF(Y4303=1,AC4303^2,"")</f>
        <v/>
      </c>
      <c r="AE4303" s="19">
        <f>IF(Z4303=1,(H4303-M4303)*I4303,0)</f>
        <v/>
      </c>
      <c r="AF4303">
        <f>IF(G4303&lt;EDATE(Assumptions!$C$6,-12)+1,"prior_12m","last_12m")</f>
        <v/>
      </c>
      <c r="AG4303" s="21">
        <f>DATE(YEAR(G4303),MONTH(G4303),1)</f>
        <v/>
      </c>
    </row>
    <row r="4304">
      <c r="A4304" t="inlineStr">
        <is>
          <t>SPO-02302-1</t>
        </is>
      </c>
      <c r="B4304" t="inlineStr">
        <is>
          <t>SPO-02302</t>
        </is>
      </c>
      <c r="C4304" t="inlineStr">
        <is>
          <t>SUP-02</t>
        </is>
      </c>
      <c r="D4304" t="inlineStr">
        <is>
          <t>ELEC</t>
        </is>
      </c>
      <c r="E4304" t="inlineStr">
        <is>
          <t>ELEC-07</t>
        </is>
      </c>
      <c r="F4304" s="17" t="n">
        <v>46210</v>
      </c>
      <c r="G4304" s="17" t="n">
        <v>46226</v>
      </c>
      <c r="H4304" s="18" t="n">
        <v>461</v>
      </c>
      <c r="I4304" s="19" t="n">
        <v>10.3</v>
      </c>
      <c r="J4304" s="19" t="n">
        <v>9.800000000000001</v>
      </c>
      <c r="K4304" s="20" t="n">
        <v>0</v>
      </c>
      <c r="L4304" s="20" t="n">
        <v>1</v>
      </c>
      <c r="M4304" s="18" t="n">
        <v>237</v>
      </c>
      <c r="N4304" s="18" t="n">
        <v>237</v>
      </c>
      <c r="O4304" s="18" t="n">
        <v>0</v>
      </c>
      <c r="P4304" s="17" t="n">
        <v>46224</v>
      </c>
      <c r="Q4304" s="17" t="n"/>
      <c r="R4304" s="17" t="n">
        <v>46224</v>
      </c>
      <c r="S4304" s="19">
        <f>H4304*I4304</f>
        <v/>
      </c>
      <c r="T4304" s="19">
        <f>H4304*J4304</f>
        <v/>
      </c>
      <c r="U4304">
        <f>IF(AND(K4304=0,G4304&lt;=Assumptions!$C$6),1,0)</f>
        <v/>
      </c>
      <c r="V4304">
        <f>IF(U4304=1,IF(M4304&gt;0,IF(P4304&lt;=G4304+Assumptions!$C$7,1,0),0),0)</f>
        <v/>
      </c>
      <c r="W4304">
        <f>IF(AND(U4304=1,M4304&gt;=H4304*(1-Assumptions!$C$8)),1,0)</f>
        <v/>
      </c>
      <c r="X4304">
        <f>IF(AND(U4304=1,N4304&gt;=H4304*(1-Assumptions!$C$8)),1,0)</f>
        <v/>
      </c>
      <c r="Y4304">
        <f>IF(ISNUMBER(Q4304),1,0)</f>
        <v/>
      </c>
      <c r="Z4304">
        <f>IF(AND(K4304=0,L4304=0,Y4304=0),1,0)</f>
        <v/>
      </c>
      <c r="AA4304">
        <f>IF(AND(Z4304=1,G4304&lt;Assumptions!$C$6),1,0)</f>
        <v/>
      </c>
      <c r="AB4304">
        <f>IF(U4304=0,"",IF(Y4304=1,MAX(0,Q4304-G4304),IF(L4304=1,MAX(0,R4304-G4304),MAX(0,Assumptions!$C$6-G4304))))</f>
        <v/>
      </c>
      <c r="AC4304">
        <f>IF(Y4304=1,Q4304-F4304,"")</f>
        <v/>
      </c>
      <c r="AD4304">
        <f>IF(Y4304=1,AC4304^2,"")</f>
        <v/>
      </c>
      <c r="AE4304" s="19">
        <f>IF(Z4304=1,(H4304-M4304)*I4304,0)</f>
        <v/>
      </c>
      <c r="AF4304">
        <f>IF(G4304&lt;EDATE(Assumptions!$C$6,-12)+1,"prior_12m","last_12m")</f>
        <v/>
      </c>
      <c r="AG4304" s="21">
        <f>DATE(YEAR(G4304),MONTH(G4304),1)</f>
        <v/>
      </c>
    </row>
    <row r="4305">
      <c r="A4305" t="inlineStr">
        <is>
          <t>SPO-02302-2</t>
        </is>
      </c>
      <c r="B4305" t="inlineStr">
        <is>
          <t>SPO-02302</t>
        </is>
      </c>
      <c r="C4305" t="inlineStr">
        <is>
          <t>SUP-02</t>
        </is>
      </c>
      <c r="D4305" t="inlineStr">
        <is>
          <t>ELEC</t>
        </is>
      </c>
      <c r="E4305" t="inlineStr">
        <is>
          <t>ELEC-08</t>
        </is>
      </c>
      <c r="F4305" s="17" t="n">
        <v>46210</v>
      </c>
      <c r="G4305" s="17" t="n">
        <v>46226</v>
      </c>
      <c r="H4305" s="18" t="n">
        <v>39</v>
      </c>
      <c r="I4305" s="19" t="n">
        <v>19.41</v>
      </c>
      <c r="J4305" s="19" t="n">
        <v>18</v>
      </c>
      <c r="K4305" s="20" t="n">
        <v>0</v>
      </c>
      <c r="L4305" s="20" t="n">
        <v>0</v>
      </c>
      <c r="M4305" s="18" t="n">
        <v>39</v>
      </c>
      <c r="N4305" s="18" t="n">
        <v>39</v>
      </c>
      <c r="O4305" s="18" t="n">
        <v>0</v>
      </c>
      <c r="P4305" s="17" t="n">
        <v>46222</v>
      </c>
      <c r="Q4305" s="17" t="n">
        <v>46222</v>
      </c>
      <c r="R4305" s="17" t="n">
        <v>46222</v>
      </c>
      <c r="S4305" s="19">
        <f>H4305*I4305</f>
        <v/>
      </c>
      <c r="T4305" s="19">
        <f>H4305*J4305</f>
        <v/>
      </c>
      <c r="U4305">
        <f>IF(AND(K4305=0,G4305&lt;=Assumptions!$C$6),1,0)</f>
        <v/>
      </c>
      <c r="V4305">
        <f>IF(U4305=1,IF(M4305&gt;0,IF(P4305&lt;=G4305+Assumptions!$C$7,1,0),0),0)</f>
        <v/>
      </c>
      <c r="W4305">
        <f>IF(AND(U4305=1,M4305&gt;=H4305*(1-Assumptions!$C$8)),1,0)</f>
        <v/>
      </c>
      <c r="X4305">
        <f>IF(AND(U4305=1,N4305&gt;=H4305*(1-Assumptions!$C$8)),1,0)</f>
        <v/>
      </c>
      <c r="Y4305">
        <f>IF(ISNUMBER(Q4305),1,0)</f>
        <v/>
      </c>
      <c r="Z4305">
        <f>IF(AND(K4305=0,L4305=0,Y4305=0),1,0)</f>
        <v/>
      </c>
      <c r="AA4305">
        <f>IF(AND(Z4305=1,G4305&lt;Assumptions!$C$6),1,0)</f>
        <v/>
      </c>
      <c r="AB4305">
        <f>IF(U4305=0,"",IF(Y4305=1,MAX(0,Q4305-G4305),IF(L4305=1,MAX(0,R4305-G4305),MAX(0,Assumptions!$C$6-G4305))))</f>
        <v/>
      </c>
      <c r="AC4305">
        <f>IF(Y4305=1,Q4305-F4305,"")</f>
        <v/>
      </c>
      <c r="AD4305">
        <f>IF(Y4305=1,AC4305^2,"")</f>
        <v/>
      </c>
      <c r="AE4305" s="19">
        <f>IF(Z4305=1,(H4305-M4305)*I4305,0)</f>
        <v/>
      </c>
      <c r="AF4305">
        <f>IF(G4305&lt;EDATE(Assumptions!$C$6,-12)+1,"prior_12m","last_12m")</f>
        <v/>
      </c>
      <c r="AG4305" s="21">
        <f>DATE(YEAR(G4305),MONTH(G4305),1)</f>
        <v/>
      </c>
    </row>
    <row r="4306">
      <c r="A4306" t="inlineStr">
        <is>
          <t>SPO-02303-1</t>
        </is>
      </c>
      <c r="B4306" t="inlineStr">
        <is>
          <t>SPO-02303</t>
        </is>
      </c>
      <c r="C4306" t="inlineStr">
        <is>
          <t>SUP-04</t>
        </is>
      </c>
      <c r="D4306" t="inlineStr">
        <is>
          <t>FLEET</t>
        </is>
      </c>
      <c r="E4306" t="inlineStr">
        <is>
          <t>FLEET-07</t>
        </is>
      </c>
      <c r="F4306" s="17" t="n">
        <v>46210</v>
      </c>
      <c r="G4306" s="17" t="n">
        <v>46223</v>
      </c>
      <c r="H4306" s="18" t="n">
        <v>25</v>
      </c>
      <c r="I4306" s="19" t="n">
        <v>116.2</v>
      </c>
      <c r="J4306" s="19" t="n">
        <v>118</v>
      </c>
      <c r="K4306" s="20" t="n">
        <v>0</v>
      </c>
      <c r="L4306" s="20" t="n">
        <v>0</v>
      </c>
      <c r="M4306" s="18" t="n">
        <v>25</v>
      </c>
      <c r="N4306" s="18" t="n">
        <v>25</v>
      </c>
      <c r="O4306" s="18" t="n">
        <v>0</v>
      </c>
      <c r="P4306" s="17" t="n">
        <v>46221</v>
      </c>
      <c r="Q4306" s="17" t="n">
        <v>46221</v>
      </c>
      <c r="R4306" s="17" t="n">
        <v>46221</v>
      </c>
      <c r="S4306" s="19">
        <f>H4306*I4306</f>
        <v/>
      </c>
      <c r="T4306" s="19">
        <f>H4306*J4306</f>
        <v/>
      </c>
      <c r="U4306">
        <f>IF(AND(K4306=0,G4306&lt;=Assumptions!$C$6),1,0)</f>
        <v/>
      </c>
      <c r="V4306">
        <f>IF(U4306=1,IF(M4306&gt;0,IF(P4306&lt;=G4306+Assumptions!$C$7,1,0),0),0)</f>
        <v/>
      </c>
      <c r="W4306">
        <f>IF(AND(U4306=1,M4306&gt;=H4306*(1-Assumptions!$C$8)),1,0)</f>
        <v/>
      </c>
      <c r="X4306">
        <f>IF(AND(U4306=1,N4306&gt;=H4306*(1-Assumptions!$C$8)),1,0)</f>
        <v/>
      </c>
      <c r="Y4306">
        <f>IF(ISNUMBER(Q4306),1,0)</f>
        <v/>
      </c>
      <c r="Z4306">
        <f>IF(AND(K4306=0,L4306=0,Y4306=0),1,0)</f>
        <v/>
      </c>
      <c r="AA4306">
        <f>IF(AND(Z4306=1,G4306&lt;Assumptions!$C$6),1,0)</f>
        <v/>
      </c>
      <c r="AB4306">
        <f>IF(U4306=0,"",IF(Y4306=1,MAX(0,Q4306-G4306),IF(L4306=1,MAX(0,R4306-G4306),MAX(0,Assumptions!$C$6-G4306))))</f>
        <v/>
      </c>
      <c r="AC4306">
        <f>IF(Y4306=1,Q4306-F4306,"")</f>
        <v/>
      </c>
      <c r="AD4306">
        <f>IF(Y4306=1,AC4306^2,"")</f>
        <v/>
      </c>
      <c r="AE4306" s="19">
        <f>IF(Z4306=1,(H4306-M4306)*I4306,0)</f>
        <v/>
      </c>
      <c r="AF4306">
        <f>IF(G4306&lt;EDATE(Assumptions!$C$6,-12)+1,"prior_12m","last_12m")</f>
        <v/>
      </c>
      <c r="AG4306" s="21">
        <f>DATE(YEAR(G4306),MONTH(G4306),1)</f>
        <v/>
      </c>
    </row>
    <row r="4307">
      <c r="A4307" t="inlineStr">
        <is>
          <t>SPO-02304-1</t>
        </is>
      </c>
      <c r="B4307" t="inlineStr">
        <is>
          <t>SPO-02304</t>
        </is>
      </c>
      <c r="C4307" t="inlineStr">
        <is>
          <t>SUP-11</t>
        </is>
      </c>
      <c r="D4307" t="inlineStr">
        <is>
          <t>PPE</t>
        </is>
      </c>
      <c r="E4307" t="inlineStr">
        <is>
          <t>PPE-08</t>
        </is>
      </c>
      <c r="F4307" s="17" t="n">
        <v>46210</v>
      </c>
      <c r="G4307" s="17" t="n">
        <v>46222</v>
      </c>
      <c r="H4307" s="18" t="n">
        <v>31</v>
      </c>
      <c r="I4307" s="19" t="n">
        <v>65.12</v>
      </c>
      <c r="J4307" s="19" t="n">
        <v>64</v>
      </c>
      <c r="K4307" s="20" t="n">
        <v>0</v>
      </c>
      <c r="L4307" s="20" t="n">
        <v>0</v>
      </c>
      <c r="M4307" s="18" t="n">
        <v>31</v>
      </c>
      <c r="N4307" s="18" t="n">
        <v>31</v>
      </c>
      <c r="O4307" s="18" t="n">
        <v>0</v>
      </c>
      <c r="P4307" s="17" t="n">
        <v>46220</v>
      </c>
      <c r="Q4307" s="17" t="n">
        <v>46220</v>
      </c>
      <c r="R4307" s="17" t="n">
        <v>46220</v>
      </c>
      <c r="S4307" s="19">
        <f>H4307*I4307</f>
        <v/>
      </c>
      <c r="T4307" s="19">
        <f>H4307*J4307</f>
        <v/>
      </c>
      <c r="U4307">
        <f>IF(AND(K4307=0,G4307&lt;=Assumptions!$C$6),1,0)</f>
        <v/>
      </c>
      <c r="V4307">
        <f>IF(U4307=1,IF(M4307&gt;0,IF(P4307&lt;=G4307+Assumptions!$C$7,1,0),0),0)</f>
        <v/>
      </c>
      <c r="W4307">
        <f>IF(AND(U4307=1,M4307&gt;=H4307*(1-Assumptions!$C$8)),1,0)</f>
        <v/>
      </c>
      <c r="X4307">
        <f>IF(AND(U4307=1,N4307&gt;=H4307*(1-Assumptions!$C$8)),1,0)</f>
        <v/>
      </c>
      <c r="Y4307">
        <f>IF(ISNUMBER(Q4307),1,0)</f>
        <v/>
      </c>
      <c r="Z4307">
        <f>IF(AND(K4307=0,L4307=0,Y4307=0),1,0)</f>
        <v/>
      </c>
      <c r="AA4307">
        <f>IF(AND(Z4307=1,G4307&lt;Assumptions!$C$6),1,0)</f>
        <v/>
      </c>
      <c r="AB4307">
        <f>IF(U4307=0,"",IF(Y4307=1,MAX(0,Q4307-G4307),IF(L4307=1,MAX(0,R4307-G4307),MAX(0,Assumptions!$C$6-G4307))))</f>
        <v/>
      </c>
      <c r="AC4307">
        <f>IF(Y4307=1,Q4307-F4307,"")</f>
        <v/>
      </c>
      <c r="AD4307">
        <f>IF(Y4307=1,AC4307^2,"")</f>
        <v/>
      </c>
      <c r="AE4307" s="19">
        <f>IF(Z4307=1,(H4307-M4307)*I4307,0)</f>
        <v/>
      </c>
      <c r="AF4307">
        <f>IF(G4307&lt;EDATE(Assumptions!$C$6,-12)+1,"prior_12m","last_12m")</f>
        <v/>
      </c>
      <c r="AG4307" s="21">
        <f>DATE(YEAR(G4307),MONTH(G4307),1)</f>
        <v/>
      </c>
    </row>
    <row r="4308">
      <c r="A4308" t="inlineStr">
        <is>
          <t>SPO-02304-2</t>
        </is>
      </c>
      <c r="B4308" t="inlineStr">
        <is>
          <t>SPO-02304</t>
        </is>
      </c>
      <c r="C4308" t="inlineStr">
        <is>
          <t>SUP-11</t>
        </is>
      </c>
      <c r="D4308" t="inlineStr">
        <is>
          <t>PPE</t>
        </is>
      </c>
      <c r="E4308" t="inlineStr">
        <is>
          <t>PPE-05</t>
        </is>
      </c>
      <c r="F4308" s="17" t="n">
        <v>46210</v>
      </c>
      <c r="G4308" s="17" t="n">
        <v>46222</v>
      </c>
      <c r="H4308" s="18" t="n">
        <v>53</v>
      </c>
      <c r="I4308" s="19" t="n">
        <v>10.52</v>
      </c>
      <c r="J4308" s="19" t="n">
        <v>11</v>
      </c>
      <c r="K4308" s="20" t="n">
        <v>0</v>
      </c>
      <c r="L4308" s="20" t="n">
        <v>0</v>
      </c>
      <c r="M4308" s="18" t="n">
        <v>53</v>
      </c>
      <c r="N4308" s="18" t="n">
        <v>53</v>
      </c>
      <c r="O4308" s="18" t="n">
        <v>0</v>
      </c>
      <c r="P4308" s="17" t="n">
        <v>46218</v>
      </c>
      <c r="Q4308" s="17" t="n">
        <v>46218</v>
      </c>
      <c r="R4308" s="17" t="n">
        <v>46218</v>
      </c>
      <c r="S4308" s="19">
        <f>H4308*I4308</f>
        <v/>
      </c>
      <c r="T4308" s="19">
        <f>H4308*J4308</f>
        <v/>
      </c>
      <c r="U4308">
        <f>IF(AND(K4308=0,G4308&lt;=Assumptions!$C$6),1,0)</f>
        <v/>
      </c>
      <c r="V4308">
        <f>IF(U4308=1,IF(M4308&gt;0,IF(P4308&lt;=G4308+Assumptions!$C$7,1,0),0),0)</f>
        <v/>
      </c>
      <c r="W4308">
        <f>IF(AND(U4308=1,M4308&gt;=H4308*(1-Assumptions!$C$8)),1,0)</f>
        <v/>
      </c>
      <c r="X4308">
        <f>IF(AND(U4308=1,N4308&gt;=H4308*(1-Assumptions!$C$8)),1,0)</f>
        <v/>
      </c>
      <c r="Y4308">
        <f>IF(ISNUMBER(Q4308),1,0)</f>
        <v/>
      </c>
      <c r="Z4308">
        <f>IF(AND(K4308=0,L4308=0,Y4308=0),1,0)</f>
        <v/>
      </c>
      <c r="AA4308">
        <f>IF(AND(Z4308=1,G4308&lt;Assumptions!$C$6),1,0)</f>
        <v/>
      </c>
      <c r="AB4308">
        <f>IF(U4308=0,"",IF(Y4308=1,MAX(0,Q4308-G4308),IF(L4308=1,MAX(0,R4308-G4308),MAX(0,Assumptions!$C$6-G4308))))</f>
        <v/>
      </c>
      <c r="AC4308">
        <f>IF(Y4308=1,Q4308-F4308,"")</f>
        <v/>
      </c>
      <c r="AD4308">
        <f>IF(Y4308=1,AC4308^2,"")</f>
        <v/>
      </c>
      <c r="AE4308" s="19">
        <f>IF(Z4308=1,(H4308-M4308)*I4308,0)</f>
        <v/>
      </c>
      <c r="AF4308">
        <f>IF(G4308&lt;EDATE(Assumptions!$C$6,-12)+1,"prior_12m","last_12m")</f>
        <v/>
      </c>
      <c r="AG4308" s="21">
        <f>DATE(YEAR(G4308),MONTH(G4308),1)</f>
        <v/>
      </c>
    </row>
    <row r="4309">
      <c r="A4309" t="inlineStr">
        <is>
          <t>SPO-02305-1</t>
        </is>
      </c>
      <c r="B4309" t="inlineStr">
        <is>
          <t>SPO-02305</t>
        </is>
      </c>
      <c r="C4309" t="inlineStr">
        <is>
          <t>SUP-14</t>
        </is>
      </c>
      <c r="D4309" t="inlineStr">
        <is>
          <t>FLEET</t>
        </is>
      </c>
      <c r="E4309" t="inlineStr">
        <is>
          <t>FLEET-06</t>
        </is>
      </c>
      <c r="F4309" s="17" t="n">
        <v>46211</v>
      </c>
      <c r="G4309" s="17" t="n">
        <v>46225</v>
      </c>
      <c r="H4309" s="18" t="n">
        <v>116</v>
      </c>
      <c r="I4309" s="19" t="n">
        <v>31.68</v>
      </c>
      <c r="J4309" s="19" t="n">
        <v>33</v>
      </c>
      <c r="K4309" s="20" t="n">
        <v>0</v>
      </c>
      <c r="L4309" s="20" t="n">
        <v>0</v>
      </c>
      <c r="M4309" s="18" t="n">
        <v>116</v>
      </c>
      <c r="N4309" s="18" t="n">
        <v>116</v>
      </c>
      <c r="O4309" s="18" t="n">
        <v>0</v>
      </c>
      <c r="P4309" s="17" t="n">
        <v>46221</v>
      </c>
      <c r="Q4309" s="17" t="n">
        <v>46221</v>
      </c>
      <c r="R4309" s="17" t="n">
        <v>46221</v>
      </c>
      <c r="S4309" s="19">
        <f>H4309*I4309</f>
        <v/>
      </c>
      <c r="T4309" s="19">
        <f>H4309*J4309</f>
        <v/>
      </c>
      <c r="U4309">
        <f>IF(AND(K4309=0,G4309&lt;=Assumptions!$C$6),1,0)</f>
        <v/>
      </c>
      <c r="V4309">
        <f>IF(U4309=1,IF(M4309&gt;0,IF(P4309&lt;=G4309+Assumptions!$C$7,1,0),0),0)</f>
        <v/>
      </c>
      <c r="W4309">
        <f>IF(AND(U4309=1,M4309&gt;=H4309*(1-Assumptions!$C$8)),1,0)</f>
        <v/>
      </c>
      <c r="X4309">
        <f>IF(AND(U4309=1,N4309&gt;=H4309*(1-Assumptions!$C$8)),1,0)</f>
        <v/>
      </c>
      <c r="Y4309">
        <f>IF(ISNUMBER(Q4309),1,0)</f>
        <v/>
      </c>
      <c r="Z4309">
        <f>IF(AND(K4309=0,L4309=0,Y4309=0),1,0)</f>
        <v/>
      </c>
      <c r="AA4309">
        <f>IF(AND(Z4309=1,G4309&lt;Assumptions!$C$6),1,0)</f>
        <v/>
      </c>
      <c r="AB4309">
        <f>IF(U4309=0,"",IF(Y4309=1,MAX(0,Q4309-G4309),IF(L4309=1,MAX(0,R4309-G4309),MAX(0,Assumptions!$C$6-G4309))))</f>
        <v/>
      </c>
      <c r="AC4309">
        <f>IF(Y4309=1,Q4309-F4309,"")</f>
        <v/>
      </c>
      <c r="AD4309">
        <f>IF(Y4309=1,AC4309^2,"")</f>
        <v/>
      </c>
      <c r="AE4309" s="19">
        <f>IF(Z4309=1,(H4309-M4309)*I4309,0)</f>
        <v/>
      </c>
      <c r="AF4309">
        <f>IF(G4309&lt;EDATE(Assumptions!$C$6,-12)+1,"prior_12m","last_12m")</f>
        <v/>
      </c>
      <c r="AG4309" s="21">
        <f>DATE(YEAR(G4309),MONTH(G4309),1)</f>
        <v/>
      </c>
    </row>
    <row r="4310">
      <c r="A4310" t="inlineStr">
        <is>
          <t>SPO-02305-2</t>
        </is>
      </c>
      <c r="B4310" t="inlineStr">
        <is>
          <t>SPO-02305</t>
        </is>
      </c>
      <c r="C4310" t="inlineStr">
        <is>
          <t>SUP-14</t>
        </is>
      </c>
      <c r="D4310" t="inlineStr">
        <is>
          <t>FLEET</t>
        </is>
      </c>
      <c r="E4310" t="inlineStr">
        <is>
          <t>FLEET-05</t>
        </is>
      </c>
      <c r="F4310" s="17" t="n">
        <v>46211</v>
      </c>
      <c r="G4310" s="17" t="n">
        <v>46225</v>
      </c>
      <c r="H4310" s="18" t="n">
        <v>8</v>
      </c>
      <c r="I4310" s="19" t="n">
        <v>171.95</v>
      </c>
      <c r="J4310" s="19" t="n">
        <v>168</v>
      </c>
      <c r="K4310" s="20" t="n">
        <v>0</v>
      </c>
      <c r="L4310" s="20" t="n">
        <v>0</v>
      </c>
      <c r="M4310" s="18" t="n">
        <v>8</v>
      </c>
      <c r="N4310" s="18" t="n">
        <v>8</v>
      </c>
      <c r="O4310" s="18" t="n">
        <v>0</v>
      </c>
      <c r="P4310" s="17" t="n">
        <v>46220</v>
      </c>
      <c r="Q4310" s="17" t="n">
        <v>46220</v>
      </c>
      <c r="R4310" s="17" t="n">
        <v>46220</v>
      </c>
      <c r="S4310" s="19">
        <f>H4310*I4310</f>
        <v/>
      </c>
      <c r="T4310" s="19">
        <f>H4310*J4310</f>
        <v/>
      </c>
      <c r="U4310">
        <f>IF(AND(K4310=0,G4310&lt;=Assumptions!$C$6),1,0)</f>
        <v/>
      </c>
      <c r="V4310">
        <f>IF(U4310=1,IF(M4310&gt;0,IF(P4310&lt;=G4310+Assumptions!$C$7,1,0),0),0)</f>
        <v/>
      </c>
      <c r="W4310">
        <f>IF(AND(U4310=1,M4310&gt;=H4310*(1-Assumptions!$C$8)),1,0)</f>
        <v/>
      </c>
      <c r="X4310">
        <f>IF(AND(U4310=1,N4310&gt;=H4310*(1-Assumptions!$C$8)),1,0)</f>
        <v/>
      </c>
      <c r="Y4310">
        <f>IF(ISNUMBER(Q4310),1,0)</f>
        <v/>
      </c>
      <c r="Z4310">
        <f>IF(AND(K4310=0,L4310=0,Y4310=0),1,0)</f>
        <v/>
      </c>
      <c r="AA4310">
        <f>IF(AND(Z4310=1,G4310&lt;Assumptions!$C$6),1,0)</f>
        <v/>
      </c>
      <c r="AB4310">
        <f>IF(U4310=0,"",IF(Y4310=1,MAX(0,Q4310-G4310),IF(L4310=1,MAX(0,R4310-G4310),MAX(0,Assumptions!$C$6-G4310))))</f>
        <v/>
      </c>
      <c r="AC4310">
        <f>IF(Y4310=1,Q4310-F4310,"")</f>
        <v/>
      </c>
      <c r="AD4310">
        <f>IF(Y4310=1,AC4310^2,"")</f>
        <v/>
      </c>
      <c r="AE4310" s="19">
        <f>IF(Z4310=1,(H4310-M4310)*I4310,0)</f>
        <v/>
      </c>
      <c r="AF4310">
        <f>IF(G4310&lt;EDATE(Assumptions!$C$6,-12)+1,"prior_12m","last_12m")</f>
        <v/>
      </c>
      <c r="AG4310" s="21">
        <f>DATE(YEAR(G4310),MONTH(G4310),1)</f>
        <v/>
      </c>
    </row>
    <row r="4311">
      <c r="A4311" t="inlineStr">
        <is>
          <t>SPO-02306-1</t>
        </is>
      </c>
      <c r="B4311" t="inlineStr">
        <is>
          <t>SPO-02306</t>
        </is>
      </c>
      <c r="C4311" t="inlineStr">
        <is>
          <t>SUP-01</t>
        </is>
      </c>
      <c r="D4311" t="inlineStr">
        <is>
          <t>ELEC</t>
        </is>
      </c>
      <c r="E4311" t="inlineStr">
        <is>
          <t>ELEC-05</t>
        </is>
      </c>
      <c r="F4311" s="17" t="n">
        <v>46211</v>
      </c>
      <c r="G4311" s="17" t="n">
        <v>46229</v>
      </c>
      <c r="H4311" s="18" t="n">
        <v>104</v>
      </c>
      <c r="I4311" s="19" t="n">
        <v>11.64</v>
      </c>
      <c r="J4311" s="19" t="n">
        <v>11.5</v>
      </c>
      <c r="K4311" s="20" t="n">
        <v>0</v>
      </c>
      <c r="L4311" s="20" t="n">
        <v>0</v>
      </c>
      <c r="M4311" s="18" t="n">
        <v>104</v>
      </c>
      <c r="N4311" s="18" t="n">
        <v>104</v>
      </c>
      <c r="O4311" s="18" t="n">
        <v>0</v>
      </c>
      <c r="P4311" s="17" t="n">
        <v>46229</v>
      </c>
      <c r="Q4311" s="17" t="n">
        <v>46229</v>
      </c>
      <c r="R4311" s="17" t="n">
        <v>46229</v>
      </c>
      <c r="S4311" s="19">
        <f>H4311*I4311</f>
        <v/>
      </c>
      <c r="T4311" s="19">
        <f>H4311*J4311</f>
        <v/>
      </c>
      <c r="U4311">
        <f>IF(AND(K4311=0,G4311&lt;=Assumptions!$C$6),1,0)</f>
        <v/>
      </c>
      <c r="V4311">
        <f>IF(U4311=1,IF(M4311&gt;0,IF(P4311&lt;=G4311+Assumptions!$C$7,1,0),0),0)</f>
        <v/>
      </c>
      <c r="W4311">
        <f>IF(AND(U4311=1,M4311&gt;=H4311*(1-Assumptions!$C$8)),1,0)</f>
        <v/>
      </c>
      <c r="X4311">
        <f>IF(AND(U4311=1,N4311&gt;=H4311*(1-Assumptions!$C$8)),1,0)</f>
        <v/>
      </c>
      <c r="Y4311">
        <f>IF(ISNUMBER(Q4311),1,0)</f>
        <v/>
      </c>
      <c r="Z4311">
        <f>IF(AND(K4311=0,L4311=0,Y4311=0),1,0)</f>
        <v/>
      </c>
      <c r="AA4311">
        <f>IF(AND(Z4311=1,G4311&lt;Assumptions!$C$6),1,0)</f>
        <v/>
      </c>
      <c r="AB4311">
        <f>IF(U4311=0,"",IF(Y4311=1,MAX(0,Q4311-G4311),IF(L4311=1,MAX(0,R4311-G4311),MAX(0,Assumptions!$C$6-G4311))))</f>
        <v/>
      </c>
      <c r="AC4311">
        <f>IF(Y4311=1,Q4311-F4311,"")</f>
        <v/>
      </c>
      <c r="AD4311">
        <f>IF(Y4311=1,AC4311^2,"")</f>
        <v/>
      </c>
      <c r="AE4311" s="19">
        <f>IF(Z4311=1,(H4311-M4311)*I4311,0)</f>
        <v/>
      </c>
      <c r="AF4311">
        <f>IF(G4311&lt;EDATE(Assumptions!$C$6,-12)+1,"prior_12m","last_12m")</f>
        <v/>
      </c>
      <c r="AG4311" s="21">
        <f>DATE(YEAR(G4311),MONTH(G4311),1)</f>
        <v/>
      </c>
    </row>
    <row r="4312">
      <c r="A4312" t="inlineStr">
        <is>
          <t>SPO-02306-2</t>
        </is>
      </c>
      <c r="B4312" t="inlineStr">
        <is>
          <t>SPO-02306</t>
        </is>
      </c>
      <c r="C4312" t="inlineStr">
        <is>
          <t>SUP-01</t>
        </is>
      </c>
      <c r="D4312" t="inlineStr">
        <is>
          <t>ELEC</t>
        </is>
      </c>
      <c r="E4312" t="inlineStr">
        <is>
          <t>ELEC-07</t>
        </is>
      </c>
      <c r="F4312" s="17" t="n">
        <v>46211</v>
      </c>
      <c r="G4312" s="17" t="n">
        <v>46229</v>
      </c>
      <c r="H4312" s="18" t="n">
        <v>240</v>
      </c>
      <c r="I4312" s="19" t="n">
        <v>10.09</v>
      </c>
      <c r="J4312" s="19" t="n">
        <v>9.800000000000001</v>
      </c>
      <c r="K4312" s="20" t="n">
        <v>0</v>
      </c>
      <c r="L4312" s="20" t="n">
        <v>0</v>
      </c>
      <c r="M4312" s="18" t="n">
        <v>240</v>
      </c>
      <c r="N4312" s="18" t="n">
        <v>0</v>
      </c>
      <c r="O4312" s="18" t="n">
        <v>0</v>
      </c>
      <c r="P4312" s="17" t="n">
        <v>46272</v>
      </c>
      <c r="Q4312" s="17" t="n">
        <v>46272</v>
      </c>
      <c r="R4312" s="17" t="n">
        <v>46272</v>
      </c>
      <c r="S4312" s="19">
        <f>H4312*I4312</f>
        <v/>
      </c>
      <c r="T4312" s="19">
        <f>H4312*J4312</f>
        <v/>
      </c>
      <c r="U4312">
        <f>IF(AND(K4312=0,G4312&lt;=Assumptions!$C$6),1,0)</f>
        <v/>
      </c>
      <c r="V4312">
        <f>IF(U4312=1,IF(M4312&gt;0,IF(P4312&lt;=G4312+Assumptions!$C$7,1,0),0),0)</f>
        <v/>
      </c>
      <c r="W4312">
        <f>IF(AND(U4312=1,M4312&gt;=H4312*(1-Assumptions!$C$8)),1,0)</f>
        <v/>
      </c>
      <c r="X4312">
        <f>IF(AND(U4312=1,N4312&gt;=H4312*(1-Assumptions!$C$8)),1,0)</f>
        <v/>
      </c>
      <c r="Y4312">
        <f>IF(ISNUMBER(Q4312),1,0)</f>
        <v/>
      </c>
      <c r="Z4312">
        <f>IF(AND(K4312=0,L4312=0,Y4312=0),1,0)</f>
        <v/>
      </c>
      <c r="AA4312">
        <f>IF(AND(Z4312=1,G4312&lt;Assumptions!$C$6),1,0)</f>
        <v/>
      </c>
      <c r="AB4312">
        <f>IF(U4312=0,"",IF(Y4312=1,MAX(0,Q4312-G4312),IF(L4312=1,MAX(0,R4312-G4312),MAX(0,Assumptions!$C$6-G4312))))</f>
        <v/>
      </c>
      <c r="AC4312">
        <f>IF(Y4312=1,Q4312-F4312,"")</f>
        <v/>
      </c>
      <c r="AD4312">
        <f>IF(Y4312=1,AC4312^2,"")</f>
        <v/>
      </c>
      <c r="AE4312" s="19">
        <f>IF(Z4312=1,(H4312-M4312)*I4312,0)</f>
        <v/>
      </c>
      <c r="AF4312">
        <f>IF(G4312&lt;EDATE(Assumptions!$C$6,-12)+1,"prior_12m","last_12m")</f>
        <v/>
      </c>
      <c r="AG4312" s="21">
        <f>DATE(YEAR(G4312),MONTH(G4312),1)</f>
        <v/>
      </c>
    </row>
    <row r="4313">
      <c r="A4313" t="inlineStr">
        <is>
          <t>SPO-02307-1</t>
        </is>
      </c>
      <c r="B4313" t="inlineStr">
        <is>
          <t>SPO-02307</t>
        </is>
      </c>
      <c r="C4313" t="inlineStr">
        <is>
          <t>SUP-06</t>
        </is>
      </c>
      <c r="D4313" t="inlineStr">
        <is>
          <t>MRO</t>
        </is>
      </c>
      <c r="E4313" t="inlineStr">
        <is>
          <t>MRO-06</t>
        </is>
      </c>
      <c r="F4313" s="17" t="n">
        <v>46211</v>
      </c>
      <c r="G4313" s="17" t="n">
        <v>46219</v>
      </c>
      <c r="H4313" s="18" t="n">
        <v>358</v>
      </c>
      <c r="I4313" s="19" t="n">
        <v>6.12</v>
      </c>
      <c r="J4313" s="19" t="n">
        <v>6.1</v>
      </c>
      <c r="K4313" s="20" t="n">
        <v>0</v>
      </c>
      <c r="L4313" s="20" t="n">
        <v>0</v>
      </c>
      <c r="M4313" s="18" t="n">
        <v>358</v>
      </c>
      <c r="N4313" s="18" t="n">
        <v>358</v>
      </c>
      <c r="O4313" s="18" t="n">
        <v>0</v>
      </c>
      <c r="P4313" s="17" t="n">
        <v>46217</v>
      </c>
      <c r="Q4313" s="17" t="n">
        <v>46217</v>
      </c>
      <c r="R4313" s="17" t="n">
        <v>46217</v>
      </c>
      <c r="S4313" s="19">
        <f>H4313*I4313</f>
        <v/>
      </c>
      <c r="T4313" s="19">
        <f>H4313*J4313</f>
        <v/>
      </c>
      <c r="U4313">
        <f>IF(AND(K4313=0,G4313&lt;=Assumptions!$C$6),1,0)</f>
        <v/>
      </c>
      <c r="V4313">
        <f>IF(U4313=1,IF(M4313&gt;0,IF(P4313&lt;=G4313+Assumptions!$C$7,1,0),0),0)</f>
        <v/>
      </c>
      <c r="W4313">
        <f>IF(AND(U4313=1,M4313&gt;=H4313*(1-Assumptions!$C$8)),1,0)</f>
        <v/>
      </c>
      <c r="X4313">
        <f>IF(AND(U4313=1,N4313&gt;=H4313*(1-Assumptions!$C$8)),1,0)</f>
        <v/>
      </c>
      <c r="Y4313">
        <f>IF(ISNUMBER(Q4313),1,0)</f>
        <v/>
      </c>
      <c r="Z4313">
        <f>IF(AND(K4313=0,L4313=0,Y4313=0),1,0)</f>
        <v/>
      </c>
      <c r="AA4313">
        <f>IF(AND(Z4313=1,G4313&lt;Assumptions!$C$6),1,0)</f>
        <v/>
      </c>
      <c r="AB4313">
        <f>IF(U4313=0,"",IF(Y4313=1,MAX(0,Q4313-G4313),IF(L4313=1,MAX(0,R4313-G4313),MAX(0,Assumptions!$C$6-G4313))))</f>
        <v/>
      </c>
      <c r="AC4313">
        <f>IF(Y4313=1,Q4313-F4313,"")</f>
        <v/>
      </c>
      <c r="AD4313">
        <f>IF(Y4313=1,AC4313^2,"")</f>
        <v/>
      </c>
      <c r="AE4313" s="19">
        <f>IF(Z4313=1,(H4313-M4313)*I4313,0)</f>
        <v/>
      </c>
      <c r="AF4313">
        <f>IF(G4313&lt;EDATE(Assumptions!$C$6,-12)+1,"prior_12m","last_12m")</f>
        <v/>
      </c>
      <c r="AG4313" s="21">
        <f>DATE(YEAR(G4313),MONTH(G4313),1)</f>
        <v/>
      </c>
    </row>
    <row r="4314">
      <c r="A4314" t="inlineStr">
        <is>
          <t>SPO-02307-2</t>
        </is>
      </c>
      <c r="B4314" t="inlineStr">
        <is>
          <t>SPO-02307</t>
        </is>
      </c>
      <c r="C4314" t="inlineStr">
        <is>
          <t>SUP-06</t>
        </is>
      </c>
      <c r="D4314" t="inlineStr">
        <is>
          <t>MRO</t>
        </is>
      </c>
      <c r="E4314" t="inlineStr">
        <is>
          <t>MRO-05</t>
        </is>
      </c>
      <c r="F4314" s="17" t="n">
        <v>46211</v>
      </c>
      <c r="G4314" s="17" t="n">
        <v>46219</v>
      </c>
      <c r="H4314" s="18" t="n">
        <v>42</v>
      </c>
      <c r="I4314" s="19" t="n">
        <v>36.55</v>
      </c>
      <c r="J4314" s="19" t="n">
        <v>36</v>
      </c>
      <c r="K4314" s="20" t="n">
        <v>0</v>
      </c>
      <c r="L4314" s="20" t="n">
        <v>0</v>
      </c>
      <c r="M4314" s="18" t="n">
        <v>42</v>
      </c>
      <c r="N4314" s="18" t="n">
        <v>42</v>
      </c>
      <c r="O4314" s="18" t="n">
        <v>0</v>
      </c>
      <c r="P4314" s="17" t="n">
        <v>46215</v>
      </c>
      <c r="Q4314" s="17" t="n">
        <v>46215</v>
      </c>
      <c r="R4314" s="17" t="n">
        <v>46215</v>
      </c>
      <c r="S4314" s="19">
        <f>H4314*I4314</f>
        <v/>
      </c>
      <c r="T4314" s="19">
        <f>H4314*J4314</f>
        <v/>
      </c>
      <c r="U4314">
        <f>IF(AND(K4314=0,G4314&lt;=Assumptions!$C$6),1,0)</f>
        <v/>
      </c>
      <c r="V4314">
        <f>IF(U4314=1,IF(M4314&gt;0,IF(P4314&lt;=G4314+Assumptions!$C$7,1,0),0),0)</f>
        <v/>
      </c>
      <c r="W4314">
        <f>IF(AND(U4314=1,M4314&gt;=H4314*(1-Assumptions!$C$8)),1,0)</f>
        <v/>
      </c>
      <c r="X4314">
        <f>IF(AND(U4314=1,N4314&gt;=H4314*(1-Assumptions!$C$8)),1,0)</f>
        <v/>
      </c>
      <c r="Y4314">
        <f>IF(ISNUMBER(Q4314),1,0)</f>
        <v/>
      </c>
      <c r="Z4314">
        <f>IF(AND(K4314=0,L4314=0,Y4314=0),1,0)</f>
        <v/>
      </c>
      <c r="AA4314">
        <f>IF(AND(Z4314=1,G4314&lt;Assumptions!$C$6),1,0)</f>
        <v/>
      </c>
      <c r="AB4314">
        <f>IF(U4314=0,"",IF(Y4314=1,MAX(0,Q4314-G4314),IF(L4314=1,MAX(0,R4314-G4314),MAX(0,Assumptions!$C$6-G4314))))</f>
        <v/>
      </c>
      <c r="AC4314">
        <f>IF(Y4314=1,Q4314-F4314,"")</f>
        <v/>
      </c>
      <c r="AD4314">
        <f>IF(Y4314=1,AC4314^2,"")</f>
        <v/>
      </c>
      <c r="AE4314" s="19">
        <f>IF(Z4314=1,(H4314-M4314)*I4314,0)</f>
        <v/>
      </c>
      <c r="AF4314">
        <f>IF(G4314&lt;EDATE(Assumptions!$C$6,-12)+1,"prior_12m","last_12m")</f>
        <v/>
      </c>
      <c r="AG4314" s="21">
        <f>DATE(YEAR(G4314),MONTH(G4314),1)</f>
        <v/>
      </c>
    </row>
    <row r="4315">
      <c r="A4315" t="inlineStr">
        <is>
          <t>SPO-02307-3</t>
        </is>
      </c>
      <c r="B4315" t="inlineStr">
        <is>
          <t>SPO-02307</t>
        </is>
      </c>
      <c r="C4315" t="inlineStr">
        <is>
          <t>SUP-06</t>
        </is>
      </c>
      <c r="D4315" t="inlineStr">
        <is>
          <t>MRO</t>
        </is>
      </c>
      <c r="E4315" t="inlineStr">
        <is>
          <t>MRO-04</t>
        </is>
      </c>
      <c r="F4315" s="17" t="n">
        <v>46211</v>
      </c>
      <c r="G4315" s="17" t="n">
        <v>46219</v>
      </c>
      <c r="H4315" s="18" t="n">
        <v>21</v>
      </c>
      <c r="I4315" s="19" t="n">
        <v>58.92</v>
      </c>
      <c r="J4315" s="19" t="n">
        <v>58</v>
      </c>
      <c r="K4315" s="20" t="n">
        <v>0</v>
      </c>
      <c r="L4315" s="20" t="n">
        <v>0</v>
      </c>
      <c r="M4315" s="18" t="n">
        <v>21</v>
      </c>
      <c r="N4315" s="18" t="n">
        <v>21</v>
      </c>
      <c r="O4315" s="18" t="n">
        <v>0</v>
      </c>
      <c r="P4315" s="17" t="n">
        <v>46218</v>
      </c>
      <c r="Q4315" s="17" t="n">
        <v>46218</v>
      </c>
      <c r="R4315" s="17" t="n">
        <v>46218</v>
      </c>
      <c r="S4315" s="19">
        <f>H4315*I4315</f>
        <v/>
      </c>
      <c r="T4315" s="19">
        <f>H4315*J4315</f>
        <v/>
      </c>
      <c r="U4315">
        <f>IF(AND(K4315=0,G4315&lt;=Assumptions!$C$6),1,0)</f>
        <v/>
      </c>
      <c r="V4315">
        <f>IF(U4315=1,IF(M4315&gt;0,IF(P4315&lt;=G4315+Assumptions!$C$7,1,0),0),0)</f>
        <v/>
      </c>
      <c r="W4315">
        <f>IF(AND(U4315=1,M4315&gt;=H4315*(1-Assumptions!$C$8)),1,0)</f>
        <v/>
      </c>
      <c r="X4315">
        <f>IF(AND(U4315=1,N4315&gt;=H4315*(1-Assumptions!$C$8)),1,0)</f>
        <v/>
      </c>
      <c r="Y4315">
        <f>IF(ISNUMBER(Q4315),1,0)</f>
        <v/>
      </c>
      <c r="Z4315">
        <f>IF(AND(K4315=0,L4315=0,Y4315=0),1,0)</f>
        <v/>
      </c>
      <c r="AA4315">
        <f>IF(AND(Z4315=1,G4315&lt;Assumptions!$C$6),1,0)</f>
        <v/>
      </c>
      <c r="AB4315">
        <f>IF(U4315=0,"",IF(Y4315=1,MAX(0,Q4315-G4315),IF(L4315=1,MAX(0,R4315-G4315),MAX(0,Assumptions!$C$6-G4315))))</f>
        <v/>
      </c>
      <c r="AC4315">
        <f>IF(Y4315=1,Q4315-F4315,"")</f>
        <v/>
      </c>
      <c r="AD4315">
        <f>IF(Y4315=1,AC4315^2,"")</f>
        <v/>
      </c>
      <c r="AE4315" s="19">
        <f>IF(Z4315=1,(H4315-M4315)*I4315,0)</f>
        <v/>
      </c>
      <c r="AF4315">
        <f>IF(G4315&lt;EDATE(Assumptions!$C$6,-12)+1,"prior_12m","last_12m")</f>
        <v/>
      </c>
      <c r="AG4315" s="21">
        <f>DATE(YEAR(G4315),MONTH(G4315),1)</f>
        <v/>
      </c>
    </row>
    <row r="4316">
      <c r="A4316" t="inlineStr">
        <is>
          <t>SPO-02307-4</t>
        </is>
      </c>
      <c r="B4316" t="inlineStr">
        <is>
          <t>SPO-02307</t>
        </is>
      </c>
      <c r="C4316" t="inlineStr">
        <is>
          <t>SUP-06</t>
        </is>
      </c>
      <c r="D4316" t="inlineStr">
        <is>
          <t>MRO</t>
        </is>
      </c>
      <c r="E4316" t="inlineStr">
        <is>
          <t>MRO-03</t>
        </is>
      </c>
      <c r="F4316" s="17" t="n">
        <v>46211</v>
      </c>
      <c r="G4316" s="17" t="n">
        <v>46219</v>
      </c>
      <c r="H4316" s="18" t="n">
        <v>269</v>
      </c>
      <c r="I4316" s="19" t="n">
        <v>9.58</v>
      </c>
      <c r="J4316" s="19" t="n">
        <v>8.9</v>
      </c>
      <c r="K4316" s="20" t="n">
        <v>0</v>
      </c>
      <c r="L4316" s="20" t="n">
        <v>0</v>
      </c>
      <c r="M4316" s="18" t="n">
        <v>269</v>
      </c>
      <c r="N4316" s="18" t="n">
        <v>269</v>
      </c>
      <c r="O4316" s="18" t="n">
        <v>0</v>
      </c>
      <c r="P4316" s="17" t="n">
        <v>46216</v>
      </c>
      <c r="Q4316" s="17" t="n">
        <v>46216</v>
      </c>
      <c r="R4316" s="17" t="n">
        <v>46216</v>
      </c>
      <c r="S4316" s="19">
        <f>H4316*I4316</f>
        <v/>
      </c>
      <c r="T4316" s="19">
        <f>H4316*J4316</f>
        <v/>
      </c>
      <c r="U4316">
        <f>IF(AND(K4316=0,G4316&lt;=Assumptions!$C$6),1,0)</f>
        <v/>
      </c>
      <c r="V4316">
        <f>IF(U4316=1,IF(M4316&gt;0,IF(P4316&lt;=G4316+Assumptions!$C$7,1,0),0),0)</f>
        <v/>
      </c>
      <c r="W4316">
        <f>IF(AND(U4316=1,M4316&gt;=H4316*(1-Assumptions!$C$8)),1,0)</f>
        <v/>
      </c>
      <c r="X4316">
        <f>IF(AND(U4316=1,N4316&gt;=H4316*(1-Assumptions!$C$8)),1,0)</f>
        <v/>
      </c>
      <c r="Y4316">
        <f>IF(ISNUMBER(Q4316),1,0)</f>
        <v/>
      </c>
      <c r="Z4316">
        <f>IF(AND(K4316=0,L4316=0,Y4316=0),1,0)</f>
        <v/>
      </c>
      <c r="AA4316">
        <f>IF(AND(Z4316=1,G4316&lt;Assumptions!$C$6),1,0)</f>
        <v/>
      </c>
      <c r="AB4316">
        <f>IF(U4316=0,"",IF(Y4316=1,MAX(0,Q4316-G4316),IF(L4316=1,MAX(0,R4316-G4316),MAX(0,Assumptions!$C$6-G4316))))</f>
        <v/>
      </c>
      <c r="AC4316">
        <f>IF(Y4316=1,Q4316-F4316,"")</f>
        <v/>
      </c>
      <c r="AD4316">
        <f>IF(Y4316=1,AC4316^2,"")</f>
        <v/>
      </c>
      <c r="AE4316" s="19">
        <f>IF(Z4316=1,(H4316-M4316)*I4316,0)</f>
        <v/>
      </c>
      <c r="AF4316">
        <f>IF(G4316&lt;EDATE(Assumptions!$C$6,-12)+1,"prior_12m","last_12m")</f>
        <v/>
      </c>
      <c r="AG4316" s="21">
        <f>DATE(YEAR(G4316),MONTH(G4316),1)</f>
        <v/>
      </c>
    </row>
    <row r="4317">
      <c r="A4317" t="inlineStr">
        <is>
          <t>SPO-02308-1</t>
        </is>
      </c>
      <c r="B4317" t="inlineStr">
        <is>
          <t>SPO-02308</t>
        </is>
      </c>
      <c r="C4317" t="inlineStr">
        <is>
          <t>SUP-05</t>
        </is>
      </c>
      <c r="D4317" t="inlineStr">
        <is>
          <t>FLEET</t>
        </is>
      </c>
      <c r="E4317" t="inlineStr">
        <is>
          <t>FLEET-02</t>
        </is>
      </c>
      <c r="F4317" s="17" t="n">
        <v>46212</v>
      </c>
      <c r="G4317" s="17" t="n">
        <v>46226</v>
      </c>
      <c r="H4317" s="18" t="n">
        <v>141</v>
      </c>
      <c r="I4317" s="19" t="n">
        <v>7.59</v>
      </c>
      <c r="J4317" s="19" t="n">
        <v>7.5</v>
      </c>
      <c r="K4317" s="20" t="n">
        <v>0</v>
      </c>
      <c r="L4317" s="20" t="n">
        <v>0</v>
      </c>
      <c r="M4317" s="18" t="n">
        <v>141</v>
      </c>
      <c r="N4317" s="18" t="n">
        <v>141</v>
      </c>
      <c r="O4317" s="18" t="n">
        <v>0</v>
      </c>
      <c r="P4317" s="17" t="n">
        <v>46220</v>
      </c>
      <c r="Q4317" s="17" t="n">
        <v>46220</v>
      </c>
      <c r="R4317" s="17" t="n">
        <v>46220</v>
      </c>
      <c r="S4317" s="19">
        <f>H4317*I4317</f>
        <v/>
      </c>
      <c r="T4317" s="19">
        <f>H4317*J4317</f>
        <v/>
      </c>
      <c r="U4317">
        <f>IF(AND(K4317=0,G4317&lt;=Assumptions!$C$6),1,0)</f>
        <v/>
      </c>
      <c r="V4317">
        <f>IF(U4317=1,IF(M4317&gt;0,IF(P4317&lt;=G4317+Assumptions!$C$7,1,0),0),0)</f>
        <v/>
      </c>
      <c r="W4317">
        <f>IF(AND(U4317=1,M4317&gt;=H4317*(1-Assumptions!$C$8)),1,0)</f>
        <v/>
      </c>
      <c r="X4317">
        <f>IF(AND(U4317=1,N4317&gt;=H4317*(1-Assumptions!$C$8)),1,0)</f>
        <v/>
      </c>
      <c r="Y4317">
        <f>IF(ISNUMBER(Q4317),1,0)</f>
        <v/>
      </c>
      <c r="Z4317">
        <f>IF(AND(K4317=0,L4317=0,Y4317=0),1,0)</f>
        <v/>
      </c>
      <c r="AA4317">
        <f>IF(AND(Z4317=1,G4317&lt;Assumptions!$C$6),1,0)</f>
        <v/>
      </c>
      <c r="AB4317">
        <f>IF(U4317=0,"",IF(Y4317=1,MAX(0,Q4317-G4317),IF(L4317=1,MAX(0,R4317-G4317),MAX(0,Assumptions!$C$6-G4317))))</f>
        <v/>
      </c>
      <c r="AC4317">
        <f>IF(Y4317=1,Q4317-F4317,"")</f>
        <v/>
      </c>
      <c r="AD4317">
        <f>IF(Y4317=1,AC4317^2,"")</f>
        <v/>
      </c>
      <c r="AE4317" s="19">
        <f>IF(Z4317=1,(H4317-M4317)*I4317,0)</f>
        <v/>
      </c>
      <c r="AF4317">
        <f>IF(G4317&lt;EDATE(Assumptions!$C$6,-12)+1,"prior_12m","last_12m")</f>
        <v/>
      </c>
      <c r="AG4317" s="21">
        <f>DATE(YEAR(G4317),MONTH(G4317),1)</f>
        <v/>
      </c>
    </row>
    <row r="4318">
      <c r="A4318" t="inlineStr">
        <is>
          <t>SPO-02309-1</t>
        </is>
      </c>
      <c r="B4318" t="inlineStr">
        <is>
          <t>SPO-02309</t>
        </is>
      </c>
      <c r="C4318" t="inlineStr">
        <is>
          <t>SUP-08</t>
        </is>
      </c>
      <c r="D4318" t="inlineStr">
        <is>
          <t>PPE</t>
        </is>
      </c>
      <c r="E4318" t="inlineStr">
        <is>
          <t>PPE-02</t>
        </is>
      </c>
      <c r="F4318" s="17" t="n">
        <v>46212</v>
      </c>
      <c r="G4318" s="17" t="n">
        <v>46223</v>
      </c>
      <c r="H4318" s="18" t="n">
        <v>143</v>
      </c>
      <c r="I4318" s="19" t="n">
        <v>12.17</v>
      </c>
      <c r="J4318" s="19" t="n">
        <v>12.5</v>
      </c>
      <c r="K4318" s="20" t="n">
        <v>0</v>
      </c>
      <c r="L4318" s="20" t="n">
        <v>0</v>
      </c>
      <c r="M4318" s="18" t="n">
        <v>143</v>
      </c>
      <c r="N4318" s="18" t="n">
        <v>143</v>
      </c>
      <c r="O4318" s="18" t="n">
        <v>0</v>
      </c>
      <c r="P4318" s="17" t="n">
        <v>46219</v>
      </c>
      <c r="Q4318" s="17" t="n">
        <v>46219</v>
      </c>
      <c r="R4318" s="17" t="n">
        <v>46219</v>
      </c>
      <c r="S4318" s="19">
        <f>H4318*I4318</f>
        <v/>
      </c>
      <c r="T4318" s="19">
        <f>H4318*J4318</f>
        <v/>
      </c>
      <c r="U4318">
        <f>IF(AND(K4318=0,G4318&lt;=Assumptions!$C$6),1,0)</f>
        <v/>
      </c>
      <c r="V4318">
        <f>IF(U4318=1,IF(M4318&gt;0,IF(P4318&lt;=G4318+Assumptions!$C$7,1,0),0),0)</f>
        <v/>
      </c>
      <c r="W4318">
        <f>IF(AND(U4318=1,M4318&gt;=H4318*(1-Assumptions!$C$8)),1,0)</f>
        <v/>
      </c>
      <c r="X4318">
        <f>IF(AND(U4318=1,N4318&gt;=H4318*(1-Assumptions!$C$8)),1,0)</f>
        <v/>
      </c>
      <c r="Y4318">
        <f>IF(ISNUMBER(Q4318),1,0)</f>
        <v/>
      </c>
      <c r="Z4318">
        <f>IF(AND(K4318=0,L4318=0,Y4318=0),1,0)</f>
        <v/>
      </c>
      <c r="AA4318">
        <f>IF(AND(Z4318=1,G4318&lt;Assumptions!$C$6),1,0)</f>
        <v/>
      </c>
      <c r="AB4318">
        <f>IF(U4318=0,"",IF(Y4318=1,MAX(0,Q4318-G4318),IF(L4318=1,MAX(0,R4318-G4318),MAX(0,Assumptions!$C$6-G4318))))</f>
        <v/>
      </c>
      <c r="AC4318">
        <f>IF(Y4318=1,Q4318-F4318,"")</f>
        <v/>
      </c>
      <c r="AD4318">
        <f>IF(Y4318=1,AC4318^2,"")</f>
        <v/>
      </c>
      <c r="AE4318" s="19">
        <f>IF(Z4318=1,(H4318-M4318)*I4318,0)</f>
        <v/>
      </c>
      <c r="AF4318">
        <f>IF(G4318&lt;EDATE(Assumptions!$C$6,-12)+1,"prior_12m","last_12m")</f>
        <v/>
      </c>
      <c r="AG4318" s="21">
        <f>DATE(YEAR(G4318),MONTH(G4318),1)</f>
        <v/>
      </c>
    </row>
    <row r="4319">
      <c r="A4319" t="inlineStr">
        <is>
          <t>SPO-02310-1</t>
        </is>
      </c>
      <c r="B4319" t="inlineStr">
        <is>
          <t>SPO-02310</t>
        </is>
      </c>
      <c r="C4319" t="inlineStr">
        <is>
          <t>SUP-01</t>
        </is>
      </c>
      <c r="D4319" t="inlineStr">
        <is>
          <t>ELEC</t>
        </is>
      </c>
      <c r="E4319" t="inlineStr">
        <is>
          <t>ELEC-04</t>
        </is>
      </c>
      <c r="F4319" s="17" t="n">
        <v>46212</v>
      </c>
      <c r="G4319" s="17" t="n">
        <v>46230</v>
      </c>
      <c r="H4319" s="18" t="n">
        <v>59</v>
      </c>
      <c r="I4319" s="19" t="n">
        <v>70.26000000000001</v>
      </c>
      <c r="J4319" s="19" t="n">
        <v>72</v>
      </c>
      <c r="K4319" s="20" t="n">
        <v>0</v>
      </c>
      <c r="L4319" s="20" t="n">
        <v>0</v>
      </c>
      <c r="M4319" s="18" t="n">
        <v>59</v>
      </c>
      <c r="N4319" s="18" t="n">
        <v>59</v>
      </c>
      <c r="O4319" s="18" t="n">
        <v>0</v>
      </c>
      <c r="P4319" s="17" t="n">
        <v>46213</v>
      </c>
      <c r="Q4319" s="17" t="n">
        <v>46213</v>
      </c>
      <c r="R4319" s="17" t="n">
        <v>46213</v>
      </c>
      <c r="S4319" s="19">
        <f>H4319*I4319</f>
        <v/>
      </c>
      <c r="T4319" s="19">
        <f>H4319*J4319</f>
        <v/>
      </c>
      <c r="U4319">
        <f>IF(AND(K4319=0,G4319&lt;=Assumptions!$C$6),1,0)</f>
        <v/>
      </c>
      <c r="V4319">
        <f>IF(U4319=1,IF(M4319&gt;0,IF(P4319&lt;=G4319+Assumptions!$C$7,1,0),0),0)</f>
        <v/>
      </c>
      <c r="W4319">
        <f>IF(AND(U4319=1,M4319&gt;=H4319*(1-Assumptions!$C$8)),1,0)</f>
        <v/>
      </c>
      <c r="X4319">
        <f>IF(AND(U4319=1,N4319&gt;=H4319*(1-Assumptions!$C$8)),1,0)</f>
        <v/>
      </c>
      <c r="Y4319">
        <f>IF(ISNUMBER(Q4319),1,0)</f>
        <v/>
      </c>
      <c r="Z4319">
        <f>IF(AND(K4319=0,L4319=0,Y4319=0),1,0)</f>
        <v/>
      </c>
      <c r="AA4319">
        <f>IF(AND(Z4319=1,G4319&lt;Assumptions!$C$6),1,0)</f>
        <v/>
      </c>
      <c r="AB4319">
        <f>IF(U4319=0,"",IF(Y4319=1,MAX(0,Q4319-G4319),IF(L4319=1,MAX(0,R4319-G4319),MAX(0,Assumptions!$C$6-G4319))))</f>
        <v/>
      </c>
      <c r="AC4319">
        <f>IF(Y4319=1,Q4319-F4319,"")</f>
        <v/>
      </c>
      <c r="AD4319">
        <f>IF(Y4319=1,AC4319^2,"")</f>
        <v/>
      </c>
      <c r="AE4319" s="19">
        <f>IF(Z4319=1,(H4319-M4319)*I4319,0)</f>
        <v/>
      </c>
      <c r="AF4319">
        <f>IF(G4319&lt;EDATE(Assumptions!$C$6,-12)+1,"prior_12m","last_12m")</f>
        <v/>
      </c>
      <c r="AG4319" s="21">
        <f>DATE(YEAR(G4319),MONTH(G4319),1)</f>
        <v/>
      </c>
    </row>
    <row r="4320">
      <c r="A4320" t="inlineStr">
        <is>
          <t>SPO-02310-2</t>
        </is>
      </c>
      <c r="B4320" t="inlineStr">
        <is>
          <t>SPO-02310</t>
        </is>
      </c>
      <c r="C4320" t="inlineStr">
        <is>
          <t>SUP-01</t>
        </is>
      </c>
      <c r="D4320" t="inlineStr">
        <is>
          <t>ELEC</t>
        </is>
      </c>
      <c r="E4320" t="inlineStr">
        <is>
          <t>ELEC-03</t>
        </is>
      </c>
      <c r="F4320" s="17" t="n">
        <v>46212</v>
      </c>
      <c r="G4320" s="17" t="n">
        <v>46230</v>
      </c>
      <c r="H4320" s="18" t="n">
        <v>23</v>
      </c>
      <c r="I4320" s="19" t="n">
        <v>101.92</v>
      </c>
      <c r="J4320" s="19" t="n">
        <v>96</v>
      </c>
      <c r="K4320" s="20" t="n">
        <v>0</v>
      </c>
      <c r="L4320" s="20" t="n">
        <v>0</v>
      </c>
      <c r="M4320" s="18" t="n">
        <v>23</v>
      </c>
      <c r="N4320" s="18" t="n">
        <v>23</v>
      </c>
      <c r="O4320" s="18" t="n">
        <v>0</v>
      </c>
      <c r="P4320" s="17" t="n">
        <v>46230</v>
      </c>
      <c r="Q4320" s="17" t="n">
        <v>46230</v>
      </c>
      <c r="R4320" s="17" t="n">
        <v>46230</v>
      </c>
      <c r="S4320" s="19">
        <f>H4320*I4320</f>
        <v/>
      </c>
      <c r="T4320" s="19">
        <f>H4320*J4320</f>
        <v/>
      </c>
      <c r="U4320">
        <f>IF(AND(K4320=0,G4320&lt;=Assumptions!$C$6),1,0)</f>
        <v/>
      </c>
      <c r="V4320">
        <f>IF(U4320=1,IF(M4320&gt;0,IF(P4320&lt;=G4320+Assumptions!$C$7,1,0),0),0)</f>
        <v/>
      </c>
      <c r="W4320">
        <f>IF(AND(U4320=1,M4320&gt;=H4320*(1-Assumptions!$C$8)),1,0)</f>
        <v/>
      </c>
      <c r="X4320">
        <f>IF(AND(U4320=1,N4320&gt;=H4320*(1-Assumptions!$C$8)),1,0)</f>
        <v/>
      </c>
      <c r="Y4320">
        <f>IF(ISNUMBER(Q4320),1,0)</f>
        <v/>
      </c>
      <c r="Z4320">
        <f>IF(AND(K4320=0,L4320=0,Y4320=0),1,0)</f>
        <v/>
      </c>
      <c r="AA4320">
        <f>IF(AND(Z4320=1,G4320&lt;Assumptions!$C$6),1,0)</f>
        <v/>
      </c>
      <c r="AB4320">
        <f>IF(U4320=0,"",IF(Y4320=1,MAX(0,Q4320-G4320),IF(L4320=1,MAX(0,R4320-G4320),MAX(0,Assumptions!$C$6-G4320))))</f>
        <v/>
      </c>
      <c r="AC4320">
        <f>IF(Y4320=1,Q4320-F4320,"")</f>
        <v/>
      </c>
      <c r="AD4320">
        <f>IF(Y4320=1,AC4320^2,"")</f>
        <v/>
      </c>
      <c r="AE4320" s="19">
        <f>IF(Z4320=1,(H4320-M4320)*I4320,0)</f>
        <v/>
      </c>
      <c r="AF4320">
        <f>IF(G4320&lt;EDATE(Assumptions!$C$6,-12)+1,"prior_12m","last_12m")</f>
        <v/>
      </c>
      <c r="AG4320" s="21">
        <f>DATE(YEAR(G4320),MONTH(G4320),1)</f>
        <v/>
      </c>
    </row>
    <row r="4321">
      <c r="A4321" t="inlineStr">
        <is>
          <t>SPO-02311-1</t>
        </is>
      </c>
      <c r="B4321" t="inlineStr">
        <is>
          <t>SPO-02311</t>
        </is>
      </c>
      <c r="C4321" t="inlineStr">
        <is>
          <t>SUP-02</t>
        </is>
      </c>
      <c r="D4321" t="inlineStr">
        <is>
          <t>ELEC</t>
        </is>
      </c>
      <c r="E4321" t="inlineStr">
        <is>
          <t>ELEC-03</t>
        </is>
      </c>
      <c r="F4321" s="17" t="n">
        <v>46212</v>
      </c>
      <c r="G4321" s="17" t="n">
        <v>46228</v>
      </c>
      <c r="H4321" s="18" t="n">
        <v>53</v>
      </c>
      <c r="I4321" s="19" t="n">
        <v>95.20999999999999</v>
      </c>
      <c r="J4321" s="19" t="n">
        <v>96</v>
      </c>
      <c r="K4321" s="20" t="n">
        <v>1</v>
      </c>
      <c r="L4321" s="20" t="n">
        <v>0</v>
      </c>
      <c r="M4321" s="18" t="n">
        <v>0</v>
      </c>
      <c r="N4321" s="18" t="n">
        <v>0</v>
      </c>
      <c r="O4321" s="18" t="n">
        <v>0</v>
      </c>
      <c r="P4321" s="17" t="n"/>
      <c r="Q4321" s="17" t="n"/>
      <c r="R4321" s="17" t="n"/>
      <c r="S4321" s="19">
        <f>H4321*I4321</f>
        <v/>
      </c>
      <c r="T4321" s="19">
        <f>H4321*J4321</f>
        <v/>
      </c>
      <c r="U4321">
        <f>IF(AND(K4321=0,G4321&lt;=Assumptions!$C$6),1,0)</f>
        <v/>
      </c>
      <c r="V4321">
        <f>IF(U4321=1,IF(M4321&gt;0,IF(P4321&lt;=G4321+Assumptions!$C$7,1,0),0),0)</f>
        <v/>
      </c>
      <c r="W4321">
        <f>IF(AND(U4321=1,M4321&gt;=H4321*(1-Assumptions!$C$8)),1,0)</f>
        <v/>
      </c>
      <c r="X4321">
        <f>IF(AND(U4321=1,N4321&gt;=H4321*(1-Assumptions!$C$8)),1,0)</f>
        <v/>
      </c>
      <c r="Y4321">
        <f>IF(ISNUMBER(Q4321),1,0)</f>
        <v/>
      </c>
      <c r="Z4321">
        <f>IF(AND(K4321=0,L4321=0,Y4321=0),1,0)</f>
        <v/>
      </c>
      <c r="AA4321">
        <f>IF(AND(Z4321=1,G4321&lt;Assumptions!$C$6),1,0)</f>
        <v/>
      </c>
      <c r="AB4321">
        <f>IF(U4321=0,"",IF(Y4321=1,MAX(0,Q4321-G4321),IF(L4321=1,MAX(0,R4321-G4321),MAX(0,Assumptions!$C$6-G4321))))</f>
        <v/>
      </c>
      <c r="AC4321">
        <f>IF(Y4321=1,Q4321-F4321,"")</f>
        <v/>
      </c>
      <c r="AD4321">
        <f>IF(Y4321=1,AC4321^2,"")</f>
        <v/>
      </c>
      <c r="AE4321" s="19">
        <f>IF(Z4321=1,(H4321-M4321)*I4321,0)</f>
        <v/>
      </c>
      <c r="AF4321">
        <f>IF(G4321&lt;EDATE(Assumptions!$C$6,-12)+1,"prior_12m","last_12m")</f>
        <v/>
      </c>
      <c r="AG4321" s="21">
        <f>DATE(YEAR(G4321),MONTH(G4321),1)</f>
        <v/>
      </c>
    </row>
    <row r="4322">
      <c r="A4322" t="inlineStr">
        <is>
          <t>SPO-02311-2</t>
        </is>
      </c>
      <c r="B4322" t="inlineStr">
        <is>
          <t>SPO-02311</t>
        </is>
      </c>
      <c r="C4322" t="inlineStr">
        <is>
          <t>SUP-02</t>
        </is>
      </c>
      <c r="D4322" t="inlineStr">
        <is>
          <t>ELEC</t>
        </is>
      </c>
      <c r="E4322" t="inlineStr">
        <is>
          <t>ELEC-07</t>
        </is>
      </c>
      <c r="F4322" s="17" t="n">
        <v>46212</v>
      </c>
      <c r="G4322" s="17" t="n">
        <v>46228</v>
      </c>
      <c r="H4322" s="18" t="n">
        <v>62</v>
      </c>
      <c r="I4322" s="19" t="n">
        <v>9.91</v>
      </c>
      <c r="J4322" s="19" t="n">
        <v>9.800000000000001</v>
      </c>
      <c r="K4322" s="20" t="n">
        <v>0</v>
      </c>
      <c r="L4322" s="20" t="n">
        <v>0</v>
      </c>
      <c r="M4322" s="18" t="n">
        <v>62</v>
      </c>
      <c r="N4322" s="18" t="n">
        <v>62</v>
      </c>
      <c r="O4322" s="18" t="n">
        <v>0</v>
      </c>
      <c r="P4322" s="17" t="n">
        <v>46223</v>
      </c>
      <c r="Q4322" s="17" t="n">
        <v>46223</v>
      </c>
      <c r="R4322" s="17" t="n">
        <v>46223</v>
      </c>
      <c r="S4322" s="19">
        <f>H4322*I4322</f>
        <v/>
      </c>
      <c r="T4322" s="19">
        <f>H4322*J4322</f>
        <v/>
      </c>
      <c r="U4322">
        <f>IF(AND(K4322=0,G4322&lt;=Assumptions!$C$6),1,0)</f>
        <v/>
      </c>
      <c r="V4322">
        <f>IF(U4322=1,IF(M4322&gt;0,IF(P4322&lt;=G4322+Assumptions!$C$7,1,0),0),0)</f>
        <v/>
      </c>
      <c r="W4322">
        <f>IF(AND(U4322=1,M4322&gt;=H4322*(1-Assumptions!$C$8)),1,0)</f>
        <v/>
      </c>
      <c r="X4322">
        <f>IF(AND(U4322=1,N4322&gt;=H4322*(1-Assumptions!$C$8)),1,0)</f>
        <v/>
      </c>
      <c r="Y4322">
        <f>IF(ISNUMBER(Q4322),1,0)</f>
        <v/>
      </c>
      <c r="Z4322">
        <f>IF(AND(K4322=0,L4322=0,Y4322=0),1,0)</f>
        <v/>
      </c>
      <c r="AA4322">
        <f>IF(AND(Z4322=1,G4322&lt;Assumptions!$C$6),1,0)</f>
        <v/>
      </c>
      <c r="AB4322">
        <f>IF(U4322=0,"",IF(Y4322=1,MAX(0,Q4322-G4322),IF(L4322=1,MAX(0,R4322-G4322),MAX(0,Assumptions!$C$6-G4322))))</f>
        <v/>
      </c>
      <c r="AC4322">
        <f>IF(Y4322=1,Q4322-F4322,"")</f>
        <v/>
      </c>
      <c r="AD4322">
        <f>IF(Y4322=1,AC4322^2,"")</f>
        <v/>
      </c>
      <c r="AE4322" s="19">
        <f>IF(Z4322=1,(H4322-M4322)*I4322,0)</f>
        <v/>
      </c>
      <c r="AF4322">
        <f>IF(G4322&lt;EDATE(Assumptions!$C$6,-12)+1,"prior_12m","last_12m")</f>
        <v/>
      </c>
      <c r="AG4322" s="21">
        <f>DATE(YEAR(G4322),MONTH(G4322),1)</f>
        <v/>
      </c>
    </row>
    <row r="4323">
      <c r="A4323" t="inlineStr">
        <is>
          <t>SPO-02311-3</t>
        </is>
      </c>
      <c r="B4323" t="inlineStr">
        <is>
          <t>SPO-02311</t>
        </is>
      </c>
      <c r="C4323" t="inlineStr">
        <is>
          <t>SUP-02</t>
        </is>
      </c>
      <c r="D4323" t="inlineStr">
        <is>
          <t>ELEC</t>
        </is>
      </c>
      <c r="E4323" t="inlineStr">
        <is>
          <t>ELEC-06</t>
        </is>
      </c>
      <c r="F4323" s="17" t="n">
        <v>46212</v>
      </c>
      <c r="G4323" s="17" t="n">
        <v>46228</v>
      </c>
      <c r="H4323" s="18" t="n">
        <v>11</v>
      </c>
      <c r="I4323" s="19" t="n">
        <v>153.01</v>
      </c>
      <c r="J4323" s="19" t="n">
        <v>145</v>
      </c>
      <c r="K4323" s="20" t="n">
        <v>0</v>
      </c>
      <c r="L4323" s="20" t="n">
        <v>0</v>
      </c>
      <c r="M4323" s="18" t="n">
        <v>11</v>
      </c>
      <c r="N4323" s="18" t="n">
        <v>11</v>
      </c>
      <c r="O4323" s="18" t="n">
        <v>0</v>
      </c>
      <c r="P4323" s="17" t="n">
        <v>46228</v>
      </c>
      <c r="Q4323" s="17" t="n">
        <v>46228</v>
      </c>
      <c r="R4323" s="17" t="n">
        <v>46228</v>
      </c>
      <c r="S4323" s="19">
        <f>H4323*I4323</f>
        <v/>
      </c>
      <c r="T4323" s="19">
        <f>H4323*J4323</f>
        <v/>
      </c>
      <c r="U4323">
        <f>IF(AND(K4323=0,G4323&lt;=Assumptions!$C$6),1,0)</f>
        <v/>
      </c>
      <c r="V4323">
        <f>IF(U4323=1,IF(M4323&gt;0,IF(P4323&lt;=G4323+Assumptions!$C$7,1,0),0),0)</f>
        <v/>
      </c>
      <c r="W4323">
        <f>IF(AND(U4323=1,M4323&gt;=H4323*(1-Assumptions!$C$8)),1,0)</f>
        <v/>
      </c>
      <c r="X4323">
        <f>IF(AND(U4323=1,N4323&gt;=H4323*(1-Assumptions!$C$8)),1,0)</f>
        <v/>
      </c>
      <c r="Y4323">
        <f>IF(ISNUMBER(Q4323),1,0)</f>
        <v/>
      </c>
      <c r="Z4323">
        <f>IF(AND(K4323=0,L4323=0,Y4323=0),1,0)</f>
        <v/>
      </c>
      <c r="AA4323">
        <f>IF(AND(Z4323=1,G4323&lt;Assumptions!$C$6),1,0)</f>
        <v/>
      </c>
      <c r="AB4323">
        <f>IF(U4323=0,"",IF(Y4323=1,MAX(0,Q4323-G4323),IF(L4323=1,MAX(0,R4323-G4323),MAX(0,Assumptions!$C$6-G4323))))</f>
        <v/>
      </c>
      <c r="AC4323">
        <f>IF(Y4323=1,Q4323-F4323,"")</f>
        <v/>
      </c>
      <c r="AD4323">
        <f>IF(Y4323=1,AC4323^2,"")</f>
        <v/>
      </c>
      <c r="AE4323" s="19">
        <f>IF(Z4323=1,(H4323-M4323)*I4323,0)</f>
        <v/>
      </c>
      <c r="AF4323">
        <f>IF(G4323&lt;EDATE(Assumptions!$C$6,-12)+1,"prior_12m","last_12m")</f>
        <v/>
      </c>
      <c r="AG4323" s="21">
        <f>DATE(YEAR(G4323),MONTH(G4323),1)</f>
        <v/>
      </c>
    </row>
    <row r="4324">
      <c r="A4324" t="inlineStr">
        <is>
          <t>SPO-02312-1</t>
        </is>
      </c>
      <c r="B4324" t="inlineStr">
        <is>
          <t>SPO-02312</t>
        </is>
      </c>
      <c r="C4324" t="inlineStr">
        <is>
          <t>SUP-01</t>
        </is>
      </c>
      <c r="D4324" t="inlineStr">
        <is>
          <t>ELEC</t>
        </is>
      </c>
      <c r="E4324" t="inlineStr">
        <is>
          <t>ELEC-06</t>
        </is>
      </c>
      <c r="F4324" s="17" t="n">
        <v>46212</v>
      </c>
      <c r="G4324" s="17" t="n">
        <v>46230</v>
      </c>
      <c r="H4324" s="18" t="n">
        <v>30</v>
      </c>
      <c r="I4324" s="19" t="n">
        <v>142.51</v>
      </c>
      <c r="J4324" s="19" t="n">
        <v>145</v>
      </c>
      <c r="K4324" s="20" t="n">
        <v>0</v>
      </c>
      <c r="L4324" s="20" t="n">
        <v>0</v>
      </c>
      <c r="M4324" s="18" t="n">
        <v>30</v>
      </c>
      <c r="N4324" s="18" t="n">
        <v>30</v>
      </c>
      <c r="O4324" s="18" t="n">
        <v>0</v>
      </c>
      <c r="P4324" s="17" t="n">
        <v>46220</v>
      </c>
      <c r="Q4324" s="17" t="n">
        <v>46229</v>
      </c>
      <c r="R4324" s="17" t="n">
        <v>46229</v>
      </c>
      <c r="S4324" s="19">
        <f>H4324*I4324</f>
        <v/>
      </c>
      <c r="T4324" s="19">
        <f>H4324*J4324</f>
        <v/>
      </c>
      <c r="U4324">
        <f>IF(AND(K4324=0,G4324&lt;=Assumptions!$C$6),1,0)</f>
        <v/>
      </c>
      <c r="V4324">
        <f>IF(U4324=1,IF(M4324&gt;0,IF(P4324&lt;=G4324+Assumptions!$C$7,1,0),0),0)</f>
        <v/>
      </c>
      <c r="W4324">
        <f>IF(AND(U4324=1,M4324&gt;=H4324*(1-Assumptions!$C$8)),1,0)</f>
        <v/>
      </c>
      <c r="X4324">
        <f>IF(AND(U4324=1,N4324&gt;=H4324*(1-Assumptions!$C$8)),1,0)</f>
        <v/>
      </c>
      <c r="Y4324">
        <f>IF(ISNUMBER(Q4324),1,0)</f>
        <v/>
      </c>
      <c r="Z4324">
        <f>IF(AND(K4324=0,L4324=0,Y4324=0),1,0)</f>
        <v/>
      </c>
      <c r="AA4324">
        <f>IF(AND(Z4324=1,G4324&lt;Assumptions!$C$6),1,0)</f>
        <v/>
      </c>
      <c r="AB4324">
        <f>IF(U4324=0,"",IF(Y4324=1,MAX(0,Q4324-G4324),IF(L4324=1,MAX(0,R4324-G4324),MAX(0,Assumptions!$C$6-G4324))))</f>
        <v/>
      </c>
      <c r="AC4324">
        <f>IF(Y4324=1,Q4324-F4324,"")</f>
        <v/>
      </c>
      <c r="AD4324">
        <f>IF(Y4324=1,AC4324^2,"")</f>
        <v/>
      </c>
      <c r="AE4324" s="19">
        <f>IF(Z4324=1,(H4324-M4324)*I4324,0)</f>
        <v/>
      </c>
      <c r="AF4324">
        <f>IF(G4324&lt;EDATE(Assumptions!$C$6,-12)+1,"prior_12m","last_12m")</f>
        <v/>
      </c>
      <c r="AG4324" s="21">
        <f>DATE(YEAR(G4324),MONTH(G4324),1)</f>
        <v/>
      </c>
    </row>
    <row r="4325">
      <c r="A4325" t="inlineStr">
        <is>
          <t>SPO-02312-2</t>
        </is>
      </c>
      <c r="B4325" t="inlineStr">
        <is>
          <t>SPO-02312</t>
        </is>
      </c>
      <c r="C4325" t="inlineStr">
        <is>
          <t>SUP-01</t>
        </is>
      </c>
      <c r="D4325" t="inlineStr">
        <is>
          <t>ELEC</t>
        </is>
      </c>
      <c r="E4325" t="inlineStr">
        <is>
          <t>ELEC-05</t>
        </is>
      </c>
      <c r="F4325" s="17" t="n">
        <v>46212</v>
      </c>
      <c r="G4325" s="17" t="n">
        <v>46230</v>
      </c>
      <c r="H4325" s="18" t="n">
        <v>354</v>
      </c>
      <c r="I4325" s="19" t="n">
        <v>11.51</v>
      </c>
      <c r="J4325" s="19" t="n">
        <v>11.5</v>
      </c>
      <c r="K4325" s="20" t="n">
        <v>0</v>
      </c>
      <c r="L4325" s="20" t="n">
        <v>0</v>
      </c>
      <c r="M4325" s="18" t="n">
        <v>354</v>
      </c>
      <c r="N4325" s="18" t="n">
        <v>354</v>
      </c>
      <c r="O4325" s="18" t="n">
        <v>0</v>
      </c>
      <c r="P4325" s="17" t="n">
        <v>46218</v>
      </c>
      <c r="Q4325" s="17" t="n">
        <v>46218</v>
      </c>
      <c r="R4325" s="17" t="n">
        <v>46218</v>
      </c>
      <c r="S4325" s="19">
        <f>H4325*I4325</f>
        <v/>
      </c>
      <c r="T4325" s="19">
        <f>H4325*J4325</f>
        <v/>
      </c>
      <c r="U4325">
        <f>IF(AND(K4325=0,G4325&lt;=Assumptions!$C$6),1,0)</f>
        <v/>
      </c>
      <c r="V4325">
        <f>IF(U4325=1,IF(M4325&gt;0,IF(P4325&lt;=G4325+Assumptions!$C$7,1,0),0),0)</f>
        <v/>
      </c>
      <c r="W4325">
        <f>IF(AND(U4325=1,M4325&gt;=H4325*(1-Assumptions!$C$8)),1,0)</f>
        <v/>
      </c>
      <c r="X4325">
        <f>IF(AND(U4325=1,N4325&gt;=H4325*(1-Assumptions!$C$8)),1,0)</f>
        <v/>
      </c>
      <c r="Y4325">
        <f>IF(ISNUMBER(Q4325),1,0)</f>
        <v/>
      </c>
      <c r="Z4325">
        <f>IF(AND(K4325=0,L4325=0,Y4325=0),1,0)</f>
        <v/>
      </c>
      <c r="AA4325">
        <f>IF(AND(Z4325=1,G4325&lt;Assumptions!$C$6),1,0)</f>
        <v/>
      </c>
      <c r="AB4325">
        <f>IF(U4325=0,"",IF(Y4325=1,MAX(0,Q4325-G4325),IF(L4325=1,MAX(0,R4325-G4325),MAX(0,Assumptions!$C$6-G4325))))</f>
        <v/>
      </c>
      <c r="AC4325">
        <f>IF(Y4325=1,Q4325-F4325,"")</f>
        <v/>
      </c>
      <c r="AD4325">
        <f>IF(Y4325=1,AC4325^2,"")</f>
        <v/>
      </c>
      <c r="AE4325" s="19">
        <f>IF(Z4325=1,(H4325-M4325)*I4325,0)</f>
        <v/>
      </c>
      <c r="AF4325">
        <f>IF(G4325&lt;EDATE(Assumptions!$C$6,-12)+1,"prior_12m","last_12m")</f>
        <v/>
      </c>
      <c r="AG4325" s="21">
        <f>DATE(YEAR(G4325),MONTH(G4325),1)</f>
        <v/>
      </c>
    </row>
    <row r="4326">
      <c r="A4326" t="inlineStr">
        <is>
          <t>SPO-02313-1</t>
        </is>
      </c>
      <c r="B4326" t="inlineStr">
        <is>
          <t>SPO-02313</t>
        </is>
      </c>
      <c r="C4326" t="inlineStr">
        <is>
          <t>SUP-04</t>
        </is>
      </c>
      <c r="D4326" t="inlineStr">
        <is>
          <t>FLEET</t>
        </is>
      </c>
      <c r="E4326" t="inlineStr">
        <is>
          <t>FLEET-01</t>
        </is>
      </c>
      <c r="F4326" s="17" t="n">
        <v>46212</v>
      </c>
      <c r="G4326" s="17" t="n">
        <v>46225</v>
      </c>
      <c r="H4326" s="18" t="n">
        <v>31</v>
      </c>
      <c r="I4326" s="19" t="n">
        <v>60.57</v>
      </c>
      <c r="J4326" s="19" t="n">
        <v>64</v>
      </c>
      <c r="K4326" s="20" t="n">
        <v>0</v>
      </c>
      <c r="L4326" s="20" t="n">
        <v>0</v>
      </c>
      <c r="M4326" s="18" t="n">
        <v>31</v>
      </c>
      <c r="N4326" s="18" t="n">
        <v>0</v>
      </c>
      <c r="O4326" s="18" t="n">
        <v>0</v>
      </c>
      <c r="P4326" s="17" t="n">
        <v>46230</v>
      </c>
      <c r="Q4326" s="17" t="n">
        <v>46230</v>
      </c>
      <c r="R4326" s="17" t="n">
        <v>46230</v>
      </c>
      <c r="S4326" s="19">
        <f>H4326*I4326</f>
        <v/>
      </c>
      <c r="T4326" s="19">
        <f>H4326*J4326</f>
        <v/>
      </c>
      <c r="U4326">
        <f>IF(AND(K4326=0,G4326&lt;=Assumptions!$C$6),1,0)</f>
        <v/>
      </c>
      <c r="V4326">
        <f>IF(U4326=1,IF(M4326&gt;0,IF(P4326&lt;=G4326+Assumptions!$C$7,1,0),0),0)</f>
        <v/>
      </c>
      <c r="W4326">
        <f>IF(AND(U4326=1,M4326&gt;=H4326*(1-Assumptions!$C$8)),1,0)</f>
        <v/>
      </c>
      <c r="X4326">
        <f>IF(AND(U4326=1,N4326&gt;=H4326*(1-Assumptions!$C$8)),1,0)</f>
        <v/>
      </c>
      <c r="Y4326">
        <f>IF(ISNUMBER(Q4326),1,0)</f>
        <v/>
      </c>
      <c r="Z4326">
        <f>IF(AND(K4326=0,L4326=0,Y4326=0),1,0)</f>
        <v/>
      </c>
      <c r="AA4326">
        <f>IF(AND(Z4326=1,G4326&lt;Assumptions!$C$6),1,0)</f>
        <v/>
      </c>
      <c r="AB4326">
        <f>IF(U4326=0,"",IF(Y4326=1,MAX(0,Q4326-G4326),IF(L4326=1,MAX(0,R4326-G4326),MAX(0,Assumptions!$C$6-G4326))))</f>
        <v/>
      </c>
      <c r="AC4326">
        <f>IF(Y4326=1,Q4326-F4326,"")</f>
        <v/>
      </c>
      <c r="AD4326">
        <f>IF(Y4326=1,AC4326^2,"")</f>
        <v/>
      </c>
      <c r="AE4326" s="19">
        <f>IF(Z4326=1,(H4326-M4326)*I4326,0)</f>
        <v/>
      </c>
      <c r="AF4326">
        <f>IF(G4326&lt;EDATE(Assumptions!$C$6,-12)+1,"prior_12m","last_12m")</f>
        <v/>
      </c>
      <c r="AG4326" s="21">
        <f>DATE(YEAR(G4326),MONTH(G4326),1)</f>
        <v/>
      </c>
    </row>
    <row r="4327">
      <c r="A4327" t="inlineStr">
        <is>
          <t>SPO-02314-1</t>
        </is>
      </c>
      <c r="B4327" t="inlineStr">
        <is>
          <t>SPO-02314</t>
        </is>
      </c>
      <c r="C4327" t="inlineStr">
        <is>
          <t>SUP-02</t>
        </is>
      </c>
      <c r="D4327" t="inlineStr">
        <is>
          <t>ELEC</t>
        </is>
      </c>
      <c r="E4327" t="inlineStr">
        <is>
          <t>ELEC-01</t>
        </is>
      </c>
      <c r="F4327" s="17" t="n">
        <v>46213</v>
      </c>
      <c r="G4327" s="17" t="n">
        <v>46229</v>
      </c>
      <c r="H4327" s="18" t="n">
        <v>51</v>
      </c>
      <c r="I4327" s="19" t="n">
        <v>38.1</v>
      </c>
      <c r="J4327" s="19" t="n">
        <v>38</v>
      </c>
      <c r="K4327" s="20" t="n">
        <v>0</v>
      </c>
      <c r="L4327" s="20" t="n">
        <v>0</v>
      </c>
      <c r="M4327" s="18" t="n">
        <v>51</v>
      </c>
      <c r="N4327" s="18" t="n">
        <v>51</v>
      </c>
      <c r="O4327" s="18" t="n">
        <v>0</v>
      </c>
      <c r="P4327" s="17" t="n">
        <v>46224</v>
      </c>
      <c r="Q4327" s="17" t="n">
        <v>46224</v>
      </c>
      <c r="R4327" s="17" t="n">
        <v>46224</v>
      </c>
      <c r="S4327" s="19">
        <f>H4327*I4327</f>
        <v/>
      </c>
      <c r="T4327" s="19">
        <f>H4327*J4327</f>
        <v/>
      </c>
      <c r="U4327">
        <f>IF(AND(K4327=0,G4327&lt;=Assumptions!$C$6),1,0)</f>
        <v/>
      </c>
      <c r="V4327">
        <f>IF(U4327=1,IF(M4327&gt;0,IF(P4327&lt;=G4327+Assumptions!$C$7,1,0),0),0)</f>
        <v/>
      </c>
      <c r="W4327">
        <f>IF(AND(U4327=1,M4327&gt;=H4327*(1-Assumptions!$C$8)),1,0)</f>
        <v/>
      </c>
      <c r="X4327">
        <f>IF(AND(U4327=1,N4327&gt;=H4327*(1-Assumptions!$C$8)),1,0)</f>
        <v/>
      </c>
      <c r="Y4327">
        <f>IF(ISNUMBER(Q4327),1,0)</f>
        <v/>
      </c>
      <c r="Z4327">
        <f>IF(AND(K4327=0,L4327=0,Y4327=0),1,0)</f>
        <v/>
      </c>
      <c r="AA4327">
        <f>IF(AND(Z4327=1,G4327&lt;Assumptions!$C$6),1,0)</f>
        <v/>
      </c>
      <c r="AB4327">
        <f>IF(U4327=0,"",IF(Y4327=1,MAX(0,Q4327-G4327),IF(L4327=1,MAX(0,R4327-G4327),MAX(0,Assumptions!$C$6-G4327))))</f>
        <v/>
      </c>
      <c r="AC4327">
        <f>IF(Y4327=1,Q4327-F4327,"")</f>
        <v/>
      </c>
      <c r="AD4327">
        <f>IF(Y4327=1,AC4327^2,"")</f>
        <v/>
      </c>
      <c r="AE4327" s="19">
        <f>IF(Z4327=1,(H4327-M4327)*I4327,0)</f>
        <v/>
      </c>
      <c r="AF4327">
        <f>IF(G4327&lt;EDATE(Assumptions!$C$6,-12)+1,"prior_12m","last_12m")</f>
        <v/>
      </c>
      <c r="AG4327" s="21">
        <f>DATE(YEAR(G4327),MONTH(G4327),1)</f>
        <v/>
      </c>
    </row>
    <row r="4328">
      <c r="A4328" t="inlineStr">
        <is>
          <t>SPO-02314-2</t>
        </is>
      </c>
      <c r="B4328" t="inlineStr">
        <is>
          <t>SPO-02314</t>
        </is>
      </c>
      <c r="C4328" t="inlineStr">
        <is>
          <t>SUP-02</t>
        </is>
      </c>
      <c r="D4328" t="inlineStr">
        <is>
          <t>ELEC</t>
        </is>
      </c>
      <c r="E4328" t="inlineStr">
        <is>
          <t>ELEC-05</t>
        </is>
      </c>
      <c r="F4328" s="17" t="n">
        <v>46213</v>
      </c>
      <c r="G4328" s="17" t="n">
        <v>46229</v>
      </c>
      <c r="H4328" s="18" t="n">
        <v>113</v>
      </c>
      <c r="I4328" s="19" t="n">
        <v>12.06</v>
      </c>
      <c r="J4328" s="19" t="n">
        <v>11.5</v>
      </c>
      <c r="K4328" s="20" t="n">
        <v>0</v>
      </c>
      <c r="L4328" s="20" t="n">
        <v>0</v>
      </c>
      <c r="M4328" s="18" t="n">
        <v>113</v>
      </c>
      <c r="N4328" s="18" t="n">
        <v>113</v>
      </c>
      <c r="O4328" s="18" t="n">
        <v>0</v>
      </c>
      <c r="P4328" s="17" t="n">
        <v>46225</v>
      </c>
      <c r="Q4328" s="17" t="n">
        <v>46225</v>
      </c>
      <c r="R4328" s="17" t="n">
        <v>46225</v>
      </c>
      <c r="S4328" s="19">
        <f>H4328*I4328</f>
        <v/>
      </c>
      <c r="T4328" s="19">
        <f>H4328*J4328</f>
        <v/>
      </c>
      <c r="U4328">
        <f>IF(AND(K4328=0,G4328&lt;=Assumptions!$C$6),1,0)</f>
        <v/>
      </c>
      <c r="V4328">
        <f>IF(U4328=1,IF(M4328&gt;0,IF(P4328&lt;=G4328+Assumptions!$C$7,1,0),0),0)</f>
        <v/>
      </c>
      <c r="W4328">
        <f>IF(AND(U4328=1,M4328&gt;=H4328*(1-Assumptions!$C$8)),1,0)</f>
        <v/>
      </c>
      <c r="X4328">
        <f>IF(AND(U4328=1,N4328&gt;=H4328*(1-Assumptions!$C$8)),1,0)</f>
        <v/>
      </c>
      <c r="Y4328">
        <f>IF(ISNUMBER(Q4328),1,0)</f>
        <v/>
      </c>
      <c r="Z4328">
        <f>IF(AND(K4328=0,L4328=0,Y4328=0),1,0)</f>
        <v/>
      </c>
      <c r="AA4328">
        <f>IF(AND(Z4328=1,G4328&lt;Assumptions!$C$6),1,0)</f>
        <v/>
      </c>
      <c r="AB4328">
        <f>IF(U4328=0,"",IF(Y4328=1,MAX(0,Q4328-G4328),IF(L4328=1,MAX(0,R4328-G4328),MAX(0,Assumptions!$C$6-G4328))))</f>
        <v/>
      </c>
      <c r="AC4328">
        <f>IF(Y4328=1,Q4328-F4328,"")</f>
        <v/>
      </c>
      <c r="AD4328">
        <f>IF(Y4328=1,AC4328^2,"")</f>
        <v/>
      </c>
      <c r="AE4328" s="19">
        <f>IF(Z4328=1,(H4328-M4328)*I4328,0)</f>
        <v/>
      </c>
      <c r="AF4328">
        <f>IF(G4328&lt;EDATE(Assumptions!$C$6,-12)+1,"prior_12m","last_12m")</f>
        <v/>
      </c>
      <c r="AG4328" s="21">
        <f>DATE(YEAR(G4328),MONTH(G4328),1)</f>
        <v/>
      </c>
    </row>
    <row r="4329">
      <c r="A4329" t="inlineStr">
        <is>
          <t>SPO-02315-1</t>
        </is>
      </c>
      <c r="B4329" t="inlineStr">
        <is>
          <t>SPO-02315</t>
        </is>
      </c>
      <c r="C4329" t="inlineStr">
        <is>
          <t>SUP-12</t>
        </is>
      </c>
      <c r="D4329" t="inlineStr">
        <is>
          <t>IT</t>
        </is>
      </c>
      <c r="E4329" t="inlineStr">
        <is>
          <t>IT-08</t>
        </is>
      </c>
      <c r="F4329" s="17" t="n">
        <v>46213</v>
      </c>
      <c r="G4329" s="17" t="n">
        <v>46223</v>
      </c>
      <c r="H4329" s="18" t="n">
        <v>3</v>
      </c>
      <c r="I4329" s="19" t="n">
        <v>292.39</v>
      </c>
      <c r="J4329" s="19" t="n">
        <v>245</v>
      </c>
      <c r="K4329" s="20" t="n">
        <v>0</v>
      </c>
      <c r="L4329" s="20" t="n">
        <v>0</v>
      </c>
      <c r="M4329" s="18" t="n">
        <v>3</v>
      </c>
      <c r="N4329" s="18" t="n">
        <v>3</v>
      </c>
      <c r="O4329" s="18" t="n">
        <v>0</v>
      </c>
      <c r="P4329" s="17" t="n">
        <v>46217</v>
      </c>
      <c r="Q4329" s="17" t="n">
        <v>46217</v>
      </c>
      <c r="R4329" s="17" t="n">
        <v>46217</v>
      </c>
      <c r="S4329" s="19">
        <f>H4329*I4329</f>
        <v/>
      </c>
      <c r="T4329" s="19">
        <f>H4329*J4329</f>
        <v/>
      </c>
      <c r="U4329">
        <f>IF(AND(K4329=0,G4329&lt;=Assumptions!$C$6),1,0)</f>
        <v/>
      </c>
      <c r="V4329">
        <f>IF(U4329=1,IF(M4329&gt;0,IF(P4329&lt;=G4329+Assumptions!$C$7,1,0),0),0)</f>
        <v/>
      </c>
      <c r="W4329">
        <f>IF(AND(U4329=1,M4329&gt;=H4329*(1-Assumptions!$C$8)),1,0)</f>
        <v/>
      </c>
      <c r="X4329">
        <f>IF(AND(U4329=1,N4329&gt;=H4329*(1-Assumptions!$C$8)),1,0)</f>
        <v/>
      </c>
      <c r="Y4329">
        <f>IF(ISNUMBER(Q4329),1,0)</f>
        <v/>
      </c>
      <c r="Z4329">
        <f>IF(AND(K4329=0,L4329=0,Y4329=0),1,0)</f>
        <v/>
      </c>
      <c r="AA4329">
        <f>IF(AND(Z4329=1,G4329&lt;Assumptions!$C$6),1,0)</f>
        <v/>
      </c>
      <c r="AB4329">
        <f>IF(U4329=0,"",IF(Y4329=1,MAX(0,Q4329-G4329),IF(L4329=1,MAX(0,R4329-G4329),MAX(0,Assumptions!$C$6-G4329))))</f>
        <v/>
      </c>
      <c r="AC4329">
        <f>IF(Y4329=1,Q4329-F4329,"")</f>
        <v/>
      </c>
      <c r="AD4329">
        <f>IF(Y4329=1,AC4329^2,"")</f>
        <v/>
      </c>
      <c r="AE4329" s="19">
        <f>IF(Z4329=1,(H4329-M4329)*I4329,0)</f>
        <v/>
      </c>
      <c r="AF4329">
        <f>IF(G4329&lt;EDATE(Assumptions!$C$6,-12)+1,"prior_12m","last_12m")</f>
        <v/>
      </c>
      <c r="AG4329" s="21">
        <f>DATE(YEAR(G4329),MONTH(G4329),1)</f>
        <v/>
      </c>
    </row>
    <row r="4330">
      <c r="A4330" t="inlineStr">
        <is>
          <t>SPO-02315-2</t>
        </is>
      </c>
      <c r="B4330" t="inlineStr">
        <is>
          <t>SPO-02315</t>
        </is>
      </c>
      <c r="C4330" t="inlineStr">
        <is>
          <t>SUP-12</t>
        </is>
      </c>
      <c r="D4330" t="inlineStr">
        <is>
          <t>IT</t>
        </is>
      </c>
      <c r="E4330" t="inlineStr">
        <is>
          <t>IT-01</t>
        </is>
      </c>
      <c r="F4330" s="17" t="n">
        <v>46213</v>
      </c>
      <c r="G4330" s="17" t="n">
        <v>46223</v>
      </c>
      <c r="H4330" s="18" t="n">
        <v>6</v>
      </c>
      <c r="I4330" s="19" t="n">
        <v>219.7</v>
      </c>
      <c r="J4330" s="19" t="n">
        <v>189</v>
      </c>
      <c r="K4330" s="20" t="n">
        <v>0</v>
      </c>
      <c r="L4330" s="20" t="n">
        <v>0</v>
      </c>
      <c r="M4330" s="18" t="n">
        <v>6</v>
      </c>
      <c r="N4330" s="18" t="n">
        <v>6</v>
      </c>
      <c r="O4330" s="18" t="n">
        <v>0</v>
      </c>
      <c r="P4330" s="17" t="n">
        <v>46222</v>
      </c>
      <c r="Q4330" s="17" t="n">
        <v>46222</v>
      </c>
      <c r="R4330" s="17" t="n">
        <v>46222</v>
      </c>
      <c r="S4330" s="19">
        <f>H4330*I4330</f>
        <v/>
      </c>
      <c r="T4330" s="19">
        <f>H4330*J4330</f>
        <v/>
      </c>
      <c r="U4330">
        <f>IF(AND(K4330=0,G4330&lt;=Assumptions!$C$6),1,0)</f>
        <v/>
      </c>
      <c r="V4330">
        <f>IF(U4330=1,IF(M4330&gt;0,IF(P4330&lt;=G4330+Assumptions!$C$7,1,0),0),0)</f>
        <v/>
      </c>
      <c r="W4330">
        <f>IF(AND(U4330=1,M4330&gt;=H4330*(1-Assumptions!$C$8)),1,0)</f>
        <v/>
      </c>
      <c r="X4330">
        <f>IF(AND(U4330=1,N4330&gt;=H4330*(1-Assumptions!$C$8)),1,0)</f>
        <v/>
      </c>
      <c r="Y4330">
        <f>IF(ISNUMBER(Q4330),1,0)</f>
        <v/>
      </c>
      <c r="Z4330">
        <f>IF(AND(K4330=0,L4330=0,Y4330=0),1,0)</f>
        <v/>
      </c>
      <c r="AA4330">
        <f>IF(AND(Z4330=1,G4330&lt;Assumptions!$C$6),1,0)</f>
        <v/>
      </c>
      <c r="AB4330">
        <f>IF(U4330=0,"",IF(Y4330=1,MAX(0,Q4330-G4330),IF(L4330=1,MAX(0,R4330-G4330),MAX(0,Assumptions!$C$6-G4330))))</f>
        <v/>
      </c>
      <c r="AC4330">
        <f>IF(Y4330=1,Q4330-F4330,"")</f>
        <v/>
      </c>
      <c r="AD4330">
        <f>IF(Y4330=1,AC4330^2,"")</f>
        <v/>
      </c>
      <c r="AE4330" s="19">
        <f>IF(Z4330=1,(H4330-M4330)*I4330,0)</f>
        <v/>
      </c>
      <c r="AF4330">
        <f>IF(G4330&lt;EDATE(Assumptions!$C$6,-12)+1,"prior_12m","last_12m")</f>
        <v/>
      </c>
      <c r="AG4330" s="21">
        <f>DATE(YEAR(G4330),MONTH(G4330),1)</f>
        <v/>
      </c>
    </row>
    <row r="4331">
      <c r="A4331" t="inlineStr">
        <is>
          <t>SPO-02315-3</t>
        </is>
      </c>
      <c r="B4331" t="inlineStr">
        <is>
          <t>SPO-02315</t>
        </is>
      </c>
      <c r="C4331" t="inlineStr">
        <is>
          <t>SUP-12</t>
        </is>
      </c>
      <c r="D4331" t="inlineStr">
        <is>
          <t>IT</t>
        </is>
      </c>
      <c r="E4331" t="inlineStr">
        <is>
          <t>IT-04</t>
        </is>
      </c>
      <c r="F4331" s="17" t="n">
        <v>46213</v>
      </c>
      <c r="G4331" s="17" t="n">
        <v>46223</v>
      </c>
      <c r="H4331" s="18" t="n">
        <v>114</v>
      </c>
      <c r="I4331" s="19" t="n">
        <v>13.97</v>
      </c>
      <c r="J4331" s="19" t="n">
        <v>12</v>
      </c>
      <c r="K4331" s="20" t="n">
        <v>0</v>
      </c>
      <c r="L4331" s="20" t="n">
        <v>0</v>
      </c>
      <c r="M4331" s="18" t="n">
        <v>114</v>
      </c>
      <c r="N4331" s="18" t="n">
        <v>114</v>
      </c>
      <c r="O4331" s="18" t="n">
        <v>0</v>
      </c>
      <c r="P4331" s="17" t="n">
        <v>46222</v>
      </c>
      <c r="Q4331" s="17" t="n">
        <v>46222</v>
      </c>
      <c r="R4331" s="17" t="n">
        <v>46222</v>
      </c>
      <c r="S4331" s="19">
        <f>H4331*I4331</f>
        <v/>
      </c>
      <c r="T4331" s="19">
        <f>H4331*J4331</f>
        <v/>
      </c>
      <c r="U4331">
        <f>IF(AND(K4331=0,G4331&lt;=Assumptions!$C$6),1,0)</f>
        <v/>
      </c>
      <c r="V4331">
        <f>IF(U4331=1,IF(M4331&gt;0,IF(P4331&lt;=G4331+Assumptions!$C$7,1,0),0),0)</f>
        <v/>
      </c>
      <c r="W4331">
        <f>IF(AND(U4331=1,M4331&gt;=H4331*(1-Assumptions!$C$8)),1,0)</f>
        <v/>
      </c>
      <c r="X4331">
        <f>IF(AND(U4331=1,N4331&gt;=H4331*(1-Assumptions!$C$8)),1,0)</f>
        <v/>
      </c>
      <c r="Y4331">
        <f>IF(ISNUMBER(Q4331),1,0)</f>
        <v/>
      </c>
      <c r="Z4331">
        <f>IF(AND(K4331=0,L4331=0,Y4331=0),1,0)</f>
        <v/>
      </c>
      <c r="AA4331">
        <f>IF(AND(Z4331=1,G4331&lt;Assumptions!$C$6),1,0)</f>
        <v/>
      </c>
      <c r="AB4331">
        <f>IF(U4331=0,"",IF(Y4331=1,MAX(0,Q4331-G4331),IF(L4331=1,MAX(0,R4331-G4331),MAX(0,Assumptions!$C$6-G4331))))</f>
        <v/>
      </c>
      <c r="AC4331">
        <f>IF(Y4331=1,Q4331-F4331,"")</f>
        <v/>
      </c>
      <c r="AD4331">
        <f>IF(Y4331=1,AC4331^2,"")</f>
        <v/>
      </c>
      <c r="AE4331" s="19">
        <f>IF(Z4331=1,(H4331-M4331)*I4331,0)</f>
        <v/>
      </c>
      <c r="AF4331">
        <f>IF(G4331&lt;EDATE(Assumptions!$C$6,-12)+1,"prior_12m","last_12m")</f>
        <v/>
      </c>
      <c r="AG4331" s="21">
        <f>DATE(YEAR(G4331),MONTH(G4331),1)</f>
        <v/>
      </c>
    </row>
    <row r="4332">
      <c r="A4332" t="inlineStr">
        <is>
          <t>SPO-02315-4</t>
        </is>
      </c>
      <c r="B4332" t="inlineStr">
        <is>
          <t>SPO-02315</t>
        </is>
      </c>
      <c r="C4332" t="inlineStr">
        <is>
          <t>SUP-12</t>
        </is>
      </c>
      <c r="D4332" t="inlineStr">
        <is>
          <t>IT</t>
        </is>
      </c>
      <c r="E4332" t="inlineStr">
        <is>
          <t>IT-03</t>
        </is>
      </c>
      <c r="F4332" s="17" t="n">
        <v>46213</v>
      </c>
      <c r="G4332" s="17" t="n">
        <v>46223</v>
      </c>
      <c r="H4332" s="18" t="n">
        <v>46</v>
      </c>
      <c r="I4332" s="19" t="n">
        <v>43.63</v>
      </c>
      <c r="J4332" s="19" t="n">
        <v>38</v>
      </c>
      <c r="K4332" s="20" t="n">
        <v>0</v>
      </c>
      <c r="L4332" s="20" t="n">
        <v>0</v>
      </c>
      <c r="M4332" s="18" t="n">
        <v>46</v>
      </c>
      <c r="N4332" s="18" t="n">
        <v>46</v>
      </c>
      <c r="O4332" s="18" t="n">
        <v>0</v>
      </c>
      <c r="P4332" s="17" t="n">
        <v>46223</v>
      </c>
      <c r="Q4332" s="17" t="n">
        <v>46223</v>
      </c>
      <c r="R4332" s="17" t="n">
        <v>46223</v>
      </c>
      <c r="S4332" s="19">
        <f>H4332*I4332</f>
        <v/>
      </c>
      <c r="T4332" s="19">
        <f>H4332*J4332</f>
        <v/>
      </c>
      <c r="U4332">
        <f>IF(AND(K4332=0,G4332&lt;=Assumptions!$C$6),1,0)</f>
        <v/>
      </c>
      <c r="V4332">
        <f>IF(U4332=1,IF(M4332&gt;0,IF(P4332&lt;=G4332+Assumptions!$C$7,1,0),0),0)</f>
        <v/>
      </c>
      <c r="W4332">
        <f>IF(AND(U4332=1,M4332&gt;=H4332*(1-Assumptions!$C$8)),1,0)</f>
        <v/>
      </c>
      <c r="X4332">
        <f>IF(AND(U4332=1,N4332&gt;=H4332*(1-Assumptions!$C$8)),1,0)</f>
        <v/>
      </c>
      <c r="Y4332">
        <f>IF(ISNUMBER(Q4332),1,0)</f>
        <v/>
      </c>
      <c r="Z4332">
        <f>IF(AND(K4332=0,L4332=0,Y4332=0),1,0)</f>
        <v/>
      </c>
      <c r="AA4332">
        <f>IF(AND(Z4332=1,G4332&lt;Assumptions!$C$6),1,0)</f>
        <v/>
      </c>
      <c r="AB4332">
        <f>IF(U4332=0,"",IF(Y4332=1,MAX(0,Q4332-G4332),IF(L4332=1,MAX(0,R4332-G4332),MAX(0,Assumptions!$C$6-G4332))))</f>
        <v/>
      </c>
      <c r="AC4332">
        <f>IF(Y4332=1,Q4332-F4332,"")</f>
        <v/>
      </c>
      <c r="AD4332">
        <f>IF(Y4332=1,AC4332^2,"")</f>
        <v/>
      </c>
      <c r="AE4332" s="19">
        <f>IF(Z4332=1,(H4332-M4332)*I4332,0)</f>
        <v/>
      </c>
      <c r="AF4332">
        <f>IF(G4332&lt;EDATE(Assumptions!$C$6,-12)+1,"prior_12m","last_12m")</f>
        <v/>
      </c>
      <c r="AG4332" s="21">
        <f>DATE(YEAR(G4332),MONTH(G4332),1)</f>
        <v/>
      </c>
    </row>
    <row r="4333">
      <c r="A4333" t="inlineStr">
        <is>
          <t>SPO-02316-1</t>
        </is>
      </c>
      <c r="B4333" t="inlineStr">
        <is>
          <t>SPO-02316</t>
        </is>
      </c>
      <c r="C4333" t="inlineStr">
        <is>
          <t>SUP-11</t>
        </is>
      </c>
      <c r="D4333" t="inlineStr">
        <is>
          <t>PPE</t>
        </is>
      </c>
      <c r="E4333" t="inlineStr">
        <is>
          <t>PPE-04</t>
        </is>
      </c>
      <c r="F4333" s="17" t="n">
        <v>46213</v>
      </c>
      <c r="G4333" s="17" t="n">
        <v>46225</v>
      </c>
      <c r="H4333" s="18" t="n">
        <v>68</v>
      </c>
      <c r="I4333" s="19" t="n">
        <v>26.1</v>
      </c>
      <c r="J4333" s="19" t="n">
        <v>26</v>
      </c>
      <c r="K4333" s="20" t="n">
        <v>0</v>
      </c>
      <c r="L4333" s="20" t="n">
        <v>0</v>
      </c>
      <c r="M4333" s="18" t="n">
        <v>68</v>
      </c>
      <c r="N4333" s="18" t="n">
        <v>68</v>
      </c>
      <c r="O4333" s="18" t="n">
        <v>0</v>
      </c>
      <c r="P4333" s="17" t="n">
        <v>46223</v>
      </c>
      <c r="Q4333" s="17" t="n">
        <v>46223</v>
      </c>
      <c r="R4333" s="17" t="n">
        <v>46223</v>
      </c>
      <c r="S4333" s="19">
        <f>H4333*I4333</f>
        <v/>
      </c>
      <c r="T4333" s="19">
        <f>H4333*J4333</f>
        <v/>
      </c>
      <c r="U4333">
        <f>IF(AND(K4333=0,G4333&lt;=Assumptions!$C$6),1,0)</f>
        <v/>
      </c>
      <c r="V4333">
        <f>IF(U4333=1,IF(M4333&gt;0,IF(P4333&lt;=G4333+Assumptions!$C$7,1,0),0),0)</f>
        <v/>
      </c>
      <c r="W4333">
        <f>IF(AND(U4333=1,M4333&gt;=H4333*(1-Assumptions!$C$8)),1,0)</f>
        <v/>
      </c>
      <c r="X4333">
        <f>IF(AND(U4333=1,N4333&gt;=H4333*(1-Assumptions!$C$8)),1,0)</f>
        <v/>
      </c>
      <c r="Y4333">
        <f>IF(ISNUMBER(Q4333),1,0)</f>
        <v/>
      </c>
      <c r="Z4333">
        <f>IF(AND(K4333=0,L4333=0,Y4333=0),1,0)</f>
        <v/>
      </c>
      <c r="AA4333">
        <f>IF(AND(Z4333=1,G4333&lt;Assumptions!$C$6),1,0)</f>
        <v/>
      </c>
      <c r="AB4333">
        <f>IF(U4333=0,"",IF(Y4333=1,MAX(0,Q4333-G4333),IF(L4333=1,MAX(0,R4333-G4333),MAX(0,Assumptions!$C$6-G4333))))</f>
        <v/>
      </c>
      <c r="AC4333">
        <f>IF(Y4333=1,Q4333-F4333,"")</f>
        <v/>
      </c>
      <c r="AD4333">
        <f>IF(Y4333=1,AC4333^2,"")</f>
        <v/>
      </c>
      <c r="AE4333" s="19">
        <f>IF(Z4333=1,(H4333-M4333)*I4333,0)</f>
        <v/>
      </c>
      <c r="AF4333">
        <f>IF(G4333&lt;EDATE(Assumptions!$C$6,-12)+1,"prior_12m","last_12m")</f>
        <v/>
      </c>
      <c r="AG4333" s="21">
        <f>DATE(YEAR(G4333),MONTH(G4333),1)</f>
        <v/>
      </c>
    </row>
    <row r="4334">
      <c r="A4334" t="inlineStr">
        <is>
          <t>SPO-02316-2</t>
        </is>
      </c>
      <c r="B4334" t="inlineStr">
        <is>
          <t>SPO-02316</t>
        </is>
      </c>
      <c r="C4334" t="inlineStr">
        <is>
          <t>SUP-11</t>
        </is>
      </c>
      <c r="D4334" t="inlineStr">
        <is>
          <t>PPE</t>
        </is>
      </c>
      <c r="E4334" t="inlineStr">
        <is>
          <t>PPE-06</t>
        </is>
      </c>
      <c r="F4334" s="17" t="n">
        <v>46213</v>
      </c>
      <c r="G4334" s="17" t="n">
        <v>46225</v>
      </c>
      <c r="H4334" s="18" t="n">
        <v>14</v>
      </c>
      <c r="I4334" s="19" t="n">
        <v>118.37</v>
      </c>
      <c r="J4334" s="19" t="n">
        <v>115</v>
      </c>
      <c r="K4334" s="20" t="n">
        <v>0</v>
      </c>
      <c r="L4334" s="20" t="n">
        <v>0</v>
      </c>
      <c r="M4334" s="18" t="n">
        <v>14</v>
      </c>
      <c r="N4334" s="18" t="n">
        <v>0</v>
      </c>
      <c r="O4334" s="18" t="n">
        <v>0</v>
      </c>
      <c r="P4334" s="17" t="n">
        <v>46226</v>
      </c>
      <c r="Q4334" s="17" t="n">
        <v>46226</v>
      </c>
      <c r="R4334" s="17" t="n">
        <v>46226</v>
      </c>
      <c r="S4334" s="19">
        <f>H4334*I4334</f>
        <v/>
      </c>
      <c r="T4334" s="19">
        <f>H4334*J4334</f>
        <v/>
      </c>
      <c r="U4334">
        <f>IF(AND(K4334=0,G4334&lt;=Assumptions!$C$6),1,0)</f>
        <v/>
      </c>
      <c r="V4334">
        <f>IF(U4334=1,IF(M4334&gt;0,IF(P4334&lt;=G4334+Assumptions!$C$7,1,0),0),0)</f>
        <v/>
      </c>
      <c r="W4334">
        <f>IF(AND(U4334=1,M4334&gt;=H4334*(1-Assumptions!$C$8)),1,0)</f>
        <v/>
      </c>
      <c r="X4334">
        <f>IF(AND(U4334=1,N4334&gt;=H4334*(1-Assumptions!$C$8)),1,0)</f>
        <v/>
      </c>
      <c r="Y4334">
        <f>IF(ISNUMBER(Q4334),1,0)</f>
        <v/>
      </c>
      <c r="Z4334">
        <f>IF(AND(K4334=0,L4334=0,Y4334=0),1,0)</f>
        <v/>
      </c>
      <c r="AA4334">
        <f>IF(AND(Z4334=1,G4334&lt;Assumptions!$C$6),1,0)</f>
        <v/>
      </c>
      <c r="AB4334">
        <f>IF(U4334=0,"",IF(Y4334=1,MAX(0,Q4334-G4334),IF(L4334=1,MAX(0,R4334-G4334),MAX(0,Assumptions!$C$6-G4334))))</f>
        <v/>
      </c>
      <c r="AC4334">
        <f>IF(Y4334=1,Q4334-F4334,"")</f>
        <v/>
      </c>
      <c r="AD4334">
        <f>IF(Y4334=1,AC4334^2,"")</f>
        <v/>
      </c>
      <c r="AE4334" s="19">
        <f>IF(Z4334=1,(H4334-M4334)*I4334,0)</f>
        <v/>
      </c>
      <c r="AF4334">
        <f>IF(G4334&lt;EDATE(Assumptions!$C$6,-12)+1,"prior_12m","last_12m")</f>
        <v/>
      </c>
      <c r="AG4334" s="21">
        <f>DATE(YEAR(G4334),MONTH(G4334),1)</f>
        <v/>
      </c>
    </row>
    <row r="4335">
      <c r="A4335" t="inlineStr">
        <is>
          <t>SPO-02316-3</t>
        </is>
      </c>
      <c r="B4335" t="inlineStr">
        <is>
          <t>SPO-02316</t>
        </is>
      </c>
      <c r="C4335" t="inlineStr">
        <is>
          <t>SUP-11</t>
        </is>
      </c>
      <c r="D4335" t="inlineStr">
        <is>
          <t>PPE</t>
        </is>
      </c>
      <c r="E4335" t="inlineStr">
        <is>
          <t>PPE-08</t>
        </is>
      </c>
      <c r="F4335" s="17" t="n">
        <v>46213</v>
      </c>
      <c r="G4335" s="17" t="n">
        <v>46225</v>
      </c>
      <c r="H4335" s="18" t="n">
        <v>6</v>
      </c>
      <c r="I4335" s="19" t="n">
        <v>66.39</v>
      </c>
      <c r="J4335" s="19" t="n">
        <v>64</v>
      </c>
      <c r="K4335" s="20" t="n">
        <v>0</v>
      </c>
      <c r="L4335" s="20" t="n">
        <v>0</v>
      </c>
      <c r="M4335" s="18" t="n">
        <v>6</v>
      </c>
      <c r="N4335" s="18" t="n">
        <v>6</v>
      </c>
      <c r="O4335" s="18" t="n">
        <v>0</v>
      </c>
      <c r="P4335" s="17" t="n">
        <v>46222</v>
      </c>
      <c r="Q4335" s="17" t="n">
        <v>46222</v>
      </c>
      <c r="R4335" s="17" t="n">
        <v>46222</v>
      </c>
      <c r="S4335" s="19">
        <f>H4335*I4335</f>
        <v/>
      </c>
      <c r="T4335" s="19">
        <f>H4335*J4335</f>
        <v/>
      </c>
      <c r="U4335">
        <f>IF(AND(K4335=0,G4335&lt;=Assumptions!$C$6),1,0)</f>
        <v/>
      </c>
      <c r="V4335">
        <f>IF(U4335=1,IF(M4335&gt;0,IF(P4335&lt;=G4335+Assumptions!$C$7,1,0),0),0)</f>
        <v/>
      </c>
      <c r="W4335">
        <f>IF(AND(U4335=1,M4335&gt;=H4335*(1-Assumptions!$C$8)),1,0)</f>
        <v/>
      </c>
      <c r="X4335">
        <f>IF(AND(U4335=1,N4335&gt;=H4335*(1-Assumptions!$C$8)),1,0)</f>
        <v/>
      </c>
      <c r="Y4335">
        <f>IF(ISNUMBER(Q4335),1,0)</f>
        <v/>
      </c>
      <c r="Z4335">
        <f>IF(AND(K4335=0,L4335=0,Y4335=0),1,0)</f>
        <v/>
      </c>
      <c r="AA4335">
        <f>IF(AND(Z4335=1,G4335&lt;Assumptions!$C$6),1,0)</f>
        <v/>
      </c>
      <c r="AB4335">
        <f>IF(U4335=0,"",IF(Y4335=1,MAX(0,Q4335-G4335),IF(L4335=1,MAX(0,R4335-G4335),MAX(0,Assumptions!$C$6-G4335))))</f>
        <v/>
      </c>
      <c r="AC4335">
        <f>IF(Y4335=1,Q4335-F4335,"")</f>
        <v/>
      </c>
      <c r="AD4335">
        <f>IF(Y4335=1,AC4335^2,"")</f>
        <v/>
      </c>
      <c r="AE4335" s="19">
        <f>IF(Z4335=1,(H4335-M4335)*I4335,0)</f>
        <v/>
      </c>
      <c r="AF4335">
        <f>IF(G4335&lt;EDATE(Assumptions!$C$6,-12)+1,"prior_12m","last_12m")</f>
        <v/>
      </c>
      <c r="AG4335" s="21">
        <f>DATE(YEAR(G4335),MONTH(G4335),1)</f>
        <v/>
      </c>
    </row>
    <row r="4336">
      <c r="A4336" t="inlineStr">
        <is>
          <t>SPO-02317-1</t>
        </is>
      </c>
      <c r="B4336" t="inlineStr">
        <is>
          <t>SPO-02317</t>
        </is>
      </c>
      <c r="C4336" t="inlineStr">
        <is>
          <t>SUP-12</t>
        </is>
      </c>
      <c r="D4336" t="inlineStr">
        <is>
          <t>IT</t>
        </is>
      </c>
      <c r="E4336" t="inlineStr">
        <is>
          <t>IT-07</t>
        </is>
      </c>
      <c r="F4336" s="17" t="n">
        <v>46213</v>
      </c>
      <c r="G4336" s="17" t="n">
        <v>46223</v>
      </c>
      <c r="H4336" s="18" t="n">
        <v>29</v>
      </c>
      <c r="I4336" s="19" t="n">
        <v>83.95999999999999</v>
      </c>
      <c r="J4336" s="19" t="n">
        <v>74</v>
      </c>
      <c r="K4336" s="20" t="n">
        <v>0</v>
      </c>
      <c r="L4336" s="20" t="n">
        <v>0</v>
      </c>
      <c r="M4336" s="18" t="n">
        <v>29</v>
      </c>
      <c r="N4336" s="18" t="n">
        <v>29</v>
      </c>
      <c r="O4336" s="18" t="n">
        <v>0</v>
      </c>
      <c r="P4336" s="17" t="n">
        <v>46217</v>
      </c>
      <c r="Q4336" s="17" t="n">
        <v>46217</v>
      </c>
      <c r="R4336" s="17" t="n">
        <v>46217</v>
      </c>
      <c r="S4336" s="19">
        <f>H4336*I4336</f>
        <v/>
      </c>
      <c r="T4336" s="19">
        <f>H4336*J4336</f>
        <v/>
      </c>
      <c r="U4336">
        <f>IF(AND(K4336=0,G4336&lt;=Assumptions!$C$6),1,0)</f>
        <v/>
      </c>
      <c r="V4336">
        <f>IF(U4336=1,IF(M4336&gt;0,IF(P4336&lt;=G4336+Assumptions!$C$7,1,0),0),0)</f>
        <v/>
      </c>
      <c r="W4336">
        <f>IF(AND(U4336=1,M4336&gt;=H4336*(1-Assumptions!$C$8)),1,0)</f>
        <v/>
      </c>
      <c r="X4336">
        <f>IF(AND(U4336=1,N4336&gt;=H4336*(1-Assumptions!$C$8)),1,0)</f>
        <v/>
      </c>
      <c r="Y4336">
        <f>IF(ISNUMBER(Q4336),1,0)</f>
        <v/>
      </c>
      <c r="Z4336">
        <f>IF(AND(K4336=0,L4336=0,Y4336=0),1,0)</f>
        <v/>
      </c>
      <c r="AA4336">
        <f>IF(AND(Z4336=1,G4336&lt;Assumptions!$C$6),1,0)</f>
        <v/>
      </c>
      <c r="AB4336">
        <f>IF(U4336=0,"",IF(Y4336=1,MAX(0,Q4336-G4336),IF(L4336=1,MAX(0,R4336-G4336),MAX(0,Assumptions!$C$6-G4336))))</f>
        <v/>
      </c>
      <c r="AC4336">
        <f>IF(Y4336=1,Q4336-F4336,"")</f>
        <v/>
      </c>
      <c r="AD4336">
        <f>IF(Y4336=1,AC4336^2,"")</f>
        <v/>
      </c>
      <c r="AE4336" s="19">
        <f>IF(Z4336=1,(H4336-M4336)*I4336,0)</f>
        <v/>
      </c>
      <c r="AF4336">
        <f>IF(G4336&lt;EDATE(Assumptions!$C$6,-12)+1,"prior_12m","last_12m")</f>
        <v/>
      </c>
      <c r="AG4336" s="21">
        <f>DATE(YEAR(G4336),MONTH(G4336),1)</f>
        <v/>
      </c>
    </row>
    <row r="4337">
      <c r="A4337" t="inlineStr">
        <is>
          <t>SPO-02317-2</t>
        </is>
      </c>
      <c r="B4337" t="inlineStr">
        <is>
          <t>SPO-02317</t>
        </is>
      </c>
      <c r="C4337" t="inlineStr">
        <is>
          <t>SUP-12</t>
        </is>
      </c>
      <c r="D4337" t="inlineStr">
        <is>
          <t>IT</t>
        </is>
      </c>
      <c r="E4337" t="inlineStr">
        <is>
          <t>IT-01</t>
        </is>
      </c>
      <c r="F4337" s="17" t="n">
        <v>46213</v>
      </c>
      <c r="G4337" s="17" t="n">
        <v>46223</v>
      </c>
      <c r="H4337" s="18" t="n">
        <v>6</v>
      </c>
      <c r="I4337" s="19" t="n">
        <v>231.54</v>
      </c>
      <c r="J4337" s="19" t="n">
        <v>189</v>
      </c>
      <c r="K4337" s="20" t="n">
        <v>0</v>
      </c>
      <c r="L4337" s="20" t="n">
        <v>0</v>
      </c>
      <c r="M4337" s="18" t="n">
        <v>6</v>
      </c>
      <c r="N4337" s="18" t="n">
        <v>4</v>
      </c>
      <c r="O4337" s="18" t="n">
        <v>0</v>
      </c>
      <c r="P4337" s="17" t="n">
        <v>46222</v>
      </c>
      <c r="Q4337" s="17" t="n">
        <v>46242</v>
      </c>
      <c r="R4337" s="17" t="n">
        <v>46242</v>
      </c>
      <c r="S4337" s="19">
        <f>H4337*I4337</f>
        <v/>
      </c>
      <c r="T4337" s="19">
        <f>H4337*J4337</f>
        <v/>
      </c>
      <c r="U4337">
        <f>IF(AND(K4337=0,G4337&lt;=Assumptions!$C$6),1,0)</f>
        <v/>
      </c>
      <c r="V4337">
        <f>IF(U4337=1,IF(M4337&gt;0,IF(P4337&lt;=G4337+Assumptions!$C$7,1,0),0),0)</f>
        <v/>
      </c>
      <c r="W4337">
        <f>IF(AND(U4337=1,M4337&gt;=H4337*(1-Assumptions!$C$8)),1,0)</f>
        <v/>
      </c>
      <c r="X4337">
        <f>IF(AND(U4337=1,N4337&gt;=H4337*(1-Assumptions!$C$8)),1,0)</f>
        <v/>
      </c>
      <c r="Y4337">
        <f>IF(ISNUMBER(Q4337),1,0)</f>
        <v/>
      </c>
      <c r="Z4337">
        <f>IF(AND(K4337=0,L4337=0,Y4337=0),1,0)</f>
        <v/>
      </c>
      <c r="AA4337">
        <f>IF(AND(Z4337=1,G4337&lt;Assumptions!$C$6),1,0)</f>
        <v/>
      </c>
      <c r="AB4337">
        <f>IF(U4337=0,"",IF(Y4337=1,MAX(0,Q4337-G4337),IF(L4337=1,MAX(0,R4337-G4337),MAX(0,Assumptions!$C$6-G4337))))</f>
        <v/>
      </c>
      <c r="AC4337">
        <f>IF(Y4337=1,Q4337-F4337,"")</f>
        <v/>
      </c>
      <c r="AD4337">
        <f>IF(Y4337=1,AC4337^2,"")</f>
        <v/>
      </c>
      <c r="AE4337" s="19">
        <f>IF(Z4337=1,(H4337-M4337)*I4337,0)</f>
        <v/>
      </c>
      <c r="AF4337">
        <f>IF(G4337&lt;EDATE(Assumptions!$C$6,-12)+1,"prior_12m","last_12m")</f>
        <v/>
      </c>
      <c r="AG4337" s="21">
        <f>DATE(YEAR(G4337),MONTH(G4337),1)</f>
        <v/>
      </c>
    </row>
    <row r="4338">
      <c r="A4338" t="inlineStr">
        <is>
          <t>SPO-02318-1</t>
        </is>
      </c>
      <c r="B4338" t="inlineStr">
        <is>
          <t>SPO-02318</t>
        </is>
      </c>
      <c r="C4338" t="inlineStr">
        <is>
          <t>SUP-06</t>
        </is>
      </c>
      <c r="D4338" t="inlineStr">
        <is>
          <t>MRO</t>
        </is>
      </c>
      <c r="E4338" t="inlineStr">
        <is>
          <t>MRO-06</t>
        </is>
      </c>
      <c r="F4338" s="17" t="n">
        <v>46214</v>
      </c>
      <c r="G4338" s="17" t="n">
        <v>46222</v>
      </c>
      <c r="H4338" s="18" t="n">
        <v>371</v>
      </c>
      <c r="I4338" s="19" t="n">
        <v>6.44</v>
      </c>
      <c r="J4338" s="19" t="n">
        <v>6.1</v>
      </c>
      <c r="K4338" s="20" t="n">
        <v>0</v>
      </c>
      <c r="L4338" s="20" t="n">
        <v>0</v>
      </c>
      <c r="M4338" s="18" t="n">
        <v>371</v>
      </c>
      <c r="N4338" s="18" t="n">
        <v>371</v>
      </c>
      <c r="O4338" s="18" t="n">
        <v>0</v>
      </c>
      <c r="P4338" s="17" t="n">
        <v>46220</v>
      </c>
      <c r="Q4338" s="17" t="n">
        <v>46220</v>
      </c>
      <c r="R4338" s="17" t="n">
        <v>46220</v>
      </c>
      <c r="S4338" s="19">
        <f>H4338*I4338</f>
        <v/>
      </c>
      <c r="T4338" s="19">
        <f>H4338*J4338</f>
        <v/>
      </c>
      <c r="U4338">
        <f>IF(AND(K4338=0,G4338&lt;=Assumptions!$C$6),1,0)</f>
        <v/>
      </c>
      <c r="V4338">
        <f>IF(U4338=1,IF(M4338&gt;0,IF(P4338&lt;=G4338+Assumptions!$C$7,1,0),0),0)</f>
        <v/>
      </c>
      <c r="W4338">
        <f>IF(AND(U4338=1,M4338&gt;=H4338*(1-Assumptions!$C$8)),1,0)</f>
        <v/>
      </c>
      <c r="X4338">
        <f>IF(AND(U4338=1,N4338&gt;=H4338*(1-Assumptions!$C$8)),1,0)</f>
        <v/>
      </c>
      <c r="Y4338">
        <f>IF(ISNUMBER(Q4338),1,0)</f>
        <v/>
      </c>
      <c r="Z4338">
        <f>IF(AND(K4338=0,L4338=0,Y4338=0),1,0)</f>
        <v/>
      </c>
      <c r="AA4338">
        <f>IF(AND(Z4338=1,G4338&lt;Assumptions!$C$6),1,0)</f>
        <v/>
      </c>
      <c r="AB4338">
        <f>IF(U4338=0,"",IF(Y4338=1,MAX(0,Q4338-G4338),IF(L4338=1,MAX(0,R4338-G4338),MAX(0,Assumptions!$C$6-G4338))))</f>
        <v/>
      </c>
      <c r="AC4338">
        <f>IF(Y4338=1,Q4338-F4338,"")</f>
        <v/>
      </c>
      <c r="AD4338">
        <f>IF(Y4338=1,AC4338^2,"")</f>
        <v/>
      </c>
      <c r="AE4338" s="19">
        <f>IF(Z4338=1,(H4338-M4338)*I4338,0)</f>
        <v/>
      </c>
      <c r="AF4338">
        <f>IF(G4338&lt;EDATE(Assumptions!$C$6,-12)+1,"prior_12m","last_12m")</f>
        <v/>
      </c>
      <c r="AG4338" s="21">
        <f>DATE(YEAR(G4338),MONTH(G4338),1)</f>
        <v/>
      </c>
    </row>
    <row r="4339">
      <c r="A4339" t="inlineStr">
        <is>
          <t>SPO-02319-1</t>
        </is>
      </c>
      <c r="B4339" t="inlineStr">
        <is>
          <t>SPO-02319</t>
        </is>
      </c>
      <c r="C4339" t="inlineStr">
        <is>
          <t>SUP-12</t>
        </is>
      </c>
      <c r="D4339" t="inlineStr">
        <is>
          <t>IT</t>
        </is>
      </c>
      <c r="E4339" t="inlineStr">
        <is>
          <t>IT-02</t>
        </is>
      </c>
      <c r="F4339" s="17" t="n">
        <v>46215</v>
      </c>
      <c r="G4339" s="17" t="n">
        <v>46225</v>
      </c>
      <c r="H4339" s="18" t="n">
        <v>6</v>
      </c>
      <c r="I4339" s="19" t="n">
        <v>181.13</v>
      </c>
      <c r="J4339" s="19" t="n">
        <v>162</v>
      </c>
      <c r="K4339" s="20" t="n">
        <v>0</v>
      </c>
      <c r="L4339" s="20" t="n">
        <v>0</v>
      </c>
      <c r="M4339" s="18" t="n">
        <v>6</v>
      </c>
      <c r="N4339" s="18" t="n">
        <v>6</v>
      </c>
      <c r="O4339" s="18" t="n">
        <v>0</v>
      </c>
      <c r="P4339" s="17" t="n">
        <v>46219</v>
      </c>
      <c r="Q4339" s="17" t="n">
        <v>46219</v>
      </c>
      <c r="R4339" s="17" t="n">
        <v>46219</v>
      </c>
      <c r="S4339" s="19">
        <f>H4339*I4339</f>
        <v/>
      </c>
      <c r="T4339" s="19">
        <f>H4339*J4339</f>
        <v/>
      </c>
      <c r="U4339">
        <f>IF(AND(K4339=0,G4339&lt;=Assumptions!$C$6),1,0)</f>
        <v/>
      </c>
      <c r="V4339">
        <f>IF(U4339=1,IF(M4339&gt;0,IF(P4339&lt;=G4339+Assumptions!$C$7,1,0),0),0)</f>
        <v/>
      </c>
      <c r="W4339">
        <f>IF(AND(U4339=1,M4339&gt;=H4339*(1-Assumptions!$C$8)),1,0)</f>
        <v/>
      </c>
      <c r="X4339">
        <f>IF(AND(U4339=1,N4339&gt;=H4339*(1-Assumptions!$C$8)),1,0)</f>
        <v/>
      </c>
      <c r="Y4339">
        <f>IF(ISNUMBER(Q4339),1,0)</f>
        <v/>
      </c>
      <c r="Z4339">
        <f>IF(AND(K4339=0,L4339=0,Y4339=0),1,0)</f>
        <v/>
      </c>
      <c r="AA4339">
        <f>IF(AND(Z4339=1,G4339&lt;Assumptions!$C$6),1,0)</f>
        <v/>
      </c>
      <c r="AB4339">
        <f>IF(U4339=0,"",IF(Y4339=1,MAX(0,Q4339-G4339),IF(L4339=1,MAX(0,R4339-G4339),MAX(0,Assumptions!$C$6-G4339))))</f>
        <v/>
      </c>
      <c r="AC4339">
        <f>IF(Y4339=1,Q4339-F4339,"")</f>
        <v/>
      </c>
      <c r="AD4339">
        <f>IF(Y4339=1,AC4339^2,"")</f>
        <v/>
      </c>
      <c r="AE4339" s="19">
        <f>IF(Z4339=1,(H4339-M4339)*I4339,0)</f>
        <v/>
      </c>
      <c r="AF4339">
        <f>IF(G4339&lt;EDATE(Assumptions!$C$6,-12)+1,"prior_12m","last_12m")</f>
        <v/>
      </c>
      <c r="AG4339" s="21">
        <f>DATE(YEAR(G4339),MONTH(G4339),1)</f>
        <v/>
      </c>
    </row>
    <row r="4340">
      <c r="A4340" t="inlineStr">
        <is>
          <t>SPO-02320-1</t>
        </is>
      </c>
      <c r="B4340" t="inlineStr">
        <is>
          <t>SPO-02320</t>
        </is>
      </c>
      <c r="C4340" t="inlineStr">
        <is>
          <t>SUP-02</t>
        </is>
      </c>
      <c r="D4340" t="inlineStr">
        <is>
          <t>ELEC</t>
        </is>
      </c>
      <c r="E4340" t="inlineStr">
        <is>
          <t>ELEC-01</t>
        </is>
      </c>
      <c r="F4340" s="17" t="n">
        <v>46215</v>
      </c>
      <c r="G4340" s="17" t="n">
        <v>46231</v>
      </c>
      <c r="H4340" s="18" t="n">
        <v>33</v>
      </c>
      <c r="I4340" s="19" t="n">
        <v>39.95</v>
      </c>
      <c r="J4340" s="19" t="n">
        <v>38</v>
      </c>
      <c r="K4340" s="20" t="n">
        <v>0</v>
      </c>
      <c r="L4340" s="20" t="n">
        <v>0</v>
      </c>
      <c r="M4340" s="18" t="n">
        <v>33</v>
      </c>
      <c r="N4340" s="18" t="n">
        <v>33</v>
      </c>
      <c r="O4340" s="18" t="n">
        <v>0</v>
      </c>
      <c r="P4340" s="17" t="n">
        <v>46231</v>
      </c>
      <c r="Q4340" s="17" t="n">
        <v>46231</v>
      </c>
      <c r="R4340" s="17" t="n">
        <v>46231</v>
      </c>
      <c r="S4340" s="19">
        <f>H4340*I4340</f>
        <v/>
      </c>
      <c r="T4340" s="19">
        <f>H4340*J4340</f>
        <v/>
      </c>
      <c r="U4340">
        <f>IF(AND(K4340=0,G4340&lt;=Assumptions!$C$6),1,0)</f>
        <v/>
      </c>
      <c r="V4340">
        <f>IF(U4340=1,IF(M4340&gt;0,IF(P4340&lt;=G4340+Assumptions!$C$7,1,0),0),0)</f>
        <v/>
      </c>
      <c r="W4340">
        <f>IF(AND(U4340=1,M4340&gt;=H4340*(1-Assumptions!$C$8)),1,0)</f>
        <v/>
      </c>
      <c r="X4340">
        <f>IF(AND(U4340=1,N4340&gt;=H4340*(1-Assumptions!$C$8)),1,0)</f>
        <v/>
      </c>
      <c r="Y4340">
        <f>IF(ISNUMBER(Q4340),1,0)</f>
        <v/>
      </c>
      <c r="Z4340">
        <f>IF(AND(K4340=0,L4340=0,Y4340=0),1,0)</f>
        <v/>
      </c>
      <c r="AA4340">
        <f>IF(AND(Z4340=1,G4340&lt;Assumptions!$C$6),1,0)</f>
        <v/>
      </c>
      <c r="AB4340">
        <f>IF(U4340=0,"",IF(Y4340=1,MAX(0,Q4340-G4340),IF(L4340=1,MAX(0,R4340-G4340),MAX(0,Assumptions!$C$6-G4340))))</f>
        <v/>
      </c>
      <c r="AC4340">
        <f>IF(Y4340=1,Q4340-F4340,"")</f>
        <v/>
      </c>
      <c r="AD4340">
        <f>IF(Y4340=1,AC4340^2,"")</f>
        <v/>
      </c>
      <c r="AE4340" s="19">
        <f>IF(Z4340=1,(H4340-M4340)*I4340,0)</f>
        <v/>
      </c>
      <c r="AF4340">
        <f>IF(G4340&lt;EDATE(Assumptions!$C$6,-12)+1,"prior_12m","last_12m")</f>
        <v/>
      </c>
      <c r="AG4340" s="21">
        <f>DATE(YEAR(G4340),MONTH(G4340),1)</f>
        <v/>
      </c>
    </row>
    <row r="4341">
      <c r="A4341" t="inlineStr">
        <is>
          <t>SPO-02320-2</t>
        </is>
      </c>
      <c r="B4341" t="inlineStr">
        <is>
          <t>SPO-02320</t>
        </is>
      </c>
      <c r="C4341" t="inlineStr">
        <is>
          <t>SUP-02</t>
        </is>
      </c>
      <c r="D4341" t="inlineStr">
        <is>
          <t>ELEC</t>
        </is>
      </c>
      <c r="E4341" t="inlineStr">
        <is>
          <t>ELEC-08</t>
        </is>
      </c>
      <c r="F4341" s="17" t="n">
        <v>46215</v>
      </c>
      <c r="G4341" s="17" t="n">
        <v>46231</v>
      </c>
      <c r="H4341" s="18" t="n">
        <v>141</v>
      </c>
      <c r="I4341" s="19" t="n">
        <v>17.87</v>
      </c>
      <c r="J4341" s="19" t="n">
        <v>18</v>
      </c>
      <c r="K4341" s="20" t="n">
        <v>0</v>
      </c>
      <c r="L4341" s="20" t="n">
        <v>0</v>
      </c>
      <c r="M4341" s="18" t="n">
        <v>141</v>
      </c>
      <c r="N4341" s="18" t="n">
        <v>141</v>
      </c>
      <c r="O4341" s="18" t="n">
        <v>0</v>
      </c>
      <c r="P4341" s="17" t="n">
        <v>46228</v>
      </c>
      <c r="Q4341" s="17" t="n">
        <v>46228</v>
      </c>
      <c r="R4341" s="17" t="n">
        <v>46228</v>
      </c>
      <c r="S4341" s="19">
        <f>H4341*I4341</f>
        <v/>
      </c>
      <c r="T4341" s="19">
        <f>H4341*J4341</f>
        <v/>
      </c>
      <c r="U4341">
        <f>IF(AND(K4341=0,G4341&lt;=Assumptions!$C$6),1,0)</f>
        <v/>
      </c>
      <c r="V4341">
        <f>IF(U4341=1,IF(M4341&gt;0,IF(P4341&lt;=G4341+Assumptions!$C$7,1,0),0),0)</f>
        <v/>
      </c>
      <c r="W4341">
        <f>IF(AND(U4341=1,M4341&gt;=H4341*(1-Assumptions!$C$8)),1,0)</f>
        <v/>
      </c>
      <c r="X4341">
        <f>IF(AND(U4341=1,N4341&gt;=H4341*(1-Assumptions!$C$8)),1,0)</f>
        <v/>
      </c>
      <c r="Y4341">
        <f>IF(ISNUMBER(Q4341),1,0)</f>
        <v/>
      </c>
      <c r="Z4341">
        <f>IF(AND(K4341=0,L4341=0,Y4341=0),1,0)</f>
        <v/>
      </c>
      <c r="AA4341">
        <f>IF(AND(Z4341=1,G4341&lt;Assumptions!$C$6),1,0)</f>
        <v/>
      </c>
      <c r="AB4341">
        <f>IF(U4341=0,"",IF(Y4341=1,MAX(0,Q4341-G4341),IF(L4341=1,MAX(0,R4341-G4341),MAX(0,Assumptions!$C$6-G4341))))</f>
        <v/>
      </c>
      <c r="AC4341">
        <f>IF(Y4341=1,Q4341-F4341,"")</f>
        <v/>
      </c>
      <c r="AD4341">
        <f>IF(Y4341=1,AC4341^2,"")</f>
        <v/>
      </c>
      <c r="AE4341" s="19">
        <f>IF(Z4341=1,(H4341-M4341)*I4341,0)</f>
        <v/>
      </c>
      <c r="AF4341">
        <f>IF(G4341&lt;EDATE(Assumptions!$C$6,-12)+1,"prior_12m","last_12m")</f>
        <v/>
      </c>
      <c r="AG4341" s="21">
        <f>DATE(YEAR(G4341),MONTH(G4341),1)</f>
        <v/>
      </c>
    </row>
    <row r="4342">
      <c r="A4342" t="inlineStr">
        <is>
          <t>SPO-02321-1</t>
        </is>
      </c>
      <c r="B4342" t="inlineStr">
        <is>
          <t>SPO-02321</t>
        </is>
      </c>
      <c r="C4342" t="inlineStr">
        <is>
          <t>SUP-12</t>
        </is>
      </c>
      <c r="D4342" t="inlineStr">
        <is>
          <t>IT</t>
        </is>
      </c>
      <c r="E4342" t="inlineStr">
        <is>
          <t>IT-03</t>
        </is>
      </c>
      <c r="F4342" s="17" t="n">
        <v>46215</v>
      </c>
      <c r="G4342" s="17" t="n">
        <v>46225</v>
      </c>
      <c r="H4342" s="18" t="n">
        <v>18</v>
      </c>
      <c r="I4342" s="19" t="n">
        <v>42.97</v>
      </c>
      <c r="J4342" s="19" t="n">
        <v>38</v>
      </c>
      <c r="K4342" s="20" t="n">
        <v>0</v>
      </c>
      <c r="L4342" s="20" t="n">
        <v>0</v>
      </c>
      <c r="M4342" s="18" t="n">
        <v>18</v>
      </c>
      <c r="N4342" s="18" t="n">
        <v>18</v>
      </c>
      <c r="O4342" s="18" t="n">
        <v>0</v>
      </c>
      <c r="P4342" s="17" t="n">
        <v>46222</v>
      </c>
      <c r="Q4342" s="17" t="n">
        <v>46222</v>
      </c>
      <c r="R4342" s="17" t="n">
        <v>46222</v>
      </c>
      <c r="S4342" s="19">
        <f>H4342*I4342</f>
        <v/>
      </c>
      <c r="T4342" s="19">
        <f>H4342*J4342</f>
        <v/>
      </c>
      <c r="U4342">
        <f>IF(AND(K4342=0,G4342&lt;=Assumptions!$C$6),1,0)</f>
        <v/>
      </c>
      <c r="V4342">
        <f>IF(U4342=1,IF(M4342&gt;0,IF(P4342&lt;=G4342+Assumptions!$C$7,1,0),0),0)</f>
        <v/>
      </c>
      <c r="W4342">
        <f>IF(AND(U4342=1,M4342&gt;=H4342*(1-Assumptions!$C$8)),1,0)</f>
        <v/>
      </c>
      <c r="X4342">
        <f>IF(AND(U4342=1,N4342&gt;=H4342*(1-Assumptions!$C$8)),1,0)</f>
        <v/>
      </c>
      <c r="Y4342">
        <f>IF(ISNUMBER(Q4342),1,0)</f>
        <v/>
      </c>
      <c r="Z4342">
        <f>IF(AND(K4342=0,L4342=0,Y4342=0),1,0)</f>
        <v/>
      </c>
      <c r="AA4342">
        <f>IF(AND(Z4342=1,G4342&lt;Assumptions!$C$6),1,0)</f>
        <v/>
      </c>
      <c r="AB4342">
        <f>IF(U4342=0,"",IF(Y4342=1,MAX(0,Q4342-G4342),IF(L4342=1,MAX(0,R4342-G4342),MAX(0,Assumptions!$C$6-G4342))))</f>
        <v/>
      </c>
      <c r="AC4342">
        <f>IF(Y4342=1,Q4342-F4342,"")</f>
        <v/>
      </c>
      <c r="AD4342">
        <f>IF(Y4342=1,AC4342^2,"")</f>
        <v/>
      </c>
      <c r="AE4342" s="19">
        <f>IF(Z4342=1,(H4342-M4342)*I4342,0)</f>
        <v/>
      </c>
      <c r="AF4342">
        <f>IF(G4342&lt;EDATE(Assumptions!$C$6,-12)+1,"prior_12m","last_12m")</f>
        <v/>
      </c>
      <c r="AG4342" s="21">
        <f>DATE(YEAR(G4342),MONTH(G4342),1)</f>
        <v/>
      </c>
    </row>
    <row r="4343">
      <c r="A4343" t="inlineStr">
        <is>
          <t>SPO-02321-2</t>
        </is>
      </c>
      <c r="B4343" t="inlineStr">
        <is>
          <t>SPO-02321</t>
        </is>
      </c>
      <c r="C4343" t="inlineStr">
        <is>
          <t>SUP-12</t>
        </is>
      </c>
      <c r="D4343" t="inlineStr">
        <is>
          <t>IT</t>
        </is>
      </c>
      <c r="E4343" t="inlineStr">
        <is>
          <t>IT-05</t>
        </is>
      </c>
      <c r="F4343" s="17" t="n">
        <v>46215</v>
      </c>
      <c r="G4343" s="17" t="n">
        <v>46225</v>
      </c>
      <c r="H4343" s="18" t="n">
        <v>2</v>
      </c>
      <c r="I4343" s="19" t="n">
        <v>717.74</v>
      </c>
      <c r="J4343" s="19" t="n">
        <v>640</v>
      </c>
      <c r="K4343" s="20" t="n">
        <v>0</v>
      </c>
      <c r="L4343" s="20" t="n">
        <v>0</v>
      </c>
      <c r="M4343" s="18" t="n">
        <v>2</v>
      </c>
      <c r="N4343" s="18" t="n">
        <v>2</v>
      </c>
      <c r="O4343" s="18" t="n">
        <v>0</v>
      </c>
      <c r="P4343" s="17" t="n">
        <v>46223</v>
      </c>
      <c r="Q4343" s="17" t="n">
        <v>46223</v>
      </c>
      <c r="R4343" s="17" t="n">
        <v>46223</v>
      </c>
      <c r="S4343" s="19">
        <f>H4343*I4343</f>
        <v/>
      </c>
      <c r="T4343" s="19">
        <f>H4343*J4343</f>
        <v/>
      </c>
      <c r="U4343">
        <f>IF(AND(K4343=0,G4343&lt;=Assumptions!$C$6),1,0)</f>
        <v/>
      </c>
      <c r="V4343">
        <f>IF(U4343=1,IF(M4343&gt;0,IF(P4343&lt;=G4343+Assumptions!$C$7,1,0),0),0)</f>
        <v/>
      </c>
      <c r="W4343">
        <f>IF(AND(U4343=1,M4343&gt;=H4343*(1-Assumptions!$C$8)),1,0)</f>
        <v/>
      </c>
      <c r="X4343">
        <f>IF(AND(U4343=1,N4343&gt;=H4343*(1-Assumptions!$C$8)),1,0)</f>
        <v/>
      </c>
      <c r="Y4343">
        <f>IF(ISNUMBER(Q4343),1,0)</f>
        <v/>
      </c>
      <c r="Z4343">
        <f>IF(AND(K4343=0,L4343=0,Y4343=0),1,0)</f>
        <v/>
      </c>
      <c r="AA4343">
        <f>IF(AND(Z4343=1,G4343&lt;Assumptions!$C$6),1,0)</f>
        <v/>
      </c>
      <c r="AB4343">
        <f>IF(U4343=0,"",IF(Y4343=1,MAX(0,Q4343-G4343),IF(L4343=1,MAX(0,R4343-G4343),MAX(0,Assumptions!$C$6-G4343))))</f>
        <v/>
      </c>
      <c r="AC4343">
        <f>IF(Y4343=1,Q4343-F4343,"")</f>
        <v/>
      </c>
      <c r="AD4343">
        <f>IF(Y4343=1,AC4343^2,"")</f>
        <v/>
      </c>
      <c r="AE4343" s="19">
        <f>IF(Z4343=1,(H4343-M4343)*I4343,0)</f>
        <v/>
      </c>
      <c r="AF4343">
        <f>IF(G4343&lt;EDATE(Assumptions!$C$6,-12)+1,"prior_12m","last_12m")</f>
        <v/>
      </c>
      <c r="AG4343" s="21">
        <f>DATE(YEAR(G4343),MONTH(G4343),1)</f>
        <v/>
      </c>
    </row>
    <row r="4344">
      <c r="A4344" t="inlineStr">
        <is>
          <t>SPO-02322-1</t>
        </is>
      </c>
      <c r="B4344" t="inlineStr">
        <is>
          <t>SPO-02322</t>
        </is>
      </c>
      <c r="C4344" t="inlineStr">
        <is>
          <t>SUP-06</t>
        </is>
      </c>
      <c r="D4344" t="inlineStr">
        <is>
          <t>MRO</t>
        </is>
      </c>
      <c r="E4344" t="inlineStr">
        <is>
          <t>MRO-07</t>
        </is>
      </c>
      <c r="F4344" s="17" t="n">
        <v>46216</v>
      </c>
      <c r="G4344" s="17" t="n">
        <v>46224</v>
      </c>
      <c r="H4344" s="18" t="n">
        <v>120</v>
      </c>
      <c r="I4344" s="19" t="n">
        <v>14.21</v>
      </c>
      <c r="J4344" s="19" t="n">
        <v>14</v>
      </c>
      <c r="K4344" s="20" t="n">
        <v>0</v>
      </c>
      <c r="L4344" s="20" t="n">
        <v>0</v>
      </c>
      <c r="M4344" s="18" t="n">
        <v>120</v>
      </c>
      <c r="N4344" s="18" t="n">
        <v>120</v>
      </c>
      <c r="O4344" s="18" t="n">
        <v>0</v>
      </c>
      <c r="P4344" s="17" t="n">
        <v>46223</v>
      </c>
      <c r="Q4344" s="17" t="n">
        <v>46223</v>
      </c>
      <c r="R4344" s="17" t="n">
        <v>46223</v>
      </c>
      <c r="S4344" s="19">
        <f>H4344*I4344</f>
        <v/>
      </c>
      <c r="T4344" s="19">
        <f>H4344*J4344</f>
        <v/>
      </c>
      <c r="U4344">
        <f>IF(AND(K4344=0,G4344&lt;=Assumptions!$C$6),1,0)</f>
        <v/>
      </c>
      <c r="V4344">
        <f>IF(U4344=1,IF(M4344&gt;0,IF(P4344&lt;=G4344+Assumptions!$C$7,1,0),0),0)</f>
        <v/>
      </c>
      <c r="W4344">
        <f>IF(AND(U4344=1,M4344&gt;=H4344*(1-Assumptions!$C$8)),1,0)</f>
        <v/>
      </c>
      <c r="X4344">
        <f>IF(AND(U4344=1,N4344&gt;=H4344*(1-Assumptions!$C$8)),1,0)</f>
        <v/>
      </c>
      <c r="Y4344">
        <f>IF(ISNUMBER(Q4344),1,0)</f>
        <v/>
      </c>
      <c r="Z4344">
        <f>IF(AND(K4344=0,L4344=0,Y4344=0),1,0)</f>
        <v/>
      </c>
      <c r="AA4344">
        <f>IF(AND(Z4344=1,G4344&lt;Assumptions!$C$6),1,0)</f>
        <v/>
      </c>
      <c r="AB4344">
        <f>IF(U4344=0,"",IF(Y4344=1,MAX(0,Q4344-G4344),IF(L4344=1,MAX(0,R4344-G4344),MAX(0,Assumptions!$C$6-G4344))))</f>
        <v/>
      </c>
      <c r="AC4344">
        <f>IF(Y4344=1,Q4344-F4344,"")</f>
        <v/>
      </c>
      <c r="AD4344">
        <f>IF(Y4344=1,AC4344^2,"")</f>
        <v/>
      </c>
      <c r="AE4344" s="19">
        <f>IF(Z4344=1,(H4344-M4344)*I4344,0)</f>
        <v/>
      </c>
      <c r="AF4344">
        <f>IF(G4344&lt;EDATE(Assumptions!$C$6,-12)+1,"prior_12m","last_12m")</f>
        <v/>
      </c>
      <c r="AG4344" s="21">
        <f>DATE(YEAR(G4344),MONTH(G4344),1)</f>
        <v/>
      </c>
    </row>
    <row r="4345">
      <c r="A4345" t="inlineStr">
        <is>
          <t>SPO-02322-2</t>
        </is>
      </c>
      <c r="B4345" t="inlineStr">
        <is>
          <t>SPO-02322</t>
        </is>
      </c>
      <c r="C4345" t="inlineStr">
        <is>
          <t>SUP-06</t>
        </is>
      </c>
      <c r="D4345" t="inlineStr">
        <is>
          <t>MRO</t>
        </is>
      </c>
      <c r="E4345" t="inlineStr">
        <is>
          <t>MRO-06</t>
        </is>
      </c>
      <c r="F4345" s="17" t="n">
        <v>46216</v>
      </c>
      <c r="G4345" s="17" t="n">
        <v>46224</v>
      </c>
      <c r="H4345" s="18" t="n">
        <v>89</v>
      </c>
      <c r="I4345" s="19" t="n">
        <v>5.94</v>
      </c>
      <c r="J4345" s="19" t="n">
        <v>6.1</v>
      </c>
      <c r="K4345" s="20" t="n">
        <v>0</v>
      </c>
      <c r="L4345" s="20" t="n">
        <v>0</v>
      </c>
      <c r="M4345" s="18" t="n">
        <v>89</v>
      </c>
      <c r="N4345" s="18" t="n">
        <v>89</v>
      </c>
      <c r="O4345" s="18" t="n">
        <v>0</v>
      </c>
      <c r="P4345" s="17" t="n">
        <v>46221</v>
      </c>
      <c r="Q4345" s="17" t="n">
        <v>46221</v>
      </c>
      <c r="R4345" s="17" t="n">
        <v>46221</v>
      </c>
      <c r="S4345" s="19">
        <f>H4345*I4345</f>
        <v/>
      </c>
      <c r="T4345" s="19">
        <f>H4345*J4345</f>
        <v/>
      </c>
      <c r="U4345">
        <f>IF(AND(K4345=0,G4345&lt;=Assumptions!$C$6),1,0)</f>
        <v/>
      </c>
      <c r="V4345">
        <f>IF(U4345=1,IF(M4345&gt;0,IF(P4345&lt;=G4345+Assumptions!$C$7,1,0),0),0)</f>
        <v/>
      </c>
      <c r="W4345">
        <f>IF(AND(U4345=1,M4345&gt;=H4345*(1-Assumptions!$C$8)),1,0)</f>
        <v/>
      </c>
      <c r="X4345">
        <f>IF(AND(U4345=1,N4345&gt;=H4345*(1-Assumptions!$C$8)),1,0)</f>
        <v/>
      </c>
      <c r="Y4345">
        <f>IF(ISNUMBER(Q4345),1,0)</f>
        <v/>
      </c>
      <c r="Z4345">
        <f>IF(AND(K4345=0,L4345=0,Y4345=0),1,0)</f>
        <v/>
      </c>
      <c r="AA4345">
        <f>IF(AND(Z4345=1,G4345&lt;Assumptions!$C$6),1,0)</f>
        <v/>
      </c>
      <c r="AB4345">
        <f>IF(U4345=0,"",IF(Y4345=1,MAX(0,Q4345-G4345),IF(L4345=1,MAX(0,R4345-G4345),MAX(0,Assumptions!$C$6-G4345))))</f>
        <v/>
      </c>
      <c r="AC4345">
        <f>IF(Y4345=1,Q4345-F4345,"")</f>
        <v/>
      </c>
      <c r="AD4345">
        <f>IF(Y4345=1,AC4345^2,"")</f>
        <v/>
      </c>
      <c r="AE4345" s="19">
        <f>IF(Z4345=1,(H4345-M4345)*I4345,0)</f>
        <v/>
      </c>
      <c r="AF4345">
        <f>IF(G4345&lt;EDATE(Assumptions!$C$6,-12)+1,"prior_12m","last_12m")</f>
        <v/>
      </c>
      <c r="AG4345" s="21">
        <f>DATE(YEAR(G4345),MONTH(G4345),1)</f>
        <v/>
      </c>
    </row>
    <row r="4346">
      <c r="A4346" t="inlineStr">
        <is>
          <t>SPO-02323-1</t>
        </is>
      </c>
      <c r="B4346" t="inlineStr">
        <is>
          <t>SPO-02323</t>
        </is>
      </c>
      <c r="C4346" t="inlineStr">
        <is>
          <t>SUP-05</t>
        </is>
      </c>
      <c r="D4346" t="inlineStr">
        <is>
          <t>FLEET</t>
        </is>
      </c>
      <c r="E4346" t="inlineStr">
        <is>
          <t>FLEET-06</t>
        </is>
      </c>
      <c r="F4346" s="17" t="n">
        <v>46216</v>
      </c>
      <c r="G4346" s="17" t="n">
        <v>46230</v>
      </c>
      <c r="H4346" s="18" t="n">
        <v>81</v>
      </c>
      <c r="I4346" s="19" t="n">
        <v>32.78</v>
      </c>
      <c r="J4346" s="19" t="n">
        <v>33</v>
      </c>
      <c r="K4346" s="20" t="n">
        <v>0</v>
      </c>
      <c r="L4346" s="20" t="n">
        <v>0</v>
      </c>
      <c r="M4346" s="18" t="n">
        <v>81</v>
      </c>
      <c r="N4346" s="18" t="n">
        <v>81</v>
      </c>
      <c r="O4346" s="18" t="n">
        <v>0</v>
      </c>
      <c r="P4346" s="17" t="n">
        <v>46226</v>
      </c>
      <c r="Q4346" s="17" t="n">
        <v>46226</v>
      </c>
      <c r="R4346" s="17" t="n">
        <v>46226</v>
      </c>
      <c r="S4346" s="19">
        <f>H4346*I4346</f>
        <v/>
      </c>
      <c r="T4346" s="19">
        <f>H4346*J4346</f>
        <v/>
      </c>
      <c r="U4346">
        <f>IF(AND(K4346=0,G4346&lt;=Assumptions!$C$6),1,0)</f>
        <v/>
      </c>
      <c r="V4346">
        <f>IF(U4346=1,IF(M4346&gt;0,IF(P4346&lt;=G4346+Assumptions!$C$7,1,0),0),0)</f>
        <v/>
      </c>
      <c r="W4346">
        <f>IF(AND(U4346=1,M4346&gt;=H4346*(1-Assumptions!$C$8)),1,0)</f>
        <v/>
      </c>
      <c r="X4346">
        <f>IF(AND(U4346=1,N4346&gt;=H4346*(1-Assumptions!$C$8)),1,0)</f>
        <v/>
      </c>
      <c r="Y4346">
        <f>IF(ISNUMBER(Q4346),1,0)</f>
        <v/>
      </c>
      <c r="Z4346">
        <f>IF(AND(K4346=0,L4346=0,Y4346=0),1,0)</f>
        <v/>
      </c>
      <c r="AA4346">
        <f>IF(AND(Z4346=1,G4346&lt;Assumptions!$C$6),1,0)</f>
        <v/>
      </c>
      <c r="AB4346">
        <f>IF(U4346=0,"",IF(Y4346=1,MAX(0,Q4346-G4346),IF(L4346=1,MAX(0,R4346-G4346),MAX(0,Assumptions!$C$6-G4346))))</f>
        <v/>
      </c>
      <c r="AC4346">
        <f>IF(Y4346=1,Q4346-F4346,"")</f>
        <v/>
      </c>
      <c r="AD4346">
        <f>IF(Y4346=1,AC4346^2,"")</f>
        <v/>
      </c>
      <c r="AE4346" s="19">
        <f>IF(Z4346=1,(H4346-M4346)*I4346,0)</f>
        <v/>
      </c>
      <c r="AF4346">
        <f>IF(G4346&lt;EDATE(Assumptions!$C$6,-12)+1,"prior_12m","last_12m")</f>
        <v/>
      </c>
      <c r="AG4346" s="21">
        <f>DATE(YEAR(G4346),MONTH(G4346),1)</f>
        <v/>
      </c>
    </row>
    <row r="4347">
      <c r="A4347" t="inlineStr">
        <is>
          <t>SPO-02324-1</t>
        </is>
      </c>
      <c r="B4347" t="inlineStr">
        <is>
          <t>SPO-02324</t>
        </is>
      </c>
      <c r="C4347" t="inlineStr">
        <is>
          <t>SUP-12</t>
        </is>
      </c>
      <c r="D4347" t="inlineStr">
        <is>
          <t>IT</t>
        </is>
      </c>
      <c r="E4347" t="inlineStr">
        <is>
          <t>IT-04</t>
        </is>
      </c>
      <c r="F4347" s="17" t="n">
        <v>46216</v>
      </c>
      <c r="G4347" s="17" t="n">
        <v>46226</v>
      </c>
      <c r="H4347" s="18" t="n">
        <v>114</v>
      </c>
      <c r="I4347" s="19" t="n">
        <v>13.67</v>
      </c>
      <c r="J4347" s="19" t="n">
        <v>12</v>
      </c>
      <c r="K4347" s="20" t="n">
        <v>0</v>
      </c>
      <c r="L4347" s="20" t="n">
        <v>0</v>
      </c>
      <c r="M4347" s="18" t="n">
        <v>114</v>
      </c>
      <c r="N4347" s="18" t="n">
        <v>114</v>
      </c>
      <c r="O4347" s="18" t="n">
        <v>0</v>
      </c>
      <c r="P4347" s="17" t="n">
        <v>46221</v>
      </c>
      <c r="Q4347" s="17" t="n">
        <v>46221</v>
      </c>
      <c r="R4347" s="17" t="n">
        <v>46221</v>
      </c>
      <c r="S4347" s="19">
        <f>H4347*I4347</f>
        <v/>
      </c>
      <c r="T4347" s="19">
        <f>H4347*J4347</f>
        <v/>
      </c>
      <c r="U4347">
        <f>IF(AND(K4347=0,G4347&lt;=Assumptions!$C$6),1,0)</f>
        <v/>
      </c>
      <c r="V4347">
        <f>IF(U4347=1,IF(M4347&gt;0,IF(P4347&lt;=G4347+Assumptions!$C$7,1,0),0),0)</f>
        <v/>
      </c>
      <c r="W4347">
        <f>IF(AND(U4347=1,M4347&gt;=H4347*(1-Assumptions!$C$8)),1,0)</f>
        <v/>
      </c>
      <c r="X4347">
        <f>IF(AND(U4347=1,N4347&gt;=H4347*(1-Assumptions!$C$8)),1,0)</f>
        <v/>
      </c>
      <c r="Y4347">
        <f>IF(ISNUMBER(Q4347),1,0)</f>
        <v/>
      </c>
      <c r="Z4347">
        <f>IF(AND(K4347=0,L4347=0,Y4347=0),1,0)</f>
        <v/>
      </c>
      <c r="AA4347">
        <f>IF(AND(Z4347=1,G4347&lt;Assumptions!$C$6),1,0)</f>
        <v/>
      </c>
      <c r="AB4347">
        <f>IF(U4347=0,"",IF(Y4347=1,MAX(0,Q4347-G4347),IF(L4347=1,MAX(0,R4347-G4347),MAX(0,Assumptions!$C$6-G4347))))</f>
        <v/>
      </c>
      <c r="AC4347">
        <f>IF(Y4347=1,Q4347-F4347,"")</f>
        <v/>
      </c>
      <c r="AD4347">
        <f>IF(Y4347=1,AC4347^2,"")</f>
        <v/>
      </c>
      <c r="AE4347" s="19">
        <f>IF(Z4347=1,(H4347-M4347)*I4347,0)</f>
        <v/>
      </c>
      <c r="AF4347">
        <f>IF(G4347&lt;EDATE(Assumptions!$C$6,-12)+1,"prior_12m","last_12m")</f>
        <v/>
      </c>
      <c r="AG4347" s="21">
        <f>DATE(YEAR(G4347),MONTH(G4347),1)</f>
        <v/>
      </c>
    </row>
    <row r="4348">
      <c r="A4348" t="inlineStr">
        <is>
          <t>SPO-02325-1</t>
        </is>
      </c>
      <c r="B4348" t="inlineStr">
        <is>
          <t>SPO-02325</t>
        </is>
      </c>
      <c r="C4348" t="inlineStr">
        <is>
          <t>SUP-06</t>
        </is>
      </c>
      <c r="D4348" t="inlineStr">
        <is>
          <t>MRO</t>
        </is>
      </c>
      <c r="E4348" t="inlineStr">
        <is>
          <t>MRO-07</t>
        </is>
      </c>
      <c r="F4348" s="17" t="n">
        <v>46217</v>
      </c>
      <c r="G4348" s="17" t="n">
        <v>46225</v>
      </c>
      <c r="H4348" s="18" t="n">
        <v>176</v>
      </c>
      <c r="I4348" s="19" t="n">
        <v>13.92</v>
      </c>
      <c r="J4348" s="19" t="n">
        <v>14</v>
      </c>
      <c r="K4348" s="20" t="n">
        <v>0</v>
      </c>
      <c r="L4348" s="20" t="n">
        <v>0</v>
      </c>
      <c r="M4348" s="18" t="n">
        <v>176</v>
      </c>
      <c r="N4348" s="18" t="n">
        <v>176</v>
      </c>
      <c r="O4348" s="18" t="n">
        <v>0</v>
      </c>
      <c r="P4348" s="17" t="n">
        <v>46224</v>
      </c>
      <c r="Q4348" s="17" t="n">
        <v>46224</v>
      </c>
      <c r="R4348" s="17" t="n">
        <v>46224</v>
      </c>
      <c r="S4348" s="19">
        <f>H4348*I4348</f>
        <v/>
      </c>
      <c r="T4348" s="19">
        <f>H4348*J4348</f>
        <v/>
      </c>
      <c r="U4348">
        <f>IF(AND(K4348=0,G4348&lt;=Assumptions!$C$6),1,0)</f>
        <v/>
      </c>
      <c r="V4348">
        <f>IF(U4348=1,IF(M4348&gt;0,IF(P4348&lt;=G4348+Assumptions!$C$7,1,0),0),0)</f>
        <v/>
      </c>
      <c r="W4348">
        <f>IF(AND(U4348=1,M4348&gt;=H4348*(1-Assumptions!$C$8)),1,0)</f>
        <v/>
      </c>
      <c r="X4348">
        <f>IF(AND(U4348=1,N4348&gt;=H4348*(1-Assumptions!$C$8)),1,0)</f>
        <v/>
      </c>
      <c r="Y4348">
        <f>IF(ISNUMBER(Q4348),1,0)</f>
        <v/>
      </c>
      <c r="Z4348">
        <f>IF(AND(K4348=0,L4348=0,Y4348=0),1,0)</f>
        <v/>
      </c>
      <c r="AA4348">
        <f>IF(AND(Z4348=1,G4348&lt;Assumptions!$C$6),1,0)</f>
        <v/>
      </c>
      <c r="AB4348">
        <f>IF(U4348=0,"",IF(Y4348=1,MAX(0,Q4348-G4348),IF(L4348=1,MAX(0,R4348-G4348),MAX(0,Assumptions!$C$6-G4348))))</f>
        <v/>
      </c>
      <c r="AC4348">
        <f>IF(Y4348=1,Q4348-F4348,"")</f>
        <v/>
      </c>
      <c r="AD4348">
        <f>IF(Y4348=1,AC4348^2,"")</f>
        <v/>
      </c>
      <c r="AE4348" s="19">
        <f>IF(Z4348=1,(H4348-M4348)*I4348,0)</f>
        <v/>
      </c>
      <c r="AF4348">
        <f>IF(G4348&lt;EDATE(Assumptions!$C$6,-12)+1,"prior_12m","last_12m")</f>
        <v/>
      </c>
      <c r="AG4348" s="21">
        <f>DATE(YEAR(G4348),MONTH(G4348),1)</f>
        <v/>
      </c>
    </row>
    <row r="4349">
      <c r="A4349" t="inlineStr">
        <is>
          <t>SPO-02326-1</t>
        </is>
      </c>
      <c r="B4349" t="inlineStr">
        <is>
          <t>SPO-02326</t>
        </is>
      </c>
      <c r="C4349" t="inlineStr">
        <is>
          <t>SUP-07</t>
        </is>
      </c>
      <c r="D4349" t="inlineStr">
        <is>
          <t>MRO</t>
        </is>
      </c>
      <c r="E4349" t="inlineStr">
        <is>
          <t>MRO-07</t>
        </is>
      </c>
      <c r="F4349" s="17" t="n">
        <v>46218</v>
      </c>
      <c r="G4349" s="17" t="n">
        <v>46228</v>
      </c>
      <c r="H4349" s="18" t="n">
        <v>63</v>
      </c>
      <c r="I4349" s="19" t="n">
        <v>13.84</v>
      </c>
      <c r="J4349" s="19" t="n">
        <v>14</v>
      </c>
      <c r="K4349" s="20" t="n">
        <v>0</v>
      </c>
      <c r="L4349" s="20" t="n">
        <v>0</v>
      </c>
      <c r="M4349" s="18" t="n">
        <v>63</v>
      </c>
      <c r="N4349" s="18" t="n">
        <v>63</v>
      </c>
      <c r="O4349" s="18" t="n">
        <v>0</v>
      </c>
      <c r="P4349" s="17" t="n">
        <v>46224</v>
      </c>
      <c r="Q4349" s="17" t="n">
        <v>46224</v>
      </c>
      <c r="R4349" s="17" t="n">
        <v>46224</v>
      </c>
      <c r="S4349" s="19">
        <f>H4349*I4349</f>
        <v/>
      </c>
      <c r="T4349" s="19">
        <f>H4349*J4349</f>
        <v/>
      </c>
      <c r="U4349">
        <f>IF(AND(K4349=0,G4349&lt;=Assumptions!$C$6),1,0)</f>
        <v/>
      </c>
      <c r="V4349">
        <f>IF(U4349=1,IF(M4349&gt;0,IF(P4349&lt;=G4349+Assumptions!$C$7,1,0),0),0)</f>
        <v/>
      </c>
      <c r="W4349">
        <f>IF(AND(U4349=1,M4349&gt;=H4349*(1-Assumptions!$C$8)),1,0)</f>
        <v/>
      </c>
      <c r="X4349">
        <f>IF(AND(U4349=1,N4349&gt;=H4349*(1-Assumptions!$C$8)),1,0)</f>
        <v/>
      </c>
      <c r="Y4349">
        <f>IF(ISNUMBER(Q4349),1,0)</f>
        <v/>
      </c>
      <c r="Z4349">
        <f>IF(AND(K4349=0,L4349=0,Y4349=0),1,0)</f>
        <v/>
      </c>
      <c r="AA4349">
        <f>IF(AND(Z4349=1,G4349&lt;Assumptions!$C$6),1,0)</f>
        <v/>
      </c>
      <c r="AB4349">
        <f>IF(U4349=0,"",IF(Y4349=1,MAX(0,Q4349-G4349),IF(L4349=1,MAX(0,R4349-G4349),MAX(0,Assumptions!$C$6-G4349))))</f>
        <v/>
      </c>
      <c r="AC4349">
        <f>IF(Y4349=1,Q4349-F4349,"")</f>
        <v/>
      </c>
      <c r="AD4349">
        <f>IF(Y4349=1,AC4349^2,"")</f>
        <v/>
      </c>
      <c r="AE4349" s="19">
        <f>IF(Z4349=1,(H4349-M4349)*I4349,0)</f>
        <v/>
      </c>
      <c r="AF4349">
        <f>IF(G4349&lt;EDATE(Assumptions!$C$6,-12)+1,"prior_12m","last_12m")</f>
        <v/>
      </c>
      <c r="AG4349" s="21">
        <f>DATE(YEAR(G4349),MONTH(G4349),1)</f>
        <v/>
      </c>
    </row>
    <row r="4350">
      <c r="A4350" t="inlineStr">
        <is>
          <t>SPO-02326-2</t>
        </is>
      </c>
      <c r="B4350" t="inlineStr">
        <is>
          <t>SPO-02326</t>
        </is>
      </c>
      <c r="C4350" t="inlineStr">
        <is>
          <t>SUP-07</t>
        </is>
      </c>
      <c r="D4350" t="inlineStr">
        <is>
          <t>MRO</t>
        </is>
      </c>
      <c r="E4350" t="inlineStr">
        <is>
          <t>MRO-06</t>
        </is>
      </c>
      <c r="F4350" s="17" t="n">
        <v>46218</v>
      </c>
      <c r="G4350" s="17" t="n">
        <v>46228</v>
      </c>
      <c r="H4350" s="18" t="n">
        <v>290</v>
      </c>
      <c r="I4350" s="19" t="n">
        <v>5.75</v>
      </c>
      <c r="J4350" s="19" t="n">
        <v>6.1</v>
      </c>
      <c r="K4350" s="20" t="n">
        <v>0</v>
      </c>
      <c r="L4350" s="20" t="n">
        <v>0</v>
      </c>
      <c r="M4350" s="18" t="n">
        <v>290</v>
      </c>
      <c r="N4350" s="18" t="n">
        <v>290</v>
      </c>
      <c r="O4350" s="18" t="n">
        <v>0</v>
      </c>
      <c r="P4350" s="17" t="n">
        <v>46226</v>
      </c>
      <c r="Q4350" s="17" t="n">
        <v>46226</v>
      </c>
      <c r="R4350" s="17" t="n">
        <v>46226</v>
      </c>
      <c r="S4350" s="19">
        <f>H4350*I4350</f>
        <v/>
      </c>
      <c r="T4350" s="19">
        <f>H4350*J4350</f>
        <v/>
      </c>
      <c r="U4350">
        <f>IF(AND(K4350=0,G4350&lt;=Assumptions!$C$6),1,0)</f>
        <v/>
      </c>
      <c r="V4350">
        <f>IF(U4350=1,IF(M4350&gt;0,IF(P4350&lt;=G4350+Assumptions!$C$7,1,0),0),0)</f>
        <v/>
      </c>
      <c r="W4350">
        <f>IF(AND(U4350=1,M4350&gt;=H4350*(1-Assumptions!$C$8)),1,0)</f>
        <v/>
      </c>
      <c r="X4350">
        <f>IF(AND(U4350=1,N4350&gt;=H4350*(1-Assumptions!$C$8)),1,0)</f>
        <v/>
      </c>
      <c r="Y4350">
        <f>IF(ISNUMBER(Q4350),1,0)</f>
        <v/>
      </c>
      <c r="Z4350">
        <f>IF(AND(K4350=0,L4350=0,Y4350=0),1,0)</f>
        <v/>
      </c>
      <c r="AA4350">
        <f>IF(AND(Z4350=1,G4350&lt;Assumptions!$C$6),1,0)</f>
        <v/>
      </c>
      <c r="AB4350">
        <f>IF(U4350=0,"",IF(Y4350=1,MAX(0,Q4350-G4350),IF(L4350=1,MAX(0,R4350-G4350),MAX(0,Assumptions!$C$6-G4350))))</f>
        <v/>
      </c>
      <c r="AC4350">
        <f>IF(Y4350=1,Q4350-F4350,"")</f>
        <v/>
      </c>
      <c r="AD4350">
        <f>IF(Y4350=1,AC4350^2,"")</f>
        <v/>
      </c>
      <c r="AE4350" s="19">
        <f>IF(Z4350=1,(H4350-M4350)*I4350,0)</f>
        <v/>
      </c>
      <c r="AF4350">
        <f>IF(G4350&lt;EDATE(Assumptions!$C$6,-12)+1,"prior_12m","last_12m")</f>
        <v/>
      </c>
      <c r="AG4350" s="21">
        <f>DATE(YEAR(G4350),MONTH(G4350),1)</f>
        <v/>
      </c>
    </row>
    <row r="4351">
      <c r="A4351" t="inlineStr">
        <is>
          <t>SPO-02327-1</t>
        </is>
      </c>
      <c r="B4351" t="inlineStr">
        <is>
          <t>SPO-02327</t>
        </is>
      </c>
      <c r="C4351" t="inlineStr">
        <is>
          <t>SUP-09</t>
        </is>
      </c>
      <c r="D4351" t="inlineStr">
        <is>
          <t>CHEM</t>
        </is>
      </c>
      <c r="E4351" t="inlineStr">
        <is>
          <t>CHEM-06</t>
        </is>
      </c>
      <c r="F4351" s="17" t="n">
        <v>46218</v>
      </c>
      <c r="G4351" s="17" t="n">
        <v>46232</v>
      </c>
      <c r="H4351" s="18" t="n">
        <v>9</v>
      </c>
      <c r="I4351" s="19" t="n">
        <v>413.08</v>
      </c>
      <c r="J4351" s="19" t="n">
        <v>380</v>
      </c>
      <c r="K4351" s="20" t="n">
        <v>0</v>
      </c>
      <c r="L4351" s="20" t="n">
        <v>0</v>
      </c>
      <c r="M4351" s="18" t="n">
        <v>9</v>
      </c>
      <c r="N4351" s="18" t="n">
        <v>9</v>
      </c>
      <c r="O4351" s="18" t="n">
        <v>0</v>
      </c>
      <c r="P4351" s="17" t="n">
        <v>46227</v>
      </c>
      <c r="Q4351" s="17" t="n">
        <v>46227</v>
      </c>
      <c r="R4351" s="17" t="n">
        <v>46227</v>
      </c>
      <c r="S4351" s="19">
        <f>H4351*I4351</f>
        <v/>
      </c>
      <c r="T4351" s="19">
        <f>H4351*J4351</f>
        <v/>
      </c>
      <c r="U4351">
        <f>IF(AND(K4351=0,G4351&lt;=Assumptions!$C$6),1,0)</f>
        <v/>
      </c>
      <c r="V4351">
        <f>IF(U4351=1,IF(M4351&gt;0,IF(P4351&lt;=G4351+Assumptions!$C$7,1,0),0),0)</f>
        <v/>
      </c>
      <c r="W4351">
        <f>IF(AND(U4351=1,M4351&gt;=H4351*(1-Assumptions!$C$8)),1,0)</f>
        <v/>
      </c>
      <c r="X4351">
        <f>IF(AND(U4351=1,N4351&gt;=H4351*(1-Assumptions!$C$8)),1,0)</f>
        <v/>
      </c>
      <c r="Y4351">
        <f>IF(ISNUMBER(Q4351),1,0)</f>
        <v/>
      </c>
      <c r="Z4351">
        <f>IF(AND(K4351=0,L4351=0,Y4351=0),1,0)</f>
        <v/>
      </c>
      <c r="AA4351">
        <f>IF(AND(Z4351=1,G4351&lt;Assumptions!$C$6),1,0)</f>
        <v/>
      </c>
      <c r="AB4351">
        <f>IF(U4351=0,"",IF(Y4351=1,MAX(0,Q4351-G4351),IF(L4351=1,MAX(0,R4351-G4351),MAX(0,Assumptions!$C$6-G4351))))</f>
        <v/>
      </c>
      <c r="AC4351">
        <f>IF(Y4351=1,Q4351-F4351,"")</f>
        <v/>
      </c>
      <c r="AD4351">
        <f>IF(Y4351=1,AC4351^2,"")</f>
        <v/>
      </c>
      <c r="AE4351" s="19">
        <f>IF(Z4351=1,(H4351-M4351)*I4351,0)</f>
        <v/>
      </c>
      <c r="AF4351">
        <f>IF(G4351&lt;EDATE(Assumptions!$C$6,-12)+1,"prior_12m","last_12m")</f>
        <v/>
      </c>
      <c r="AG4351" s="21">
        <f>DATE(YEAR(G4351),MONTH(G4351),1)</f>
        <v/>
      </c>
    </row>
    <row r="4352">
      <c r="A4352" t="inlineStr">
        <is>
          <t>SPO-02328-1</t>
        </is>
      </c>
      <c r="B4352" t="inlineStr">
        <is>
          <t>SPO-02328</t>
        </is>
      </c>
      <c r="C4352" t="inlineStr">
        <is>
          <t>SUP-05</t>
        </is>
      </c>
      <c r="D4352" t="inlineStr">
        <is>
          <t>FLEET</t>
        </is>
      </c>
      <c r="E4352" t="inlineStr">
        <is>
          <t>FLEET-06</t>
        </is>
      </c>
      <c r="F4352" s="17" t="n">
        <v>46218</v>
      </c>
      <c r="G4352" s="17" t="n">
        <v>46232</v>
      </c>
      <c r="H4352" s="18" t="n">
        <v>71</v>
      </c>
      <c r="I4352" s="19" t="n">
        <v>34.73</v>
      </c>
      <c r="J4352" s="19" t="n">
        <v>33</v>
      </c>
      <c r="K4352" s="20" t="n">
        <v>0</v>
      </c>
      <c r="L4352" s="20" t="n">
        <v>0</v>
      </c>
      <c r="M4352" s="18" t="n">
        <v>71</v>
      </c>
      <c r="N4352" s="18" t="n">
        <v>0</v>
      </c>
      <c r="O4352" s="18" t="n">
        <v>0</v>
      </c>
      <c r="P4352" s="17" t="n">
        <v>46233</v>
      </c>
      <c r="Q4352" s="17" t="n">
        <v>46233</v>
      </c>
      <c r="R4352" s="17" t="n">
        <v>46233</v>
      </c>
      <c r="S4352" s="19">
        <f>H4352*I4352</f>
        <v/>
      </c>
      <c r="T4352" s="19">
        <f>H4352*J4352</f>
        <v/>
      </c>
      <c r="U4352">
        <f>IF(AND(K4352=0,G4352&lt;=Assumptions!$C$6),1,0)</f>
        <v/>
      </c>
      <c r="V4352">
        <f>IF(U4352=1,IF(M4352&gt;0,IF(P4352&lt;=G4352+Assumptions!$C$7,1,0),0),0)</f>
        <v/>
      </c>
      <c r="W4352">
        <f>IF(AND(U4352=1,M4352&gt;=H4352*(1-Assumptions!$C$8)),1,0)</f>
        <v/>
      </c>
      <c r="X4352">
        <f>IF(AND(U4352=1,N4352&gt;=H4352*(1-Assumptions!$C$8)),1,0)</f>
        <v/>
      </c>
      <c r="Y4352">
        <f>IF(ISNUMBER(Q4352),1,0)</f>
        <v/>
      </c>
      <c r="Z4352">
        <f>IF(AND(K4352=0,L4352=0,Y4352=0),1,0)</f>
        <v/>
      </c>
      <c r="AA4352">
        <f>IF(AND(Z4352=1,G4352&lt;Assumptions!$C$6),1,0)</f>
        <v/>
      </c>
      <c r="AB4352">
        <f>IF(U4352=0,"",IF(Y4352=1,MAX(0,Q4352-G4352),IF(L4352=1,MAX(0,R4352-G4352),MAX(0,Assumptions!$C$6-G4352))))</f>
        <v/>
      </c>
      <c r="AC4352">
        <f>IF(Y4352=1,Q4352-F4352,"")</f>
        <v/>
      </c>
      <c r="AD4352">
        <f>IF(Y4352=1,AC4352^2,"")</f>
        <v/>
      </c>
      <c r="AE4352" s="19">
        <f>IF(Z4352=1,(H4352-M4352)*I4352,0)</f>
        <v/>
      </c>
      <c r="AF4352">
        <f>IF(G4352&lt;EDATE(Assumptions!$C$6,-12)+1,"prior_12m","last_12m")</f>
        <v/>
      </c>
      <c r="AG4352" s="21">
        <f>DATE(YEAR(G4352),MONTH(G4352),1)</f>
        <v/>
      </c>
    </row>
    <row r="4353">
      <c r="A4353" t="inlineStr">
        <is>
          <t>SPO-02328-2</t>
        </is>
      </c>
      <c r="B4353" t="inlineStr">
        <is>
          <t>SPO-02328</t>
        </is>
      </c>
      <c r="C4353" t="inlineStr">
        <is>
          <t>SUP-05</t>
        </is>
      </c>
      <c r="D4353" t="inlineStr">
        <is>
          <t>FLEET</t>
        </is>
      </c>
      <c r="E4353" t="inlineStr">
        <is>
          <t>FLEET-01</t>
        </is>
      </c>
      <c r="F4353" s="17" t="n">
        <v>46218</v>
      </c>
      <c r="G4353" s="17" t="n">
        <v>46232</v>
      </c>
      <c r="H4353" s="18" t="n">
        <v>19</v>
      </c>
      <c r="I4353" s="19" t="n">
        <v>64.40000000000001</v>
      </c>
      <c r="J4353" s="19" t="n">
        <v>64</v>
      </c>
      <c r="K4353" s="20" t="n">
        <v>0</v>
      </c>
      <c r="L4353" s="20" t="n">
        <v>0</v>
      </c>
      <c r="M4353" s="18" t="n">
        <v>19</v>
      </c>
      <c r="N4353" s="18" t="n">
        <v>19</v>
      </c>
      <c r="O4353" s="18" t="n">
        <v>0</v>
      </c>
      <c r="P4353" s="17" t="n">
        <v>46229</v>
      </c>
      <c r="Q4353" s="17" t="n">
        <v>46229</v>
      </c>
      <c r="R4353" s="17" t="n">
        <v>46229</v>
      </c>
      <c r="S4353" s="19">
        <f>H4353*I4353</f>
        <v/>
      </c>
      <c r="T4353" s="19">
        <f>H4353*J4353</f>
        <v/>
      </c>
      <c r="U4353">
        <f>IF(AND(K4353=0,G4353&lt;=Assumptions!$C$6),1,0)</f>
        <v/>
      </c>
      <c r="V4353">
        <f>IF(U4353=1,IF(M4353&gt;0,IF(P4353&lt;=G4353+Assumptions!$C$7,1,0),0),0)</f>
        <v/>
      </c>
      <c r="W4353">
        <f>IF(AND(U4353=1,M4353&gt;=H4353*(1-Assumptions!$C$8)),1,0)</f>
        <v/>
      </c>
      <c r="X4353">
        <f>IF(AND(U4353=1,N4353&gt;=H4353*(1-Assumptions!$C$8)),1,0)</f>
        <v/>
      </c>
      <c r="Y4353">
        <f>IF(ISNUMBER(Q4353),1,0)</f>
        <v/>
      </c>
      <c r="Z4353">
        <f>IF(AND(K4353=0,L4353=0,Y4353=0),1,0)</f>
        <v/>
      </c>
      <c r="AA4353">
        <f>IF(AND(Z4353=1,G4353&lt;Assumptions!$C$6),1,0)</f>
        <v/>
      </c>
      <c r="AB4353">
        <f>IF(U4353=0,"",IF(Y4353=1,MAX(0,Q4353-G4353),IF(L4353=1,MAX(0,R4353-G4353),MAX(0,Assumptions!$C$6-G4353))))</f>
        <v/>
      </c>
      <c r="AC4353">
        <f>IF(Y4353=1,Q4353-F4353,"")</f>
        <v/>
      </c>
      <c r="AD4353">
        <f>IF(Y4353=1,AC4353^2,"")</f>
        <v/>
      </c>
      <c r="AE4353" s="19">
        <f>IF(Z4353=1,(H4353-M4353)*I4353,0)</f>
        <v/>
      </c>
      <c r="AF4353">
        <f>IF(G4353&lt;EDATE(Assumptions!$C$6,-12)+1,"prior_12m","last_12m")</f>
        <v/>
      </c>
      <c r="AG4353" s="21">
        <f>DATE(YEAR(G4353),MONTH(G4353),1)</f>
        <v/>
      </c>
    </row>
    <row r="4354">
      <c r="A4354" t="inlineStr">
        <is>
          <t>SPO-02329-1</t>
        </is>
      </c>
      <c r="B4354" t="inlineStr">
        <is>
          <t>SPO-02329</t>
        </is>
      </c>
      <c r="C4354" t="inlineStr">
        <is>
          <t>SUP-07</t>
        </is>
      </c>
      <c r="D4354" t="inlineStr">
        <is>
          <t>MRO</t>
        </is>
      </c>
      <c r="E4354" t="inlineStr">
        <is>
          <t>MRO-06</t>
        </is>
      </c>
      <c r="F4354" s="17" t="n">
        <v>46219</v>
      </c>
      <c r="G4354" s="17" t="n">
        <v>46229</v>
      </c>
      <c r="H4354" s="18" t="n">
        <v>262</v>
      </c>
      <c r="I4354" s="19" t="n">
        <v>6.02</v>
      </c>
      <c r="J4354" s="19" t="n">
        <v>6.1</v>
      </c>
      <c r="K4354" s="20" t="n">
        <v>0</v>
      </c>
      <c r="L4354" s="20" t="n">
        <v>0</v>
      </c>
      <c r="M4354" s="18" t="n">
        <v>262</v>
      </c>
      <c r="N4354" s="18" t="n">
        <v>0</v>
      </c>
      <c r="O4354" s="18" t="n">
        <v>0</v>
      </c>
      <c r="P4354" s="17" t="n">
        <v>46230</v>
      </c>
      <c r="Q4354" s="17" t="n">
        <v>46230</v>
      </c>
      <c r="R4354" s="17" t="n">
        <v>46230</v>
      </c>
      <c r="S4354" s="19">
        <f>H4354*I4354</f>
        <v/>
      </c>
      <c r="T4354" s="19">
        <f>H4354*J4354</f>
        <v/>
      </c>
      <c r="U4354">
        <f>IF(AND(K4354=0,G4354&lt;=Assumptions!$C$6),1,0)</f>
        <v/>
      </c>
      <c r="V4354">
        <f>IF(U4354=1,IF(M4354&gt;0,IF(P4354&lt;=G4354+Assumptions!$C$7,1,0),0),0)</f>
        <v/>
      </c>
      <c r="W4354">
        <f>IF(AND(U4354=1,M4354&gt;=H4354*(1-Assumptions!$C$8)),1,0)</f>
        <v/>
      </c>
      <c r="X4354">
        <f>IF(AND(U4354=1,N4354&gt;=H4354*(1-Assumptions!$C$8)),1,0)</f>
        <v/>
      </c>
      <c r="Y4354">
        <f>IF(ISNUMBER(Q4354),1,0)</f>
        <v/>
      </c>
      <c r="Z4354">
        <f>IF(AND(K4354=0,L4354=0,Y4354=0),1,0)</f>
        <v/>
      </c>
      <c r="AA4354">
        <f>IF(AND(Z4354=1,G4354&lt;Assumptions!$C$6),1,0)</f>
        <v/>
      </c>
      <c r="AB4354">
        <f>IF(U4354=0,"",IF(Y4354=1,MAX(0,Q4354-G4354),IF(L4354=1,MAX(0,R4354-G4354),MAX(0,Assumptions!$C$6-G4354))))</f>
        <v/>
      </c>
      <c r="AC4354">
        <f>IF(Y4354=1,Q4354-F4354,"")</f>
        <v/>
      </c>
      <c r="AD4354">
        <f>IF(Y4354=1,AC4354^2,"")</f>
        <v/>
      </c>
      <c r="AE4354" s="19">
        <f>IF(Z4354=1,(H4354-M4354)*I4354,0)</f>
        <v/>
      </c>
      <c r="AF4354">
        <f>IF(G4354&lt;EDATE(Assumptions!$C$6,-12)+1,"prior_12m","last_12m")</f>
        <v/>
      </c>
      <c r="AG4354" s="21">
        <f>DATE(YEAR(G4354),MONTH(G4354),1)</f>
        <v/>
      </c>
    </row>
    <row r="4355">
      <c r="A4355" t="inlineStr">
        <is>
          <t>SPO-02330-1</t>
        </is>
      </c>
      <c r="B4355" t="inlineStr">
        <is>
          <t>SPO-02330</t>
        </is>
      </c>
      <c r="C4355" t="inlineStr">
        <is>
          <t>SUP-06</t>
        </is>
      </c>
      <c r="D4355" t="inlineStr">
        <is>
          <t>MRO</t>
        </is>
      </c>
      <c r="E4355" t="inlineStr">
        <is>
          <t>MRO-03</t>
        </is>
      </c>
      <c r="F4355" s="17" t="n">
        <v>46219</v>
      </c>
      <c r="G4355" s="17" t="n">
        <v>46227</v>
      </c>
      <c r="H4355" s="18" t="n">
        <v>96</v>
      </c>
      <c r="I4355" s="19" t="n">
        <v>8.93</v>
      </c>
      <c r="J4355" s="19" t="n">
        <v>8.9</v>
      </c>
      <c r="K4355" s="20" t="n">
        <v>0</v>
      </c>
      <c r="L4355" s="20" t="n">
        <v>0</v>
      </c>
      <c r="M4355" s="18" t="n">
        <v>96</v>
      </c>
      <c r="N4355" s="18" t="n">
        <v>96</v>
      </c>
      <c r="O4355" s="18" t="n">
        <v>0</v>
      </c>
      <c r="P4355" s="17" t="n">
        <v>46226</v>
      </c>
      <c r="Q4355" s="17" t="n">
        <v>46226</v>
      </c>
      <c r="R4355" s="17" t="n">
        <v>46226</v>
      </c>
      <c r="S4355" s="19">
        <f>H4355*I4355</f>
        <v/>
      </c>
      <c r="T4355" s="19">
        <f>H4355*J4355</f>
        <v/>
      </c>
      <c r="U4355">
        <f>IF(AND(K4355=0,G4355&lt;=Assumptions!$C$6),1,0)</f>
        <v/>
      </c>
      <c r="V4355">
        <f>IF(U4355=1,IF(M4355&gt;0,IF(P4355&lt;=G4355+Assumptions!$C$7,1,0),0),0)</f>
        <v/>
      </c>
      <c r="W4355">
        <f>IF(AND(U4355=1,M4355&gt;=H4355*(1-Assumptions!$C$8)),1,0)</f>
        <v/>
      </c>
      <c r="X4355">
        <f>IF(AND(U4355=1,N4355&gt;=H4355*(1-Assumptions!$C$8)),1,0)</f>
        <v/>
      </c>
      <c r="Y4355">
        <f>IF(ISNUMBER(Q4355),1,0)</f>
        <v/>
      </c>
      <c r="Z4355">
        <f>IF(AND(K4355=0,L4355=0,Y4355=0),1,0)</f>
        <v/>
      </c>
      <c r="AA4355">
        <f>IF(AND(Z4355=1,G4355&lt;Assumptions!$C$6),1,0)</f>
        <v/>
      </c>
      <c r="AB4355">
        <f>IF(U4355=0,"",IF(Y4355=1,MAX(0,Q4355-G4355),IF(L4355=1,MAX(0,R4355-G4355),MAX(0,Assumptions!$C$6-G4355))))</f>
        <v/>
      </c>
      <c r="AC4355">
        <f>IF(Y4355=1,Q4355-F4355,"")</f>
        <v/>
      </c>
      <c r="AD4355">
        <f>IF(Y4355=1,AC4355^2,"")</f>
        <v/>
      </c>
      <c r="AE4355" s="19">
        <f>IF(Z4355=1,(H4355-M4355)*I4355,0)</f>
        <v/>
      </c>
      <c r="AF4355">
        <f>IF(G4355&lt;EDATE(Assumptions!$C$6,-12)+1,"prior_12m","last_12m")</f>
        <v/>
      </c>
      <c r="AG4355" s="21">
        <f>DATE(YEAR(G4355),MONTH(G4355),1)</f>
        <v/>
      </c>
    </row>
    <row r="4356">
      <c r="A4356" t="inlineStr">
        <is>
          <t>SPO-02330-2</t>
        </is>
      </c>
      <c r="B4356" t="inlineStr">
        <is>
          <t>SPO-02330</t>
        </is>
      </c>
      <c r="C4356" t="inlineStr">
        <is>
          <t>SUP-06</t>
        </is>
      </c>
      <c r="D4356" t="inlineStr">
        <is>
          <t>MRO</t>
        </is>
      </c>
      <c r="E4356" t="inlineStr">
        <is>
          <t>MRO-05</t>
        </is>
      </c>
      <c r="F4356" s="17" t="n">
        <v>46219</v>
      </c>
      <c r="G4356" s="17" t="n">
        <v>46227</v>
      </c>
      <c r="H4356" s="18" t="n">
        <v>32</v>
      </c>
      <c r="I4356" s="19" t="n">
        <v>38.22</v>
      </c>
      <c r="J4356" s="19" t="n">
        <v>36</v>
      </c>
      <c r="K4356" s="20" t="n">
        <v>0</v>
      </c>
      <c r="L4356" s="20" t="n">
        <v>0</v>
      </c>
      <c r="M4356" s="18" t="n">
        <v>32</v>
      </c>
      <c r="N4356" s="18" t="n">
        <v>32</v>
      </c>
      <c r="O4356" s="18" t="n">
        <v>0</v>
      </c>
      <c r="P4356" s="17" t="n">
        <v>46223</v>
      </c>
      <c r="Q4356" s="17" t="n">
        <v>46223</v>
      </c>
      <c r="R4356" s="17" t="n">
        <v>46223</v>
      </c>
      <c r="S4356" s="19">
        <f>H4356*I4356</f>
        <v/>
      </c>
      <c r="T4356" s="19">
        <f>H4356*J4356</f>
        <v/>
      </c>
      <c r="U4356">
        <f>IF(AND(K4356=0,G4356&lt;=Assumptions!$C$6),1,0)</f>
        <v/>
      </c>
      <c r="V4356">
        <f>IF(U4356=1,IF(M4356&gt;0,IF(P4356&lt;=G4356+Assumptions!$C$7,1,0),0),0)</f>
        <v/>
      </c>
      <c r="W4356">
        <f>IF(AND(U4356=1,M4356&gt;=H4356*(1-Assumptions!$C$8)),1,0)</f>
        <v/>
      </c>
      <c r="X4356">
        <f>IF(AND(U4356=1,N4356&gt;=H4356*(1-Assumptions!$C$8)),1,0)</f>
        <v/>
      </c>
      <c r="Y4356">
        <f>IF(ISNUMBER(Q4356),1,0)</f>
        <v/>
      </c>
      <c r="Z4356">
        <f>IF(AND(K4356=0,L4356=0,Y4356=0),1,0)</f>
        <v/>
      </c>
      <c r="AA4356">
        <f>IF(AND(Z4356=1,G4356&lt;Assumptions!$C$6),1,0)</f>
        <v/>
      </c>
      <c r="AB4356">
        <f>IF(U4356=0,"",IF(Y4356=1,MAX(0,Q4356-G4356),IF(L4356=1,MAX(0,R4356-G4356),MAX(0,Assumptions!$C$6-G4356))))</f>
        <v/>
      </c>
      <c r="AC4356">
        <f>IF(Y4356=1,Q4356-F4356,"")</f>
        <v/>
      </c>
      <c r="AD4356">
        <f>IF(Y4356=1,AC4356^2,"")</f>
        <v/>
      </c>
      <c r="AE4356" s="19">
        <f>IF(Z4356=1,(H4356-M4356)*I4356,0)</f>
        <v/>
      </c>
      <c r="AF4356">
        <f>IF(G4356&lt;EDATE(Assumptions!$C$6,-12)+1,"prior_12m","last_12m")</f>
        <v/>
      </c>
      <c r="AG4356" s="21">
        <f>DATE(YEAR(G4356),MONTH(G4356),1)</f>
        <v/>
      </c>
    </row>
    <row r="4357">
      <c r="A4357" t="inlineStr">
        <is>
          <t>SPO-02330-3</t>
        </is>
      </c>
      <c r="B4357" t="inlineStr">
        <is>
          <t>SPO-02330</t>
        </is>
      </c>
      <c r="C4357" t="inlineStr">
        <is>
          <t>SUP-06</t>
        </is>
      </c>
      <c r="D4357" t="inlineStr">
        <is>
          <t>MRO</t>
        </is>
      </c>
      <c r="E4357" t="inlineStr">
        <is>
          <t>MRO-01</t>
        </is>
      </c>
      <c r="F4357" s="17" t="n">
        <v>46219</v>
      </c>
      <c r="G4357" s="17" t="n">
        <v>46227</v>
      </c>
      <c r="H4357" s="18" t="n">
        <v>63</v>
      </c>
      <c r="I4357" s="19" t="n">
        <v>52.93</v>
      </c>
      <c r="J4357" s="19" t="n">
        <v>52</v>
      </c>
      <c r="K4357" s="20" t="n">
        <v>0</v>
      </c>
      <c r="L4357" s="20" t="n">
        <v>0</v>
      </c>
      <c r="M4357" s="18" t="n">
        <v>63</v>
      </c>
      <c r="N4357" s="18" t="n">
        <v>63</v>
      </c>
      <c r="O4357" s="18" t="n">
        <v>0</v>
      </c>
      <c r="P4357" s="17" t="n">
        <v>46224</v>
      </c>
      <c r="Q4357" s="17" t="n">
        <v>46224</v>
      </c>
      <c r="R4357" s="17" t="n">
        <v>46224</v>
      </c>
      <c r="S4357" s="19">
        <f>H4357*I4357</f>
        <v/>
      </c>
      <c r="T4357" s="19">
        <f>H4357*J4357</f>
        <v/>
      </c>
      <c r="U4357">
        <f>IF(AND(K4357=0,G4357&lt;=Assumptions!$C$6),1,0)</f>
        <v/>
      </c>
      <c r="V4357">
        <f>IF(U4357=1,IF(M4357&gt;0,IF(P4357&lt;=G4357+Assumptions!$C$7,1,0),0),0)</f>
        <v/>
      </c>
      <c r="W4357">
        <f>IF(AND(U4357=1,M4357&gt;=H4357*(1-Assumptions!$C$8)),1,0)</f>
        <v/>
      </c>
      <c r="X4357">
        <f>IF(AND(U4357=1,N4357&gt;=H4357*(1-Assumptions!$C$8)),1,0)</f>
        <v/>
      </c>
      <c r="Y4357">
        <f>IF(ISNUMBER(Q4357),1,0)</f>
        <v/>
      </c>
      <c r="Z4357">
        <f>IF(AND(K4357=0,L4357=0,Y4357=0),1,0)</f>
        <v/>
      </c>
      <c r="AA4357">
        <f>IF(AND(Z4357=1,G4357&lt;Assumptions!$C$6),1,0)</f>
        <v/>
      </c>
      <c r="AB4357">
        <f>IF(U4357=0,"",IF(Y4357=1,MAX(0,Q4357-G4357),IF(L4357=1,MAX(0,R4357-G4357),MAX(0,Assumptions!$C$6-G4357))))</f>
        <v/>
      </c>
      <c r="AC4357">
        <f>IF(Y4357=1,Q4357-F4357,"")</f>
        <v/>
      </c>
      <c r="AD4357">
        <f>IF(Y4357=1,AC4357^2,"")</f>
        <v/>
      </c>
      <c r="AE4357" s="19">
        <f>IF(Z4357=1,(H4357-M4357)*I4357,0)</f>
        <v/>
      </c>
      <c r="AF4357">
        <f>IF(G4357&lt;EDATE(Assumptions!$C$6,-12)+1,"prior_12m","last_12m")</f>
        <v/>
      </c>
      <c r="AG4357" s="21">
        <f>DATE(YEAR(G4357),MONTH(G4357),1)</f>
        <v/>
      </c>
    </row>
    <row r="4358">
      <c r="A4358" t="inlineStr">
        <is>
          <t>SPO-02331-1</t>
        </is>
      </c>
      <c r="B4358" t="inlineStr">
        <is>
          <t>SPO-02331</t>
        </is>
      </c>
      <c r="C4358" t="inlineStr">
        <is>
          <t>SUP-09</t>
        </is>
      </c>
      <c r="D4358" t="inlineStr">
        <is>
          <t>CHEM</t>
        </is>
      </c>
      <c r="E4358" t="inlineStr">
        <is>
          <t>CHEM-05</t>
        </is>
      </c>
      <c r="F4358" s="17" t="n">
        <v>46219</v>
      </c>
      <c r="G4358" s="17" t="n">
        <v>46233</v>
      </c>
      <c r="H4358" s="18" t="n">
        <v>2</v>
      </c>
      <c r="I4358" s="19" t="n">
        <v>966.95</v>
      </c>
      <c r="J4358" s="19" t="n">
        <v>930</v>
      </c>
      <c r="K4358" s="20" t="n">
        <v>0</v>
      </c>
      <c r="L4358" s="20" t="n">
        <v>0</v>
      </c>
      <c r="M4358" s="18" t="n">
        <v>2</v>
      </c>
      <c r="N4358" s="18" t="n">
        <v>2</v>
      </c>
      <c r="O4358" s="18" t="n">
        <v>0</v>
      </c>
      <c r="P4358" s="17" t="n">
        <v>46229</v>
      </c>
      <c r="Q4358" s="17" t="n">
        <v>46229</v>
      </c>
      <c r="R4358" s="17" t="n">
        <v>46229</v>
      </c>
      <c r="S4358" s="19">
        <f>H4358*I4358</f>
        <v/>
      </c>
      <c r="T4358" s="19">
        <f>H4358*J4358</f>
        <v/>
      </c>
      <c r="U4358">
        <f>IF(AND(K4358=0,G4358&lt;=Assumptions!$C$6),1,0)</f>
        <v/>
      </c>
      <c r="V4358">
        <f>IF(U4358=1,IF(M4358&gt;0,IF(P4358&lt;=G4358+Assumptions!$C$7,1,0),0),0)</f>
        <v/>
      </c>
      <c r="W4358">
        <f>IF(AND(U4358=1,M4358&gt;=H4358*(1-Assumptions!$C$8)),1,0)</f>
        <v/>
      </c>
      <c r="X4358">
        <f>IF(AND(U4358=1,N4358&gt;=H4358*(1-Assumptions!$C$8)),1,0)</f>
        <v/>
      </c>
      <c r="Y4358">
        <f>IF(ISNUMBER(Q4358),1,0)</f>
        <v/>
      </c>
      <c r="Z4358">
        <f>IF(AND(K4358=0,L4358=0,Y4358=0),1,0)</f>
        <v/>
      </c>
      <c r="AA4358">
        <f>IF(AND(Z4358=1,G4358&lt;Assumptions!$C$6),1,0)</f>
        <v/>
      </c>
      <c r="AB4358">
        <f>IF(U4358=0,"",IF(Y4358=1,MAX(0,Q4358-G4358),IF(L4358=1,MAX(0,R4358-G4358),MAX(0,Assumptions!$C$6-G4358))))</f>
        <v/>
      </c>
      <c r="AC4358">
        <f>IF(Y4358=1,Q4358-F4358,"")</f>
        <v/>
      </c>
      <c r="AD4358">
        <f>IF(Y4358=1,AC4358^2,"")</f>
        <v/>
      </c>
      <c r="AE4358" s="19">
        <f>IF(Z4358=1,(H4358-M4358)*I4358,0)</f>
        <v/>
      </c>
      <c r="AF4358">
        <f>IF(G4358&lt;EDATE(Assumptions!$C$6,-12)+1,"prior_12m","last_12m")</f>
        <v/>
      </c>
      <c r="AG4358" s="21">
        <f>DATE(YEAR(G4358),MONTH(G4358),1)</f>
        <v/>
      </c>
    </row>
    <row r="4359">
      <c r="A4359" t="inlineStr">
        <is>
          <t>SPO-02331-2</t>
        </is>
      </c>
      <c r="B4359" t="inlineStr">
        <is>
          <t>SPO-02331</t>
        </is>
      </c>
      <c r="C4359" t="inlineStr">
        <is>
          <t>SUP-09</t>
        </is>
      </c>
      <c r="D4359" t="inlineStr">
        <is>
          <t>CHEM</t>
        </is>
      </c>
      <c r="E4359" t="inlineStr">
        <is>
          <t>CHEM-06</t>
        </is>
      </c>
      <c r="F4359" s="17" t="n">
        <v>46219</v>
      </c>
      <c r="G4359" s="17" t="n">
        <v>46233</v>
      </c>
      <c r="H4359" s="18" t="n">
        <v>2</v>
      </c>
      <c r="I4359" s="19" t="n">
        <v>378.76</v>
      </c>
      <c r="J4359" s="19" t="n">
        <v>380</v>
      </c>
      <c r="K4359" s="20" t="n">
        <v>0</v>
      </c>
      <c r="L4359" s="20" t="n">
        <v>0</v>
      </c>
      <c r="M4359" s="18" t="n">
        <v>2</v>
      </c>
      <c r="N4359" s="18" t="n">
        <v>2</v>
      </c>
      <c r="O4359" s="18" t="n">
        <v>0</v>
      </c>
      <c r="P4359" s="17" t="n">
        <v>46232</v>
      </c>
      <c r="Q4359" s="17" t="n">
        <v>46232</v>
      </c>
      <c r="R4359" s="17" t="n">
        <v>46232</v>
      </c>
      <c r="S4359" s="19">
        <f>H4359*I4359</f>
        <v/>
      </c>
      <c r="T4359" s="19">
        <f>H4359*J4359</f>
        <v/>
      </c>
      <c r="U4359">
        <f>IF(AND(K4359=0,G4359&lt;=Assumptions!$C$6),1,0)</f>
        <v/>
      </c>
      <c r="V4359">
        <f>IF(U4359=1,IF(M4359&gt;0,IF(P4359&lt;=G4359+Assumptions!$C$7,1,0),0),0)</f>
        <v/>
      </c>
      <c r="W4359">
        <f>IF(AND(U4359=1,M4359&gt;=H4359*(1-Assumptions!$C$8)),1,0)</f>
        <v/>
      </c>
      <c r="X4359">
        <f>IF(AND(U4359=1,N4359&gt;=H4359*(1-Assumptions!$C$8)),1,0)</f>
        <v/>
      </c>
      <c r="Y4359">
        <f>IF(ISNUMBER(Q4359),1,0)</f>
        <v/>
      </c>
      <c r="Z4359">
        <f>IF(AND(K4359=0,L4359=0,Y4359=0),1,0)</f>
        <v/>
      </c>
      <c r="AA4359">
        <f>IF(AND(Z4359=1,G4359&lt;Assumptions!$C$6),1,0)</f>
        <v/>
      </c>
      <c r="AB4359">
        <f>IF(U4359=0,"",IF(Y4359=1,MAX(0,Q4359-G4359),IF(L4359=1,MAX(0,R4359-G4359),MAX(0,Assumptions!$C$6-G4359))))</f>
        <v/>
      </c>
      <c r="AC4359">
        <f>IF(Y4359=1,Q4359-F4359,"")</f>
        <v/>
      </c>
      <c r="AD4359">
        <f>IF(Y4359=1,AC4359^2,"")</f>
        <v/>
      </c>
      <c r="AE4359" s="19">
        <f>IF(Z4359=1,(H4359-M4359)*I4359,0)</f>
        <v/>
      </c>
      <c r="AF4359">
        <f>IF(G4359&lt;EDATE(Assumptions!$C$6,-12)+1,"prior_12m","last_12m")</f>
        <v/>
      </c>
      <c r="AG4359" s="21">
        <f>DATE(YEAR(G4359),MONTH(G4359),1)</f>
        <v/>
      </c>
    </row>
    <row r="4360">
      <c r="A4360" t="inlineStr">
        <is>
          <t>SPO-02331-3</t>
        </is>
      </c>
      <c r="B4360" t="inlineStr">
        <is>
          <t>SPO-02331</t>
        </is>
      </c>
      <c r="C4360" t="inlineStr">
        <is>
          <t>SUP-09</t>
        </is>
      </c>
      <c r="D4360" t="inlineStr">
        <is>
          <t>CHEM</t>
        </is>
      </c>
      <c r="E4360" t="inlineStr">
        <is>
          <t>CHEM-03</t>
        </is>
      </c>
      <c r="F4360" s="17" t="n">
        <v>46219</v>
      </c>
      <c r="G4360" s="17" t="n">
        <v>46233</v>
      </c>
      <c r="H4360" s="18" t="n">
        <v>4</v>
      </c>
      <c r="I4360" s="19" t="n">
        <v>259.29</v>
      </c>
      <c r="J4360" s="19" t="n">
        <v>265</v>
      </c>
      <c r="K4360" s="20" t="n">
        <v>0</v>
      </c>
      <c r="L4360" s="20" t="n">
        <v>0</v>
      </c>
      <c r="M4360" s="18" t="n">
        <v>4</v>
      </c>
      <c r="N4360" s="18" t="n">
        <v>4</v>
      </c>
      <c r="O4360" s="18" t="n">
        <v>0</v>
      </c>
      <c r="P4360" s="17" t="n">
        <v>46230</v>
      </c>
      <c r="Q4360" s="17" t="n">
        <v>46230</v>
      </c>
      <c r="R4360" s="17" t="n">
        <v>46230</v>
      </c>
      <c r="S4360" s="19">
        <f>H4360*I4360</f>
        <v/>
      </c>
      <c r="T4360" s="19">
        <f>H4360*J4360</f>
        <v/>
      </c>
      <c r="U4360">
        <f>IF(AND(K4360=0,G4360&lt;=Assumptions!$C$6),1,0)</f>
        <v/>
      </c>
      <c r="V4360">
        <f>IF(U4360=1,IF(M4360&gt;0,IF(P4360&lt;=G4360+Assumptions!$C$7,1,0),0),0)</f>
        <v/>
      </c>
      <c r="W4360">
        <f>IF(AND(U4360=1,M4360&gt;=H4360*(1-Assumptions!$C$8)),1,0)</f>
        <v/>
      </c>
      <c r="X4360">
        <f>IF(AND(U4360=1,N4360&gt;=H4360*(1-Assumptions!$C$8)),1,0)</f>
        <v/>
      </c>
      <c r="Y4360">
        <f>IF(ISNUMBER(Q4360),1,0)</f>
        <v/>
      </c>
      <c r="Z4360">
        <f>IF(AND(K4360=0,L4360=0,Y4360=0),1,0)</f>
        <v/>
      </c>
      <c r="AA4360">
        <f>IF(AND(Z4360=1,G4360&lt;Assumptions!$C$6),1,0)</f>
        <v/>
      </c>
      <c r="AB4360">
        <f>IF(U4360=0,"",IF(Y4360=1,MAX(0,Q4360-G4360),IF(L4360=1,MAX(0,R4360-G4360),MAX(0,Assumptions!$C$6-G4360))))</f>
        <v/>
      </c>
      <c r="AC4360">
        <f>IF(Y4360=1,Q4360-F4360,"")</f>
        <v/>
      </c>
      <c r="AD4360">
        <f>IF(Y4360=1,AC4360^2,"")</f>
        <v/>
      </c>
      <c r="AE4360" s="19">
        <f>IF(Z4360=1,(H4360-M4360)*I4360,0)</f>
        <v/>
      </c>
      <c r="AF4360">
        <f>IF(G4360&lt;EDATE(Assumptions!$C$6,-12)+1,"prior_12m","last_12m")</f>
        <v/>
      </c>
      <c r="AG4360" s="21">
        <f>DATE(YEAR(G4360),MONTH(G4360),1)</f>
        <v/>
      </c>
    </row>
    <row r="4361">
      <c r="A4361" t="inlineStr">
        <is>
          <t>SPO-02332-1</t>
        </is>
      </c>
      <c r="B4361" t="inlineStr">
        <is>
          <t>SPO-02332</t>
        </is>
      </c>
      <c r="C4361" t="inlineStr">
        <is>
          <t>SUP-05</t>
        </is>
      </c>
      <c r="D4361" t="inlineStr">
        <is>
          <t>FLEET</t>
        </is>
      </c>
      <c r="E4361" t="inlineStr">
        <is>
          <t>FLEET-04</t>
        </is>
      </c>
      <c r="F4361" s="17" t="n">
        <v>46220</v>
      </c>
      <c r="G4361" s="17" t="n">
        <v>46234</v>
      </c>
      <c r="H4361" s="18" t="n">
        <v>117</v>
      </c>
      <c r="I4361" s="19" t="n">
        <v>9</v>
      </c>
      <c r="J4361" s="19" t="n">
        <v>9</v>
      </c>
      <c r="K4361" s="20" t="n">
        <v>0</v>
      </c>
      <c r="L4361" s="20" t="n">
        <v>0</v>
      </c>
      <c r="M4361" s="18" t="n">
        <v>117</v>
      </c>
      <c r="N4361" s="18" t="n">
        <v>117</v>
      </c>
      <c r="O4361" s="18" t="n">
        <v>0</v>
      </c>
      <c r="P4361" s="17" t="n">
        <v>46229</v>
      </c>
      <c r="Q4361" s="17" t="n">
        <v>46229</v>
      </c>
      <c r="R4361" s="17" t="n">
        <v>46229</v>
      </c>
      <c r="S4361" s="19">
        <f>H4361*I4361</f>
        <v/>
      </c>
      <c r="T4361" s="19">
        <f>H4361*J4361</f>
        <v/>
      </c>
      <c r="U4361">
        <f>IF(AND(K4361=0,G4361&lt;=Assumptions!$C$6),1,0)</f>
        <v/>
      </c>
      <c r="V4361">
        <f>IF(U4361=1,IF(M4361&gt;0,IF(P4361&lt;=G4361+Assumptions!$C$7,1,0),0),0)</f>
        <v/>
      </c>
      <c r="W4361">
        <f>IF(AND(U4361=1,M4361&gt;=H4361*(1-Assumptions!$C$8)),1,0)</f>
        <v/>
      </c>
      <c r="X4361">
        <f>IF(AND(U4361=1,N4361&gt;=H4361*(1-Assumptions!$C$8)),1,0)</f>
        <v/>
      </c>
      <c r="Y4361">
        <f>IF(ISNUMBER(Q4361),1,0)</f>
        <v/>
      </c>
      <c r="Z4361">
        <f>IF(AND(K4361=0,L4361=0,Y4361=0),1,0)</f>
        <v/>
      </c>
      <c r="AA4361">
        <f>IF(AND(Z4361=1,G4361&lt;Assumptions!$C$6),1,0)</f>
        <v/>
      </c>
      <c r="AB4361">
        <f>IF(U4361=0,"",IF(Y4361=1,MAX(0,Q4361-G4361),IF(L4361=1,MAX(0,R4361-G4361),MAX(0,Assumptions!$C$6-G4361))))</f>
        <v/>
      </c>
      <c r="AC4361">
        <f>IF(Y4361=1,Q4361-F4361,"")</f>
        <v/>
      </c>
      <c r="AD4361">
        <f>IF(Y4361=1,AC4361^2,"")</f>
        <v/>
      </c>
      <c r="AE4361" s="19">
        <f>IF(Z4361=1,(H4361-M4361)*I4361,0)</f>
        <v/>
      </c>
      <c r="AF4361">
        <f>IF(G4361&lt;EDATE(Assumptions!$C$6,-12)+1,"prior_12m","last_12m")</f>
        <v/>
      </c>
      <c r="AG4361" s="21">
        <f>DATE(YEAR(G4361),MONTH(G4361),1)</f>
        <v/>
      </c>
    </row>
    <row r="4362">
      <c r="A4362" t="inlineStr">
        <is>
          <t>SPO-02332-2</t>
        </is>
      </c>
      <c r="B4362" t="inlineStr">
        <is>
          <t>SPO-02332</t>
        </is>
      </c>
      <c r="C4362" t="inlineStr">
        <is>
          <t>SUP-05</t>
        </is>
      </c>
      <c r="D4362" t="inlineStr">
        <is>
          <t>FLEET</t>
        </is>
      </c>
      <c r="E4362" t="inlineStr">
        <is>
          <t>FLEET-02</t>
        </is>
      </c>
      <c r="F4362" s="17" t="n">
        <v>46220</v>
      </c>
      <c r="G4362" s="17" t="n">
        <v>46234</v>
      </c>
      <c r="H4362" s="18" t="n">
        <v>133</v>
      </c>
      <c r="I4362" s="19" t="n">
        <v>7.51</v>
      </c>
      <c r="J4362" s="19" t="n">
        <v>7.5</v>
      </c>
      <c r="K4362" s="20" t="n">
        <v>0</v>
      </c>
      <c r="L4362" s="20" t="n">
        <v>0</v>
      </c>
      <c r="M4362" s="18" t="n">
        <v>133</v>
      </c>
      <c r="N4362" s="18" t="n">
        <v>90</v>
      </c>
      <c r="O4362" s="18" t="n">
        <v>0</v>
      </c>
      <c r="P4362" s="17" t="n">
        <v>46234</v>
      </c>
      <c r="Q4362" s="17" t="n">
        <v>46252</v>
      </c>
      <c r="R4362" s="17" t="n">
        <v>46252</v>
      </c>
      <c r="S4362" s="19">
        <f>H4362*I4362</f>
        <v/>
      </c>
      <c r="T4362" s="19">
        <f>H4362*J4362</f>
        <v/>
      </c>
      <c r="U4362">
        <f>IF(AND(K4362=0,G4362&lt;=Assumptions!$C$6),1,0)</f>
        <v/>
      </c>
      <c r="V4362">
        <f>IF(U4362=1,IF(M4362&gt;0,IF(P4362&lt;=G4362+Assumptions!$C$7,1,0),0),0)</f>
        <v/>
      </c>
      <c r="W4362">
        <f>IF(AND(U4362=1,M4362&gt;=H4362*(1-Assumptions!$C$8)),1,0)</f>
        <v/>
      </c>
      <c r="X4362">
        <f>IF(AND(U4362=1,N4362&gt;=H4362*(1-Assumptions!$C$8)),1,0)</f>
        <v/>
      </c>
      <c r="Y4362">
        <f>IF(ISNUMBER(Q4362),1,0)</f>
        <v/>
      </c>
      <c r="Z4362">
        <f>IF(AND(K4362=0,L4362=0,Y4362=0),1,0)</f>
        <v/>
      </c>
      <c r="AA4362">
        <f>IF(AND(Z4362=1,G4362&lt;Assumptions!$C$6),1,0)</f>
        <v/>
      </c>
      <c r="AB4362">
        <f>IF(U4362=0,"",IF(Y4362=1,MAX(0,Q4362-G4362),IF(L4362=1,MAX(0,R4362-G4362),MAX(0,Assumptions!$C$6-G4362))))</f>
        <v/>
      </c>
      <c r="AC4362">
        <f>IF(Y4362=1,Q4362-F4362,"")</f>
        <v/>
      </c>
      <c r="AD4362">
        <f>IF(Y4362=1,AC4362^2,"")</f>
        <v/>
      </c>
      <c r="AE4362" s="19">
        <f>IF(Z4362=1,(H4362-M4362)*I4362,0)</f>
        <v/>
      </c>
      <c r="AF4362">
        <f>IF(G4362&lt;EDATE(Assumptions!$C$6,-12)+1,"prior_12m","last_12m")</f>
        <v/>
      </c>
      <c r="AG4362" s="21">
        <f>DATE(YEAR(G4362),MONTH(G4362),1)</f>
        <v/>
      </c>
    </row>
    <row r="4363">
      <c r="A4363" t="inlineStr">
        <is>
          <t>SPO-02332-3</t>
        </is>
      </c>
      <c r="B4363" t="inlineStr">
        <is>
          <t>SPO-02332</t>
        </is>
      </c>
      <c r="C4363" t="inlineStr">
        <is>
          <t>SUP-05</t>
        </is>
      </c>
      <c r="D4363" t="inlineStr">
        <is>
          <t>FLEET</t>
        </is>
      </c>
      <c r="E4363" t="inlineStr">
        <is>
          <t>FLEET-07</t>
        </is>
      </c>
      <c r="F4363" s="17" t="n">
        <v>46220</v>
      </c>
      <c r="G4363" s="17" t="n">
        <v>46234</v>
      </c>
      <c r="H4363" s="18" t="n">
        <v>6</v>
      </c>
      <c r="I4363" s="19" t="n">
        <v>125.26</v>
      </c>
      <c r="J4363" s="19" t="n">
        <v>118</v>
      </c>
      <c r="K4363" s="20" t="n">
        <v>0</v>
      </c>
      <c r="L4363" s="20" t="n">
        <v>0</v>
      </c>
      <c r="M4363" s="18" t="n">
        <v>6</v>
      </c>
      <c r="N4363" s="18" t="n">
        <v>6</v>
      </c>
      <c r="O4363" s="18" t="n">
        <v>0</v>
      </c>
      <c r="P4363" s="17" t="n">
        <v>46231</v>
      </c>
      <c r="Q4363" s="17" t="n">
        <v>46231</v>
      </c>
      <c r="R4363" s="17" t="n">
        <v>46231</v>
      </c>
      <c r="S4363" s="19">
        <f>H4363*I4363</f>
        <v/>
      </c>
      <c r="T4363" s="19">
        <f>H4363*J4363</f>
        <v/>
      </c>
      <c r="U4363">
        <f>IF(AND(K4363=0,G4363&lt;=Assumptions!$C$6),1,0)</f>
        <v/>
      </c>
      <c r="V4363">
        <f>IF(U4363=1,IF(M4363&gt;0,IF(P4363&lt;=G4363+Assumptions!$C$7,1,0),0),0)</f>
        <v/>
      </c>
      <c r="W4363">
        <f>IF(AND(U4363=1,M4363&gt;=H4363*(1-Assumptions!$C$8)),1,0)</f>
        <v/>
      </c>
      <c r="X4363">
        <f>IF(AND(U4363=1,N4363&gt;=H4363*(1-Assumptions!$C$8)),1,0)</f>
        <v/>
      </c>
      <c r="Y4363">
        <f>IF(ISNUMBER(Q4363),1,0)</f>
        <v/>
      </c>
      <c r="Z4363">
        <f>IF(AND(K4363=0,L4363=0,Y4363=0),1,0)</f>
        <v/>
      </c>
      <c r="AA4363">
        <f>IF(AND(Z4363=1,G4363&lt;Assumptions!$C$6),1,0)</f>
        <v/>
      </c>
      <c r="AB4363">
        <f>IF(U4363=0,"",IF(Y4363=1,MAX(0,Q4363-G4363),IF(L4363=1,MAX(0,R4363-G4363),MAX(0,Assumptions!$C$6-G4363))))</f>
        <v/>
      </c>
      <c r="AC4363">
        <f>IF(Y4363=1,Q4363-F4363,"")</f>
        <v/>
      </c>
      <c r="AD4363">
        <f>IF(Y4363=1,AC4363^2,"")</f>
        <v/>
      </c>
      <c r="AE4363" s="19">
        <f>IF(Z4363=1,(H4363-M4363)*I4363,0)</f>
        <v/>
      </c>
      <c r="AF4363">
        <f>IF(G4363&lt;EDATE(Assumptions!$C$6,-12)+1,"prior_12m","last_12m")</f>
        <v/>
      </c>
      <c r="AG4363" s="21">
        <f>DATE(YEAR(G4363),MONTH(G4363),1)</f>
        <v/>
      </c>
    </row>
    <row r="4364">
      <c r="A4364" t="inlineStr">
        <is>
          <t>SPO-02333-1</t>
        </is>
      </c>
      <c r="B4364" t="inlineStr">
        <is>
          <t>SPO-02333</t>
        </is>
      </c>
      <c r="C4364" t="inlineStr">
        <is>
          <t>SUP-12</t>
        </is>
      </c>
      <c r="D4364" t="inlineStr">
        <is>
          <t>IT</t>
        </is>
      </c>
      <c r="E4364" t="inlineStr">
        <is>
          <t>IT-02</t>
        </is>
      </c>
      <c r="F4364" s="17" t="n">
        <v>46220</v>
      </c>
      <c r="G4364" s="17" t="n">
        <v>46230</v>
      </c>
      <c r="H4364" s="18" t="n">
        <v>8</v>
      </c>
      <c r="I4364" s="19" t="n">
        <v>178.35</v>
      </c>
      <c r="J4364" s="19" t="n">
        <v>162</v>
      </c>
      <c r="K4364" s="20" t="n">
        <v>0</v>
      </c>
      <c r="L4364" s="20" t="n">
        <v>0</v>
      </c>
      <c r="M4364" s="18" t="n">
        <v>8</v>
      </c>
      <c r="N4364" s="18" t="n">
        <v>4</v>
      </c>
      <c r="O4364" s="18" t="n">
        <v>0</v>
      </c>
      <c r="P4364" s="17" t="n">
        <v>46226</v>
      </c>
      <c r="Q4364" s="17" t="n">
        <v>46240</v>
      </c>
      <c r="R4364" s="17" t="n">
        <v>46240</v>
      </c>
      <c r="S4364" s="19">
        <f>H4364*I4364</f>
        <v/>
      </c>
      <c r="T4364" s="19">
        <f>H4364*J4364</f>
        <v/>
      </c>
      <c r="U4364">
        <f>IF(AND(K4364=0,G4364&lt;=Assumptions!$C$6),1,0)</f>
        <v/>
      </c>
      <c r="V4364">
        <f>IF(U4364=1,IF(M4364&gt;0,IF(P4364&lt;=G4364+Assumptions!$C$7,1,0),0),0)</f>
        <v/>
      </c>
      <c r="W4364">
        <f>IF(AND(U4364=1,M4364&gt;=H4364*(1-Assumptions!$C$8)),1,0)</f>
        <v/>
      </c>
      <c r="X4364">
        <f>IF(AND(U4364=1,N4364&gt;=H4364*(1-Assumptions!$C$8)),1,0)</f>
        <v/>
      </c>
      <c r="Y4364">
        <f>IF(ISNUMBER(Q4364),1,0)</f>
        <v/>
      </c>
      <c r="Z4364">
        <f>IF(AND(K4364=0,L4364=0,Y4364=0),1,0)</f>
        <v/>
      </c>
      <c r="AA4364">
        <f>IF(AND(Z4364=1,G4364&lt;Assumptions!$C$6),1,0)</f>
        <v/>
      </c>
      <c r="AB4364">
        <f>IF(U4364=0,"",IF(Y4364=1,MAX(0,Q4364-G4364),IF(L4364=1,MAX(0,R4364-G4364),MAX(0,Assumptions!$C$6-G4364))))</f>
        <v/>
      </c>
      <c r="AC4364">
        <f>IF(Y4364=1,Q4364-F4364,"")</f>
        <v/>
      </c>
      <c r="AD4364">
        <f>IF(Y4364=1,AC4364^2,"")</f>
        <v/>
      </c>
      <c r="AE4364" s="19">
        <f>IF(Z4364=1,(H4364-M4364)*I4364,0)</f>
        <v/>
      </c>
      <c r="AF4364">
        <f>IF(G4364&lt;EDATE(Assumptions!$C$6,-12)+1,"prior_12m","last_12m")</f>
        <v/>
      </c>
      <c r="AG4364" s="21">
        <f>DATE(YEAR(G4364),MONTH(G4364),1)</f>
        <v/>
      </c>
    </row>
    <row r="4365">
      <c r="A4365" t="inlineStr">
        <is>
          <t>SPO-02334-1</t>
        </is>
      </c>
      <c r="B4365" t="inlineStr">
        <is>
          <t>SPO-02334</t>
        </is>
      </c>
      <c r="C4365" t="inlineStr">
        <is>
          <t>SUP-09</t>
        </is>
      </c>
      <c r="D4365" t="inlineStr">
        <is>
          <t>CHEM</t>
        </is>
      </c>
      <c r="E4365" t="inlineStr">
        <is>
          <t>CHEM-04</t>
        </is>
      </c>
      <c r="F4365" s="17" t="n">
        <v>46220</v>
      </c>
      <c r="G4365" s="17" t="n">
        <v>46234</v>
      </c>
      <c r="H4365" s="18" t="n">
        <v>1</v>
      </c>
      <c r="I4365" s="19" t="n">
        <v>844.42</v>
      </c>
      <c r="J4365" s="19" t="n">
        <v>820</v>
      </c>
      <c r="K4365" s="20" t="n">
        <v>1</v>
      </c>
      <c r="L4365" s="20" t="n">
        <v>0</v>
      </c>
      <c r="M4365" s="18" t="n">
        <v>0</v>
      </c>
      <c r="N4365" s="18" t="n">
        <v>0</v>
      </c>
      <c r="O4365" s="18" t="n">
        <v>0</v>
      </c>
      <c r="P4365" s="17" t="n"/>
      <c r="Q4365" s="17" t="n"/>
      <c r="R4365" s="17" t="n"/>
      <c r="S4365" s="19">
        <f>H4365*I4365</f>
        <v/>
      </c>
      <c r="T4365" s="19">
        <f>H4365*J4365</f>
        <v/>
      </c>
      <c r="U4365">
        <f>IF(AND(K4365=0,G4365&lt;=Assumptions!$C$6),1,0)</f>
        <v/>
      </c>
      <c r="V4365">
        <f>IF(U4365=1,IF(M4365&gt;0,IF(P4365&lt;=G4365+Assumptions!$C$7,1,0),0),0)</f>
        <v/>
      </c>
      <c r="W4365">
        <f>IF(AND(U4365=1,M4365&gt;=H4365*(1-Assumptions!$C$8)),1,0)</f>
        <v/>
      </c>
      <c r="X4365">
        <f>IF(AND(U4365=1,N4365&gt;=H4365*(1-Assumptions!$C$8)),1,0)</f>
        <v/>
      </c>
      <c r="Y4365">
        <f>IF(ISNUMBER(Q4365),1,0)</f>
        <v/>
      </c>
      <c r="Z4365">
        <f>IF(AND(K4365=0,L4365=0,Y4365=0),1,0)</f>
        <v/>
      </c>
      <c r="AA4365">
        <f>IF(AND(Z4365=1,G4365&lt;Assumptions!$C$6),1,0)</f>
        <v/>
      </c>
      <c r="AB4365">
        <f>IF(U4365=0,"",IF(Y4365=1,MAX(0,Q4365-G4365),IF(L4365=1,MAX(0,R4365-G4365),MAX(0,Assumptions!$C$6-G4365))))</f>
        <v/>
      </c>
      <c r="AC4365">
        <f>IF(Y4365=1,Q4365-F4365,"")</f>
        <v/>
      </c>
      <c r="AD4365">
        <f>IF(Y4365=1,AC4365^2,"")</f>
        <v/>
      </c>
      <c r="AE4365" s="19">
        <f>IF(Z4365=1,(H4365-M4365)*I4365,0)</f>
        <v/>
      </c>
      <c r="AF4365">
        <f>IF(G4365&lt;EDATE(Assumptions!$C$6,-12)+1,"prior_12m","last_12m")</f>
        <v/>
      </c>
      <c r="AG4365" s="21">
        <f>DATE(YEAR(G4365),MONTH(G4365),1)</f>
        <v/>
      </c>
    </row>
    <row r="4366">
      <c r="A4366" t="inlineStr">
        <is>
          <t>SPO-02334-2</t>
        </is>
      </c>
      <c r="B4366" t="inlineStr">
        <is>
          <t>SPO-02334</t>
        </is>
      </c>
      <c r="C4366" t="inlineStr">
        <is>
          <t>SUP-09</t>
        </is>
      </c>
      <c r="D4366" t="inlineStr">
        <is>
          <t>CHEM</t>
        </is>
      </c>
      <c r="E4366" t="inlineStr">
        <is>
          <t>CHEM-01</t>
        </is>
      </c>
      <c r="F4366" s="17" t="n">
        <v>46220</v>
      </c>
      <c r="G4366" s="17" t="n">
        <v>46234</v>
      </c>
      <c r="H4366" s="18" t="n">
        <v>2</v>
      </c>
      <c r="I4366" s="19" t="n">
        <v>658.21</v>
      </c>
      <c r="J4366" s="19" t="n">
        <v>640</v>
      </c>
      <c r="K4366" s="20" t="n">
        <v>0</v>
      </c>
      <c r="L4366" s="20" t="n">
        <v>0</v>
      </c>
      <c r="M4366" s="18" t="n">
        <v>2</v>
      </c>
      <c r="N4366" s="18" t="n">
        <v>2</v>
      </c>
      <c r="O4366" s="18" t="n">
        <v>0</v>
      </c>
      <c r="P4366" s="17" t="n">
        <v>46232</v>
      </c>
      <c r="Q4366" s="17" t="n">
        <v>46232</v>
      </c>
      <c r="R4366" s="17" t="n">
        <v>46232</v>
      </c>
      <c r="S4366" s="19">
        <f>H4366*I4366</f>
        <v/>
      </c>
      <c r="T4366" s="19">
        <f>H4366*J4366</f>
        <v/>
      </c>
      <c r="U4366">
        <f>IF(AND(K4366=0,G4366&lt;=Assumptions!$C$6),1,0)</f>
        <v/>
      </c>
      <c r="V4366">
        <f>IF(U4366=1,IF(M4366&gt;0,IF(P4366&lt;=G4366+Assumptions!$C$7,1,0),0),0)</f>
        <v/>
      </c>
      <c r="W4366">
        <f>IF(AND(U4366=1,M4366&gt;=H4366*(1-Assumptions!$C$8)),1,0)</f>
        <v/>
      </c>
      <c r="X4366">
        <f>IF(AND(U4366=1,N4366&gt;=H4366*(1-Assumptions!$C$8)),1,0)</f>
        <v/>
      </c>
      <c r="Y4366">
        <f>IF(ISNUMBER(Q4366),1,0)</f>
        <v/>
      </c>
      <c r="Z4366">
        <f>IF(AND(K4366=0,L4366=0,Y4366=0),1,0)</f>
        <v/>
      </c>
      <c r="AA4366">
        <f>IF(AND(Z4366=1,G4366&lt;Assumptions!$C$6),1,0)</f>
        <v/>
      </c>
      <c r="AB4366">
        <f>IF(U4366=0,"",IF(Y4366=1,MAX(0,Q4366-G4366),IF(L4366=1,MAX(0,R4366-G4366),MAX(0,Assumptions!$C$6-G4366))))</f>
        <v/>
      </c>
      <c r="AC4366">
        <f>IF(Y4366=1,Q4366-F4366,"")</f>
        <v/>
      </c>
      <c r="AD4366">
        <f>IF(Y4366=1,AC4366^2,"")</f>
        <v/>
      </c>
      <c r="AE4366" s="19">
        <f>IF(Z4366=1,(H4366-M4366)*I4366,0)</f>
        <v/>
      </c>
      <c r="AF4366">
        <f>IF(G4366&lt;EDATE(Assumptions!$C$6,-12)+1,"prior_12m","last_12m")</f>
        <v/>
      </c>
      <c r="AG4366" s="21">
        <f>DATE(YEAR(G4366),MONTH(G4366),1)</f>
        <v/>
      </c>
    </row>
    <row r="4367">
      <c r="A4367" t="inlineStr">
        <is>
          <t>SPO-02335-1</t>
        </is>
      </c>
      <c r="B4367" t="inlineStr">
        <is>
          <t>SPO-02335</t>
        </is>
      </c>
      <c r="C4367" t="inlineStr">
        <is>
          <t>SUP-06</t>
        </is>
      </c>
      <c r="D4367" t="inlineStr">
        <is>
          <t>MRO</t>
        </is>
      </c>
      <c r="E4367" t="inlineStr">
        <is>
          <t>MRO-08</t>
        </is>
      </c>
      <c r="F4367" s="17" t="n">
        <v>46220</v>
      </c>
      <c r="G4367" s="17" t="n">
        <v>46228</v>
      </c>
      <c r="H4367" s="18" t="n">
        <v>215</v>
      </c>
      <c r="I4367" s="19" t="n">
        <v>7.46</v>
      </c>
      <c r="J4367" s="19" t="n">
        <v>7.2</v>
      </c>
      <c r="K4367" s="20" t="n">
        <v>0</v>
      </c>
      <c r="L4367" s="20" t="n">
        <v>0</v>
      </c>
      <c r="M4367" s="18" t="n">
        <v>215</v>
      </c>
      <c r="N4367" s="18" t="n">
        <v>215</v>
      </c>
      <c r="O4367" s="18" t="n">
        <v>0</v>
      </c>
      <c r="P4367" s="17" t="n">
        <v>46225</v>
      </c>
      <c r="Q4367" s="17" t="n">
        <v>46225</v>
      </c>
      <c r="R4367" s="17" t="n">
        <v>46225</v>
      </c>
      <c r="S4367" s="19">
        <f>H4367*I4367</f>
        <v/>
      </c>
      <c r="T4367" s="19">
        <f>H4367*J4367</f>
        <v/>
      </c>
      <c r="U4367">
        <f>IF(AND(K4367=0,G4367&lt;=Assumptions!$C$6),1,0)</f>
        <v/>
      </c>
      <c r="V4367">
        <f>IF(U4367=1,IF(M4367&gt;0,IF(P4367&lt;=G4367+Assumptions!$C$7,1,0),0),0)</f>
        <v/>
      </c>
      <c r="W4367">
        <f>IF(AND(U4367=1,M4367&gt;=H4367*(1-Assumptions!$C$8)),1,0)</f>
        <v/>
      </c>
      <c r="X4367">
        <f>IF(AND(U4367=1,N4367&gt;=H4367*(1-Assumptions!$C$8)),1,0)</f>
        <v/>
      </c>
      <c r="Y4367">
        <f>IF(ISNUMBER(Q4367),1,0)</f>
        <v/>
      </c>
      <c r="Z4367">
        <f>IF(AND(K4367=0,L4367=0,Y4367=0),1,0)</f>
        <v/>
      </c>
      <c r="AA4367">
        <f>IF(AND(Z4367=1,G4367&lt;Assumptions!$C$6),1,0)</f>
        <v/>
      </c>
      <c r="AB4367">
        <f>IF(U4367=0,"",IF(Y4367=1,MAX(0,Q4367-G4367),IF(L4367=1,MAX(0,R4367-G4367),MAX(0,Assumptions!$C$6-G4367))))</f>
        <v/>
      </c>
      <c r="AC4367">
        <f>IF(Y4367=1,Q4367-F4367,"")</f>
        <v/>
      </c>
      <c r="AD4367">
        <f>IF(Y4367=1,AC4367^2,"")</f>
        <v/>
      </c>
      <c r="AE4367" s="19">
        <f>IF(Z4367=1,(H4367-M4367)*I4367,0)</f>
        <v/>
      </c>
      <c r="AF4367">
        <f>IF(G4367&lt;EDATE(Assumptions!$C$6,-12)+1,"prior_12m","last_12m")</f>
        <v/>
      </c>
      <c r="AG4367" s="21">
        <f>DATE(YEAR(G4367),MONTH(G4367),1)</f>
        <v/>
      </c>
    </row>
    <row r="4368">
      <c r="A4368" t="inlineStr">
        <is>
          <t>SPO-02335-2</t>
        </is>
      </c>
      <c r="B4368" t="inlineStr">
        <is>
          <t>SPO-02335</t>
        </is>
      </c>
      <c r="C4368" t="inlineStr">
        <is>
          <t>SUP-06</t>
        </is>
      </c>
      <c r="D4368" t="inlineStr">
        <is>
          <t>MRO</t>
        </is>
      </c>
      <c r="E4368" t="inlineStr">
        <is>
          <t>MRO-01</t>
        </is>
      </c>
      <c r="F4368" s="17" t="n">
        <v>46220</v>
      </c>
      <c r="G4368" s="17" t="n">
        <v>46228</v>
      </c>
      <c r="H4368" s="18" t="n">
        <v>12</v>
      </c>
      <c r="I4368" s="19" t="n">
        <v>52.37</v>
      </c>
      <c r="J4368" s="19" t="n">
        <v>52</v>
      </c>
      <c r="K4368" s="20" t="n">
        <v>0</v>
      </c>
      <c r="L4368" s="20" t="n">
        <v>0</v>
      </c>
      <c r="M4368" s="18" t="n">
        <v>12</v>
      </c>
      <c r="N4368" s="18" t="n">
        <v>12</v>
      </c>
      <c r="O4368" s="18" t="n">
        <v>0</v>
      </c>
      <c r="P4368" s="17" t="n">
        <v>46226</v>
      </c>
      <c r="Q4368" s="17" t="n">
        <v>46226</v>
      </c>
      <c r="R4368" s="17" t="n">
        <v>46226</v>
      </c>
      <c r="S4368" s="19">
        <f>H4368*I4368</f>
        <v/>
      </c>
      <c r="T4368" s="19">
        <f>H4368*J4368</f>
        <v/>
      </c>
      <c r="U4368">
        <f>IF(AND(K4368=0,G4368&lt;=Assumptions!$C$6),1,0)</f>
        <v/>
      </c>
      <c r="V4368">
        <f>IF(U4368=1,IF(M4368&gt;0,IF(P4368&lt;=G4368+Assumptions!$C$7,1,0),0),0)</f>
        <v/>
      </c>
      <c r="W4368">
        <f>IF(AND(U4368=1,M4368&gt;=H4368*(1-Assumptions!$C$8)),1,0)</f>
        <v/>
      </c>
      <c r="X4368">
        <f>IF(AND(U4368=1,N4368&gt;=H4368*(1-Assumptions!$C$8)),1,0)</f>
        <v/>
      </c>
      <c r="Y4368">
        <f>IF(ISNUMBER(Q4368),1,0)</f>
        <v/>
      </c>
      <c r="Z4368">
        <f>IF(AND(K4368=0,L4368=0,Y4368=0),1,0)</f>
        <v/>
      </c>
      <c r="AA4368">
        <f>IF(AND(Z4368=1,G4368&lt;Assumptions!$C$6),1,0)</f>
        <v/>
      </c>
      <c r="AB4368">
        <f>IF(U4368=0,"",IF(Y4368=1,MAX(0,Q4368-G4368),IF(L4368=1,MAX(0,R4368-G4368),MAX(0,Assumptions!$C$6-G4368))))</f>
        <v/>
      </c>
      <c r="AC4368">
        <f>IF(Y4368=1,Q4368-F4368,"")</f>
        <v/>
      </c>
      <c r="AD4368">
        <f>IF(Y4368=1,AC4368^2,"")</f>
        <v/>
      </c>
      <c r="AE4368" s="19">
        <f>IF(Z4368=1,(H4368-M4368)*I4368,0)</f>
        <v/>
      </c>
      <c r="AF4368">
        <f>IF(G4368&lt;EDATE(Assumptions!$C$6,-12)+1,"prior_12m","last_12m")</f>
        <v/>
      </c>
      <c r="AG4368" s="21">
        <f>DATE(YEAR(G4368),MONTH(G4368),1)</f>
        <v/>
      </c>
    </row>
    <row r="4369">
      <c r="A4369" t="inlineStr">
        <is>
          <t>SPO-02336-1</t>
        </is>
      </c>
      <c r="B4369" t="inlineStr">
        <is>
          <t>SPO-02336</t>
        </is>
      </c>
      <c r="C4369" t="inlineStr">
        <is>
          <t>SUP-01</t>
        </is>
      </c>
      <c r="D4369" t="inlineStr">
        <is>
          <t>ELEC</t>
        </is>
      </c>
      <c r="E4369" t="inlineStr">
        <is>
          <t>ELEC-03</t>
        </is>
      </c>
      <c r="F4369" s="17" t="n">
        <v>46220</v>
      </c>
      <c r="G4369" s="17" t="n">
        <v>46238</v>
      </c>
      <c r="H4369" s="18" t="n">
        <v>17</v>
      </c>
      <c r="I4369" s="19" t="n">
        <v>95.19</v>
      </c>
      <c r="J4369" s="19" t="n">
        <v>96</v>
      </c>
      <c r="K4369" s="20" t="n">
        <v>0</v>
      </c>
      <c r="L4369" s="20" t="n">
        <v>0</v>
      </c>
      <c r="M4369" s="18" t="n">
        <v>17</v>
      </c>
      <c r="N4369" s="18" t="n">
        <v>17</v>
      </c>
      <c r="O4369" s="18" t="n">
        <v>0</v>
      </c>
      <c r="P4369" s="17" t="n">
        <v>46232</v>
      </c>
      <c r="Q4369" s="17" t="n">
        <v>46232</v>
      </c>
      <c r="R4369" s="17" t="n">
        <v>46232</v>
      </c>
      <c r="S4369" s="19">
        <f>H4369*I4369</f>
        <v/>
      </c>
      <c r="T4369" s="19">
        <f>H4369*J4369</f>
        <v/>
      </c>
      <c r="U4369">
        <f>IF(AND(K4369=0,G4369&lt;=Assumptions!$C$6),1,0)</f>
        <v/>
      </c>
      <c r="V4369">
        <f>IF(U4369=1,IF(M4369&gt;0,IF(P4369&lt;=G4369+Assumptions!$C$7,1,0),0),0)</f>
        <v/>
      </c>
      <c r="W4369">
        <f>IF(AND(U4369=1,M4369&gt;=H4369*(1-Assumptions!$C$8)),1,0)</f>
        <v/>
      </c>
      <c r="X4369">
        <f>IF(AND(U4369=1,N4369&gt;=H4369*(1-Assumptions!$C$8)),1,0)</f>
        <v/>
      </c>
      <c r="Y4369">
        <f>IF(ISNUMBER(Q4369),1,0)</f>
        <v/>
      </c>
      <c r="Z4369">
        <f>IF(AND(K4369=0,L4369=0,Y4369=0),1,0)</f>
        <v/>
      </c>
      <c r="AA4369">
        <f>IF(AND(Z4369=1,G4369&lt;Assumptions!$C$6),1,0)</f>
        <v/>
      </c>
      <c r="AB4369">
        <f>IF(U4369=0,"",IF(Y4369=1,MAX(0,Q4369-G4369),IF(L4369=1,MAX(0,R4369-G4369),MAX(0,Assumptions!$C$6-G4369))))</f>
        <v/>
      </c>
      <c r="AC4369">
        <f>IF(Y4369=1,Q4369-F4369,"")</f>
        <v/>
      </c>
      <c r="AD4369">
        <f>IF(Y4369=1,AC4369^2,"")</f>
        <v/>
      </c>
      <c r="AE4369" s="19">
        <f>IF(Z4369=1,(H4369-M4369)*I4369,0)</f>
        <v/>
      </c>
      <c r="AF4369">
        <f>IF(G4369&lt;EDATE(Assumptions!$C$6,-12)+1,"prior_12m","last_12m")</f>
        <v/>
      </c>
      <c r="AG4369" s="21">
        <f>DATE(YEAR(G4369),MONTH(G4369),1)</f>
        <v/>
      </c>
    </row>
    <row r="4370">
      <c r="A4370" t="inlineStr">
        <is>
          <t>SPO-02336-2</t>
        </is>
      </c>
      <c r="B4370" t="inlineStr">
        <is>
          <t>SPO-02336</t>
        </is>
      </c>
      <c r="C4370" t="inlineStr">
        <is>
          <t>SUP-01</t>
        </is>
      </c>
      <c r="D4370" t="inlineStr">
        <is>
          <t>ELEC</t>
        </is>
      </c>
      <c r="E4370" t="inlineStr">
        <is>
          <t>ELEC-08</t>
        </is>
      </c>
      <c r="F4370" s="17" t="n">
        <v>46220</v>
      </c>
      <c r="G4370" s="17" t="n">
        <v>46238</v>
      </c>
      <c r="H4370" s="18" t="n">
        <v>198</v>
      </c>
      <c r="I4370" s="19" t="n">
        <v>18.24</v>
      </c>
      <c r="J4370" s="19" t="n">
        <v>18</v>
      </c>
      <c r="K4370" s="20" t="n">
        <v>0</v>
      </c>
      <c r="L4370" s="20" t="n">
        <v>0</v>
      </c>
      <c r="M4370" s="18" t="n">
        <v>198</v>
      </c>
      <c r="N4370" s="18" t="n">
        <v>0</v>
      </c>
      <c r="O4370" s="18" t="n">
        <v>0</v>
      </c>
      <c r="P4370" s="17" t="n">
        <v>46239</v>
      </c>
      <c r="Q4370" s="17" t="n">
        <v>46239</v>
      </c>
      <c r="R4370" s="17" t="n">
        <v>46239</v>
      </c>
      <c r="S4370" s="19">
        <f>H4370*I4370</f>
        <v/>
      </c>
      <c r="T4370" s="19">
        <f>H4370*J4370</f>
        <v/>
      </c>
      <c r="U4370">
        <f>IF(AND(K4370=0,G4370&lt;=Assumptions!$C$6),1,0)</f>
        <v/>
      </c>
      <c r="V4370">
        <f>IF(U4370=1,IF(M4370&gt;0,IF(P4370&lt;=G4370+Assumptions!$C$7,1,0),0),0)</f>
        <v/>
      </c>
      <c r="W4370">
        <f>IF(AND(U4370=1,M4370&gt;=H4370*(1-Assumptions!$C$8)),1,0)</f>
        <v/>
      </c>
      <c r="X4370">
        <f>IF(AND(U4370=1,N4370&gt;=H4370*(1-Assumptions!$C$8)),1,0)</f>
        <v/>
      </c>
      <c r="Y4370">
        <f>IF(ISNUMBER(Q4370),1,0)</f>
        <v/>
      </c>
      <c r="Z4370">
        <f>IF(AND(K4370=0,L4370=0,Y4370=0),1,0)</f>
        <v/>
      </c>
      <c r="AA4370">
        <f>IF(AND(Z4370=1,G4370&lt;Assumptions!$C$6),1,0)</f>
        <v/>
      </c>
      <c r="AB4370">
        <f>IF(U4370=0,"",IF(Y4370=1,MAX(0,Q4370-G4370),IF(L4370=1,MAX(0,R4370-G4370),MAX(0,Assumptions!$C$6-G4370))))</f>
        <v/>
      </c>
      <c r="AC4370">
        <f>IF(Y4370=1,Q4370-F4370,"")</f>
        <v/>
      </c>
      <c r="AD4370">
        <f>IF(Y4370=1,AC4370^2,"")</f>
        <v/>
      </c>
      <c r="AE4370" s="19">
        <f>IF(Z4370=1,(H4370-M4370)*I4370,0)</f>
        <v/>
      </c>
      <c r="AF4370">
        <f>IF(G4370&lt;EDATE(Assumptions!$C$6,-12)+1,"prior_12m","last_12m")</f>
        <v/>
      </c>
      <c r="AG4370" s="21">
        <f>DATE(YEAR(G4370),MONTH(G4370),1)</f>
        <v/>
      </c>
    </row>
    <row r="4371">
      <c r="A4371" t="inlineStr">
        <is>
          <t>SPO-02337-1</t>
        </is>
      </c>
      <c r="B4371" t="inlineStr">
        <is>
          <t>SPO-02337</t>
        </is>
      </c>
      <c r="C4371" t="inlineStr">
        <is>
          <t>SUP-01</t>
        </is>
      </c>
      <c r="D4371" t="inlineStr">
        <is>
          <t>ELEC</t>
        </is>
      </c>
      <c r="E4371" t="inlineStr">
        <is>
          <t>ELEC-06</t>
        </is>
      </c>
      <c r="F4371" s="17" t="n">
        <v>46220</v>
      </c>
      <c r="G4371" s="17" t="n">
        <v>46238</v>
      </c>
      <c r="H4371" s="18" t="n">
        <v>42</v>
      </c>
      <c r="I4371" s="19" t="n">
        <v>150.65</v>
      </c>
      <c r="J4371" s="19" t="n">
        <v>145</v>
      </c>
      <c r="K4371" s="20" t="n">
        <v>0</v>
      </c>
      <c r="L4371" s="20" t="n">
        <v>0</v>
      </c>
      <c r="M4371" s="18" t="n">
        <v>42</v>
      </c>
      <c r="N4371" s="18" t="n">
        <v>42</v>
      </c>
      <c r="O4371" s="18" t="n">
        <v>0</v>
      </c>
      <c r="P4371" s="17" t="n">
        <v>46224</v>
      </c>
      <c r="Q4371" s="17" t="n">
        <v>46224</v>
      </c>
      <c r="R4371" s="17" t="n">
        <v>46224</v>
      </c>
      <c r="S4371" s="19">
        <f>H4371*I4371</f>
        <v/>
      </c>
      <c r="T4371" s="19">
        <f>H4371*J4371</f>
        <v/>
      </c>
      <c r="U4371">
        <f>IF(AND(K4371=0,G4371&lt;=Assumptions!$C$6),1,0)</f>
        <v/>
      </c>
      <c r="V4371">
        <f>IF(U4371=1,IF(M4371&gt;0,IF(P4371&lt;=G4371+Assumptions!$C$7,1,0),0),0)</f>
        <v/>
      </c>
      <c r="W4371">
        <f>IF(AND(U4371=1,M4371&gt;=H4371*(1-Assumptions!$C$8)),1,0)</f>
        <v/>
      </c>
      <c r="X4371">
        <f>IF(AND(U4371=1,N4371&gt;=H4371*(1-Assumptions!$C$8)),1,0)</f>
        <v/>
      </c>
      <c r="Y4371">
        <f>IF(ISNUMBER(Q4371),1,0)</f>
        <v/>
      </c>
      <c r="Z4371">
        <f>IF(AND(K4371=0,L4371=0,Y4371=0),1,0)</f>
        <v/>
      </c>
      <c r="AA4371">
        <f>IF(AND(Z4371=1,G4371&lt;Assumptions!$C$6),1,0)</f>
        <v/>
      </c>
      <c r="AB4371">
        <f>IF(U4371=0,"",IF(Y4371=1,MAX(0,Q4371-G4371),IF(L4371=1,MAX(0,R4371-G4371),MAX(0,Assumptions!$C$6-G4371))))</f>
        <v/>
      </c>
      <c r="AC4371">
        <f>IF(Y4371=1,Q4371-F4371,"")</f>
        <v/>
      </c>
      <c r="AD4371">
        <f>IF(Y4371=1,AC4371^2,"")</f>
        <v/>
      </c>
      <c r="AE4371" s="19">
        <f>IF(Z4371=1,(H4371-M4371)*I4371,0)</f>
        <v/>
      </c>
      <c r="AF4371">
        <f>IF(G4371&lt;EDATE(Assumptions!$C$6,-12)+1,"prior_12m","last_12m")</f>
        <v/>
      </c>
      <c r="AG4371" s="21">
        <f>DATE(YEAR(G4371),MONTH(G4371),1)</f>
        <v/>
      </c>
    </row>
    <row r="4372">
      <c r="A4372" t="inlineStr">
        <is>
          <t>SPO-02337-2</t>
        </is>
      </c>
      <c r="B4372" t="inlineStr">
        <is>
          <t>SPO-02337</t>
        </is>
      </c>
      <c r="C4372" t="inlineStr">
        <is>
          <t>SUP-01</t>
        </is>
      </c>
      <c r="D4372" t="inlineStr">
        <is>
          <t>ELEC</t>
        </is>
      </c>
      <c r="E4372" t="inlineStr">
        <is>
          <t>ELEC-08</t>
        </is>
      </c>
      <c r="F4372" s="17" t="n">
        <v>46220</v>
      </c>
      <c r="G4372" s="17" t="n">
        <v>46238</v>
      </c>
      <c r="H4372" s="18" t="n">
        <v>143</v>
      </c>
      <c r="I4372" s="19" t="n">
        <v>17.93</v>
      </c>
      <c r="J4372" s="19" t="n">
        <v>18</v>
      </c>
      <c r="K4372" s="20" t="n">
        <v>0</v>
      </c>
      <c r="L4372" s="20" t="n">
        <v>0</v>
      </c>
      <c r="M4372" s="18" t="n">
        <v>143</v>
      </c>
      <c r="N4372" s="18" t="n">
        <v>143</v>
      </c>
      <c r="O4372" s="18" t="n">
        <v>0</v>
      </c>
      <c r="P4372" s="17" t="n">
        <v>46232</v>
      </c>
      <c r="Q4372" s="17" t="n">
        <v>46232</v>
      </c>
      <c r="R4372" s="17" t="n">
        <v>46232</v>
      </c>
      <c r="S4372" s="19">
        <f>H4372*I4372</f>
        <v/>
      </c>
      <c r="T4372" s="19">
        <f>H4372*J4372</f>
        <v/>
      </c>
      <c r="U4372">
        <f>IF(AND(K4372=0,G4372&lt;=Assumptions!$C$6),1,0)</f>
        <v/>
      </c>
      <c r="V4372">
        <f>IF(U4372=1,IF(M4372&gt;0,IF(P4372&lt;=G4372+Assumptions!$C$7,1,0),0),0)</f>
        <v/>
      </c>
      <c r="W4372">
        <f>IF(AND(U4372=1,M4372&gt;=H4372*(1-Assumptions!$C$8)),1,0)</f>
        <v/>
      </c>
      <c r="X4372">
        <f>IF(AND(U4372=1,N4372&gt;=H4372*(1-Assumptions!$C$8)),1,0)</f>
        <v/>
      </c>
      <c r="Y4372">
        <f>IF(ISNUMBER(Q4372),1,0)</f>
        <v/>
      </c>
      <c r="Z4372">
        <f>IF(AND(K4372=0,L4372=0,Y4372=0),1,0)</f>
        <v/>
      </c>
      <c r="AA4372">
        <f>IF(AND(Z4372=1,G4372&lt;Assumptions!$C$6),1,0)</f>
        <v/>
      </c>
      <c r="AB4372">
        <f>IF(U4372=0,"",IF(Y4372=1,MAX(0,Q4372-G4372),IF(L4372=1,MAX(0,R4372-G4372),MAX(0,Assumptions!$C$6-G4372))))</f>
        <v/>
      </c>
      <c r="AC4372">
        <f>IF(Y4372=1,Q4372-F4372,"")</f>
        <v/>
      </c>
      <c r="AD4372">
        <f>IF(Y4372=1,AC4372^2,"")</f>
        <v/>
      </c>
      <c r="AE4372" s="19">
        <f>IF(Z4372=1,(H4372-M4372)*I4372,0)</f>
        <v/>
      </c>
      <c r="AF4372">
        <f>IF(G4372&lt;EDATE(Assumptions!$C$6,-12)+1,"prior_12m","last_12m")</f>
        <v/>
      </c>
      <c r="AG4372" s="21">
        <f>DATE(YEAR(G4372),MONTH(G4372),1)</f>
        <v/>
      </c>
    </row>
    <row r="4373">
      <c r="A4373" t="inlineStr">
        <is>
          <t>SPO-02338-1</t>
        </is>
      </c>
      <c r="B4373" t="inlineStr">
        <is>
          <t>SPO-02338</t>
        </is>
      </c>
      <c r="C4373" t="inlineStr">
        <is>
          <t>SUP-02</t>
        </is>
      </c>
      <c r="D4373" t="inlineStr">
        <is>
          <t>ELEC</t>
        </is>
      </c>
      <c r="E4373" t="inlineStr">
        <is>
          <t>ELEC-02</t>
        </is>
      </c>
      <c r="F4373" s="17" t="n">
        <v>46220</v>
      </c>
      <c r="G4373" s="17" t="n">
        <v>46236</v>
      </c>
      <c r="H4373" s="18" t="n">
        <v>330</v>
      </c>
      <c r="I4373" s="19" t="n">
        <v>4.17</v>
      </c>
      <c r="J4373" s="19" t="n">
        <v>4.2</v>
      </c>
      <c r="K4373" s="20" t="n">
        <v>0</v>
      </c>
      <c r="L4373" s="20" t="n">
        <v>0</v>
      </c>
      <c r="M4373" s="18" t="n">
        <v>330</v>
      </c>
      <c r="N4373" s="18" t="n">
        <v>330</v>
      </c>
      <c r="O4373" s="18" t="n">
        <v>0</v>
      </c>
      <c r="P4373" s="17" t="n">
        <v>46234</v>
      </c>
      <c r="Q4373" s="17" t="n">
        <v>46234</v>
      </c>
      <c r="R4373" s="17" t="n">
        <v>46234</v>
      </c>
      <c r="S4373" s="19">
        <f>H4373*I4373</f>
        <v/>
      </c>
      <c r="T4373" s="19">
        <f>H4373*J4373</f>
        <v/>
      </c>
      <c r="U4373">
        <f>IF(AND(K4373=0,G4373&lt;=Assumptions!$C$6),1,0)</f>
        <v/>
      </c>
      <c r="V4373">
        <f>IF(U4373=1,IF(M4373&gt;0,IF(P4373&lt;=G4373+Assumptions!$C$7,1,0),0),0)</f>
        <v/>
      </c>
      <c r="W4373">
        <f>IF(AND(U4373=1,M4373&gt;=H4373*(1-Assumptions!$C$8)),1,0)</f>
        <v/>
      </c>
      <c r="X4373">
        <f>IF(AND(U4373=1,N4373&gt;=H4373*(1-Assumptions!$C$8)),1,0)</f>
        <v/>
      </c>
      <c r="Y4373">
        <f>IF(ISNUMBER(Q4373),1,0)</f>
        <v/>
      </c>
      <c r="Z4373">
        <f>IF(AND(K4373=0,L4373=0,Y4373=0),1,0)</f>
        <v/>
      </c>
      <c r="AA4373">
        <f>IF(AND(Z4373=1,G4373&lt;Assumptions!$C$6),1,0)</f>
        <v/>
      </c>
      <c r="AB4373">
        <f>IF(U4373=0,"",IF(Y4373=1,MAX(0,Q4373-G4373),IF(L4373=1,MAX(0,R4373-G4373),MAX(0,Assumptions!$C$6-G4373))))</f>
        <v/>
      </c>
      <c r="AC4373">
        <f>IF(Y4373=1,Q4373-F4373,"")</f>
        <v/>
      </c>
      <c r="AD4373">
        <f>IF(Y4373=1,AC4373^2,"")</f>
        <v/>
      </c>
      <c r="AE4373" s="19">
        <f>IF(Z4373=1,(H4373-M4373)*I4373,0)</f>
        <v/>
      </c>
      <c r="AF4373">
        <f>IF(G4373&lt;EDATE(Assumptions!$C$6,-12)+1,"prior_12m","last_12m")</f>
        <v/>
      </c>
      <c r="AG4373" s="21">
        <f>DATE(YEAR(G4373),MONTH(G4373),1)</f>
        <v/>
      </c>
    </row>
    <row r="4374">
      <c r="A4374" t="inlineStr">
        <is>
          <t>SPO-02338-2</t>
        </is>
      </c>
      <c r="B4374" t="inlineStr">
        <is>
          <t>SPO-02338</t>
        </is>
      </c>
      <c r="C4374" t="inlineStr">
        <is>
          <t>SUP-02</t>
        </is>
      </c>
      <c r="D4374" t="inlineStr">
        <is>
          <t>ELEC</t>
        </is>
      </c>
      <c r="E4374" t="inlineStr">
        <is>
          <t>ELEC-04</t>
        </is>
      </c>
      <c r="F4374" s="17" t="n">
        <v>46220</v>
      </c>
      <c r="G4374" s="17" t="n">
        <v>46236</v>
      </c>
      <c r="H4374" s="18" t="n">
        <v>30</v>
      </c>
      <c r="I4374" s="19" t="n">
        <v>69.23</v>
      </c>
      <c r="J4374" s="19" t="n">
        <v>72</v>
      </c>
      <c r="K4374" s="20" t="n">
        <v>0</v>
      </c>
      <c r="L4374" s="20" t="n">
        <v>0</v>
      </c>
      <c r="M4374" s="18" t="n">
        <v>30</v>
      </c>
      <c r="N4374" s="18" t="n">
        <v>30</v>
      </c>
      <c r="O4374" s="18" t="n">
        <v>0</v>
      </c>
      <c r="P4374" s="17" t="n">
        <v>46232</v>
      </c>
      <c r="Q4374" s="17" t="n">
        <v>46232</v>
      </c>
      <c r="R4374" s="17" t="n">
        <v>46232</v>
      </c>
      <c r="S4374" s="19">
        <f>H4374*I4374</f>
        <v/>
      </c>
      <c r="T4374" s="19">
        <f>H4374*J4374</f>
        <v/>
      </c>
      <c r="U4374">
        <f>IF(AND(K4374=0,G4374&lt;=Assumptions!$C$6),1,0)</f>
        <v/>
      </c>
      <c r="V4374">
        <f>IF(U4374=1,IF(M4374&gt;0,IF(P4374&lt;=G4374+Assumptions!$C$7,1,0),0),0)</f>
        <v/>
      </c>
      <c r="W4374">
        <f>IF(AND(U4374=1,M4374&gt;=H4374*(1-Assumptions!$C$8)),1,0)</f>
        <v/>
      </c>
      <c r="X4374">
        <f>IF(AND(U4374=1,N4374&gt;=H4374*(1-Assumptions!$C$8)),1,0)</f>
        <v/>
      </c>
      <c r="Y4374">
        <f>IF(ISNUMBER(Q4374),1,0)</f>
        <v/>
      </c>
      <c r="Z4374">
        <f>IF(AND(K4374=0,L4374=0,Y4374=0),1,0)</f>
        <v/>
      </c>
      <c r="AA4374">
        <f>IF(AND(Z4374=1,G4374&lt;Assumptions!$C$6),1,0)</f>
        <v/>
      </c>
      <c r="AB4374">
        <f>IF(U4374=0,"",IF(Y4374=1,MAX(0,Q4374-G4374),IF(L4374=1,MAX(0,R4374-G4374),MAX(0,Assumptions!$C$6-G4374))))</f>
        <v/>
      </c>
      <c r="AC4374">
        <f>IF(Y4374=1,Q4374-F4374,"")</f>
        <v/>
      </c>
      <c r="AD4374">
        <f>IF(Y4374=1,AC4374^2,"")</f>
        <v/>
      </c>
      <c r="AE4374" s="19">
        <f>IF(Z4374=1,(H4374-M4374)*I4374,0)</f>
        <v/>
      </c>
      <c r="AF4374">
        <f>IF(G4374&lt;EDATE(Assumptions!$C$6,-12)+1,"prior_12m","last_12m")</f>
        <v/>
      </c>
      <c r="AG4374" s="21">
        <f>DATE(YEAR(G4374),MONTH(G4374),1)</f>
        <v/>
      </c>
    </row>
    <row r="4375">
      <c r="A4375" t="inlineStr">
        <is>
          <t>SPO-02339-1</t>
        </is>
      </c>
      <c r="B4375" t="inlineStr">
        <is>
          <t>SPO-02339</t>
        </is>
      </c>
      <c r="C4375" t="inlineStr">
        <is>
          <t>SUP-12</t>
        </is>
      </c>
      <c r="D4375" t="inlineStr">
        <is>
          <t>IT</t>
        </is>
      </c>
      <c r="E4375" t="inlineStr">
        <is>
          <t>IT-06</t>
        </is>
      </c>
      <c r="F4375" s="17" t="n">
        <v>46221</v>
      </c>
      <c r="G4375" s="17" t="n">
        <v>46231</v>
      </c>
      <c r="H4375" s="18" t="n">
        <v>31</v>
      </c>
      <c r="I4375" s="19" t="n">
        <v>100.95</v>
      </c>
      <c r="J4375" s="19" t="n">
        <v>89</v>
      </c>
      <c r="K4375" s="20" t="n">
        <v>0</v>
      </c>
      <c r="L4375" s="20" t="n">
        <v>0</v>
      </c>
      <c r="M4375" s="18" t="n">
        <v>31</v>
      </c>
      <c r="N4375" s="18" t="n">
        <v>31</v>
      </c>
      <c r="O4375" s="18" t="n">
        <v>0</v>
      </c>
      <c r="P4375" s="17" t="n">
        <v>46227</v>
      </c>
      <c r="Q4375" s="17" t="n">
        <v>46227</v>
      </c>
      <c r="R4375" s="17" t="n">
        <v>46227</v>
      </c>
      <c r="S4375" s="19">
        <f>H4375*I4375</f>
        <v/>
      </c>
      <c r="T4375" s="19">
        <f>H4375*J4375</f>
        <v/>
      </c>
      <c r="U4375">
        <f>IF(AND(K4375=0,G4375&lt;=Assumptions!$C$6),1,0)</f>
        <v/>
      </c>
      <c r="V4375">
        <f>IF(U4375=1,IF(M4375&gt;0,IF(P4375&lt;=G4375+Assumptions!$C$7,1,0),0),0)</f>
        <v/>
      </c>
      <c r="W4375">
        <f>IF(AND(U4375=1,M4375&gt;=H4375*(1-Assumptions!$C$8)),1,0)</f>
        <v/>
      </c>
      <c r="X4375">
        <f>IF(AND(U4375=1,N4375&gt;=H4375*(1-Assumptions!$C$8)),1,0)</f>
        <v/>
      </c>
      <c r="Y4375">
        <f>IF(ISNUMBER(Q4375),1,0)</f>
        <v/>
      </c>
      <c r="Z4375">
        <f>IF(AND(K4375=0,L4375=0,Y4375=0),1,0)</f>
        <v/>
      </c>
      <c r="AA4375">
        <f>IF(AND(Z4375=1,G4375&lt;Assumptions!$C$6),1,0)</f>
        <v/>
      </c>
      <c r="AB4375">
        <f>IF(U4375=0,"",IF(Y4375=1,MAX(0,Q4375-G4375),IF(L4375=1,MAX(0,R4375-G4375),MAX(0,Assumptions!$C$6-G4375))))</f>
        <v/>
      </c>
      <c r="AC4375">
        <f>IF(Y4375=1,Q4375-F4375,"")</f>
        <v/>
      </c>
      <c r="AD4375">
        <f>IF(Y4375=1,AC4375^2,"")</f>
        <v/>
      </c>
      <c r="AE4375" s="19">
        <f>IF(Z4375=1,(H4375-M4375)*I4375,0)</f>
        <v/>
      </c>
      <c r="AF4375">
        <f>IF(G4375&lt;EDATE(Assumptions!$C$6,-12)+1,"prior_12m","last_12m")</f>
        <v/>
      </c>
      <c r="AG4375" s="21">
        <f>DATE(YEAR(G4375),MONTH(G4375),1)</f>
        <v/>
      </c>
    </row>
    <row r="4376">
      <c r="A4376" t="inlineStr">
        <is>
          <t>SPO-02340-1</t>
        </is>
      </c>
      <c r="B4376" t="inlineStr">
        <is>
          <t>SPO-02340</t>
        </is>
      </c>
      <c r="C4376" t="inlineStr">
        <is>
          <t>SUP-08</t>
        </is>
      </c>
      <c r="D4376" t="inlineStr">
        <is>
          <t>MRO</t>
        </is>
      </c>
      <c r="E4376" t="inlineStr">
        <is>
          <t>MRO-05</t>
        </is>
      </c>
      <c r="F4376" s="17" t="n">
        <v>46221</v>
      </c>
      <c r="G4376" s="17" t="n">
        <v>46232</v>
      </c>
      <c r="H4376" s="18" t="n">
        <v>80</v>
      </c>
      <c r="I4376" s="19" t="n">
        <v>35.59</v>
      </c>
      <c r="J4376" s="19" t="n">
        <v>36</v>
      </c>
      <c r="K4376" s="20" t="n">
        <v>0</v>
      </c>
      <c r="L4376" s="20" t="n">
        <v>0</v>
      </c>
      <c r="M4376" s="18" t="n">
        <v>80</v>
      </c>
      <c r="N4376" s="18" t="n">
        <v>80</v>
      </c>
      <c r="O4376" s="18" t="n">
        <v>0</v>
      </c>
      <c r="P4376" s="17" t="n">
        <v>46232</v>
      </c>
      <c r="Q4376" s="17" t="n">
        <v>46232</v>
      </c>
      <c r="R4376" s="17" t="n">
        <v>46232</v>
      </c>
      <c r="S4376" s="19">
        <f>H4376*I4376</f>
        <v/>
      </c>
      <c r="T4376" s="19">
        <f>H4376*J4376</f>
        <v/>
      </c>
      <c r="U4376">
        <f>IF(AND(K4376=0,G4376&lt;=Assumptions!$C$6),1,0)</f>
        <v/>
      </c>
      <c r="V4376">
        <f>IF(U4376=1,IF(M4376&gt;0,IF(P4376&lt;=G4376+Assumptions!$C$7,1,0),0),0)</f>
        <v/>
      </c>
      <c r="W4376">
        <f>IF(AND(U4376=1,M4376&gt;=H4376*(1-Assumptions!$C$8)),1,0)</f>
        <v/>
      </c>
      <c r="X4376">
        <f>IF(AND(U4376=1,N4376&gt;=H4376*(1-Assumptions!$C$8)),1,0)</f>
        <v/>
      </c>
      <c r="Y4376">
        <f>IF(ISNUMBER(Q4376),1,0)</f>
        <v/>
      </c>
      <c r="Z4376">
        <f>IF(AND(K4376=0,L4376=0,Y4376=0),1,0)</f>
        <v/>
      </c>
      <c r="AA4376">
        <f>IF(AND(Z4376=1,G4376&lt;Assumptions!$C$6),1,0)</f>
        <v/>
      </c>
      <c r="AB4376">
        <f>IF(U4376=0,"",IF(Y4376=1,MAX(0,Q4376-G4376),IF(L4376=1,MAX(0,R4376-G4376),MAX(0,Assumptions!$C$6-G4376))))</f>
        <v/>
      </c>
      <c r="AC4376">
        <f>IF(Y4376=1,Q4376-F4376,"")</f>
        <v/>
      </c>
      <c r="AD4376">
        <f>IF(Y4376=1,AC4376^2,"")</f>
        <v/>
      </c>
      <c r="AE4376" s="19">
        <f>IF(Z4376=1,(H4376-M4376)*I4376,0)</f>
        <v/>
      </c>
      <c r="AF4376">
        <f>IF(G4376&lt;EDATE(Assumptions!$C$6,-12)+1,"prior_12m","last_12m")</f>
        <v/>
      </c>
      <c r="AG4376" s="21">
        <f>DATE(YEAR(G4376),MONTH(G4376),1)</f>
        <v/>
      </c>
    </row>
    <row r="4377">
      <c r="A4377" t="inlineStr">
        <is>
          <t>SPO-02340-2</t>
        </is>
      </c>
      <c r="B4377" t="inlineStr">
        <is>
          <t>SPO-02340</t>
        </is>
      </c>
      <c r="C4377" t="inlineStr">
        <is>
          <t>SUP-08</t>
        </is>
      </c>
      <c r="D4377" t="inlineStr">
        <is>
          <t>MRO</t>
        </is>
      </c>
      <c r="E4377" t="inlineStr">
        <is>
          <t>MRO-04</t>
        </is>
      </c>
      <c r="F4377" s="17" t="n">
        <v>46221</v>
      </c>
      <c r="G4377" s="17" t="n">
        <v>46232</v>
      </c>
      <c r="H4377" s="18" t="n">
        <v>49</v>
      </c>
      <c r="I4377" s="19" t="n">
        <v>59.22</v>
      </c>
      <c r="J4377" s="19" t="n">
        <v>58</v>
      </c>
      <c r="K4377" s="20" t="n">
        <v>0</v>
      </c>
      <c r="L4377" s="20" t="n">
        <v>0</v>
      </c>
      <c r="M4377" s="18" t="n">
        <v>49</v>
      </c>
      <c r="N4377" s="18" t="n">
        <v>49</v>
      </c>
      <c r="O4377" s="18" t="n">
        <v>0</v>
      </c>
      <c r="P4377" s="17" t="n">
        <v>46230</v>
      </c>
      <c r="Q4377" s="17" t="n">
        <v>46230</v>
      </c>
      <c r="R4377" s="17" t="n">
        <v>46230</v>
      </c>
      <c r="S4377" s="19">
        <f>H4377*I4377</f>
        <v/>
      </c>
      <c r="T4377" s="19">
        <f>H4377*J4377</f>
        <v/>
      </c>
      <c r="U4377">
        <f>IF(AND(K4377=0,G4377&lt;=Assumptions!$C$6),1,0)</f>
        <v/>
      </c>
      <c r="V4377">
        <f>IF(U4377=1,IF(M4377&gt;0,IF(P4377&lt;=G4377+Assumptions!$C$7,1,0),0),0)</f>
        <v/>
      </c>
      <c r="W4377">
        <f>IF(AND(U4377=1,M4377&gt;=H4377*(1-Assumptions!$C$8)),1,0)</f>
        <v/>
      </c>
      <c r="X4377">
        <f>IF(AND(U4377=1,N4377&gt;=H4377*(1-Assumptions!$C$8)),1,0)</f>
        <v/>
      </c>
      <c r="Y4377">
        <f>IF(ISNUMBER(Q4377),1,0)</f>
        <v/>
      </c>
      <c r="Z4377">
        <f>IF(AND(K4377=0,L4377=0,Y4377=0),1,0)</f>
        <v/>
      </c>
      <c r="AA4377">
        <f>IF(AND(Z4377=1,G4377&lt;Assumptions!$C$6),1,0)</f>
        <v/>
      </c>
      <c r="AB4377">
        <f>IF(U4377=0,"",IF(Y4377=1,MAX(0,Q4377-G4377),IF(L4377=1,MAX(0,R4377-G4377),MAX(0,Assumptions!$C$6-G4377))))</f>
        <v/>
      </c>
      <c r="AC4377">
        <f>IF(Y4377=1,Q4377-F4377,"")</f>
        <v/>
      </c>
      <c r="AD4377">
        <f>IF(Y4377=1,AC4377^2,"")</f>
        <v/>
      </c>
      <c r="AE4377" s="19">
        <f>IF(Z4377=1,(H4377-M4377)*I4377,0)</f>
        <v/>
      </c>
      <c r="AF4377">
        <f>IF(G4377&lt;EDATE(Assumptions!$C$6,-12)+1,"prior_12m","last_12m")</f>
        <v/>
      </c>
      <c r="AG4377" s="21">
        <f>DATE(YEAR(G4377),MONTH(G4377),1)</f>
        <v/>
      </c>
    </row>
    <row r="4378">
      <c r="A4378" t="inlineStr">
        <is>
          <t>SPO-02340-3</t>
        </is>
      </c>
      <c r="B4378" t="inlineStr">
        <is>
          <t>SPO-02340</t>
        </is>
      </c>
      <c r="C4378" t="inlineStr">
        <is>
          <t>SUP-08</t>
        </is>
      </c>
      <c r="D4378" t="inlineStr">
        <is>
          <t>MRO</t>
        </is>
      </c>
      <c r="E4378" t="inlineStr">
        <is>
          <t>MRO-01</t>
        </is>
      </c>
      <c r="F4378" s="17" t="n">
        <v>46221</v>
      </c>
      <c r="G4378" s="17" t="n">
        <v>46232</v>
      </c>
      <c r="H4378" s="18" t="n">
        <v>24</v>
      </c>
      <c r="I4378" s="19" t="n">
        <v>51.1</v>
      </c>
      <c r="J4378" s="19" t="n">
        <v>52</v>
      </c>
      <c r="K4378" s="20" t="n">
        <v>0</v>
      </c>
      <c r="L4378" s="20" t="n">
        <v>0</v>
      </c>
      <c r="M4378" s="18" t="n">
        <v>24</v>
      </c>
      <c r="N4378" s="18" t="n">
        <v>24</v>
      </c>
      <c r="O4378" s="18" t="n">
        <v>0</v>
      </c>
      <c r="P4378" s="17" t="n">
        <v>46230</v>
      </c>
      <c r="Q4378" s="17" t="n">
        <v>46230</v>
      </c>
      <c r="R4378" s="17" t="n">
        <v>46230</v>
      </c>
      <c r="S4378" s="19">
        <f>H4378*I4378</f>
        <v/>
      </c>
      <c r="T4378" s="19">
        <f>H4378*J4378</f>
        <v/>
      </c>
      <c r="U4378">
        <f>IF(AND(K4378=0,G4378&lt;=Assumptions!$C$6),1,0)</f>
        <v/>
      </c>
      <c r="V4378">
        <f>IF(U4378=1,IF(M4378&gt;0,IF(P4378&lt;=G4378+Assumptions!$C$7,1,0),0),0)</f>
        <v/>
      </c>
      <c r="W4378">
        <f>IF(AND(U4378=1,M4378&gt;=H4378*(1-Assumptions!$C$8)),1,0)</f>
        <v/>
      </c>
      <c r="X4378">
        <f>IF(AND(U4378=1,N4378&gt;=H4378*(1-Assumptions!$C$8)),1,0)</f>
        <v/>
      </c>
      <c r="Y4378">
        <f>IF(ISNUMBER(Q4378),1,0)</f>
        <v/>
      </c>
      <c r="Z4378">
        <f>IF(AND(K4378=0,L4378=0,Y4378=0),1,0)</f>
        <v/>
      </c>
      <c r="AA4378">
        <f>IF(AND(Z4378=1,G4378&lt;Assumptions!$C$6),1,0)</f>
        <v/>
      </c>
      <c r="AB4378">
        <f>IF(U4378=0,"",IF(Y4378=1,MAX(0,Q4378-G4378),IF(L4378=1,MAX(0,R4378-G4378),MAX(0,Assumptions!$C$6-G4378))))</f>
        <v/>
      </c>
      <c r="AC4378">
        <f>IF(Y4378=1,Q4378-F4378,"")</f>
        <v/>
      </c>
      <c r="AD4378">
        <f>IF(Y4378=1,AC4378^2,"")</f>
        <v/>
      </c>
      <c r="AE4378" s="19">
        <f>IF(Z4378=1,(H4378-M4378)*I4378,0)</f>
        <v/>
      </c>
      <c r="AF4378">
        <f>IF(G4378&lt;EDATE(Assumptions!$C$6,-12)+1,"prior_12m","last_12m")</f>
        <v/>
      </c>
      <c r="AG4378" s="21">
        <f>DATE(YEAR(G4378),MONTH(G4378),1)</f>
        <v/>
      </c>
    </row>
    <row r="4379">
      <c r="A4379" t="inlineStr">
        <is>
          <t>SPO-02341-1</t>
        </is>
      </c>
      <c r="B4379" t="inlineStr">
        <is>
          <t>SPO-02341</t>
        </is>
      </c>
      <c r="C4379" t="inlineStr">
        <is>
          <t>SUP-06</t>
        </is>
      </c>
      <c r="D4379" t="inlineStr">
        <is>
          <t>MRO</t>
        </is>
      </c>
      <c r="E4379" t="inlineStr">
        <is>
          <t>MRO-08</t>
        </is>
      </c>
      <c r="F4379" s="17" t="n">
        <v>46221</v>
      </c>
      <c r="G4379" s="17" t="n">
        <v>46229</v>
      </c>
      <c r="H4379" s="18" t="n">
        <v>65</v>
      </c>
      <c r="I4379" s="19" t="n">
        <v>6.91</v>
      </c>
      <c r="J4379" s="19" t="n">
        <v>7.2</v>
      </c>
      <c r="K4379" s="20" t="n">
        <v>0</v>
      </c>
      <c r="L4379" s="20" t="n">
        <v>0</v>
      </c>
      <c r="M4379" s="18" t="n">
        <v>65</v>
      </c>
      <c r="N4379" s="18" t="n">
        <v>0</v>
      </c>
      <c r="O4379" s="18" t="n">
        <v>0</v>
      </c>
      <c r="P4379" s="17" t="n">
        <v>46230</v>
      </c>
      <c r="Q4379" s="17" t="n">
        <v>46230</v>
      </c>
      <c r="R4379" s="17" t="n">
        <v>46230</v>
      </c>
      <c r="S4379" s="19">
        <f>H4379*I4379</f>
        <v/>
      </c>
      <c r="T4379" s="19">
        <f>H4379*J4379</f>
        <v/>
      </c>
      <c r="U4379">
        <f>IF(AND(K4379=0,G4379&lt;=Assumptions!$C$6),1,0)</f>
        <v/>
      </c>
      <c r="V4379">
        <f>IF(U4379=1,IF(M4379&gt;0,IF(P4379&lt;=G4379+Assumptions!$C$7,1,0),0),0)</f>
        <v/>
      </c>
      <c r="W4379">
        <f>IF(AND(U4379=1,M4379&gt;=H4379*(1-Assumptions!$C$8)),1,0)</f>
        <v/>
      </c>
      <c r="X4379">
        <f>IF(AND(U4379=1,N4379&gt;=H4379*(1-Assumptions!$C$8)),1,0)</f>
        <v/>
      </c>
      <c r="Y4379">
        <f>IF(ISNUMBER(Q4379),1,0)</f>
        <v/>
      </c>
      <c r="Z4379">
        <f>IF(AND(K4379=0,L4379=0,Y4379=0),1,0)</f>
        <v/>
      </c>
      <c r="AA4379">
        <f>IF(AND(Z4379=1,G4379&lt;Assumptions!$C$6),1,0)</f>
        <v/>
      </c>
      <c r="AB4379">
        <f>IF(U4379=0,"",IF(Y4379=1,MAX(0,Q4379-G4379),IF(L4379=1,MAX(0,R4379-G4379),MAX(0,Assumptions!$C$6-G4379))))</f>
        <v/>
      </c>
      <c r="AC4379">
        <f>IF(Y4379=1,Q4379-F4379,"")</f>
        <v/>
      </c>
      <c r="AD4379">
        <f>IF(Y4379=1,AC4379^2,"")</f>
        <v/>
      </c>
      <c r="AE4379" s="19">
        <f>IF(Z4379=1,(H4379-M4379)*I4379,0)</f>
        <v/>
      </c>
      <c r="AF4379">
        <f>IF(G4379&lt;EDATE(Assumptions!$C$6,-12)+1,"prior_12m","last_12m")</f>
        <v/>
      </c>
      <c r="AG4379" s="21">
        <f>DATE(YEAR(G4379),MONTH(G4379),1)</f>
        <v/>
      </c>
    </row>
    <row r="4380">
      <c r="A4380" t="inlineStr">
        <is>
          <t>SPO-02342-1</t>
        </is>
      </c>
      <c r="B4380" t="inlineStr">
        <is>
          <t>SPO-02342</t>
        </is>
      </c>
      <c r="C4380" t="inlineStr">
        <is>
          <t>SUP-02</t>
        </is>
      </c>
      <c r="D4380" t="inlineStr">
        <is>
          <t>ELEC</t>
        </is>
      </c>
      <c r="E4380" t="inlineStr">
        <is>
          <t>ELEC-04</t>
        </is>
      </c>
      <c r="F4380" s="17" t="n">
        <v>46222</v>
      </c>
      <c r="G4380" s="17" t="n">
        <v>46238</v>
      </c>
      <c r="H4380" s="18" t="n">
        <v>38</v>
      </c>
      <c r="I4380" s="19" t="n">
        <v>74.88</v>
      </c>
      <c r="J4380" s="19" t="n">
        <v>72</v>
      </c>
      <c r="K4380" s="20" t="n">
        <v>0</v>
      </c>
      <c r="L4380" s="20" t="n">
        <v>0</v>
      </c>
      <c r="M4380" s="18" t="n">
        <v>38</v>
      </c>
      <c r="N4380" s="18" t="n">
        <v>38</v>
      </c>
      <c r="O4380" s="18" t="n">
        <v>0</v>
      </c>
      <c r="P4380" s="17" t="n">
        <v>46235</v>
      </c>
      <c r="Q4380" s="17" t="n">
        <v>46235</v>
      </c>
      <c r="R4380" s="17" t="n">
        <v>46235</v>
      </c>
      <c r="S4380" s="19">
        <f>H4380*I4380</f>
        <v/>
      </c>
      <c r="T4380" s="19">
        <f>H4380*J4380</f>
        <v/>
      </c>
      <c r="U4380">
        <f>IF(AND(K4380=0,G4380&lt;=Assumptions!$C$6),1,0)</f>
        <v/>
      </c>
      <c r="V4380">
        <f>IF(U4380=1,IF(M4380&gt;0,IF(P4380&lt;=G4380+Assumptions!$C$7,1,0),0),0)</f>
        <v/>
      </c>
      <c r="W4380">
        <f>IF(AND(U4380=1,M4380&gt;=H4380*(1-Assumptions!$C$8)),1,0)</f>
        <v/>
      </c>
      <c r="X4380">
        <f>IF(AND(U4380=1,N4380&gt;=H4380*(1-Assumptions!$C$8)),1,0)</f>
        <v/>
      </c>
      <c r="Y4380">
        <f>IF(ISNUMBER(Q4380),1,0)</f>
        <v/>
      </c>
      <c r="Z4380">
        <f>IF(AND(K4380=0,L4380=0,Y4380=0),1,0)</f>
        <v/>
      </c>
      <c r="AA4380">
        <f>IF(AND(Z4380=1,G4380&lt;Assumptions!$C$6),1,0)</f>
        <v/>
      </c>
      <c r="AB4380">
        <f>IF(U4380=0,"",IF(Y4380=1,MAX(0,Q4380-G4380),IF(L4380=1,MAX(0,R4380-G4380),MAX(0,Assumptions!$C$6-G4380))))</f>
        <v/>
      </c>
      <c r="AC4380">
        <f>IF(Y4380=1,Q4380-F4380,"")</f>
        <v/>
      </c>
      <c r="AD4380">
        <f>IF(Y4380=1,AC4380^2,"")</f>
        <v/>
      </c>
      <c r="AE4380" s="19">
        <f>IF(Z4380=1,(H4380-M4380)*I4380,0)</f>
        <v/>
      </c>
      <c r="AF4380">
        <f>IF(G4380&lt;EDATE(Assumptions!$C$6,-12)+1,"prior_12m","last_12m")</f>
        <v/>
      </c>
      <c r="AG4380" s="21">
        <f>DATE(YEAR(G4380),MONTH(G4380),1)</f>
        <v/>
      </c>
    </row>
    <row r="4381">
      <c r="A4381" t="inlineStr">
        <is>
          <t>SPO-02342-2</t>
        </is>
      </c>
      <c r="B4381" t="inlineStr">
        <is>
          <t>SPO-02342</t>
        </is>
      </c>
      <c r="C4381" t="inlineStr">
        <is>
          <t>SUP-02</t>
        </is>
      </c>
      <c r="D4381" t="inlineStr">
        <is>
          <t>ELEC</t>
        </is>
      </c>
      <c r="E4381" t="inlineStr">
        <is>
          <t>ELEC-08</t>
        </is>
      </c>
      <c r="F4381" s="17" t="n">
        <v>46222</v>
      </c>
      <c r="G4381" s="17" t="n">
        <v>46238</v>
      </c>
      <c r="H4381" s="18" t="n">
        <v>150</v>
      </c>
      <c r="I4381" s="19" t="n">
        <v>17.51</v>
      </c>
      <c r="J4381" s="19" t="n">
        <v>18</v>
      </c>
      <c r="K4381" s="20" t="n">
        <v>0</v>
      </c>
      <c r="L4381" s="20" t="n">
        <v>0</v>
      </c>
      <c r="M4381" s="18" t="n">
        <v>150</v>
      </c>
      <c r="N4381" s="18" t="n">
        <v>150</v>
      </c>
      <c r="O4381" s="18" t="n">
        <v>0</v>
      </c>
      <c r="P4381" s="17" t="n">
        <v>46236</v>
      </c>
      <c r="Q4381" s="17" t="n">
        <v>46236</v>
      </c>
      <c r="R4381" s="17" t="n">
        <v>46236</v>
      </c>
      <c r="S4381" s="19">
        <f>H4381*I4381</f>
        <v/>
      </c>
      <c r="T4381" s="19">
        <f>H4381*J4381</f>
        <v/>
      </c>
      <c r="U4381">
        <f>IF(AND(K4381=0,G4381&lt;=Assumptions!$C$6),1,0)</f>
        <v/>
      </c>
      <c r="V4381">
        <f>IF(U4381=1,IF(M4381&gt;0,IF(P4381&lt;=G4381+Assumptions!$C$7,1,0),0),0)</f>
        <v/>
      </c>
      <c r="W4381">
        <f>IF(AND(U4381=1,M4381&gt;=H4381*(1-Assumptions!$C$8)),1,0)</f>
        <v/>
      </c>
      <c r="X4381">
        <f>IF(AND(U4381=1,N4381&gt;=H4381*(1-Assumptions!$C$8)),1,0)</f>
        <v/>
      </c>
      <c r="Y4381">
        <f>IF(ISNUMBER(Q4381),1,0)</f>
        <v/>
      </c>
      <c r="Z4381">
        <f>IF(AND(K4381=0,L4381=0,Y4381=0),1,0)</f>
        <v/>
      </c>
      <c r="AA4381">
        <f>IF(AND(Z4381=1,G4381&lt;Assumptions!$C$6),1,0)</f>
        <v/>
      </c>
      <c r="AB4381">
        <f>IF(U4381=0,"",IF(Y4381=1,MAX(0,Q4381-G4381),IF(L4381=1,MAX(0,R4381-G4381),MAX(0,Assumptions!$C$6-G4381))))</f>
        <v/>
      </c>
      <c r="AC4381">
        <f>IF(Y4381=1,Q4381-F4381,"")</f>
        <v/>
      </c>
      <c r="AD4381">
        <f>IF(Y4381=1,AC4381^2,"")</f>
        <v/>
      </c>
      <c r="AE4381" s="19">
        <f>IF(Z4381=1,(H4381-M4381)*I4381,0)</f>
        <v/>
      </c>
      <c r="AF4381">
        <f>IF(G4381&lt;EDATE(Assumptions!$C$6,-12)+1,"prior_12m","last_12m")</f>
        <v/>
      </c>
      <c r="AG4381" s="21">
        <f>DATE(YEAR(G4381),MONTH(G4381),1)</f>
        <v/>
      </c>
    </row>
    <row r="4382">
      <c r="A4382" t="inlineStr">
        <is>
          <t>SPO-02343-1</t>
        </is>
      </c>
      <c r="B4382" t="inlineStr">
        <is>
          <t>SPO-02343</t>
        </is>
      </c>
      <c r="C4382" t="inlineStr">
        <is>
          <t>SUP-01</t>
        </is>
      </c>
      <c r="D4382" t="inlineStr">
        <is>
          <t>ELEC</t>
        </is>
      </c>
      <c r="E4382" t="inlineStr">
        <is>
          <t>ELEC-05</t>
        </is>
      </c>
      <c r="F4382" s="17" t="n">
        <v>46222</v>
      </c>
      <c r="G4382" s="17" t="n">
        <v>46240</v>
      </c>
      <c r="H4382" s="18" t="n">
        <v>297</v>
      </c>
      <c r="I4382" s="19" t="n">
        <v>11.91</v>
      </c>
      <c r="J4382" s="19" t="n">
        <v>11.5</v>
      </c>
      <c r="K4382" s="20" t="n">
        <v>0</v>
      </c>
      <c r="L4382" s="20" t="n">
        <v>0</v>
      </c>
      <c r="M4382" s="18" t="n">
        <v>297</v>
      </c>
      <c r="N4382" s="18" t="n">
        <v>297</v>
      </c>
      <c r="O4382" s="18" t="n">
        <v>0</v>
      </c>
      <c r="P4382" s="17" t="n">
        <v>46228</v>
      </c>
      <c r="Q4382" s="17" t="n">
        <v>46228</v>
      </c>
      <c r="R4382" s="17" t="n">
        <v>46228</v>
      </c>
      <c r="S4382" s="19">
        <f>H4382*I4382</f>
        <v/>
      </c>
      <c r="T4382" s="19">
        <f>H4382*J4382</f>
        <v/>
      </c>
      <c r="U4382">
        <f>IF(AND(K4382=0,G4382&lt;=Assumptions!$C$6),1,0)</f>
        <v/>
      </c>
      <c r="V4382">
        <f>IF(U4382=1,IF(M4382&gt;0,IF(P4382&lt;=G4382+Assumptions!$C$7,1,0),0),0)</f>
        <v/>
      </c>
      <c r="W4382">
        <f>IF(AND(U4382=1,M4382&gt;=H4382*(1-Assumptions!$C$8)),1,0)</f>
        <v/>
      </c>
      <c r="X4382">
        <f>IF(AND(U4382=1,N4382&gt;=H4382*(1-Assumptions!$C$8)),1,0)</f>
        <v/>
      </c>
      <c r="Y4382">
        <f>IF(ISNUMBER(Q4382),1,0)</f>
        <v/>
      </c>
      <c r="Z4382">
        <f>IF(AND(K4382=0,L4382=0,Y4382=0),1,0)</f>
        <v/>
      </c>
      <c r="AA4382">
        <f>IF(AND(Z4382=1,G4382&lt;Assumptions!$C$6),1,0)</f>
        <v/>
      </c>
      <c r="AB4382">
        <f>IF(U4382=0,"",IF(Y4382=1,MAX(0,Q4382-G4382),IF(L4382=1,MAX(0,R4382-G4382),MAX(0,Assumptions!$C$6-G4382))))</f>
        <v/>
      </c>
      <c r="AC4382">
        <f>IF(Y4382=1,Q4382-F4382,"")</f>
        <v/>
      </c>
      <c r="AD4382">
        <f>IF(Y4382=1,AC4382^2,"")</f>
        <v/>
      </c>
      <c r="AE4382" s="19">
        <f>IF(Z4382=1,(H4382-M4382)*I4382,0)</f>
        <v/>
      </c>
      <c r="AF4382">
        <f>IF(G4382&lt;EDATE(Assumptions!$C$6,-12)+1,"prior_12m","last_12m")</f>
        <v/>
      </c>
      <c r="AG4382" s="21">
        <f>DATE(YEAR(G4382),MONTH(G4382),1)</f>
        <v/>
      </c>
    </row>
    <row r="4383">
      <c r="A4383" t="inlineStr">
        <is>
          <t>SPO-02344-1</t>
        </is>
      </c>
      <c r="B4383" t="inlineStr">
        <is>
          <t>SPO-02344</t>
        </is>
      </c>
      <c r="C4383" t="inlineStr">
        <is>
          <t>SUP-08</t>
        </is>
      </c>
      <c r="D4383" t="inlineStr">
        <is>
          <t>PPE</t>
        </is>
      </c>
      <c r="E4383" t="inlineStr">
        <is>
          <t>PPE-03</t>
        </is>
      </c>
      <c r="F4383" s="17" t="n">
        <v>46222</v>
      </c>
      <c r="G4383" s="17" t="n">
        <v>46233</v>
      </c>
      <c r="H4383" s="18" t="n">
        <v>60</v>
      </c>
      <c r="I4383" s="19" t="n">
        <v>20.99</v>
      </c>
      <c r="J4383" s="19" t="n">
        <v>21</v>
      </c>
      <c r="K4383" s="20" t="n">
        <v>0</v>
      </c>
      <c r="L4383" s="20" t="n">
        <v>0</v>
      </c>
      <c r="M4383" s="18" t="n">
        <v>60</v>
      </c>
      <c r="N4383" s="18" t="n">
        <v>60</v>
      </c>
      <c r="O4383" s="18" t="n">
        <v>0</v>
      </c>
      <c r="P4383" s="17" t="n">
        <v>46230</v>
      </c>
      <c r="Q4383" s="17" t="n">
        <v>46230</v>
      </c>
      <c r="R4383" s="17" t="n">
        <v>46230</v>
      </c>
      <c r="S4383" s="19">
        <f>H4383*I4383</f>
        <v/>
      </c>
      <c r="T4383" s="19">
        <f>H4383*J4383</f>
        <v/>
      </c>
      <c r="U4383">
        <f>IF(AND(K4383=0,G4383&lt;=Assumptions!$C$6),1,0)</f>
        <v/>
      </c>
      <c r="V4383">
        <f>IF(U4383=1,IF(M4383&gt;0,IF(P4383&lt;=G4383+Assumptions!$C$7,1,0),0),0)</f>
        <v/>
      </c>
      <c r="W4383">
        <f>IF(AND(U4383=1,M4383&gt;=H4383*(1-Assumptions!$C$8)),1,0)</f>
        <v/>
      </c>
      <c r="X4383">
        <f>IF(AND(U4383=1,N4383&gt;=H4383*(1-Assumptions!$C$8)),1,0)</f>
        <v/>
      </c>
      <c r="Y4383">
        <f>IF(ISNUMBER(Q4383),1,0)</f>
        <v/>
      </c>
      <c r="Z4383">
        <f>IF(AND(K4383=0,L4383=0,Y4383=0),1,0)</f>
        <v/>
      </c>
      <c r="AA4383">
        <f>IF(AND(Z4383=1,G4383&lt;Assumptions!$C$6),1,0)</f>
        <v/>
      </c>
      <c r="AB4383">
        <f>IF(U4383=0,"",IF(Y4383=1,MAX(0,Q4383-G4383),IF(L4383=1,MAX(0,R4383-G4383),MAX(0,Assumptions!$C$6-G4383))))</f>
        <v/>
      </c>
      <c r="AC4383">
        <f>IF(Y4383=1,Q4383-F4383,"")</f>
        <v/>
      </c>
      <c r="AD4383">
        <f>IF(Y4383=1,AC4383^2,"")</f>
        <v/>
      </c>
      <c r="AE4383" s="19">
        <f>IF(Z4383=1,(H4383-M4383)*I4383,0)</f>
        <v/>
      </c>
      <c r="AF4383">
        <f>IF(G4383&lt;EDATE(Assumptions!$C$6,-12)+1,"prior_12m","last_12m")</f>
        <v/>
      </c>
      <c r="AG4383" s="21">
        <f>DATE(YEAR(G4383),MONTH(G4383),1)</f>
        <v/>
      </c>
    </row>
    <row r="4384">
      <c r="A4384" t="inlineStr">
        <is>
          <t>SPO-02344-2</t>
        </is>
      </c>
      <c r="B4384" t="inlineStr">
        <is>
          <t>SPO-02344</t>
        </is>
      </c>
      <c r="C4384" t="inlineStr">
        <is>
          <t>SUP-08</t>
        </is>
      </c>
      <c r="D4384" t="inlineStr">
        <is>
          <t>PPE</t>
        </is>
      </c>
      <c r="E4384" t="inlineStr">
        <is>
          <t>PPE-01</t>
        </is>
      </c>
      <c r="F4384" s="17" t="n">
        <v>46222</v>
      </c>
      <c r="G4384" s="17" t="n">
        <v>46233</v>
      </c>
      <c r="H4384" s="18" t="n">
        <v>378</v>
      </c>
      <c r="I4384" s="19" t="n">
        <v>4.99</v>
      </c>
      <c r="J4384" s="19" t="n">
        <v>4.8</v>
      </c>
      <c r="K4384" s="20" t="n">
        <v>0</v>
      </c>
      <c r="L4384" s="20" t="n">
        <v>0</v>
      </c>
      <c r="M4384" s="18" t="n">
        <v>378</v>
      </c>
      <c r="N4384" s="18" t="n">
        <v>378</v>
      </c>
      <c r="O4384" s="18" t="n">
        <v>0</v>
      </c>
      <c r="P4384" s="17" t="n">
        <v>46232</v>
      </c>
      <c r="Q4384" s="17" t="n">
        <v>46232</v>
      </c>
      <c r="R4384" s="17" t="n">
        <v>46232</v>
      </c>
      <c r="S4384" s="19">
        <f>H4384*I4384</f>
        <v/>
      </c>
      <c r="T4384" s="19">
        <f>H4384*J4384</f>
        <v/>
      </c>
      <c r="U4384">
        <f>IF(AND(K4384=0,G4384&lt;=Assumptions!$C$6),1,0)</f>
        <v/>
      </c>
      <c r="V4384">
        <f>IF(U4384=1,IF(M4384&gt;0,IF(P4384&lt;=G4384+Assumptions!$C$7,1,0),0),0)</f>
        <v/>
      </c>
      <c r="W4384">
        <f>IF(AND(U4384=1,M4384&gt;=H4384*(1-Assumptions!$C$8)),1,0)</f>
        <v/>
      </c>
      <c r="X4384">
        <f>IF(AND(U4384=1,N4384&gt;=H4384*(1-Assumptions!$C$8)),1,0)</f>
        <v/>
      </c>
      <c r="Y4384">
        <f>IF(ISNUMBER(Q4384),1,0)</f>
        <v/>
      </c>
      <c r="Z4384">
        <f>IF(AND(K4384=0,L4384=0,Y4384=0),1,0)</f>
        <v/>
      </c>
      <c r="AA4384">
        <f>IF(AND(Z4384=1,G4384&lt;Assumptions!$C$6),1,0)</f>
        <v/>
      </c>
      <c r="AB4384">
        <f>IF(U4384=0,"",IF(Y4384=1,MAX(0,Q4384-G4384),IF(L4384=1,MAX(0,R4384-G4384),MAX(0,Assumptions!$C$6-G4384))))</f>
        <v/>
      </c>
      <c r="AC4384">
        <f>IF(Y4384=1,Q4384-F4384,"")</f>
        <v/>
      </c>
      <c r="AD4384">
        <f>IF(Y4384=1,AC4384^2,"")</f>
        <v/>
      </c>
      <c r="AE4384" s="19">
        <f>IF(Z4384=1,(H4384-M4384)*I4384,0)</f>
        <v/>
      </c>
      <c r="AF4384">
        <f>IF(G4384&lt;EDATE(Assumptions!$C$6,-12)+1,"prior_12m","last_12m")</f>
        <v/>
      </c>
      <c r="AG4384" s="21">
        <f>DATE(YEAR(G4384),MONTH(G4384),1)</f>
        <v/>
      </c>
    </row>
    <row r="4385">
      <c r="A4385" t="inlineStr">
        <is>
          <t>SPO-02344-3</t>
        </is>
      </c>
      <c r="B4385" t="inlineStr">
        <is>
          <t>SPO-02344</t>
        </is>
      </c>
      <c r="C4385" t="inlineStr">
        <is>
          <t>SUP-08</t>
        </is>
      </c>
      <c r="D4385" t="inlineStr">
        <is>
          <t>PPE</t>
        </is>
      </c>
      <c r="E4385" t="inlineStr">
        <is>
          <t>PPE-08</t>
        </is>
      </c>
      <c r="F4385" s="17" t="n">
        <v>46222</v>
      </c>
      <c r="G4385" s="17" t="n">
        <v>46233</v>
      </c>
      <c r="H4385" s="18" t="n">
        <v>25</v>
      </c>
      <c r="I4385" s="19" t="n">
        <v>66.81</v>
      </c>
      <c r="J4385" s="19" t="n">
        <v>64</v>
      </c>
      <c r="K4385" s="20" t="n">
        <v>0</v>
      </c>
      <c r="L4385" s="20" t="n">
        <v>0</v>
      </c>
      <c r="M4385" s="18" t="n">
        <v>25</v>
      </c>
      <c r="N4385" s="18" t="n">
        <v>25</v>
      </c>
      <c r="O4385" s="18" t="n">
        <v>0</v>
      </c>
      <c r="P4385" s="17" t="n">
        <v>46227</v>
      </c>
      <c r="Q4385" s="17" t="n">
        <v>46227</v>
      </c>
      <c r="R4385" s="17" t="n">
        <v>46227</v>
      </c>
      <c r="S4385" s="19">
        <f>H4385*I4385</f>
        <v/>
      </c>
      <c r="T4385" s="19">
        <f>H4385*J4385</f>
        <v/>
      </c>
      <c r="U4385">
        <f>IF(AND(K4385=0,G4385&lt;=Assumptions!$C$6),1,0)</f>
        <v/>
      </c>
      <c r="V4385">
        <f>IF(U4385=1,IF(M4385&gt;0,IF(P4385&lt;=G4385+Assumptions!$C$7,1,0),0),0)</f>
        <v/>
      </c>
      <c r="W4385">
        <f>IF(AND(U4385=1,M4385&gt;=H4385*(1-Assumptions!$C$8)),1,0)</f>
        <v/>
      </c>
      <c r="X4385">
        <f>IF(AND(U4385=1,N4385&gt;=H4385*(1-Assumptions!$C$8)),1,0)</f>
        <v/>
      </c>
      <c r="Y4385">
        <f>IF(ISNUMBER(Q4385),1,0)</f>
        <v/>
      </c>
      <c r="Z4385">
        <f>IF(AND(K4385=0,L4385=0,Y4385=0),1,0)</f>
        <v/>
      </c>
      <c r="AA4385">
        <f>IF(AND(Z4385=1,G4385&lt;Assumptions!$C$6),1,0)</f>
        <v/>
      </c>
      <c r="AB4385">
        <f>IF(U4385=0,"",IF(Y4385=1,MAX(0,Q4385-G4385),IF(L4385=1,MAX(0,R4385-G4385),MAX(0,Assumptions!$C$6-G4385))))</f>
        <v/>
      </c>
      <c r="AC4385">
        <f>IF(Y4385=1,Q4385-F4385,"")</f>
        <v/>
      </c>
      <c r="AD4385">
        <f>IF(Y4385=1,AC4385^2,"")</f>
        <v/>
      </c>
      <c r="AE4385" s="19">
        <f>IF(Z4385=1,(H4385-M4385)*I4385,0)</f>
        <v/>
      </c>
      <c r="AF4385">
        <f>IF(G4385&lt;EDATE(Assumptions!$C$6,-12)+1,"prior_12m","last_12m")</f>
        <v/>
      </c>
      <c r="AG4385" s="21">
        <f>DATE(YEAR(G4385),MONTH(G4385),1)</f>
        <v/>
      </c>
    </row>
    <row r="4386">
      <c r="A4386" t="inlineStr">
        <is>
          <t>SPO-02345-1</t>
        </is>
      </c>
      <c r="B4386" t="inlineStr">
        <is>
          <t>SPO-02345</t>
        </is>
      </c>
      <c r="C4386" t="inlineStr">
        <is>
          <t>SUP-04</t>
        </is>
      </c>
      <c r="D4386" t="inlineStr">
        <is>
          <t>FLEET</t>
        </is>
      </c>
      <c r="E4386" t="inlineStr">
        <is>
          <t>FLEET-06</t>
        </is>
      </c>
      <c r="F4386" s="17" t="n">
        <v>46222</v>
      </c>
      <c r="G4386" s="17" t="n">
        <v>46235</v>
      </c>
      <c r="H4386" s="18" t="n">
        <v>48</v>
      </c>
      <c r="I4386" s="19" t="n">
        <v>32.89</v>
      </c>
      <c r="J4386" s="19" t="n">
        <v>33</v>
      </c>
      <c r="K4386" s="20" t="n">
        <v>0</v>
      </c>
      <c r="L4386" s="20" t="n">
        <v>0</v>
      </c>
      <c r="M4386" s="18" t="n">
        <v>48</v>
      </c>
      <c r="N4386" s="18" t="n">
        <v>0</v>
      </c>
      <c r="O4386" s="18" t="n">
        <v>0</v>
      </c>
      <c r="P4386" s="17" t="n">
        <v>46238</v>
      </c>
      <c r="Q4386" s="17" t="n">
        <v>46238</v>
      </c>
      <c r="R4386" s="17" t="n">
        <v>46238</v>
      </c>
      <c r="S4386" s="19">
        <f>H4386*I4386</f>
        <v/>
      </c>
      <c r="T4386" s="19">
        <f>H4386*J4386</f>
        <v/>
      </c>
      <c r="U4386">
        <f>IF(AND(K4386=0,G4386&lt;=Assumptions!$C$6),1,0)</f>
        <v/>
      </c>
      <c r="V4386">
        <f>IF(U4386=1,IF(M4386&gt;0,IF(P4386&lt;=G4386+Assumptions!$C$7,1,0),0),0)</f>
        <v/>
      </c>
      <c r="W4386">
        <f>IF(AND(U4386=1,M4386&gt;=H4386*(1-Assumptions!$C$8)),1,0)</f>
        <v/>
      </c>
      <c r="X4386">
        <f>IF(AND(U4386=1,N4386&gt;=H4386*(1-Assumptions!$C$8)),1,0)</f>
        <v/>
      </c>
      <c r="Y4386">
        <f>IF(ISNUMBER(Q4386),1,0)</f>
        <v/>
      </c>
      <c r="Z4386">
        <f>IF(AND(K4386=0,L4386=0,Y4386=0),1,0)</f>
        <v/>
      </c>
      <c r="AA4386">
        <f>IF(AND(Z4386=1,G4386&lt;Assumptions!$C$6),1,0)</f>
        <v/>
      </c>
      <c r="AB4386">
        <f>IF(U4386=0,"",IF(Y4386=1,MAX(0,Q4386-G4386),IF(L4386=1,MAX(0,R4386-G4386),MAX(0,Assumptions!$C$6-G4386))))</f>
        <v/>
      </c>
      <c r="AC4386">
        <f>IF(Y4386=1,Q4386-F4386,"")</f>
        <v/>
      </c>
      <c r="AD4386">
        <f>IF(Y4386=1,AC4386^2,"")</f>
        <v/>
      </c>
      <c r="AE4386" s="19">
        <f>IF(Z4386=1,(H4386-M4386)*I4386,0)</f>
        <v/>
      </c>
      <c r="AF4386">
        <f>IF(G4386&lt;EDATE(Assumptions!$C$6,-12)+1,"prior_12m","last_12m")</f>
        <v/>
      </c>
      <c r="AG4386" s="21">
        <f>DATE(YEAR(G4386),MONTH(G4386),1)</f>
        <v/>
      </c>
    </row>
    <row r="4387">
      <c r="A4387" t="inlineStr">
        <is>
          <t>SPO-02346-1</t>
        </is>
      </c>
      <c r="B4387" t="inlineStr">
        <is>
          <t>SPO-02346</t>
        </is>
      </c>
      <c r="C4387" t="inlineStr">
        <is>
          <t>SUP-10</t>
        </is>
      </c>
      <c r="D4387" t="inlineStr">
        <is>
          <t>PPE</t>
        </is>
      </c>
      <c r="E4387" t="inlineStr">
        <is>
          <t>PPE-06</t>
        </is>
      </c>
      <c r="F4387" s="17" t="n">
        <v>46222</v>
      </c>
      <c r="G4387" s="17" t="n">
        <v>46235</v>
      </c>
      <c r="H4387" s="18" t="n">
        <v>13</v>
      </c>
      <c r="I4387" s="19" t="n">
        <v>108.58</v>
      </c>
      <c r="J4387" s="19" t="n">
        <v>115</v>
      </c>
      <c r="K4387" s="20" t="n">
        <v>0</v>
      </c>
      <c r="L4387" s="20" t="n">
        <v>0</v>
      </c>
      <c r="M4387" s="18" t="n">
        <v>13</v>
      </c>
      <c r="N4387" s="18" t="n">
        <v>13</v>
      </c>
      <c r="O4387" s="18" t="n">
        <v>0</v>
      </c>
      <c r="P4387" s="17" t="n">
        <v>46233</v>
      </c>
      <c r="Q4387" s="17" t="n">
        <v>46233</v>
      </c>
      <c r="R4387" s="17" t="n">
        <v>46233</v>
      </c>
      <c r="S4387" s="19">
        <f>H4387*I4387</f>
        <v/>
      </c>
      <c r="T4387" s="19">
        <f>H4387*J4387</f>
        <v/>
      </c>
      <c r="U4387">
        <f>IF(AND(K4387=0,G4387&lt;=Assumptions!$C$6),1,0)</f>
        <v/>
      </c>
      <c r="V4387">
        <f>IF(U4387=1,IF(M4387&gt;0,IF(P4387&lt;=G4387+Assumptions!$C$7,1,0),0),0)</f>
        <v/>
      </c>
      <c r="W4387">
        <f>IF(AND(U4387=1,M4387&gt;=H4387*(1-Assumptions!$C$8)),1,0)</f>
        <v/>
      </c>
      <c r="X4387">
        <f>IF(AND(U4387=1,N4387&gt;=H4387*(1-Assumptions!$C$8)),1,0)</f>
        <v/>
      </c>
      <c r="Y4387">
        <f>IF(ISNUMBER(Q4387),1,0)</f>
        <v/>
      </c>
      <c r="Z4387">
        <f>IF(AND(K4387=0,L4387=0,Y4387=0),1,0)</f>
        <v/>
      </c>
      <c r="AA4387">
        <f>IF(AND(Z4387=1,G4387&lt;Assumptions!$C$6),1,0)</f>
        <v/>
      </c>
      <c r="AB4387">
        <f>IF(U4387=0,"",IF(Y4387=1,MAX(0,Q4387-G4387),IF(L4387=1,MAX(0,R4387-G4387),MAX(0,Assumptions!$C$6-G4387))))</f>
        <v/>
      </c>
      <c r="AC4387">
        <f>IF(Y4387=1,Q4387-F4387,"")</f>
        <v/>
      </c>
      <c r="AD4387">
        <f>IF(Y4387=1,AC4387^2,"")</f>
        <v/>
      </c>
      <c r="AE4387" s="19">
        <f>IF(Z4387=1,(H4387-M4387)*I4387,0)</f>
        <v/>
      </c>
      <c r="AF4387">
        <f>IF(G4387&lt;EDATE(Assumptions!$C$6,-12)+1,"prior_12m","last_12m")</f>
        <v/>
      </c>
      <c r="AG4387" s="21">
        <f>DATE(YEAR(G4387),MONTH(G4387),1)</f>
        <v/>
      </c>
    </row>
    <row r="4388">
      <c r="A4388" t="inlineStr">
        <is>
          <t>SPO-02346-2</t>
        </is>
      </c>
      <c r="B4388" t="inlineStr">
        <is>
          <t>SPO-02346</t>
        </is>
      </c>
      <c r="C4388" t="inlineStr">
        <is>
          <t>SUP-10</t>
        </is>
      </c>
      <c r="D4388" t="inlineStr">
        <is>
          <t>PPE</t>
        </is>
      </c>
      <c r="E4388" t="inlineStr">
        <is>
          <t>PPE-08</t>
        </is>
      </c>
      <c r="F4388" s="17" t="n">
        <v>46222</v>
      </c>
      <c r="G4388" s="17" t="n">
        <v>46235</v>
      </c>
      <c r="H4388" s="18" t="n">
        <v>45</v>
      </c>
      <c r="I4388" s="19" t="n">
        <v>57.37</v>
      </c>
      <c r="J4388" s="19" t="n">
        <v>64</v>
      </c>
      <c r="K4388" s="20" t="n">
        <v>0</v>
      </c>
      <c r="L4388" s="20" t="n">
        <v>0</v>
      </c>
      <c r="M4388" s="18" t="n">
        <v>45</v>
      </c>
      <c r="N4388" s="18" t="n">
        <v>45</v>
      </c>
      <c r="O4388" s="18" t="n">
        <v>0</v>
      </c>
      <c r="P4388" s="17" t="n">
        <v>46229</v>
      </c>
      <c r="Q4388" s="17" t="n">
        <v>46229</v>
      </c>
      <c r="R4388" s="17" t="n">
        <v>46229</v>
      </c>
      <c r="S4388" s="19">
        <f>H4388*I4388</f>
        <v/>
      </c>
      <c r="T4388" s="19">
        <f>H4388*J4388</f>
        <v/>
      </c>
      <c r="U4388">
        <f>IF(AND(K4388=0,G4388&lt;=Assumptions!$C$6),1,0)</f>
        <v/>
      </c>
      <c r="V4388">
        <f>IF(U4388=1,IF(M4388&gt;0,IF(P4388&lt;=G4388+Assumptions!$C$7,1,0),0),0)</f>
        <v/>
      </c>
      <c r="W4388">
        <f>IF(AND(U4388=1,M4388&gt;=H4388*(1-Assumptions!$C$8)),1,0)</f>
        <v/>
      </c>
      <c r="X4388">
        <f>IF(AND(U4388=1,N4388&gt;=H4388*(1-Assumptions!$C$8)),1,0)</f>
        <v/>
      </c>
      <c r="Y4388">
        <f>IF(ISNUMBER(Q4388),1,0)</f>
        <v/>
      </c>
      <c r="Z4388">
        <f>IF(AND(K4388=0,L4388=0,Y4388=0),1,0)</f>
        <v/>
      </c>
      <c r="AA4388">
        <f>IF(AND(Z4388=1,G4388&lt;Assumptions!$C$6),1,0)</f>
        <v/>
      </c>
      <c r="AB4388">
        <f>IF(U4388=0,"",IF(Y4388=1,MAX(0,Q4388-G4388),IF(L4388=1,MAX(0,R4388-G4388),MAX(0,Assumptions!$C$6-G4388))))</f>
        <v/>
      </c>
      <c r="AC4388">
        <f>IF(Y4388=1,Q4388-F4388,"")</f>
        <v/>
      </c>
      <c r="AD4388">
        <f>IF(Y4388=1,AC4388^2,"")</f>
        <v/>
      </c>
      <c r="AE4388" s="19">
        <f>IF(Z4388=1,(H4388-M4388)*I4388,0)</f>
        <v/>
      </c>
      <c r="AF4388">
        <f>IF(G4388&lt;EDATE(Assumptions!$C$6,-12)+1,"prior_12m","last_12m")</f>
        <v/>
      </c>
      <c r="AG4388" s="21">
        <f>DATE(YEAR(G4388),MONTH(G4388),1)</f>
        <v/>
      </c>
    </row>
    <row r="4389">
      <c r="A4389" t="inlineStr">
        <is>
          <t>SPO-02346-3</t>
        </is>
      </c>
      <c r="B4389" t="inlineStr">
        <is>
          <t>SPO-02346</t>
        </is>
      </c>
      <c r="C4389" t="inlineStr">
        <is>
          <t>SUP-10</t>
        </is>
      </c>
      <c r="D4389" t="inlineStr">
        <is>
          <t>PPE</t>
        </is>
      </c>
      <c r="E4389" t="inlineStr">
        <is>
          <t>PPE-01</t>
        </is>
      </c>
      <c r="F4389" s="17" t="n">
        <v>46222</v>
      </c>
      <c r="G4389" s="17" t="n">
        <v>46235</v>
      </c>
      <c r="H4389" s="18" t="n">
        <v>259</v>
      </c>
      <c r="I4389" s="19" t="n">
        <v>4.69</v>
      </c>
      <c r="J4389" s="19" t="n">
        <v>4.8</v>
      </c>
      <c r="K4389" s="20" t="n">
        <v>0</v>
      </c>
      <c r="L4389" s="20" t="n">
        <v>0</v>
      </c>
      <c r="M4389" s="18" t="n">
        <v>259</v>
      </c>
      <c r="N4389" s="18" t="n">
        <v>145</v>
      </c>
      <c r="O4389" s="18" t="n">
        <v>0</v>
      </c>
      <c r="P4389" s="17" t="n">
        <v>46229</v>
      </c>
      <c r="Q4389" s="17" t="n">
        <v>46249</v>
      </c>
      <c r="R4389" s="17" t="n">
        <v>46249</v>
      </c>
      <c r="S4389" s="19">
        <f>H4389*I4389</f>
        <v/>
      </c>
      <c r="T4389" s="19">
        <f>H4389*J4389</f>
        <v/>
      </c>
      <c r="U4389">
        <f>IF(AND(K4389=0,G4389&lt;=Assumptions!$C$6),1,0)</f>
        <v/>
      </c>
      <c r="V4389">
        <f>IF(U4389=1,IF(M4389&gt;0,IF(P4389&lt;=G4389+Assumptions!$C$7,1,0),0),0)</f>
        <v/>
      </c>
      <c r="W4389">
        <f>IF(AND(U4389=1,M4389&gt;=H4389*(1-Assumptions!$C$8)),1,0)</f>
        <v/>
      </c>
      <c r="X4389">
        <f>IF(AND(U4389=1,N4389&gt;=H4389*(1-Assumptions!$C$8)),1,0)</f>
        <v/>
      </c>
      <c r="Y4389">
        <f>IF(ISNUMBER(Q4389),1,0)</f>
        <v/>
      </c>
      <c r="Z4389">
        <f>IF(AND(K4389=0,L4389=0,Y4389=0),1,0)</f>
        <v/>
      </c>
      <c r="AA4389">
        <f>IF(AND(Z4389=1,G4389&lt;Assumptions!$C$6),1,0)</f>
        <v/>
      </c>
      <c r="AB4389">
        <f>IF(U4389=0,"",IF(Y4389=1,MAX(0,Q4389-G4389),IF(L4389=1,MAX(0,R4389-G4389),MAX(0,Assumptions!$C$6-G4389))))</f>
        <v/>
      </c>
      <c r="AC4389">
        <f>IF(Y4389=1,Q4389-F4389,"")</f>
        <v/>
      </c>
      <c r="AD4389">
        <f>IF(Y4389=1,AC4389^2,"")</f>
        <v/>
      </c>
      <c r="AE4389" s="19">
        <f>IF(Z4389=1,(H4389-M4389)*I4389,0)</f>
        <v/>
      </c>
      <c r="AF4389">
        <f>IF(G4389&lt;EDATE(Assumptions!$C$6,-12)+1,"prior_12m","last_12m")</f>
        <v/>
      </c>
      <c r="AG4389" s="21">
        <f>DATE(YEAR(G4389),MONTH(G4389),1)</f>
        <v/>
      </c>
    </row>
    <row r="4390">
      <c r="A4390" t="inlineStr">
        <is>
          <t>SPO-02346-4</t>
        </is>
      </c>
      <c r="B4390" t="inlineStr">
        <is>
          <t>SPO-02346</t>
        </is>
      </c>
      <c r="C4390" t="inlineStr">
        <is>
          <t>SUP-10</t>
        </is>
      </c>
      <c r="D4390" t="inlineStr">
        <is>
          <t>PPE</t>
        </is>
      </c>
      <c r="E4390" t="inlineStr">
        <is>
          <t>PPE-05</t>
        </is>
      </c>
      <c r="F4390" s="17" t="n">
        <v>46222</v>
      </c>
      <c r="G4390" s="17" t="n">
        <v>46235</v>
      </c>
      <c r="H4390" s="18" t="n">
        <v>300</v>
      </c>
      <c r="I4390" s="19" t="n">
        <v>10.41</v>
      </c>
      <c r="J4390" s="19" t="n">
        <v>11</v>
      </c>
      <c r="K4390" s="20" t="n">
        <v>0</v>
      </c>
      <c r="L4390" s="20" t="n">
        <v>0</v>
      </c>
      <c r="M4390" s="18" t="n">
        <v>300</v>
      </c>
      <c r="N4390" s="18" t="n">
        <v>300</v>
      </c>
      <c r="O4390" s="18" t="n">
        <v>0</v>
      </c>
      <c r="P4390" s="17" t="n">
        <v>46231</v>
      </c>
      <c r="Q4390" s="17" t="n">
        <v>46231</v>
      </c>
      <c r="R4390" s="17" t="n">
        <v>46231</v>
      </c>
      <c r="S4390" s="19">
        <f>H4390*I4390</f>
        <v/>
      </c>
      <c r="T4390" s="19">
        <f>H4390*J4390</f>
        <v/>
      </c>
      <c r="U4390">
        <f>IF(AND(K4390=0,G4390&lt;=Assumptions!$C$6),1,0)</f>
        <v/>
      </c>
      <c r="V4390">
        <f>IF(U4390=1,IF(M4390&gt;0,IF(P4390&lt;=G4390+Assumptions!$C$7,1,0),0),0)</f>
        <v/>
      </c>
      <c r="W4390">
        <f>IF(AND(U4390=1,M4390&gt;=H4390*(1-Assumptions!$C$8)),1,0)</f>
        <v/>
      </c>
      <c r="X4390">
        <f>IF(AND(U4390=1,N4390&gt;=H4390*(1-Assumptions!$C$8)),1,0)</f>
        <v/>
      </c>
      <c r="Y4390">
        <f>IF(ISNUMBER(Q4390),1,0)</f>
        <v/>
      </c>
      <c r="Z4390">
        <f>IF(AND(K4390=0,L4390=0,Y4390=0),1,0)</f>
        <v/>
      </c>
      <c r="AA4390">
        <f>IF(AND(Z4390=1,G4390&lt;Assumptions!$C$6),1,0)</f>
        <v/>
      </c>
      <c r="AB4390">
        <f>IF(U4390=0,"",IF(Y4390=1,MAX(0,Q4390-G4390),IF(L4390=1,MAX(0,R4390-G4390),MAX(0,Assumptions!$C$6-G4390))))</f>
        <v/>
      </c>
      <c r="AC4390">
        <f>IF(Y4390=1,Q4390-F4390,"")</f>
        <v/>
      </c>
      <c r="AD4390">
        <f>IF(Y4390=1,AC4390^2,"")</f>
        <v/>
      </c>
      <c r="AE4390" s="19">
        <f>IF(Z4390=1,(H4390-M4390)*I4390,0)</f>
        <v/>
      </c>
      <c r="AF4390">
        <f>IF(G4390&lt;EDATE(Assumptions!$C$6,-12)+1,"prior_12m","last_12m")</f>
        <v/>
      </c>
      <c r="AG4390" s="21">
        <f>DATE(YEAR(G4390),MONTH(G4390),1)</f>
        <v/>
      </c>
    </row>
    <row r="4391">
      <c r="A4391" t="inlineStr">
        <is>
          <t>SPO-02347-1</t>
        </is>
      </c>
      <c r="B4391" t="inlineStr">
        <is>
          <t>SPO-02347</t>
        </is>
      </c>
      <c r="C4391" t="inlineStr">
        <is>
          <t>SUP-01</t>
        </is>
      </c>
      <c r="D4391" t="inlineStr">
        <is>
          <t>ELEC</t>
        </is>
      </c>
      <c r="E4391" t="inlineStr">
        <is>
          <t>ELEC-08</t>
        </is>
      </c>
      <c r="F4391" s="17" t="n">
        <v>46223</v>
      </c>
      <c r="G4391" s="17" t="n">
        <v>46241</v>
      </c>
      <c r="H4391" s="18" t="n">
        <v>170</v>
      </c>
      <c r="I4391" s="19" t="n">
        <v>17.89</v>
      </c>
      <c r="J4391" s="19" t="n">
        <v>18</v>
      </c>
      <c r="K4391" s="20" t="n">
        <v>0</v>
      </c>
      <c r="L4391" s="20" t="n">
        <v>1</v>
      </c>
      <c r="M4391" s="18" t="n">
        <v>101</v>
      </c>
      <c r="N4391" s="18" t="n">
        <v>101</v>
      </c>
      <c r="O4391" s="18" t="n">
        <v>0</v>
      </c>
      <c r="P4391" s="17" t="n">
        <v>46235</v>
      </c>
      <c r="Q4391" s="17" t="n"/>
      <c r="R4391" s="17" t="n">
        <v>46235</v>
      </c>
      <c r="S4391" s="19">
        <f>H4391*I4391</f>
        <v/>
      </c>
      <c r="T4391" s="19">
        <f>H4391*J4391</f>
        <v/>
      </c>
      <c r="U4391">
        <f>IF(AND(K4391=0,G4391&lt;=Assumptions!$C$6),1,0)</f>
        <v/>
      </c>
      <c r="V4391">
        <f>IF(U4391=1,IF(M4391&gt;0,IF(P4391&lt;=G4391+Assumptions!$C$7,1,0),0),0)</f>
        <v/>
      </c>
      <c r="W4391">
        <f>IF(AND(U4391=1,M4391&gt;=H4391*(1-Assumptions!$C$8)),1,0)</f>
        <v/>
      </c>
      <c r="X4391">
        <f>IF(AND(U4391=1,N4391&gt;=H4391*(1-Assumptions!$C$8)),1,0)</f>
        <v/>
      </c>
      <c r="Y4391">
        <f>IF(ISNUMBER(Q4391),1,0)</f>
        <v/>
      </c>
      <c r="Z4391">
        <f>IF(AND(K4391=0,L4391=0,Y4391=0),1,0)</f>
        <v/>
      </c>
      <c r="AA4391">
        <f>IF(AND(Z4391=1,G4391&lt;Assumptions!$C$6),1,0)</f>
        <v/>
      </c>
      <c r="AB4391">
        <f>IF(U4391=0,"",IF(Y4391=1,MAX(0,Q4391-G4391),IF(L4391=1,MAX(0,R4391-G4391),MAX(0,Assumptions!$C$6-G4391))))</f>
        <v/>
      </c>
      <c r="AC4391">
        <f>IF(Y4391=1,Q4391-F4391,"")</f>
        <v/>
      </c>
      <c r="AD4391">
        <f>IF(Y4391=1,AC4391^2,"")</f>
        <v/>
      </c>
      <c r="AE4391" s="19">
        <f>IF(Z4391=1,(H4391-M4391)*I4391,0)</f>
        <v/>
      </c>
      <c r="AF4391">
        <f>IF(G4391&lt;EDATE(Assumptions!$C$6,-12)+1,"prior_12m","last_12m")</f>
        <v/>
      </c>
      <c r="AG4391" s="21">
        <f>DATE(YEAR(G4391),MONTH(G4391),1)</f>
        <v/>
      </c>
    </row>
    <row r="4392">
      <c r="A4392" t="inlineStr">
        <is>
          <t>SPO-02348-1</t>
        </is>
      </c>
      <c r="B4392" t="inlineStr">
        <is>
          <t>SPO-02348</t>
        </is>
      </c>
      <c r="C4392" t="inlineStr">
        <is>
          <t>SUP-02</t>
        </is>
      </c>
      <c r="D4392" t="inlineStr">
        <is>
          <t>ELEC</t>
        </is>
      </c>
      <c r="E4392" t="inlineStr">
        <is>
          <t>ELEC-07</t>
        </is>
      </c>
      <c r="F4392" s="17" t="n">
        <v>46224</v>
      </c>
      <c r="G4392" s="17" t="n">
        <v>46240</v>
      </c>
      <c r="H4392" s="18" t="n">
        <v>81</v>
      </c>
      <c r="I4392" s="19" t="n">
        <v>9.289999999999999</v>
      </c>
      <c r="J4392" s="19" t="n">
        <v>9.800000000000001</v>
      </c>
      <c r="K4392" s="20" t="n">
        <v>0</v>
      </c>
      <c r="L4392" s="20" t="n">
        <v>0</v>
      </c>
      <c r="M4392" s="18" t="n">
        <v>81</v>
      </c>
      <c r="N4392" s="18" t="n">
        <v>0</v>
      </c>
      <c r="O4392" s="18" t="n">
        <v>0</v>
      </c>
      <c r="P4392" s="17" t="n">
        <v>46243</v>
      </c>
      <c r="Q4392" s="17" t="n">
        <v>46243</v>
      </c>
      <c r="R4392" s="17" t="n">
        <v>46243</v>
      </c>
      <c r="S4392" s="19">
        <f>H4392*I4392</f>
        <v/>
      </c>
      <c r="T4392" s="19">
        <f>H4392*J4392</f>
        <v/>
      </c>
      <c r="U4392">
        <f>IF(AND(K4392=0,G4392&lt;=Assumptions!$C$6),1,0)</f>
        <v/>
      </c>
      <c r="V4392">
        <f>IF(U4392=1,IF(M4392&gt;0,IF(P4392&lt;=G4392+Assumptions!$C$7,1,0),0),0)</f>
        <v/>
      </c>
      <c r="W4392">
        <f>IF(AND(U4392=1,M4392&gt;=H4392*(1-Assumptions!$C$8)),1,0)</f>
        <v/>
      </c>
      <c r="X4392">
        <f>IF(AND(U4392=1,N4392&gt;=H4392*(1-Assumptions!$C$8)),1,0)</f>
        <v/>
      </c>
      <c r="Y4392">
        <f>IF(ISNUMBER(Q4392),1,0)</f>
        <v/>
      </c>
      <c r="Z4392">
        <f>IF(AND(K4392=0,L4392=0,Y4392=0),1,0)</f>
        <v/>
      </c>
      <c r="AA4392">
        <f>IF(AND(Z4392=1,G4392&lt;Assumptions!$C$6),1,0)</f>
        <v/>
      </c>
      <c r="AB4392">
        <f>IF(U4392=0,"",IF(Y4392=1,MAX(0,Q4392-G4392),IF(L4392=1,MAX(0,R4392-G4392),MAX(0,Assumptions!$C$6-G4392))))</f>
        <v/>
      </c>
      <c r="AC4392">
        <f>IF(Y4392=1,Q4392-F4392,"")</f>
        <v/>
      </c>
      <c r="AD4392">
        <f>IF(Y4392=1,AC4392^2,"")</f>
        <v/>
      </c>
      <c r="AE4392" s="19">
        <f>IF(Z4392=1,(H4392-M4392)*I4392,0)</f>
        <v/>
      </c>
      <c r="AF4392">
        <f>IF(G4392&lt;EDATE(Assumptions!$C$6,-12)+1,"prior_12m","last_12m")</f>
        <v/>
      </c>
      <c r="AG4392" s="21">
        <f>DATE(YEAR(G4392),MONTH(G4392),1)</f>
        <v/>
      </c>
    </row>
    <row r="4393">
      <c r="A4393" t="inlineStr">
        <is>
          <t>SPO-02349-1</t>
        </is>
      </c>
      <c r="B4393" t="inlineStr">
        <is>
          <t>SPO-02349</t>
        </is>
      </c>
      <c r="C4393" t="inlineStr">
        <is>
          <t>SUP-09</t>
        </is>
      </c>
      <c r="D4393" t="inlineStr">
        <is>
          <t>CHEM</t>
        </is>
      </c>
      <c r="E4393" t="inlineStr">
        <is>
          <t>CHEM-02</t>
        </is>
      </c>
      <c r="F4393" s="17" t="n">
        <v>46225</v>
      </c>
      <c r="G4393" s="17" t="n">
        <v>46239</v>
      </c>
      <c r="H4393" s="18" t="n">
        <v>3</v>
      </c>
      <c r="I4393" s="19" t="n">
        <v>420</v>
      </c>
      <c r="J4393" s="19" t="n">
        <v>410</v>
      </c>
      <c r="K4393" s="20" t="n">
        <v>0</v>
      </c>
      <c r="L4393" s="20" t="n">
        <v>0</v>
      </c>
      <c r="M4393" s="18" t="n">
        <v>3</v>
      </c>
      <c r="N4393" s="18" t="n">
        <v>3</v>
      </c>
      <c r="O4393" s="18" t="n">
        <v>0</v>
      </c>
      <c r="P4393" s="17" t="n">
        <v>46235</v>
      </c>
      <c r="Q4393" s="17" t="n">
        <v>46235</v>
      </c>
      <c r="R4393" s="17" t="n">
        <v>46235</v>
      </c>
      <c r="S4393" s="19">
        <f>H4393*I4393</f>
        <v/>
      </c>
      <c r="T4393" s="19">
        <f>H4393*J4393</f>
        <v/>
      </c>
      <c r="U4393">
        <f>IF(AND(K4393=0,G4393&lt;=Assumptions!$C$6),1,0)</f>
        <v/>
      </c>
      <c r="V4393">
        <f>IF(U4393=1,IF(M4393&gt;0,IF(P4393&lt;=G4393+Assumptions!$C$7,1,0),0),0)</f>
        <v/>
      </c>
      <c r="W4393">
        <f>IF(AND(U4393=1,M4393&gt;=H4393*(1-Assumptions!$C$8)),1,0)</f>
        <v/>
      </c>
      <c r="X4393">
        <f>IF(AND(U4393=1,N4393&gt;=H4393*(1-Assumptions!$C$8)),1,0)</f>
        <v/>
      </c>
      <c r="Y4393">
        <f>IF(ISNUMBER(Q4393),1,0)</f>
        <v/>
      </c>
      <c r="Z4393">
        <f>IF(AND(K4393=0,L4393=0,Y4393=0),1,0)</f>
        <v/>
      </c>
      <c r="AA4393">
        <f>IF(AND(Z4393=1,G4393&lt;Assumptions!$C$6),1,0)</f>
        <v/>
      </c>
      <c r="AB4393">
        <f>IF(U4393=0,"",IF(Y4393=1,MAX(0,Q4393-G4393),IF(L4393=1,MAX(0,R4393-G4393),MAX(0,Assumptions!$C$6-G4393))))</f>
        <v/>
      </c>
      <c r="AC4393">
        <f>IF(Y4393=1,Q4393-F4393,"")</f>
        <v/>
      </c>
      <c r="AD4393">
        <f>IF(Y4393=1,AC4393^2,"")</f>
        <v/>
      </c>
      <c r="AE4393" s="19">
        <f>IF(Z4393=1,(H4393-M4393)*I4393,0)</f>
        <v/>
      </c>
      <c r="AF4393">
        <f>IF(G4393&lt;EDATE(Assumptions!$C$6,-12)+1,"prior_12m","last_12m")</f>
        <v/>
      </c>
      <c r="AG4393" s="21">
        <f>DATE(YEAR(G4393),MONTH(G4393),1)</f>
        <v/>
      </c>
    </row>
    <row r="4394">
      <c r="A4394" t="inlineStr">
        <is>
          <t>SPO-02350-1</t>
        </is>
      </c>
      <c r="B4394" t="inlineStr">
        <is>
          <t>SPO-02350</t>
        </is>
      </c>
      <c r="C4394" t="inlineStr">
        <is>
          <t>SUP-05</t>
        </is>
      </c>
      <c r="D4394" t="inlineStr">
        <is>
          <t>FLEET</t>
        </is>
      </c>
      <c r="E4394" t="inlineStr">
        <is>
          <t>FLEET-08</t>
        </is>
      </c>
      <c r="F4394" s="17" t="n">
        <v>46225</v>
      </c>
      <c r="G4394" s="17" t="n">
        <v>46239</v>
      </c>
      <c r="H4394" s="18" t="n">
        <v>436</v>
      </c>
      <c r="I4394" s="19" t="n">
        <v>6.58</v>
      </c>
      <c r="J4394" s="19" t="n">
        <v>6.4</v>
      </c>
      <c r="K4394" s="20" t="n">
        <v>0</v>
      </c>
      <c r="L4394" s="20" t="n">
        <v>0</v>
      </c>
      <c r="M4394" s="18" t="n">
        <v>436</v>
      </c>
      <c r="N4394" s="18" t="n">
        <v>343</v>
      </c>
      <c r="O4394" s="18" t="n">
        <v>0</v>
      </c>
      <c r="P4394" s="17" t="n">
        <v>46233</v>
      </c>
      <c r="Q4394" s="17" t="n">
        <v>46244</v>
      </c>
      <c r="R4394" s="17" t="n">
        <v>46244</v>
      </c>
      <c r="S4394" s="19">
        <f>H4394*I4394</f>
        <v/>
      </c>
      <c r="T4394" s="19">
        <f>H4394*J4394</f>
        <v/>
      </c>
      <c r="U4394">
        <f>IF(AND(K4394=0,G4394&lt;=Assumptions!$C$6),1,0)</f>
        <v/>
      </c>
      <c r="V4394">
        <f>IF(U4394=1,IF(M4394&gt;0,IF(P4394&lt;=G4394+Assumptions!$C$7,1,0),0),0)</f>
        <v/>
      </c>
      <c r="W4394">
        <f>IF(AND(U4394=1,M4394&gt;=H4394*(1-Assumptions!$C$8)),1,0)</f>
        <v/>
      </c>
      <c r="X4394">
        <f>IF(AND(U4394=1,N4394&gt;=H4394*(1-Assumptions!$C$8)),1,0)</f>
        <v/>
      </c>
      <c r="Y4394">
        <f>IF(ISNUMBER(Q4394),1,0)</f>
        <v/>
      </c>
      <c r="Z4394">
        <f>IF(AND(K4394=0,L4394=0,Y4394=0),1,0)</f>
        <v/>
      </c>
      <c r="AA4394">
        <f>IF(AND(Z4394=1,G4394&lt;Assumptions!$C$6),1,0)</f>
        <v/>
      </c>
      <c r="AB4394">
        <f>IF(U4394=0,"",IF(Y4394=1,MAX(0,Q4394-G4394),IF(L4394=1,MAX(0,R4394-G4394),MAX(0,Assumptions!$C$6-G4394))))</f>
        <v/>
      </c>
      <c r="AC4394">
        <f>IF(Y4394=1,Q4394-F4394,"")</f>
        <v/>
      </c>
      <c r="AD4394">
        <f>IF(Y4394=1,AC4394^2,"")</f>
        <v/>
      </c>
      <c r="AE4394" s="19">
        <f>IF(Z4394=1,(H4394-M4394)*I4394,0)</f>
        <v/>
      </c>
      <c r="AF4394">
        <f>IF(G4394&lt;EDATE(Assumptions!$C$6,-12)+1,"prior_12m","last_12m")</f>
        <v/>
      </c>
      <c r="AG4394" s="21">
        <f>DATE(YEAR(G4394),MONTH(G4394),1)</f>
        <v/>
      </c>
    </row>
    <row r="4395">
      <c r="A4395" t="inlineStr">
        <is>
          <t>SPO-02351-1</t>
        </is>
      </c>
      <c r="B4395" t="inlineStr">
        <is>
          <t>SPO-02351</t>
        </is>
      </c>
      <c r="C4395" t="inlineStr">
        <is>
          <t>SUP-08</t>
        </is>
      </c>
      <c r="D4395" t="inlineStr">
        <is>
          <t>MRO</t>
        </is>
      </c>
      <c r="E4395" t="inlineStr">
        <is>
          <t>MRO-05</t>
        </is>
      </c>
      <c r="F4395" s="17" t="n">
        <v>46225</v>
      </c>
      <c r="G4395" s="17" t="n">
        <v>46236</v>
      </c>
      <c r="H4395" s="18" t="n">
        <v>32</v>
      </c>
      <c r="I4395" s="19" t="n">
        <v>35.96</v>
      </c>
      <c r="J4395" s="19" t="n">
        <v>36</v>
      </c>
      <c r="K4395" s="20" t="n">
        <v>0</v>
      </c>
      <c r="L4395" s="20" t="n">
        <v>0</v>
      </c>
      <c r="M4395" s="18" t="n">
        <v>32</v>
      </c>
      <c r="N4395" s="18" t="n">
        <v>32</v>
      </c>
      <c r="O4395" s="18" t="n">
        <v>0</v>
      </c>
      <c r="P4395" s="17" t="n">
        <v>46236</v>
      </c>
      <c r="Q4395" s="17" t="n">
        <v>46236</v>
      </c>
      <c r="R4395" s="17" t="n">
        <v>46236</v>
      </c>
      <c r="S4395" s="19">
        <f>H4395*I4395</f>
        <v/>
      </c>
      <c r="T4395" s="19">
        <f>H4395*J4395</f>
        <v/>
      </c>
      <c r="U4395">
        <f>IF(AND(K4395=0,G4395&lt;=Assumptions!$C$6),1,0)</f>
        <v/>
      </c>
      <c r="V4395">
        <f>IF(U4395=1,IF(M4395&gt;0,IF(P4395&lt;=G4395+Assumptions!$C$7,1,0),0),0)</f>
        <v/>
      </c>
      <c r="W4395">
        <f>IF(AND(U4395=1,M4395&gt;=H4395*(1-Assumptions!$C$8)),1,0)</f>
        <v/>
      </c>
      <c r="X4395">
        <f>IF(AND(U4395=1,N4395&gt;=H4395*(1-Assumptions!$C$8)),1,0)</f>
        <v/>
      </c>
      <c r="Y4395">
        <f>IF(ISNUMBER(Q4395),1,0)</f>
        <v/>
      </c>
      <c r="Z4395">
        <f>IF(AND(K4395=0,L4395=0,Y4395=0),1,0)</f>
        <v/>
      </c>
      <c r="AA4395">
        <f>IF(AND(Z4395=1,G4395&lt;Assumptions!$C$6),1,0)</f>
        <v/>
      </c>
      <c r="AB4395">
        <f>IF(U4395=0,"",IF(Y4395=1,MAX(0,Q4395-G4395),IF(L4395=1,MAX(0,R4395-G4395),MAX(0,Assumptions!$C$6-G4395))))</f>
        <v/>
      </c>
      <c r="AC4395">
        <f>IF(Y4395=1,Q4395-F4395,"")</f>
        <v/>
      </c>
      <c r="AD4395">
        <f>IF(Y4395=1,AC4395^2,"")</f>
        <v/>
      </c>
      <c r="AE4395" s="19">
        <f>IF(Z4395=1,(H4395-M4395)*I4395,0)</f>
        <v/>
      </c>
      <c r="AF4395">
        <f>IF(G4395&lt;EDATE(Assumptions!$C$6,-12)+1,"prior_12m","last_12m")</f>
        <v/>
      </c>
      <c r="AG4395" s="21">
        <f>DATE(YEAR(G4395),MONTH(G4395),1)</f>
        <v/>
      </c>
    </row>
    <row r="4396">
      <c r="A4396" t="inlineStr">
        <is>
          <t>SPO-02352-1</t>
        </is>
      </c>
      <c r="B4396" t="inlineStr">
        <is>
          <t>SPO-02352</t>
        </is>
      </c>
      <c r="C4396" t="inlineStr">
        <is>
          <t>SUP-01</t>
        </is>
      </c>
      <c r="D4396" t="inlineStr">
        <is>
          <t>ELEC</t>
        </is>
      </c>
      <c r="E4396" t="inlineStr">
        <is>
          <t>ELEC-02</t>
        </is>
      </c>
      <c r="F4396" s="17" t="n">
        <v>46225</v>
      </c>
      <c r="G4396" s="17" t="n">
        <v>46243</v>
      </c>
      <c r="H4396" s="18" t="n">
        <v>1102</v>
      </c>
      <c r="I4396" s="19" t="n">
        <v>4.14</v>
      </c>
      <c r="J4396" s="19" t="n">
        <v>4.2</v>
      </c>
      <c r="K4396" s="20" t="n">
        <v>0</v>
      </c>
      <c r="L4396" s="20" t="n">
        <v>0</v>
      </c>
      <c r="M4396" s="18" t="n">
        <v>1102</v>
      </c>
      <c r="N4396" s="18" t="n">
        <v>0</v>
      </c>
      <c r="O4396" s="18" t="n">
        <v>0</v>
      </c>
      <c r="P4396" s="17" t="n">
        <v>46244</v>
      </c>
      <c r="Q4396" s="17" t="n">
        <v>46244</v>
      </c>
      <c r="R4396" s="17" t="n">
        <v>46244</v>
      </c>
      <c r="S4396" s="19">
        <f>H4396*I4396</f>
        <v/>
      </c>
      <c r="T4396" s="19">
        <f>H4396*J4396</f>
        <v/>
      </c>
      <c r="U4396">
        <f>IF(AND(K4396=0,G4396&lt;=Assumptions!$C$6),1,0)</f>
        <v/>
      </c>
      <c r="V4396">
        <f>IF(U4396=1,IF(M4396&gt;0,IF(P4396&lt;=G4396+Assumptions!$C$7,1,0),0),0)</f>
        <v/>
      </c>
      <c r="W4396">
        <f>IF(AND(U4396=1,M4396&gt;=H4396*(1-Assumptions!$C$8)),1,0)</f>
        <v/>
      </c>
      <c r="X4396">
        <f>IF(AND(U4396=1,N4396&gt;=H4396*(1-Assumptions!$C$8)),1,0)</f>
        <v/>
      </c>
      <c r="Y4396">
        <f>IF(ISNUMBER(Q4396),1,0)</f>
        <v/>
      </c>
      <c r="Z4396">
        <f>IF(AND(K4396=0,L4396=0,Y4396=0),1,0)</f>
        <v/>
      </c>
      <c r="AA4396">
        <f>IF(AND(Z4396=1,G4396&lt;Assumptions!$C$6),1,0)</f>
        <v/>
      </c>
      <c r="AB4396">
        <f>IF(U4396=0,"",IF(Y4396=1,MAX(0,Q4396-G4396),IF(L4396=1,MAX(0,R4396-G4396),MAX(0,Assumptions!$C$6-G4396))))</f>
        <v/>
      </c>
      <c r="AC4396">
        <f>IF(Y4396=1,Q4396-F4396,"")</f>
        <v/>
      </c>
      <c r="AD4396">
        <f>IF(Y4396=1,AC4396^2,"")</f>
        <v/>
      </c>
      <c r="AE4396" s="19">
        <f>IF(Z4396=1,(H4396-M4396)*I4396,0)</f>
        <v/>
      </c>
      <c r="AF4396">
        <f>IF(G4396&lt;EDATE(Assumptions!$C$6,-12)+1,"prior_12m","last_12m")</f>
        <v/>
      </c>
      <c r="AG4396" s="21">
        <f>DATE(YEAR(G4396),MONTH(G4396),1)</f>
        <v/>
      </c>
    </row>
    <row r="4397">
      <c r="A4397" t="inlineStr">
        <is>
          <t>SPO-02352-2</t>
        </is>
      </c>
      <c r="B4397" t="inlineStr">
        <is>
          <t>SPO-02352</t>
        </is>
      </c>
      <c r="C4397" t="inlineStr">
        <is>
          <t>SUP-01</t>
        </is>
      </c>
      <c r="D4397" t="inlineStr">
        <is>
          <t>ELEC</t>
        </is>
      </c>
      <c r="E4397" t="inlineStr">
        <is>
          <t>ELEC-04</t>
        </is>
      </c>
      <c r="F4397" s="17" t="n">
        <v>46225</v>
      </c>
      <c r="G4397" s="17" t="n">
        <v>46243</v>
      </c>
      <c r="H4397" s="18" t="n">
        <v>50</v>
      </c>
      <c r="I4397" s="19" t="n">
        <v>74.76000000000001</v>
      </c>
      <c r="J4397" s="19" t="n">
        <v>72</v>
      </c>
      <c r="K4397" s="20" t="n">
        <v>0</v>
      </c>
      <c r="L4397" s="20" t="n">
        <v>0</v>
      </c>
      <c r="M4397" s="18" t="n">
        <v>50</v>
      </c>
      <c r="N4397" s="18" t="n">
        <v>50</v>
      </c>
      <c r="O4397" s="18" t="n">
        <v>0</v>
      </c>
      <c r="P4397" s="17" t="n">
        <v>46239</v>
      </c>
      <c r="Q4397" s="17" t="n">
        <v>46239</v>
      </c>
      <c r="R4397" s="17" t="n">
        <v>46239</v>
      </c>
      <c r="S4397" s="19">
        <f>H4397*I4397</f>
        <v/>
      </c>
      <c r="T4397" s="19">
        <f>H4397*J4397</f>
        <v/>
      </c>
      <c r="U4397">
        <f>IF(AND(K4397=0,G4397&lt;=Assumptions!$C$6),1,0)</f>
        <v/>
      </c>
      <c r="V4397">
        <f>IF(U4397=1,IF(M4397&gt;0,IF(P4397&lt;=G4397+Assumptions!$C$7,1,0),0),0)</f>
        <v/>
      </c>
      <c r="W4397">
        <f>IF(AND(U4397=1,M4397&gt;=H4397*(1-Assumptions!$C$8)),1,0)</f>
        <v/>
      </c>
      <c r="X4397">
        <f>IF(AND(U4397=1,N4397&gt;=H4397*(1-Assumptions!$C$8)),1,0)</f>
        <v/>
      </c>
      <c r="Y4397">
        <f>IF(ISNUMBER(Q4397),1,0)</f>
        <v/>
      </c>
      <c r="Z4397">
        <f>IF(AND(K4397=0,L4397=0,Y4397=0),1,0)</f>
        <v/>
      </c>
      <c r="AA4397">
        <f>IF(AND(Z4397=1,G4397&lt;Assumptions!$C$6),1,0)</f>
        <v/>
      </c>
      <c r="AB4397">
        <f>IF(U4397=0,"",IF(Y4397=1,MAX(0,Q4397-G4397),IF(L4397=1,MAX(0,R4397-G4397),MAX(0,Assumptions!$C$6-G4397))))</f>
        <v/>
      </c>
      <c r="AC4397">
        <f>IF(Y4397=1,Q4397-F4397,"")</f>
        <v/>
      </c>
      <c r="AD4397">
        <f>IF(Y4397=1,AC4397^2,"")</f>
        <v/>
      </c>
      <c r="AE4397" s="19">
        <f>IF(Z4397=1,(H4397-M4397)*I4397,0)</f>
        <v/>
      </c>
      <c r="AF4397">
        <f>IF(G4397&lt;EDATE(Assumptions!$C$6,-12)+1,"prior_12m","last_12m")</f>
        <v/>
      </c>
      <c r="AG4397" s="21">
        <f>DATE(YEAR(G4397),MONTH(G4397),1)</f>
        <v/>
      </c>
    </row>
    <row r="4398">
      <c r="A4398" t="inlineStr">
        <is>
          <t>SPO-02352-3</t>
        </is>
      </c>
      <c r="B4398" t="inlineStr">
        <is>
          <t>SPO-02352</t>
        </is>
      </c>
      <c r="C4398" t="inlineStr">
        <is>
          <t>SUP-01</t>
        </is>
      </c>
      <c r="D4398" t="inlineStr">
        <is>
          <t>ELEC</t>
        </is>
      </c>
      <c r="E4398" t="inlineStr">
        <is>
          <t>ELEC-01</t>
        </is>
      </c>
      <c r="F4398" s="17" t="n">
        <v>46225</v>
      </c>
      <c r="G4398" s="17" t="n">
        <v>46243</v>
      </c>
      <c r="H4398" s="18" t="n">
        <v>44</v>
      </c>
      <c r="I4398" s="19" t="n">
        <v>39.17</v>
      </c>
      <c r="J4398" s="19" t="n">
        <v>38</v>
      </c>
      <c r="K4398" s="20" t="n">
        <v>0</v>
      </c>
      <c r="L4398" s="20" t="n">
        <v>0</v>
      </c>
      <c r="M4398" s="18" t="n">
        <v>44</v>
      </c>
      <c r="N4398" s="18" t="n">
        <v>0</v>
      </c>
      <c r="O4398" s="18" t="n">
        <v>0</v>
      </c>
      <c r="P4398" s="17" t="n">
        <v>46244</v>
      </c>
      <c r="Q4398" s="17" t="n">
        <v>46244</v>
      </c>
      <c r="R4398" s="17" t="n">
        <v>46244</v>
      </c>
      <c r="S4398" s="19">
        <f>H4398*I4398</f>
        <v/>
      </c>
      <c r="T4398" s="19">
        <f>H4398*J4398</f>
        <v/>
      </c>
      <c r="U4398">
        <f>IF(AND(K4398=0,G4398&lt;=Assumptions!$C$6),1,0)</f>
        <v/>
      </c>
      <c r="V4398">
        <f>IF(U4398=1,IF(M4398&gt;0,IF(P4398&lt;=G4398+Assumptions!$C$7,1,0),0),0)</f>
        <v/>
      </c>
      <c r="W4398">
        <f>IF(AND(U4398=1,M4398&gt;=H4398*(1-Assumptions!$C$8)),1,0)</f>
        <v/>
      </c>
      <c r="X4398">
        <f>IF(AND(U4398=1,N4398&gt;=H4398*(1-Assumptions!$C$8)),1,0)</f>
        <v/>
      </c>
      <c r="Y4398">
        <f>IF(ISNUMBER(Q4398),1,0)</f>
        <v/>
      </c>
      <c r="Z4398">
        <f>IF(AND(K4398=0,L4398=0,Y4398=0),1,0)</f>
        <v/>
      </c>
      <c r="AA4398">
        <f>IF(AND(Z4398=1,G4398&lt;Assumptions!$C$6),1,0)</f>
        <v/>
      </c>
      <c r="AB4398">
        <f>IF(U4398=0,"",IF(Y4398=1,MAX(0,Q4398-G4398),IF(L4398=1,MAX(0,R4398-G4398),MAX(0,Assumptions!$C$6-G4398))))</f>
        <v/>
      </c>
      <c r="AC4398">
        <f>IF(Y4398=1,Q4398-F4398,"")</f>
        <v/>
      </c>
      <c r="AD4398">
        <f>IF(Y4398=1,AC4398^2,"")</f>
        <v/>
      </c>
      <c r="AE4398" s="19">
        <f>IF(Z4398=1,(H4398-M4398)*I4398,0)</f>
        <v/>
      </c>
      <c r="AF4398">
        <f>IF(G4398&lt;EDATE(Assumptions!$C$6,-12)+1,"prior_12m","last_12m")</f>
        <v/>
      </c>
      <c r="AG4398" s="21">
        <f>DATE(YEAR(G4398),MONTH(G4398),1)</f>
        <v/>
      </c>
    </row>
    <row r="4399">
      <c r="A4399" t="inlineStr">
        <is>
          <t>SPO-02352-4</t>
        </is>
      </c>
      <c r="B4399" t="inlineStr">
        <is>
          <t>SPO-02352</t>
        </is>
      </c>
      <c r="C4399" t="inlineStr">
        <is>
          <t>SUP-01</t>
        </is>
      </c>
      <c r="D4399" t="inlineStr">
        <is>
          <t>ELEC</t>
        </is>
      </c>
      <c r="E4399" t="inlineStr">
        <is>
          <t>ELEC-03</t>
        </is>
      </c>
      <c r="F4399" s="17" t="n">
        <v>46225</v>
      </c>
      <c r="G4399" s="17" t="n">
        <v>46243</v>
      </c>
      <c r="H4399" s="18" t="n">
        <v>26</v>
      </c>
      <c r="I4399" s="19" t="n">
        <v>95.70999999999999</v>
      </c>
      <c r="J4399" s="19" t="n">
        <v>96</v>
      </c>
      <c r="K4399" s="20" t="n">
        <v>0</v>
      </c>
      <c r="L4399" s="20" t="n">
        <v>0</v>
      </c>
      <c r="M4399" s="18" t="n">
        <v>26</v>
      </c>
      <c r="N4399" s="18" t="n">
        <v>0</v>
      </c>
      <c r="O4399" s="18" t="n">
        <v>0</v>
      </c>
      <c r="P4399" s="17" t="n">
        <v>46248</v>
      </c>
      <c r="Q4399" s="17" t="n">
        <v>46248</v>
      </c>
      <c r="R4399" s="17" t="n">
        <v>46248</v>
      </c>
      <c r="S4399" s="19">
        <f>H4399*I4399</f>
        <v/>
      </c>
      <c r="T4399" s="19">
        <f>H4399*J4399</f>
        <v/>
      </c>
      <c r="U4399">
        <f>IF(AND(K4399=0,G4399&lt;=Assumptions!$C$6),1,0)</f>
        <v/>
      </c>
      <c r="V4399">
        <f>IF(U4399=1,IF(M4399&gt;0,IF(P4399&lt;=G4399+Assumptions!$C$7,1,0),0),0)</f>
        <v/>
      </c>
      <c r="W4399">
        <f>IF(AND(U4399=1,M4399&gt;=H4399*(1-Assumptions!$C$8)),1,0)</f>
        <v/>
      </c>
      <c r="X4399">
        <f>IF(AND(U4399=1,N4399&gt;=H4399*(1-Assumptions!$C$8)),1,0)</f>
        <v/>
      </c>
      <c r="Y4399">
        <f>IF(ISNUMBER(Q4399),1,0)</f>
        <v/>
      </c>
      <c r="Z4399">
        <f>IF(AND(K4399=0,L4399=0,Y4399=0),1,0)</f>
        <v/>
      </c>
      <c r="AA4399">
        <f>IF(AND(Z4399=1,G4399&lt;Assumptions!$C$6),1,0)</f>
        <v/>
      </c>
      <c r="AB4399">
        <f>IF(U4399=0,"",IF(Y4399=1,MAX(0,Q4399-G4399),IF(L4399=1,MAX(0,R4399-G4399),MAX(0,Assumptions!$C$6-G4399))))</f>
        <v/>
      </c>
      <c r="AC4399">
        <f>IF(Y4399=1,Q4399-F4399,"")</f>
        <v/>
      </c>
      <c r="AD4399">
        <f>IF(Y4399=1,AC4399^2,"")</f>
        <v/>
      </c>
      <c r="AE4399" s="19">
        <f>IF(Z4399=1,(H4399-M4399)*I4399,0)</f>
        <v/>
      </c>
      <c r="AF4399">
        <f>IF(G4399&lt;EDATE(Assumptions!$C$6,-12)+1,"prior_12m","last_12m")</f>
        <v/>
      </c>
      <c r="AG4399" s="21">
        <f>DATE(YEAR(G4399),MONTH(G4399),1)</f>
        <v/>
      </c>
    </row>
    <row r="4400">
      <c r="A4400" t="inlineStr">
        <is>
          <t>SPO-02353-1</t>
        </is>
      </c>
      <c r="B4400" t="inlineStr">
        <is>
          <t>SPO-02353</t>
        </is>
      </c>
      <c r="C4400" t="inlineStr">
        <is>
          <t>SUP-14</t>
        </is>
      </c>
      <c r="D4400" t="inlineStr">
        <is>
          <t>FLEET</t>
        </is>
      </c>
      <c r="E4400" t="inlineStr">
        <is>
          <t>FLEET-07</t>
        </is>
      </c>
      <c r="F4400" s="17" t="n">
        <v>46225</v>
      </c>
      <c r="G4400" s="17" t="n">
        <v>46239</v>
      </c>
      <c r="H4400" s="18" t="n">
        <v>10</v>
      </c>
      <c r="I4400" s="19" t="n">
        <v>115.75</v>
      </c>
      <c r="J4400" s="19" t="n">
        <v>118</v>
      </c>
      <c r="K4400" s="20" t="n">
        <v>0</v>
      </c>
      <c r="L4400" s="20" t="n">
        <v>0</v>
      </c>
      <c r="M4400" s="18" t="n">
        <v>10</v>
      </c>
      <c r="N4400" s="18" t="n">
        <v>10</v>
      </c>
      <c r="O4400" s="18" t="n">
        <v>0</v>
      </c>
      <c r="P4400" s="17" t="n">
        <v>46232</v>
      </c>
      <c r="Q4400" s="17" t="n">
        <v>46232</v>
      </c>
      <c r="R4400" s="17" t="n">
        <v>46232</v>
      </c>
      <c r="S4400" s="19">
        <f>H4400*I4400</f>
        <v/>
      </c>
      <c r="T4400" s="19">
        <f>H4400*J4400</f>
        <v/>
      </c>
      <c r="U4400">
        <f>IF(AND(K4400=0,G4400&lt;=Assumptions!$C$6),1,0)</f>
        <v/>
      </c>
      <c r="V4400">
        <f>IF(U4400=1,IF(M4400&gt;0,IF(P4400&lt;=G4400+Assumptions!$C$7,1,0),0),0)</f>
        <v/>
      </c>
      <c r="W4400">
        <f>IF(AND(U4400=1,M4400&gt;=H4400*(1-Assumptions!$C$8)),1,0)</f>
        <v/>
      </c>
      <c r="X4400">
        <f>IF(AND(U4400=1,N4400&gt;=H4400*(1-Assumptions!$C$8)),1,0)</f>
        <v/>
      </c>
      <c r="Y4400">
        <f>IF(ISNUMBER(Q4400),1,0)</f>
        <v/>
      </c>
      <c r="Z4400">
        <f>IF(AND(K4400=0,L4400=0,Y4400=0),1,0)</f>
        <v/>
      </c>
      <c r="AA4400">
        <f>IF(AND(Z4400=1,G4400&lt;Assumptions!$C$6),1,0)</f>
        <v/>
      </c>
      <c r="AB4400">
        <f>IF(U4400=0,"",IF(Y4400=1,MAX(0,Q4400-G4400),IF(L4400=1,MAX(0,R4400-G4400),MAX(0,Assumptions!$C$6-G4400))))</f>
        <v/>
      </c>
      <c r="AC4400">
        <f>IF(Y4400=1,Q4400-F4400,"")</f>
        <v/>
      </c>
      <c r="AD4400">
        <f>IF(Y4400=1,AC4400^2,"")</f>
        <v/>
      </c>
      <c r="AE4400" s="19">
        <f>IF(Z4400=1,(H4400-M4400)*I4400,0)</f>
        <v/>
      </c>
      <c r="AF4400">
        <f>IF(G4400&lt;EDATE(Assumptions!$C$6,-12)+1,"prior_12m","last_12m")</f>
        <v/>
      </c>
      <c r="AG4400" s="21">
        <f>DATE(YEAR(G4400),MONTH(G4400),1)</f>
        <v/>
      </c>
    </row>
    <row r="4401">
      <c r="A4401" t="inlineStr">
        <is>
          <t>SPO-02354-1</t>
        </is>
      </c>
      <c r="B4401" t="inlineStr">
        <is>
          <t>SPO-02354</t>
        </is>
      </c>
      <c r="C4401" t="inlineStr">
        <is>
          <t>SUP-01</t>
        </is>
      </c>
      <c r="D4401" t="inlineStr">
        <is>
          <t>ELEC</t>
        </is>
      </c>
      <c r="E4401" t="inlineStr">
        <is>
          <t>ELEC-08</t>
        </is>
      </c>
      <c r="F4401" s="17" t="n">
        <v>46226</v>
      </c>
      <c r="G4401" s="17" t="n">
        <v>46244</v>
      </c>
      <c r="H4401" s="18" t="n">
        <v>107</v>
      </c>
      <c r="I4401" s="19" t="n">
        <v>18.1</v>
      </c>
      <c r="J4401" s="19" t="n">
        <v>18</v>
      </c>
      <c r="K4401" s="20" t="n">
        <v>0</v>
      </c>
      <c r="L4401" s="20" t="n">
        <v>0</v>
      </c>
      <c r="M4401" s="18" t="n">
        <v>107</v>
      </c>
      <c r="N4401" s="18" t="n">
        <v>107</v>
      </c>
      <c r="O4401" s="18" t="n">
        <v>0</v>
      </c>
      <c r="P4401" s="17" t="n">
        <v>46241</v>
      </c>
      <c r="Q4401" s="17" t="n">
        <v>46241</v>
      </c>
      <c r="R4401" s="17" t="n">
        <v>46241</v>
      </c>
      <c r="S4401" s="19">
        <f>H4401*I4401</f>
        <v/>
      </c>
      <c r="T4401" s="19">
        <f>H4401*J4401</f>
        <v/>
      </c>
      <c r="U4401">
        <f>IF(AND(K4401=0,G4401&lt;=Assumptions!$C$6),1,0)</f>
        <v/>
      </c>
      <c r="V4401">
        <f>IF(U4401=1,IF(M4401&gt;0,IF(P4401&lt;=G4401+Assumptions!$C$7,1,0),0),0)</f>
        <v/>
      </c>
      <c r="W4401">
        <f>IF(AND(U4401=1,M4401&gt;=H4401*(1-Assumptions!$C$8)),1,0)</f>
        <v/>
      </c>
      <c r="X4401">
        <f>IF(AND(U4401=1,N4401&gt;=H4401*(1-Assumptions!$C$8)),1,0)</f>
        <v/>
      </c>
      <c r="Y4401">
        <f>IF(ISNUMBER(Q4401),1,0)</f>
        <v/>
      </c>
      <c r="Z4401">
        <f>IF(AND(K4401=0,L4401=0,Y4401=0),1,0)</f>
        <v/>
      </c>
      <c r="AA4401">
        <f>IF(AND(Z4401=1,G4401&lt;Assumptions!$C$6),1,0)</f>
        <v/>
      </c>
      <c r="AB4401">
        <f>IF(U4401=0,"",IF(Y4401=1,MAX(0,Q4401-G4401),IF(L4401=1,MAX(0,R4401-G4401),MAX(0,Assumptions!$C$6-G4401))))</f>
        <v/>
      </c>
      <c r="AC4401">
        <f>IF(Y4401=1,Q4401-F4401,"")</f>
        <v/>
      </c>
      <c r="AD4401">
        <f>IF(Y4401=1,AC4401^2,"")</f>
        <v/>
      </c>
      <c r="AE4401" s="19">
        <f>IF(Z4401=1,(H4401-M4401)*I4401,0)</f>
        <v/>
      </c>
      <c r="AF4401">
        <f>IF(G4401&lt;EDATE(Assumptions!$C$6,-12)+1,"prior_12m","last_12m")</f>
        <v/>
      </c>
      <c r="AG4401" s="21">
        <f>DATE(YEAR(G4401),MONTH(G4401),1)</f>
        <v/>
      </c>
    </row>
    <row r="4402">
      <c r="A4402" t="inlineStr">
        <is>
          <t>SPO-02354-2</t>
        </is>
      </c>
      <c r="B4402" t="inlineStr">
        <is>
          <t>SPO-02354</t>
        </is>
      </c>
      <c r="C4402" t="inlineStr">
        <is>
          <t>SUP-01</t>
        </is>
      </c>
      <c r="D4402" t="inlineStr">
        <is>
          <t>ELEC</t>
        </is>
      </c>
      <c r="E4402" t="inlineStr">
        <is>
          <t>ELEC-03</t>
        </is>
      </c>
      <c r="F4402" s="17" t="n">
        <v>46226</v>
      </c>
      <c r="G4402" s="17" t="n">
        <v>46244</v>
      </c>
      <c r="H4402" s="18" t="n">
        <v>18</v>
      </c>
      <c r="I4402" s="19" t="n">
        <v>91.79000000000001</v>
      </c>
      <c r="J4402" s="19" t="n">
        <v>96</v>
      </c>
      <c r="K4402" s="20" t="n">
        <v>0</v>
      </c>
      <c r="L4402" s="20" t="n">
        <v>0</v>
      </c>
      <c r="M4402" s="18" t="n">
        <v>18</v>
      </c>
      <c r="N4402" s="18" t="n">
        <v>18</v>
      </c>
      <c r="O4402" s="18" t="n">
        <v>0</v>
      </c>
      <c r="P4402" s="17" t="n">
        <v>46244</v>
      </c>
      <c r="Q4402" s="17" t="n">
        <v>46244</v>
      </c>
      <c r="R4402" s="17" t="n">
        <v>46244</v>
      </c>
      <c r="S4402" s="19">
        <f>H4402*I4402</f>
        <v/>
      </c>
      <c r="T4402" s="19">
        <f>H4402*J4402</f>
        <v/>
      </c>
      <c r="U4402">
        <f>IF(AND(K4402=0,G4402&lt;=Assumptions!$C$6),1,0)</f>
        <v/>
      </c>
      <c r="V4402">
        <f>IF(U4402=1,IF(M4402&gt;0,IF(P4402&lt;=G4402+Assumptions!$C$7,1,0),0),0)</f>
        <v/>
      </c>
      <c r="W4402">
        <f>IF(AND(U4402=1,M4402&gt;=H4402*(1-Assumptions!$C$8)),1,0)</f>
        <v/>
      </c>
      <c r="X4402">
        <f>IF(AND(U4402=1,N4402&gt;=H4402*(1-Assumptions!$C$8)),1,0)</f>
        <v/>
      </c>
      <c r="Y4402">
        <f>IF(ISNUMBER(Q4402),1,0)</f>
        <v/>
      </c>
      <c r="Z4402">
        <f>IF(AND(K4402=0,L4402=0,Y4402=0),1,0)</f>
        <v/>
      </c>
      <c r="AA4402">
        <f>IF(AND(Z4402=1,G4402&lt;Assumptions!$C$6),1,0)</f>
        <v/>
      </c>
      <c r="AB4402">
        <f>IF(U4402=0,"",IF(Y4402=1,MAX(0,Q4402-G4402),IF(L4402=1,MAX(0,R4402-G4402),MAX(0,Assumptions!$C$6-G4402))))</f>
        <v/>
      </c>
      <c r="AC4402">
        <f>IF(Y4402=1,Q4402-F4402,"")</f>
        <v/>
      </c>
      <c r="AD4402">
        <f>IF(Y4402=1,AC4402^2,"")</f>
        <v/>
      </c>
      <c r="AE4402" s="19">
        <f>IF(Z4402=1,(H4402-M4402)*I4402,0)</f>
        <v/>
      </c>
      <c r="AF4402">
        <f>IF(G4402&lt;EDATE(Assumptions!$C$6,-12)+1,"prior_12m","last_12m")</f>
        <v/>
      </c>
      <c r="AG4402" s="21">
        <f>DATE(YEAR(G4402),MONTH(G4402),1)</f>
        <v/>
      </c>
    </row>
    <row r="4403">
      <c r="A4403" t="inlineStr">
        <is>
          <t>SPO-02354-3</t>
        </is>
      </c>
      <c r="B4403" t="inlineStr">
        <is>
          <t>SPO-02354</t>
        </is>
      </c>
      <c r="C4403" t="inlineStr">
        <is>
          <t>SUP-01</t>
        </is>
      </c>
      <c r="D4403" t="inlineStr">
        <is>
          <t>ELEC</t>
        </is>
      </c>
      <c r="E4403" t="inlineStr">
        <is>
          <t>ELEC-07</t>
        </is>
      </c>
      <c r="F4403" s="17" t="n">
        <v>46226</v>
      </c>
      <c r="G4403" s="17" t="n">
        <v>46244</v>
      </c>
      <c r="H4403" s="18" t="n">
        <v>768</v>
      </c>
      <c r="I4403" s="19" t="n">
        <v>10.06</v>
      </c>
      <c r="J4403" s="19" t="n">
        <v>9.800000000000001</v>
      </c>
      <c r="K4403" s="20" t="n">
        <v>0</v>
      </c>
      <c r="L4403" s="20" t="n">
        <v>0</v>
      </c>
      <c r="M4403" s="18" t="n">
        <v>768</v>
      </c>
      <c r="N4403" s="18" t="n">
        <v>768</v>
      </c>
      <c r="O4403" s="18" t="n">
        <v>0</v>
      </c>
      <c r="P4403" s="17" t="n">
        <v>46229</v>
      </c>
      <c r="Q4403" s="17" t="n">
        <v>46229</v>
      </c>
      <c r="R4403" s="17" t="n">
        <v>46229</v>
      </c>
      <c r="S4403" s="19">
        <f>H4403*I4403</f>
        <v/>
      </c>
      <c r="T4403" s="19">
        <f>H4403*J4403</f>
        <v/>
      </c>
      <c r="U4403">
        <f>IF(AND(K4403=0,G4403&lt;=Assumptions!$C$6),1,0)</f>
        <v/>
      </c>
      <c r="V4403">
        <f>IF(U4403=1,IF(M4403&gt;0,IF(P4403&lt;=G4403+Assumptions!$C$7,1,0),0),0)</f>
        <v/>
      </c>
      <c r="W4403">
        <f>IF(AND(U4403=1,M4403&gt;=H4403*(1-Assumptions!$C$8)),1,0)</f>
        <v/>
      </c>
      <c r="X4403">
        <f>IF(AND(U4403=1,N4403&gt;=H4403*(1-Assumptions!$C$8)),1,0)</f>
        <v/>
      </c>
      <c r="Y4403">
        <f>IF(ISNUMBER(Q4403),1,0)</f>
        <v/>
      </c>
      <c r="Z4403">
        <f>IF(AND(K4403=0,L4403=0,Y4403=0),1,0)</f>
        <v/>
      </c>
      <c r="AA4403">
        <f>IF(AND(Z4403=1,G4403&lt;Assumptions!$C$6),1,0)</f>
        <v/>
      </c>
      <c r="AB4403">
        <f>IF(U4403=0,"",IF(Y4403=1,MAX(0,Q4403-G4403),IF(L4403=1,MAX(0,R4403-G4403),MAX(0,Assumptions!$C$6-G4403))))</f>
        <v/>
      </c>
      <c r="AC4403">
        <f>IF(Y4403=1,Q4403-F4403,"")</f>
        <v/>
      </c>
      <c r="AD4403">
        <f>IF(Y4403=1,AC4403^2,"")</f>
        <v/>
      </c>
      <c r="AE4403" s="19">
        <f>IF(Z4403=1,(H4403-M4403)*I4403,0)</f>
        <v/>
      </c>
      <c r="AF4403">
        <f>IF(G4403&lt;EDATE(Assumptions!$C$6,-12)+1,"prior_12m","last_12m")</f>
        <v/>
      </c>
      <c r="AG4403" s="21">
        <f>DATE(YEAR(G4403),MONTH(G4403),1)</f>
        <v/>
      </c>
    </row>
    <row r="4404">
      <c r="A4404" t="inlineStr">
        <is>
          <t>SPO-02355-1</t>
        </is>
      </c>
      <c r="B4404" t="inlineStr">
        <is>
          <t>SPO-02355</t>
        </is>
      </c>
      <c r="C4404" t="inlineStr">
        <is>
          <t>SUP-01</t>
        </is>
      </c>
      <c r="D4404" t="inlineStr">
        <is>
          <t>ELEC</t>
        </is>
      </c>
      <c r="E4404" t="inlineStr">
        <is>
          <t>ELEC-03</t>
        </is>
      </c>
      <c r="F4404" s="17" t="n">
        <v>46226</v>
      </c>
      <c r="G4404" s="17" t="n">
        <v>46244</v>
      </c>
      <c r="H4404" s="18" t="n">
        <v>29</v>
      </c>
      <c r="I4404" s="19" t="n">
        <v>94.69</v>
      </c>
      <c r="J4404" s="19" t="n">
        <v>96</v>
      </c>
      <c r="K4404" s="20" t="n">
        <v>0</v>
      </c>
      <c r="L4404" s="20" t="n">
        <v>0</v>
      </c>
      <c r="M4404" s="18" t="n">
        <v>0</v>
      </c>
      <c r="N4404" s="18" t="n">
        <v>0</v>
      </c>
      <c r="O4404" s="18" t="n">
        <v>0</v>
      </c>
      <c r="P4404" s="17" t="n"/>
      <c r="Q4404" s="17" t="n"/>
      <c r="R4404" s="17" t="n"/>
      <c r="S4404" s="19">
        <f>H4404*I4404</f>
        <v/>
      </c>
      <c r="T4404" s="19">
        <f>H4404*J4404</f>
        <v/>
      </c>
      <c r="U4404">
        <f>IF(AND(K4404=0,G4404&lt;=Assumptions!$C$6),1,0)</f>
        <v/>
      </c>
      <c r="V4404">
        <f>IF(U4404=1,IF(M4404&gt;0,IF(P4404&lt;=G4404+Assumptions!$C$7,1,0),0),0)</f>
        <v/>
      </c>
      <c r="W4404">
        <f>IF(AND(U4404=1,M4404&gt;=H4404*(1-Assumptions!$C$8)),1,0)</f>
        <v/>
      </c>
      <c r="X4404">
        <f>IF(AND(U4404=1,N4404&gt;=H4404*(1-Assumptions!$C$8)),1,0)</f>
        <v/>
      </c>
      <c r="Y4404">
        <f>IF(ISNUMBER(Q4404),1,0)</f>
        <v/>
      </c>
      <c r="Z4404">
        <f>IF(AND(K4404=0,L4404=0,Y4404=0),1,0)</f>
        <v/>
      </c>
      <c r="AA4404">
        <f>IF(AND(Z4404=1,G4404&lt;Assumptions!$C$6),1,0)</f>
        <v/>
      </c>
      <c r="AB4404">
        <f>IF(U4404=0,"",IF(Y4404=1,MAX(0,Q4404-G4404),IF(L4404=1,MAX(0,R4404-G4404),MAX(0,Assumptions!$C$6-G4404))))</f>
        <v/>
      </c>
      <c r="AC4404">
        <f>IF(Y4404=1,Q4404-F4404,"")</f>
        <v/>
      </c>
      <c r="AD4404">
        <f>IF(Y4404=1,AC4404^2,"")</f>
        <v/>
      </c>
      <c r="AE4404" s="19">
        <f>IF(Z4404=1,(H4404-M4404)*I4404,0)</f>
        <v/>
      </c>
      <c r="AF4404">
        <f>IF(G4404&lt;EDATE(Assumptions!$C$6,-12)+1,"prior_12m","last_12m")</f>
        <v/>
      </c>
      <c r="AG4404" s="21">
        <f>DATE(YEAR(G4404),MONTH(G4404),1)</f>
        <v/>
      </c>
    </row>
    <row r="4405">
      <c r="A4405" t="inlineStr">
        <is>
          <t>SPO-02355-2</t>
        </is>
      </c>
      <c r="B4405" t="inlineStr">
        <is>
          <t>SPO-02355</t>
        </is>
      </c>
      <c r="C4405" t="inlineStr">
        <is>
          <t>SUP-01</t>
        </is>
      </c>
      <c r="D4405" t="inlineStr">
        <is>
          <t>ELEC</t>
        </is>
      </c>
      <c r="E4405" t="inlineStr">
        <is>
          <t>ELEC-08</t>
        </is>
      </c>
      <c r="F4405" s="17" t="n">
        <v>46226</v>
      </c>
      <c r="G4405" s="17" t="n">
        <v>46244</v>
      </c>
      <c r="H4405" s="18" t="n">
        <v>79</v>
      </c>
      <c r="I4405" s="19" t="n">
        <v>18.13</v>
      </c>
      <c r="J4405" s="19" t="n">
        <v>18</v>
      </c>
      <c r="K4405" s="20" t="n">
        <v>0</v>
      </c>
      <c r="L4405" s="20" t="n">
        <v>0</v>
      </c>
      <c r="M4405" s="18" t="n">
        <v>79</v>
      </c>
      <c r="N4405" s="18" t="n">
        <v>79</v>
      </c>
      <c r="O4405" s="18" t="n">
        <v>0</v>
      </c>
      <c r="P4405" s="17" t="n">
        <v>46232</v>
      </c>
      <c r="Q4405" s="17" t="n">
        <v>46232</v>
      </c>
      <c r="R4405" s="17" t="n">
        <v>46232</v>
      </c>
      <c r="S4405" s="19">
        <f>H4405*I4405</f>
        <v/>
      </c>
      <c r="T4405" s="19">
        <f>H4405*J4405</f>
        <v/>
      </c>
      <c r="U4405">
        <f>IF(AND(K4405=0,G4405&lt;=Assumptions!$C$6),1,0)</f>
        <v/>
      </c>
      <c r="V4405">
        <f>IF(U4405=1,IF(M4405&gt;0,IF(P4405&lt;=G4405+Assumptions!$C$7,1,0),0),0)</f>
        <v/>
      </c>
      <c r="W4405">
        <f>IF(AND(U4405=1,M4405&gt;=H4405*(1-Assumptions!$C$8)),1,0)</f>
        <v/>
      </c>
      <c r="X4405">
        <f>IF(AND(U4405=1,N4405&gt;=H4405*(1-Assumptions!$C$8)),1,0)</f>
        <v/>
      </c>
      <c r="Y4405">
        <f>IF(ISNUMBER(Q4405),1,0)</f>
        <v/>
      </c>
      <c r="Z4405">
        <f>IF(AND(K4405=0,L4405=0,Y4405=0),1,0)</f>
        <v/>
      </c>
      <c r="AA4405">
        <f>IF(AND(Z4405=1,G4405&lt;Assumptions!$C$6),1,0)</f>
        <v/>
      </c>
      <c r="AB4405">
        <f>IF(U4405=0,"",IF(Y4405=1,MAX(0,Q4405-G4405),IF(L4405=1,MAX(0,R4405-G4405),MAX(0,Assumptions!$C$6-G4405))))</f>
        <v/>
      </c>
      <c r="AC4405">
        <f>IF(Y4405=1,Q4405-F4405,"")</f>
        <v/>
      </c>
      <c r="AD4405">
        <f>IF(Y4405=1,AC4405^2,"")</f>
        <v/>
      </c>
      <c r="AE4405" s="19">
        <f>IF(Z4405=1,(H4405-M4405)*I4405,0)</f>
        <v/>
      </c>
      <c r="AF4405">
        <f>IF(G4405&lt;EDATE(Assumptions!$C$6,-12)+1,"prior_12m","last_12m")</f>
        <v/>
      </c>
      <c r="AG4405" s="21">
        <f>DATE(YEAR(G4405),MONTH(G4405),1)</f>
        <v/>
      </c>
    </row>
    <row r="4406">
      <c r="A4406" t="inlineStr">
        <is>
          <t>SPO-02356-1</t>
        </is>
      </c>
      <c r="B4406" t="inlineStr">
        <is>
          <t>SPO-02356</t>
        </is>
      </c>
      <c r="C4406" t="inlineStr">
        <is>
          <t>SUP-12</t>
        </is>
      </c>
      <c r="D4406" t="inlineStr">
        <is>
          <t>IT</t>
        </is>
      </c>
      <c r="E4406" t="inlineStr">
        <is>
          <t>IT-06</t>
        </is>
      </c>
      <c r="F4406" s="17" t="n">
        <v>46226</v>
      </c>
      <c r="G4406" s="17" t="n">
        <v>46236</v>
      </c>
      <c r="H4406" s="18" t="n">
        <v>17</v>
      </c>
      <c r="I4406" s="19" t="n">
        <v>95.06999999999999</v>
      </c>
      <c r="J4406" s="19" t="n">
        <v>89</v>
      </c>
      <c r="K4406" s="20" t="n">
        <v>0</v>
      </c>
      <c r="L4406" s="20" t="n">
        <v>0</v>
      </c>
      <c r="M4406" s="18" t="n">
        <v>17</v>
      </c>
      <c r="N4406" s="18" t="n">
        <v>17</v>
      </c>
      <c r="O4406" s="18" t="n">
        <v>0</v>
      </c>
      <c r="P4406" s="17" t="n">
        <v>46233</v>
      </c>
      <c r="Q4406" s="17" t="n">
        <v>46233</v>
      </c>
      <c r="R4406" s="17" t="n">
        <v>46233</v>
      </c>
      <c r="S4406" s="19">
        <f>H4406*I4406</f>
        <v/>
      </c>
      <c r="T4406" s="19">
        <f>H4406*J4406</f>
        <v/>
      </c>
      <c r="U4406">
        <f>IF(AND(K4406=0,G4406&lt;=Assumptions!$C$6),1,0)</f>
        <v/>
      </c>
      <c r="V4406">
        <f>IF(U4406=1,IF(M4406&gt;0,IF(P4406&lt;=G4406+Assumptions!$C$7,1,0),0),0)</f>
        <v/>
      </c>
      <c r="W4406">
        <f>IF(AND(U4406=1,M4406&gt;=H4406*(1-Assumptions!$C$8)),1,0)</f>
        <v/>
      </c>
      <c r="X4406">
        <f>IF(AND(U4406=1,N4406&gt;=H4406*(1-Assumptions!$C$8)),1,0)</f>
        <v/>
      </c>
      <c r="Y4406">
        <f>IF(ISNUMBER(Q4406),1,0)</f>
        <v/>
      </c>
      <c r="Z4406">
        <f>IF(AND(K4406=0,L4406=0,Y4406=0),1,0)</f>
        <v/>
      </c>
      <c r="AA4406">
        <f>IF(AND(Z4406=1,G4406&lt;Assumptions!$C$6),1,0)</f>
        <v/>
      </c>
      <c r="AB4406">
        <f>IF(U4406=0,"",IF(Y4406=1,MAX(0,Q4406-G4406),IF(L4406=1,MAX(0,R4406-G4406),MAX(0,Assumptions!$C$6-G4406))))</f>
        <v/>
      </c>
      <c r="AC4406">
        <f>IF(Y4406=1,Q4406-F4406,"")</f>
        <v/>
      </c>
      <c r="AD4406">
        <f>IF(Y4406=1,AC4406^2,"")</f>
        <v/>
      </c>
      <c r="AE4406" s="19">
        <f>IF(Z4406=1,(H4406-M4406)*I4406,0)</f>
        <v/>
      </c>
      <c r="AF4406">
        <f>IF(G4406&lt;EDATE(Assumptions!$C$6,-12)+1,"prior_12m","last_12m")</f>
        <v/>
      </c>
      <c r="AG4406" s="21">
        <f>DATE(YEAR(G4406),MONTH(G4406),1)</f>
        <v/>
      </c>
    </row>
    <row r="4407">
      <c r="A4407" t="inlineStr">
        <is>
          <t>SPO-02357-1</t>
        </is>
      </c>
      <c r="B4407" t="inlineStr">
        <is>
          <t>SPO-02357</t>
        </is>
      </c>
      <c r="C4407" t="inlineStr">
        <is>
          <t>SUP-08</t>
        </is>
      </c>
      <c r="D4407" t="inlineStr">
        <is>
          <t>PPE</t>
        </is>
      </c>
      <c r="E4407" t="inlineStr">
        <is>
          <t>PPE-06</t>
        </is>
      </c>
      <c r="F4407" s="17" t="n">
        <v>46226</v>
      </c>
      <c r="G4407" s="17" t="n">
        <v>46237</v>
      </c>
      <c r="H4407" s="18" t="n">
        <v>24</v>
      </c>
      <c r="I4407" s="19" t="n">
        <v>110.76</v>
      </c>
      <c r="J4407" s="19" t="n">
        <v>115</v>
      </c>
      <c r="K4407" s="20" t="n">
        <v>0</v>
      </c>
      <c r="L4407" s="20" t="n">
        <v>0</v>
      </c>
      <c r="M4407" s="18" t="n">
        <v>24</v>
      </c>
      <c r="N4407" s="18" t="n">
        <v>24</v>
      </c>
      <c r="O4407" s="18" t="n">
        <v>0</v>
      </c>
      <c r="P4407" s="17" t="n">
        <v>46231</v>
      </c>
      <c r="Q4407" s="17" t="n">
        <v>46231</v>
      </c>
      <c r="R4407" s="17" t="n">
        <v>46231</v>
      </c>
      <c r="S4407" s="19">
        <f>H4407*I4407</f>
        <v/>
      </c>
      <c r="T4407" s="19">
        <f>H4407*J4407</f>
        <v/>
      </c>
      <c r="U4407">
        <f>IF(AND(K4407=0,G4407&lt;=Assumptions!$C$6),1,0)</f>
        <v/>
      </c>
      <c r="V4407">
        <f>IF(U4407=1,IF(M4407&gt;0,IF(P4407&lt;=G4407+Assumptions!$C$7,1,0),0),0)</f>
        <v/>
      </c>
      <c r="W4407">
        <f>IF(AND(U4407=1,M4407&gt;=H4407*(1-Assumptions!$C$8)),1,0)</f>
        <v/>
      </c>
      <c r="X4407">
        <f>IF(AND(U4407=1,N4407&gt;=H4407*(1-Assumptions!$C$8)),1,0)</f>
        <v/>
      </c>
      <c r="Y4407">
        <f>IF(ISNUMBER(Q4407),1,0)</f>
        <v/>
      </c>
      <c r="Z4407">
        <f>IF(AND(K4407=0,L4407=0,Y4407=0),1,0)</f>
        <v/>
      </c>
      <c r="AA4407">
        <f>IF(AND(Z4407=1,G4407&lt;Assumptions!$C$6),1,0)</f>
        <v/>
      </c>
      <c r="AB4407">
        <f>IF(U4407=0,"",IF(Y4407=1,MAX(0,Q4407-G4407),IF(L4407=1,MAX(0,R4407-G4407),MAX(0,Assumptions!$C$6-G4407))))</f>
        <v/>
      </c>
      <c r="AC4407">
        <f>IF(Y4407=1,Q4407-F4407,"")</f>
        <v/>
      </c>
      <c r="AD4407">
        <f>IF(Y4407=1,AC4407^2,"")</f>
        <v/>
      </c>
      <c r="AE4407" s="19">
        <f>IF(Z4407=1,(H4407-M4407)*I4407,0)</f>
        <v/>
      </c>
      <c r="AF4407">
        <f>IF(G4407&lt;EDATE(Assumptions!$C$6,-12)+1,"prior_12m","last_12m")</f>
        <v/>
      </c>
      <c r="AG4407" s="21">
        <f>DATE(YEAR(G4407),MONTH(G4407),1)</f>
        <v/>
      </c>
    </row>
    <row r="4408">
      <c r="A4408" t="inlineStr">
        <is>
          <t>SPO-02358-1</t>
        </is>
      </c>
      <c r="B4408" t="inlineStr">
        <is>
          <t>SPO-02358</t>
        </is>
      </c>
      <c r="C4408" t="inlineStr">
        <is>
          <t>SUP-08</t>
        </is>
      </c>
      <c r="D4408" t="inlineStr">
        <is>
          <t>MRO</t>
        </is>
      </c>
      <c r="E4408" t="inlineStr">
        <is>
          <t>MRO-07</t>
        </is>
      </c>
      <c r="F4408" s="17" t="n">
        <v>46226</v>
      </c>
      <c r="G4408" s="17" t="n">
        <v>46237</v>
      </c>
      <c r="H4408" s="18" t="n">
        <v>77</v>
      </c>
      <c r="I4408" s="19" t="n">
        <v>13.87</v>
      </c>
      <c r="J4408" s="19" t="n">
        <v>14</v>
      </c>
      <c r="K4408" s="20" t="n">
        <v>0</v>
      </c>
      <c r="L4408" s="20" t="n">
        <v>0</v>
      </c>
      <c r="M4408" s="18" t="n">
        <v>77</v>
      </c>
      <c r="N4408" s="18" t="n">
        <v>48</v>
      </c>
      <c r="O4408" s="18" t="n">
        <v>0</v>
      </c>
      <c r="P4408" s="17" t="n">
        <v>46234</v>
      </c>
      <c r="Q4408" s="17" t="n">
        <v>46240</v>
      </c>
      <c r="R4408" s="17" t="n">
        <v>46240</v>
      </c>
      <c r="S4408" s="19">
        <f>H4408*I4408</f>
        <v/>
      </c>
      <c r="T4408" s="19">
        <f>H4408*J4408</f>
        <v/>
      </c>
      <c r="U4408">
        <f>IF(AND(K4408=0,G4408&lt;=Assumptions!$C$6),1,0)</f>
        <v/>
      </c>
      <c r="V4408">
        <f>IF(U4408=1,IF(M4408&gt;0,IF(P4408&lt;=G4408+Assumptions!$C$7,1,0),0),0)</f>
        <v/>
      </c>
      <c r="W4408">
        <f>IF(AND(U4408=1,M4408&gt;=H4408*(1-Assumptions!$C$8)),1,0)</f>
        <v/>
      </c>
      <c r="X4408">
        <f>IF(AND(U4408=1,N4408&gt;=H4408*(1-Assumptions!$C$8)),1,0)</f>
        <v/>
      </c>
      <c r="Y4408">
        <f>IF(ISNUMBER(Q4408),1,0)</f>
        <v/>
      </c>
      <c r="Z4408">
        <f>IF(AND(K4408=0,L4408=0,Y4408=0),1,0)</f>
        <v/>
      </c>
      <c r="AA4408">
        <f>IF(AND(Z4408=1,G4408&lt;Assumptions!$C$6),1,0)</f>
        <v/>
      </c>
      <c r="AB4408">
        <f>IF(U4408=0,"",IF(Y4408=1,MAX(0,Q4408-G4408),IF(L4408=1,MAX(0,R4408-G4408),MAX(0,Assumptions!$C$6-G4408))))</f>
        <v/>
      </c>
      <c r="AC4408">
        <f>IF(Y4408=1,Q4408-F4408,"")</f>
        <v/>
      </c>
      <c r="AD4408">
        <f>IF(Y4408=1,AC4408^2,"")</f>
        <v/>
      </c>
      <c r="AE4408" s="19">
        <f>IF(Z4408=1,(H4408-M4408)*I4408,0)</f>
        <v/>
      </c>
      <c r="AF4408">
        <f>IF(G4408&lt;EDATE(Assumptions!$C$6,-12)+1,"prior_12m","last_12m")</f>
        <v/>
      </c>
      <c r="AG4408" s="21">
        <f>DATE(YEAR(G4408),MONTH(G4408),1)</f>
        <v/>
      </c>
    </row>
    <row r="4409">
      <c r="A4409" t="inlineStr">
        <is>
          <t>SPO-02359-1</t>
        </is>
      </c>
      <c r="B4409" t="inlineStr">
        <is>
          <t>SPO-02359</t>
        </is>
      </c>
      <c r="C4409" t="inlineStr">
        <is>
          <t>SUP-08</t>
        </is>
      </c>
      <c r="D4409" t="inlineStr">
        <is>
          <t>MRO</t>
        </is>
      </c>
      <c r="E4409" t="inlineStr">
        <is>
          <t>MRO-01</t>
        </is>
      </c>
      <c r="F4409" s="17" t="n">
        <v>46226</v>
      </c>
      <c r="G4409" s="17" t="n">
        <v>46237</v>
      </c>
      <c r="H4409" s="18" t="n">
        <v>17</v>
      </c>
      <c r="I4409" s="19" t="n">
        <v>52.4</v>
      </c>
      <c r="J4409" s="19" t="n">
        <v>52</v>
      </c>
      <c r="K4409" s="20" t="n">
        <v>0</v>
      </c>
      <c r="L4409" s="20" t="n">
        <v>0</v>
      </c>
      <c r="M4409" s="18" t="n">
        <v>17</v>
      </c>
      <c r="N4409" s="18" t="n">
        <v>17</v>
      </c>
      <c r="O4409" s="18" t="n">
        <v>0</v>
      </c>
      <c r="P4409" s="17" t="n">
        <v>46235</v>
      </c>
      <c r="Q4409" s="17" t="n">
        <v>46235</v>
      </c>
      <c r="R4409" s="17" t="n">
        <v>46235</v>
      </c>
      <c r="S4409" s="19">
        <f>H4409*I4409</f>
        <v/>
      </c>
      <c r="T4409" s="19">
        <f>H4409*J4409</f>
        <v/>
      </c>
      <c r="U4409">
        <f>IF(AND(K4409=0,G4409&lt;=Assumptions!$C$6),1,0)</f>
        <v/>
      </c>
      <c r="V4409">
        <f>IF(U4409=1,IF(M4409&gt;0,IF(P4409&lt;=G4409+Assumptions!$C$7,1,0),0),0)</f>
        <v/>
      </c>
      <c r="W4409">
        <f>IF(AND(U4409=1,M4409&gt;=H4409*(1-Assumptions!$C$8)),1,0)</f>
        <v/>
      </c>
      <c r="X4409">
        <f>IF(AND(U4409=1,N4409&gt;=H4409*(1-Assumptions!$C$8)),1,0)</f>
        <v/>
      </c>
      <c r="Y4409">
        <f>IF(ISNUMBER(Q4409),1,0)</f>
        <v/>
      </c>
      <c r="Z4409">
        <f>IF(AND(K4409=0,L4409=0,Y4409=0),1,0)</f>
        <v/>
      </c>
      <c r="AA4409">
        <f>IF(AND(Z4409=1,G4409&lt;Assumptions!$C$6),1,0)</f>
        <v/>
      </c>
      <c r="AB4409">
        <f>IF(U4409=0,"",IF(Y4409=1,MAX(0,Q4409-G4409),IF(L4409=1,MAX(0,R4409-G4409),MAX(0,Assumptions!$C$6-G4409))))</f>
        <v/>
      </c>
      <c r="AC4409">
        <f>IF(Y4409=1,Q4409-F4409,"")</f>
        <v/>
      </c>
      <c r="AD4409">
        <f>IF(Y4409=1,AC4409^2,"")</f>
        <v/>
      </c>
      <c r="AE4409" s="19">
        <f>IF(Z4409=1,(H4409-M4409)*I4409,0)</f>
        <v/>
      </c>
      <c r="AF4409">
        <f>IF(G4409&lt;EDATE(Assumptions!$C$6,-12)+1,"prior_12m","last_12m")</f>
        <v/>
      </c>
      <c r="AG4409" s="21">
        <f>DATE(YEAR(G4409),MONTH(G4409),1)</f>
        <v/>
      </c>
    </row>
    <row r="4410">
      <c r="A4410" t="inlineStr">
        <is>
          <t>SPO-02359-2</t>
        </is>
      </c>
      <c r="B4410" t="inlineStr">
        <is>
          <t>SPO-02359</t>
        </is>
      </c>
      <c r="C4410" t="inlineStr">
        <is>
          <t>SUP-08</t>
        </is>
      </c>
      <c r="D4410" t="inlineStr">
        <is>
          <t>MRO</t>
        </is>
      </c>
      <c r="E4410" t="inlineStr">
        <is>
          <t>MRO-02</t>
        </is>
      </c>
      <c r="F4410" s="17" t="n">
        <v>46226</v>
      </c>
      <c r="G4410" s="17" t="n">
        <v>46237</v>
      </c>
      <c r="H4410" s="18" t="n">
        <v>47</v>
      </c>
      <c r="I4410" s="19" t="n">
        <v>42.93</v>
      </c>
      <c r="J4410" s="19" t="n">
        <v>41</v>
      </c>
      <c r="K4410" s="20" t="n">
        <v>0</v>
      </c>
      <c r="L4410" s="20" t="n">
        <v>0</v>
      </c>
      <c r="M4410" s="18" t="n">
        <v>47</v>
      </c>
      <c r="N4410" s="18" t="n">
        <v>47</v>
      </c>
      <c r="O4410" s="18" t="n">
        <v>0</v>
      </c>
      <c r="P4410" s="17" t="n">
        <v>46237</v>
      </c>
      <c r="Q4410" s="17" t="n">
        <v>46237</v>
      </c>
      <c r="R4410" s="17" t="n">
        <v>46237</v>
      </c>
      <c r="S4410" s="19">
        <f>H4410*I4410</f>
        <v/>
      </c>
      <c r="T4410" s="19">
        <f>H4410*J4410</f>
        <v/>
      </c>
      <c r="U4410">
        <f>IF(AND(K4410=0,G4410&lt;=Assumptions!$C$6),1,0)</f>
        <v/>
      </c>
      <c r="V4410">
        <f>IF(U4410=1,IF(M4410&gt;0,IF(P4410&lt;=G4410+Assumptions!$C$7,1,0),0),0)</f>
        <v/>
      </c>
      <c r="W4410">
        <f>IF(AND(U4410=1,M4410&gt;=H4410*(1-Assumptions!$C$8)),1,0)</f>
        <v/>
      </c>
      <c r="X4410">
        <f>IF(AND(U4410=1,N4410&gt;=H4410*(1-Assumptions!$C$8)),1,0)</f>
        <v/>
      </c>
      <c r="Y4410">
        <f>IF(ISNUMBER(Q4410),1,0)</f>
        <v/>
      </c>
      <c r="Z4410">
        <f>IF(AND(K4410=0,L4410=0,Y4410=0),1,0)</f>
        <v/>
      </c>
      <c r="AA4410">
        <f>IF(AND(Z4410=1,G4410&lt;Assumptions!$C$6),1,0)</f>
        <v/>
      </c>
      <c r="AB4410">
        <f>IF(U4410=0,"",IF(Y4410=1,MAX(0,Q4410-G4410),IF(L4410=1,MAX(0,R4410-G4410),MAX(0,Assumptions!$C$6-G4410))))</f>
        <v/>
      </c>
      <c r="AC4410">
        <f>IF(Y4410=1,Q4410-F4410,"")</f>
        <v/>
      </c>
      <c r="AD4410">
        <f>IF(Y4410=1,AC4410^2,"")</f>
        <v/>
      </c>
      <c r="AE4410" s="19">
        <f>IF(Z4410=1,(H4410-M4410)*I4410,0)</f>
        <v/>
      </c>
      <c r="AF4410">
        <f>IF(G4410&lt;EDATE(Assumptions!$C$6,-12)+1,"prior_12m","last_12m")</f>
        <v/>
      </c>
      <c r="AG4410" s="21">
        <f>DATE(YEAR(G4410),MONTH(G4410),1)</f>
        <v/>
      </c>
    </row>
    <row r="4411">
      <c r="A4411" t="inlineStr">
        <is>
          <t>SPO-02360-1</t>
        </is>
      </c>
      <c r="B4411" t="inlineStr">
        <is>
          <t>SPO-02360</t>
        </is>
      </c>
      <c r="C4411" t="inlineStr">
        <is>
          <t>SUP-02</t>
        </is>
      </c>
      <c r="D4411" t="inlineStr">
        <is>
          <t>ELEC</t>
        </is>
      </c>
      <c r="E4411" t="inlineStr">
        <is>
          <t>ELEC-04</t>
        </is>
      </c>
      <c r="F4411" s="17" t="n">
        <v>46226</v>
      </c>
      <c r="G4411" s="17" t="n">
        <v>46242</v>
      </c>
      <c r="H4411" s="18" t="n">
        <v>32</v>
      </c>
      <c r="I4411" s="19" t="n">
        <v>74.3</v>
      </c>
      <c r="J4411" s="19" t="n">
        <v>72</v>
      </c>
      <c r="K4411" s="20" t="n">
        <v>0</v>
      </c>
      <c r="L4411" s="20" t="n">
        <v>0</v>
      </c>
      <c r="M4411" s="18" t="n">
        <v>32</v>
      </c>
      <c r="N4411" s="18" t="n">
        <v>32</v>
      </c>
      <c r="O4411" s="18" t="n">
        <v>0</v>
      </c>
      <c r="P4411" s="17" t="n">
        <v>46239</v>
      </c>
      <c r="Q4411" s="17" t="n">
        <v>46239</v>
      </c>
      <c r="R4411" s="17" t="n">
        <v>46239</v>
      </c>
      <c r="S4411" s="19">
        <f>H4411*I4411</f>
        <v/>
      </c>
      <c r="T4411" s="19">
        <f>H4411*J4411</f>
        <v/>
      </c>
      <c r="U4411">
        <f>IF(AND(K4411=0,G4411&lt;=Assumptions!$C$6),1,0)</f>
        <v/>
      </c>
      <c r="V4411">
        <f>IF(U4411=1,IF(M4411&gt;0,IF(P4411&lt;=G4411+Assumptions!$C$7,1,0),0),0)</f>
        <v/>
      </c>
      <c r="W4411">
        <f>IF(AND(U4411=1,M4411&gt;=H4411*(1-Assumptions!$C$8)),1,0)</f>
        <v/>
      </c>
      <c r="X4411">
        <f>IF(AND(U4411=1,N4411&gt;=H4411*(1-Assumptions!$C$8)),1,0)</f>
        <v/>
      </c>
      <c r="Y4411">
        <f>IF(ISNUMBER(Q4411),1,0)</f>
        <v/>
      </c>
      <c r="Z4411">
        <f>IF(AND(K4411=0,L4411=0,Y4411=0),1,0)</f>
        <v/>
      </c>
      <c r="AA4411">
        <f>IF(AND(Z4411=1,G4411&lt;Assumptions!$C$6),1,0)</f>
        <v/>
      </c>
      <c r="AB4411">
        <f>IF(U4411=0,"",IF(Y4411=1,MAX(0,Q4411-G4411),IF(L4411=1,MAX(0,R4411-G4411),MAX(0,Assumptions!$C$6-G4411))))</f>
        <v/>
      </c>
      <c r="AC4411">
        <f>IF(Y4411=1,Q4411-F4411,"")</f>
        <v/>
      </c>
      <c r="AD4411">
        <f>IF(Y4411=1,AC4411^2,"")</f>
        <v/>
      </c>
      <c r="AE4411" s="19">
        <f>IF(Z4411=1,(H4411-M4411)*I4411,0)</f>
        <v/>
      </c>
      <c r="AF4411">
        <f>IF(G4411&lt;EDATE(Assumptions!$C$6,-12)+1,"prior_12m","last_12m")</f>
        <v/>
      </c>
      <c r="AG4411" s="21">
        <f>DATE(YEAR(G4411),MONTH(G4411),1)</f>
        <v/>
      </c>
    </row>
    <row r="4412">
      <c r="A4412" t="inlineStr">
        <is>
          <t>SPO-02360-2</t>
        </is>
      </c>
      <c r="B4412" t="inlineStr">
        <is>
          <t>SPO-02360</t>
        </is>
      </c>
      <c r="C4412" t="inlineStr">
        <is>
          <t>SUP-02</t>
        </is>
      </c>
      <c r="D4412" t="inlineStr">
        <is>
          <t>ELEC</t>
        </is>
      </c>
      <c r="E4412" t="inlineStr">
        <is>
          <t>ELEC-02</t>
        </is>
      </c>
      <c r="F4412" s="17" t="n">
        <v>46226</v>
      </c>
      <c r="G4412" s="17" t="n">
        <v>46242</v>
      </c>
      <c r="H4412" s="18" t="n">
        <v>359</v>
      </c>
      <c r="I4412" s="19" t="n">
        <v>4.5</v>
      </c>
      <c r="J4412" s="19" t="n">
        <v>4.2</v>
      </c>
      <c r="K4412" s="20" t="n">
        <v>0</v>
      </c>
      <c r="L4412" s="20" t="n">
        <v>0</v>
      </c>
      <c r="M4412" s="18" t="n">
        <v>359</v>
      </c>
      <c r="N4412" s="18" t="n">
        <v>359</v>
      </c>
      <c r="O4412" s="18" t="n">
        <v>0</v>
      </c>
      <c r="P4412" s="17" t="n">
        <v>46239</v>
      </c>
      <c r="Q4412" s="17" t="n">
        <v>46239</v>
      </c>
      <c r="R4412" s="17" t="n">
        <v>46239</v>
      </c>
      <c r="S4412" s="19">
        <f>H4412*I4412</f>
        <v/>
      </c>
      <c r="T4412" s="19">
        <f>H4412*J4412</f>
        <v/>
      </c>
      <c r="U4412">
        <f>IF(AND(K4412=0,G4412&lt;=Assumptions!$C$6),1,0)</f>
        <v/>
      </c>
      <c r="V4412">
        <f>IF(U4412=1,IF(M4412&gt;0,IF(P4412&lt;=G4412+Assumptions!$C$7,1,0),0),0)</f>
        <v/>
      </c>
      <c r="W4412">
        <f>IF(AND(U4412=1,M4412&gt;=H4412*(1-Assumptions!$C$8)),1,0)</f>
        <v/>
      </c>
      <c r="X4412">
        <f>IF(AND(U4412=1,N4412&gt;=H4412*(1-Assumptions!$C$8)),1,0)</f>
        <v/>
      </c>
      <c r="Y4412">
        <f>IF(ISNUMBER(Q4412),1,0)</f>
        <v/>
      </c>
      <c r="Z4412">
        <f>IF(AND(K4412=0,L4412=0,Y4412=0),1,0)</f>
        <v/>
      </c>
      <c r="AA4412">
        <f>IF(AND(Z4412=1,G4412&lt;Assumptions!$C$6),1,0)</f>
        <v/>
      </c>
      <c r="AB4412">
        <f>IF(U4412=0,"",IF(Y4412=1,MAX(0,Q4412-G4412),IF(L4412=1,MAX(0,R4412-G4412),MAX(0,Assumptions!$C$6-G4412))))</f>
        <v/>
      </c>
      <c r="AC4412">
        <f>IF(Y4412=1,Q4412-F4412,"")</f>
        <v/>
      </c>
      <c r="AD4412">
        <f>IF(Y4412=1,AC4412^2,"")</f>
        <v/>
      </c>
      <c r="AE4412" s="19">
        <f>IF(Z4412=1,(H4412-M4412)*I4412,0)</f>
        <v/>
      </c>
      <c r="AF4412">
        <f>IF(G4412&lt;EDATE(Assumptions!$C$6,-12)+1,"prior_12m","last_12m")</f>
        <v/>
      </c>
      <c r="AG4412" s="21">
        <f>DATE(YEAR(G4412),MONTH(G4412),1)</f>
        <v/>
      </c>
    </row>
    <row r="4413">
      <c r="A4413" t="inlineStr">
        <is>
          <t>SPO-02361-1</t>
        </is>
      </c>
      <c r="B4413" t="inlineStr">
        <is>
          <t>SPO-02361</t>
        </is>
      </c>
      <c r="C4413" t="inlineStr">
        <is>
          <t>SUP-04</t>
        </is>
      </c>
      <c r="D4413" t="inlineStr">
        <is>
          <t>FLEET</t>
        </is>
      </c>
      <c r="E4413" t="inlineStr">
        <is>
          <t>FLEET-04</t>
        </is>
      </c>
      <c r="F4413" s="17" t="n">
        <v>46227</v>
      </c>
      <c r="G4413" s="17" t="n">
        <v>46240</v>
      </c>
      <c r="H4413" s="18" t="n">
        <v>141</v>
      </c>
      <c r="I4413" s="19" t="n">
        <v>9.08</v>
      </c>
      <c r="J4413" s="19" t="n">
        <v>9</v>
      </c>
      <c r="K4413" s="20" t="n">
        <v>0</v>
      </c>
      <c r="L4413" s="20" t="n">
        <v>0</v>
      </c>
      <c r="M4413" s="18" t="n">
        <v>141</v>
      </c>
      <c r="N4413" s="18" t="n">
        <v>141</v>
      </c>
      <c r="O4413" s="18" t="n">
        <v>0</v>
      </c>
      <c r="P4413" s="17" t="n">
        <v>46232</v>
      </c>
      <c r="Q4413" s="17" t="n">
        <v>46232</v>
      </c>
      <c r="R4413" s="17" t="n">
        <v>46232</v>
      </c>
      <c r="S4413" s="19">
        <f>H4413*I4413</f>
        <v/>
      </c>
      <c r="T4413" s="19">
        <f>H4413*J4413</f>
        <v/>
      </c>
      <c r="U4413">
        <f>IF(AND(K4413=0,G4413&lt;=Assumptions!$C$6),1,0)</f>
        <v/>
      </c>
      <c r="V4413">
        <f>IF(U4413=1,IF(M4413&gt;0,IF(P4413&lt;=G4413+Assumptions!$C$7,1,0),0),0)</f>
        <v/>
      </c>
      <c r="W4413">
        <f>IF(AND(U4413=1,M4413&gt;=H4413*(1-Assumptions!$C$8)),1,0)</f>
        <v/>
      </c>
      <c r="X4413">
        <f>IF(AND(U4413=1,N4413&gt;=H4413*(1-Assumptions!$C$8)),1,0)</f>
        <v/>
      </c>
      <c r="Y4413">
        <f>IF(ISNUMBER(Q4413),1,0)</f>
        <v/>
      </c>
      <c r="Z4413">
        <f>IF(AND(K4413=0,L4413=0,Y4413=0),1,0)</f>
        <v/>
      </c>
      <c r="AA4413">
        <f>IF(AND(Z4413=1,G4413&lt;Assumptions!$C$6),1,0)</f>
        <v/>
      </c>
      <c r="AB4413">
        <f>IF(U4413=0,"",IF(Y4413=1,MAX(0,Q4413-G4413),IF(L4413=1,MAX(0,R4413-G4413),MAX(0,Assumptions!$C$6-G4413))))</f>
        <v/>
      </c>
      <c r="AC4413">
        <f>IF(Y4413=1,Q4413-F4413,"")</f>
        <v/>
      </c>
      <c r="AD4413">
        <f>IF(Y4413=1,AC4413^2,"")</f>
        <v/>
      </c>
      <c r="AE4413" s="19">
        <f>IF(Z4413=1,(H4413-M4413)*I4413,0)</f>
        <v/>
      </c>
      <c r="AF4413">
        <f>IF(G4413&lt;EDATE(Assumptions!$C$6,-12)+1,"prior_12m","last_12m")</f>
        <v/>
      </c>
      <c r="AG4413" s="21">
        <f>DATE(YEAR(G4413),MONTH(G4413),1)</f>
        <v/>
      </c>
    </row>
    <row r="4414">
      <c r="A4414" t="inlineStr">
        <is>
          <t>SPO-02361-2</t>
        </is>
      </c>
      <c r="B4414" t="inlineStr">
        <is>
          <t>SPO-02361</t>
        </is>
      </c>
      <c r="C4414" t="inlineStr">
        <is>
          <t>SUP-04</t>
        </is>
      </c>
      <c r="D4414" t="inlineStr">
        <is>
          <t>FLEET</t>
        </is>
      </c>
      <c r="E4414" t="inlineStr">
        <is>
          <t>FLEET-07</t>
        </is>
      </c>
      <c r="F4414" s="17" t="n">
        <v>46227</v>
      </c>
      <c r="G4414" s="17" t="n">
        <v>46240</v>
      </c>
      <c r="H4414" s="18" t="n">
        <v>26</v>
      </c>
      <c r="I4414" s="19" t="n">
        <v>112.23</v>
      </c>
      <c r="J4414" s="19" t="n">
        <v>118</v>
      </c>
      <c r="K4414" s="20" t="n">
        <v>0</v>
      </c>
      <c r="L4414" s="20" t="n">
        <v>0</v>
      </c>
      <c r="M4414" s="18" t="n">
        <v>26</v>
      </c>
      <c r="N4414" s="18" t="n">
        <v>26</v>
      </c>
      <c r="O4414" s="18" t="n">
        <v>0</v>
      </c>
      <c r="P4414" s="17" t="n">
        <v>46236</v>
      </c>
      <c r="Q4414" s="17" t="n">
        <v>46236</v>
      </c>
      <c r="R4414" s="17" t="n">
        <v>46236</v>
      </c>
      <c r="S4414" s="19">
        <f>H4414*I4414</f>
        <v/>
      </c>
      <c r="T4414" s="19">
        <f>H4414*J4414</f>
        <v/>
      </c>
      <c r="U4414">
        <f>IF(AND(K4414=0,G4414&lt;=Assumptions!$C$6),1,0)</f>
        <v/>
      </c>
      <c r="V4414">
        <f>IF(U4414=1,IF(M4414&gt;0,IF(P4414&lt;=G4414+Assumptions!$C$7,1,0),0),0)</f>
        <v/>
      </c>
      <c r="W4414">
        <f>IF(AND(U4414=1,M4414&gt;=H4414*(1-Assumptions!$C$8)),1,0)</f>
        <v/>
      </c>
      <c r="X4414">
        <f>IF(AND(U4414=1,N4414&gt;=H4414*(1-Assumptions!$C$8)),1,0)</f>
        <v/>
      </c>
      <c r="Y4414">
        <f>IF(ISNUMBER(Q4414),1,0)</f>
        <v/>
      </c>
      <c r="Z4414">
        <f>IF(AND(K4414=0,L4414=0,Y4414=0),1,0)</f>
        <v/>
      </c>
      <c r="AA4414">
        <f>IF(AND(Z4414=1,G4414&lt;Assumptions!$C$6),1,0)</f>
        <v/>
      </c>
      <c r="AB4414">
        <f>IF(U4414=0,"",IF(Y4414=1,MAX(0,Q4414-G4414),IF(L4414=1,MAX(0,R4414-G4414),MAX(0,Assumptions!$C$6-G4414))))</f>
        <v/>
      </c>
      <c r="AC4414">
        <f>IF(Y4414=1,Q4414-F4414,"")</f>
        <v/>
      </c>
      <c r="AD4414">
        <f>IF(Y4414=1,AC4414^2,"")</f>
        <v/>
      </c>
      <c r="AE4414" s="19">
        <f>IF(Z4414=1,(H4414-M4414)*I4414,0)</f>
        <v/>
      </c>
      <c r="AF4414">
        <f>IF(G4414&lt;EDATE(Assumptions!$C$6,-12)+1,"prior_12m","last_12m")</f>
        <v/>
      </c>
      <c r="AG4414" s="21">
        <f>DATE(YEAR(G4414),MONTH(G4414),1)</f>
        <v/>
      </c>
    </row>
    <row r="4415">
      <c r="A4415" t="inlineStr">
        <is>
          <t>SPO-02362-1</t>
        </is>
      </c>
      <c r="B4415" t="inlineStr">
        <is>
          <t>SPO-02362</t>
        </is>
      </c>
      <c r="C4415" t="inlineStr">
        <is>
          <t>SUP-01</t>
        </is>
      </c>
      <c r="D4415" t="inlineStr">
        <is>
          <t>ELEC</t>
        </is>
      </c>
      <c r="E4415" t="inlineStr">
        <is>
          <t>ELEC-06</t>
        </is>
      </c>
      <c r="F4415" s="17" t="n">
        <v>46227</v>
      </c>
      <c r="G4415" s="17" t="n">
        <v>46245</v>
      </c>
      <c r="H4415" s="18" t="n">
        <v>7</v>
      </c>
      <c r="I4415" s="19" t="n">
        <v>143.17</v>
      </c>
      <c r="J4415" s="19" t="n">
        <v>145</v>
      </c>
      <c r="K4415" s="20" t="n">
        <v>0</v>
      </c>
      <c r="L4415" s="20" t="n">
        <v>0</v>
      </c>
      <c r="M4415" s="18" t="n">
        <v>7</v>
      </c>
      <c r="N4415" s="18" t="n">
        <v>7</v>
      </c>
      <c r="O4415" s="18" t="n">
        <v>0</v>
      </c>
      <c r="P4415" s="17" t="n">
        <v>46237</v>
      </c>
      <c r="Q4415" s="17" t="n">
        <v>46237</v>
      </c>
      <c r="R4415" s="17" t="n">
        <v>46237</v>
      </c>
      <c r="S4415" s="19">
        <f>H4415*I4415</f>
        <v/>
      </c>
      <c r="T4415" s="19">
        <f>H4415*J4415</f>
        <v/>
      </c>
      <c r="U4415">
        <f>IF(AND(K4415=0,G4415&lt;=Assumptions!$C$6),1,0)</f>
        <v/>
      </c>
      <c r="V4415">
        <f>IF(U4415=1,IF(M4415&gt;0,IF(P4415&lt;=G4415+Assumptions!$C$7,1,0),0),0)</f>
        <v/>
      </c>
      <c r="W4415">
        <f>IF(AND(U4415=1,M4415&gt;=H4415*(1-Assumptions!$C$8)),1,0)</f>
        <v/>
      </c>
      <c r="X4415">
        <f>IF(AND(U4415=1,N4415&gt;=H4415*(1-Assumptions!$C$8)),1,0)</f>
        <v/>
      </c>
      <c r="Y4415">
        <f>IF(ISNUMBER(Q4415),1,0)</f>
        <v/>
      </c>
      <c r="Z4415">
        <f>IF(AND(K4415=0,L4415=0,Y4415=0),1,0)</f>
        <v/>
      </c>
      <c r="AA4415">
        <f>IF(AND(Z4415=1,G4415&lt;Assumptions!$C$6),1,0)</f>
        <v/>
      </c>
      <c r="AB4415">
        <f>IF(U4415=0,"",IF(Y4415=1,MAX(0,Q4415-G4415),IF(L4415=1,MAX(0,R4415-G4415),MAX(0,Assumptions!$C$6-G4415))))</f>
        <v/>
      </c>
      <c r="AC4415">
        <f>IF(Y4415=1,Q4415-F4415,"")</f>
        <v/>
      </c>
      <c r="AD4415">
        <f>IF(Y4415=1,AC4415^2,"")</f>
        <v/>
      </c>
      <c r="AE4415" s="19">
        <f>IF(Z4415=1,(H4415-M4415)*I4415,0)</f>
        <v/>
      </c>
      <c r="AF4415">
        <f>IF(G4415&lt;EDATE(Assumptions!$C$6,-12)+1,"prior_12m","last_12m")</f>
        <v/>
      </c>
      <c r="AG4415" s="21">
        <f>DATE(YEAR(G4415),MONTH(G4415),1)</f>
        <v/>
      </c>
    </row>
    <row r="4416">
      <c r="A4416" t="inlineStr">
        <is>
          <t>SPO-02362-2</t>
        </is>
      </c>
      <c r="B4416" t="inlineStr">
        <is>
          <t>SPO-02362</t>
        </is>
      </c>
      <c r="C4416" t="inlineStr">
        <is>
          <t>SUP-01</t>
        </is>
      </c>
      <c r="D4416" t="inlineStr">
        <is>
          <t>ELEC</t>
        </is>
      </c>
      <c r="E4416" t="inlineStr">
        <is>
          <t>ELEC-03</t>
        </is>
      </c>
      <c r="F4416" s="17" t="n">
        <v>46227</v>
      </c>
      <c r="G4416" s="17" t="n">
        <v>46245</v>
      </c>
      <c r="H4416" s="18" t="n">
        <v>21</v>
      </c>
      <c r="I4416" s="19" t="n">
        <v>94.38</v>
      </c>
      <c r="J4416" s="19" t="n">
        <v>96</v>
      </c>
      <c r="K4416" s="20" t="n">
        <v>0</v>
      </c>
      <c r="L4416" s="20" t="n">
        <v>0</v>
      </c>
      <c r="M4416" s="18" t="n">
        <v>21</v>
      </c>
      <c r="N4416" s="18" t="n">
        <v>21</v>
      </c>
      <c r="O4416" s="18" t="n">
        <v>0</v>
      </c>
      <c r="P4416" s="17" t="n">
        <v>46243</v>
      </c>
      <c r="Q4416" s="17" t="n">
        <v>46243</v>
      </c>
      <c r="R4416" s="17" t="n">
        <v>46243</v>
      </c>
      <c r="S4416" s="19">
        <f>H4416*I4416</f>
        <v/>
      </c>
      <c r="T4416" s="19">
        <f>H4416*J4416</f>
        <v/>
      </c>
      <c r="U4416">
        <f>IF(AND(K4416=0,G4416&lt;=Assumptions!$C$6),1,0)</f>
        <v/>
      </c>
      <c r="V4416">
        <f>IF(U4416=1,IF(M4416&gt;0,IF(P4416&lt;=G4416+Assumptions!$C$7,1,0),0),0)</f>
        <v/>
      </c>
      <c r="W4416">
        <f>IF(AND(U4416=1,M4416&gt;=H4416*(1-Assumptions!$C$8)),1,0)</f>
        <v/>
      </c>
      <c r="X4416">
        <f>IF(AND(U4416=1,N4416&gt;=H4416*(1-Assumptions!$C$8)),1,0)</f>
        <v/>
      </c>
      <c r="Y4416">
        <f>IF(ISNUMBER(Q4416),1,0)</f>
        <v/>
      </c>
      <c r="Z4416">
        <f>IF(AND(K4416=0,L4416=0,Y4416=0),1,0)</f>
        <v/>
      </c>
      <c r="AA4416">
        <f>IF(AND(Z4416=1,G4416&lt;Assumptions!$C$6),1,0)</f>
        <v/>
      </c>
      <c r="AB4416">
        <f>IF(U4416=0,"",IF(Y4416=1,MAX(0,Q4416-G4416),IF(L4416=1,MAX(0,R4416-G4416),MAX(0,Assumptions!$C$6-G4416))))</f>
        <v/>
      </c>
      <c r="AC4416">
        <f>IF(Y4416=1,Q4416-F4416,"")</f>
        <v/>
      </c>
      <c r="AD4416">
        <f>IF(Y4416=1,AC4416^2,"")</f>
        <v/>
      </c>
      <c r="AE4416" s="19">
        <f>IF(Z4416=1,(H4416-M4416)*I4416,0)</f>
        <v/>
      </c>
      <c r="AF4416">
        <f>IF(G4416&lt;EDATE(Assumptions!$C$6,-12)+1,"prior_12m","last_12m")</f>
        <v/>
      </c>
      <c r="AG4416" s="21">
        <f>DATE(YEAR(G4416),MONTH(G4416),1)</f>
        <v/>
      </c>
    </row>
    <row r="4417">
      <c r="A4417" t="inlineStr">
        <is>
          <t>SPO-02363-1</t>
        </is>
      </c>
      <c r="B4417" t="inlineStr">
        <is>
          <t>SPO-02363</t>
        </is>
      </c>
      <c r="C4417" t="inlineStr">
        <is>
          <t>SUP-04</t>
        </is>
      </c>
      <c r="D4417" t="inlineStr">
        <is>
          <t>FLEET</t>
        </is>
      </c>
      <c r="E4417" t="inlineStr">
        <is>
          <t>FLEET-05</t>
        </is>
      </c>
      <c r="F4417" s="17" t="n">
        <v>46228</v>
      </c>
      <c r="G4417" s="17" t="n">
        <v>46241</v>
      </c>
      <c r="H4417" s="18" t="n">
        <v>6</v>
      </c>
      <c r="I4417" s="19" t="n">
        <v>167.46</v>
      </c>
      <c r="J4417" s="19" t="n">
        <v>168</v>
      </c>
      <c r="K4417" s="20" t="n">
        <v>0</v>
      </c>
      <c r="L4417" s="20" t="n">
        <v>0</v>
      </c>
      <c r="M4417" s="18" t="n">
        <v>6</v>
      </c>
      <c r="N4417" s="18" t="n">
        <v>6</v>
      </c>
      <c r="O4417" s="18" t="n">
        <v>0</v>
      </c>
      <c r="P4417" s="17" t="n">
        <v>46235</v>
      </c>
      <c r="Q4417" s="17" t="n">
        <v>46235</v>
      </c>
      <c r="R4417" s="17" t="n">
        <v>46235</v>
      </c>
      <c r="S4417" s="19">
        <f>H4417*I4417</f>
        <v/>
      </c>
      <c r="T4417" s="19">
        <f>H4417*J4417</f>
        <v/>
      </c>
      <c r="U4417">
        <f>IF(AND(K4417=0,G4417&lt;=Assumptions!$C$6),1,0)</f>
        <v/>
      </c>
      <c r="V4417">
        <f>IF(U4417=1,IF(M4417&gt;0,IF(P4417&lt;=G4417+Assumptions!$C$7,1,0),0),0)</f>
        <v/>
      </c>
      <c r="W4417">
        <f>IF(AND(U4417=1,M4417&gt;=H4417*(1-Assumptions!$C$8)),1,0)</f>
        <v/>
      </c>
      <c r="X4417">
        <f>IF(AND(U4417=1,N4417&gt;=H4417*(1-Assumptions!$C$8)),1,0)</f>
        <v/>
      </c>
      <c r="Y4417">
        <f>IF(ISNUMBER(Q4417),1,0)</f>
        <v/>
      </c>
      <c r="Z4417">
        <f>IF(AND(K4417=0,L4417=0,Y4417=0),1,0)</f>
        <v/>
      </c>
      <c r="AA4417">
        <f>IF(AND(Z4417=1,G4417&lt;Assumptions!$C$6),1,0)</f>
        <v/>
      </c>
      <c r="AB4417">
        <f>IF(U4417=0,"",IF(Y4417=1,MAX(0,Q4417-G4417),IF(L4417=1,MAX(0,R4417-G4417),MAX(0,Assumptions!$C$6-G4417))))</f>
        <v/>
      </c>
      <c r="AC4417">
        <f>IF(Y4417=1,Q4417-F4417,"")</f>
        <v/>
      </c>
      <c r="AD4417">
        <f>IF(Y4417=1,AC4417^2,"")</f>
        <v/>
      </c>
      <c r="AE4417" s="19">
        <f>IF(Z4417=1,(H4417-M4417)*I4417,0)</f>
        <v/>
      </c>
      <c r="AF4417">
        <f>IF(G4417&lt;EDATE(Assumptions!$C$6,-12)+1,"prior_12m","last_12m")</f>
        <v/>
      </c>
      <c r="AG4417" s="21">
        <f>DATE(YEAR(G4417),MONTH(G4417),1)</f>
        <v/>
      </c>
    </row>
    <row r="4418">
      <c r="A4418" t="inlineStr">
        <is>
          <t>SPO-02363-2</t>
        </is>
      </c>
      <c r="B4418" t="inlineStr">
        <is>
          <t>SPO-02363</t>
        </is>
      </c>
      <c r="C4418" t="inlineStr">
        <is>
          <t>SUP-04</t>
        </is>
      </c>
      <c r="D4418" t="inlineStr">
        <is>
          <t>FLEET</t>
        </is>
      </c>
      <c r="E4418" t="inlineStr">
        <is>
          <t>FLEET-07</t>
        </is>
      </c>
      <c r="F4418" s="17" t="n">
        <v>46228</v>
      </c>
      <c r="G4418" s="17" t="n">
        <v>46241</v>
      </c>
      <c r="H4418" s="18" t="n">
        <v>12</v>
      </c>
      <c r="I4418" s="19" t="n">
        <v>113.65</v>
      </c>
      <c r="J4418" s="19" t="n">
        <v>118</v>
      </c>
      <c r="K4418" s="20" t="n">
        <v>0</v>
      </c>
      <c r="L4418" s="20" t="n">
        <v>0</v>
      </c>
      <c r="M4418" s="18" t="n">
        <v>12</v>
      </c>
      <c r="N4418" s="18" t="n">
        <v>12</v>
      </c>
      <c r="O4418" s="18" t="n">
        <v>0</v>
      </c>
      <c r="P4418" s="17" t="n">
        <v>46233</v>
      </c>
      <c r="Q4418" s="17" t="n">
        <v>46233</v>
      </c>
      <c r="R4418" s="17" t="n">
        <v>46233</v>
      </c>
      <c r="S4418" s="19">
        <f>H4418*I4418</f>
        <v/>
      </c>
      <c r="T4418" s="19">
        <f>H4418*J4418</f>
        <v/>
      </c>
      <c r="U4418">
        <f>IF(AND(K4418=0,G4418&lt;=Assumptions!$C$6),1,0)</f>
        <v/>
      </c>
      <c r="V4418">
        <f>IF(U4418=1,IF(M4418&gt;0,IF(P4418&lt;=G4418+Assumptions!$C$7,1,0),0),0)</f>
        <v/>
      </c>
      <c r="W4418">
        <f>IF(AND(U4418=1,M4418&gt;=H4418*(1-Assumptions!$C$8)),1,0)</f>
        <v/>
      </c>
      <c r="X4418">
        <f>IF(AND(U4418=1,N4418&gt;=H4418*(1-Assumptions!$C$8)),1,0)</f>
        <v/>
      </c>
      <c r="Y4418">
        <f>IF(ISNUMBER(Q4418),1,0)</f>
        <v/>
      </c>
      <c r="Z4418">
        <f>IF(AND(K4418=0,L4418=0,Y4418=0),1,0)</f>
        <v/>
      </c>
      <c r="AA4418">
        <f>IF(AND(Z4418=1,G4418&lt;Assumptions!$C$6),1,0)</f>
        <v/>
      </c>
      <c r="AB4418">
        <f>IF(U4418=0,"",IF(Y4418=1,MAX(0,Q4418-G4418),IF(L4418=1,MAX(0,R4418-G4418),MAX(0,Assumptions!$C$6-G4418))))</f>
        <v/>
      </c>
      <c r="AC4418">
        <f>IF(Y4418=1,Q4418-F4418,"")</f>
        <v/>
      </c>
      <c r="AD4418">
        <f>IF(Y4418=1,AC4418^2,"")</f>
        <v/>
      </c>
      <c r="AE4418" s="19">
        <f>IF(Z4418=1,(H4418-M4418)*I4418,0)</f>
        <v/>
      </c>
      <c r="AF4418">
        <f>IF(G4418&lt;EDATE(Assumptions!$C$6,-12)+1,"prior_12m","last_12m")</f>
        <v/>
      </c>
      <c r="AG4418" s="21">
        <f>DATE(YEAR(G4418),MONTH(G4418),1)</f>
        <v/>
      </c>
    </row>
    <row r="4419">
      <c r="A4419" t="inlineStr">
        <is>
          <t>SPO-02364-1</t>
        </is>
      </c>
      <c r="B4419" t="inlineStr">
        <is>
          <t>SPO-02364</t>
        </is>
      </c>
      <c r="C4419" t="inlineStr">
        <is>
          <t>SUP-02</t>
        </is>
      </c>
      <c r="D4419" t="inlineStr">
        <is>
          <t>ELEC</t>
        </is>
      </c>
      <c r="E4419" t="inlineStr">
        <is>
          <t>ELEC-03</t>
        </is>
      </c>
      <c r="F4419" s="17" t="n">
        <v>46228</v>
      </c>
      <c r="G4419" s="17" t="n">
        <v>46244</v>
      </c>
      <c r="H4419" s="18" t="n">
        <v>19</v>
      </c>
      <c r="I4419" s="19" t="n">
        <v>97.44</v>
      </c>
      <c r="J4419" s="19" t="n">
        <v>96</v>
      </c>
      <c r="K4419" s="20" t="n">
        <v>0</v>
      </c>
      <c r="L4419" s="20" t="n">
        <v>0</v>
      </c>
      <c r="M4419" s="18" t="n">
        <v>19</v>
      </c>
      <c r="N4419" s="18" t="n">
        <v>19</v>
      </c>
      <c r="O4419" s="18" t="n">
        <v>0</v>
      </c>
      <c r="P4419" s="17" t="n">
        <v>46241</v>
      </c>
      <c r="Q4419" s="17" t="n">
        <v>46241</v>
      </c>
      <c r="R4419" s="17" t="n">
        <v>46241</v>
      </c>
      <c r="S4419" s="19">
        <f>H4419*I4419</f>
        <v/>
      </c>
      <c r="T4419" s="19">
        <f>H4419*J4419</f>
        <v/>
      </c>
      <c r="U4419">
        <f>IF(AND(K4419=0,G4419&lt;=Assumptions!$C$6),1,0)</f>
        <v/>
      </c>
      <c r="V4419">
        <f>IF(U4419=1,IF(M4419&gt;0,IF(P4419&lt;=G4419+Assumptions!$C$7,1,0),0),0)</f>
        <v/>
      </c>
      <c r="W4419">
        <f>IF(AND(U4419=1,M4419&gt;=H4419*(1-Assumptions!$C$8)),1,0)</f>
        <v/>
      </c>
      <c r="X4419">
        <f>IF(AND(U4419=1,N4419&gt;=H4419*(1-Assumptions!$C$8)),1,0)</f>
        <v/>
      </c>
      <c r="Y4419">
        <f>IF(ISNUMBER(Q4419),1,0)</f>
        <v/>
      </c>
      <c r="Z4419">
        <f>IF(AND(K4419=0,L4419=0,Y4419=0),1,0)</f>
        <v/>
      </c>
      <c r="AA4419">
        <f>IF(AND(Z4419=1,G4419&lt;Assumptions!$C$6),1,0)</f>
        <v/>
      </c>
      <c r="AB4419">
        <f>IF(U4419=0,"",IF(Y4419=1,MAX(0,Q4419-G4419),IF(L4419=1,MAX(0,R4419-G4419),MAX(0,Assumptions!$C$6-G4419))))</f>
        <v/>
      </c>
      <c r="AC4419">
        <f>IF(Y4419=1,Q4419-F4419,"")</f>
        <v/>
      </c>
      <c r="AD4419">
        <f>IF(Y4419=1,AC4419^2,"")</f>
        <v/>
      </c>
      <c r="AE4419" s="19">
        <f>IF(Z4419=1,(H4419-M4419)*I4419,0)</f>
        <v/>
      </c>
      <c r="AF4419">
        <f>IF(G4419&lt;EDATE(Assumptions!$C$6,-12)+1,"prior_12m","last_12m")</f>
        <v/>
      </c>
      <c r="AG4419" s="21">
        <f>DATE(YEAR(G4419),MONTH(G4419),1)</f>
        <v/>
      </c>
    </row>
    <row r="4420">
      <c r="A4420" t="inlineStr">
        <is>
          <t>SPO-02365-1</t>
        </is>
      </c>
      <c r="B4420" t="inlineStr">
        <is>
          <t>SPO-02365</t>
        </is>
      </c>
      <c r="C4420" t="inlineStr">
        <is>
          <t>SUP-09</t>
        </is>
      </c>
      <c r="D4420" t="inlineStr">
        <is>
          <t>CHEM</t>
        </is>
      </c>
      <c r="E4420" t="inlineStr">
        <is>
          <t>CHEM-01</t>
        </is>
      </c>
      <c r="F4420" s="17" t="n">
        <v>46228</v>
      </c>
      <c r="G4420" s="17" t="n">
        <v>46242</v>
      </c>
      <c r="H4420" s="18" t="n">
        <v>2</v>
      </c>
      <c r="I4420" s="19" t="n">
        <v>668.59</v>
      </c>
      <c r="J4420" s="19" t="n">
        <v>640</v>
      </c>
      <c r="K4420" s="20" t="n">
        <v>0</v>
      </c>
      <c r="L4420" s="20" t="n">
        <v>0</v>
      </c>
      <c r="M4420" s="18" t="n">
        <v>2</v>
      </c>
      <c r="N4420" s="18" t="n">
        <v>2</v>
      </c>
      <c r="O4420" s="18" t="n">
        <v>0</v>
      </c>
      <c r="P4420" s="17" t="n">
        <v>46240</v>
      </c>
      <c r="Q4420" s="17" t="n">
        <v>46240</v>
      </c>
      <c r="R4420" s="17" t="n">
        <v>46240</v>
      </c>
      <c r="S4420" s="19">
        <f>H4420*I4420</f>
        <v/>
      </c>
      <c r="T4420" s="19">
        <f>H4420*J4420</f>
        <v/>
      </c>
      <c r="U4420">
        <f>IF(AND(K4420=0,G4420&lt;=Assumptions!$C$6),1,0)</f>
        <v/>
      </c>
      <c r="V4420">
        <f>IF(U4420=1,IF(M4420&gt;0,IF(P4420&lt;=G4420+Assumptions!$C$7,1,0),0),0)</f>
        <v/>
      </c>
      <c r="W4420">
        <f>IF(AND(U4420=1,M4420&gt;=H4420*(1-Assumptions!$C$8)),1,0)</f>
        <v/>
      </c>
      <c r="X4420">
        <f>IF(AND(U4420=1,N4420&gt;=H4420*(1-Assumptions!$C$8)),1,0)</f>
        <v/>
      </c>
      <c r="Y4420">
        <f>IF(ISNUMBER(Q4420),1,0)</f>
        <v/>
      </c>
      <c r="Z4420">
        <f>IF(AND(K4420=0,L4420=0,Y4420=0),1,0)</f>
        <v/>
      </c>
      <c r="AA4420">
        <f>IF(AND(Z4420=1,G4420&lt;Assumptions!$C$6),1,0)</f>
        <v/>
      </c>
      <c r="AB4420">
        <f>IF(U4420=0,"",IF(Y4420=1,MAX(0,Q4420-G4420),IF(L4420=1,MAX(0,R4420-G4420),MAX(0,Assumptions!$C$6-G4420))))</f>
        <v/>
      </c>
      <c r="AC4420">
        <f>IF(Y4420=1,Q4420-F4420,"")</f>
        <v/>
      </c>
      <c r="AD4420">
        <f>IF(Y4420=1,AC4420^2,"")</f>
        <v/>
      </c>
      <c r="AE4420" s="19">
        <f>IF(Z4420=1,(H4420-M4420)*I4420,0)</f>
        <v/>
      </c>
      <c r="AF4420">
        <f>IF(G4420&lt;EDATE(Assumptions!$C$6,-12)+1,"prior_12m","last_12m")</f>
        <v/>
      </c>
      <c r="AG4420" s="21">
        <f>DATE(YEAR(G4420),MONTH(G4420),1)</f>
        <v/>
      </c>
    </row>
    <row r="4421">
      <c r="A4421" t="inlineStr">
        <is>
          <t>SPO-02365-2</t>
        </is>
      </c>
      <c r="B4421" t="inlineStr">
        <is>
          <t>SPO-02365</t>
        </is>
      </c>
      <c r="C4421" t="inlineStr">
        <is>
          <t>SUP-09</t>
        </is>
      </c>
      <c r="D4421" t="inlineStr">
        <is>
          <t>CHEM</t>
        </is>
      </c>
      <c r="E4421" t="inlineStr">
        <is>
          <t>CHEM-05</t>
        </is>
      </c>
      <c r="F4421" s="17" t="n">
        <v>46228</v>
      </c>
      <c r="G4421" s="17" t="n">
        <v>46242</v>
      </c>
      <c r="H4421" s="18" t="n">
        <v>1</v>
      </c>
      <c r="I4421" s="19" t="n">
        <v>954.39</v>
      </c>
      <c r="J4421" s="19" t="n">
        <v>930</v>
      </c>
      <c r="K4421" s="20" t="n">
        <v>0</v>
      </c>
      <c r="L4421" s="20" t="n">
        <v>0</v>
      </c>
      <c r="M4421" s="18" t="n">
        <v>1</v>
      </c>
      <c r="N4421" s="18" t="n">
        <v>1</v>
      </c>
      <c r="O4421" s="18" t="n">
        <v>0</v>
      </c>
      <c r="P4421" s="17" t="n">
        <v>46238</v>
      </c>
      <c r="Q4421" s="17" t="n">
        <v>46238</v>
      </c>
      <c r="R4421" s="17" t="n">
        <v>46238</v>
      </c>
      <c r="S4421" s="19">
        <f>H4421*I4421</f>
        <v/>
      </c>
      <c r="T4421" s="19">
        <f>H4421*J4421</f>
        <v/>
      </c>
      <c r="U4421">
        <f>IF(AND(K4421=0,G4421&lt;=Assumptions!$C$6),1,0)</f>
        <v/>
      </c>
      <c r="V4421">
        <f>IF(U4421=1,IF(M4421&gt;0,IF(P4421&lt;=G4421+Assumptions!$C$7,1,0),0),0)</f>
        <v/>
      </c>
      <c r="W4421">
        <f>IF(AND(U4421=1,M4421&gt;=H4421*(1-Assumptions!$C$8)),1,0)</f>
        <v/>
      </c>
      <c r="X4421">
        <f>IF(AND(U4421=1,N4421&gt;=H4421*(1-Assumptions!$C$8)),1,0)</f>
        <v/>
      </c>
      <c r="Y4421">
        <f>IF(ISNUMBER(Q4421),1,0)</f>
        <v/>
      </c>
      <c r="Z4421">
        <f>IF(AND(K4421=0,L4421=0,Y4421=0),1,0)</f>
        <v/>
      </c>
      <c r="AA4421">
        <f>IF(AND(Z4421=1,G4421&lt;Assumptions!$C$6),1,0)</f>
        <v/>
      </c>
      <c r="AB4421">
        <f>IF(U4421=0,"",IF(Y4421=1,MAX(0,Q4421-G4421),IF(L4421=1,MAX(0,R4421-G4421),MAX(0,Assumptions!$C$6-G4421))))</f>
        <v/>
      </c>
      <c r="AC4421">
        <f>IF(Y4421=1,Q4421-F4421,"")</f>
        <v/>
      </c>
      <c r="AD4421">
        <f>IF(Y4421=1,AC4421^2,"")</f>
        <v/>
      </c>
      <c r="AE4421" s="19">
        <f>IF(Z4421=1,(H4421-M4421)*I4421,0)</f>
        <v/>
      </c>
      <c r="AF4421">
        <f>IF(G4421&lt;EDATE(Assumptions!$C$6,-12)+1,"prior_12m","last_12m")</f>
        <v/>
      </c>
      <c r="AG4421" s="21">
        <f>DATE(YEAR(G4421),MONTH(G4421),1)</f>
        <v/>
      </c>
    </row>
    <row r="4422">
      <c r="A4422" t="inlineStr">
        <is>
          <t>SPO-02365-3</t>
        </is>
      </c>
      <c r="B4422" t="inlineStr">
        <is>
          <t>SPO-02365</t>
        </is>
      </c>
      <c r="C4422" t="inlineStr">
        <is>
          <t>SUP-09</t>
        </is>
      </c>
      <c r="D4422" t="inlineStr">
        <is>
          <t>CHEM</t>
        </is>
      </c>
      <c r="E4422" t="inlineStr">
        <is>
          <t>CHEM-03</t>
        </is>
      </c>
      <c r="F4422" s="17" t="n">
        <v>46228</v>
      </c>
      <c r="G4422" s="17" t="n">
        <v>46242</v>
      </c>
      <c r="H4422" s="18" t="n">
        <v>3</v>
      </c>
      <c r="I4422" s="19" t="n">
        <v>270.83</v>
      </c>
      <c r="J4422" s="19" t="n">
        <v>265</v>
      </c>
      <c r="K4422" s="20" t="n">
        <v>0</v>
      </c>
      <c r="L4422" s="20" t="n">
        <v>0</v>
      </c>
      <c r="M4422" s="18" t="n">
        <v>3</v>
      </c>
      <c r="N4422" s="18" t="n">
        <v>3</v>
      </c>
      <c r="O4422" s="18" t="n">
        <v>0</v>
      </c>
      <c r="P4422" s="17" t="n">
        <v>46240</v>
      </c>
      <c r="Q4422" s="17" t="n">
        <v>46240</v>
      </c>
      <c r="R4422" s="17" t="n">
        <v>46240</v>
      </c>
      <c r="S4422" s="19">
        <f>H4422*I4422</f>
        <v/>
      </c>
      <c r="T4422" s="19">
        <f>H4422*J4422</f>
        <v/>
      </c>
      <c r="U4422">
        <f>IF(AND(K4422=0,G4422&lt;=Assumptions!$C$6),1,0)</f>
        <v/>
      </c>
      <c r="V4422">
        <f>IF(U4422=1,IF(M4422&gt;0,IF(P4422&lt;=G4422+Assumptions!$C$7,1,0),0),0)</f>
        <v/>
      </c>
      <c r="W4422">
        <f>IF(AND(U4422=1,M4422&gt;=H4422*(1-Assumptions!$C$8)),1,0)</f>
        <v/>
      </c>
      <c r="X4422">
        <f>IF(AND(U4422=1,N4422&gt;=H4422*(1-Assumptions!$C$8)),1,0)</f>
        <v/>
      </c>
      <c r="Y4422">
        <f>IF(ISNUMBER(Q4422),1,0)</f>
        <v/>
      </c>
      <c r="Z4422">
        <f>IF(AND(K4422=0,L4422=0,Y4422=0),1,0)</f>
        <v/>
      </c>
      <c r="AA4422">
        <f>IF(AND(Z4422=1,G4422&lt;Assumptions!$C$6),1,0)</f>
        <v/>
      </c>
      <c r="AB4422">
        <f>IF(U4422=0,"",IF(Y4422=1,MAX(0,Q4422-G4422),IF(L4422=1,MAX(0,R4422-G4422),MAX(0,Assumptions!$C$6-G4422))))</f>
        <v/>
      </c>
      <c r="AC4422">
        <f>IF(Y4422=1,Q4422-F4422,"")</f>
        <v/>
      </c>
      <c r="AD4422">
        <f>IF(Y4422=1,AC4422^2,"")</f>
        <v/>
      </c>
      <c r="AE4422" s="19">
        <f>IF(Z4422=1,(H4422-M4422)*I4422,0)</f>
        <v/>
      </c>
      <c r="AF4422">
        <f>IF(G4422&lt;EDATE(Assumptions!$C$6,-12)+1,"prior_12m","last_12m")</f>
        <v/>
      </c>
      <c r="AG4422" s="21">
        <f>DATE(YEAR(G4422),MONTH(G4422),1)</f>
        <v/>
      </c>
    </row>
    <row r="4423">
      <c r="A4423" t="inlineStr">
        <is>
          <t>SPO-02366-1</t>
        </is>
      </c>
      <c r="B4423" t="inlineStr">
        <is>
          <t>SPO-02366</t>
        </is>
      </c>
      <c r="C4423" t="inlineStr">
        <is>
          <t>SUP-06</t>
        </is>
      </c>
      <c r="D4423" t="inlineStr">
        <is>
          <t>MRO</t>
        </is>
      </c>
      <c r="E4423" t="inlineStr">
        <is>
          <t>MRO-07</t>
        </is>
      </c>
      <c r="F4423" s="17" t="n">
        <v>46228</v>
      </c>
      <c r="G4423" s="17" t="n">
        <v>46236</v>
      </c>
      <c r="H4423" s="18" t="n">
        <v>86</v>
      </c>
      <c r="I4423" s="19" t="n">
        <v>14.19</v>
      </c>
      <c r="J4423" s="19" t="n">
        <v>14</v>
      </c>
      <c r="K4423" s="20" t="n">
        <v>0</v>
      </c>
      <c r="L4423" s="20" t="n">
        <v>0</v>
      </c>
      <c r="M4423" s="18" t="n">
        <v>86</v>
      </c>
      <c r="N4423" s="18" t="n">
        <v>86</v>
      </c>
      <c r="O4423" s="18" t="n">
        <v>0</v>
      </c>
      <c r="P4423" s="17" t="n">
        <v>46233</v>
      </c>
      <c r="Q4423" s="17" t="n">
        <v>46233</v>
      </c>
      <c r="R4423" s="17" t="n">
        <v>46233</v>
      </c>
      <c r="S4423" s="19">
        <f>H4423*I4423</f>
        <v/>
      </c>
      <c r="T4423" s="19">
        <f>H4423*J4423</f>
        <v/>
      </c>
      <c r="U4423">
        <f>IF(AND(K4423=0,G4423&lt;=Assumptions!$C$6),1,0)</f>
        <v/>
      </c>
      <c r="V4423">
        <f>IF(U4423=1,IF(M4423&gt;0,IF(P4423&lt;=G4423+Assumptions!$C$7,1,0),0),0)</f>
        <v/>
      </c>
      <c r="W4423">
        <f>IF(AND(U4423=1,M4423&gt;=H4423*(1-Assumptions!$C$8)),1,0)</f>
        <v/>
      </c>
      <c r="X4423">
        <f>IF(AND(U4423=1,N4423&gt;=H4423*(1-Assumptions!$C$8)),1,0)</f>
        <v/>
      </c>
      <c r="Y4423">
        <f>IF(ISNUMBER(Q4423),1,0)</f>
        <v/>
      </c>
      <c r="Z4423">
        <f>IF(AND(K4423=0,L4423=0,Y4423=0),1,0)</f>
        <v/>
      </c>
      <c r="AA4423">
        <f>IF(AND(Z4423=1,G4423&lt;Assumptions!$C$6),1,0)</f>
        <v/>
      </c>
      <c r="AB4423">
        <f>IF(U4423=0,"",IF(Y4423=1,MAX(0,Q4423-G4423),IF(L4423=1,MAX(0,R4423-G4423),MAX(0,Assumptions!$C$6-G4423))))</f>
        <v/>
      </c>
      <c r="AC4423">
        <f>IF(Y4423=1,Q4423-F4423,"")</f>
        <v/>
      </c>
      <c r="AD4423">
        <f>IF(Y4423=1,AC4423^2,"")</f>
        <v/>
      </c>
      <c r="AE4423" s="19">
        <f>IF(Z4423=1,(H4423-M4423)*I4423,0)</f>
        <v/>
      </c>
      <c r="AF4423">
        <f>IF(G4423&lt;EDATE(Assumptions!$C$6,-12)+1,"prior_12m","last_12m")</f>
        <v/>
      </c>
      <c r="AG4423" s="21">
        <f>DATE(YEAR(G4423),MONTH(G4423),1)</f>
        <v/>
      </c>
    </row>
    <row r="4424">
      <c r="A4424" t="inlineStr">
        <is>
          <t>SPO-02367-1</t>
        </is>
      </c>
      <c r="B4424" t="inlineStr">
        <is>
          <t>SPO-02367</t>
        </is>
      </c>
      <c r="C4424" t="inlineStr">
        <is>
          <t>SUP-04</t>
        </is>
      </c>
      <c r="D4424" t="inlineStr">
        <is>
          <t>FLEET</t>
        </is>
      </c>
      <c r="E4424" t="inlineStr">
        <is>
          <t>FLEET-05</t>
        </is>
      </c>
      <c r="F4424" s="17" t="n">
        <v>46228</v>
      </c>
      <c r="G4424" s="17" t="n">
        <v>46241</v>
      </c>
      <c r="H4424" s="18" t="n">
        <v>20</v>
      </c>
      <c r="I4424" s="19" t="n">
        <v>160.38</v>
      </c>
      <c r="J4424" s="19" t="n">
        <v>168</v>
      </c>
      <c r="K4424" s="20" t="n">
        <v>0</v>
      </c>
      <c r="L4424" s="20" t="n">
        <v>0</v>
      </c>
      <c r="M4424" s="18" t="n">
        <v>20</v>
      </c>
      <c r="N4424" s="18" t="n">
        <v>0</v>
      </c>
      <c r="O4424" s="18" t="n">
        <v>0</v>
      </c>
      <c r="P4424" s="17" t="n">
        <v>46248</v>
      </c>
      <c r="Q4424" s="17" t="n">
        <v>46248</v>
      </c>
      <c r="R4424" s="17" t="n">
        <v>46248</v>
      </c>
      <c r="S4424" s="19">
        <f>H4424*I4424</f>
        <v/>
      </c>
      <c r="T4424" s="19">
        <f>H4424*J4424</f>
        <v/>
      </c>
      <c r="U4424">
        <f>IF(AND(K4424=0,G4424&lt;=Assumptions!$C$6),1,0)</f>
        <v/>
      </c>
      <c r="V4424">
        <f>IF(U4424=1,IF(M4424&gt;0,IF(P4424&lt;=G4424+Assumptions!$C$7,1,0),0),0)</f>
        <v/>
      </c>
      <c r="W4424">
        <f>IF(AND(U4424=1,M4424&gt;=H4424*(1-Assumptions!$C$8)),1,0)</f>
        <v/>
      </c>
      <c r="X4424">
        <f>IF(AND(U4424=1,N4424&gt;=H4424*(1-Assumptions!$C$8)),1,0)</f>
        <v/>
      </c>
      <c r="Y4424">
        <f>IF(ISNUMBER(Q4424),1,0)</f>
        <v/>
      </c>
      <c r="Z4424">
        <f>IF(AND(K4424=0,L4424=0,Y4424=0),1,0)</f>
        <v/>
      </c>
      <c r="AA4424">
        <f>IF(AND(Z4424=1,G4424&lt;Assumptions!$C$6),1,0)</f>
        <v/>
      </c>
      <c r="AB4424">
        <f>IF(U4424=0,"",IF(Y4424=1,MAX(0,Q4424-G4424),IF(L4424=1,MAX(0,R4424-G4424),MAX(0,Assumptions!$C$6-G4424))))</f>
        <v/>
      </c>
      <c r="AC4424">
        <f>IF(Y4424=1,Q4424-F4424,"")</f>
        <v/>
      </c>
      <c r="AD4424">
        <f>IF(Y4424=1,AC4424^2,"")</f>
        <v/>
      </c>
      <c r="AE4424" s="19">
        <f>IF(Z4424=1,(H4424-M4424)*I4424,0)</f>
        <v/>
      </c>
      <c r="AF4424">
        <f>IF(G4424&lt;EDATE(Assumptions!$C$6,-12)+1,"prior_12m","last_12m")</f>
        <v/>
      </c>
      <c r="AG4424" s="21">
        <f>DATE(YEAR(G4424),MONTH(G4424),1)</f>
        <v/>
      </c>
    </row>
    <row r="4425">
      <c r="A4425" t="inlineStr">
        <is>
          <t>SPO-02367-2</t>
        </is>
      </c>
      <c r="B4425" t="inlineStr">
        <is>
          <t>SPO-02367</t>
        </is>
      </c>
      <c r="C4425" t="inlineStr">
        <is>
          <t>SUP-04</t>
        </is>
      </c>
      <c r="D4425" t="inlineStr">
        <is>
          <t>FLEET</t>
        </is>
      </c>
      <c r="E4425" t="inlineStr">
        <is>
          <t>FLEET-06</t>
        </is>
      </c>
      <c r="F4425" s="17" t="n">
        <v>46228</v>
      </c>
      <c r="G4425" s="17" t="n">
        <v>46241</v>
      </c>
      <c r="H4425" s="18" t="n">
        <v>59</v>
      </c>
      <c r="I4425" s="19" t="n">
        <v>31.55</v>
      </c>
      <c r="J4425" s="19" t="n">
        <v>33</v>
      </c>
      <c r="K4425" s="20" t="n">
        <v>0</v>
      </c>
      <c r="L4425" s="20" t="n">
        <v>0</v>
      </c>
      <c r="M4425" s="18" t="n">
        <v>59</v>
      </c>
      <c r="N4425" s="18" t="n">
        <v>59</v>
      </c>
      <c r="O4425" s="18" t="n">
        <v>0</v>
      </c>
      <c r="P4425" s="17" t="n">
        <v>46235</v>
      </c>
      <c r="Q4425" s="17" t="n">
        <v>46235</v>
      </c>
      <c r="R4425" s="17" t="n">
        <v>46235</v>
      </c>
      <c r="S4425" s="19">
        <f>H4425*I4425</f>
        <v/>
      </c>
      <c r="T4425" s="19">
        <f>H4425*J4425</f>
        <v/>
      </c>
      <c r="U4425">
        <f>IF(AND(K4425=0,G4425&lt;=Assumptions!$C$6),1,0)</f>
        <v/>
      </c>
      <c r="V4425">
        <f>IF(U4425=1,IF(M4425&gt;0,IF(P4425&lt;=G4425+Assumptions!$C$7,1,0),0),0)</f>
        <v/>
      </c>
      <c r="W4425">
        <f>IF(AND(U4425=1,M4425&gt;=H4425*(1-Assumptions!$C$8)),1,0)</f>
        <v/>
      </c>
      <c r="X4425">
        <f>IF(AND(U4425=1,N4425&gt;=H4425*(1-Assumptions!$C$8)),1,0)</f>
        <v/>
      </c>
      <c r="Y4425">
        <f>IF(ISNUMBER(Q4425),1,0)</f>
        <v/>
      </c>
      <c r="Z4425">
        <f>IF(AND(K4425=0,L4425=0,Y4425=0),1,0)</f>
        <v/>
      </c>
      <c r="AA4425">
        <f>IF(AND(Z4425=1,G4425&lt;Assumptions!$C$6),1,0)</f>
        <v/>
      </c>
      <c r="AB4425">
        <f>IF(U4425=0,"",IF(Y4425=1,MAX(0,Q4425-G4425),IF(L4425=1,MAX(0,R4425-G4425),MAX(0,Assumptions!$C$6-G4425))))</f>
        <v/>
      </c>
      <c r="AC4425">
        <f>IF(Y4425=1,Q4425-F4425,"")</f>
        <v/>
      </c>
      <c r="AD4425">
        <f>IF(Y4425=1,AC4425^2,"")</f>
        <v/>
      </c>
      <c r="AE4425" s="19">
        <f>IF(Z4425=1,(H4425-M4425)*I4425,0)</f>
        <v/>
      </c>
      <c r="AF4425">
        <f>IF(G4425&lt;EDATE(Assumptions!$C$6,-12)+1,"prior_12m","last_12m")</f>
        <v/>
      </c>
      <c r="AG4425" s="21">
        <f>DATE(YEAR(G4425),MONTH(G4425),1)</f>
        <v/>
      </c>
    </row>
    <row r="4426">
      <c r="A4426" t="inlineStr">
        <is>
          <t>SPO-02367-3</t>
        </is>
      </c>
      <c r="B4426" t="inlineStr">
        <is>
          <t>SPO-02367</t>
        </is>
      </c>
      <c r="C4426" t="inlineStr">
        <is>
          <t>SUP-04</t>
        </is>
      </c>
      <c r="D4426" t="inlineStr">
        <is>
          <t>FLEET</t>
        </is>
      </c>
      <c r="E4426" t="inlineStr">
        <is>
          <t>FLEET-04</t>
        </is>
      </c>
      <c r="F4426" s="17" t="n">
        <v>46228</v>
      </c>
      <c r="G4426" s="17" t="n">
        <v>46241</v>
      </c>
      <c r="H4426" s="18" t="n">
        <v>190</v>
      </c>
      <c r="I4426" s="19" t="n">
        <v>9.26</v>
      </c>
      <c r="J4426" s="19" t="n">
        <v>9</v>
      </c>
      <c r="K4426" s="20" t="n">
        <v>0</v>
      </c>
      <c r="L4426" s="20" t="n">
        <v>0</v>
      </c>
      <c r="M4426" s="18" t="n">
        <v>190</v>
      </c>
      <c r="N4426" s="18" t="n">
        <v>0</v>
      </c>
      <c r="O4426" s="18" t="n">
        <v>0</v>
      </c>
      <c r="P4426" s="17" t="n">
        <v>46247</v>
      </c>
      <c r="Q4426" s="17" t="n">
        <v>46247</v>
      </c>
      <c r="R4426" s="17" t="n">
        <v>46247</v>
      </c>
      <c r="S4426" s="19">
        <f>H4426*I4426</f>
        <v/>
      </c>
      <c r="T4426" s="19">
        <f>H4426*J4426</f>
        <v/>
      </c>
      <c r="U4426">
        <f>IF(AND(K4426=0,G4426&lt;=Assumptions!$C$6),1,0)</f>
        <v/>
      </c>
      <c r="V4426">
        <f>IF(U4426=1,IF(M4426&gt;0,IF(P4426&lt;=G4426+Assumptions!$C$7,1,0),0),0)</f>
        <v/>
      </c>
      <c r="W4426">
        <f>IF(AND(U4426=1,M4426&gt;=H4426*(1-Assumptions!$C$8)),1,0)</f>
        <v/>
      </c>
      <c r="X4426">
        <f>IF(AND(U4426=1,N4426&gt;=H4426*(1-Assumptions!$C$8)),1,0)</f>
        <v/>
      </c>
      <c r="Y4426">
        <f>IF(ISNUMBER(Q4426),1,0)</f>
        <v/>
      </c>
      <c r="Z4426">
        <f>IF(AND(K4426=0,L4426=0,Y4426=0),1,0)</f>
        <v/>
      </c>
      <c r="AA4426">
        <f>IF(AND(Z4426=1,G4426&lt;Assumptions!$C$6),1,0)</f>
        <v/>
      </c>
      <c r="AB4426">
        <f>IF(U4426=0,"",IF(Y4426=1,MAX(0,Q4426-G4426),IF(L4426=1,MAX(0,R4426-G4426),MAX(0,Assumptions!$C$6-G4426))))</f>
        <v/>
      </c>
      <c r="AC4426">
        <f>IF(Y4426=1,Q4426-F4426,"")</f>
        <v/>
      </c>
      <c r="AD4426">
        <f>IF(Y4426=1,AC4426^2,"")</f>
        <v/>
      </c>
      <c r="AE4426" s="19">
        <f>IF(Z4426=1,(H4426-M4426)*I4426,0)</f>
        <v/>
      </c>
      <c r="AF4426">
        <f>IF(G4426&lt;EDATE(Assumptions!$C$6,-12)+1,"prior_12m","last_12m")</f>
        <v/>
      </c>
      <c r="AG4426" s="21">
        <f>DATE(YEAR(G4426),MONTH(G4426),1)</f>
        <v/>
      </c>
    </row>
    <row r="4427">
      <c r="A4427" t="inlineStr">
        <is>
          <t>SPO-02368-1</t>
        </is>
      </c>
      <c r="B4427" t="inlineStr">
        <is>
          <t>SPO-02368</t>
        </is>
      </c>
      <c r="C4427" t="inlineStr">
        <is>
          <t>SUP-06</t>
        </is>
      </c>
      <c r="D4427" t="inlineStr">
        <is>
          <t>MRO</t>
        </is>
      </c>
      <c r="E4427" t="inlineStr">
        <is>
          <t>MRO-03</t>
        </is>
      </c>
      <c r="F4427" s="17" t="n">
        <v>46229</v>
      </c>
      <c r="G4427" s="17" t="n">
        <v>46237</v>
      </c>
      <c r="H4427" s="18" t="n">
        <v>242</v>
      </c>
      <c r="I4427" s="19" t="n">
        <v>9.15</v>
      </c>
      <c r="J4427" s="19" t="n">
        <v>8.9</v>
      </c>
      <c r="K4427" s="20" t="n">
        <v>0</v>
      </c>
      <c r="L4427" s="20" t="n">
        <v>0</v>
      </c>
      <c r="M4427" s="18" t="n">
        <v>242</v>
      </c>
      <c r="N4427" s="18" t="n">
        <v>242</v>
      </c>
      <c r="O4427" s="18" t="n">
        <v>0</v>
      </c>
      <c r="P4427" s="17" t="n">
        <v>46233</v>
      </c>
      <c r="Q4427" s="17" t="n">
        <v>46233</v>
      </c>
      <c r="R4427" s="17" t="n">
        <v>46233</v>
      </c>
      <c r="S4427" s="19">
        <f>H4427*I4427</f>
        <v/>
      </c>
      <c r="T4427" s="19">
        <f>H4427*J4427</f>
        <v/>
      </c>
      <c r="U4427">
        <f>IF(AND(K4427=0,G4427&lt;=Assumptions!$C$6),1,0)</f>
        <v/>
      </c>
      <c r="V4427">
        <f>IF(U4427=1,IF(M4427&gt;0,IF(P4427&lt;=G4427+Assumptions!$C$7,1,0),0),0)</f>
        <v/>
      </c>
      <c r="W4427">
        <f>IF(AND(U4427=1,M4427&gt;=H4427*(1-Assumptions!$C$8)),1,0)</f>
        <v/>
      </c>
      <c r="X4427">
        <f>IF(AND(U4427=1,N4427&gt;=H4427*(1-Assumptions!$C$8)),1,0)</f>
        <v/>
      </c>
      <c r="Y4427">
        <f>IF(ISNUMBER(Q4427),1,0)</f>
        <v/>
      </c>
      <c r="Z4427">
        <f>IF(AND(K4427=0,L4427=0,Y4427=0),1,0)</f>
        <v/>
      </c>
      <c r="AA4427">
        <f>IF(AND(Z4427=1,G4427&lt;Assumptions!$C$6),1,0)</f>
        <v/>
      </c>
      <c r="AB4427">
        <f>IF(U4427=0,"",IF(Y4427=1,MAX(0,Q4427-G4427),IF(L4427=1,MAX(0,R4427-G4427),MAX(0,Assumptions!$C$6-G4427))))</f>
        <v/>
      </c>
      <c r="AC4427">
        <f>IF(Y4427=1,Q4427-F4427,"")</f>
        <v/>
      </c>
      <c r="AD4427">
        <f>IF(Y4427=1,AC4427^2,"")</f>
        <v/>
      </c>
      <c r="AE4427" s="19">
        <f>IF(Z4427=1,(H4427-M4427)*I4427,0)</f>
        <v/>
      </c>
      <c r="AF4427">
        <f>IF(G4427&lt;EDATE(Assumptions!$C$6,-12)+1,"prior_12m","last_12m")</f>
        <v/>
      </c>
      <c r="AG4427" s="21">
        <f>DATE(YEAR(G4427),MONTH(G4427),1)</f>
        <v/>
      </c>
    </row>
    <row r="4428">
      <c r="A4428" t="inlineStr">
        <is>
          <t>SPO-02368-2</t>
        </is>
      </c>
      <c r="B4428" t="inlineStr">
        <is>
          <t>SPO-02368</t>
        </is>
      </c>
      <c r="C4428" t="inlineStr">
        <is>
          <t>SUP-06</t>
        </is>
      </c>
      <c r="D4428" t="inlineStr">
        <is>
          <t>MRO</t>
        </is>
      </c>
      <c r="E4428" t="inlineStr">
        <is>
          <t>MRO-04</t>
        </is>
      </c>
      <c r="F4428" s="17" t="n">
        <v>46229</v>
      </c>
      <c r="G4428" s="17" t="n">
        <v>46237</v>
      </c>
      <c r="H4428" s="18" t="n">
        <v>23</v>
      </c>
      <c r="I4428" s="19" t="n">
        <v>58.16</v>
      </c>
      <c r="J4428" s="19" t="n">
        <v>58</v>
      </c>
      <c r="K4428" s="20" t="n">
        <v>0</v>
      </c>
      <c r="L4428" s="20" t="n">
        <v>0</v>
      </c>
      <c r="M4428" s="18" t="n">
        <v>23</v>
      </c>
      <c r="N4428" s="18" t="n">
        <v>23</v>
      </c>
      <c r="O4428" s="18" t="n">
        <v>6</v>
      </c>
      <c r="P4428" s="17" t="n">
        <v>46235</v>
      </c>
      <c r="Q4428" s="17" t="n">
        <v>46235</v>
      </c>
      <c r="R4428" s="17" t="n">
        <v>46235</v>
      </c>
      <c r="S4428" s="19">
        <f>H4428*I4428</f>
        <v/>
      </c>
      <c r="T4428" s="19">
        <f>H4428*J4428</f>
        <v/>
      </c>
      <c r="U4428">
        <f>IF(AND(K4428=0,G4428&lt;=Assumptions!$C$6),1,0)</f>
        <v/>
      </c>
      <c r="V4428">
        <f>IF(U4428=1,IF(M4428&gt;0,IF(P4428&lt;=G4428+Assumptions!$C$7,1,0),0),0)</f>
        <v/>
      </c>
      <c r="W4428">
        <f>IF(AND(U4428=1,M4428&gt;=H4428*(1-Assumptions!$C$8)),1,0)</f>
        <v/>
      </c>
      <c r="X4428">
        <f>IF(AND(U4428=1,N4428&gt;=H4428*(1-Assumptions!$C$8)),1,0)</f>
        <v/>
      </c>
      <c r="Y4428">
        <f>IF(ISNUMBER(Q4428),1,0)</f>
        <v/>
      </c>
      <c r="Z4428">
        <f>IF(AND(K4428=0,L4428=0,Y4428=0),1,0)</f>
        <v/>
      </c>
      <c r="AA4428">
        <f>IF(AND(Z4428=1,G4428&lt;Assumptions!$C$6),1,0)</f>
        <v/>
      </c>
      <c r="AB4428">
        <f>IF(U4428=0,"",IF(Y4428=1,MAX(0,Q4428-G4428),IF(L4428=1,MAX(0,R4428-G4428),MAX(0,Assumptions!$C$6-G4428))))</f>
        <v/>
      </c>
      <c r="AC4428">
        <f>IF(Y4428=1,Q4428-F4428,"")</f>
        <v/>
      </c>
      <c r="AD4428">
        <f>IF(Y4428=1,AC4428^2,"")</f>
        <v/>
      </c>
      <c r="AE4428" s="19">
        <f>IF(Z4428=1,(H4428-M4428)*I4428,0)</f>
        <v/>
      </c>
      <c r="AF4428">
        <f>IF(G4428&lt;EDATE(Assumptions!$C$6,-12)+1,"prior_12m","last_12m")</f>
        <v/>
      </c>
      <c r="AG4428" s="21">
        <f>DATE(YEAR(G4428),MONTH(G4428),1)</f>
        <v/>
      </c>
    </row>
    <row r="4429">
      <c r="A4429" t="inlineStr">
        <is>
          <t>SPO-02369-1</t>
        </is>
      </c>
      <c r="B4429" t="inlineStr">
        <is>
          <t>SPO-02369</t>
        </is>
      </c>
      <c r="C4429" t="inlineStr">
        <is>
          <t>SUP-08</t>
        </is>
      </c>
      <c r="D4429" t="inlineStr">
        <is>
          <t>PPE</t>
        </is>
      </c>
      <c r="E4429" t="inlineStr">
        <is>
          <t>PPE-08</t>
        </is>
      </c>
      <c r="F4429" s="17" t="n">
        <v>46229</v>
      </c>
      <c r="G4429" s="17" t="n">
        <v>46240</v>
      </c>
      <c r="H4429" s="18" t="n">
        <v>43</v>
      </c>
      <c r="I4429" s="19" t="n">
        <v>62.73</v>
      </c>
      <c r="J4429" s="19" t="n">
        <v>64</v>
      </c>
      <c r="K4429" s="20" t="n">
        <v>0</v>
      </c>
      <c r="L4429" s="20" t="n">
        <v>0</v>
      </c>
      <c r="M4429" s="18" t="n">
        <v>43</v>
      </c>
      <c r="N4429" s="18" t="n">
        <v>43</v>
      </c>
      <c r="O4429" s="18" t="n">
        <v>0</v>
      </c>
      <c r="P4429" s="17" t="n">
        <v>46240</v>
      </c>
      <c r="Q4429" s="17" t="n">
        <v>46240</v>
      </c>
      <c r="R4429" s="17" t="n">
        <v>46240</v>
      </c>
      <c r="S4429" s="19">
        <f>H4429*I4429</f>
        <v/>
      </c>
      <c r="T4429" s="19">
        <f>H4429*J4429</f>
        <v/>
      </c>
      <c r="U4429">
        <f>IF(AND(K4429=0,G4429&lt;=Assumptions!$C$6),1,0)</f>
        <v/>
      </c>
      <c r="V4429">
        <f>IF(U4429=1,IF(M4429&gt;0,IF(P4429&lt;=G4429+Assumptions!$C$7,1,0),0),0)</f>
        <v/>
      </c>
      <c r="W4429">
        <f>IF(AND(U4429=1,M4429&gt;=H4429*(1-Assumptions!$C$8)),1,0)</f>
        <v/>
      </c>
      <c r="X4429">
        <f>IF(AND(U4429=1,N4429&gt;=H4429*(1-Assumptions!$C$8)),1,0)</f>
        <v/>
      </c>
      <c r="Y4429">
        <f>IF(ISNUMBER(Q4429),1,0)</f>
        <v/>
      </c>
      <c r="Z4429">
        <f>IF(AND(K4429=0,L4429=0,Y4429=0),1,0)</f>
        <v/>
      </c>
      <c r="AA4429">
        <f>IF(AND(Z4429=1,G4429&lt;Assumptions!$C$6),1,0)</f>
        <v/>
      </c>
      <c r="AB4429">
        <f>IF(U4429=0,"",IF(Y4429=1,MAX(0,Q4429-G4429),IF(L4429=1,MAX(0,R4429-G4429),MAX(0,Assumptions!$C$6-G4429))))</f>
        <v/>
      </c>
      <c r="AC4429">
        <f>IF(Y4429=1,Q4429-F4429,"")</f>
        <v/>
      </c>
      <c r="AD4429">
        <f>IF(Y4429=1,AC4429^2,"")</f>
        <v/>
      </c>
      <c r="AE4429" s="19">
        <f>IF(Z4429=1,(H4429-M4429)*I4429,0)</f>
        <v/>
      </c>
      <c r="AF4429">
        <f>IF(G4429&lt;EDATE(Assumptions!$C$6,-12)+1,"prior_12m","last_12m")</f>
        <v/>
      </c>
      <c r="AG4429" s="21">
        <f>DATE(YEAR(G4429),MONTH(G4429),1)</f>
        <v/>
      </c>
    </row>
    <row r="4430">
      <c r="A4430" t="inlineStr">
        <is>
          <t>SPO-02370-1</t>
        </is>
      </c>
      <c r="B4430" t="inlineStr">
        <is>
          <t>SPO-02370</t>
        </is>
      </c>
      <c r="C4430" t="inlineStr">
        <is>
          <t>SUP-02</t>
        </is>
      </c>
      <c r="D4430" t="inlineStr">
        <is>
          <t>ELEC</t>
        </is>
      </c>
      <c r="E4430" t="inlineStr">
        <is>
          <t>ELEC-01</t>
        </is>
      </c>
      <c r="F4430" s="17" t="n">
        <v>46230</v>
      </c>
      <c r="G4430" s="17" t="n">
        <v>46246</v>
      </c>
      <c r="H4430" s="18" t="n">
        <v>36</v>
      </c>
      <c r="I4430" s="19" t="n">
        <v>36.31</v>
      </c>
      <c r="J4430" s="19" t="n">
        <v>38</v>
      </c>
      <c r="K4430" s="20" t="n">
        <v>0</v>
      </c>
      <c r="L4430" s="20" t="n">
        <v>0</v>
      </c>
      <c r="M4430" s="18" t="n">
        <v>36</v>
      </c>
      <c r="N4430" s="18" t="n">
        <v>36</v>
      </c>
      <c r="O4430" s="18" t="n">
        <v>0</v>
      </c>
      <c r="P4430" s="17" t="n">
        <v>46240</v>
      </c>
      <c r="Q4430" s="17" t="n">
        <v>46240</v>
      </c>
      <c r="R4430" s="17" t="n">
        <v>46240</v>
      </c>
      <c r="S4430" s="19">
        <f>H4430*I4430</f>
        <v/>
      </c>
      <c r="T4430" s="19">
        <f>H4430*J4430</f>
        <v/>
      </c>
      <c r="U4430">
        <f>IF(AND(K4430=0,G4430&lt;=Assumptions!$C$6),1,0)</f>
        <v/>
      </c>
      <c r="V4430">
        <f>IF(U4430=1,IF(M4430&gt;0,IF(P4430&lt;=G4430+Assumptions!$C$7,1,0),0),0)</f>
        <v/>
      </c>
      <c r="W4430">
        <f>IF(AND(U4430=1,M4430&gt;=H4430*(1-Assumptions!$C$8)),1,0)</f>
        <v/>
      </c>
      <c r="X4430">
        <f>IF(AND(U4430=1,N4430&gt;=H4430*(1-Assumptions!$C$8)),1,0)</f>
        <v/>
      </c>
      <c r="Y4430">
        <f>IF(ISNUMBER(Q4430),1,0)</f>
        <v/>
      </c>
      <c r="Z4430">
        <f>IF(AND(K4430=0,L4430=0,Y4430=0),1,0)</f>
        <v/>
      </c>
      <c r="AA4430">
        <f>IF(AND(Z4430=1,G4430&lt;Assumptions!$C$6),1,0)</f>
        <v/>
      </c>
      <c r="AB4430">
        <f>IF(U4430=0,"",IF(Y4430=1,MAX(0,Q4430-G4430),IF(L4430=1,MAX(0,R4430-G4430),MAX(0,Assumptions!$C$6-G4430))))</f>
        <v/>
      </c>
      <c r="AC4430">
        <f>IF(Y4430=1,Q4430-F4430,"")</f>
        <v/>
      </c>
      <c r="AD4430">
        <f>IF(Y4430=1,AC4430^2,"")</f>
        <v/>
      </c>
      <c r="AE4430" s="19">
        <f>IF(Z4430=1,(H4430-M4430)*I4430,0)</f>
        <v/>
      </c>
      <c r="AF4430">
        <f>IF(G4430&lt;EDATE(Assumptions!$C$6,-12)+1,"prior_12m","last_12m")</f>
        <v/>
      </c>
      <c r="AG4430" s="21">
        <f>DATE(YEAR(G4430),MONTH(G4430),1)</f>
        <v/>
      </c>
    </row>
    <row r="4431">
      <c r="A4431" t="inlineStr">
        <is>
          <t>SPO-02370-2</t>
        </is>
      </c>
      <c r="B4431" t="inlineStr">
        <is>
          <t>SPO-02370</t>
        </is>
      </c>
      <c r="C4431" t="inlineStr">
        <is>
          <t>SUP-02</t>
        </is>
      </c>
      <c r="D4431" t="inlineStr">
        <is>
          <t>ELEC</t>
        </is>
      </c>
      <c r="E4431" t="inlineStr">
        <is>
          <t>ELEC-08</t>
        </is>
      </c>
      <c r="F4431" s="17" t="n">
        <v>46230</v>
      </c>
      <c r="G4431" s="17" t="n">
        <v>46246</v>
      </c>
      <c r="H4431" s="18" t="n">
        <v>96</v>
      </c>
      <c r="I4431" s="19" t="n">
        <v>17.86</v>
      </c>
      <c r="J4431" s="19" t="n">
        <v>18</v>
      </c>
      <c r="K4431" s="20" t="n">
        <v>0</v>
      </c>
      <c r="L4431" s="20" t="n">
        <v>0</v>
      </c>
      <c r="M4431" s="18" t="n">
        <v>96</v>
      </c>
      <c r="N4431" s="18" t="n">
        <v>45</v>
      </c>
      <c r="O4431" s="18" t="n">
        <v>0</v>
      </c>
      <c r="P4431" s="17" t="n">
        <v>46246</v>
      </c>
      <c r="Q4431" s="17" t="n">
        <v>46263</v>
      </c>
      <c r="R4431" s="17" t="n">
        <v>46263</v>
      </c>
      <c r="S4431" s="19">
        <f>H4431*I4431</f>
        <v/>
      </c>
      <c r="T4431" s="19">
        <f>H4431*J4431</f>
        <v/>
      </c>
      <c r="U4431">
        <f>IF(AND(K4431=0,G4431&lt;=Assumptions!$C$6),1,0)</f>
        <v/>
      </c>
      <c r="V4431">
        <f>IF(U4431=1,IF(M4431&gt;0,IF(P4431&lt;=G4431+Assumptions!$C$7,1,0),0),0)</f>
        <v/>
      </c>
      <c r="W4431">
        <f>IF(AND(U4431=1,M4431&gt;=H4431*(1-Assumptions!$C$8)),1,0)</f>
        <v/>
      </c>
      <c r="X4431">
        <f>IF(AND(U4431=1,N4431&gt;=H4431*(1-Assumptions!$C$8)),1,0)</f>
        <v/>
      </c>
      <c r="Y4431">
        <f>IF(ISNUMBER(Q4431),1,0)</f>
        <v/>
      </c>
      <c r="Z4431">
        <f>IF(AND(K4431=0,L4431=0,Y4431=0),1,0)</f>
        <v/>
      </c>
      <c r="AA4431">
        <f>IF(AND(Z4431=1,G4431&lt;Assumptions!$C$6),1,0)</f>
        <v/>
      </c>
      <c r="AB4431">
        <f>IF(U4431=0,"",IF(Y4431=1,MAX(0,Q4431-G4431),IF(L4431=1,MAX(0,R4431-G4431),MAX(0,Assumptions!$C$6-G4431))))</f>
        <v/>
      </c>
      <c r="AC4431">
        <f>IF(Y4431=1,Q4431-F4431,"")</f>
        <v/>
      </c>
      <c r="AD4431">
        <f>IF(Y4431=1,AC4431^2,"")</f>
        <v/>
      </c>
      <c r="AE4431" s="19">
        <f>IF(Z4431=1,(H4431-M4431)*I4431,0)</f>
        <v/>
      </c>
      <c r="AF4431">
        <f>IF(G4431&lt;EDATE(Assumptions!$C$6,-12)+1,"prior_12m","last_12m")</f>
        <v/>
      </c>
      <c r="AG4431" s="21">
        <f>DATE(YEAR(G4431),MONTH(G4431),1)</f>
        <v/>
      </c>
    </row>
    <row r="4432">
      <c r="A4432" t="inlineStr">
        <is>
          <t>SPO-02370-3</t>
        </is>
      </c>
      <c r="B4432" t="inlineStr">
        <is>
          <t>SPO-02370</t>
        </is>
      </c>
      <c r="C4432" t="inlineStr">
        <is>
          <t>SUP-02</t>
        </is>
      </c>
      <c r="D4432" t="inlineStr">
        <is>
          <t>ELEC</t>
        </is>
      </c>
      <c r="E4432" t="inlineStr">
        <is>
          <t>ELEC-03</t>
        </is>
      </c>
      <c r="F4432" s="17" t="n">
        <v>46230</v>
      </c>
      <c r="G4432" s="17" t="n">
        <v>46246</v>
      </c>
      <c r="H4432" s="18" t="n">
        <v>19</v>
      </c>
      <c r="I4432" s="19" t="n">
        <v>93.38</v>
      </c>
      <c r="J4432" s="19" t="n">
        <v>96</v>
      </c>
      <c r="K4432" s="20" t="n">
        <v>0</v>
      </c>
      <c r="L4432" s="20" t="n">
        <v>0</v>
      </c>
      <c r="M4432" s="18" t="n">
        <v>19</v>
      </c>
      <c r="N4432" s="18" t="n">
        <v>19</v>
      </c>
      <c r="O4432" s="18" t="n">
        <v>0</v>
      </c>
      <c r="P4432" s="17" t="n">
        <v>46244</v>
      </c>
      <c r="Q4432" s="17" t="n">
        <v>46244</v>
      </c>
      <c r="R4432" s="17" t="n">
        <v>46244</v>
      </c>
      <c r="S4432" s="19">
        <f>H4432*I4432</f>
        <v/>
      </c>
      <c r="T4432" s="19">
        <f>H4432*J4432</f>
        <v/>
      </c>
      <c r="U4432">
        <f>IF(AND(K4432=0,G4432&lt;=Assumptions!$C$6),1,0)</f>
        <v/>
      </c>
      <c r="V4432">
        <f>IF(U4432=1,IF(M4432&gt;0,IF(P4432&lt;=G4432+Assumptions!$C$7,1,0),0),0)</f>
        <v/>
      </c>
      <c r="W4432">
        <f>IF(AND(U4432=1,M4432&gt;=H4432*(1-Assumptions!$C$8)),1,0)</f>
        <v/>
      </c>
      <c r="X4432">
        <f>IF(AND(U4432=1,N4432&gt;=H4432*(1-Assumptions!$C$8)),1,0)</f>
        <v/>
      </c>
      <c r="Y4432">
        <f>IF(ISNUMBER(Q4432),1,0)</f>
        <v/>
      </c>
      <c r="Z4432">
        <f>IF(AND(K4432=0,L4432=0,Y4432=0),1,0)</f>
        <v/>
      </c>
      <c r="AA4432">
        <f>IF(AND(Z4432=1,G4432&lt;Assumptions!$C$6),1,0)</f>
        <v/>
      </c>
      <c r="AB4432">
        <f>IF(U4432=0,"",IF(Y4432=1,MAX(0,Q4432-G4432),IF(L4432=1,MAX(0,R4432-G4432),MAX(0,Assumptions!$C$6-G4432))))</f>
        <v/>
      </c>
      <c r="AC4432">
        <f>IF(Y4432=1,Q4432-F4432,"")</f>
        <v/>
      </c>
      <c r="AD4432">
        <f>IF(Y4432=1,AC4432^2,"")</f>
        <v/>
      </c>
      <c r="AE4432" s="19">
        <f>IF(Z4432=1,(H4432-M4432)*I4432,0)</f>
        <v/>
      </c>
      <c r="AF4432">
        <f>IF(G4432&lt;EDATE(Assumptions!$C$6,-12)+1,"prior_12m","last_12m")</f>
        <v/>
      </c>
      <c r="AG4432" s="21">
        <f>DATE(YEAR(G4432),MONTH(G4432),1)</f>
        <v/>
      </c>
    </row>
    <row r="4433">
      <c r="A4433" t="inlineStr">
        <is>
          <t>SPO-02371-1</t>
        </is>
      </c>
      <c r="B4433" t="inlineStr">
        <is>
          <t>SPO-02371</t>
        </is>
      </c>
      <c r="C4433" t="inlineStr">
        <is>
          <t>SUP-04</t>
        </is>
      </c>
      <c r="D4433" t="inlineStr">
        <is>
          <t>FLEET</t>
        </is>
      </c>
      <c r="E4433" t="inlineStr">
        <is>
          <t>FLEET-03</t>
        </is>
      </c>
      <c r="F4433" s="17" t="n">
        <v>46230</v>
      </c>
      <c r="G4433" s="17" t="n">
        <v>46243</v>
      </c>
      <c r="H4433" s="18" t="n">
        <v>91</v>
      </c>
      <c r="I4433" s="19" t="n">
        <v>21.26</v>
      </c>
      <c r="J4433" s="19" t="n">
        <v>21</v>
      </c>
      <c r="K4433" s="20" t="n">
        <v>0</v>
      </c>
      <c r="L4433" s="20" t="n">
        <v>0</v>
      </c>
      <c r="M4433" s="18" t="n">
        <v>91</v>
      </c>
      <c r="N4433" s="18" t="n">
        <v>91</v>
      </c>
      <c r="O4433" s="18" t="n">
        <v>0</v>
      </c>
      <c r="P4433" s="17" t="n">
        <v>46242</v>
      </c>
      <c r="Q4433" s="17" t="n">
        <v>46242</v>
      </c>
      <c r="R4433" s="17" t="n">
        <v>46242</v>
      </c>
      <c r="S4433" s="19">
        <f>H4433*I4433</f>
        <v/>
      </c>
      <c r="T4433" s="19">
        <f>H4433*J4433</f>
        <v/>
      </c>
      <c r="U4433">
        <f>IF(AND(K4433=0,G4433&lt;=Assumptions!$C$6),1,0)</f>
        <v/>
      </c>
      <c r="V4433">
        <f>IF(U4433=1,IF(M4433&gt;0,IF(P4433&lt;=G4433+Assumptions!$C$7,1,0),0),0)</f>
        <v/>
      </c>
      <c r="W4433">
        <f>IF(AND(U4433=1,M4433&gt;=H4433*(1-Assumptions!$C$8)),1,0)</f>
        <v/>
      </c>
      <c r="X4433">
        <f>IF(AND(U4433=1,N4433&gt;=H4433*(1-Assumptions!$C$8)),1,0)</f>
        <v/>
      </c>
      <c r="Y4433">
        <f>IF(ISNUMBER(Q4433),1,0)</f>
        <v/>
      </c>
      <c r="Z4433">
        <f>IF(AND(K4433=0,L4433=0,Y4433=0),1,0)</f>
        <v/>
      </c>
      <c r="AA4433">
        <f>IF(AND(Z4433=1,G4433&lt;Assumptions!$C$6),1,0)</f>
        <v/>
      </c>
      <c r="AB4433">
        <f>IF(U4433=0,"",IF(Y4433=1,MAX(0,Q4433-G4433),IF(L4433=1,MAX(0,R4433-G4433),MAX(0,Assumptions!$C$6-G4433))))</f>
        <v/>
      </c>
      <c r="AC4433">
        <f>IF(Y4433=1,Q4433-F4433,"")</f>
        <v/>
      </c>
      <c r="AD4433">
        <f>IF(Y4433=1,AC4433^2,"")</f>
        <v/>
      </c>
      <c r="AE4433" s="19">
        <f>IF(Z4433=1,(H4433-M4433)*I4433,0)</f>
        <v/>
      </c>
      <c r="AF4433">
        <f>IF(G4433&lt;EDATE(Assumptions!$C$6,-12)+1,"prior_12m","last_12m")</f>
        <v/>
      </c>
      <c r="AG4433" s="21">
        <f>DATE(YEAR(G4433),MONTH(G4433),1)</f>
        <v/>
      </c>
    </row>
    <row r="4434">
      <c r="A4434" t="inlineStr">
        <is>
          <t>SPO-02371-2</t>
        </is>
      </c>
      <c r="B4434" t="inlineStr">
        <is>
          <t>SPO-02371</t>
        </is>
      </c>
      <c r="C4434" t="inlineStr">
        <is>
          <t>SUP-04</t>
        </is>
      </c>
      <c r="D4434" t="inlineStr">
        <is>
          <t>FLEET</t>
        </is>
      </c>
      <c r="E4434" t="inlineStr">
        <is>
          <t>FLEET-02</t>
        </is>
      </c>
      <c r="F4434" s="17" t="n">
        <v>46230</v>
      </c>
      <c r="G4434" s="17" t="n">
        <v>46243</v>
      </c>
      <c r="H4434" s="18" t="n">
        <v>286</v>
      </c>
      <c r="I4434" s="19" t="n">
        <v>7.03</v>
      </c>
      <c r="J4434" s="19" t="n">
        <v>7.5</v>
      </c>
      <c r="K4434" s="20" t="n">
        <v>0</v>
      </c>
      <c r="L4434" s="20" t="n">
        <v>0</v>
      </c>
      <c r="M4434" s="18" t="n">
        <v>286</v>
      </c>
      <c r="N4434" s="18" t="n">
        <v>0</v>
      </c>
      <c r="O4434" s="18" t="n">
        <v>0</v>
      </c>
      <c r="P4434" s="17" t="n">
        <v>46247</v>
      </c>
      <c r="Q4434" s="17" t="n">
        <v>46247</v>
      </c>
      <c r="R4434" s="17" t="n">
        <v>46247</v>
      </c>
      <c r="S4434" s="19">
        <f>H4434*I4434</f>
        <v/>
      </c>
      <c r="T4434" s="19">
        <f>H4434*J4434</f>
        <v/>
      </c>
      <c r="U4434">
        <f>IF(AND(K4434=0,G4434&lt;=Assumptions!$C$6),1,0)</f>
        <v/>
      </c>
      <c r="V4434">
        <f>IF(U4434=1,IF(M4434&gt;0,IF(P4434&lt;=G4434+Assumptions!$C$7,1,0),0),0)</f>
        <v/>
      </c>
      <c r="W4434">
        <f>IF(AND(U4434=1,M4434&gt;=H4434*(1-Assumptions!$C$8)),1,0)</f>
        <v/>
      </c>
      <c r="X4434">
        <f>IF(AND(U4434=1,N4434&gt;=H4434*(1-Assumptions!$C$8)),1,0)</f>
        <v/>
      </c>
      <c r="Y4434">
        <f>IF(ISNUMBER(Q4434),1,0)</f>
        <v/>
      </c>
      <c r="Z4434">
        <f>IF(AND(K4434=0,L4434=0,Y4434=0),1,0)</f>
        <v/>
      </c>
      <c r="AA4434">
        <f>IF(AND(Z4434=1,G4434&lt;Assumptions!$C$6),1,0)</f>
        <v/>
      </c>
      <c r="AB4434">
        <f>IF(U4434=0,"",IF(Y4434=1,MAX(0,Q4434-G4434),IF(L4434=1,MAX(0,R4434-G4434),MAX(0,Assumptions!$C$6-G4434))))</f>
        <v/>
      </c>
      <c r="AC4434">
        <f>IF(Y4434=1,Q4434-F4434,"")</f>
        <v/>
      </c>
      <c r="AD4434">
        <f>IF(Y4434=1,AC4434^2,"")</f>
        <v/>
      </c>
      <c r="AE4434" s="19">
        <f>IF(Z4434=1,(H4434-M4434)*I4434,0)</f>
        <v/>
      </c>
      <c r="AF4434">
        <f>IF(G4434&lt;EDATE(Assumptions!$C$6,-12)+1,"prior_12m","last_12m")</f>
        <v/>
      </c>
      <c r="AG4434" s="21">
        <f>DATE(YEAR(G4434),MONTH(G4434),1)</f>
        <v/>
      </c>
    </row>
    <row r="4435">
      <c r="A4435" t="inlineStr">
        <is>
          <t>SPO-02372-1</t>
        </is>
      </c>
      <c r="B4435" t="inlineStr">
        <is>
          <t>SPO-02372</t>
        </is>
      </c>
      <c r="C4435" t="inlineStr">
        <is>
          <t>SUP-06</t>
        </is>
      </c>
      <c r="D4435" t="inlineStr">
        <is>
          <t>MRO</t>
        </is>
      </c>
      <c r="E4435" t="inlineStr">
        <is>
          <t>MRO-01</t>
        </is>
      </c>
      <c r="F4435" s="17" t="n">
        <v>46230</v>
      </c>
      <c r="G4435" s="17" t="n">
        <v>46238</v>
      </c>
      <c r="H4435" s="18" t="n">
        <v>31</v>
      </c>
      <c r="I4435" s="19" t="n">
        <v>51.43</v>
      </c>
      <c r="J4435" s="19" t="n">
        <v>52</v>
      </c>
      <c r="K4435" s="20" t="n">
        <v>0</v>
      </c>
      <c r="L4435" s="20" t="n">
        <v>0</v>
      </c>
      <c r="M4435" s="18" t="n">
        <v>31</v>
      </c>
      <c r="N4435" s="18" t="n">
        <v>31</v>
      </c>
      <c r="O4435" s="18" t="n">
        <v>0</v>
      </c>
      <c r="P4435" s="17" t="n">
        <v>46236</v>
      </c>
      <c r="Q4435" s="17" t="n">
        <v>46236</v>
      </c>
      <c r="R4435" s="17" t="n">
        <v>46236</v>
      </c>
      <c r="S4435" s="19">
        <f>H4435*I4435</f>
        <v/>
      </c>
      <c r="T4435" s="19">
        <f>H4435*J4435</f>
        <v/>
      </c>
      <c r="U4435">
        <f>IF(AND(K4435=0,G4435&lt;=Assumptions!$C$6),1,0)</f>
        <v/>
      </c>
      <c r="V4435">
        <f>IF(U4435=1,IF(M4435&gt;0,IF(P4435&lt;=G4435+Assumptions!$C$7,1,0),0),0)</f>
        <v/>
      </c>
      <c r="W4435">
        <f>IF(AND(U4435=1,M4435&gt;=H4435*(1-Assumptions!$C$8)),1,0)</f>
        <v/>
      </c>
      <c r="X4435">
        <f>IF(AND(U4435=1,N4435&gt;=H4435*(1-Assumptions!$C$8)),1,0)</f>
        <v/>
      </c>
      <c r="Y4435">
        <f>IF(ISNUMBER(Q4435),1,0)</f>
        <v/>
      </c>
      <c r="Z4435">
        <f>IF(AND(K4435=0,L4435=0,Y4435=0),1,0)</f>
        <v/>
      </c>
      <c r="AA4435">
        <f>IF(AND(Z4435=1,G4435&lt;Assumptions!$C$6),1,0)</f>
        <v/>
      </c>
      <c r="AB4435">
        <f>IF(U4435=0,"",IF(Y4435=1,MAX(0,Q4435-G4435),IF(L4435=1,MAX(0,R4435-G4435),MAX(0,Assumptions!$C$6-G4435))))</f>
        <v/>
      </c>
      <c r="AC4435">
        <f>IF(Y4435=1,Q4435-F4435,"")</f>
        <v/>
      </c>
      <c r="AD4435">
        <f>IF(Y4435=1,AC4435^2,"")</f>
        <v/>
      </c>
      <c r="AE4435" s="19">
        <f>IF(Z4435=1,(H4435-M4435)*I4435,0)</f>
        <v/>
      </c>
      <c r="AF4435">
        <f>IF(G4435&lt;EDATE(Assumptions!$C$6,-12)+1,"prior_12m","last_12m")</f>
        <v/>
      </c>
      <c r="AG4435" s="21">
        <f>DATE(YEAR(G4435),MONTH(G4435),1)</f>
        <v/>
      </c>
    </row>
    <row r="4436">
      <c r="A4436" t="inlineStr">
        <is>
          <t>SPO-02372-2</t>
        </is>
      </c>
      <c r="B4436" t="inlineStr">
        <is>
          <t>SPO-02372</t>
        </is>
      </c>
      <c r="C4436" t="inlineStr">
        <is>
          <t>SUP-06</t>
        </is>
      </c>
      <c r="D4436" t="inlineStr">
        <is>
          <t>MRO</t>
        </is>
      </c>
      <c r="E4436" t="inlineStr">
        <is>
          <t>MRO-05</t>
        </is>
      </c>
      <c r="F4436" s="17" t="n">
        <v>46230</v>
      </c>
      <c r="G4436" s="17" t="n">
        <v>46238</v>
      </c>
      <c r="H4436" s="18" t="n">
        <v>20</v>
      </c>
      <c r="I4436" s="19" t="n">
        <v>37.1</v>
      </c>
      <c r="J4436" s="19" t="n">
        <v>36</v>
      </c>
      <c r="K4436" s="20" t="n">
        <v>0</v>
      </c>
      <c r="L4436" s="20" t="n">
        <v>0</v>
      </c>
      <c r="M4436" s="18" t="n">
        <v>20</v>
      </c>
      <c r="N4436" s="18" t="n">
        <v>20</v>
      </c>
      <c r="O4436" s="18" t="n">
        <v>0</v>
      </c>
      <c r="P4436" s="17" t="n">
        <v>46235</v>
      </c>
      <c r="Q4436" s="17" t="n">
        <v>46235</v>
      </c>
      <c r="R4436" s="17" t="n">
        <v>46235</v>
      </c>
      <c r="S4436" s="19">
        <f>H4436*I4436</f>
        <v/>
      </c>
      <c r="T4436" s="19">
        <f>H4436*J4436</f>
        <v/>
      </c>
      <c r="U4436">
        <f>IF(AND(K4436=0,G4436&lt;=Assumptions!$C$6),1,0)</f>
        <v/>
      </c>
      <c r="V4436">
        <f>IF(U4436=1,IF(M4436&gt;0,IF(P4436&lt;=G4436+Assumptions!$C$7,1,0),0),0)</f>
        <v/>
      </c>
      <c r="W4436">
        <f>IF(AND(U4436=1,M4436&gt;=H4436*(1-Assumptions!$C$8)),1,0)</f>
        <v/>
      </c>
      <c r="X4436">
        <f>IF(AND(U4436=1,N4436&gt;=H4436*(1-Assumptions!$C$8)),1,0)</f>
        <v/>
      </c>
      <c r="Y4436">
        <f>IF(ISNUMBER(Q4436),1,0)</f>
        <v/>
      </c>
      <c r="Z4436">
        <f>IF(AND(K4436=0,L4436=0,Y4436=0),1,0)</f>
        <v/>
      </c>
      <c r="AA4436">
        <f>IF(AND(Z4436=1,G4436&lt;Assumptions!$C$6),1,0)</f>
        <v/>
      </c>
      <c r="AB4436">
        <f>IF(U4436=0,"",IF(Y4436=1,MAX(0,Q4436-G4436),IF(L4436=1,MAX(0,R4436-G4436),MAX(0,Assumptions!$C$6-G4436))))</f>
        <v/>
      </c>
      <c r="AC4436">
        <f>IF(Y4436=1,Q4436-F4436,"")</f>
        <v/>
      </c>
      <c r="AD4436">
        <f>IF(Y4436=1,AC4436^2,"")</f>
        <v/>
      </c>
      <c r="AE4436" s="19">
        <f>IF(Z4436=1,(H4436-M4436)*I4436,0)</f>
        <v/>
      </c>
      <c r="AF4436">
        <f>IF(G4436&lt;EDATE(Assumptions!$C$6,-12)+1,"prior_12m","last_12m")</f>
        <v/>
      </c>
      <c r="AG4436" s="21">
        <f>DATE(YEAR(G4436),MONTH(G4436),1)</f>
        <v/>
      </c>
    </row>
    <row r="4437">
      <c r="A4437" t="inlineStr">
        <is>
          <t>SPO-02373-1</t>
        </is>
      </c>
      <c r="B4437" t="inlineStr">
        <is>
          <t>SPO-02373</t>
        </is>
      </c>
      <c r="C4437" t="inlineStr">
        <is>
          <t>SUP-01</t>
        </is>
      </c>
      <c r="D4437" t="inlineStr">
        <is>
          <t>ELEC</t>
        </is>
      </c>
      <c r="E4437" t="inlineStr">
        <is>
          <t>ELEC-08</t>
        </is>
      </c>
      <c r="F4437" s="17" t="n">
        <v>46231</v>
      </c>
      <c r="G4437" s="17" t="n">
        <v>46249</v>
      </c>
      <c r="H4437" s="18" t="n">
        <v>145</v>
      </c>
      <c r="I4437" s="19" t="n">
        <v>18.37</v>
      </c>
      <c r="J4437" s="19" t="n">
        <v>18</v>
      </c>
      <c r="K4437" s="20" t="n">
        <v>0</v>
      </c>
      <c r="L4437" s="20" t="n">
        <v>0</v>
      </c>
      <c r="M4437" s="18" t="n">
        <v>145</v>
      </c>
      <c r="N4437" s="18" t="n">
        <v>0</v>
      </c>
      <c r="O4437" s="18" t="n">
        <v>0</v>
      </c>
      <c r="P4437" s="17" t="n">
        <v>46250</v>
      </c>
      <c r="Q4437" s="17" t="n">
        <v>46250</v>
      </c>
      <c r="R4437" s="17" t="n">
        <v>46250</v>
      </c>
      <c r="S4437" s="19">
        <f>H4437*I4437</f>
        <v/>
      </c>
      <c r="T4437" s="19">
        <f>H4437*J4437</f>
        <v/>
      </c>
      <c r="U4437">
        <f>IF(AND(K4437=0,G4437&lt;=Assumptions!$C$6),1,0)</f>
        <v/>
      </c>
      <c r="V4437">
        <f>IF(U4437=1,IF(M4437&gt;0,IF(P4437&lt;=G4437+Assumptions!$C$7,1,0),0),0)</f>
        <v/>
      </c>
      <c r="W4437">
        <f>IF(AND(U4437=1,M4437&gt;=H4437*(1-Assumptions!$C$8)),1,0)</f>
        <v/>
      </c>
      <c r="X4437">
        <f>IF(AND(U4437=1,N4437&gt;=H4437*(1-Assumptions!$C$8)),1,0)</f>
        <v/>
      </c>
      <c r="Y4437">
        <f>IF(ISNUMBER(Q4437),1,0)</f>
        <v/>
      </c>
      <c r="Z4437">
        <f>IF(AND(K4437=0,L4437=0,Y4437=0),1,0)</f>
        <v/>
      </c>
      <c r="AA4437">
        <f>IF(AND(Z4437=1,G4437&lt;Assumptions!$C$6),1,0)</f>
        <v/>
      </c>
      <c r="AB4437">
        <f>IF(U4437=0,"",IF(Y4437=1,MAX(0,Q4437-G4437),IF(L4437=1,MAX(0,R4437-G4437),MAX(0,Assumptions!$C$6-G4437))))</f>
        <v/>
      </c>
      <c r="AC4437">
        <f>IF(Y4437=1,Q4437-F4437,"")</f>
        <v/>
      </c>
      <c r="AD4437">
        <f>IF(Y4437=1,AC4437^2,"")</f>
        <v/>
      </c>
      <c r="AE4437" s="19">
        <f>IF(Z4437=1,(H4437-M4437)*I4437,0)</f>
        <v/>
      </c>
      <c r="AF4437">
        <f>IF(G4437&lt;EDATE(Assumptions!$C$6,-12)+1,"prior_12m","last_12m")</f>
        <v/>
      </c>
      <c r="AG4437" s="21">
        <f>DATE(YEAR(G4437),MONTH(G4437),1)</f>
        <v/>
      </c>
    </row>
    <row r="4438">
      <c r="A4438" t="inlineStr">
        <is>
          <t>SPO-02373-2</t>
        </is>
      </c>
      <c r="B4438" t="inlineStr">
        <is>
          <t>SPO-02373</t>
        </is>
      </c>
      <c r="C4438" t="inlineStr">
        <is>
          <t>SUP-01</t>
        </is>
      </c>
      <c r="D4438" t="inlineStr">
        <is>
          <t>ELEC</t>
        </is>
      </c>
      <c r="E4438" t="inlineStr">
        <is>
          <t>ELEC-07</t>
        </is>
      </c>
      <c r="F4438" s="17" t="n">
        <v>46231</v>
      </c>
      <c r="G4438" s="17" t="n">
        <v>46249</v>
      </c>
      <c r="H4438" s="18" t="n">
        <v>181</v>
      </c>
      <c r="I4438" s="19" t="n">
        <v>10</v>
      </c>
      <c r="J4438" s="19" t="n">
        <v>9.800000000000001</v>
      </c>
      <c r="K4438" s="20" t="n">
        <v>0</v>
      </c>
      <c r="L4438" s="20" t="n">
        <v>0</v>
      </c>
      <c r="M4438" s="18" t="n">
        <v>181</v>
      </c>
      <c r="N4438" s="18" t="n">
        <v>181</v>
      </c>
      <c r="O4438" s="18" t="n">
        <v>0</v>
      </c>
      <c r="P4438" s="17" t="n">
        <v>46245</v>
      </c>
      <c r="Q4438" s="17" t="n">
        <v>46245</v>
      </c>
      <c r="R4438" s="17" t="n">
        <v>46245</v>
      </c>
      <c r="S4438" s="19">
        <f>H4438*I4438</f>
        <v/>
      </c>
      <c r="T4438" s="19">
        <f>H4438*J4438</f>
        <v/>
      </c>
      <c r="U4438">
        <f>IF(AND(K4438=0,G4438&lt;=Assumptions!$C$6),1,0)</f>
        <v/>
      </c>
      <c r="V4438">
        <f>IF(U4438=1,IF(M4438&gt;0,IF(P4438&lt;=G4438+Assumptions!$C$7,1,0),0),0)</f>
        <v/>
      </c>
      <c r="W4438">
        <f>IF(AND(U4438=1,M4438&gt;=H4438*(1-Assumptions!$C$8)),1,0)</f>
        <v/>
      </c>
      <c r="X4438">
        <f>IF(AND(U4438=1,N4438&gt;=H4438*(1-Assumptions!$C$8)),1,0)</f>
        <v/>
      </c>
      <c r="Y4438">
        <f>IF(ISNUMBER(Q4438),1,0)</f>
        <v/>
      </c>
      <c r="Z4438">
        <f>IF(AND(K4438=0,L4438=0,Y4438=0),1,0)</f>
        <v/>
      </c>
      <c r="AA4438">
        <f>IF(AND(Z4438=1,G4438&lt;Assumptions!$C$6),1,0)</f>
        <v/>
      </c>
      <c r="AB4438">
        <f>IF(U4438=0,"",IF(Y4438=1,MAX(0,Q4438-G4438),IF(L4438=1,MAX(0,R4438-G4438),MAX(0,Assumptions!$C$6-G4438))))</f>
        <v/>
      </c>
      <c r="AC4438">
        <f>IF(Y4438=1,Q4438-F4438,"")</f>
        <v/>
      </c>
      <c r="AD4438">
        <f>IF(Y4438=1,AC4438^2,"")</f>
        <v/>
      </c>
      <c r="AE4438" s="19">
        <f>IF(Z4438=1,(H4438-M4438)*I4438,0)</f>
        <v/>
      </c>
      <c r="AF4438">
        <f>IF(G4438&lt;EDATE(Assumptions!$C$6,-12)+1,"prior_12m","last_12m")</f>
        <v/>
      </c>
      <c r="AG4438" s="21">
        <f>DATE(YEAR(G4438),MONTH(G4438),1)</f>
        <v/>
      </c>
    </row>
    <row r="4439">
      <c r="A4439" t="inlineStr">
        <is>
          <t>SPO-02374-1</t>
        </is>
      </c>
      <c r="B4439" t="inlineStr">
        <is>
          <t>SPO-02374</t>
        </is>
      </c>
      <c r="C4439" t="inlineStr">
        <is>
          <t>SUP-01</t>
        </is>
      </c>
      <c r="D4439" t="inlineStr">
        <is>
          <t>ELEC</t>
        </is>
      </c>
      <c r="E4439" t="inlineStr">
        <is>
          <t>ELEC-01</t>
        </is>
      </c>
      <c r="F4439" s="17" t="n">
        <v>46231</v>
      </c>
      <c r="G4439" s="17" t="n">
        <v>46249</v>
      </c>
      <c r="H4439" s="18" t="n">
        <v>155</v>
      </c>
      <c r="I4439" s="19" t="n">
        <v>40.08</v>
      </c>
      <c r="J4439" s="19" t="n">
        <v>38</v>
      </c>
      <c r="K4439" s="20" t="n">
        <v>0</v>
      </c>
      <c r="L4439" s="20" t="n">
        <v>0</v>
      </c>
      <c r="M4439" s="18" t="n">
        <v>155</v>
      </c>
      <c r="N4439" s="18" t="n">
        <v>155</v>
      </c>
      <c r="O4439" s="18" t="n">
        <v>0</v>
      </c>
      <c r="P4439" s="17" t="n">
        <v>46244</v>
      </c>
      <c r="Q4439" s="17" t="n">
        <v>46244</v>
      </c>
      <c r="R4439" s="17" t="n">
        <v>46244</v>
      </c>
      <c r="S4439" s="19">
        <f>H4439*I4439</f>
        <v/>
      </c>
      <c r="T4439" s="19">
        <f>H4439*J4439</f>
        <v/>
      </c>
      <c r="U4439">
        <f>IF(AND(K4439=0,G4439&lt;=Assumptions!$C$6),1,0)</f>
        <v/>
      </c>
      <c r="V4439">
        <f>IF(U4439=1,IF(M4439&gt;0,IF(P4439&lt;=G4439+Assumptions!$C$7,1,0),0),0)</f>
        <v/>
      </c>
      <c r="W4439">
        <f>IF(AND(U4439=1,M4439&gt;=H4439*(1-Assumptions!$C$8)),1,0)</f>
        <v/>
      </c>
      <c r="X4439">
        <f>IF(AND(U4439=1,N4439&gt;=H4439*(1-Assumptions!$C$8)),1,0)</f>
        <v/>
      </c>
      <c r="Y4439">
        <f>IF(ISNUMBER(Q4439),1,0)</f>
        <v/>
      </c>
      <c r="Z4439">
        <f>IF(AND(K4439=0,L4439=0,Y4439=0),1,0)</f>
        <v/>
      </c>
      <c r="AA4439">
        <f>IF(AND(Z4439=1,G4439&lt;Assumptions!$C$6),1,0)</f>
        <v/>
      </c>
      <c r="AB4439">
        <f>IF(U4439=0,"",IF(Y4439=1,MAX(0,Q4439-G4439),IF(L4439=1,MAX(0,R4439-G4439),MAX(0,Assumptions!$C$6-G4439))))</f>
        <v/>
      </c>
      <c r="AC4439">
        <f>IF(Y4439=1,Q4439-F4439,"")</f>
        <v/>
      </c>
      <c r="AD4439">
        <f>IF(Y4439=1,AC4439^2,"")</f>
        <v/>
      </c>
      <c r="AE4439" s="19">
        <f>IF(Z4439=1,(H4439-M4439)*I4439,0)</f>
        <v/>
      </c>
      <c r="AF4439">
        <f>IF(G4439&lt;EDATE(Assumptions!$C$6,-12)+1,"prior_12m","last_12m")</f>
        <v/>
      </c>
      <c r="AG4439" s="21">
        <f>DATE(YEAR(G4439),MONTH(G4439),1)</f>
        <v/>
      </c>
    </row>
    <row r="4440">
      <c r="A4440" t="inlineStr">
        <is>
          <t>SPO-02374-2</t>
        </is>
      </c>
      <c r="B4440" t="inlineStr">
        <is>
          <t>SPO-02374</t>
        </is>
      </c>
      <c r="C4440" t="inlineStr">
        <is>
          <t>SUP-01</t>
        </is>
      </c>
      <c r="D4440" t="inlineStr">
        <is>
          <t>ELEC</t>
        </is>
      </c>
      <c r="E4440" t="inlineStr">
        <is>
          <t>ELEC-08</t>
        </is>
      </c>
      <c r="F4440" s="17" t="n">
        <v>46231</v>
      </c>
      <c r="G4440" s="17" t="n">
        <v>46249</v>
      </c>
      <c r="H4440" s="18" t="n">
        <v>178</v>
      </c>
      <c r="I4440" s="19" t="n">
        <v>18.75</v>
      </c>
      <c r="J4440" s="19" t="n">
        <v>18</v>
      </c>
      <c r="K4440" s="20" t="n">
        <v>0</v>
      </c>
      <c r="L4440" s="20" t="n">
        <v>0</v>
      </c>
      <c r="M4440" s="18" t="n">
        <v>178</v>
      </c>
      <c r="N4440" s="18" t="n">
        <v>178</v>
      </c>
      <c r="O4440" s="18" t="n">
        <v>0</v>
      </c>
      <c r="P4440" s="17" t="n">
        <v>46240</v>
      </c>
      <c r="Q4440" s="17" t="n">
        <v>46240</v>
      </c>
      <c r="R4440" s="17" t="n">
        <v>46240</v>
      </c>
      <c r="S4440" s="19">
        <f>H4440*I4440</f>
        <v/>
      </c>
      <c r="T4440" s="19">
        <f>H4440*J4440</f>
        <v/>
      </c>
      <c r="U4440">
        <f>IF(AND(K4440=0,G4440&lt;=Assumptions!$C$6),1,0)</f>
        <v/>
      </c>
      <c r="V4440">
        <f>IF(U4440=1,IF(M4440&gt;0,IF(P4440&lt;=G4440+Assumptions!$C$7,1,0),0),0)</f>
        <v/>
      </c>
      <c r="W4440">
        <f>IF(AND(U4440=1,M4440&gt;=H4440*(1-Assumptions!$C$8)),1,0)</f>
        <v/>
      </c>
      <c r="X4440">
        <f>IF(AND(U4440=1,N4440&gt;=H4440*(1-Assumptions!$C$8)),1,0)</f>
        <v/>
      </c>
      <c r="Y4440">
        <f>IF(ISNUMBER(Q4440),1,0)</f>
        <v/>
      </c>
      <c r="Z4440">
        <f>IF(AND(K4440=0,L4440=0,Y4440=0),1,0)</f>
        <v/>
      </c>
      <c r="AA4440">
        <f>IF(AND(Z4440=1,G4440&lt;Assumptions!$C$6),1,0)</f>
        <v/>
      </c>
      <c r="AB4440">
        <f>IF(U4440=0,"",IF(Y4440=1,MAX(0,Q4440-G4440),IF(L4440=1,MAX(0,R4440-G4440),MAX(0,Assumptions!$C$6-G4440))))</f>
        <v/>
      </c>
      <c r="AC4440">
        <f>IF(Y4440=1,Q4440-F4440,"")</f>
        <v/>
      </c>
      <c r="AD4440">
        <f>IF(Y4440=1,AC4440^2,"")</f>
        <v/>
      </c>
      <c r="AE4440" s="19">
        <f>IF(Z4440=1,(H4440-M4440)*I4440,0)</f>
        <v/>
      </c>
      <c r="AF4440">
        <f>IF(G4440&lt;EDATE(Assumptions!$C$6,-12)+1,"prior_12m","last_12m")</f>
        <v/>
      </c>
      <c r="AG4440" s="21">
        <f>DATE(YEAR(G4440),MONTH(G4440),1)</f>
        <v/>
      </c>
    </row>
    <row r="4441">
      <c r="A4441" t="inlineStr">
        <is>
          <t>SPO-02374-3</t>
        </is>
      </c>
      <c r="B4441" t="inlineStr">
        <is>
          <t>SPO-02374</t>
        </is>
      </c>
      <c r="C4441" t="inlineStr">
        <is>
          <t>SUP-01</t>
        </is>
      </c>
      <c r="D4441" t="inlineStr">
        <is>
          <t>ELEC</t>
        </is>
      </c>
      <c r="E4441" t="inlineStr">
        <is>
          <t>ELEC-06</t>
        </is>
      </c>
      <c r="F4441" s="17" t="n">
        <v>46231</v>
      </c>
      <c r="G4441" s="17" t="n">
        <v>46249</v>
      </c>
      <c r="H4441" s="18" t="n">
        <v>31</v>
      </c>
      <c r="I4441" s="19" t="n">
        <v>143.99</v>
      </c>
      <c r="J4441" s="19" t="n">
        <v>145</v>
      </c>
      <c r="K4441" s="20" t="n">
        <v>0</v>
      </c>
      <c r="L4441" s="20" t="n">
        <v>0</v>
      </c>
      <c r="M4441" s="18" t="n">
        <v>31</v>
      </c>
      <c r="N4441" s="18" t="n">
        <v>31</v>
      </c>
      <c r="O4441" s="18" t="n">
        <v>0</v>
      </c>
      <c r="P4441" s="17" t="n">
        <v>46244</v>
      </c>
      <c r="Q4441" s="17" t="n">
        <v>46244</v>
      </c>
      <c r="R4441" s="17" t="n">
        <v>46244</v>
      </c>
      <c r="S4441" s="19">
        <f>H4441*I4441</f>
        <v/>
      </c>
      <c r="T4441" s="19">
        <f>H4441*J4441</f>
        <v/>
      </c>
      <c r="U4441">
        <f>IF(AND(K4441=0,G4441&lt;=Assumptions!$C$6),1,0)</f>
        <v/>
      </c>
      <c r="V4441">
        <f>IF(U4441=1,IF(M4441&gt;0,IF(P4441&lt;=G4441+Assumptions!$C$7,1,0),0),0)</f>
        <v/>
      </c>
      <c r="W4441">
        <f>IF(AND(U4441=1,M4441&gt;=H4441*(1-Assumptions!$C$8)),1,0)</f>
        <v/>
      </c>
      <c r="X4441">
        <f>IF(AND(U4441=1,N4441&gt;=H4441*(1-Assumptions!$C$8)),1,0)</f>
        <v/>
      </c>
      <c r="Y4441">
        <f>IF(ISNUMBER(Q4441),1,0)</f>
        <v/>
      </c>
      <c r="Z4441">
        <f>IF(AND(K4441=0,L4441=0,Y4441=0),1,0)</f>
        <v/>
      </c>
      <c r="AA4441">
        <f>IF(AND(Z4441=1,G4441&lt;Assumptions!$C$6),1,0)</f>
        <v/>
      </c>
      <c r="AB4441">
        <f>IF(U4441=0,"",IF(Y4441=1,MAX(0,Q4441-G4441),IF(L4441=1,MAX(0,R4441-G4441),MAX(0,Assumptions!$C$6-G4441))))</f>
        <v/>
      </c>
      <c r="AC4441">
        <f>IF(Y4441=1,Q4441-F4441,"")</f>
        <v/>
      </c>
      <c r="AD4441">
        <f>IF(Y4441=1,AC4441^2,"")</f>
        <v/>
      </c>
      <c r="AE4441" s="19">
        <f>IF(Z4441=1,(H4441-M4441)*I4441,0)</f>
        <v/>
      </c>
      <c r="AF4441">
        <f>IF(G4441&lt;EDATE(Assumptions!$C$6,-12)+1,"prior_12m","last_12m")</f>
        <v/>
      </c>
      <c r="AG4441" s="21">
        <f>DATE(YEAR(G4441),MONTH(G4441),1)</f>
        <v/>
      </c>
    </row>
    <row r="4442">
      <c r="A4442" t="inlineStr">
        <is>
          <t>SPO-02374-4</t>
        </is>
      </c>
      <c r="B4442" t="inlineStr">
        <is>
          <t>SPO-02374</t>
        </is>
      </c>
      <c r="C4442" t="inlineStr">
        <is>
          <t>SUP-01</t>
        </is>
      </c>
      <c r="D4442" t="inlineStr">
        <is>
          <t>ELEC</t>
        </is>
      </c>
      <c r="E4442" t="inlineStr">
        <is>
          <t>ELEC-04</t>
        </is>
      </c>
      <c r="F4442" s="17" t="n">
        <v>46231</v>
      </c>
      <c r="G4442" s="17" t="n">
        <v>46249</v>
      </c>
      <c r="H4442" s="18" t="n">
        <v>21</v>
      </c>
      <c r="I4442" s="19" t="n">
        <v>73.03</v>
      </c>
      <c r="J4442" s="19" t="n">
        <v>72</v>
      </c>
      <c r="K4442" s="20" t="n">
        <v>0</v>
      </c>
      <c r="L4442" s="20" t="n">
        <v>0</v>
      </c>
      <c r="M4442" s="18" t="n">
        <v>21</v>
      </c>
      <c r="N4442" s="18" t="n">
        <v>0</v>
      </c>
      <c r="O4442" s="18" t="n">
        <v>0</v>
      </c>
      <c r="P4442" s="17" t="n">
        <v>46250</v>
      </c>
      <c r="Q4442" s="17" t="n">
        <v>46250</v>
      </c>
      <c r="R4442" s="17" t="n">
        <v>46250</v>
      </c>
      <c r="S4442" s="19">
        <f>H4442*I4442</f>
        <v/>
      </c>
      <c r="T4442" s="19">
        <f>H4442*J4442</f>
        <v/>
      </c>
      <c r="U4442">
        <f>IF(AND(K4442=0,G4442&lt;=Assumptions!$C$6),1,0)</f>
        <v/>
      </c>
      <c r="V4442">
        <f>IF(U4442=1,IF(M4442&gt;0,IF(P4442&lt;=G4442+Assumptions!$C$7,1,0),0),0)</f>
        <v/>
      </c>
      <c r="W4442">
        <f>IF(AND(U4442=1,M4442&gt;=H4442*(1-Assumptions!$C$8)),1,0)</f>
        <v/>
      </c>
      <c r="X4442">
        <f>IF(AND(U4442=1,N4442&gt;=H4442*(1-Assumptions!$C$8)),1,0)</f>
        <v/>
      </c>
      <c r="Y4442">
        <f>IF(ISNUMBER(Q4442),1,0)</f>
        <v/>
      </c>
      <c r="Z4442">
        <f>IF(AND(K4442=0,L4442=0,Y4442=0),1,0)</f>
        <v/>
      </c>
      <c r="AA4442">
        <f>IF(AND(Z4442=1,G4442&lt;Assumptions!$C$6),1,0)</f>
        <v/>
      </c>
      <c r="AB4442">
        <f>IF(U4442=0,"",IF(Y4442=1,MAX(0,Q4442-G4442),IF(L4442=1,MAX(0,R4442-G4442),MAX(0,Assumptions!$C$6-G4442))))</f>
        <v/>
      </c>
      <c r="AC4442">
        <f>IF(Y4442=1,Q4442-F4442,"")</f>
        <v/>
      </c>
      <c r="AD4442">
        <f>IF(Y4442=1,AC4442^2,"")</f>
        <v/>
      </c>
      <c r="AE4442" s="19">
        <f>IF(Z4442=1,(H4442-M4442)*I4442,0)</f>
        <v/>
      </c>
      <c r="AF4442">
        <f>IF(G4442&lt;EDATE(Assumptions!$C$6,-12)+1,"prior_12m","last_12m")</f>
        <v/>
      </c>
      <c r="AG4442" s="21">
        <f>DATE(YEAR(G4442),MONTH(G4442),1)</f>
        <v/>
      </c>
    </row>
    <row r="4443">
      <c r="A4443" t="inlineStr">
        <is>
          <t>SPO-02375-1</t>
        </is>
      </c>
      <c r="B4443" t="inlineStr">
        <is>
          <t>SPO-02375</t>
        </is>
      </c>
      <c r="C4443" t="inlineStr">
        <is>
          <t>SUP-07</t>
        </is>
      </c>
      <c r="D4443" t="inlineStr">
        <is>
          <t>MRO</t>
        </is>
      </c>
      <c r="E4443" t="inlineStr">
        <is>
          <t>MRO-05</t>
        </is>
      </c>
      <c r="F4443" s="17" t="n">
        <v>46231</v>
      </c>
      <c r="G4443" s="17" t="n">
        <v>46241</v>
      </c>
      <c r="H4443" s="18" t="n">
        <v>75</v>
      </c>
      <c r="I4443" s="19" t="n">
        <v>35.79</v>
      </c>
      <c r="J4443" s="19" t="n">
        <v>36</v>
      </c>
      <c r="K4443" s="20" t="n">
        <v>0</v>
      </c>
      <c r="L4443" s="20" t="n">
        <v>0</v>
      </c>
      <c r="M4443" s="18" t="n">
        <v>75</v>
      </c>
      <c r="N4443" s="18" t="n">
        <v>75</v>
      </c>
      <c r="O4443" s="18" t="n">
        <v>0</v>
      </c>
      <c r="P4443" s="17" t="n">
        <v>46237</v>
      </c>
      <c r="Q4443" s="17" t="n">
        <v>46237</v>
      </c>
      <c r="R4443" s="17" t="n">
        <v>46237</v>
      </c>
      <c r="S4443" s="19">
        <f>H4443*I4443</f>
        <v/>
      </c>
      <c r="T4443" s="19">
        <f>H4443*J4443</f>
        <v/>
      </c>
      <c r="U4443">
        <f>IF(AND(K4443=0,G4443&lt;=Assumptions!$C$6),1,0)</f>
        <v/>
      </c>
      <c r="V4443">
        <f>IF(U4443=1,IF(M4443&gt;0,IF(P4443&lt;=G4443+Assumptions!$C$7,1,0),0),0)</f>
        <v/>
      </c>
      <c r="W4443">
        <f>IF(AND(U4443=1,M4443&gt;=H4443*(1-Assumptions!$C$8)),1,0)</f>
        <v/>
      </c>
      <c r="X4443">
        <f>IF(AND(U4443=1,N4443&gt;=H4443*(1-Assumptions!$C$8)),1,0)</f>
        <v/>
      </c>
      <c r="Y4443">
        <f>IF(ISNUMBER(Q4443),1,0)</f>
        <v/>
      </c>
      <c r="Z4443">
        <f>IF(AND(K4443=0,L4443=0,Y4443=0),1,0)</f>
        <v/>
      </c>
      <c r="AA4443">
        <f>IF(AND(Z4443=1,G4443&lt;Assumptions!$C$6),1,0)</f>
        <v/>
      </c>
      <c r="AB4443">
        <f>IF(U4443=0,"",IF(Y4443=1,MAX(0,Q4443-G4443),IF(L4443=1,MAX(0,R4443-G4443),MAX(0,Assumptions!$C$6-G4443))))</f>
        <v/>
      </c>
      <c r="AC4443">
        <f>IF(Y4443=1,Q4443-F4443,"")</f>
        <v/>
      </c>
      <c r="AD4443">
        <f>IF(Y4443=1,AC4443^2,"")</f>
        <v/>
      </c>
      <c r="AE4443" s="19">
        <f>IF(Z4443=1,(H4443-M4443)*I4443,0)</f>
        <v/>
      </c>
      <c r="AF4443">
        <f>IF(G4443&lt;EDATE(Assumptions!$C$6,-12)+1,"prior_12m","last_12m")</f>
        <v/>
      </c>
      <c r="AG4443" s="21">
        <f>DATE(YEAR(G4443),MONTH(G4443),1)</f>
        <v/>
      </c>
    </row>
    <row r="4444">
      <c r="A4444" t="inlineStr">
        <is>
          <t>SPO-02376-1</t>
        </is>
      </c>
      <c r="B4444" t="inlineStr">
        <is>
          <t>SPO-02376</t>
        </is>
      </c>
      <c r="C4444" t="inlineStr">
        <is>
          <t>SUP-01</t>
        </is>
      </c>
      <c r="D4444" t="inlineStr">
        <is>
          <t>ELEC</t>
        </is>
      </c>
      <c r="E4444" t="inlineStr">
        <is>
          <t>ELEC-06</t>
        </is>
      </c>
      <c r="F4444" s="17" t="n">
        <v>46231</v>
      </c>
      <c r="G4444" s="17" t="n">
        <v>46249</v>
      </c>
      <c r="H4444" s="18" t="n">
        <v>40</v>
      </c>
      <c r="I4444" s="19" t="n">
        <v>144.3</v>
      </c>
      <c r="J4444" s="19" t="n">
        <v>145</v>
      </c>
      <c r="K4444" s="20" t="n">
        <v>0</v>
      </c>
      <c r="L4444" s="20" t="n">
        <v>0</v>
      </c>
      <c r="M4444" s="18" t="n">
        <v>40</v>
      </c>
      <c r="N4444" s="18" t="n">
        <v>40</v>
      </c>
      <c r="O4444" s="18" t="n">
        <v>0</v>
      </c>
      <c r="P4444" s="17" t="n">
        <v>46241</v>
      </c>
      <c r="Q4444" s="17" t="n">
        <v>46241</v>
      </c>
      <c r="R4444" s="17" t="n">
        <v>46241</v>
      </c>
      <c r="S4444" s="19">
        <f>H4444*I4444</f>
        <v/>
      </c>
      <c r="T4444" s="19">
        <f>H4444*J4444</f>
        <v/>
      </c>
      <c r="U4444">
        <f>IF(AND(K4444=0,G4444&lt;=Assumptions!$C$6),1,0)</f>
        <v/>
      </c>
      <c r="V4444">
        <f>IF(U4444=1,IF(M4444&gt;0,IF(P4444&lt;=G4444+Assumptions!$C$7,1,0),0),0)</f>
        <v/>
      </c>
      <c r="W4444">
        <f>IF(AND(U4444=1,M4444&gt;=H4444*(1-Assumptions!$C$8)),1,0)</f>
        <v/>
      </c>
      <c r="X4444">
        <f>IF(AND(U4444=1,N4444&gt;=H4444*(1-Assumptions!$C$8)),1,0)</f>
        <v/>
      </c>
      <c r="Y4444">
        <f>IF(ISNUMBER(Q4444),1,0)</f>
        <v/>
      </c>
      <c r="Z4444">
        <f>IF(AND(K4444=0,L4444=0,Y4444=0),1,0)</f>
        <v/>
      </c>
      <c r="AA4444">
        <f>IF(AND(Z4444=1,G4444&lt;Assumptions!$C$6),1,0)</f>
        <v/>
      </c>
      <c r="AB4444">
        <f>IF(U4444=0,"",IF(Y4444=1,MAX(0,Q4444-G4444),IF(L4444=1,MAX(0,R4444-G4444),MAX(0,Assumptions!$C$6-G4444))))</f>
        <v/>
      </c>
      <c r="AC4444">
        <f>IF(Y4444=1,Q4444-F4444,"")</f>
        <v/>
      </c>
      <c r="AD4444">
        <f>IF(Y4444=1,AC4444^2,"")</f>
        <v/>
      </c>
      <c r="AE4444" s="19">
        <f>IF(Z4444=1,(H4444-M4444)*I4444,0)</f>
        <v/>
      </c>
      <c r="AF4444">
        <f>IF(G4444&lt;EDATE(Assumptions!$C$6,-12)+1,"prior_12m","last_12m")</f>
        <v/>
      </c>
      <c r="AG4444" s="21">
        <f>DATE(YEAR(G4444),MONTH(G4444),1)</f>
        <v/>
      </c>
    </row>
    <row r="4445">
      <c r="A4445" t="inlineStr">
        <is>
          <t>SPO-02377-1</t>
        </is>
      </c>
      <c r="B4445" t="inlineStr">
        <is>
          <t>SPO-02377</t>
        </is>
      </c>
      <c r="C4445" t="inlineStr">
        <is>
          <t>SUP-02</t>
        </is>
      </c>
      <c r="D4445" t="inlineStr">
        <is>
          <t>ELEC</t>
        </is>
      </c>
      <c r="E4445" t="inlineStr">
        <is>
          <t>ELEC-02</t>
        </is>
      </c>
      <c r="F4445" s="17" t="n">
        <v>46232</v>
      </c>
      <c r="G4445" s="17" t="n">
        <v>46248</v>
      </c>
      <c r="H4445" s="18" t="n">
        <v>386</v>
      </c>
      <c r="I4445" s="19" t="n">
        <v>4.39</v>
      </c>
      <c r="J4445" s="19" t="n">
        <v>4.2</v>
      </c>
      <c r="K4445" s="20" t="n">
        <v>0</v>
      </c>
      <c r="L4445" s="20" t="n">
        <v>0</v>
      </c>
      <c r="M4445" s="18" t="n">
        <v>386</v>
      </c>
      <c r="N4445" s="18" t="n">
        <v>386</v>
      </c>
      <c r="O4445" s="18" t="n">
        <v>0</v>
      </c>
      <c r="P4445" s="17" t="n">
        <v>46245</v>
      </c>
      <c r="Q4445" s="17" t="n">
        <v>46245</v>
      </c>
      <c r="R4445" s="17" t="n">
        <v>46245</v>
      </c>
      <c r="S4445" s="19">
        <f>H4445*I4445</f>
        <v/>
      </c>
      <c r="T4445" s="19">
        <f>H4445*J4445</f>
        <v/>
      </c>
      <c r="U4445">
        <f>IF(AND(K4445=0,G4445&lt;=Assumptions!$C$6),1,0)</f>
        <v/>
      </c>
      <c r="V4445">
        <f>IF(U4445=1,IF(M4445&gt;0,IF(P4445&lt;=G4445+Assumptions!$C$7,1,0),0),0)</f>
        <v/>
      </c>
      <c r="W4445">
        <f>IF(AND(U4445=1,M4445&gt;=H4445*(1-Assumptions!$C$8)),1,0)</f>
        <v/>
      </c>
      <c r="X4445">
        <f>IF(AND(U4445=1,N4445&gt;=H4445*(1-Assumptions!$C$8)),1,0)</f>
        <v/>
      </c>
      <c r="Y4445">
        <f>IF(ISNUMBER(Q4445),1,0)</f>
        <v/>
      </c>
      <c r="Z4445">
        <f>IF(AND(K4445=0,L4445=0,Y4445=0),1,0)</f>
        <v/>
      </c>
      <c r="AA4445">
        <f>IF(AND(Z4445=1,G4445&lt;Assumptions!$C$6),1,0)</f>
        <v/>
      </c>
      <c r="AB4445">
        <f>IF(U4445=0,"",IF(Y4445=1,MAX(0,Q4445-G4445),IF(L4445=1,MAX(0,R4445-G4445),MAX(0,Assumptions!$C$6-G4445))))</f>
        <v/>
      </c>
      <c r="AC4445">
        <f>IF(Y4445=1,Q4445-F4445,"")</f>
        <v/>
      </c>
      <c r="AD4445">
        <f>IF(Y4445=1,AC4445^2,"")</f>
        <v/>
      </c>
      <c r="AE4445" s="19">
        <f>IF(Z4445=1,(H4445-M4445)*I4445,0)</f>
        <v/>
      </c>
      <c r="AF4445">
        <f>IF(G4445&lt;EDATE(Assumptions!$C$6,-12)+1,"prior_12m","last_12m")</f>
        <v/>
      </c>
      <c r="AG4445" s="21">
        <f>DATE(YEAR(G4445),MONTH(G4445),1)</f>
        <v/>
      </c>
    </row>
    <row r="4446">
      <c r="A4446" t="inlineStr">
        <is>
          <t>SPO-02377-2</t>
        </is>
      </c>
      <c r="B4446" t="inlineStr">
        <is>
          <t>SPO-02377</t>
        </is>
      </c>
      <c r="C4446" t="inlineStr">
        <is>
          <t>SUP-02</t>
        </is>
      </c>
      <c r="D4446" t="inlineStr">
        <is>
          <t>ELEC</t>
        </is>
      </c>
      <c r="E4446" t="inlineStr">
        <is>
          <t>ELEC-03</t>
        </is>
      </c>
      <c r="F4446" s="17" t="n">
        <v>46232</v>
      </c>
      <c r="G4446" s="17" t="n">
        <v>46248</v>
      </c>
      <c r="H4446" s="18" t="n">
        <v>28</v>
      </c>
      <c r="I4446" s="19" t="n">
        <v>97.67</v>
      </c>
      <c r="J4446" s="19" t="n">
        <v>96</v>
      </c>
      <c r="K4446" s="20" t="n">
        <v>0</v>
      </c>
      <c r="L4446" s="20" t="n">
        <v>0</v>
      </c>
      <c r="M4446" s="18" t="n">
        <v>28</v>
      </c>
      <c r="N4446" s="18" t="n">
        <v>28</v>
      </c>
      <c r="O4446" s="18" t="n">
        <v>0</v>
      </c>
      <c r="P4446" s="17" t="n">
        <v>46243</v>
      </c>
      <c r="Q4446" s="17" t="n">
        <v>46243</v>
      </c>
      <c r="R4446" s="17" t="n">
        <v>46243</v>
      </c>
      <c r="S4446" s="19">
        <f>H4446*I4446</f>
        <v/>
      </c>
      <c r="T4446" s="19">
        <f>H4446*J4446</f>
        <v/>
      </c>
      <c r="U4446">
        <f>IF(AND(K4446=0,G4446&lt;=Assumptions!$C$6),1,0)</f>
        <v/>
      </c>
      <c r="V4446">
        <f>IF(U4446=1,IF(M4446&gt;0,IF(P4446&lt;=G4446+Assumptions!$C$7,1,0),0),0)</f>
        <v/>
      </c>
      <c r="W4446">
        <f>IF(AND(U4446=1,M4446&gt;=H4446*(1-Assumptions!$C$8)),1,0)</f>
        <v/>
      </c>
      <c r="X4446">
        <f>IF(AND(U4446=1,N4446&gt;=H4446*(1-Assumptions!$C$8)),1,0)</f>
        <v/>
      </c>
      <c r="Y4446">
        <f>IF(ISNUMBER(Q4446),1,0)</f>
        <v/>
      </c>
      <c r="Z4446">
        <f>IF(AND(K4446=0,L4446=0,Y4446=0),1,0)</f>
        <v/>
      </c>
      <c r="AA4446">
        <f>IF(AND(Z4446=1,G4446&lt;Assumptions!$C$6),1,0)</f>
        <v/>
      </c>
      <c r="AB4446">
        <f>IF(U4446=0,"",IF(Y4446=1,MAX(0,Q4446-G4446),IF(L4446=1,MAX(0,R4446-G4446),MAX(0,Assumptions!$C$6-G4446))))</f>
        <v/>
      </c>
      <c r="AC4446">
        <f>IF(Y4446=1,Q4446-F4446,"")</f>
        <v/>
      </c>
      <c r="AD4446">
        <f>IF(Y4446=1,AC4446^2,"")</f>
        <v/>
      </c>
      <c r="AE4446" s="19">
        <f>IF(Z4446=1,(H4446-M4446)*I4446,0)</f>
        <v/>
      </c>
      <c r="AF4446">
        <f>IF(G4446&lt;EDATE(Assumptions!$C$6,-12)+1,"prior_12m","last_12m")</f>
        <v/>
      </c>
      <c r="AG4446" s="21">
        <f>DATE(YEAR(G4446),MONTH(G4446),1)</f>
        <v/>
      </c>
    </row>
    <row r="4447">
      <c r="A4447" t="inlineStr">
        <is>
          <t>SPO-02377-3</t>
        </is>
      </c>
      <c r="B4447" t="inlineStr">
        <is>
          <t>SPO-02377</t>
        </is>
      </c>
      <c r="C4447" t="inlineStr">
        <is>
          <t>SUP-02</t>
        </is>
      </c>
      <c r="D4447" t="inlineStr">
        <is>
          <t>ELEC</t>
        </is>
      </c>
      <c r="E4447" t="inlineStr">
        <is>
          <t>ELEC-08</t>
        </is>
      </c>
      <c r="F4447" s="17" t="n">
        <v>46232</v>
      </c>
      <c r="G4447" s="17" t="n">
        <v>46248</v>
      </c>
      <c r="H4447" s="18" t="n">
        <v>64</v>
      </c>
      <c r="I4447" s="19" t="n">
        <v>17.22</v>
      </c>
      <c r="J4447" s="19" t="n">
        <v>18</v>
      </c>
      <c r="K4447" s="20" t="n">
        <v>0</v>
      </c>
      <c r="L4447" s="20" t="n">
        <v>0</v>
      </c>
      <c r="M4447" s="18" t="n">
        <v>64</v>
      </c>
      <c r="N4447" s="18" t="n">
        <v>64</v>
      </c>
      <c r="O4447" s="18" t="n">
        <v>0</v>
      </c>
      <c r="P4447" s="17" t="n">
        <v>46244</v>
      </c>
      <c r="Q4447" s="17" t="n">
        <v>46244</v>
      </c>
      <c r="R4447" s="17" t="n">
        <v>46244</v>
      </c>
      <c r="S4447" s="19">
        <f>H4447*I4447</f>
        <v/>
      </c>
      <c r="T4447" s="19">
        <f>H4447*J4447</f>
        <v/>
      </c>
      <c r="U4447">
        <f>IF(AND(K4447=0,G4447&lt;=Assumptions!$C$6),1,0)</f>
        <v/>
      </c>
      <c r="V4447">
        <f>IF(U4447=1,IF(M4447&gt;0,IF(P4447&lt;=G4447+Assumptions!$C$7,1,0),0),0)</f>
        <v/>
      </c>
      <c r="W4447">
        <f>IF(AND(U4447=1,M4447&gt;=H4447*(1-Assumptions!$C$8)),1,0)</f>
        <v/>
      </c>
      <c r="X4447">
        <f>IF(AND(U4447=1,N4447&gt;=H4447*(1-Assumptions!$C$8)),1,0)</f>
        <v/>
      </c>
      <c r="Y4447">
        <f>IF(ISNUMBER(Q4447),1,0)</f>
        <v/>
      </c>
      <c r="Z4447">
        <f>IF(AND(K4447=0,L4447=0,Y4447=0),1,0)</f>
        <v/>
      </c>
      <c r="AA4447">
        <f>IF(AND(Z4447=1,G4447&lt;Assumptions!$C$6),1,0)</f>
        <v/>
      </c>
      <c r="AB4447">
        <f>IF(U4447=0,"",IF(Y4447=1,MAX(0,Q4447-G4447),IF(L4447=1,MAX(0,R4447-G4447),MAX(0,Assumptions!$C$6-G4447))))</f>
        <v/>
      </c>
      <c r="AC4447">
        <f>IF(Y4447=1,Q4447-F4447,"")</f>
        <v/>
      </c>
      <c r="AD4447">
        <f>IF(Y4447=1,AC4447^2,"")</f>
        <v/>
      </c>
      <c r="AE4447" s="19">
        <f>IF(Z4447=1,(H4447-M4447)*I4447,0)</f>
        <v/>
      </c>
      <c r="AF4447">
        <f>IF(G4447&lt;EDATE(Assumptions!$C$6,-12)+1,"prior_12m","last_12m")</f>
        <v/>
      </c>
      <c r="AG4447" s="21">
        <f>DATE(YEAR(G4447),MONTH(G4447),1)</f>
        <v/>
      </c>
    </row>
    <row r="4448">
      <c r="A4448" t="inlineStr">
        <is>
          <t>SPO-02377-4</t>
        </is>
      </c>
      <c r="B4448" t="inlineStr">
        <is>
          <t>SPO-02377</t>
        </is>
      </c>
      <c r="C4448" t="inlineStr">
        <is>
          <t>SUP-02</t>
        </is>
      </c>
      <c r="D4448" t="inlineStr">
        <is>
          <t>ELEC</t>
        </is>
      </c>
      <c r="E4448" t="inlineStr">
        <is>
          <t>ELEC-04</t>
        </is>
      </c>
      <c r="F4448" s="17" t="n">
        <v>46232</v>
      </c>
      <c r="G4448" s="17" t="n">
        <v>46248</v>
      </c>
      <c r="H4448" s="18" t="n">
        <v>14</v>
      </c>
      <c r="I4448" s="19" t="n">
        <v>68.42</v>
      </c>
      <c r="J4448" s="19" t="n">
        <v>72</v>
      </c>
      <c r="K4448" s="20" t="n">
        <v>0</v>
      </c>
      <c r="L4448" s="20" t="n">
        <v>0</v>
      </c>
      <c r="M4448" s="18" t="n">
        <v>14</v>
      </c>
      <c r="N4448" s="18" t="n">
        <v>14</v>
      </c>
      <c r="O4448" s="18" t="n">
        <v>0</v>
      </c>
      <c r="P4448" s="17" t="n">
        <v>46245</v>
      </c>
      <c r="Q4448" s="17" t="n">
        <v>46245</v>
      </c>
      <c r="R4448" s="17" t="n">
        <v>46245</v>
      </c>
      <c r="S4448" s="19">
        <f>H4448*I4448</f>
        <v/>
      </c>
      <c r="T4448" s="19">
        <f>H4448*J4448</f>
        <v/>
      </c>
      <c r="U4448">
        <f>IF(AND(K4448=0,G4448&lt;=Assumptions!$C$6),1,0)</f>
        <v/>
      </c>
      <c r="V4448">
        <f>IF(U4448=1,IF(M4448&gt;0,IF(P4448&lt;=G4448+Assumptions!$C$7,1,0),0),0)</f>
        <v/>
      </c>
      <c r="W4448">
        <f>IF(AND(U4448=1,M4448&gt;=H4448*(1-Assumptions!$C$8)),1,0)</f>
        <v/>
      </c>
      <c r="X4448">
        <f>IF(AND(U4448=1,N4448&gt;=H4448*(1-Assumptions!$C$8)),1,0)</f>
        <v/>
      </c>
      <c r="Y4448">
        <f>IF(ISNUMBER(Q4448),1,0)</f>
        <v/>
      </c>
      <c r="Z4448">
        <f>IF(AND(K4448=0,L4448=0,Y4448=0),1,0)</f>
        <v/>
      </c>
      <c r="AA4448">
        <f>IF(AND(Z4448=1,G4448&lt;Assumptions!$C$6),1,0)</f>
        <v/>
      </c>
      <c r="AB4448">
        <f>IF(U4448=0,"",IF(Y4448=1,MAX(0,Q4448-G4448),IF(L4448=1,MAX(0,R4448-G4448),MAX(0,Assumptions!$C$6-G4448))))</f>
        <v/>
      </c>
      <c r="AC4448">
        <f>IF(Y4448=1,Q4448-F4448,"")</f>
        <v/>
      </c>
      <c r="AD4448">
        <f>IF(Y4448=1,AC4448^2,"")</f>
        <v/>
      </c>
      <c r="AE4448" s="19">
        <f>IF(Z4448=1,(H4448-M4448)*I4448,0)</f>
        <v/>
      </c>
      <c r="AF4448">
        <f>IF(G4448&lt;EDATE(Assumptions!$C$6,-12)+1,"prior_12m","last_12m")</f>
        <v/>
      </c>
      <c r="AG4448" s="21">
        <f>DATE(YEAR(G4448),MONTH(G4448),1)</f>
        <v/>
      </c>
    </row>
    <row r="4449">
      <c r="A4449" t="inlineStr">
        <is>
          <t>SPO-02378-1</t>
        </is>
      </c>
      <c r="B4449" t="inlineStr">
        <is>
          <t>SPO-02378</t>
        </is>
      </c>
      <c r="C4449" t="inlineStr">
        <is>
          <t>SUP-05</t>
        </is>
      </c>
      <c r="D4449" t="inlineStr">
        <is>
          <t>FLEET</t>
        </is>
      </c>
      <c r="E4449" t="inlineStr">
        <is>
          <t>FLEET-07</t>
        </is>
      </c>
      <c r="F4449" s="17" t="n">
        <v>46232</v>
      </c>
      <c r="G4449" s="17" t="n">
        <v>46246</v>
      </c>
      <c r="H4449" s="18" t="n">
        <v>7</v>
      </c>
      <c r="I4449" s="19" t="n">
        <v>126.63</v>
      </c>
      <c r="J4449" s="19" t="n">
        <v>118</v>
      </c>
      <c r="K4449" s="20" t="n">
        <v>0</v>
      </c>
      <c r="L4449" s="20" t="n">
        <v>0</v>
      </c>
      <c r="M4449" s="18" t="n">
        <v>7</v>
      </c>
      <c r="N4449" s="18" t="n">
        <v>7</v>
      </c>
      <c r="O4449" s="18" t="n">
        <v>0</v>
      </c>
      <c r="P4449" s="17" t="n">
        <v>46240</v>
      </c>
      <c r="Q4449" s="17" t="n">
        <v>46240</v>
      </c>
      <c r="R4449" s="17" t="n">
        <v>46240</v>
      </c>
      <c r="S4449" s="19">
        <f>H4449*I4449</f>
        <v/>
      </c>
      <c r="T4449" s="19">
        <f>H4449*J4449</f>
        <v/>
      </c>
      <c r="U4449">
        <f>IF(AND(K4449=0,G4449&lt;=Assumptions!$C$6),1,0)</f>
        <v/>
      </c>
      <c r="V4449">
        <f>IF(U4449=1,IF(M4449&gt;0,IF(P4449&lt;=G4449+Assumptions!$C$7,1,0),0),0)</f>
        <v/>
      </c>
      <c r="W4449">
        <f>IF(AND(U4449=1,M4449&gt;=H4449*(1-Assumptions!$C$8)),1,0)</f>
        <v/>
      </c>
      <c r="X4449">
        <f>IF(AND(U4449=1,N4449&gt;=H4449*(1-Assumptions!$C$8)),1,0)</f>
        <v/>
      </c>
      <c r="Y4449">
        <f>IF(ISNUMBER(Q4449),1,0)</f>
        <v/>
      </c>
      <c r="Z4449">
        <f>IF(AND(K4449=0,L4449=0,Y4449=0),1,0)</f>
        <v/>
      </c>
      <c r="AA4449">
        <f>IF(AND(Z4449=1,G4449&lt;Assumptions!$C$6),1,0)</f>
        <v/>
      </c>
      <c r="AB4449">
        <f>IF(U4449=0,"",IF(Y4449=1,MAX(0,Q4449-G4449),IF(L4449=1,MAX(0,R4449-G4449),MAX(0,Assumptions!$C$6-G4449))))</f>
        <v/>
      </c>
      <c r="AC4449">
        <f>IF(Y4449=1,Q4449-F4449,"")</f>
        <v/>
      </c>
      <c r="AD4449">
        <f>IF(Y4449=1,AC4449^2,"")</f>
        <v/>
      </c>
      <c r="AE4449" s="19">
        <f>IF(Z4449=1,(H4449-M4449)*I4449,0)</f>
        <v/>
      </c>
      <c r="AF4449">
        <f>IF(G4449&lt;EDATE(Assumptions!$C$6,-12)+1,"prior_12m","last_12m")</f>
        <v/>
      </c>
      <c r="AG4449" s="21">
        <f>DATE(YEAR(G4449),MONTH(G4449),1)</f>
        <v/>
      </c>
    </row>
    <row r="4450">
      <c r="A4450" t="inlineStr">
        <is>
          <t>SPO-02378-2</t>
        </is>
      </c>
      <c r="B4450" t="inlineStr">
        <is>
          <t>SPO-02378</t>
        </is>
      </c>
      <c r="C4450" t="inlineStr">
        <is>
          <t>SUP-05</t>
        </is>
      </c>
      <c r="D4450" t="inlineStr">
        <is>
          <t>FLEET</t>
        </is>
      </c>
      <c r="E4450" t="inlineStr">
        <is>
          <t>FLEET-08</t>
        </is>
      </c>
      <c r="F4450" s="17" t="n">
        <v>46232</v>
      </c>
      <c r="G4450" s="17" t="n">
        <v>46246</v>
      </c>
      <c r="H4450" s="18" t="n">
        <v>97</v>
      </c>
      <c r="I4450" s="19" t="n">
        <v>6.43</v>
      </c>
      <c r="J4450" s="19" t="n">
        <v>6.4</v>
      </c>
      <c r="K4450" s="20" t="n">
        <v>0</v>
      </c>
      <c r="L4450" s="20" t="n">
        <v>0</v>
      </c>
      <c r="M4450" s="18" t="n">
        <v>97</v>
      </c>
      <c r="N4450" s="18" t="n">
        <v>97</v>
      </c>
      <c r="O4450" s="18" t="n">
        <v>0</v>
      </c>
      <c r="P4450" s="17" t="n">
        <v>46242</v>
      </c>
      <c r="Q4450" s="17" t="n">
        <v>46242</v>
      </c>
      <c r="R4450" s="17" t="n">
        <v>46242</v>
      </c>
      <c r="S4450" s="19">
        <f>H4450*I4450</f>
        <v/>
      </c>
      <c r="T4450" s="19">
        <f>H4450*J4450</f>
        <v/>
      </c>
      <c r="U4450">
        <f>IF(AND(K4450=0,G4450&lt;=Assumptions!$C$6),1,0)</f>
        <v/>
      </c>
      <c r="V4450">
        <f>IF(U4450=1,IF(M4450&gt;0,IF(P4450&lt;=G4450+Assumptions!$C$7,1,0),0),0)</f>
        <v/>
      </c>
      <c r="W4450">
        <f>IF(AND(U4450=1,M4450&gt;=H4450*(1-Assumptions!$C$8)),1,0)</f>
        <v/>
      </c>
      <c r="X4450">
        <f>IF(AND(U4450=1,N4450&gt;=H4450*(1-Assumptions!$C$8)),1,0)</f>
        <v/>
      </c>
      <c r="Y4450">
        <f>IF(ISNUMBER(Q4450),1,0)</f>
        <v/>
      </c>
      <c r="Z4450">
        <f>IF(AND(K4450=0,L4450=0,Y4450=0),1,0)</f>
        <v/>
      </c>
      <c r="AA4450">
        <f>IF(AND(Z4450=1,G4450&lt;Assumptions!$C$6),1,0)</f>
        <v/>
      </c>
      <c r="AB4450">
        <f>IF(U4450=0,"",IF(Y4450=1,MAX(0,Q4450-G4450),IF(L4450=1,MAX(0,R4450-G4450),MAX(0,Assumptions!$C$6-G4450))))</f>
        <v/>
      </c>
      <c r="AC4450">
        <f>IF(Y4450=1,Q4450-F4450,"")</f>
        <v/>
      </c>
      <c r="AD4450">
        <f>IF(Y4450=1,AC4450^2,"")</f>
        <v/>
      </c>
      <c r="AE4450" s="19">
        <f>IF(Z4450=1,(H4450-M4450)*I4450,0)</f>
        <v/>
      </c>
      <c r="AF4450">
        <f>IF(G4450&lt;EDATE(Assumptions!$C$6,-12)+1,"prior_12m","last_12m")</f>
        <v/>
      </c>
      <c r="AG4450" s="21">
        <f>DATE(YEAR(G4450),MONTH(G4450),1)</f>
        <v/>
      </c>
    </row>
    <row r="4451">
      <c r="A4451" t="inlineStr">
        <is>
          <t>SPO-02378-3</t>
        </is>
      </c>
      <c r="B4451" t="inlineStr">
        <is>
          <t>SPO-02378</t>
        </is>
      </c>
      <c r="C4451" t="inlineStr">
        <is>
          <t>SUP-05</t>
        </is>
      </c>
      <c r="D4451" t="inlineStr">
        <is>
          <t>FLEET</t>
        </is>
      </c>
      <c r="E4451" t="inlineStr">
        <is>
          <t>FLEET-03</t>
        </is>
      </c>
      <c r="F4451" s="17" t="n">
        <v>46232</v>
      </c>
      <c r="G4451" s="17" t="n">
        <v>46246</v>
      </c>
      <c r="H4451" s="18" t="n">
        <v>37</v>
      </c>
      <c r="I4451" s="19" t="n">
        <v>21.62</v>
      </c>
      <c r="J4451" s="19" t="n">
        <v>21</v>
      </c>
      <c r="K4451" s="20" t="n">
        <v>0</v>
      </c>
      <c r="L4451" s="20" t="n">
        <v>0</v>
      </c>
      <c r="M4451" s="18" t="n">
        <v>37</v>
      </c>
      <c r="N4451" s="18" t="n">
        <v>37</v>
      </c>
      <c r="O4451" s="18" t="n">
        <v>0</v>
      </c>
      <c r="P4451" s="17" t="n">
        <v>46245</v>
      </c>
      <c r="Q4451" s="17" t="n">
        <v>46245</v>
      </c>
      <c r="R4451" s="17" t="n">
        <v>46245</v>
      </c>
      <c r="S4451" s="19">
        <f>H4451*I4451</f>
        <v/>
      </c>
      <c r="T4451" s="19">
        <f>H4451*J4451</f>
        <v/>
      </c>
      <c r="U4451">
        <f>IF(AND(K4451=0,G4451&lt;=Assumptions!$C$6),1,0)</f>
        <v/>
      </c>
      <c r="V4451">
        <f>IF(U4451=1,IF(M4451&gt;0,IF(P4451&lt;=G4451+Assumptions!$C$7,1,0),0),0)</f>
        <v/>
      </c>
      <c r="W4451">
        <f>IF(AND(U4451=1,M4451&gt;=H4451*(1-Assumptions!$C$8)),1,0)</f>
        <v/>
      </c>
      <c r="X4451">
        <f>IF(AND(U4451=1,N4451&gt;=H4451*(1-Assumptions!$C$8)),1,0)</f>
        <v/>
      </c>
      <c r="Y4451">
        <f>IF(ISNUMBER(Q4451),1,0)</f>
        <v/>
      </c>
      <c r="Z4451">
        <f>IF(AND(K4451=0,L4451=0,Y4451=0),1,0)</f>
        <v/>
      </c>
      <c r="AA4451">
        <f>IF(AND(Z4451=1,G4451&lt;Assumptions!$C$6),1,0)</f>
        <v/>
      </c>
      <c r="AB4451">
        <f>IF(U4451=0,"",IF(Y4451=1,MAX(0,Q4451-G4451),IF(L4451=1,MAX(0,R4451-G4451),MAX(0,Assumptions!$C$6-G4451))))</f>
        <v/>
      </c>
      <c r="AC4451">
        <f>IF(Y4451=1,Q4451-F4451,"")</f>
        <v/>
      </c>
      <c r="AD4451">
        <f>IF(Y4451=1,AC4451^2,"")</f>
        <v/>
      </c>
      <c r="AE4451" s="19">
        <f>IF(Z4451=1,(H4451-M4451)*I4451,0)</f>
        <v/>
      </c>
      <c r="AF4451">
        <f>IF(G4451&lt;EDATE(Assumptions!$C$6,-12)+1,"prior_12m","last_12m")</f>
        <v/>
      </c>
      <c r="AG4451" s="21">
        <f>DATE(YEAR(G4451),MONTH(G4451),1)</f>
        <v/>
      </c>
    </row>
    <row r="4452">
      <c r="A4452" t="inlineStr">
        <is>
          <t>SPO-02379-1</t>
        </is>
      </c>
      <c r="B4452" t="inlineStr">
        <is>
          <t>SPO-02379</t>
        </is>
      </c>
      <c r="C4452" t="inlineStr">
        <is>
          <t>SUP-08</t>
        </is>
      </c>
      <c r="D4452" t="inlineStr">
        <is>
          <t>PPE</t>
        </is>
      </c>
      <c r="E4452" t="inlineStr">
        <is>
          <t>PPE-04</t>
        </is>
      </c>
      <c r="F4452" s="17" t="n">
        <v>46232</v>
      </c>
      <c r="G4452" s="17" t="n">
        <v>46243</v>
      </c>
      <c r="H4452" s="18" t="n">
        <v>70</v>
      </c>
      <c r="I4452" s="19" t="n">
        <v>26.53</v>
      </c>
      <c r="J4452" s="19" t="n">
        <v>26</v>
      </c>
      <c r="K4452" s="20" t="n">
        <v>0</v>
      </c>
      <c r="L4452" s="20" t="n">
        <v>0</v>
      </c>
      <c r="M4452" s="18" t="n">
        <v>70</v>
      </c>
      <c r="N4452" s="18" t="n">
        <v>70</v>
      </c>
      <c r="O4452" s="18" t="n">
        <v>0</v>
      </c>
      <c r="P4452" s="17" t="n">
        <v>46237</v>
      </c>
      <c r="Q4452" s="17" t="n">
        <v>46237</v>
      </c>
      <c r="R4452" s="17" t="n">
        <v>46237</v>
      </c>
      <c r="S4452" s="19">
        <f>H4452*I4452</f>
        <v/>
      </c>
      <c r="T4452" s="19">
        <f>H4452*J4452</f>
        <v/>
      </c>
      <c r="U4452">
        <f>IF(AND(K4452=0,G4452&lt;=Assumptions!$C$6),1,0)</f>
        <v/>
      </c>
      <c r="V4452">
        <f>IF(U4452=1,IF(M4452&gt;0,IF(P4452&lt;=G4452+Assumptions!$C$7,1,0),0),0)</f>
        <v/>
      </c>
      <c r="W4452">
        <f>IF(AND(U4452=1,M4452&gt;=H4452*(1-Assumptions!$C$8)),1,0)</f>
        <v/>
      </c>
      <c r="X4452">
        <f>IF(AND(U4452=1,N4452&gt;=H4452*(1-Assumptions!$C$8)),1,0)</f>
        <v/>
      </c>
      <c r="Y4452">
        <f>IF(ISNUMBER(Q4452),1,0)</f>
        <v/>
      </c>
      <c r="Z4452">
        <f>IF(AND(K4452=0,L4452=0,Y4452=0),1,0)</f>
        <v/>
      </c>
      <c r="AA4452">
        <f>IF(AND(Z4452=1,G4452&lt;Assumptions!$C$6),1,0)</f>
        <v/>
      </c>
      <c r="AB4452">
        <f>IF(U4452=0,"",IF(Y4452=1,MAX(0,Q4452-G4452),IF(L4452=1,MAX(0,R4452-G4452),MAX(0,Assumptions!$C$6-G4452))))</f>
        <v/>
      </c>
      <c r="AC4452">
        <f>IF(Y4452=1,Q4452-F4452,"")</f>
        <v/>
      </c>
      <c r="AD4452">
        <f>IF(Y4452=1,AC4452^2,"")</f>
        <v/>
      </c>
      <c r="AE4452" s="19">
        <f>IF(Z4452=1,(H4452-M4452)*I4452,0)</f>
        <v/>
      </c>
      <c r="AF4452">
        <f>IF(G4452&lt;EDATE(Assumptions!$C$6,-12)+1,"prior_12m","last_12m")</f>
        <v/>
      </c>
      <c r="AG4452" s="21">
        <f>DATE(YEAR(G4452),MONTH(G4452),1)</f>
        <v/>
      </c>
    </row>
    <row r="4453">
      <c r="A4453" t="inlineStr">
        <is>
          <t>SPO-02379-2</t>
        </is>
      </c>
      <c r="B4453" t="inlineStr">
        <is>
          <t>SPO-02379</t>
        </is>
      </c>
      <c r="C4453" t="inlineStr">
        <is>
          <t>SUP-08</t>
        </is>
      </c>
      <c r="D4453" t="inlineStr">
        <is>
          <t>PPE</t>
        </is>
      </c>
      <c r="E4453" t="inlineStr">
        <is>
          <t>PPE-06</t>
        </is>
      </c>
      <c r="F4453" s="17" t="n">
        <v>46232</v>
      </c>
      <c r="G4453" s="17" t="n">
        <v>46243</v>
      </c>
      <c r="H4453" s="18" t="n">
        <v>13</v>
      </c>
      <c r="I4453" s="19" t="n">
        <v>118.03</v>
      </c>
      <c r="J4453" s="19" t="n">
        <v>115</v>
      </c>
      <c r="K4453" s="20" t="n">
        <v>0</v>
      </c>
      <c r="L4453" s="20" t="n">
        <v>0</v>
      </c>
      <c r="M4453" s="18" t="n">
        <v>13</v>
      </c>
      <c r="N4453" s="18" t="n">
        <v>13</v>
      </c>
      <c r="O4453" s="18" t="n">
        <v>0</v>
      </c>
      <c r="P4453" s="17" t="n">
        <v>46240</v>
      </c>
      <c r="Q4453" s="17" t="n">
        <v>46240</v>
      </c>
      <c r="R4453" s="17" t="n">
        <v>46240</v>
      </c>
      <c r="S4453" s="19">
        <f>H4453*I4453</f>
        <v/>
      </c>
      <c r="T4453" s="19">
        <f>H4453*J4453</f>
        <v/>
      </c>
      <c r="U4453">
        <f>IF(AND(K4453=0,G4453&lt;=Assumptions!$C$6),1,0)</f>
        <v/>
      </c>
      <c r="V4453">
        <f>IF(U4453=1,IF(M4453&gt;0,IF(P4453&lt;=G4453+Assumptions!$C$7,1,0),0),0)</f>
        <v/>
      </c>
      <c r="W4453">
        <f>IF(AND(U4453=1,M4453&gt;=H4453*(1-Assumptions!$C$8)),1,0)</f>
        <v/>
      </c>
      <c r="X4453">
        <f>IF(AND(U4453=1,N4453&gt;=H4453*(1-Assumptions!$C$8)),1,0)</f>
        <v/>
      </c>
      <c r="Y4453">
        <f>IF(ISNUMBER(Q4453),1,0)</f>
        <v/>
      </c>
      <c r="Z4453">
        <f>IF(AND(K4453=0,L4453=0,Y4453=0),1,0)</f>
        <v/>
      </c>
      <c r="AA4453">
        <f>IF(AND(Z4453=1,G4453&lt;Assumptions!$C$6),1,0)</f>
        <v/>
      </c>
      <c r="AB4453">
        <f>IF(U4453=0,"",IF(Y4453=1,MAX(0,Q4453-G4453),IF(L4453=1,MAX(0,R4453-G4453),MAX(0,Assumptions!$C$6-G4453))))</f>
        <v/>
      </c>
      <c r="AC4453">
        <f>IF(Y4453=1,Q4453-F4453,"")</f>
        <v/>
      </c>
      <c r="AD4453">
        <f>IF(Y4453=1,AC4453^2,"")</f>
        <v/>
      </c>
      <c r="AE4453" s="19">
        <f>IF(Z4453=1,(H4453-M4453)*I4453,0)</f>
        <v/>
      </c>
      <c r="AF4453">
        <f>IF(G4453&lt;EDATE(Assumptions!$C$6,-12)+1,"prior_12m","last_12m")</f>
        <v/>
      </c>
      <c r="AG4453" s="21">
        <f>DATE(YEAR(G4453),MONTH(G4453),1)</f>
        <v/>
      </c>
    </row>
    <row r="4454">
      <c r="A4454" t="inlineStr">
        <is>
          <t>SPO-02379-3</t>
        </is>
      </c>
      <c r="B4454" t="inlineStr">
        <is>
          <t>SPO-02379</t>
        </is>
      </c>
      <c r="C4454" t="inlineStr">
        <is>
          <t>SUP-08</t>
        </is>
      </c>
      <c r="D4454" t="inlineStr">
        <is>
          <t>PPE</t>
        </is>
      </c>
      <c r="E4454" t="inlineStr">
        <is>
          <t>PPE-08</t>
        </is>
      </c>
      <c r="F4454" s="17" t="n">
        <v>46232</v>
      </c>
      <c r="G4454" s="17" t="n">
        <v>46243</v>
      </c>
      <c r="H4454" s="18" t="n">
        <v>33</v>
      </c>
      <c r="I4454" s="19" t="n">
        <v>66.01000000000001</v>
      </c>
      <c r="J4454" s="19" t="n">
        <v>64</v>
      </c>
      <c r="K4454" s="20" t="n">
        <v>0</v>
      </c>
      <c r="L4454" s="20" t="n">
        <v>0</v>
      </c>
      <c r="M4454" s="18" t="n">
        <v>33</v>
      </c>
      <c r="N4454" s="18" t="n">
        <v>0</v>
      </c>
      <c r="O4454" s="18" t="n">
        <v>0</v>
      </c>
      <c r="P4454" s="17" t="n">
        <v>46244</v>
      </c>
      <c r="Q4454" s="17" t="n">
        <v>46244</v>
      </c>
      <c r="R4454" s="17" t="n">
        <v>46244</v>
      </c>
      <c r="S4454" s="19">
        <f>H4454*I4454</f>
        <v/>
      </c>
      <c r="T4454" s="19">
        <f>H4454*J4454</f>
        <v/>
      </c>
      <c r="U4454">
        <f>IF(AND(K4454=0,G4454&lt;=Assumptions!$C$6),1,0)</f>
        <v/>
      </c>
      <c r="V4454">
        <f>IF(U4454=1,IF(M4454&gt;0,IF(P4454&lt;=G4454+Assumptions!$C$7,1,0),0),0)</f>
        <v/>
      </c>
      <c r="W4454">
        <f>IF(AND(U4454=1,M4454&gt;=H4454*(1-Assumptions!$C$8)),1,0)</f>
        <v/>
      </c>
      <c r="X4454">
        <f>IF(AND(U4454=1,N4454&gt;=H4454*(1-Assumptions!$C$8)),1,0)</f>
        <v/>
      </c>
      <c r="Y4454">
        <f>IF(ISNUMBER(Q4454),1,0)</f>
        <v/>
      </c>
      <c r="Z4454">
        <f>IF(AND(K4454=0,L4454=0,Y4454=0),1,0)</f>
        <v/>
      </c>
      <c r="AA4454">
        <f>IF(AND(Z4454=1,G4454&lt;Assumptions!$C$6),1,0)</f>
        <v/>
      </c>
      <c r="AB4454">
        <f>IF(U4454=0,"",IF(Y4454=1,MAX(0,Q4454-G4454),IF(L4454=1,MAX(0,R4454-G4454),MAX(0,Assumptions!$C$6-G4454))))</f>
        <v/>
      </c>
      <c r="AC4454">
        <f>IF(Y4454=1,Q4454-F4454,"")</f>
        <v/>
      </c>
      <c r="AD4454">
        <f>IF(Y4454=1,AC4454^2,"")</f>
        <v/>
      </c>
      <c r="AE4454" s="19">
        <f>IF(Z4454=1,(H4454-M4454)*I4454,0)</f>
        <v/>
      </c>
      <c r="AF4454">
        <f>IF(G4454&lt;EDATE(Assumptions!$C$6,-12)+1,"prior_12m","last_12m")</f>
        <v/>
      </c>
      <c r="AG4454" s="21">
        <f>DATE(YEAR(G4454),MONTH(G4454),1)</f>
        <v/>
      </c>
    </row>
    <row r="4455">
      <c r="A4455" t="inlineStr">
        <is>
          <t>SPO-02380-1</t>
        </is>
      </c>
      <c r="B4455" t="inlineStr">
        <is>
          <t>SPO-02380</t>
        </is>
      </c>
      <c r="C4455" t="inlineStr">
        <is>
          <t>SUP-05</t>
        </is>
      </c>
      <c r="D4455" t="inlineStr">
        <is>
          <t>FLEET</t>
        </is>
      </c>
      <c r="E4455" t="inlineStr">
        <is>
          <t>FLEET-05</t>
        </is>
      </c>
      <c r="F4455" s="17" t="n">
        <v>46232</v>
      </c>
      <c r="G4455" s="17" t="n">
        <v>46246</v>
      </c>
      <c r="H4455" s="18" t="n">
        <v>7</v>
      </c>
      <c r="I4455" s="19" t="n">
        <v>164.14</v>
      </c>
      <c r="J4455" s="19" t="n">
        <v>168</v>
      </c>
      <c r="K4455" s="20" t="n">
        <v>0</v>
      </c>
      <c r="L4455" s="20" t="n">
        <v>0</v>
      </c>
      <c r="M4455" s="18" t="n">
        <v>7</v>
      </c>
      <c r="N4455" s="18" t="n">
        <v>7</v>
      </c>
      <c r="O4455" s="18" t="n">
        <v>0</v>
      </c>
      <c r="P4455" s="17" t="n">
        <v>46239</v>
      </c>
      <c r="Q4455" s="17" t="n">
        <v>46239</v>
      </c>
      <c r="R4455" s="17" t="n">
        <v>46239</v>
      </c>
      <c r="S4455" s="19">
        <f>H4455*I4455</f>
        <v/>
      </c>
      <c r="T4455" s="19">
        <f>H4455*J4455</f>
        <v/>
      </c>
      <c r="U4455">
        <f>IF(AND(K4455=0,G4455&lt;=Assumptions!$C$6),1,0)</f>
        <v/>
      </c>
      <c r="V4455">
        <f>IF(U4455=1,IF(M4455&gt;0,IF(P4455&lt;=G4455+Assumptions!$C$7,1,0),0),0)</f>
        <v/>
      </c>
      <c r="W4455">
        <f>IF(AND(U4455=1,M4455&gt;=H4455*(1-Assumptions!$C$8)),1,0)</f>
        <v/>
      </c>
      <c r="X4455">
        <f>IF(AND(U4455=1,N4455&gt;=H4455*(1-Assumptions!$C$8)),1,0)</f>
        <v/>
      </c>
      <c r="Y4455">
        <f>IF(ISNUMBER(Q4455),1,0)</f>
        <v/>
      </c>
      <c r="Z4455">
        <f>IF(AND(K4455=0,L4455=0,Y4455=0),1,0)</f>
        <v/>
      </c>
      <c r="AA4455">
        <f>IF(AND(Z4455=1,G4455&lt;Assumptions!$C$6),1,0)</f>
        <v/>
      </c>
      <c r="AB4455">
        <f>IF(U4455=0,"",IF(Y4455=1,MAX(0,Q4455-G4455),IF(L4455=1,MAX(0,R4455-G4455),MAX(0,Assumptions!$C$6-G4455))))</f>
        <v/>
      </c>
      <c r="AC4455">
        <f>IF(Y4455=1,Q4455-F4455,"")</f>
        <v/>
      </c>
      <c r="AD4455">
        <f>IF(Y4455=1,AC4455^2,"")</f>
        <v/>
      </c>
      <c r="AE4455" s="19">
        <f>IF(Z4455=1,(H4455-M4455)*I4455,0)</f>
        <v/>
      </c>
      <c r="AF4455">
        <f>IF(G4455&lt;EDATE(Assumptions!$C$6,-12)+1,"prior_12m","last_12m")</f>
        <v/>
      </c>
      <c r="AG4455" s="21">
        <f>DATE(YEAR(G4455),MONTH(G4455),1)</f>
        <v/>
      </c>
    </row>
    <row r="4456">
      <c r="A4456" t="inlineStr">
        <is>
          <t>SPO-02380-2</t>
        </is>
      </c>
      <c r="B4456" t="inlineStr">
        <is>
          <t>SPO-02380</t>
        </is>
      </c>
      <c r="C4456" t="inlineStr">
        <is>
          <t>SUP-05</t>
        </is>
      </c>
      <c r="D4456" t="inlineStr">
        <is>
          <t>FLEET</t>
        </is>
      </c>
      <c r="E4456" t="inlineStr">
        <is>
          <t>FLEET-01</t>
        </is>
      </c>
      <c r="F4456" s="17" t="n">
        <v>46232</v>
      </c>
      <c r="G4456" s="17" t="n">
        <v>46246</v>
      </c>
      <c r="H4456" s="18" t="n">
        <v>36</v>
      </c>
      <c r="I4456" s="19" t="n">
        <v>67.7</v>
      </c>
      <c r="J4456" s="19" t="n">
        <v>64</v>
      </c>
      <c r="K4456" s="20" t="n">
        <v>0</v>
      </c>
      <c r="L4456" s="20" t="n">
        <v>0</v>
      </c>
      <c r="M4456" s="18" t="n">
        <v>36</v>
      </c>
      <c r="N4456" s="18" t="n">
        <v>36</v>
      </c>
      <c r="O4456" s="18" t="n">
        <v>0</v>
      </c>
      <c r="P4456" s="17" t="n">
        <v>46243</v>
      </c>
      <c r="Q4456" s="17" t="n">
        <v>46243</v>
      </c>
      <c r="R4456" s="17" t="n">
        <v>46243</v>
      </c>
      <c r="S4456" s="19">
        <f>H4456*I4456</f>
        <v/>
      </c>
      <c r="T4456" s="19">
        <f>H4456*J4456</f>
        <v/>
      </c>
      <c r="U4456">
        <f>IF(AND(K4456=0,G4456&lt;=Assumptions!$C$6),1,0)</f>
        <v/>
      </c>
      <c r="V4456">
        <f>IF(U4456=1,IF(M4456&gt;0,IF(P4456&lt;=G4456+Assumptions!$C$7,1,0),0),0)</f>
        <v/>
      </c>
      <c r="W4456">
        <f>IF(AND(U4456=1,M4456&gt;=H4456*(1-Assumptions!$C$8)),1,0)</f>
        <v/>
      </c>
      <c r="X4456">
        <f>IF(AND(U4456=1,N4456&gt;=H4456*(1-Assumptions!$C$8)),1,0)</f>
        <v/>
      </c>
      <c r="Y4456">
        <f>IF(ISNUMBER(Q4456),1,0)</f>
        <v/>
      </c>
      <c r="Z4456">
        <f>IF(AND(K4456=0,L4456=0,Y4456=0),1,0)</f>
        <v/>
      </c>
      <c r="AA4456">
        <f>IF(AND(Z4456=1,G4456&lt;Assumptions!$C$6),1,0)</f>
        <v/>
      </c>
      <c r="AB4456">
        <f>IF(U4456=0,"",IF(Y4456=1,MAX(0,Q4456-G4456),IF(L4456=1,MAX(0,R4456-G4456),MAX(0,Assumptions!$C$6-G4456))))</f>
        <v/>
      </c>
      <c r="AC4456">
        <f>IF(Y4456=1,Q4456-F4456,"")</f>
        <v/>
      </c>
      <c r="AD4456">
        <f>IF(Y4456=1,AC4456^2,"")</f>
        <v/>
      </c>
      <c r="AE4456" s="19">
        <f>IF(Z4456=1,(H4456-M4456)*I4456,0)</f>
        <v/>
      </c>
      <c r="AF4456">
        <f>IF(G4456&lt;EDATE(Assumptions!$C$6,-12)+1,"prior_12m","last_12m")</f>
        <v/>
      </c>
      <c r="AG4456" s="21">
        <f>DATE(YEAR(G4456),MONTH(G4456),1)</f>
        <v/>
      </c>
    </row>
    <row r="4457">
      <c r="A4457" t="inlineStr">
        <is>
          <t>SPO-02380-3</t>
        </is>
      </c>
      <c r="B4457" t="inlineStr">
        <is>
          <t>SPO-02380</t>
        </is>
      </c>
      <c r="C4457" t="inlineStr">
        <is>
          <t>SUP-05</t>
        </is>
      </c>
      <c r="D4457" t="inlineStr">
        <is>
          <t>FLEET</t>
        </is>
      </c>
      <c r="E4457" t="inlineStr">
        <is>
          <t>FLEET-07</t>
        </is>
      </c>
      <c r="F4457" s="17" t="n">
        <v>46232</v>
      </c>
      <c r="G4457" s="17" t="n">
        <v>46246</v>
      </c>
      <c r="H4457" s="18" t="n">
        <v>14</v>
      </c>
      <c r="I4457" s="19" t="n">
        <v>121.97</v>
      </c>
      <c r="J4457" s="19" t="n">
        <v>118</v>
      </c>
      <c r="K4457" s="20" t="n">
        <v>1</v>
      </c>
      <c r="L4457" s="20" t="n">
        <v>0</v>
      </c>
      <c r="M4457" s="18" t="n">
        <v>0</v>
      </c>
      <c r="N4457" s="18" t="n">
        <v>0</v>
      </c>
      <c r="O4457" s="18" t="n">
        <v>0</v>
      </c>
      <c r="P4457" s="17" t="n"/>
      <c r="Q4457" s="17" t="n"/>
      <c r="R4457" s="17" t="n"/>
      <c r="S4457" s="19">
        <f>H4457*I4457</f>
        <v/>
      </c>
      <c r="T4457" s="19">
        <f>H4457*J4457</f>
        <v/>
      </c>
      <c r="U4457">
        <f>IF(AND(K4457=0,G4457&lt;=Assumptions!$C$6),1,0)</f>
        <v/>
      </c>
      <c r="V4457">
        <f>IF(U4457=1,IF(M4457&gt;0,IF(P4457&lt;=G4457+Assumptions!$C$7,1,0),0),0)</f>
        <v/>
      </c>
      <c r="W4457">
        <f>IF(AND(U4457=1,M4457&gt;=H4457*(1-Assumptions!$C$8)),1,0)</f>
        <v/>
      </c>
      <c r="X4457">
        <f>IF(AND(U4457=1,N4457&gt;=H4457*(1-Assumptions!$C$8)),1,0)</f>
        <v/>
      </c>
      <c r="Y4457">
        <f>IF(ISNUMBER(Q4457),1,0)</f>
        <v/>
      </c>
      <c r="Z4457">
        <f>IF(AND(K4457=0,L4457=0,Y4457=0),1,0)</f>
        <v/>
      </c>
      <c r="AA4457">
        <f>IF(AND(Z4457=1,G4457&lt;Assumptions!$C$6),1,0)</f>
        <v/>
      </c>
      <c r="AB4457">
        <f>IF(U4457=0,"",IF(Y4457=1,MAX(0,Q4457-G4457),IF(L4457=1,MAX(0,R4457-G4457),MAX(0,Assumptions!$C$6-G4457))))</f>
        <v/>
      </c>
      <c r="AC4457">
        <f>IF(Y4457=1,Q4457-F4457,"")</f>
        <v/>
      </c>
      <c r="AD4457">
        <f>IF(Y4457=1,AC4457^2,"")</f>
        <v/>
      </c>
      <c r="AE4457" s="19">
        <f>IF(Z4457=1,(H4457-M4457)*I4457,0)</f>
        <v/>
      </c>
      <c r="AF4457">
        <f>IF(G4457&lt;EDATE(Assumptions!$C$6,-12)+1,"prior_12m","last_12m")</f>
        <v/>
      </c>
      <c r="AG4457" s="21">
        <f>DATE(YEAR(G4457),MONTH(G4457),1)</f>
        <v/>
      </c>
    </row>
    <row r="4458">
      <c r="A4458" t="inlineStr">
        <is>
          <t>SPO-02381-1</t>
        </is>
      </c>
      <c r="B4458" t="inlineStr">
        <is>
          <t>SPO-02381</t>
        </is>
      </c>
      <c r="C4458" t="inlineStr">
        <is>
          <t>SUP-07</t>
        </is>
      </c>
      <c r="D4458" t="inlineStr">
        <is>
          <t>MRO</t>
        </is>
      </c>
      <c r="E4458" t="inlineStr">
        <is>
          <t>MRO-01</t>
        </is>
      </c>
      <c r="F4458" s="17" t="n">
        <v>46233</v>
      </c>
      <c r="G4458" s="17" t="n">
        <v>46243</v>
      </c>
      <c r="H4458" s="18" t="n">
        <v>38</v>
      </c>
      <c r="I4458" s="19" t="n">
        <v>50.04</v>
      </c>
      <c r="J4458" s="19" t="n">
        <v>52</v>
      </c>
      <c r="K4458" s="20" t="n">
        <v>0</v>
      </c>
      <c r="L4458" s="20" t="n">
        <v>0</v>
      </c>
      <c r="M4458" s="18" t="n">
        <v>38</v>
      </c>
      <c r="N4458" s="18" t="n">
        <v>20</v>
      </c>
      <c r="O4458" s="18" t="n">
        <v>0</v>
      </c>
      <c r="P4458" s="17" t="n">
        <v>46241</v>
      </c>
      <c r="Q4458" s="17" t="n">
        <v>46259</v>
      </c>
      <c r="R4458" s="17" t="n">
        <v>46259</v>
      </c>
      <c r="S4458" s="19">
        <f>H4458*I4458</f>
        <v/>
      </c>
      <c r="T4458" s="19">
        <f>H4458*J4458</f>
        <v/>
      </c>
      <c r="U4458">
        <f>IF(AND(K4458=0,G4458&lt;=Assumptions!$C$6),1,0)</f>
        <v/>
      </c>
      <c r="V4458">
        <f>IF(U4458=1,IF(M4458&gt;0,IF(P4458&lt;=G4458+Assumptions!$C$7,1,0),0),0)</f>
        <v/>
      </c>
      <c r="W4458">
        <f>IF(AND(U4458=1,M4458&gt;=H4458*(1-Assumptions!$C$8)),1,0)</f>
        <v/>
      </c>
      <c r="X4458">
        <f>IF(AND(U4458=1,N4458&gt;=H4458*(1-Assumptions!$C$8)),1,0)</f>
        <v/>
      </c>
      <c r="Y4458">
        <f>IF(ISNUMBER(Q4458),1,0)</f>
        <v/>
      </c>
      <c r="Z4458">
        <f>IF(AND(K4458=0,L4458=0,Y4458=0),1,0)</f>
        <v/>
      </c>
      <c r="AA4458">
        <f>IF(AND(Z4458=1,G4458&lt;Assumptions!$C$6),1,0)</f>
        <v/>
      </c>
      <c r="AB4458">
        <f>IF(U4458=0,"",IF(Y4458=1,MAX(0,Q4458-G4458),IF(L4458=1,MAX(0,R4458-G4458),MAX(0,Assumptions!$C$6-G4458))))</f>
        <v/>
      </c>
      <c r="AC4458">
        <f>IF(Y4458=1,Q4458-F4458,"")</f>
        <v/>
      </c>
      <c r="AD4458">
        <f>IF(Y4458=1,AC4458^2,"")</f>
        <v/>
      </c>
      <c r="AE4458" s="19">
        <f>IF(Z4458=1,(H4458-M4458)*I4458,0)</f>
        <v/>
      </c>
      <c r="AF4458">
        <f>IF(G4458&lt;EDATE(Assumptions!$C$6,-12)+1,"prior_12m","last_12m")</f>
        <v/>
      </c>
      <c r="AG4458" s="21">
        <f>DATE(YEAR(G4458),MONTH(G4458),1)</f>
        <v/>
      </c>
    </row>
    <row r="4459">
      <c r="A4459" t="inlineStr">
        <is>
          <t>SPO-02381-2</t>
        </is>
      </c>
      <c r="B4459" t="inlineStr">
        <is>
          <t>SPO-02381</t>
        </is>
      </c>
      <c r="C4459" t="inlineStr">
        <is>
          <t>SUP-07</t>
        </is>
      </c>
      <c r="D4459" t="inlineStr">
        <is>
          <t>MRO</t>
        </is>
      </c>
      <c r="E4459" t="inlineStr">
        <is>
          <t>MRO-04</t>
        </is>
      </c>
      <c r="F4459" s="17" t="n">
        <v>46233</v>
      </c>
      <c r="G4459" s="17" t="n">
        <v>46243</v>
      </c>
      <c r="H4459" s="18" t="n">
        <v>28</v>
      </c>
      <c r="I4459" s="19" t="n">
        <v>57.66</v>
      </c>
      <c r="J4459" s="19" t="n">
        <v>58</v>
      </c>
      <c r="K4459" s="20" t="n">
        <v>0</v>
      </c>
      <c r="L4459" s="20" t="n">
        <v>1</v>
      </c>
      <c r="M4459" s="18" t="n">
        <v>18</v>
      </c>
      <c r="N4459" s="18" t="n">
        <v>18</v>
      </c>
      <c r="O4459" s="18" t="n">
        <v>0</v>
      </c>
      <c r="P4459" s="17" t="n">
        <v>46241</v>
      </c>
      <c r="Q4459" s="17" t="n"/>
      <c r="R4459" s="17" t="n">
        <v>46241</v>
      </c>
      <c r="S4459" s="19">
        <f>H4459*I4459</f>
        <v/>
      </c>
      <c r="T4459" s="19">
        <f>H4459*J4459</f>
        <v/>
      </c>
      <c r="U4459">
        <f>IF(AND(K4459=0,G4459&lt;=Assumptions!$C$6),1,0)</f>
        <v/>
      </c>
      <c r="V4459">
        <f>IF(U4459=1,IF(M4459&gt;0,IF(P4459&lt;=G4459+Assumptions!$C$7,1,0),0),0)</f>
        <v/>
      </c>
      <c r="W4459">
        <f>IF(AND(U4459=1,M4459&gt;=H4459*(1-Assumptions!$C$8)),1,0)</f>
        <v/>
      </c>
      <c r="X4459">
        <f>IF(AND(U4459=1,N4459&gt;=H4459*(1-Assumptions!$C$8)),1,0)</f>
        <v/>
      </c>
      <c r="Y4459">
        <f>IF(ISNUMBER(Q4459),1,0)</f>
        <v/>
      </c>
      <c r="Z4459">
        <f>IF(AND(K4459=0,L4459=0,Y4459=0),1,0)</f>
        <v/>
      </c>
      <c r="AA4459">
        <f>IF(AND(Z4459=1,G4459&lt;Assumptions!$C$6),1,0)</f>
        <v/>
      </c>
      <c r="AB4459">
        <f>IF(U4459=0,"",IF(Y4459=1,MAX(0,Q4459-G4459),IF(L4459=1,MAX(0,R4459-G4459),MAX(0,Assumptions!$C$6-G4459))))</f>
        <v/>
      </c>
      <c r="AC4459">
        <f>IF(Y4459=1,Q4459-F4459,"")</f>
        <v/>
      </c>
      <c r="AD4459">
        <f>IF(Y4459=1,AC4459^2,"")</f>
        <v/>
      </c>
      <c r="AE4459" s="19">
        <f>IF(Z4459=1,(H4459-M4459)*I4459,0)</f>
        <v/>
      </c>
      <c r="AF4459">
        <f>IF(G4459&lt;EDATE(Assumptions!$C$6,-12)+1,"prior_12m","last_12m")</f>
        <v/>
      </c>
      <c r="AG4459" s="21">
        <f>DATE(YEAR(G4459),MONTH(G4459),1)</f>
        <v/>
      </c>
    </row>
    <row r="4460">
      <c r="A4460" t="inlineStr">
        <is>
          <t>SPO-02382-1</t>
        </is>
      </c>
      <c r="B4460" t="inlineStr">
        <is>
          <t>SPO-02382</t>
        </is>
      </c>
      <c r="C4460" t="inlineStr">
        <is>
          <t>SUP-04</t>
        </is>
      </c>
      <c r="D4460" t="inlineStr">
        <is>
          <t>FLEET</t>
        </is>
      </c>
      <c r="E4460" t="inlineStr">
        <is>
          <t>FLEET-07</t>
        </is>
      </c>
      <c r="F4460" s="17" t="n">
        <v>46233</v>
      </c>
      <c r="G4460" s="17" t="n">
        <v>46246</v>
      </c>
      <c r="H4460" s="18" t="n">
        <v>42</v>
      </c>
      <c r="I4460" s="19" t="n">
        <v>117</v>
      </c>
      <c r="J4460" s="19" t="n">
        <v>118</v>
      </c>
      <c r="K4460" s="20" t="n">
        <v>0</v>
      </c>
      <c r="L4460" s="20" t="n">
        <v>0</v>
      </c>
      <c r="M4460" s="18" t="n">
        <v>42</v>
      </c>
      <c r="N4460" s="18" t="n">
        <v>0</v>
      </c>
      <c r="O4460" s="18" t="n">
        <v>0</v>
      </c>
      <c r="P4460" s="17" t="n">
        <v>46252</v>
      </c>
      <c r="Q4460" s="17" t="n">
        <v>46252</v>
      </c>
      <c r="R4460" s="17" t="n">
        <v>46252</v>
      </c>
      <c r="S4460" s="19">
        <f>H4460*I4460</f>
        <v/>
      </c>
      <c r="T4460" s="19">
        <f>H4460*J4460</f>
        <v/>
      </c>
      <c r="U4460">
        <f>IF(AND(K4460=0,G4460&lt;=Assumptions!$C$6),1,0)</f>
        <v/>
      </c>
      <c r="V4460">
        <f>IF(U4460=1,IF(M4460&gt;0,IF(P4460&lt;=G4460+Assumptions!$C$7,1,0),0),0)</f>
        <v/>
      </c>
      <c r="W4460">
        <f>IF(AND(U4460=1,M4460&gt;=H4460*(1-Assumptions!$C$8)),1,0)</f>
        <v/>
      </c>
      <c r="X4460">
        <f>IF(AND(U4460=1,N4460&gt;=H4460*(1-Assumptions!$C$8)),1,0)</f>
        <v/>
      </c>
      <c r="Y4460">
        <f>IF(ISNUMBER(Q4460),1,0)</f>
        <v/>
      </c>
      <c r="Z4460">
        <f>IF(AND(K4460=0,L4460=0,Y4460=0),1,0)</f>
        <v/>
      </c>
      <c r="AA4460">
        <f>IF(AND(Z4460=1,G4460&lt;Assumptions!$C$6),1,0)</f>
        <v/>
      </c>
      <c r="AB4460">
        <f>IF(U4460=0,"",IF(Y4460=1,MAX(0,Q4460-G4460),IF(L4460=1,MAX(0,R4460-G4460),MAX(0,Assumptions!$C$6-G4460))))</f>
        <v/>
      </c>
      <c r="AC4460">
        <f>IF(Y4460=1,Q4460-F4460,"")</f>
        <v/>
      </c>
      <c r="AD4460">
        <f>IF(Y4460=1,AC4460^2,"")</f>
        <v/>
      </c>
      <c r="AE4460" s="19">
        <f>IF(Z4460=1,(H4460-M4460)*I4460,0)</f>
        <v/>
      </c>
      <c r="AF4460">
        <f>IF(G4460&lt;EDATE(Assumptions!$C$6,-12)+1,"prior_12m","last_12m")</f>
        <v/>
      </c>
      <c r="AG4460" s="21">
        <f>DATE(YEAR(G4460),MONTH(G4460),1)</f>
        <v/>
      </c>
    </row>
    <row r="4461">
      <c r="A4461" t="inlineStr">
        <is>
          <t>SPO-02383-1</t>
        </is>
      </c>
      <c r="B4461" t="inlineStr">
        <is>
          <t>SPO-02383</t>
        </is>
      </c>
      <c r="C4461" t="inlineStr">
        <is>
          <t>SUP-01</t>
        </is>
      </c>
      <c r="D4461" t="inlineStr">
        <is>
          <t>ELEC</t>
        </is>
      </c>
      <c r="E4461" t="inlineStr">
        <is>
          <t>ELEC-05</t>
        </is>
      </c>
      <c r="F4461" s="17" t="n">
        <v>46233</v>
      </c>
      <c r="G4461" s="17" t="n">
        <v>46251</v>
      </c>
      <c r="H4461" s="18" t="n">
        <v>345</v>
      </c>
      <c r="I4461" s="19" t="n">
        <v>11.07</v>
      </c>
      <c r="J4461" s="19" t="n">
        <v>11.5</v>
      </c>
      <c r="K4461" s="20" t="n">
        <v>0</v>
      </c>
      <c r="L4461" s="20" t="n">
        <v>0</v>
      </c>
      <c r="M4461" s="18" t="n">
        <v>345</v>
      </c>
      <c r="N4461" s="18" t="n">
        <v>345</v>
      </c>
      <c r="O4461" s="18" t="n">
        <v>0</v>
      </c>
      <c r="P4461" s="17" t="n">
        <v>46250</v>
      </c>
      <c r="Q4461" s="17" t="n">
        <v>46250</v>
      </c>
      <c r="R4461" s="17" t="n">
        <v>46250</v>
      </c>
      <c r="S4461" s="19">
        <f>H4461*I4461</f>
        <v/>
      </c>
      <c r="T4461" s="19">
        <f>H4461*J4461</f>
        <v/>
      </c>
      <c r="U4461">
        <f>IF(AND(K4461=0,G4461&lt;=Assumptions!$C$6),1,0)</f>
        <v/>
      </c>
      <c r="V4461">
        <f>IF(U4461=1,IF(M4461&gt;0,IF(P4461&lt;=G4461+Assumptions!$C$7,1,0),0),0)</f>
        <v/>
      </c>
      <c r="W4461">
        <f>IF(AND(U4461=1,M4461&gt;=H4461*(1-Assumptions!$C$8)),1,0)</f>
        <v/>
      </c>
      <c r="X4461">
        <f>IF(AND(U4461=1,N4461&gt;=H4461*(1-Assumptions!$C$8)),1,0)</f>
        <v/>
      </c>
      <c r="Y4461">
        <f>IF(ISNUMBER(Q4461),1,0)</f>
        <v/>
      </c>
      <c r="Z4461">
        <f>IF(AND(K4461=0,L4461=0,Y4461=0),1,0)</f>
        <v/>
      </c>
      <c r="AA4461">
        <f>IF(AND(Z4461=1,G4461&lt;Assumptions!$C$6),1,0)</f>
        <v/>
      </c>
      <c r="AB4461">
        <f>IF(U4461=0,"",IF(Y4461=1,MAX(0,Q4461-G4461),IF(L4461=1,MAX(0,R4461-G4461),MAX(0,Assumptions!$C$6-G4461))))</f>
        <v/>
      </c>
      <c r="AC4461">
        <f>IF(Y4461=1,Q4461-F4461,"")</f>
        <v/>
      </c>
      <c r="AD4461">
        <f>IF(Y4461=1,AC4461^2,"")</f>
        <v/>
      </c>
      <c r="AE4461" s="19">
        <f>IF(Z4461=1,(H4461-M4461)*I4461,0)</f>
        <v/>
      </c>
      <c r="AF4461">
        <f>IF(G4461&lt;EDATE(Assumptions!$C$6,-12)+1,"prior_12m","last_12m")</f>
        <v/>
      </c>
      <c r="AG4461" s="21">
        <f>DATE(YEAR(G4461),MONTH(G4461),1)</f>
        <v/>
      </c>
    </row>
    <row r="4462">
      <c r="A4462" t="inlineStr">
        <is>
          <t>SPO-02383-2</t>
        </is>
      </c>
      <c r="B4462" t="inlineStr">
        <is>
          <t>SPO-02383</t>
        </is>
      </c>
      <c r="C4462" t="inlineStr">
        <is>
          <t>SUP-01</t>
        </is>
      </c>
      <c r="D4462" t="inlineStr">
        <is>
          <t>ELEC</t>
        </is>
      </c>
      <c r="E4462" t="inlineStr">
        <is>
          <t>ELEC-06</t>
        </is>
      </c>
      <c r="F4462" s="17" t="n">
        <v>46233</v>
      </c>
      <c r="G4462" s="17" t="n">
        <v>46251</v>
      </c>
      <c r="H4462" s="18" t="n">
        <v>9</v>
      </c>
      <c r="I4462" s="19" t="n">
        <v>139.92</v>
      </c>
      <c r="J4462" s="19" t="n">
        <v>145</v>
      </c>
      <c r="K4462" s="20" t="n">
        <v>0</v>
      </c>
      <c r="L4462" s="20" t="n">
        <v>0</v>
      </c>
      <c r="M4462" s="18" t="n">
        <v>9</v>
      </c>
      <c r="N4462" s="18" t="n">
        <v>9</v>
      </c>
      <c r="O4462" s="18" t="n">
        <v>0</v>
      </c>
      <c r="P4462" s="17" t="n">
        <v>46251</v>
      </c>
      <c r="Q4462" s="17" t="n">
        <v>46251</v>
      </c>
      <c r="R4462" s="17" t="n">
        <v>46251</v>
      </c>
      <c r="S4462" s="19">
        <f>H4462*I4462</f>
        <v/>
      </c>
      <c r="T4462" s="19">
        <f>H4462*J4462</f>
        <v/>
      </c>
      <c r="U4462">
        <f>IF(AND(K4462=0,G4462&lt;=Assumptions!$C$6),1,0)</f>
        <v/>
      </c>
      <c r="V4462">
        <f>IF(U4462=1,IF(M4462&gt;0,IF(P4462&lt;=G4462+Assumptions!$C$7,1,0),0),0)</f>
        <v/>
      </c>
      <c r="W4462">
        <f>IF(AND(U4462=1,M4462&gt;=H4462*(1-Assumptions!$C$8)),1,0)</f>
        <v/>
      </c>
      <c r="X4462">
        <f>IF(AND(U4462=1,N4462&gt;=H4462*(1-Assumptions!$C$8)),1,0)</f>
        <v/>
      </c>
      <c r="Y4462">
        <f>IF(ISNUMBER(Q4462),1,0)</f>
        <v/>
      </c>
      <c r="Z4462">
        <f>IF(AND(K4462=0,L4462=0,Y4462=0),1,0)</f>
        <v/>
      </c>
      <c r="AA4462">
        <f>IF(AND(Z4462=1,G4462&lt;Assumptions!$C$6),1,0)</f>
        <v/>
      </c>
      <c r="AB4462">
        <f>IF(U4462=0,"",IF(Y4462=1,MAX(0,Q4462-G4462),IF(L4462=1,MAX(0,R4462-G4462),MAX(0,Assumptions!$C$6-G4462))))</f>
        <v/>
      </c>
      <c r="AC4462">
        <f>IF(Y4462=1,Q4462-F4462,"")</f>
        <v/>
      </c>
      <c r="AD4462">
        <f>IF(Y4462=1,AC4462^2,"")</f>
        <v/>
      </c>
      <c r="AE4462" s="19">
        <f>IF(Z4462=1,(H4462-M4462)*I4462,0)</f>
        <v/>
      </c>
      <c r="AF4462">
        <f>IF(G4462&lt;EDATE(Assumptions!$C$6,-12)+1,"prior_12m","last_12m")</f>
        <v/>
      </c>
      <c r="AG4462" s="21">
        <f>DATE(YEAR(G4462),MONTH(G4462),1)</f>
        <v/>
      </c>
    </row>
    <row r="4463">
      <c r="A4463" t="inlineStr">
        <is>
          <t>SPO-02384-1</t>
        </is>
      </c>
      <c r="B4463" t="inlineStr">
        <is>
          <t>SPO-02384</t>
        </is>
      </c>
      <c r="C4463" t="inlineStr">
        <is>
          <t>SUP-14</t>
        </is>
      </c>
      <c r="D4463" t="inlineStr">
        <is>
          <t>FLEET</t>
        </is>
      </c>
      <c r="E4463" t="inlineStr">
        <is>
          <t>FLEET-07</t>
        </is>
      </c>
      <c r="F4463" s="17" t="n">
        <v>46234</v>
      </c>
      <c r="G4463" s="17" t="n">
        <v>46248</v>
      </c>
      <c r="H4463" s="18" t="n">
        <v>13</v>
      </c>
      <c r="I4463" s="19" t="n">
        <v>118.23</v>
      </c>
      <c r="J4463" s="19" t="n">
        <v>118</v>
      </c>
      <c r="K4463" s="20" t="n">
        <v>0</v>
      </c>
      <c r="L4463" s="20" t="n">
        <v>0</v>
      </c>
      <c r="M4463" s="18" t="n">
        <v>13</v>
      </c>
      <c r="N4463" s="18" t="n">
        <v>7</v>
      </c>
      <c r="O4463" s="18" t="n">
        <v>0</v>
      </c>
      <c r="P4463" s="17" t="n">
        <v>46238</v>
      </c>
      <c r="Q4463" s="17" t="n">
        <v>46255</v>
      </c>
      <c r="R4463" s="17" t="n">
        <v>46255</v>
      </c>
      <c r="S4463" s="19">
        <f>H4463*I4463</f>
        <v/>
      </c>
      <c r="T4463" s="19">
        <f>H4463*J4463</f>
        <v/>
      </c>
      <c r="U4463">
        <f>IF(AND(K4463=0,G4463&lt;=Assumptions!$C$6),1,0)</f>
        <v/>
      </c>
      <c r="V4463">
        <f>IF(U4463=1,IF(M4463&gt;0,IF(P4463&lt;=G4463+Assumptions!$C$7,1,0),0),0)</f>
        <v/>
      </c>
      <c r="W4463">
        <f>IF(AND(U4463=1,M4463&gt;=H4463*(1-Assumptions!$C$8)),1,0)</f>
        <v/>
      </c>
      <c r="X4463">
        <f>IF(AND(U4463=1,N4463&gt;=H4463*(1-Assumptions!$C$8)),1,0)</f>
        <v/>
      </c>
      <c r="Y4463">
        <f>IF(ISNUMBER(Q4463),1,0)</f>
        <v/>
      </c>
      <c r="Z4463">
        <f>IF(AND(K4463=0,L4463=0,Y4463=0),1,0)</f>
        <v/>
      </c>
      <c r="AA4463">
        <f>IF(AND(Z4463=1,G4463&lt;Assumptions!$C$6),1,0)</f>
        <v/>
      </c>
      <c r="AB4463">
        <f>IF(U4463=0,"",IF(Y4463=1,MAX(0,Q4463-G4463),IF(L4463=1,MAX(0,R4463-G4463),MAX(0,Assumptions!$C$6-G4463))))</f>
        <v/>
      </c>
      <c r="AC4463">
        <f>IF(Y4463=1,Q4463-F4463,"")</f>
        <v/>
      </c>
      <c r="AD4463">
        <f>IF(Y4463=1,AC4463^2,"")</f>
        <v/>
      </c>
      <c r="AE4463" s="19">
        <f>IF(Z4463=1,(H4463-M4463)*I4463,0)</f>
        <v/>
      </c>
      <c r="AF4463">
        <f>IF(G4463&lt;EDATE(Assumptions!$C$6,-12)+1,"prior_12m","last_12m")</f>
        <v/>
      </c>
      <c r="AG4463" s="21">
        <f>DATE(YEAR(G4463),MONTH(G4463),1)</f>
        <v/>
      </c>
    </row>
    <row r="4464">
      <c r="A4464" t="inlineStr">
        <is>
          <t>SPO-02385-1</t>
        </is>
      </c>
      <c r="B4464" t="inlineStr">
        <is>
          <t>SPO-02385</t>
        </is>
      </c>
      <c r="C4464" t="inlineStr">
        <is>
          <t>SUP-05</t>
        </is>
      </c>
      <c r="D4464" t="inlineStr">
        <is>
          <t>FLEET</t>
        </is>
      </c>
      <c r="E4464" t="inlineStr">
        <is>
          <t>FLEET-05</t>
        </is>
      </c>
      <c r="F4464" s="17" t="n">
        <v>46234</v>
      </c>
      <c r="G4464" s="17" t="n">
        <v>46248</v>
      </c>
      <c r="H4464" s="18" t="n">
        <v>7</v>
      </c>
      <c r="I4464" s="19" t="n">
        <v>168.92</v>
      </c>
      <c r="J4464" s="19" t="n">
        <v>168</v>
      </c>
      <c r="K4464" s="20" t="n">
        <v>0</v>
      </c>
      <c r="L4464" s="20" t="n">
        <v>0</v>
      </c>
      <c r="M4464" s="18" t="n">
        <v>7</v>
      </c>
      <c r="N4464" s="18" t="n">
        <v>7</v>
      </c>
      <c r="O4464" s="18" t="n">
        <v>0</v>
      </c>
      <c r="P4464" s="17" t="n">
        <v>46246</v>
      </c>
      <c r="Q4464" s="17" t="n">
        <v>46246</v>
      </c>
      <c r="R4464" s="17" t="n">
        <v>46246</v>
      </c>
      <c r="S4464" s="19">
        <f>H4464*I4464</f>
        <v/>
      </c>
      <c r="T4464" s="19">
        <f>H4464*J4464</f>
        <v/>
      </c>
      <c r="U4464">
        <f>IF(AND(K4464=0,G4464&lt;=Assumptions!$C$6),1,0)</f>
        <v/>
      </c>
      <c r="V4464">
        <f>IF(U4464=1,IF(M4464&gt;0,IF(P4464&lt;=G4464+Assumptions!$C$7,1,0),0),0)</f>
        <v/>
      </c>
      <c r="W4464">
        <f>IF(AND(U4464=1,M4464&gt;=H4464*(1-Assumptions!$C$8)),1,0)</f>
        <v/>
      </c>
      <c r="X4464">
        <f>IF(AND(U4464=1,N4464&gt;=H4464*(1-Assumptions!$C$8)),1,0)</f>
        <v/>
      </c>
      <c r="Y4464">
        <f>IF(ISNUMBER(Q4464),1,0)</f>
        <v/>
      </c>
      <c r="Z4464">
        <f>IF(AND(K4464=0,L4464=0,Y4464=0),1,0)</f>
        <v/>
      </c>
      <c r="AA4464">
        <f>IF(AND(Z4464=1,G4464&lt;Assumptions!$C$6),1,0)</f>
        <v/>
      </c>
      <c r="AB4464">
        <f>IF(U4464=0,"",IF(Y4464=1,MAX(0,Q4464-G4464),IF(L4464=1,MAX(0,R4464-G4464),MAX(0,Assumptions!$C$6-G4464))))</f>
        <v/>
      </c>
      <c r="AC4464">
        <f>IF(Y4464=1,Q4464-F4464,"")</f>
        <v/>
      </c>
      <c r="AD4464">
        <f>IF(Y4464=1,AC4464^2,"")</f>
        <v/>
      </c>
      <c r="AE4464" s="19">
        <f>IF(Z4464=1,(H4464-M4464)*I4464,0)</f>
        <v/>
      </c>
      <c r="AF4464">
        <f>IF(G4464&lt;EDATE(Assumptions!$C$6,-12)+1,"prior_12m","last_12m")</f>
        <v/>
      </c>
      <c r="AG4464" s="21">
        <f>DATE(YEAR(G4464),MONTH(G4464),1)</f>
        <v/>
      </c>
    </row>
    <row r="4465">
      <c r="A4465" t="inlineStr">
        <is>
          <t>SPO-02386-1</t>
        </is>
      </c>
      <c r="B4465" t="inlineStr">
        <is>
          <t>SPO-02386</t>
        </is>
      </c>
      <c r="C4465" t="inlineStr">
        <is>
          <t>SUP-08</t>
        </is>
      </c>
      <c r="D4465" t="inlineStr">
        <is>
          <t>PPE</t>
        </is>
      </c>
      <c r="E4465" t="inlineStr">
        <is>
          <t>PPE-01</t>
        </is>
      </c>
      <c r="F4465" s="17" t="n">
        <v>46234</v>
      </c>
      <c r="G4465" s="17" t="n">
        <v>46245</v>
      </c>
      <c r="H4465" s="18" t="n">
        <v>777</v>
      </c>
      <c r="I4465" s="19" t="n">
        <v>4.81</v>
      </c>
      <c r="J4465" s="19" t="n">
        <v>4.8</v>
      </c>
      <c r="K4465" s="20" t="n">
        <v>0</v>
      </c>
      <c r="L4465" s="20" t="n">
        <v>0</v>
      </c>
      <c r="M4465" s="18" t="n">
        <v>777</v>
      </c>
      <c r="N4465" s="18" t="n">
        <v>777</v>
      </c>
      <c r="O4465" s="18" t="n">
        <v>0</v>
      </c>
      <c r="P4465" s="17" t="n">
        <v>46243</v>
      </c>
      <c r="Q4465" s="17" t="n">
        <v>46243</v>
      </c>
      <c r="R4465" s="17" t="n">
        <v>46243</v>
      </c>
      <c r="S4465" s="19">
        <f>H4465*I4465</f>
        <v/>
      </c>
      <c r="T4465" s="19">
        <f>H4465*J4465</f>
        <v/>
      </c>
      <c r="U4465">
        <f>IF(AND(K4465=0,G4465&lt;=Assumptions!$C$6),1,0)</f>
        <v/>
      </c>
      <c r="V4465">
        <f>IF(U4465=1,IF(M4465&gt;0,IF(P4465&lt;=G4465+Assumptions!$C$7,1,0),0),0)</f>
        <v/>
      </c>
      <c r="W4465">
        <f>IF(AND(U4465=1,M4465&gt;=H4465*(1-Assumptions!$C$8)),1,0)</f>
        <v/>
      </c>
      <c r="X4465">
        <f>IF(AND(U4465=1,N4465&gt;=H4465*(1-Assumptions!$C$8)),1,0)</f>
        <v/>
      </c>
      <c r="Y4465">
        <f>IF(ISNUMBER(Q4465),1,0)</f>
        <v/>
      </c>
      <c r="Z4465">
        <f>IF(AND(K4465=0,L4465=0,Y4465=0),1,0)</f>
        <v/>
      </c>
      <c r="AA4465">
        <f>IF(AND(Z4465=1,G4465&lt;Assumptions!$C$6),1,0)</f>
        <v/>
      </c>
      <c r="AB4465">
        <f>IF(U4465=0,"",IF(Y4465=1,MAX(0,Q4465-G4465),IF(L4465=1,MAX(0,R4465-G4465),MAX(0,Assumptions!$C$6-G4465))))</f>
        <v/>
      </c>
      <c r="AC4465">
        <f>IF(Y4465=1,Q4465-F4465,"")</f>
        <v/>
      </c>
      <c r="AD4465">
        <f>IF(Y4465=1,AC4465^2,"")</f>
        <v/>
      </c>
      <c r="AE4465" s="19">
        <f>IF(Z4465=1,(H4465-M4465)*I4465,0)</f>
        <v/>
      </c>
      <c r="AF4465">
        <f>IF(G4465&lt;EDATE(Assumptions!$C$6,-12)+1,"prior_12m","last_12m")</f>
        <v/>
      </c>
      <c r="AG4465" s="21">
        <f>DATE(YEAR(G4465),MONTH(G4465),1)</f>
        <v/>
      </c>
    </row>
    <row r="4466">
      <c r="A4466" t="inlineStr">
        <is>
          <t>SPO-02387-1</t>
        </is>
      </c>
      <c r="B4466" t="inlineStr">
        <is>
          <t>SPO-02387</t>
        </is>
      </c>
      <c r="C4466" t="inlineStr">
        <is>
          <t>SUP-14</t>
        </is>
      </c>
      <c r="D4466" t="inlineStr">
        <is>
          <t>FLEET</t>
        </is>
      </c>
      <c r="E4466" t="inlineStr">
        <is>
          <t>FLEET-01</t>
        </is>
      </c>
      <c r="F4466" s="17" t="n">
        <v>46234</v>
      </c>
      <c r="G4466" s="17" t="n">
        <v>46248</v>
      </c>
      <c r="H4466" s="18" t="n">
        <v>29</v>
      </c>
      <c r="I4466" s="19" t="n">
        <v>64.42</v>
      </c>
      <c r="J4466" s="19" t="n">
        <v>64</v>
      </c>
      <c r="K4466" s="20" t="n">
        <v>0</v>
      </c>
      <c r="L4466" s="20" t="n">
        <v>0</v>
      </c>
      <c r="M4466" s="18" t="n">
        <v>29</v>
      </c>
      <c r="N4466" s="18" t="n">
        <v>29</v>
      </c>
      <c r="O4466" s="18" t="n">
        <v>0</v>
      </c>
      <c r="P4466" s="17" t="n">
        <v>46239</v>
      </c>
      <c r="Q4466" s="17" t="n">
        <v>46239</v>
      </c>
      <c r="R4466" s="17" t="n">
        <v>46239</v>
      </c>
      <c r="S4466" s="19">
        <f>H4466*I4466</f>
        <v/>
      </c>
      <c r="T4466" s="19">
        <f>H4466*J4466</f>
        <v/>
      </c>
      <c r="U4466">
        <f>IF(AND(K4466=0,G4466&lt;=Assumptions!$C$6),1,0)</f>
        <v/>
      </c>
      <c r="V4466">
        <f>IF(U4466=1,IF(M4466&gt;0,IF(P4466&lt;=G4466+Assumptions!$C$7,1,0),0),0)</f>
        <v/>
      </c>
      <c r="W4466">
        <f>IF(AND(U4466=1,M4466&gt;=H4466*(1-Assumptions!$C$8)),1,0)</f>
        <v/>
      </c>
      <c r="X4466">
        <f>IF(AND(U4466=1,N4466&gt;=H4466*(1-Assumptions!$C$8)),1,0)</f>
        <v/>
      </c>
      <c r="Y4466">
        <f>IF(ISNUMBER(Q4466),1,0)</f>
        <v/>
      </c>
      <c r="Z4466">
        <f>IF(AND(K4466=0,L4466=0,Y4466=0),1,0)</f>
        <v/>
      </c>
      <c r="AA4466">
        <f>IF(AND(Z4466=1,G4466&lt;Assumptions!$C$6),1,0)</f>
        <v/>
      </c>
      <c r="AB4466">
        <f>IF(U4466=0,"",IF(Y4466=1,MAX(0,Q4466-G4466),IF(L4466=1,MAX(0,R4466-G4466),MAX(0,Assumptions!$C$6-G4466))))</f>
        <v/>
      </c>
      <c r="AC4466">
        <f>IF(Y4466=1,Q4466-F4466,"")</f>
        <v/>
      </c>
      <c r="AD4466">
        <f>IF(Y4466=1,AC4466^2,"")</f>
        <v/>
      </c>
      <c r="AE4466" s="19">
        <f>IF(Z4466=1,(H4466-M4466)*I4466,0)</f>
        <v/>
      </c>
      <c r="AF4466">
        <f>IF(G4466&lt;EDATE(Assumptions!$C$6,-12)+1,"prior_12m","last_12m")</f>
        <v/>
      </c>
      <c r="AG4466" s="21">
        <f>DATE(YEAR(G4466),MONTH(G4466),1)</f>
        <v/>
      </c>
    </row>
    <row r="4467">
      <c r="A4467" t="inlineStr">
        <is>
          <t>SPO-02388-1</t>
        </is>
      </c>
      <c r="B4467" t="inlineStr">
        <is>
          <t>SPO-02388</t>
        </is>
      </c>
      <c r="C4467" t="inlineStr">
        <is>
          <t>SUP-01</t>
        </is>
      </c>
      <c r="D4467" t="inlineStr">
        <is>
          <t>ELEC</t>
        </is>
      </c>
      <c r="E4467" t="inlineStr">
        <is>
          <t>ELEC-08</t>
        </is>
      </c>
      <c r="F4467" s="17" t="n">
        <v>46235</v>
      </c>
      <c r="G4467" s="17" t="n">
        <v>46253</v>
      </c>
      <c r="H4467" s="18" t="n">
        <v>38</v>
      </c>
      <c r="I4467" s="19" t="n">
        <v>17.68</v>
      </c>
      <c r="J4467" s="19" t="n">
        <v>18</v>
      </c>
      <c r="K4467" s="20" t="n">
        <v>0</v>
      </c>
      <c r="L4467" s="20" t="n">
        <v>0</v>
      </c>
      <c r="M4467" s="18" t="n">
        <v>0</v>
      </c>
      <c r="N4467" s="18" t="n">
        <v>0</v>
      </c>
      <c r="O4467" s="18" t="n">
        <v>0</v>
      </c>
      <c r="P4467" s="17" t="n"/>
      <c r="Q4467" s="17" t="n"/>
      <c r="R4467" s="17" t="n"/>
      <c r="S4467" s="19">
        <f>H4467*I4467</f>
        <v/>
      </c>
      <c r="T4467" s="19">
        <f>H4467*J4467</f>
        <v/>
      </c>
      <c r="U4467">
        <f>IF(AND(K4467=0,G4467&lt;=Assumptions!$C$6),1,0)</f>
        <v/>
      </c>
      <c r="V4467">
        <f>IF(U4467=1,IF(M4467&gt;0,IF(P4467&lt;=G4467+Assumptions!$C$7,1,0),0),0)</f>
        <v/>
      </c>
      <c r="W4467">
        <f>IF(AND(U4467=1,M4467&gt;=H4467*(1-Assumptions!$C$8)),1,0)</f>
        <v/>
      </c>
      <c r="X4467">
        <f>IF(AND(U4467=1,N4467&gt;=H4467*(1-Assumptions!$C$8)),1,0)</f>
        <v/>
      </c>
      <c r="Y4467">
        <f>IF(ISNUMBER(Q4467),1,0)</f>
        <v/>
      </c>
      <c r="Z4467">
        <f>IF(AND(K4467=0,L4467=0,Y4467=0),1,0)</f>
        <v/>
      </c>
      <c r="AA4467">
        <f>IF(AND(Z4467=1,G4467&lt;Assumptions!$C$6),1,0)</f>
        <v/>
      </c>
      <c r="AB4467">
        <f>IF(U4467=0,"",IF(Y4467=1,MAX(0,Q4467-G4467),IF(L4467=1,MAX(0,R4467-G4467),MAX(0,Assumptions!$C$6-G4467))))</f>
        <v/>
      </c>
      <c r="AC4467">
        <f>IF(Y4467=1,Q4467-F4467,"")</f>
        <v/>
      </c>
      <c r="AD4467">
        <f>IF(Y4467=1,AC4467^2,"")</f>
        <v/>
      </c>
      <c r="AE4467" s="19">
        <f>IF(Z4467=1,(H4467-M4467)*I4467,0)</f>
        <v/>
      </c>
      <c r="AF4467">
        <f>IF(G4467&lt;EDATE(Assumptions!$C$6,-12)+1,"prior_12m","last_12m")</f>
        <v/>
      </c>
      <c r="AG4467" s="21">
        <f>DATE(YEAR(G4467),MONTH(G4467),1)</f>
        <v/>
      </c>
    </row>
    <row r="4468">
      <c r="A4468" t="inlineStr">
        <is>
          <t>SPO-02388-2</t>
        </is>
      </c>
      <c r="B4468" t="inlineStr">
        <is>
          <t>SPO-02388</t>
        </is>
      </c>
      <c r="C4468" t="inlineStr">
        <is>
          <t>SUP-01</t>
        </is>
      </c>
      <c r="D4468" t="inlineStr">
        <is>
          <t>ELEC</t>
        </is>
      </c>
      <c r="E4468" t="inlineStr">
        <is>
          <t>ELEC-05</t>
        </is>
      </c>
      <c r="F4468" s="17" t="n">
        <v>46235</v>
      </c>
      <c r="G4468" s="17" t="n">
        <v>46253</v>
      </c>
      <c r="H4468" s="18" t="n">
        <v>373</v>
      </c>
      <c r="I4468" s="19" t="n">
        <v>12.32</v>
      </c>
      <c r="J4468" s="19" t="n">
        <v>11.5</v>
      </c>
      <c r="K4468" s="20" t="n">
        <v>0</v>
      </c>
      <c r="L4468" s="20" t="n">
        <v>0</v>
      </c>
      <c r="M4468" s="18" t="n">
        <v>373</v>
      </c>
      <c r="N4468" s="18" t="n">
        <v>373</v>
      </c>
      <c r="O4468" s="18" t="n">
        <v>0</v>
      </c>
      <c r="P4468" s="17" t="n">
        <v>46247</v>
      </c>
      <c r="Q4468" s="17" t="n">
        <v>46247</v>
      </c>
      <c r="R4468" s="17" t="n">
        <v>46247</v>
      </c>
      <c r="S4468" s="19">
        <f>H4468*I4468</f>
        <v/>
      </c>
      <c r="T4468" s="19">
        <f>H4468*J4468</f>
        <v/>
      </c>
      <c r="U4468">
        <f>IF(AND(K4468=0,G4468&lt;=Assumptions!$C$6),1,0)</f>
        <v/>
      </c>
      <c r="V4468">
        <f>IF(U4468=1,IF(M4468&gt;0,IF(P4468&lt;=G4468+Assumptions!$C$7,1,0),0),0)</f>
        <v/>
      </c>
      <c r="W4468">
        <f>IF(AND(U4468=1,M4468&gt;=H4468*(1-Assumptions!$C$8)),1,0)</f>
        <v/>
      </c>
      <c r="X4468">
        <f>IF(AND(U4468=1,N4468&gt;=H4468*(1-Assumptions!$C$8)),1,0)</f>
        <v/>
      </c>
      <c r="Y4468">
        <f>IF(ISNUMBER(Q4468),1,0)</f>
        <v/>
      </c>
      <c r="Z4468">
        <f>IF(AND(K4468=0,L4468=0,Y4468=0),1,0)</f>
        <v/>
      </c>
      <c r="AA4468">
        <f>IF(AND(Z4468=1,G4468&lt;Assumptions!$C$6),1,0)</f>
        <v/>
      </c>
      <c r="AB4468">
        <f>IF(U4468=0,"",IF(Y4468=1,MAX(0,Q4468-G4468),IF(L4468=1,MAX(0,R4468-G4468),MAX(0,Assumptions!$C$6-G4468))))</f>
        <v/>
      </c>
      <c r="AC4468">
        <f>IF(Y4468=1,Q4468-F4468,"")</f>
        <v/>
      </c>
      <c r="AD4468">
        <f>IF(Y4468=1,AC4468^2,"")</f>
        <v/>
      </c>
      <c r="AE4468" s="19">
        <f>IF(Z4468=1,(H4468-M4468)*I4468,0)</f>
        <v/>
      </c>
      <c r="AF4468">
        <f>IF(G4468&lt;EDATE(Assumptions!$C$6,-12)+1,"prior_12m","last_12m")</f>
        <v/>
      </c>
      <c r="AG4468" s="21">
        <f>DATE(YEAR(G4468),MONTH(G4468),1)</f>
        <v/>
      </c>
    </row>
    <row r="4469">
      <c r="A4469" t="inlineStr">
        <is>
          <t>SPO-02389-1</t>
        </is>
      </c>
      <c r="B4469" t="inlineStr">
        <is>
          <t>SPO-02389</t>
        </is>
      </c>
      <c r="C4469" t="inlineStr">
        <is>
          <t>SUP-07</t>
        </is>
      </c>
      <c r="D4469" t="inlineStr">
        <is>
          <t>MRO</t>
        </is>
      </c>
      <c r="E4469" t="inlineStr">
        <is>
          <t>MRO-08</t>
        </is>
      </c>
      <c r="F4469" s="17" t="n">
        <v>46235</v>
      </c>
      <c r="G4469" s="17" t="n">
        <v>46245</v>
      </c>
      <c r="H4469" s="18" t="n">
        <v>129</v>
      </c>
      <c r="I4469" s="19" t="n">
        <v>7.15</v>
      </c>
      <c r="J4469" s="19" t="n">
        <v>7.2</v>
      </c>
      <c r="K4469" s="20" t="n">
        <v>0</v>
      </c>
      <c r="L4469" s="20" t="n">
        <v>1</v>
      </c>
      <c r="M4469" s="18" t="n">
        <v>78</v>
      </c>
      <c r="N4469" s="18" t="n">
        <v>78</v>
      </c>
      <c r="O4469" s="18" t="n">
        <v>0</v>
      </c>
      <c r="P4469" s="17" t="n">
        <v>46237</v>
      </c>
      <c r="Q4469" s="17" t="n"/>
      <c r="R4469" s="17" t="n">
        <v>46237</v>
      </c>
      <c r="S4469" s="19">
        <f>H4469*I4469</f>
        <v/>
      </c>
      <c r="T4469" s="19">
        <f>H4469*J4469</f>
        <v/>
      </c>
      <c r="U4469">
        <f>IF(AND(K4469=0,G4469&lt;=Assumptions!$C$6),1,0)</f>
        <v/>
      </c>
      <c r="V4469">
        <f>IF(U4469=1,IF(M4469&gt;0,IF(P4469&lt;=G4469+Assumptions!$C$7,1,0),0),0)</f>
        <v/>
      </c>
      <c r="W4469">
        <f>IF(AND(U4469=1,M4469&gt;=H4469*(1-Assumptions!$C$8)),1,0)</f>
        <v/>
      </c>
      <c r="X4469">
        <f>IF(AND(U4469=1,N4469&gt;=H4469*(1-Assumptions!$C$8)),1,0)</f>
        <v/>
      </c>
      <c r="Y4469">
        <f>IF(ISNUMBER(Q4469),1,0)</f>
        <v/>
      </c>
      <c r="Z4469">
        <f>IF(AND(K4469=0,L4469=0,Y4469=0),1,0)</f>
        <v/>
      </c>
      <c r="AA4469">
        <f>IF(AND(Z4469=1,G4469&lt;Assumptions!$C$6),1,0)</f>
        <v/>
      </c>
      <c r="AB4469">
        <f>IF(U4469=0,"",IF(Y4469=1,MAX(0,Q4469-G4469),IF(L4469=1,MAX(0,R4469-G4469),MAX(0,Assumptions!$C$6-G4469))))</f>
        <v/>
      </c>
      <c r="AC4469">
        <f>IF(Y4469=1,Q4469-F4469,"")</f>
        <v/>
      </c>
      <c r="AD4469">
        <f>IF(Y4469=1,AC4469^2,"")</f>
        <v/>
      </c>
      <c r="AE4469" s="19">
        <f>IF(Z4469=1,(H4469-M4469)*I4469,0)</f>
        <v/>
      </c>
      <c r="AF4469">
        <f>IF(G4469&lt;EDATE(Assumptions!$C$6,-12)+1,"prior_12m","last_12m")</f>
        <v/>
      </c>
      <c r="AG4469" s="21">
        <f>DATE(YEAR(G4469),MONTH(G4469),1)</f>
        <v/>
      </c>
    </row>
    <row r="4470">
      <c r="A4470" t="inlineStr">
        <is>
          <t>SPO-02389-2</t>
        </is>
      </c>
      <c r="B4470" t="inlineStr">
        <is>
          <t>SPO-02389</t>
        </is>
      </c>
      <c r="C4470" t="inlineStr">
        <is>
          <t>SUP-07</t>
        </is>
      </c>
      <c r="D4470" t="inlineStr">
        <is>
          <t>MRO</t>
        </is>
      </c>
      <c r="E4470" t="inlineStr">
        <is>
          <t>MRO-04</t>
        </is>
      </c>
      <c r="F4470" s="17" t="n">
        <v>46235</v>
      </c>
      <c r="G4470" s="17" t="n">
        <v>46245</v>
      </c>
      <c r="H4470" s="18" t="n">
        <v>22</v>
      </c>
      <c r="I4470" s="19" t="n">
        <v>58.89</v>
      </c>
      <c r="J4470" s="19" t="n">
        <v>58</v>
      </c>
      <c r="K4470" s="20" t="n">
        <v>0</v>
      </c>
      <c r="L4470" s="20" t="n">
        <v>0</v>
      </c>
      <c r="M4470" s="18" t="n">
        <v>22</v>
      </c>
      <c r="N4470" s="18" t="n">
        <v>22</v>
      </c>
      <c r="O4470" s="18" t="n">
        <v>0</v>
      </c>
      <c r="P4470" s="17" t="n">
        <v>46245</v>
      </c>
      <c r="Q4470" s="17" t="n">
        <v>46245</v>
      </c>
      <c r="R4470" s="17" t="n">
        <v>46245</v>
      </c>
      <c r="S4470" s="19">
        <f>H4470*I4470</f>
        <v/>
      </c>
      <c r="T4470" s="19">
        <f>H4470*J4470</f>
        <v/>
      </c>
      <c r="U4470">
        <f>IF(AND(K4470=0,G4470&lt;=Assumptions!$C$6),1,0)</f>
        <v/>
      </c>
      <c r="V4470">
        <f>IF(U4470=1,IF(M4470&gt;0,IF(P4470&lt;=G4470+Assumptions!$C$7,1,0),0),0)</f>
        <v/>
      </c>
      <c r="W4470">
        <f>IF(AND(U4470=1,M4470&gt;=H4470*(1-Assumptions!$C$8)),1,0)</f>
        <v/>
      </c>
      <c r="X4470">
        <f>IF(AND(U4470=1,N4470&gt;=H4470*(1-Assumptions!$C$8)),1,0)</f>
        <v/>
      </c>
      <c r="Y4470">
        <f>IF(ISNUMBER(Q4470),1,0)</f>
        <v/>
      </c>
      <c r="Z4470">
        <f>IF(AND(K4470=0,L4470=0,Y4470=0),1,0)</f>
        <v/>
      </c>
      <c r="AA4470">
        <f>IF(AND(Z4470=1,G4470&lt;Assumptions!$C$6),1,0)</f>
        <v/>
      </c>
      <c r="AB4470">
        <f>IF(U4470=0,"",IF(Y4470=1,MAX(0,Q4470-G4470),IF(L4470=1,MAX(0,R4470-G4470),MAX(0,Assumptions!$C$6-G4470))))</f>
        <v/>
      </c>
      <c r="AC4470">
        <f>IF(Y4470=1,Q4470-F4470,"")</f>
        <v/>
      </c>
      <c r="AD4470">
        <f>IF(Y4470=1,AC4470^2,"")</f>
        <v/>
      </c>
      <c r="AE4470" s="19">
        <f>IF(Z4470=1,(H4470-M4470)*I4470,0)</f>
        <v/>
      </c>
      <c r="AF4470">
        <f>IF(G4470&lt;EDATE(Assumptions!$C$6,-12)+1,"prior_12m","last_12m")</f>
        <v/>
      </c>
      <c r="AG4470" s="21">
        <f>DATE(YEAR(G4470),MONTH(G4470),1)</f>
        <v/>
      </c>
    </row>
    <row r="4471">
      <c r="A4471" t="inlineStr">
        <is>
          <t>SPO-02390-1</t>
        </is>
      </c>
      <c r="B4471" t="inlineStr">
        <is>
          <t>SPO-02390</t>
        </is>
      </c>
      <c r="C4471" t="inlineStr">
        <is>
          <t>SUP-01</t>
        </is>
      </c>
      <c r="D4471" t="inlineStr">
        <is>
          <t>ELEC</t>
        </is>
      </c>
      <c r="E4471" t="inlineStr">
        <is>
          <t>ELEC-04</t>
        </is>
      </c>
      <c r="F4471" s="17" t="n">
        <v>46235</v>
      </c>
      <c r="G4471" s="17" t="n">
        <v>46253</v>
      </c>
      <c r="H4471" s="18" t="n">
        <v>73</v>
      </c>
      <c r="I4471" s="19" t="n">
        <v>70.97</v>
      </c>
      <c r="J4471" s="19" t="n">
        <v>72</v>
      </c>
      <c r="K4471" s="20" t="n">
        <v>1</v>
      </c>
      <c r="L4471" s="20" t="n">
        <v>0</v>
      </c>
      <c r="M4471" s="18" t="n">
        <v>0</v>
      </c>
      <c r="N4471" s="18" t="n">
        <v>0</v>
      </c>
      <c r="O4471" s="18" t="n">
        <v>0</v>
      </c>
      <c r="P4471" s="17" t="n"/>
      <c r="Q4471" s="17" t="n"/>
      <c r="R4471" s="17" t="n"/>
      <c r="S4471" s="19">
        <f>H4471*I4471</f>
        <v/>
      </c>
      <c r="T4471" s="19">
        <f>H4471*J4471</f>
        <v/>
      </c>
      <c r="U4471">
        <f>IF(AND(K4471=0,G4471&lt;=Assumptions!$C$6),1,0)</f>
        <v/>
      </c>
      <c r="V4471">
        <f>IF(U4471=1,IF(M4471&gt;0,IF(P4471&lt;=G4471+Assumptions!$C$7,1,0),0),0)</f>
        <v/>
      </c>
      <c r="W4471">
        <f>IF(AND(U4471=1,M4471&gt;=H4471*(1-Assumptions!$C$8)),1,0)</f>
        <v/>
      </c>
      <c r="X4471">
        <f>IF(AND(U4471=1,N4471&gt;=H4471*(1-Assumptions!$C$8)),1,0)</f>
        <v/>
      </c>
      <c r="Y4471">
        <f>IF(ISNUMBER(Q4471),1,0)</f>
        <v/>
      </c>
      <c r="Z4471">
        <f>IF(AND(K4471=0,L4471=0,Y4471=0),1,0)</f>
        <v/>
      </c>
      <c r="AA4471">
        <f>IF(AND(Z4471=1,G4471&lt;Assumptions!$C$6),1,0)</f>
        <v/>
      </c>
      <c r="AB4471">
        <f>IF(U4471=0,"",IF(Y4471=1,MAX(0,Q4471-G4471),IF(L4471=1,MAX(0,R4471-G4471),MAX(0,Assumptions!$C$6-G4471))))</f>
        <v/>
      </c>
      <c r="AC4471">
        <f>IF(Y4471=1,Q4471-F4471,"")</f>
        <v/>
      </c>
      <c r="AD4471">
        <f>IF(Y4471=1,AC4471^2,"")</f>
        <v/>
      </c>
      <c r="AE4471" s="19">
        <f>IF(Z4471=1,(H4471-M4471)*I4471,0)</f>
        <v/>
      </c>
      <c r="AF4471">
        <f>IF(G4471&lt;EDATE(Assumptions!$C$6,-12)+1,"prior_12m","last_12m")</f>
        <v/>
      </c>
      <c r="AG4471" s="21">
        <f>DATE(YEAR(G4471),MONTH(G4471),1)</f>
        <v/>
      </c>
    </row>
    <row r="4472">
      <c r="A4472" t="inlineStr">
        <is>
          <t>SPO-02390-2</t>
        </is>
      </c>
      <c r="B4472" t="inlineStr">
        <is>
          <t>SPO-02390</t>
        </is>
      </c>
      <c r="C4472" t="inlineStr">
        <is>
          <t>SUP-01</t>
        </is>
      </c>
      <c r="D4472" t="inlineStr">
        <is>
          <t>ELEC</t>
        </is>
      </c>
      <c r="E4472" t="inlineStr">
        <is>
          <t>ELEC-08</t>
        </is>
      </c>
      <c r="F4472" s="17" t="n">
        <v>46235</v>
      </c>
      <c r="G4472" s="17" t="n">
        <v>46253</v>
      </c>
      <c r="H4472" s="18" t="n">
        <v>301</v>
      </c>
      <c r="I4472" s="19" t="n">
        <v>18.69</v>
      </c>
      <c r="J4472" s="19" t="n">
        <v>18</v>
      </c>
      <c r="K4472" s="20" t="n">
        <v>0</v>
      </c>
      <c r="L4472" s="20" t="n">
        <v>0</v>
      </c>
      <c r="M4472" s="18" t="n">
        <v>301</v>
      </c>
      <c r="N4472" s="18" t="n">
        <v>301</v>
      </c>
      <c r="O4472" s="18" t="n">
        <v>17</v>
      </c>
      <c r="P4472" s="17" t="n">
        <v>46249</v>
      </c>
      <c r="Q4472" s="17" t="n">
        <v>46249</v>
      </c>
      <c r="R4472" s="17" t="n">
        <v>46249</v>
      </c>
      <c r="S4472" s="19">
        <f>H4472*I4472</f>
        <v/>
      </c>
      <c r="T4472" s="19">
        <f>H4472*J4472</f>
        <v/>
      </c>
      <c r="U4472">
        <f>IF(AND(K4472=0,G4472&lt;=Assumptions!$C$6),1,0)</f>
        <v/>
      </c>
      <c r="V4472">
        <f>IF(U4472=1,IF(M4472&gt;0,IF(P4472&lt;=G4472+Assumptions!$C$7,1,0),0),0)</f>
        <v/>
      </c>
      <c r="W4472">
        <f>IF(AND(U4472=1,M4472&gt;=H4472*(1-Assumptions!$C$8)),1,0)</f>
        <v/>
      </c>
      <c r="X4472">
        <f>IF(AND(U4472=1,N4472&gt;=H4472*(1-Assumptions!$C$8)),1,0)</f>
        <v/>
      </c>
      <c r="Y4472">
        <f>IF(ISNUMBER(Q4472),1,0)</f>
        <v/>
      </c>
      <c r="Z4472">
        <f>IF(AND(K4472=0,L4472=0,Y4472=0),1,0)</f>
        <v/>
      </c>
      <c r="AA4472">
        <f>IF(AND(Z4472=1,G4472&lt;Assumptions!$C$6),1,0)</f>
        <v/>
      </c>
      <c r="AB4472">
        <f>IF(U4472=0,"",IF(Y4472=1,MAX(0,Q4472-G4472),IF(L4472=1,MAX(0,R4472-G4472),MAX(0,Assumptions!$C$6-G4472))))</f>
        <v/>
      </c>
      <c r="AC4472">
        <f>IF(Y4472=1,Q4472-F4472,"")</f>
        <v/>
      </c>
      <c r="AD4472">
        <f>IF(Y4472=1,AC4472^2,"")</f>
        <v/>
      </c>
      <c r="AE4472" s="19">
        <f>IF(Z4472=1,(H4472-M4472)*I4472,0)</f>
        <v/>
      </c>
      <c r="AF4472">
        <f>IF(G4472&lt;EDATE(Assumptions!$C$6,-12)+1,"prior_12m","last_12m")</f>
        <v/>
      </c>
      <c r="AG4472" s="21">
        <f>DATE(YEAR(G4472),MONTH(G4472),1)</f>
        <v/>
      </c>
    </row>
    <row r="4473">
      <c r="A4473" t="inlineStr">
        <is>
          <t>SPO-02391-1</t>
        </is>
      </c>
      <c r="B4473" t="inlineStr">
        <is>
          <t>SPO-02391</t>
        </is>
      </c>
      <c r="C4473" t="inlineStr">
        <is>
          <t>SUP-12</t>
        </is>
      </c>
      <c r="D4473" t="inlineStr">
        <is>
          <t>IT</t>
        </is>
      </c>
      <c r="E4473" t="inlineStr">
        <is>
          <t>IT-05</t>
        </is>
      </c>
      <c r="F4473" s="17" t="n">
        <v>46235</v>
      </c>
      <c r="G4473" s="17" t="n">
        <v>46245</v>
      </c>
      <c r="H4473" s="18" t="n">
        <v>3</v>
      </c>
      <c r="I4473" s="19" t="n">
        <v>725.4400000000001</v>
      </c>
      <c r="J4473" s="19" t="n">
        <v>640</v>
      </c>
      <c r="K4473" s="20" t="n">
        <v>0</v>
      </c>
      <c r="L4473" s="20" t="n">
        <v>0</v>
      </c>
      <c r="M4473" s="18" t="n">
        <v>3</v>
      </c>
      <c r="N4473" s="18" t="n">
        <v>3</v>
      </c>
      <c r="O4473" s="18" t="n">
        <v>0</v>
      </c>
      <c r="P4473" s="17" t="n">
        <v>46241</v>
      </c>
      <c r="Q4473" s="17" t="n">
        <v>46241</v>
      </c>
      <c r="R4473" s="17" t="n">
        <v>46241</v>
      </c>
      <c r="S4473" s="19">
        <f>H4473*I4473</f>
        <v/>
      </c>
      <c r="T4473" s="19">
        <f>H4473*J4473</f>
        <v/>
      </c>
      <c r="U4473">
        <f>IF(AND(K4473=0,G4473&lt;=Assumptions!$C$6),1,0)</f>
        <v/>
      </c>
      <c r="V4473">
        <f>IF(U4473=1,IF(M4473&gt;0,IF(P4473&lt;=G4473+Assumptions!$C$7,1,0),0),0)</f>
        <v/>
      </c>
      <c r="W4473">
        <f>IF(AND(U4473=1,M4473&gt;=H4473*(1-Assumptions!$C$8)),1,0)</f>
        <v/>
      </c>
      <c r="X4473">
        <f>IF(AND(U4473=1,N4473&gt;=H4473*(1-Assumptions!$C$8)),1,0)</f>
        <v/>
      </c>
      <c r="Y4473">
        <f>IF(ISNUMBER(Q4473),1,0)</f>
        <v/>
      </c>
      <c r="Z4473">
        <f>IF(AND(K4473=0,L4473=0,Y4473=0),1,0)</f>
        <v/>
      </c>
      <c r="AA4473">
        <f>IF(AND(Z4473=1,G4473&lt;Assumptions!$C$6),1,0)</f>
        <v/>
      </c>
      <c r="AB4473">
        <f>IF(U4473=0,"",IF(Y4473=1,MAX(0,Q4473-G4473),IF(L4473=1,MAX(0,R4473-G4473),MAX(0,Assumptions!$C$6-G4473))))</f>
        <v/>
      </c>
      <c r="AC4473">
        <f>IF(Y4473=1,Q4473-F4473,"")</f>
        <v/>
      </c>
      <c r="AD4473">
        <f>IF(Y4473=1,AC4473^2,"")</f>
        <v/>
      </c>
      <c r="AE4473" s="19">
        <f>IF(Z4473=1,(H4473-M4473)*I4473,0)</f>
        <v/>
      </c>
      <c r="AF4473">
        <f>IF(G4473&lt;EDATE(Assumptions!$C$6,-12)+1,"prior_12m","last_12m")</f>
        <v/>
      </c>
      <c r="AG4473" s="21">
        <f>DATE(YEAR(G4473),MONTH(G4473),1)</f>
        <v/>
      </c>
    </row>
    <row r="4474">
      <c r="A4474" t="inlineStr">
        <is>
          <t>SPO-02391-2</t>
        </is>
      </c>
      <c r="B4474" t="inlineStr">
        <is>
          <t>SPO-02391</t>
        </is>
      </c>
      <c r="C4474" t="inlineStr">
        <is>
          <t>SUP-12</t>
        </is>
      </c>
      <c r="D4474" t="inlineStr">
        <is>
          <t>IT</t>
        </is>
      </c>
      <c r="E4474" t="inlineStr">
        <is>
          <t>IT-06</t>
        </is>
      </c>
      <c r="F4474" s="17" t="n">
        <v>46235</v>
      </c>
      <c r="G4474" s="17" t="n">
        <v>46245</v>
      </c>
      <c r="H4474" s="18" t="n">
        <v>30</v>
      </c>
      <c r="I4474" s="19" t="n">
        <v>97.95</v>
      </c>
      <c r="J4474" s="19" t="n">
        <v>89</v>
      </c>
      <c r="K4474" s="20" t="n">
        <v>0</v>
      </c>
      <c r="L4474" s="20" t="n">
        <v>0</v>
      </c>
      <c r="M4474" s="18" t="n">
        <v>30</v>
      </c>
      <c r="N4474" s="18" t="n">
        <v>30</v>
      </c>
      <c r="O4474" s="18" t="n">
        <v>0</v>
      </c>
      <c r="P4474" s="17" t="n">
        <v>46239</v>
      </c>
      <c r="Q4474" s="17" t="n">
        <v>46239</v>
      </c>
      <c r="R4474" s="17" t="n">
        <v>46239</v>
      </c>
      <c r="S4474" s="19">
        <f>H4474*I4474</f>
        <v/>
      </c>
      <c r="T4474" s="19">
        <f>H4474*J4474</f>
        <v/>
      </c>
      <c r="U4474">
        <f>IF(AND(K4474=0,G4474&lt;=Assumptions!$C$6),1,0)</f>
        <v/>
      </c>
      <c r="V4474">
        <f>IF(U4474=1,IF(M4474&gt;0,IF(P4474&lt;=G4474+Assumptions!$C$7,1,0),0),0)</f>
        <v/>
      </c>
      <c r="W4474">
        <f>IF(AND(U4474=1,M4474&gt;=H4474*(1-Assumptions!$C$8)),1,0)</f>
        <v/>
      </c>
      <c r="X4474">
        <f>IF(AND(U4474=1,N4474&gt;=H4474*(1-Assumptions!$C$8)),1,0)</f>
        <v/>
      </c>
      <c r="Y4474">
        <f>IF(ISNUMBER(Q4474),1,0)</f>
        <v/>
      </c>
      <c r="Z4474">
        <f>IF(AND(K4474=0,L4474=0,Y4474=0),1,0)</f>
        <v/>
      </c>
      <c r="AA4474">
        <f>IF(AND(Z4474=1,G4474&lt;Assumptions!$C$6),1,0)</f>
        <v/>
      </c>
      <c r="AB4474">
        <f>IF(U4474=0,"",IF(Y4474=1,MAX(0,Q4474-G4474),IF(L4474=1,MAX(0,R4474-G4474),MAX(0,Assumptions!$C$6-G4474))))</f>
        <v/>
      </c>
      <c r="AC4474">
        <f>IF(Y4474=1,Q4474-F4474,"")</f>
        <v/>
      </c>
      <c r="AD4474">
        <f>IF(Y4474=1,AC4474^2,"")</f>
        <v/>
      </c>
      <c r="AE4474" s="19">
        <f>IF(Z4474=1,(H4474-M4474)*I4474,0)</f>
        <v/>
      </c>
      <c r="AF4474">
        <f>IF(G4474&lt;EDATE(Assumptions!$C$6,-12)+1,"prior_12m","last_12m")</f>
        <v/>
      </c>
      <c r="AG4474" s="21">
        <f>DATE(YEAR(G4474),MONTH(G4474),1)</f>
        <v/>
      </c>
    </row>
    <row r="4475">
      <c r="A4475" t="inlineStr">
        <is>
          <t>SPO-02392-1</t>
        </is>
      </c>
      <c r="B4475" t="inlineStr">
        <is>
          <t>SPO-02392</t>
        </is>
      </c>
      <c r="C4475" t="inlineStr">
        <is>
          <t>SUP-10</t>
        </is>
      </c>
      <c r="D4475" t="inlineStr">
        <is>
          <t>PPE</t>
        </is>
      </c>
      <c r="E4475" t="inlineStr">
        <is>
          <t>PPE-08</t>
        </is>
      </c>
      <c r="F4475" s="17" t="n">
        <v>46235</v>
      </c>
      <c r="G4475" s="17" t="n">
        <v>46248</v>
      </c>
      <c r="H4475" s="18" t="n">
        <v>20</v>
      </c>
      <c r="I4475" s="19" t="n">
        <v>58.41</v>
      </c>
      <c r="J4475" s="19" t="n">
        <v>64</v>
      </c>
      <c r="K4475" s="20" t="n">
        <v>0</v>
      </c>
      <c r="L4475" s="20" t="n">
        <v>0</v>
      </c>
      <c r="M4475" s="18" t="n">
        <v>20</v>
      </c>
      <c r="N4475" s="18" t="n">
        <v>20</v>
      </c>
      <c r="O4475" s="18" t="n">
        <v>0</v>
      </c>
      <c r="P4475" s="17" t="n">
        <v>46243</v>
      </c>
      <c r="Q4475" s="17" t="n">
        <v>46243</v>
      </c>
      <c r="R4475" s="17" t="n">
        <v>46243</v>
      </c>
      <c r="S4475" s="19">
        <f>H4475*I4475</f>
        <v/>
      </c>
      <c r="T4475" s="19">
        <f>H4475*J4475</f>
        <v/>
      </c>
      <c r="U4475">
        <f>IF(AND(K4475=0,G4475&lt;=Assumptions!$C$6),1,0)</f>
        <v/>
      </c>
      <c r="V4475">
        <f>IF(U4475=1,IF(M4475&gt;0,IF(P4475&lt;=G4475+Assumptions!$C$7,1,0),0),0)</f>
        <v/>
      </c>
      <c r="W4475">
        <f>IF(AND(U4475=1,M4475&gt;=H4475*(1-Assumptions!$C$8)),1,0)</f>
        <v/>
      </c>
      <c r="X4475">
        <f>IF(AND(U4475=1,N4475&gt;=H4475*(1-Assumptions!$C$8)),1,0)</f>
        <v/>
      </c>
      <c r="Y4475">
        <f>IF(ISNUMBER(Q4475),1,0)</f>
        <v/>
      </c>
      <c r="Z4475">
        <f>IF(AND(K4475=0,L4475=0,Y4475=0),1,0)</f>
        <v/>
      </c>
      <c r="AA4475">
        <f>IF(AND(Z4475=1,G4475&lt;Assumptions!$C$6),1,0)</f>
        <v/>
      </c>
      <c r="AB4475">
        <f>IF(U4475=0,"",IF(Y4475=1,MAX(0,Q4475-G4475),IF(L4475=1,MAX(0,R4475-G4475),MAX(0,Assumptions!$C$6-G4475))))</f>
        <v/>
      </c>
      <c r="AC4475">
        <f>IF(Y4475=1,Q4475-F4475,"")</f>
        <v/>
      </c>
      <c r="AD4475">
        <f>IF(Y4475=1,AC4475^2,"")</f>
        <v/>
      </c>
      <c r="AE4475" s="19">
        <f>IF(Z4475=1,(H4475-M4475)*I4475,0)</f>
        <v/>
      </c>
      <c r="AF4475">
        <f>IF(G4475&lt;EDATE(Assumptions!$C$6,-12)+1,"prior_12m","last_12m")</f>
        <v/>
      </c>
      <c r="AG4475" s="21">
        <f>DATE(YEAR(G4475),MONTH(G4475),1)</f>
        <v/>
      </c>
    </row>
    <row r="4476">
      <c r="A4476" t="inlineStr">
        <is>
          <t>SPO-02392-2</t>
        </is>
      </c>
      <c r="B4476" t="inlineStr">
        <is>
          <t>SPO-02392</t>
        </is>
      </c>
      <c r="C4476" t="inlineStr">
        <is>
          <t>SUP-10</t>
        </is>
      </c>
      <c r="D4476" t="inlineStr">
        <is>
          <t>PPE</t>
        </is>
      </c>
      <c r="E4476" t="inlineStr">
        <is>
          <t>PPE-07</t>
        </is>
      </c>
      <c r="F4476" s="17" t="n">
        <v>46235</v>
      </c>
      <c r="G4476" s="17" t="n">
        <v>46248</v>
      </c>
      <c r="H4476" s="18" t="n">
        <v>49</v>
      </c>
      <c r="I4476" s="19" t="n">
        <v>29.36</v>
      </c>
      <c r="J4476" s="19" t="n">
        <v>31</v>
      </c>
      <c r="K4476" s="20" t="n">
        <v>0</v>
      </c>
      <c r="L4476" s="20" t="n">
        <v>0</v>
      </c>
      <c r="M4476" s="18" t="n">
        <v>49</v>
      </c>
      <c r="N4476" s="18" t="n">
        <v>49</v>
      </c>
      <c r="O4476" s="18" t="n">
        <v>0</v>
      </c>
      <c r="P4476" s="17" t="n">
        <v>46246</v>
      </c>
      <c r="Q4476" s="17" t="n">
        <v>46246</v>
      </c>
      <c r="R4476" s="17" t="n">
        <v>46246</v>
      </c>
      <c r="S4476" s="19">
        <f>H4476*I4476</f>
        <v/>
      </c>
      <c r="T4476" s="19">
        <f>H4476*J4476</f>
        <v/>
      </c>
      <c r="U4476">
        <f>IF(AND(K4476=0,G4476&lt;=Assumptions!$C$6),1,0)</f>
        <v/>
      </c>
      <c r="V4476">
        <f>IF(U4476=1,IF(M4476&gt;0,IF(P4476&lt;=G4476+Assumptions!$C$7,1,0),0),0)</f>
        <v/>
      </c>
      <c r="W4476">
        <f>IF(AND(U4476=1,M4476&gt;=H4476*(1-Assumptions!$C$8)),1,0)</f>
        <v/>
      </c>
      <c r="X4476">
        <f>IF(AND(U4476=1,N4476&gt;=H4476*(1-Assumptions!$C$8)),1,0)</f>
        <v/>
      </c>
      <c r="Y4476">
        <f>IF(ISNUMBER(Q4476),1,0)</f>
        <v/>
      </c>
      <c r="Z4476">
        <f>IF(AND(K4476=0,L4476=0,Y4476=0),1,0)</f>
        <v/>
      </c>
      <c r="AA4476">
        <f>IF(AND(Z4476=1,G4476&lt;Assumptions!$C$6),1,0)</f>
        <v/>
      </c>
      <c r="AB4476">
        <f>IF(U4476=0,"",IF(Y4476=1,MAX(0,Q4476-G4476),IF(L4476=1,MAX(0,R4476-G4476),MAX(0,Assumptions!$C$6-G4476))))</f>
        <v/>
      </c>
      <c r="AC4476">
        <f>IF(Y4476=1,Q4476-F4476,"")</f>
        <v/>
      </c>
      <c r="AD4476">
        <f>IF(Y4476=1,AC4476^2,"")</f>
        <v/>
      </c>
      <c r="AE4476" s="19">
        <f>IF(Z4476=1,(H4476-M4476)*I4476,0)</f>
        <v/>
      </c>
      <c r="AF4476">
        <f>IF(G4476&lt;EDATE(Assumptions!$C$6,-12)+1,"prior_12m","last_12m")</f>
        <v/>
      </c>
      <c r="AG4476" s="21">
        <f>DATE(YEAR(G4476),MONTH(G4476),1)</f>
        <v/>
      </c>
    </row>
    <row r="4477">
      <c r="A4477" t="inlineStr">
        <is>
          <t>SPO-02392-3</t>
        </is>
      </c>
      <c r="B4477" t="inlineStr">
        <is>
          <t>SPO-02392</t>
        </is>
      </c>
      <c r="C4477" t="inlineStr">
        <is>
          <t>SUP-10</t>
        </is>
      </c>
      <c r="D4477" t="inlineStr">
        <is>
          <t>PPE</t>
        </is>
      </c>
      <c r="E4477" t="inlineStr">
        <is>
          <t>PPE-06</t>
        </is>
      </c>
      <c r="F4477" s="17" t="n">
        <v>46235</v>
      </c>
      <c r="G4477" s="17" t="n">
        <v>46248</v>
      </c>
      <c r="H4477" s="18" t="n">
        <v>10</v>
      </c>
      <c r="I4477" s="19" t="n">
        <v>115.61</v>
      </c>
      <c r="J4477" s="19" t="n">
        <v>115</v>
      </c>
      <c r="K4477" s="20" t="n">
        <v>0</v>
      </c>
      <c r="L4477" s="20" t="n">
        <v>0</v>
      </c>
      <c r="M4477" s="18" t="n">
        <v>10</v>
      </c>
      <c r="N4477" s="18" t="n">
        <v>10</v>
      </c>
      <c r="O4477" s="18" t="n">
        <v>0</v>
      </c>
      <c r="P4477" s="17" t="n">
        <v>46247</v>
      </c>
      <c r="Q4477" s="17" t="n">
        <v>46247</v>
      </c>
      <c r="R4477" s="17" t="n">
        <v>46247</v>
      </c>
      <c r="S4477" s="19">
        <f>H4477*I4477</f>
        <v/>
      </c>
      <c r="T4477" s="19">
        <f>H4477*J4477</f>
        <v/>
      </c>
      <c r="U4477">
        <f>IF(AND(K4477=0,G4477&lt;=Assumptions!$C$6),1,0)</f>
        <v/>
      </c>
      <c r="V4477">
        <f>IF(U4477=1,IF(M4477&gt;0,IF(P4477&lt;=G4477+Assumptions!$C$7,1,0),0),0)</f>
        <v/>
      </c>
      <c r="W4477">
        <f>IF(AND(U4477=1,M4477&gt;=H4477*(1-Assumptions!$C$8)),1,0)</f>
        <v/>
      </c>
      <c r="X4477">
        <f>IF(AND(U4477=1,N4477&gt;=H4477*(1-Assumptions!$C$8)),1,0)</f>
        <v/>
      </c>
      <c r="Y4477">
        <f>IF(ISNUMBER(Q4477),1,0)</f>
        <v/>
      </c>
      <c r="Z4477">
        <f>IF(AND(K4477=0,L4477=0,Y4477=0),1,0)</f>
        <v/>
      </c>
      <c r="AA4477">
        <f>IF(AND(Z4477=1,G4477&lt;Assumptions!$C$6),1,0)</f>
        <v/>
      </c>
      <c r="AB4477">
        <f>IF(U4477=0,"",IF(Y4477=1,MAX(0,Q4477-G4477),IF(L4477=1,MAX(0,R4477-G4477),MAX(0,Assumptions!$C$6-G4477))))</f>
        <v/>
      </c>
      <c r="AC4477">
        <f>IF(Y4477=1,Q4477-F4477,"")</f>
        <v/>
      </c>
      <c r="AD4477">
        <f>IF(Y4477=1,AC4477^2,"")</f>
        <v/>
      </c>
      <c r="AE4477" s="19">
        <f>IF(Z4477=1,(H4477-M4477)*I4477,0)</f>
        <v/>
      </c>
      <c r="AF4477">
        <f>IF(G4477&lt;EDATE(Assumptions!$C$6,-12)+1,"prior_12m","last_12m")</f>
        <v/>
      </c>
      <c r="AG4477" s="21">
        <f>DATE(YEAR(G4477),MONTH(G4477),1)</f>
        <v/>
      </c>
    </row>
    <row r="4478">
      <c r="A4478" t="inlineStr">
        <is>
          <t>SPO-02392-4</t>
        </is>
      </c>
      <c r="B4478" t="inlineStr">
        <is>
          <t>SPO-02392</t>
        </is>
      </c>
      <c r="C4478" t="inlineStr">
        <is>
          <t>SUP-10</t>
        </is>
      </c>
      <c r="D4478" t="inlineStr">
        <is>
          <t>PPE</t>
        </is>
      </c>
      <c r="E4478" t="inlineStr">
        <is>
          <t>PPE-05</t>
        </is>
      </c>
      <c r="F4478" s="17" t="n">
        <v>46235</v>
      </c>
      <c r="G4478" s="17" t="n">
        <v>46248</v>
      </c>
      <c r="H4478" s="18" t="n">
        <v>257</v>
      </c>
      <c r="I4478" s="19" t="n">
        <v>11.13</v>
      </c>
      <c r="J4478" s="19" t="n">
        <v>11</v>
      </c>
      <c r="K4478" s="20" t="n">
        <v>0</v>
      </c>
      <c r="L4478" s="20" t="n">
        <v>0</v>
      </c>
      <c r="M4478" s="18" t="n">
        <v>257</v>
      </c>
      <c r="N4478" s="18" t="n">
        <v>257</v>
      </c>
      <c r="O4478" s="18" t="n">
        <v>0</v>
      </c>
      <c r="P4478" s="17" t="n">
        <v>46246</v>
      </c>
      <c r="Q4478" s="17" t="n">
        <v>46246</v>
      </c>
      <c r="R4478" s="17" t="n">
        <v>46246</v>
      </c>
      <c r="S4478" s="19">
        <f>H4478*I4478</f>
        <v/>
      </c>
      <c r="T4478" s="19">
        <f>H4478*J4478</f>
        <v/>
      </c>
      <c r="U4478">
        <f>IF(AND(K4478=0,G4478&lt;=Assumptions!$C$6),1,0)</f>
        <v/>
      </c>
      <c r="V4478">
        <f>IF(U4478=1,IF(M4478&gt;0,IF(P4478&lt;=G4478+Assumptions!$C$7,1,0),0),0)</f>
        <v/>
      </c>
      <c r="W4478">
        <f>IF(AND(U4478=1,M4478&gt;=H4478*(1-Assumptions!$C$8)),1,0)</f>
        <v/>
      </c>
      <c r="X4478">
        <f>IF(AND(U4478=1,N4478&gt;=H4478*(1-Assumptions!$C$8)),1,0)</f>
        <v/>
      </c>
      <c r="Y4478">
        <f>IF(ISNUMBER(Q4478),1,0)</f>
        <v/>
      </c>
      <c r="Z4478">
        <f>IF(AND(K4478=0,L4478=0,Y4478=0),1,0)</f>
        <v/>
      </c>
      <c r="AA4478">
        <f>IF(AND(Z4478=1,G4478&lt;Assumptions!$C$6),1,0)</f>
        <v/>
      </c>
      <c r="AB4478">
        <f>IF(U4478=0,"",IF(Y4478=1,MAX(0,Q4478-G4478),IF(L4478=1,MAX(0,R4478-G4478),MAX(0,Assumptions!$C$6-G4478))))</f>
        <v/>
      </c>
      <c r="AC4478">
        <f>IF(Y4478=1,Q4478-F4478,"")</f>
        <v/>
      </c>
      <c r="AD4478">
        <f>IF(Y4478=1,AC4478^2,"")</f>
        <v/>
      </c>
      <c r="AE4478" s="19">
        <f>IF(Z4478=1,(H4478-M4478)*I4478,0)</f>
        <v/>
      </c>
      <c r="AF4478">
        <f>IF(G4478&lt;EDATE(Assumptions!$C$6,-12)+1,"prior_12m","last_12m")</f>
        <v/>
      </c>
      <c r="AG4478" s="21">
        <f>DATE(YEAR(G4478),MONTH(G4478),1)</f>
        <v/>
      </c>
    </row>
    <row r="4479">
      <c r="A4479" t="inlineStr">
        <is>
          <t>SPO-02393-1</t>
        </is>
      </c>
      <c r="B4479" t="inlineStr">
        <is>
          <t>SPO-02393</t>
        </is>
      </c>
      <c r="C4479" t="inlineStr">
        <is>
          <t>SUP-02</t>
        </is>
      </c>
      <c r="D4479" t="inlineStr">
        <is>
          <t>ELEC</t>
        </is>
      </c>
      <c r="E4479" t="inlineStr">
        <is>
          <t>ELEC-01</t>
        </is>
      </c>
      <c r="F4479" s="17" t="n">
        <v>46236</v>
      </c>
      <c r="G4479" s="17" t="n">
        <v>46252</v>
      </c>
      <c r="H4479" s="18" t="n">
        <v>92</v>
      </c>
      <c r="I4479" s="19" t="n">
        <v>36.52</v>
      </c>
      <c r="J4479" s="19" t="n">
        <v>38</v>
      </c>
      <c r="K4479" s="20" t="n">
        <v>0</v>
      </c>
      <c r="L4479" s="20" t="n">
        <v>0</v>
      </c>
      <c r="M4479" s="18" t="n">
        <v>92</v>
      </c>
      <c r="N4479" s="18" t="n">
        <v>92</v>
      </c>
      <c r="O4479" s="18" t="n">
        <v>0</v>
      </c>
      <c r="P4479" s="17" t="n">
        <v>46250</v>
      </c>
      <c r="Q4479" s="17" t="n">
        <v>46250</v>
      </c>
      <c r="R4479" s="17" t="n">
        <v>46250</v>
      </c>
      <c r="S4479" s="19">
        <f>H4479*I4479</f>
        <v/>
      </c>
      <c r="T4479" s="19">
        <f>H4479*J4479</f>
        <v/>
      </c>
      <c r="U4479">
        <f>IF(AND(K4479=0,G4479&lt;=Assumptions!$C$6),1,0)</f>
        <v/>
      </c>
      <c r="V4479">
        <f>IF(U4479=1,IF(M4479&gt;0,IF(P4479&lt;=G4479+Assumptions!$C$7,1,0),0),0)</f>
        <v/>
      </c>
      <c r="W4479">
        <f>IF(AND(U4479=1,M4479&gt;=H4479*(1-Assumptions!$C$8)),1,0)</f>
        <v/>
      </c>
      <c r="X4479">
        <f>IF(AND(U4479=1,N4479&gt;=H4479*(1-Assumptions!$C$8)),1,0)</f>
        <v/>
      </c>
      <c r="Y4479">
        <f>IF(ISNUMBER(Q4479),1,0)</f>
        <v/>
      </c>
      <c r="Z4479">
        <f>IF(AND(K4479=0,L4479=0,Y4479=0),1,0)</f>
        <v/>
      </c>
      <c r="AA4479">
        <f>IF(AND(Z4479=1,G4479&lt;Assumptions!$C$6),1,0)</f>
        <v/>
      </c>
      <c r="AB4479">
        <f>IF(U4479=0,"",IF(Y4479=1,MAX(0,Q4479-G4479),IF(L4479=1,MAX(0,R4479-G4479),MAX(0,Assumptions!$C$6-G4479))))</f>
        <v/>
      </c>
      <c r="AC4479">
        <f>IF(Y4479=1,Q4479-F4479,"")</f>
        <v/>
      </c>
      <c r="AD4479">
        <f>IF(Y4479=1,AC4479^2,"")</f>
        <v/>
      </c>
      <c r="AE4479" s="19">
        <f>IF(Z4479=1,(H4479-M4479)*I4479,0)</f>
        <v/>
      </c>
      <c r="AF4479">
        <f>IF(G4479&lt;EDATE(Assumptions!$C$6,-12)+1,"prior_12m","last_12m")</f>
        <v/>
      </c>
      <c r="AG4479" s="21">
        <f>DATE(YEAR(G4479),MONTH(G4479),1)</f>
        <v/>
      </c>
    </row>
    <row r="4480">
      <c r="A4480" t="inlineStr">
        <is>
          <t>SPO-02393-2</t>
        </is>
      </c>
      <c r="B4480" t="inlineStr">
        <is>
          <t>SPO-02393</t>
        </is>
      </c>
      <c r="C4480" t="inlineStr">
        <is>
          <t>SUP-02</t>
        </is>
      </c>
      <c r="D4480" t="inlineStr">
        <is>
          <t>ELEC</t>
        </is>
      </c>
      <c r="E4480" t="inlineStr">
        <is>
          <t>ELEC-04</t>
        </is>
      </c>
      <c r="F4480" s="17" t="n">
        <v>46236</v>
      </c>
      <c r="G4480" s="17" t="n">
        <v>46252</v>
      </c>
      <c r="H4480" s="18" t="n">
        <v>30</v>
      </c>
      <c r="I4480" s="19" t="n">
        <v>73.28</v>
      </c>
      <c r="J4480" s="19" t="n">
        <v>72</v>
      </c>
      <c r="K4480" s="20" t="n">
        <v>0</v>
      </c>
      <c r="L4480" s="20" t="n">
        <v>0</v>
      </c>
      <c r="M4480" s="18" t="n">
        <v>30</v>
      </c>
      <c r="N4480" s="18" t="n">
        <v>30</v>
      </c>
      <c r="O4480" s="18" t="n">
        <v>0</v>
      </c>
      <c r="P4480" s="17" t="n">
        <v>46248</v>
      </c>
      <c r="Q4480" s="17" t="n">
        <v>46248</v>
      </c>
      <c r="R4480" s="17" t="n">
        <v>46248</v>
      </c>
      <c r="S4480" s="19">
        <f>H4480*I4480</f>
        <v/>
      </c>
      <c r="T4480" s="19">
        <f>H4480*J4480</f>
        <v/>
      </c>
      <c r="U4480">
        <f>IF(AND(K4480=0,G4480&lt;=Assumptions!$C$6),1,0)</f>
        <v/>
      </c>
      <c r="V4480">
        <f>IF(U4480=1,IF(M4480&gt;0,IF(P4480&lt;=G4480+Assumptions!$C$7,1,0),0),0)</f>
        <v/>
      </c>
      <c r="W4480">
        <f>IF(AND(U4480=1,M4480&gt;=H4480*(1-Assumptions!$C$8)),1,0)</f>
        <v/>
      </c>
      <c r="X4480">
        <f>IF(AND(U4480=1,N4480&gt;=H4480*(1-Assumptions!$C$8)),1,0)</f>
        <v/>
      </c>
      <c r="Y4480">
        <f>IF(ISNUMBER(Q4480),1,0)</f>
        <v/>
      </c>
      <c r="Z4480">
        <f>IF(AND(K4480=0,L4480=0,Y4480=0),1,0)</f>
        <v/>
      </c>
      <c r="AA4480">
        <f>IF(AND(Z4480=1,G4480&lt;Assumptions!$C$6),1,0)</f>
        <v/>
      </c>
      <c r="AB4480">
        <f>IF(U4480=0,"",IF(Y4480=1,MAX(0,Q4480-G4480),IF(L4480=1,MAX(0,R4480-G4480),MAX(0,Assumptions!$C$6-G4480))))</f>
        <v/>
      </c>
      <c r="AC4480">
        <f>IF(Y4480=1,Q4480-F4480,"")</f>
        <v/>
      </c>
      <c r="AD4480">
        <f>IF(Y4480=1,AC4480^2,"")</f>
        <v/>
      </c>
      <c r="AE4480" s="19">
        <f>IF(Z4480=1,(H4480-M4480)*I4480,0)</f>
        <v/>
      </c>
      <c r="AF4480">
        <f>IF(G4480&lt;EDATE(Assumptions!$C$6,-12)+1,"prior_12m","last_12m")</f>
        <v/>
      </c>
      <c r="AG4480" s="21">
        <f>DATE(YEAR(G4480),MONTH(G4480),1)</f>
        <v/>
      </c>
    </row>
    <row r="4481">
      <c r="A4481" t="inlineStr">
        <is>
          <t>SPO-02393-3</t>
        </is>
      </c>
      <c r="B4481" t="inlineStr">
        <is>
          <t>SPO-02393</t>
        </is>
      </c>
      <c r="C4481" t="inlineStr">
        <is>
          <t>SUP-02</t>
        </is>
      </c>
      <c r="D4481" t="inlineStr">
        <is>
          <t>ELEC</t>
        </is>
      </c>
      <c r="E4481" t="inlineStr">
        <is>
          <t>ELEC-06</t>
        </is>
      </c>
      <c r="F4481" s="17" t="n">
        <v>46236</v>
      </c>
      <c r="G4481" s="17" t="n">
        <v>46252</v>
      </c>
      <c r="H4481" s="18" t="n">
        <v>5</v>
      </c>
      <c r="I4481" s="19" t="n">
        <v>139</v>
      </c>
      <c r="J4481" s="19" t="n">
        <v>145</v>
      </c>
      <c r="K4481" s="20" t="n">
        <v>0</v>
      </c>
      <c r="L4481" s="20" t="n">
        <v>0</v>
      </c>
      <c r="M4481" s="18" t="n">
        <v>5</v>
      </c>
      <c r="N4481" s="18" t="n">
        <v>5</v>
      </c>
      <c r="O4481" s="18" t="n">
        <v>0</v>
      </c>
      <c r="P4481" s="17" t="n">
        <v>46249</v>
      </c>
      <c r="Q4481" s="17" t="n">
        <v>46249</v>
      </c>
      <c r="R4481" s="17" t="n">
        <v>46249</v>
      </c>
      <c r="S4481" s="19">
        <f>H4481*I4481</f>
        <v/>
      </c>
      <c r="T4481" s="19">
        <f>H4481*J4481</f>
        <v/>
      </c>
      <c r="U4481">
        <f>IF(AND(K4481=0,G4481&lt;=Assumptions!$C$6),1,0)</f>
        <v/>
      </c>
      <c r="V4481">
        <f>IF(U4481=1,IF(M4481&gt;0,IF(P4481&lt;=G4481+Assumptions!$C$7,1,0),0),0)</f>
        <v/>
      </c>
      <c r="W4481">
        <f>IF(AND(U4481=1,M4481&gt;=H4481*(1-Assumptions!$C$8)),1,0)</f>
        <v/>
      </c>
      <c r="X4481">
        <f>IF(AND(U4481=1,N4481&gt;=H4481*(1-Assumptions!$C$8)),1,0)</f>
        <v/>
      </c>
      <c r="Y4481">
        <f>IF(ISNUMBER(Q4481),1,0)</f>
        <v/>
      </c>
      <c r="Z4481">
        <f>IF(AND(K4481=0,L4481=0,Y4481=0),1,0)</f>
        <v/>
      </c>
      <c r="AA4481">
        <f>IF(AND(Z4481=1,G4481&lt;Assumptions!$C$6),1,0)</f>
        <v/>
      </c>
      <c r="AB4481">
        <f>IF(U4481=0,"",IF(Y4481=1,MAX(0,Q4481-G4481),IF(L4481=1,MAX(0,R4481-G4481),MAX(0,Assumptions!$C$6-G4481))))</f>
        <v/>
      </c>
      <c r="AC4481">
        <f>IF(Y4481=1,Q4481-F4481,"")</f>
        <v/>
      </c>
      <c r="AD4481">
        <f>IF(Y4481=1,AC4481^2,"")</f>
        <v/>
      </c>
      <c r="AE4481" s="19">
        <f>IF(Z4481=1,(H4481-M4481)*I4481,0)</f>
        <v/>
      </c>
      <c r="AF4481">
        <f>IF(G4481&lt;EDATE(Assumptions!$C$6,-12)+1,"prior_12m","last_12m")</f>
        <v/>
      </c>
      <c r="AG4481" s="21">
        <f>DATE(YEAR(G4481),MONTH(G4481),1)</f>
        <v/>
      </c>
    </row>
    <row r="4482">
      <c r="A4482" t="inlineStr">
        <is>
          <t>SPO-02394-1</t>
        </is>
      </c>
      <c r="B4482" t="inlineStr">
        <is>
          <t>SPO-02394</t>
        </is>
      </c>
      <c r="C4482" t="inlineStr">
        <is>
          <t>SUP-02</t>
        </is>
      </c>
      <c r="D4482" t="inlineStr">
        <is>
          <t>ELEC</t>
        </is>
      </c>
      <c r="E4482" t="inlineStr">
        <is>
          <t>ELEC-04</t>
        </is>
      </c>
      <c r="F4482" s="17" t="n">
        <v>46236</v>
      </c>
      <c r="G4482" s="17" t="n">
        <v>46252</v>
      </c>
      <c r="H4482" s="18" t="n">
        <v>8</v>
      </c>
      <c r="I4482" s="19" t="n">
        <v>70.70999999999999</v>
      </c>
      <c r="J4482" s="19" t="n">
        <v>72</v>
      </c>
      <c r="K4482" s="20" t="n">
        <v>1</v>
      </c>
      <c r="L4482" s="20" t="n">
        <v>0</v>
      </c>
      <c r="M4482" s="18" t="n">
        <v>0</v>
      </c>
      <c r="N4482" s="18" t="n">
        <v>0</v>
      </c>
      <c r="O4482" s="18" t="n">
        <v>0</v>
      </c>
      <c r="P4482" s="17" t="n"/>
      <c r="Q4482" s="17" t="n"/>
      <c r="R4482" s="17" t="n"/>
      <c r="S4482" s="19">
        <f>H4482*I4482</f>
        <v/>
      </c>
      <c r="T4482" s="19">
        <f>H4482*J4482</f>
        <v/>
      </c>
      <c r="U4482">
        <f>IF(AND(K4482=0,G4482&lt;=Assumptions!$C$6),1,0)</f>
        <v/>
      </c>
      <c r="V4482">
        <f>IF(U4482=1,IF(M4482&gt;0,IF(P4482&lt;=G4482+Assumptions!$C$7,1,0),0),0)</f>
        <v/>
      </c>
      <c r="W4482">
        <f>IF(AND(U4482=1,M4482&gt;=H4482*(1-Assumptions!$C$8)),1,0)</f>
        <v/>
      </c>
      <c r="X4482">
        <f>IF(AND(U4482=1,N4482&gt;=H4482*(1-Assumptions!$C$8)),1,0)</f>
        <v/>
      </c>
      <c r="Y4482">
        <f>IF(ISNUMBER(Q4482),1,0)</f>
        <v/>
      </c>
      <c r="Z4482">
        <f>IF(AND(K4482=0,L4482=0,Y4482=0),1,0)</f>
        <v/>
      </c>
      <c r="AA4482">
        <f>IF(AND(Z4482=1,G4482&lt;Assumptions!$C$6),1,0)</f>
        <v/>
      </c>
      <c r="AB4482">
        <f>IF(U4482=0,"",IF(Y4482=1,MAX(0,Q4482-G4482),IF(L4482=1,MAX(0,R4482-G4482),MAX(0,Assumptions!$C$6-G4482))))</f>
        <v/>
      </c>
      <c r="AC4482">
        <f>IF(Y4482=1,Q4482-F4482,"")</f>
        <v/>
      </c>
      <c r="AD4482">
        <f>IF(Y4482=1,AC4482^2,"")</f>
        <v/>
      </c>
      <c r="AE4482" s="19">
        <f>IF(Z4482=1,(H4482-M4482)*I4482,0)</f>
        <v/>
      </c>
      <c r="AF4482">
        <f>IF(G4482&lt;EDATE(Assumptions!$C$6,-12)+1,"prior_12m","last_12m")</f>
        <v/>
      </c>
      <c r="AG4482" s="21">
        <f>DATE(YEAR(G4482),MONTH(G4482),1)</f>
        <v/>
      </c>
    </row>
    <row r="4483">
      <c r="A4483" t="inlineStr">
        <is>
          <t>SPO-02395-1</t>
        </is>
      </c>
      <c r="B4483" t="inlineStr">
        <is>
          <t>SPO-02395</t>
        </is>
      </c>
      <c r="C4483" t="inlineStr">
        <is>
          <t>SUP-04</t>
        </is>
      </c>
      <c r="D4483" t="inlineStr">
        <is>
          <t>FLEET</t>
        </is>
      </c>
      <c r="E4483" t="inlineStr">
        <is>
          <t>FLEET-08</t>
        </is>
      </c>
      <c r="F4483" s="17" t="n">
        <v>46237</v>
      </c>
      <c r="G4483" s="17" t="n">
        <v>46250</v>
      </c>
      <c r="H4483" s="18" t="n">
        <v>361</v>
      </c>
      <c r="I4483" s="19" t="n">
        <v>6.12</v>
      </c>
      <c r="J4483" s="19" t="n">
        <v>6.4</v>
      </c>
      <c r="K4483" s="20" t="n">
        <v>0</v>
      </c>
      <c r="L4483" s="20" t="n">
        <v>0</v>
      </c>
      <c r="M4483" s="18" t="n">
        <v>361</v>
      </c>
      <c r="N4483" s="18" t="n">
        <v>361</v>
      </c>
      <c r="O4483" s="18" t="n">
        <v>0</v>
      </c>
      <c r="P4483" s="17" t="n">
        <v>46238</v>
      </c>
      <c r="Q4483" s="17" t="n">
        <v>46238</v>
      </c>
      <c r="R4483" s="17" t="n">
        <v>46238</v>
      </c>
      <c r="S4483" s="19">
        <f>H4483*I4483</f>
        <v/>
      </c>
      <c r="T4483" s="19">
        <f>H4483*J4483</f>
        <v/>
      </c>
      <c r="U4483">
        <f>IF(AND(K4483=0,G4483&lt;=Assumptions!$C$6),1,0)</f>
        <v/>
      </c>
      <c r="V4483">
        <f>IF(U4483=1,IF(M4483&gt;0,IF(P4483&lt;=G4483+Assumptions!$C$7,1,0),0),0)</f>
        <v/>
      </c>
      <c r="W4483">
        <f>IF(AND(U4483=1,M4483&gt;=H4483*(1-Assumptions!$C$8)),1,0)</f>
        <v/>
      </c>
      <c r="X4483">
        <f>IF(AND(U4483=1,N4483&gt;=H4483*(1-Assumptions!$C$8)),1,0)</f>
        <v/>
      </c>
      <c r="Y4483">
        <f>IF(ISNUMBER(Q4483),1,0)</f>
        <v/>
      </c>
      <c r="Z4483">
        <f>IF(AND(K4483=0,L4483=0,Y4483=0),1,0)</f>
        <v/>
      </c>
      <c r="AA4483">
        <f>IF(AND(Z4483=1,G4483&lt;Assumptions!$C$6),1,0)</f>
        <v/>
      </c>
      <c r="AB4483">
        <f>IF(U4483=0,"",IF(Y4483=1,MAX(0,Q4483-G4483),IF(L4483=1,MAX(0,R4483-G4483),MAX(0,Assumptions!$C$6-G4483))))</f>
        <v/>
      </c>
      <c r="AC4483">
        <f>IF(Y4483=1,Q4483-F4483,"")</f>
        <v/>
      </c>
      <c r="AD4483">
        <f>IF(Y4483=1,AC4483^2,"")</f>
        <v/>
      </c>
      <c r="AE4483" s="19">
        <f>IF(Z4483=1,(H4483-M4483)*I4483,0)</f>
        <v/>
      </c>
      <c r="AF4483">
        <f>IF(G4483&lt;EDATE(Assumptions!$C$6,-12)+1,"prior_12m","last_12m")</f>
        <v/>
      </c>
      <c r="AG4483" s="21">
        <f>DATE(YEAR(G4483),MONTH(G4483),1)</f>
        <v/>
      </c>
    </row>
    <row r="4484">
      <c r="A4484" t="inlineStr">
        <is>
          <t>SPO-02396-1</t>
        </is>
      </c>
      <c r="B4484" t="inlineStr">
        <is>
          <t>SPO-02396</t>
        </is>
      </c>
      <c r="C4484" t="inlineStr">
        <is>
          <t>SUP-04</t>
        </is>
      </c>
      <c r="D4484" t="inlineStr">
        <is>
          <t>FLEET</t>
        </is>
      </c>
      <c r="E4484" t="inlineStr">
        <is>
          <t>FLEET-03</t>
        </is>
      </c>
      <c r="F4484" s="17" t="n">
        <v>46237</v>
      </c>
      <c r="G4484" s="17" t="n">
        <v>46250</v>
      </c>
      <c r="H4484" s="18" t="n">
        <v>40</v>
      </c>
      <c r="I4484" s="19" t="n">
        <v>21.56</v>
      </c>
      <c r="J4484" s="19" t="n">
        <v>21</v>
      </c>
      <c r="K4484" s="20" t="n">
        <v>0</v>
      </c>
      <c r="L4484" s="20" t="n">
        <v>0</v>
      </c>
      <c r="M4484" s="18" t="n">
        <v>40</v>
      </c>
      <c r="N4484" s="18" t="n">
        <v>40</v>
      </c>
      <c r="O4484" s="18" t="n">
        <v>0</v>
      </c>
      <c r="P4484" s="17" t="n">
        <v>46240</v>
      </c>
      <c r="Q4484" s="17" t="n">
        <v>46240</v>
      </c>
      <c r="R4484" s="17" t="n">
        <v>46240</v>
      </c>
      <c r="S4484" s="19">
        <f>H4484*I4484</f>
        <v/>
      </c>
      <c r="T4484" s="19">
        <f>H4484*J4484</f>
        <v/>
      </c>
      <c r="U4484">
        <f>IF(AND(K4484=0,G4484&lt;=Assumptions!$C$6),1,0)</f>
        <v/>
      </c>
      <c r="V4484">
        <f>IF(U4484=1,IF(M4484&gt;0,IF(P4484&lt;=G4484+Assumptions!$C$7,1,0),0),0)</f>
        <v/>
      </c>
      <c r="W4484">
        <f>IF(AND(U4484=1,M4484&gt;=H4484*(1-Assumptions!$C$8)),1,0)</f>
        <v/>
      </c>
      <c r="X4484">
        <f>IF(AND(U4484=1,N4484&gt;=H4484*(1-Assumptions!$C$8)),1,0)</f>
        <v/>
      </c>
      <c r="Y4484">
        <f>IF(ISNUMBER(Q4484),1,0)</f>
        <v/>
      </c>
      <c r="Z4484">
        <f>IF(AND(K4484=0,L4484=0,Y4484=0),1,0)</f>
        <v/>
      </c>
      <c r="AA4484">
        <f>IF(AND(Z4484=1,G4484&lt;Assumptions!$C$6),1,0)</f>
        <v/>
      </c>
      <c r="AB4484">
        <f>IF(U4484=0,"",IF(Y4484=1,MAX(0,Q4484-G4484),IF(L4484=1,MAX(0,R4484-G4484),MAX(0,Assumptions!$C$6-G4484))))</f>
        <v/>
      </c>
      <c r="AC4484">
        <f>IF(Y4484=1,Q4484-F4484,"")</f>
        <v/>
      </c>
      <c r="AD4484">
        <f>IF(Y4484=1,AC4484^2,"")</f>
        <v/>
      </c>
      <c r="AE4484" s="19">
        <f>IF(Z4484=1,(H4484-M4484)*I4484,0)</f>
        <v/>
      </c>
      <c r="AF4484">
        <f>IF(G4484&lt;EDATE(Assumptions!$C$6,-12)+1,"prior_12m","last_12m")</f>
        <v/>
      </c>
      <c r="AG4484" s="21">
        <f>DATE(YEAR(G4484),MONTH(G4484),1)</f>
        <v/>
      </c>
    </row>
    <row r="4485">
      <c r="A4485" t="inlineStr">
        <is>
          <t>SPO-02397-1</t>
        </is>
      </c>
      <c r="B4485" t="inlineStr">
        <is>
          <t>SPO-02397</t>
        </is>
      </c>
      <c r="C4485" t="inlineStr">
        <is>
          <t>SUP-01</t>
        </is>
      </c>
      <c r="D4485" t="inlineStr">
        <is>
          <t>ELEC</t>
        </is>
      </c>
      <c r="E4485" t="inlineStr">
        <is>
          <t>ELEC-02</t>
        </is>
      </c>
      <c r="F4485" s="17" t="n">
        <v>46237</v>
      </c>
      <c r="G4485" s="17" t="n">
        <v>46255</v>
      </c>
      <c r="H4485" s="18" t="n">
        <v>562</v>
      </c>
      <c r="I4485" s="19" t="n">
        <v>4.3</v>
      </c>
      <c r="J4485" s="19" t="n">
        <v>4.2</v>
      </c>
      <c r="K4485" s="20" t="n">
        <v>0</v>
      </c>
      <c r="L4485" s="20" t="n">
        <v>0</v>
      </c>
      <c r="M4485" s="18" t="n">
        <v>562</v>
      </c>
      <c r="N4485" s="18" t="n">
        <v>562</v>
      </c>
      <c r="O4485" s="18" t="n">
        <v>0</v>
      </c>
      <c r="P4485" s="17" t="n">
        <v>46247</v>
      </c>
      <c r="Q4485" s="17" t="n">
        <v>46247</v>
      </c>
      <c r="R4485" s="17" t="n">
        <v>46247</v>
      </c>
      <c r="S4485" s="19">
        <f>H4485*I4485</f>
        <v/>
      </c>
      <c r="T4485" s="19">
        <f>H4485*J4485</f>
        <v/>
      </c>
      <c r="U4485">
        <f>IF(AND(K4485=0,G4485&lt;=Assumptions!$C$6),1,0)</f>
        <v/>
      </c>
      <c r="V4485">
        <f>IF(U4485=1,IF(M4485&gt;0,IF(P4485&lt;=G4485+Assumptions!$C$7,1,0),0),0)</f>
        <v/>
      </c>
      <c r="W4485">
        <f>IF(AND(U4485=1,M4485&gt;=H4485*(1-Assumptions!$C$8)),1,0)</f>
        <v/>
      </c>
      <c r="X4485">
        <f>IF(AND(U4485=1,N4485&gt;=H4485*(1-Assumptions!$C$8)),1,0)</f>
        <v/>
      </c>
      <c r="Y4485">
        <f>IF(ISNUMBER(Q4485),1,0)</f>
        <v/>
      </c>
      <c r="Z4485">
        <f>IF(AND(K4485=0,L4485=0,Y4485=0),1,0)</f>
        <v/>
      </c>
      <c r="AA4485">
        <f>IF(AND(Z4485=1,G4485&lt;Assumptions!$C$6),1,0)</f>
        <v/>
      </c>
      <c r="AB4485">
        <f>IF(U4485=0,"",IF(Y4485=1,MAX(0,Q4485-G4485),IF(L4485=1,MAX(0,R4485-G4485),MAX(0,Assumptions!$C$6-G4485))))</f>
        <v/>
      </c>
      <c r="AC4485">
        <f>IF(Y4485=1,Q4485-F4485,"")</f>
        <v/>
      </c>
      <c r="AD4485">
        <f>IF(Y4485=1,AC4485^2,"")</f>
        <v/>
      </c>
      <c r="AE4485" s="19">
        <f>IF(Z4485=1,(H4485-M4485)*I4485,0)</f>
        <v/>
      </c>
      <c r="AF4485">
        <f>IF(G4485&lt;EDATE(Assumptions!$C$6,-12)+1,"prior_12m","last_12m")</f>
        <v/>
      </c>
      <c r="AG4485" s="21">
        <f>DATE(YEAR(G4485),MONTH(G4485),1)</f>
        <v/>
      </c>
    </row>
    <row r="4486">
      <c r="A4486" t="inlineStr">
        <is>
          <t>SPO-02398-1</t>
        </is>
      </c>
      <c r="B4486" t="inlineStr">
        <is>
          <t>SPO-02398</t>
        </is>
      </c>
      <c r="C4486" t="inlineStr">
        <is>
          <t>SUP-05</t>
        </is>
      </c>
      <c r="D4486" t="inlineStr">
        <is>
          <t>FLEET</t>
        </is>
      </c>
      <c r="E4486" t="inlineStr">
        <is>
          <t>FLEET-08</t>
        </is>
      </c>
      <c r="F4486" s="17" t="n">
        <v>46237</v>
      </c>
      <c r="G4486" s="17" t="n">
        <v>46251</v>
      </c>
      <c r="H4486" s="18" t="n">
        <v>229</v>
      </c>
      <c r="I4486" s="19" t="n">
        <v>6.62</v>
      </c>
      <c r="J4486" s="19" t="n">
        <v>6.4</v>
      </c>
      <c r="K4486" s="20" t="n">
        <v>0</v>
      </c>
      <c r="L4486" s="20" t="n">
        <v>0</v>
      </c>
      <c r="M4486" s="18" t="n">
        <v>229</v>
      </c>
      <c r="N4486" s="18" t="n">
        <v>229</v>
      </c>
      <c r="O4486" s="18" t="n">
        <v>0</v>
      </c>
      <c r="P4486" s="17" t="n">
        <v>46249</v>
      </c>
      <c r="Q4486" s="17" t="n">
        <v>46249</v>
      </c>
      <c r="R4486" s="17" t="n">
        <v>46249</v>
      </c>
      <c r="S4486" s="19">
        <f>H4486*I4486</f>
        <v/>
      </c>
      <c r="T4486" s="19">
        <f>H4486*J4486</f>
        <v/>
      </c>
      <c r="U4486">
        <f>IF(AND(K4486=0,G4486&lt;=Assumptions!$C$6),1,0)</f>
        <v/>
      </c>
      <c r="V4486">
        <f>IF(U4486=1,IF(M4486&gt;0,IF(P4486&lt;=G4486+Assumptions!$C$7,1,0),0),0)</f>
        <v/>
      </c>
      <c r="W4486">
        <f>IF(AND(U4486=1,M4486&gt;=H4486*(1-Assumptions!$C$8)),1,0)</f>
        <v/>
      </c>
      <c r="X4486">
        <f>IF(AND(U4486=1,N4486&gt;=H4486*(1-Assumptions!$C$8)),1,0)</f>
        <v/>
      </c>
      <c r="Y4486">
        <f>IF(ISNUMBER(Q4486),1,0)</f>
        <v/>
      </c>
      <c r="Z4486">
        <f>IF(AND(K4486=0,L4486=0,Y4486=0),1,0)</f>
        <v/>
      </c>
      <c r="AA4486">
        <f>IF(AND(Z4486=1,G4486&lt;Assumptions!$C$6),1,0)</f>
        <v/>
      </c>
      <c r="AB4486">
        <f>IF(U4486=0,"",IF(Y4486=1,MAX(0,Q4486-G4486),IF(L4486=1,MAX(0,R4486-G4486),MAX(0,Assumptions!$C$6-G4486))))</f>
        <v/>
      </c>
      <c r="AC4486">
        <f>IF(Y4486=1,Q4486-F4486,"")</f>
        <v/>
      </c>
      <c r="AD4486">
        <f>IF(Y4486=1,AC4486^2,"")</f>
        <v/>
      </c>
      <c r="AE4486" s="19">
        <f>IF(Z4486=1,(H4486-M4486)*I4486,0)</f>
        <v/>
      </c>
      <c r="AF4486">
        <f>IF(G4486&lt;EDATE(Assumptions!$C$6,-12)+1,"prior_12m","last_12m")</f>
        <v/>
      </c>
      <c r="AG4486" s="21">
        <f>DATE(YEAR(G4486),MONTH(G4486),1)</f>
        <v/>
      </c>
    </row>
    <row r="4487">
      <c r="A4487" t="inlineStr">
        <is>
          <t>SPO-02399-1</t>
        </is>
      </c>
      <c r="B4487" t="inlineStr">
        <is>
          <t>SPO-02399</t>
        </is>
      </c>
      <c r="C4487" t="inlineStr">
        <is>
          <t>SUP-06</t>
        </is>
      </c>
      <c r="D4487" t="inlineStr">
        <is>
          <t>MRO</t>
        </is>
      </c>
      <c r="E4487" t="inlineStr">
        <is>
          <t>MRO-05</t>
        </is>
      </c>
      <c r="F4487" s="17" t="n">
        <v>46238</v>
      </c>
      <c r="G4487" s="17" t="n">
        <v>46246</v>
      </c>
      <c r="H4487" s="18" t="n">
        <v>20</v>
      </c>
      <c r="I4487" s="19" t="n">
        <v>34.36</v>
      </c>
      <c r="J4487" s="19" t="n">
        <v>36</v>
      </c>
      <c r="K4487" s="20" t="n">
        <v>0</v>
      </c>
      <c r="L4487" s="20" t="n">
        <v>0</v>
      </c>
      <c r="M4487" s="18" t="n">
        <v>20</v>
      </c>
      <c r="N4487" s="18" t="n">
        <v>20</v>
      </c>
      <c r="O4487" s="18" t="n">
        <v>0</v>
      </c>
      <c r="P4487" s="17" t="n">
        <v>46244</v>
      </c>
      <c r="Q4487" s="17" t="n">
        <v>46244</v>
      </c>
      <c r="R4487" s="17" t="n">
        <v>46244</v>
      </c>
      <c r="S4487" s="19">
        <f>H4487*I4487</f>
        <v/>
      </c>
      <c r="T4487" s="19">
        <f>H4487*J4487</f>
        <v/>
      </c>
      <c r="U4487">
        <f>IF(AND(K4487=0,G4487&lt;=Assumptions!$C$6),1,0)</f>
        <v/>
      </c>
      <c r="V4487">
        <f>IF(U4487=1,IF(M4487&gt;0,IF(P4487&lt;=G4487+Assumptions!$C$7,1,0),0),0)</f>
        <v/>
      </c>
      <c r="W4487">
        <f>IF(AND(U4487=1,M4487&gt;=H4487*(1-Assumptions!$C$8)),1,0)</f>
        <v/>
      </c>
      <c r="X4487">
        <f>IF(AND(U4487=1,N4487&gt;=H4487*(1-Assumptions!$C$8)),1,0)</f>
        <v/>
      </c>
      <c r="Y4487">
        <f>IF(ISNUMBER(Q4487),1,0)</f>
        <v/>
      </c>
      <c r="Z4487">
        <f>IF(AND(K4487=0,L4487=0,Y4487=0),1,0)</f>
        <v/>
      </c>
      <c r="AA4487">
        <f>IF(AND(Z4487=1,G4487&lt;Assumptions!$C$6),1,0)</f>
        <v/>
      </c>
      <c r="AB4487">
        <f>IF(U4487=0,"",IF(Y4487=1,MAX(0,Q4487-G4487),IF(L4487=1,MAX(0,R4487-G4487),MAX(0,Assumptions!$C$6-G4487))))</f>
        <v/>
      </c>
      <c r="AC4487">
        <f>IF(Y4487=1,Q4487-F4487,"")</f>
        <v/>
      </c>
      <c r="AD4487">
        <f>IF(Y4487=1,AC4487^2,"")</f>
        <v/>
      </c>
      <c r="AE4487" s="19">
        <f>IF(Z4487=1,(H4487-M4487)*I4487,0)</f>
        <v/>
      </c>
      <c r="AF4487">
        <f>IF(G4487&lt;EDATE(Assumptions!$C$6,-12)+1,"prior_12m","last_12m")</f>
        <v/>
      </c>
      <c r="AG4487" s="21">
        <f>DATE(YEAR(G4487),MONTH(G4487),1)</f>
        <v/>
      </c>
    </row>
    <row r="4488">
      <c r="A4488" t="inlineStr">
        <is>
          <t>SPO-02399-2</t>
        </is>
      </c>
      <c r="B4488" t="inlineStr">
        <is>
          <t>SPO-02399</t>
        </is>
      </c>
      <c r="C4488" t="inlineStr">
        <is>
          <t>SUP-06</t>
        </is>
      </c>
      <c r="D4488" t="inlineStr">
        <is>
          <t>MRO</t>
        </is>
      </c>
      <c r="E4488" t="inlineStr">
        <is>
          <t>MRO-01</t>
        </is>
      </c>
      <c r="F4488" s="17" t="n">
        <v>46238</v>
      </c>
      <c r="G4488" s="17" t="n">
        <v>46246</v>
      </c>
      <c r="H4488" s="18" t="n">
        <v>26</v>
      </c>
      <c r="I4488" s="19" t="n">
        <v>53.38</v>
      </c>
      <c r="J4488" s="19" t="n">
        <v>52</v>
      </c>
      <c r="K4488" s="20" t="n">
        <v>0</v>
      </c>
      <c r="L4488" s="20" t="n">
        <v>0</v>
      </c>
      <c r="M4488" s="18" t="n">
        <v>26</v>
      </c>
      <c r="N4488" s="18" t="n">
        <v>26</v>
      </c>
      <c r="O4488" s="18" t="n">
        <v>0</v>
      </c>
      <c r="P4488" s="17" t="n">
        <v>46245</v>
      </c>
      <c r="Q4488" s="17" t="n">
        <v>46245</v>
      </c>
      <c r="R4488" s="17" t="n">
        <v>46245</v>
      </c>
      <c r="S4488" s="19">
        <f>H4488*I4488</f>
        <v/>
      </c>
      <c r="T4488" s="19">
        <f>H4488*J4488</f>
        <v/>
      </c>
      <c r="U4488">
        <f>IF(AND(K4488=0,G4488&lt;=Assumptions!$C$6),1,0)</f>
        <v/>
      </c>
      <c r="V4488">
        <f>IF(U4488=1,IF(M4488&gt;0,IF(P4488&lt;=G4488+Assumptions!$C$7,1,0),0),0)</f>
        <v/>
      </c>
      <c r="W4488">
        <f>IF(AND(U4488=1,M4488&gt;=H4488*(1-Assumptions!$C$8)),1,0)</f>
        <v/>
      </c>
      <c r="X4488">
        <f>IF(AND(U4488=1,N4488&gt;=H4488*(1-Assumptions!$C$8)),1,0)</f>
        <v/>
      </c>
      <c r="Y4488">
        <f>IF(ISNUMBER(Q4488),1,0)</f>
        <v/>
      </c>
      <c r="Z4488">
        <f>IF(AND(K4488=0,L4488=0,Y4488=0),1,0)</f>
        <v/>
      </c>
      <c r="AA4488">
        <f>IF(AND(Z4488=1,G4488&lt;Assumptions!$C$6),1,0)</f>
        <v/>
      </c>
      <c r="AB4488">
        <f>IF(U4488=0,"",IF(Y4488=1,MAX(0,Q4488-G4488),IF(L4488=1,MAX(0,R4488-G4488),MAX(0,Assumptions!$C$6-G4488))))</f>
        <v/>
      </c>
      <c r="AC4488">
        <f>IF(Y4488=1,Q4488-F4488,"")</f>
        <v/>
      </c>
      <c r="AD4488">
        <f>IF(Y4488=1,AC4488^2,"")</f>
        <v/>
      </c>
      <c r="AE4488" s="19">
        <f>IF(Z4488=1,(H4488-M4488)*I4488,0)</f>
        <v/>
      </c>
      <c r="AF4488">
        <f>IF(G4488&lt;EDATE(Assumptions!$C$6,-12)+1,"prior_12m","last_12m")</f>
        <v/>
      </c>
      <c r="AG4488" s="21">
        <f>DATE(YEAR(G4488),MONTH(G4488),1)</f>
        <v/>
      </c>
    </row>
    <row r="4489">
      <c r="A4489" t="inlineStr">
        <is>
          <t>SPO-02400-1</t>
        </is>
      </c>
      <c r="B4489" t="inlineStr">
        <is>
          <t>SPO-02400</t>
        </is>
      </c>
      <c r="C4489" t="inlineStr">
        <is>
          <t>SUP-14</t>
        </is>
      </c>
      <c r="D4489" t="inlineStr">
        <is>
          <t>FLEET</t>
        </is>
      </c>
      <c r="E4489" t="inlineStr">
        <is>
          <t>FLEET-06</t>
        </is>
      </c>
      <c r="F4489" s="17" t="n">
        <v>46238</v>
      </c>
      <c r="G4489" s="17" t="n">
        <v>46252</v>
      </c>
      <c r="H4489" s="18" t="n">
        <v>45</v>
      </c>
      <c r="I4489" s="19" t="n">
        <v>30.99</v>
      </c>
      <c r="J4489" s="19" t="n">
        <v>33</v>
      </c>
      <c r="K4489" s="20" t="n">
        <v>0</v>
      </c>
      <c r="L4489" s="20" t="n">
        <v>0</v>
      </c>
      <c r="M4489" s="18" t="n">
        <v>45</v>
      </c>
      <c r="N4489" s="18" t="n">
        <v>45</v>
      </c>
      <c r="O4489" s="18" t="n">
        <v>0</v>
      </c>
      <c r="P4489" s="17" t="n">
        <v>46251</v>
      </c>
      <c r="Q4489" s="17" t="n">
        <v>46251</v>
      </c>
      <c r="R4489" s="17" t="n">
        <v>46251</v>
      </c>
      <c r="S4489" s="19">
        <f>H4489*I4489</f>
        <v/>
      </c>
      <c r="T4489" s="19">
        <f>H4489*J4489</f>
        <v/>
      </c>
      <c r="U4489">
        <f>IF(AND(K4489=0,G4489&lt;=Assumptions!$C$6),1,0)</f>
        <v/>
      </c>
      <c r="V4489">
        <f>IF(U4489=1,IF(M4489&gt;0,IF(P4489&lt;=G4489+Assumptions!$C$7,1,0),0),0)</f>
        <v/>
      </c>
      <c r="W4489">
        <f>IF(AND(U4489=1,M4489&gt;=H4489*(1-Assumptions!$C$8)),1,0)</f>
        <v/>
      </c>
      <c r="X4489">
        <f>IF(AND(U4489=1,N4489&gt;=H4489*(1-Assumptions!$C$8)),1,0)</f>
        <v/>
      </c>
      <c r="Y4489">
        <f>IF(ISNUMBER(Q4489),1,0)</f>
        <v/>
      </c>
      <c r="Z4489">
        <f>IF(AND(K4489=0,L4489=0,Y4489=0),1,0)</f>
        <v/>
      </c>
      <c r="AA4489">
        <f>IF(AND(Z4489=1,G4489&lt;Assumptions!$C$6),1,0)</f>
        <v/>
      </c>
      <c r="AB4489">
        <f>IF(U4489=0,"",IF(Y4489=1,MAX(0,Q4489-G4489),IF(L4489=1,MAX(0,R4489-G4489),MAX(0,Assumptions!$C$6-G4489))))</f>
        <v/>
      </c>
      <c r="AC4489">
        <f>IF(Y4489=1,Q4489-F4489,"")</f>
        <v/>
      </c>
      <c r="AD4489">
        <f>IF(Y4489=1,AC4489^2,"")</f>
        <v/>
      </c>
      <c r="AE4489" s="19">
        <f>IF(Z4489=1,(H4489-M4489)*I4489,0)</f>
        <v/>
      </c>
      <c r="AF4489">
        <f>IF(G4489&lt;EDATE(Assumptions!$C$6,-12)+1,"prior_12m","last_12m")</f>
        <v/>
      </c>
      <c r="AG4489" s="21">
        <f>DATE(YEAR(G4489),MONTH(G4489),1)</f>
        <v/>
      </c>
    </row>
    <row r="4490">
      <c r="A4490" t="inlineStr">
        <is>
          <t>SPO-02401-1</t>
        </is>
      </c>
      <c r="B4490" t="inlineStr">
        <is>
          <t>SPO-02401</t>
        </is>
      </c>
      <c r="C4490" t="inlineStr">
        <is>
          <t>SUP-12</t>
        </is>
      </c>
      <c r="D4490" t="inlineStr">
        <is>
          <t>IT</t>
        </is>
      </c>
      <c r="E4490" t="inlineStr">
        <is>
          <t>IT-06</t>
        </is>
      </c>
      <c r="F4490" s="17" t="n">
        <v>46239</v>
      </c>
      <c r="G4490" s="17" t="n">
        <v>46249</v>
      </c>
      <c r="H4490" s="18" t="n">
        <v>10</v>
      </c>
      <c r="I4490" s="19" t="n">
        <v>105.99</v>
      </c>
      <c r="J4490" s="19" t="n">
        <v>89</v>
      </c>
      <c r="K4490" s="20" t="n">
        <v>0</v>
      </c>
      <c r="L4490" s="20" t="n">
        <v>0</v>
      </c>
      <c r="M4490" s="18" t="n">
        <v>10</v>
      </c>
      <c r="N4490" s="18" t="n">
        <v>10</v>
      </c>
      <c r="O4490" s="18" t="n">
        <v>0</v>
      </c>
      <c r="P4490" s="17" t="n">
        <v>46246</v>
      </c>
      <c r="Q4490" s="17" t="n">
        <v>46246</v>
      </c>
      <c r="R4490" s="17" t="n">
        <v>46246</v>
      </c>
      <c r="S4490" s="19">
        <f>H4490*I4490</f>
        <v/>
      </c>
      <c r="T4490" s="19">
        <f>H4490*J4490</f>
        <v/>
      </c>
      <c r="U4490">
        <f>IF(AND(K4490=0,G4490&lt;=Assumptions!$C$6),1,0)</f>
        <v/>
      </c>
      <c r="V4490">
        <f>IF(U4490=1,IF(M4490&gt;0,IF(P4490&lt;=G4490+Assumptions!$C$7,1,0),0),0)</f>
        <v/>
      </c>
      <c r="W4490">
        <f>IF(AND(U4490=1,M4490&gt;=H4490*(1-Assumptions!$C$8)),1,0)</f>
        <v/>
      </c>
      <c r="X4490">
        <f>IF(AND(U4490=1,N4490&gt;=H4490*(1-Assumptions!$C$8)),1,0)</f>
        <v/>
      </c>
      <c r="Y4490">
        <f>IF(ISNUMBER(Q4490),1,0)</f>
        <v/>
      </c>
      <c r="Z4490">
        <f>IF(AND(K4490=0,L4490=0,Y4490=0),1,0)</f>
        <v/>
      </c>
      <c r="AA4490">
        <f>IF(AND(Z4490=1,G4490&lt;Assumptions!$C$6),1,0)</f>
        <v/>
      </c>
      <c r="AB4490">
        <f>IF(U4490=0,"",IF(Y4490=1,MAX(0,Q4490-G4490),IF(L4490=1,MAX(0,R4490-G4490),MAX(0,Assumptions!$C$6-G4490))))</f>
        <v/>
      </c>
      <c r="AC4490">
        <f>IF(Y4490=1,Q4490-F4490,"")</f>
        <v/>
      </c>
      <c r="AD4490">
        <f>IF(Y4490=1,AC4490^2,"")</f>
        <v/>
      </c>
      <c r="AE4490" s="19">
        <f>IF(Z4490=1,(H4490-M4490)*I4490,0)</f>
        <v/>
      </c>
      <c r="AF4490">
        <f>IF(G4490&lt;EDATE(Assumptions!$C$6,-12)+1,"prior_12m","last_12m")</f>
        <v/>
      </c>
      <c r="AG4490" s="21">
        <f>DATE(YEAR(G4490),MONTH(G4490),1)</f>
        <v/>
      </c>
    </row>
    <row r="4491">
      <c r="A4491" t="inlineStr">
        <is>
          <t>SPO-02401-2</t>
        </is>
      </c>
      <c r="B4491" t="inlineStr">
        <is>
          <t>SPO-02401</t>
        </is>
      </c>
      <c r="C4491" t="inlineStr">
        <is>
          <t>SUP-12</t>
        </is>
      </c>
      <c r="D4491" t="inlineStr">
        <is>
          <t>IT</t>
        </is>
      </c>
      <c r="E4491" t="inlineStr">
        <is>
          <t>IT-07</t>
        </is>
      </c>
      <c r="F4491" s="17" t="n">
        <v>46239</v>
      </c>
      <c r="G4491" s="17" t="n">
        <v>46249</v>
      </c>
      <c r="H4491" s="18" t="n">
        <v>49</v>
      </c>
      <c r="I4491" s="19" t="n">
        <v>89.79000000000001</v>
      </c>
      <c r="J4491" s="19" t="n">
        <v>74</v>
      </c>
      <c r="K4491" s="20" t="n">
        <v>0</v>
      </c>
      <c r="L4491" s="20" t="n">
        <v>0</v>
      </c>
      <c r="M4491" s="18" t="n">
        <v>49</v>
      </c>
      <c r="N4491" s="18" t="n">
        <v>0</v>
      </c>
      <c r="O4491" s="18" t="n">
        <v>0</v>
      </c>
      <c r="P4491" s="17" t="n">
        <v>46251</v>
      </c>
      <c r="Q4491" s="17" t="n">
        <v>46251</v>
      </c>
      <c r="R4491" s="17" t="n">
        <v>46251</v>
      </c>
      <c r="S4491" s="19">
        <f>H4491*I4491</f>
        <v/>
      </c>
      <c r="T4491" s="19">
        <f>H4491*J4491</f>
        <v/>
      </c>
      <c r="U4491">
        <f>IF(AND(K4491=0,G4491&lt;=Assumptions!$C$6),1,0)</f>
        <v/>
      </c>
      <c r="V4491">
        <f>IF(U4491=1,IF(M4491&gt;0,IF(P4491&lt;=G4491+Assumptions!$C$7,1,0),0),0)</f>
        <v/>
      </c>
      <c r="W4491">
        <f>IF(AND(U4491=1,M4491&gt;=H4491*(1-Assumptions!$C$8)),1,0)</f>
        <v/>
      </c>
      <c r="X4491">
        <f>IF(AND(U4491=1,N4491&gt;=H4491*(1-Assumptions!$C$8)),1,0)</f>
        <v/>
      </c>
      <c r="Y4491">
        <f>IF(ISNUMBER(Q4491),1,0)</f>
        <v/>
      </c>
      <c r="Z4491">
        <f>IF(AND(K4491=0,L4491=0,Y4491=0),1,0)</f>
        <v/>
      </c>
      <c r="AA4491">
        <f>IF(AND(Z4491=1,G4491&lt;Assumptions!$C$6),1,0)</f>
        <v/>
      </c>
      <c r="AB4491">
        <f>IF(U4491=0,"",IF(Y4491=1,MAX(0,Q4491-G4491),IF(L4491=1,MAX(0,R4491-G4491),MAX(0,Assumptions!$C$6-G4491))))</f>
        <v/>
      </c>
      <c r="AC4491">
        <f>IF(Y4491=1,Q4491-F4491,"")</f>
        <v/>
      </c>
      <c r="AD4491">
        <f>IF(Y4491=1,AC4491^2,"")</f>
        <v/>
      </c>
      <c r="AE4491" s="19">
        <f>IF(Z4491=1,(H4491-M4491)*I4491,0)</f>
        <v/>
      </c>
      <c r="AF4491">
        <f>IF(G4491&lt;EDATE(Assumptions!$C$6,-12)+1,"prior_12m","last_12m")</f>
        <v/>
      </c>
      <c r="AG4491" s="21">
        <f>DATE(YEAR(G4491),MONTH(G4491),1)</f>
        <v/>
      </c>
    </row>
    <row r="4492">
      <c r="A4492" t="inlineStr">
        <is>
          <t>SPO-02402-1</t>
        </is>
      </c>
      <c r="B4492" t="inlineStr">
        <is>
          <t>SPO-02402</t>
        </is>
      </c>
      <c r="C4492" t="inlineStr">
        <is>
          <t>SUP-02</t>
        </is>
      </c>
      <c r="D4492" t="inlineStr">
        <is>
          <t>ELEC</t>
        </is>
      </c>
      <c r="E4492" t="inlineStr">
        <is>
          <t>ELEC-05</t>
        </is>
      </c>
      <c r="F4492" s="17" t="n">
        <v>46239</v>
      </c>
      <c r="G4492" s="17" t="n">
        <v>46255</v>
      </c>
      <c r="H4492" s="18" t="n">
        <v>235</v>
      </c>
      <c r="I4492" s="19" t="n">
        <v>11.49</v>
      </c>
      <c r="J4492" s="19" t="n">
        <v>11.5</v>
      </c>
      <c r="K4492" s="20" t="n">
        <v>0</v>
      </c>
      <c r="L4492" s="20" t="n">
        <v>0</v>
      </c>
      <c r="M4492" s="18" t="n">
        <v>235</v>
      </c>
      <c r="N4492" s="18" t="n">
        <v>235</v>
      </c>
      <c r="O4492" s="18" t="n">
        <v>0</v>
      </c>
      <c r="P4492" s="17" t="n">
        <v>46254</v>
      </c>
      <c r="Q4492" s="17" t="n">
        <v>46254</v>
      </c>
      <c r="R4492" s="17" t="n">
        <v>46254</v>
      </c>
      <c r="S4492" s="19">
        <f>H4492*I4492</f>
        <v/>
      </c>
      <c r="T4492" s="19">
        <f>H4492*J4492</f>
        <v/>
      </c>
      <c r="U4492">
        <f>IF(AND(K4492=0,G4492&lt;=Assumptions!$C$6),1,0)</f>
        <v/>
      </c>
      <c r="V4492">
        <f>IF(U4492=1,IF(M4492&gt;0,IF(P4492&lt;=G4492+Assumptions!$C$7,1,0),0),0)</f>
        <v/>
      </c>
      <c r="W4492">
        <f>IF(AND(U4492=1,M4492&gt;=H4492*(1-Assumptions!$C$8)),1,0)</f>
        <v/>
      </c>
      <c r="X4492">
        <f>IF(AND(U4492=1,N4492&gt;=H4492*(1-Assumptions!$C$8)),1,0)</f>
        <v/>
      </c>
      <c r="Y4492">
        <f>IF(ISNUMBER(Q4492),1,0)</f>
        <v/>
      </c>
      <c r="Z4492">
        <f>IF(AND(K4492=0,L4492=0,Y4492=0),1,0)</f>
        <v/>
      </c>
      <c r="AA4492">
        <f>IF(AND(Z4492=1,G4492&lt;Assumptions!$C$6),1,0)</f>
        <v/>
      </c>
      <c r="AB4492">
        <f>IF(U4492=0,"",IF(Y4492=1,MAX(0,Q4492-G4492),IF(L4492=1,MAX(0,R4492-G4492),MAX(0,Assumptions!$C$6-G4492))))</f>
        <v/>
      </c>
      <c r="AC4492">
        <f>IF(Y4492=1,Q4492-F4492,"")</f>
        <v/>
      </c>
      <c r="AD4492">
        <f>IF(Y4492=1,AC4492^2,"")</f>
        <v/>
      </c>
      <c r="AE4492" s="19">
        <f>IF(Z4492=1,(H4492-M4492)*I4492,0)</f>
        <v/>
      </c>
      <c r="AF4492">
        <f>IF(G4492&lt;EDATE(Assumptions!$C$6,-12)+1,"prior_12m","last_12m")</f>
        <v/>
      </c>
      <c r="AG4492" s="21">
        <f>DATE(YEAR(G4492),MONTH(G4492),1)</f>
        <v/>
      </c>
    </row>
    <row r="4493">
      <c r="A4493" t="inlineStr">
        <is>
          <t>SPO-02402-2</t>
        </is>
      </c>
      <c r="B4493" t="inlineStr">
        <is>
          <t>SPO-02402</t>
        </is>
      </c>
      <c r="C4493" t="inlineStr">
        <is>
          <t>SUP-02</t>
        </is>
      </c>
      <c r="D4493" t="inlineStr">
        <is>
          <t>ELEC</t>
        </is>
      </c>
      <c r="E4493" t="inlineStr">
        <is>
          <t>ELEC-01</t>
        </is>
      </c>
      <c r="F4493" s="17" t="n">
        <v>46239</v>
      </c>
      <c r="G4493" s="17" t="n">
        <v>46255</v>
      </c>
      <c r="H4493" s="18" t="n">
        <v>59</v>
      </c>
      <c r="I4493" s="19" t="n">
        <v>37.87</v>
      </c>
      <c r="J4493" s="19" t="n">
        <v>38</v>
      </c>
      <c r="K4493" s="20" t="n">
        <v>0</v>
      </c>
      <c r="L4493" s="20" t="n">
        <v>0</v>
      </c>
      <c r="M4493" s="18" t="n">
        <v>59</v>
      </c>
      <c r="N4493" s="18" t="n">
        <v>59</v>
      </c>
      <c r="O4493" s="18" t="n">
        <v>0</v>
      </c>
      <c r="P4493" s="17" t="n">
        <v>46253</v>
      </c>
      <c r="Q4493" s="17" t="n">
        <v>46253</v>
      </c>
      <c r="R4493" s="17" t="n">
        <v>46253</v>
      </c>
      <c r="S4493" s="19">
        <f>H4493*I4493</f>
        <v/>
      </c>
      <c r="T4493" s="19">
        <f>H4493*J4493</f>
        <v/>
      </c>
      <c r="U4493">
        <f>IF(AND(K4493=0,G4493&lt;=Assumptions!$C$6),1,0)</f>
        <v/>
      </c>
      <c r="V4493">
        <f>IF(U4493=1,IF(M4493&gt;0,IF(P4493&lt;=G4493+Assumptions!$C$7,1,0),0),0)</f>
        <v/>
      </c>
      <c r="W4493">
        <f>IF(AND(U4493=1,M4493&gt;=H4493*(1-Assumptions!$C$8)),1,0)</f>
        <v/>
      </c>
      <c r="X4493">
        <f>IF(AND(U4493=1,N4493&gt;=H4493*(1-Assumptions!$C$8)),1,0)</f>
        <v/>
      </c>
      <c r="Y4493">
        <f>IF(ISNUMBER(Q4493),1,0)</f>
        <v/>
      </c>
      <c r="Z4493">
        <f>IF(AND(K4493=0,L4493=0,Y4493=0),1,0)</f>
        <v/>
      </c>
      <c r="AA4493">
        <f>IF(AND(Z4493=1,G4493&lt;Assumptions!$C$6),1,0)</f>
        <v/>
      </c>
      <c r="AB4493">
        <f>IF(U4493=0,"",IF(Y4493=1,MAX(0,Q4493-G4493),IF(L4493=1,MAX(0,R4493-G4493),MAX(0,Assumptions!$C$6-G4493))))</f>
        <v/>
      </c>
      <c r="AC4493">
        <f>IF(Y4493=1,Q4493-F4493,"")</f>
        <v/>
      </c>
      <c r="AD4493">
        <f>IF(Y4493=1,AC4493^2,"")</f>
        <v/>
      </c>
      <c r="AE4493" s="19">
        <f>IF(Z4493=1,(H4493-M4493)*I4493,0)</f>
        <v/>
      </c>
      <c r="AF4493">
        <f>IF(G4493&lt;EDATE(Assumptions!$C$6,-12)+1,"prior_12m","last_12m")</f>
        <v/>
      </c>
      <c r="AG4493" s="21">
        <f>DATE(YEAR(G4493),MONTH(G4493),1)</f>
        <v/>
      </c>
    </row>
    <row r="4494">
      <c r="A4494" t="inlineStr">
        <is>
          <t>SPO-02403-1</t>
        </is>
      </c>
      <c r="B4494" t="inlineStr">
        <is>
          <t>SPO-02403</t>
        </is>
      </c>
      <c r="C4494" t="inlineStr">
        <is>
          <t>SUP-09</t>
        </is>
      </c>
      <c r="D4494" t="inlineStr">
        <is>
          <t>CHEM</t>
        </is>
      </c>
      <c r="E4494" t="inlineStr">
        <is>
          <t>CHEM-05</t>
        </is>
      </c>
      <c r="F4494" s="17" t="n">
        <v>46240</v>
      </c>
      <c r="G4494" s="17" t="n">
        <v>46254</v>
      </c>
      <c r="H4494" s="18" t="n">
        <v>1</v>
      </c>
      <c r="I4494" s="19" t="n">
        <v>971.3</v>
      </c>
      <c r="J4494" s="19" t="n">
        <v>930</v>
      </c>
      <c r="K4494" s="20" t="n">
        <v>1</v>
      </c>
      <c r="L4494" s="20" t="n">
        <v>0</v>
      </c>
      <c r="M4494" s="18" t="n">
        <v>0</v>
      </c>
      <c r="N4494" s="18" t="n">
        <v>0</v>
      </c>
      <c r="O4494" s="18" t="n">
        <v>0</v>
      </c>
      <c r="P4494" s="17" t="n"/>
      <c r="Q4494" s="17" t="n"/>
      <c r="R4494" s="17" t="n"/>
      <c r="S4494" s="19">
        <f>H4494*I4494</f>
        <v/>
      </c>
      <c r="T4494" s="19">
        <f>H4494*J4494</f>
        <v/>
      </c>
      <c r="U4494">
        <f>IF(AND(K4494=0,G4494&lt;=Assumptions!$C$6),1,0)</f>
        <v/>
      </c>
      <c r="V4494">
        <f>IF(U4494=1,IF(M4494&gt;0,IF(P4494&lt;=G4494+Assumptions!$C$7,1,0),0),0)</f>
        <v/>
      </c>
      <c r="W4494">
        <f>IF(AND(U4494=1,M4494&gt;=H4494*(1-Assumptions!$C$8)),1,0)</f>
        <v/>
      </c>
      <c r="X4494">
        <f>IF(AND(U4494=1,N4494&gt;=H4494*(1-Assumptions!$C$8)),1,0)</f>
        <v/>
      </c>
      <c r="Y4494">
        <f>IF(ISNUMBER(Q4494),1,0)</f>
        <v/>
      </c>
      <c r="Z4494">
        <f>IF(AND(K4494=0,L4494=0,Y4494=0),1,0)</f>
        <v/>
      </c>
      <c r="AA4494">
        <f>IF(AND(Z4494=1,G4494&lt;Assumptions!$C$6),1,0)</f>
        <v/>
      </c>
      <c r="AB4494">
        <f>IF(U4494=0,"",IF(Y4494=1,MAX(0,Q4494-G4494),IF(L4494=1,MAX(0,R4494-G4494),MAX(0,Assumptions!$C$6-G4494))))</f>
        <v/>
      </c>
      <c r="AC4494">
        <f>IF(Y4494=1,Q4494-F4494,"")</f>
        <v/>
      </c>
      <c r="AD4494">
        <f>IF(Y4494=1,AC4494^2,"")</f>
        <v/>
      </c>
      <c r="AE4494" s="19">
        <f>IF(Z4494=1,(H4494-M4494)*I4494,0)</f>
        <v/>
      </c>
      <c r="AF4494">
        <f>IF(G4494&lt;EDATE(Assumptions!$C$6,-12)+1,"prior_12m","last_12m")</f>
        <v/>
      </c>
      <c r="AG4494" s="21">
        <f>DATE(YEAR(G4494),MONTH(G4494),1)</f>
        <v/>
      </c>
    </row>
    <row r="4495">
      <c r="A4495" t="inlineStr">
        <is>
          <t>SPO-02403-2</t>
        </is>
      </c>
      <c r="B4495" t="inlineStr">
        <is>
          <t>SPO-02403</t>
        </is>
      </c>
      <c r="C4495" t="inlineStr">
        <is>
          <t>SUP-09</t>
        </is>
      </c>
      <c r="D4495" t="inlineStr">
        <is>
          <t>CHEM</t>
        </is>
      </c>
      <c r="E4495" t="inlineStr">
        <is>
          <t>CHEM-03</t>
        </is>
      </c>
      <c r="F4495" s="17" t="n">
        <v>46240</v>
      </c>
      <c r="G4495" s="17" t="n">
        <v>46254</v>
      </c>
      <c r="H4495" s="18" t="n">
        <v>7</v>
      </c>
      <c r="I4495" s="19" t="n">
        <v>264.49</v>
      </c>
      <c r="J4495" s="19" t="n">
        <v>265</v>
      </c>
      <c r="K4495" s="20" t="n">
        <v>0</v>
      </c>
      <c r="L4495" s="20" t="n">
        <v>0</v>
      </c>
      <c r="M4495" s="18" t="n">
        <v>7</v>
      </c>
      <c r="N4495" s="18" t="n">
        <v>7</v>
      </c>
      <c r="O4495" s="18" t="n">
        <v>0</v>
      </c>
      <c r="P4495" s="17" t="n">
        <v>46251</v>
      </c>
      <c r="Q4495" s="17" t="n">
        <v>46251</v>
      </c>
      <c r="R4495" s="17" t="n">
        <v>46251</v>
      </c>
      <c r="S4495" s="19">
        <f>H4495*I4495</f>
        <v/>
      </c>
      <c r="T4495" s="19">
        <f>H4495*J4495</f>
        <v/>
      </c>
      <c r="U4495">
        <f>IF(AND(K4495=0,G4495&lt;=Assumptions!$C$6),1,0)</f>
        <v/>
      </c>
      <c r="V4495">
        <f>IF(U4495=1,IF(M4495&gt;0,IF(P4495&lt;=G4495+Assumptions!$C$7,1,0),0),0)</f>
        <v/>
      </c>
      <c r="W4495">
        <f>IF(AND(U4495=1,M4495&gt;=H4495*(1-Assumptions!$C$8)),1,0)</f>
        <v/>
      </c>
      <c r="X4495">
        <f>IF(AND(U4495=1,N4495&gt;=H4495*(1-Assumptions!$C$8)),1,0)</f>
        <v/>
      </c>
      <c r="Y4495">
        <f>IF(ISNUMBER(Q4495),1,0)</f>
        <v/>
      </c>
      <c r="Z4495">
        <f>IF(AND(K4495=0,L4495=0,Y4495=0),1,0)</f>
        <v/>
      </c>
      <c r="AA4495">
        <f>IF(AND(Z4495=1,G4495&lt;Assumptions!$C$6),1,0)</f>
        <v/>
      </c>
      <c r="AB4495">
        <f>IF(U4495=0,"",IF(Y4495=1,MAX(0,Q4495-G4495),IF(L4495=1,MAX(0,R4495-G4495),MAX(0,Assumptions!$C$6-G4495))))</f>
        <v/>
      </c>
      <c r="AC4495">
        <f>IF(Y4495=1,Q4495-F4495,"")</f>
        <v/>
      </c>
      <c r="AD4495">
        <f>IF(Y4495=1,AC4495^2,"")</f>
        <v/>
      </c>
      <c r="AE4495" s="19">
        <f>IF(Z4495=1,(H4495-M4495)*I4495,0)</f>
        <v/>
      </c>
      <c r="AF4495">
        <f>IF(G4495&lt;EDATE(Assumptions!$C$6,-12)+1,"prior_12m","last_12m")</f>
        <v/>
      </c>
      <c r="AG4495" s="21">
        <f>DATE(YEAR(G4495),MONTH(G4495),1)</f>
        <v/>
      </c>
    </row>
    <row r="4496">
      <c r="A4496" t="inlineStr">
        <is>
          <t>SPO-02404-1</t>
        </is>
      </c>
      <c r="B4496" t="inlineStr">
        <is>
          <t>SPO-02404</t>
        </is>
      </c>
      <c r="C4496" t="inlineStr">
        <is>
          <t>SUP-04</t>
        </is>
      </c>
      <c r="D4496" t="inlineStr">
        <is>
          <t>FLEET</t>
        </is>
      </c>
      <c r="E4496" t="inlineStr">
        <is>
          <t>FLEET-08</t>
        </is>
      </c>
      <c r="F4496" s="17" t="n">
        <v>46240</v>
      </c>
      <c r="G4496" s="17" t="n">
        <v>46253</v>
      </c>
      <c r="H4496" s="18" t="n">
        <v>215</v>
      </c>
      <c r="I4496" s="19" t="n">
        <v>6.73</v>
      </c>
      <c r="J4496" s="19" t="n">
        <v>6.4</v>
      </c>
      <c r="K4496" s="20" t="n">
        <v>0</v>
      </c>
      <c r="L4496" s="20" t="n">
        <v>0</v>
      </c>
      <c r="M4496" s="18" t="n">
        <v>215</v>
      </c>
      <c r="N4496" s="18" t="n">
        <v>215</v>
      </c>
      <c r="O4496" s="18" t="n">
        <v>0</v>
      </c>
      <c r="P4496" s="17" t="n">
        <v>46248</v>
      </c>
      <c r="Q4496" s="17" t="n">
        <v>46248</v>
      </c>
      <c r="R4496" s="17" t="n">
        <v>46248</v>
      </c>
      <c r="S4496" s="19">
        <f>H4496*I4496</f>
        <v/>
      </c>
      <c r="T4496" s="19">
        <f>H4496*J4496</f>
        <v/>
      </c>
      <c r="U4496">
        <f>IF(AND(K4496=0,G4496&lt;=Assumptions!$C$6),1,0)</f>
        <v/>
      </c>
      <c r="V4496">
        <f>IF(U4496=1,IF(M4496&gt;0,IF(P4496&lt;=G4496+Assumptions!$C$7,1,0),0),0)</f>
        <v/>
      </c>
      <c r="W4496">
        <f>IF(AND(U4496=1,M4496&gt;=H4496*(1-Assumptions!$C$8)),1,0)</f>
        <v/>
      </c>
      <c r="X4496">
        <f>IF(AND(U4496=1,N4496&gt;=H4496*(1-Assumptions!$C$8)),1,0)</f>
        <v/>
      </c>
      <c r="Y4496">
        <f>IF(ISNUMBER(Q4496),1,0)</f>
        <v/>
      </c>
      <c r="Z4496">
        <f>IF(AND(K4496=0,L4496=0,Y4496=0),1,0)</f>
        <v/>
      </c>
      <c r="AA4496">
        <f>IF(AND(Z4496=1,G4496&lt;Assumptions!$C$6),1,0)</f>
        <v/>
      </c>
      <c r="AB4496">
        <f>IF(U4496=0,"",IF(Y4496=1,MAX(0,Q4496-G4496),IF(L4496=1,MAX(0,R4496-G4496),MAX(0,Assumptions!$C$6-G4496))))</f>
        <v/>
      </c>
      <c r="AC4496">
        <f>IF(Y4496=1,Q4496-F4496,"")</f>
        <v/>
      </c>
      <c r="AD4496">
        <f>IF(Y4496=1,AC4496^2,"")</f>
        <v/>
      </c>
      <c r="AE4496" s="19">
        <f>IF(Z4496=1,(H4496-M4496)*I4496,0)</f>
        <v/>
      </c>
      <c r="AF4496">
        <f>IF(G4496&lt;EDATE(Assumptions!$C$6,-12)+1,"prior_12m","last_12m")</f>
        <v/>
      </c>
      <c r="AG4496" s="21">
        <f>DATE(YEAR(G4496),MONTH(G4496),1)</f>
        <v/>
      </c>
    </row>
    <row r="4497">
      <c r="A4497" t="inlineStr">
        <is>
          <t>SPO-02405-1</t>
        </is>
      </c>
      <c r="B4497" t="inlineStr">
        <is>
          <t>SPO-02405</t>
        </is>
      </c>
      <c r="C4497" t="inlineStr">
        <is>
          <t>SUP-14</t>
        </is>
      </c>
      <c r="D4497" t="inlineStr">
        <is>
          <t>FLEET</t>
        </is>
      </c>
      <c r="E4497" t="inlineStr">
        <is>
          <t>FLEET-06</t>
        </is>
      </c>
      <c r="F4497" s="17" t="n">
        <v>46241</v>
      </c>
      <c r="G4497" s="17" t="n">
        <v>46255</v>
      </c>
      <c r="H4497" s="18" t="n">
        <v>35</v>
      </c>
      <c r="I4497" s="19" t="n">
        <v>33.62</v>
      </c>
      <c r="J4497" s="19" t="n">
        <v>33</v>
      </c>
      <c r="K4497" s="20" t="n">
        <v>0</v>
      </c>
      <c r="L4497" s="20" t="n">
        <v>0</v>
      </c>
      <c r="M4497" s="18" t="n">
        <v>35</v>
      </c>
      <c r="N4497" s="18" t="n">
        <v>35</v>
      </c>
      <c r="O4497" s="18" t="n">
        <v>0</v>
      </c>
      <c r="P4497" s="17" t="n">
        <v>46250</v>
      </c>
      <c r="Q4497" s="17" t="n">
        <v>46250</v>
      </c>
      <c r="R4497" s="17" t="n">
        <v>46250</v>
      </c>
      <c r="S4497" s="19">
        <f>H4497*I4497</f>
        <v/>
      </c>
      <c r="T4497" s="19">
        <f>H4497*J4497</f>
        <v/>
      </c>
      <c r="U4497">
        <f>IF(AND(K4497=0,G4497&lt;=Assumptions!$C$6),1,0)</f>
        <v/>
      </c>
      <c r="V4497">
        <f>IF(U4497=1,IF(M4497&gt;0,IF(P4497&lt;=G4497+Assumptions!$C$7,1,0),0),0)</f>
        <v/>
      </c>
      <c r="W4497">
        <f>IF(AND(U4497=1,M4497&gt;=H4497*(1-Assumptions!$C$8)),1,0)</f>
        <v/>
      </c>
      <c r="X4497">
        <f>IF(AND(U4497=1,N4497&gt;=H4497*(1-Assumptions!$C$8)),1,0)</f>
        <v/>
      </c>
      <c r="Y4497">
        <f>IF(ISNUMBER(Q4497),1,0)</f>
        <v/>
      </c>
      <c r="Z4497">
        <f>IF(AND(K4497=0,L4497=0,Y4497=0),1,0)</f>
        <v/>
      </c>
      <c r="AA4497">
        <f>IF(AND(Z4497=1,G4497&lt;Assumptions!$C$6),1,0)</f>
        <v/>
      </c>
      <c r="AB4497">
        <f>IF(U4497=0,"",IF(Y4497=1,MAX(0,Q4497-G4497),IF(L4497=1,MAX(0,R4497-G4497),MAX(0,Assumptions!$C$6-G4497))))</f>
        <v/>
      </c>
      <c r="AC4497">
        <f>IF(Y4497=1,Q4497-F4497,"")</f>
        <v/>
      </c>
      <c r="AD4497">
        <f>IF(Y4497=1,AC4497^2,"")</f>
        <v/>
      </c>
      <c r="AE4497" s="19">
        <f>IF(Z4497=1,(H4497-M4497)*I4497,0)</f>
        <v/>
      </c>
      <c r="AF4497">
        <f>IF(G4497&lt;EDATE(Assumptions!$C$6,-12)+1,"prior_12m","last_12m")</f>
        <v/>
      </c>
      <c r="AG4497" s="21">
        <f>DATE(YEAR(G4497),MONTH(G4497),1)</f>
        <v/>
      </c>
    </row>
    <row r="4498">
      <c r="A4498" t="inlineStr">
        <is>
          <t>SPO-02405-2</t>
        </is>
      </c>
      <c r="B4498" t="inlineStr">
        <is>
          <t>SPO-02405</t>
        </is>
      </c>
      <c r="C4498" t="inlineStr">
        <is>
          <t>SUP-14</t>
        </is>
      </c>
      <c r="D4498" t="inlineStr">
        <is>
          <t>FLEET</t>
        </is>
      </c>
      <c r="E4498" t="inlineStr">
        <is>
          <t>FLEET-03</t>
        </is>
      </c>
      <c r="F4498" s="17" t="n">
        <v>46241</v>
      </c>
      <c r="G4498" s="17" t="n">
        <v>46255</v>
      </c>
      <c r="H4498" s="18" t="n">
        <v>44</v>
      </c>
      <c r="I4498" s="19" t="n">
        <v>20.12</v>
      </c>
      <c r="J4498" s="19" t="n">
        <v>21</v>
      </c>
      <c r="K4498" s="20" t="n">
        <v>0</v>
      </c>
      <c r="L4498" s="20" t="n">
        <v>0</v>
      </c>
      <c r="M4498" s="18" t="n">
        <v>44</v>
      </c>
      <c r="N4498" s="18" t="n">
        <v>44</v>
      </c>
      <c r="O4498" s="18" t="n">
        <v>0</v>
      </c>
      <c r="P4498" s="17" t="n">
        <v>46254</v>
      </c>
      <c r="Q4498" s="17" t="n">
        <v>46254</v>
      </c>
      <c r="R4498" s="17" t="n">
        <v>46254</v>
      </c>
      <c r="S4498" s="19">
        <f>H4498*I4498</f>
        <v/>
      </c>
      <c r="T4498" s="19">
        <f>H4498*J4498</f>
        <v/>
      </c>
      <c r="U4498">
        <f>IF(AND(K4498=0,G4498&lt;=Assumptions!$C$6),1,0)</f>
        <v/>
      </c>
      <c r="V4498">
        <f>IF(U4498=1,IF(M4498&gt;0,IF(P4498&lt;=G4498+Assumptions!$C$7,1,0),0),0)</f>
        <v/>
      </c>
      <c r="W4498">
        <f>IF(AND(U4498=1,M4498&gt;=H4498*(1-Assumptions!$C$8)),1,0)</f>
        <v/>
      </c>
      <c r="X4498">
        <f>IF(AND(U4498=1,N4498&gt;=H4498*(1-Assumptions!$C$8)),1,0)</f>
        <v/>
      </c>
      <c r="Y4498">
        <f>IF(ISNUMBER(Q4498),1,0)</f>
        <v/>
      </c>
      <c r="Z4498">
        <f>IF(AND(K4498=0,L4498=0,Y4498=0),1,0)</f>
        <v/>
      </c>
      <c r="AA4498">
        <f>IF(AND(Z4498=1,G4498&lt;Assumptions!$C$6),1,0)</f>
        <v/>
      </c>
      <c r="AB4498">
        <f>IF(U4498=0,"",IF(Y4498=1,MAX(0,Q4498-G4498),IF(L4498=1,MAX(0,R4498-G4498),MAX(0,Assumptions!$C$6-G4498))))</f>
        <v/>
      </c>
      <c r="AC4498">
        <f>IF(Y4498=1,Q4498-F4498,"")</f>
        <v/>
      </c>
      <c r="AD4498">
        <f>IF(Y4498=1,AC4498^2,"")</f>
        <v/>
      </c>
      <c r="AE4498" s="19">
        <f>IF(Z4498=1,(H4498-M4498)*I4498,0)</f>
        <v/>
      </c>
      <c r="AF4498">
        <f>IF(G4498&lt;EDATE(Assumptions!$C$6,-12)+1,"prior_12m","last_12m")</f>
        <v/>
      </c>
      <c r="AG4498" s="21">
        <f>DATE(YEAR(G4498),MONTH(G4498),1)</f>
        <v/>
      </c>
    </row>
    <row r="4499">
      <c r="A4499" t="inlineStr">
        <is>
          <t>SPO-02405-3</t>
        </is>
      </c>
      <c r="B4499" t="inlineStr">
        <is>
          <t>SPO-02405</t>
        </is>
      </c>
      <c r="C4499" t="inlineStr">
        <is>
          <t>SUP-14</t>
        </is>
      </c>
      <c r="D4499" t="inlineStr">
        <is>
          <t>FLEET</t>
        </is>
      </c>
      <c r="E4499" t="inlineStr">
        <is>
          <t>FLEET-04</t>
        </is>
      </c>
      <c r="F4499" s="17" t="n">
        <v>46241</v>
      </c>
      <c r="G4499" s="17" t="n">
        <v>46255</v>
      </c>
      <c r="H4499" s="18" t="n">
        <v>48</v>
      </c>
      <c r="I4499" s="19" t="n">
        <v>9.02</v>
      </c>
      <c r="J4499" s="19" t="n">
        <v>9</v>
      </c>
      <c r="K4499" s="20" t="n">
        <v>0</v>
      </c>
      <c r="L4499" s="20" t="n">
        <v>0</v>
      </c>
      <c r="M4499" s="18" t="n">
        <v>48</v>
      </c>
      <c r="N4499" s="18" t="n">
        <v>48</v>
      </c>
      <c r="O4499" s="18" t="n">
        <v>0</v>
      </c>
      <c r="P4499" s="17" t="n">
        <v>46253</v>
      </c>
      <c r="Q4499" s="17" t="n">
        <v>46253</v>
      </c>
      <c r="R4499" s="17" t="n">
        <v>46253</v>
      </c>
      <c r="S4499" s="19">
        <f>H4499*I4499</f>
        <v/>
      </c>
      <c r="T4499" s="19">
        <f>H4499*J4499</f>
        <v/>
      </c>
      <c r="U4499">
        <f>IF(AND(K4499=0,G4499&lt;=Assumptions!$C$6),1,0)</f>
        <v/>
      </c>
      <c r="V4499">
        <f>IF(U4499=1,IF(M4499&gt;0,IF(P4499&lt;=G4499+Assumptions!$C$7,1,0),0),0)</f>
        <v/>
      </c>
      <c r="W4499">
        <f>IF(AND(U4499=1,M4499&gt;=H4499*(1-Assumptions!$C$8)),1,0)</f>
        <v/>
      </c>
      <c r="X4499">
        <f>IF(AND(U4499=1,N4499&gt;=H4499*(1-Assumptions!$C$8)),1,0)</f>
        <v/>
      </c>
      <c r="Y4499">
        <f>IF(ISNUMBER(Q4499),1,0)</f>
        <v/>
      </c>
      <c r="Z4499">
        <f>IF(AND(K4499=0,L4499=0,Y4499=0),1,0)</f>
        <v/>
      </c>
      <c r="AA4499">
        <f>IF(AND(Z4499=1,G4499&lt;Assumptions!$C$6),1,0)</f>
        <v/>
      </c>
      <c r="AB4499">
        <f>IF(U4499=0,"",IF(Y4499=1,MAX(0,Q4499-G4499),IF(L4499=1,MAX(0,R4499-G4499),MAX(0,Assumptions!$C$6-G4499))))</f>
        <v/>
      </c>
      <c r="AC4499">
        <f>IF(Y4499=1,Q4499-F4499,"")</f>
        <v/>
      </c>
      <c r="AD4499">
        <f>IF(Y4499=1,AC4499^2,"")</f>
        <v/>
      </c>
      <c r="AE4499" s="19">
        <f>IF(Z4499=1,(H4499-M4499)*I4499,0)</f>
        <v/>
      </c>
      <c r="AF4499">
        <f>IF(G4499&lt;EDATE(Assumptions!$C$6,-12)+1,"prior_12m","last_12m")</f>
        <v/>
      </c>
      <c r="AG4499" s="21">
        <f>DATE(YEAR(G4499),MONTH(G4499),1)</f>
        <v/>
      </c>
    </row>
    <row r="4500">
      <c r="A4500" t="inlineStr">
        <is>
          <t>SPO-02406-1</t>
        </is>
      </c>
      <c r="B4500" t="inlineStr">
        <is>
          <t>SPO-02406</t>
        </is>
      </c>
      <c r="C4500" t="inlineStr">
        <is>
          <t>SUP-11</t>
        </is>
      </c>
      <c r="D4500" t="inlineStr">
        <is>
          <t>PPE</t>
        </is>
      </c>
      <c r="E4500" t="inlineStr">
        <is>
          <t>PPE-03</t>
        </is>
      </c>
      <c r="F4500" s="17" t="n">
        <v>46242</v>
      </c>
      <c r="G4500" s="17" t="n">
        <v>46254</v>
      </c>
      <c r="H4500" s="18" t="n">
        <v>53</v>
      </c>
      <c r="I4500" s="19" t="n">
        <v>21.17</v>
      </c>
      <c r="J4500" s="19" t="n">
        <v>21</v>
      </c>
      <c r="K4500" s="20" t="n">
        <v>0</v>
      </c>
      <c r="L4500" s="20" t="n">
        <v>0</v>
      </c>
      <c r="M4500" s="18" t="n">
        <v>53</v>
      </c>
      <c r="N4500" s="18" t="n">
        <v>53</v>
      </c>
      <c r="O4500" s="18" t="n">
        <v>0</v>
      </c>
      <c r="P4500" s="17" t="n">
        <v>46251</v>
      </c>
      <c r="Q4500" s="17" t="n">
        <v>46251</v>
      </c>
      <c r="R4500" s="17" t="n">
        <v>46251</v>
      </c>
      <c r="S4500" s="19">
        <f>H4500*I4500</f>
        <v/>
      </c>
      <c r="T4500" s="19">
        <f>H4500*J4500</f>
        <v/>
      </c>
      <c r="U4500">
        <f>IF(AND(K4500=0,G4500&lt;=Assumptions!$C$6),1,0)</f>
        <v/>
      </c>
      <c r="V4500">
        <f>IF(U4500=1,IF(M4500&gt;0,IF(P4500&lt;=G4500+Assumptions!$C$7,1,0),0),0)</f>
        <v/>
      </c>
      <c r="W4500">
        <f>IF(AND(U4500=1,M4500&gt;=H4500*(1-Assumptions!$C$8)),1,0)</f>
        <v/>
      </c>
      <c r="X4500">
        <f>IF(AND(U4500=1,N4500&gt;=H4500*(1-Assumptions!$C$8)),1,0)</f>
        <v/>
      </c>
      <c r="Y4500">
        <f>IF(ISNUMBER(Q4500),1,0)</f>
        <v/>
      </c>
      <c r="Z4500">
        <f>IF(AND(K4500=0,L4500=0,Y4500=0),1,0)</f>
        <v/>
      </c>
      <c r="AA4500">
        <f>IF(AND(Z4500=1,G4500&lt;Assumptions!$C$6),1,0)</f>
        <v/>
      </c>
      <c r="AB4500">
        <f>IF(U4500=0,"",IF(Y4500=1,MAX(0,Q4500-G4500),IF(L4500=1,MAX(0,R4500-G4500),MAX(0,Assumptions!$C$6-G4500))))</f>
        <v/>
      </c>
      <c r="AC4500">
        <f>IF(Y4500=1,Q4500-F4500,"")</f>
        <v/>
      </c>
      <c r="AD4500">
        <f>IF(Y4500=1,AC4500^2,"")</f>
        <v/>
      </c>
      <c r="AE4500" s="19">
        <f>IF(Z4500=1,(H4500-M4500)*I4500,0)</f>
        <v/>
      </c>
      <c r="AF4500">
        <f>IF(G4500&lt;EDATE(Assumptions!$C$6,-12)+1,"prior_12m","last_12m")</f>
        <v/>
      </c>
      <c r="AG4500" s="21">
        <f>DATE(YEAR(G4500),MONTH(G4500),1)</f>
        <v/>
      </c>
    </row>
    <row r="4501">
      <c r="A4501" t="inlineStr">
        <is>
          <t>SPO-02406-2</t>
        </is>
      </c>
      <c r="B4501" t="inlineStr">
        <is>
          <t>SPO-02406</t>
        </is>
      </c>
      <c r="C4501" t="inlineStr">
        <is>
          <t>SUP-11</t>
        </is>
      </c>
      <c r="D4501" t="inlineStr">
        <is>
          <t>PPE</t>
        </is>
      </c>
      <c r="E4501" t="inlineStr">
        <is>
          <t>PPE-04</t>
        </is>
      </c>
      <c r="F4501" s="17" t="n">
        <v>46242</v>
      </c>
      <c r="G4501" s="17" t="n">
        <v>46254</v>
      </c>
      <c r="H4501" s="18" t="n">
        <v>74</v>
      </c>
      <c r="I4501" s="19" t="n">
        <v>25.94</v>
      </c>
      <c r="J4501" s="19" t="n">
        <v>26</v>
      </c>
      <c r="K4501" s="20" t="n">
        <v>0</v>
      </c>
      <c r="L4501" s="20" t="n">
        <v>0</v>
      </c>
      <c r="M4501" s="18" t="n">
        <v>74</v>
      </c>
      <c r="N4501" s="18" t="n">
        <v>74</v>
      </c>
      <c r="O4501" s="18" t="n">
        <v>0</v>
      </c>
      <c r="P4501" s="17" t="n">
        <v>46251</v>
      </c>
      <c r="Q4501" s="17" t="n">
        <v>46251</v>
      </c>
      <c r="R4501" s="17" t="n">
        <v>46251</v>
      </c>
      <c r="S4501" s="19">
        <f>H4501*I4501</f>
        <v/>
      </c>
      <c r="T4501" s="19">
        <f>H4501*J4501</f>
        <v/>
      </c>
      <c r="U4501">
        <f>IF(AND(K4501=0,G4501&lt;=Assumptions!$C$6),1,0)</f>
        <v/>
      </c>
      <c r="V4501">
        <f>IF(U4501=1,IF(M4501&gt;0,IF(P4501&lt;=G4501+Assumptions!$C$7,1,0),0),0)</f>
        <v/>
      </c>
      <c r="W4501">
        <f>IF(AND(U4501=1,M4501&gt;=H4501*(1-Assumptions!$C$8)),1,0)</f>
        <v/>
      </c>
      <c r="X4501">
        <f>IF(AND(U4501=1,N4501&gt;=H4501*(1-Assumptions!$C$8)),1,0)</f>
        <v/>
      </c>
      <c r="Y4501">
        <f>IF(ISNUMBER(Q4501),1,0)</f>
        <v/>
      </c>
      <c r="Z4501">
        <f>IF(AND(K4501=0,L4501=0,Y4501=0),1,0)</f>
        <v/>
      </c>
      <c r="AA4501">
        <f>IF(AND(Z4501=1,G4501&lt;Assumptions!$C$6),1,0)</f>
        <v/>
      </c>
      <c r="AB4501">
        <f>IF(U4501=0,"",IF(Y4501=1,MAX(0,Q4501-G4501),IF(L4501=1,MAX(0,R4501-G4501),MAX(0,Assumptions!$C$6-G4501))))</f>
        <v/>
      </c>
      <c r="AC4501">
        <f>IF(Y4501=1,Q4501-F4501,"")</f>
        <v/>
      </c>
      <c r="AD4501">
        <f>IF(Y4501=1,AC4501^2,"")</f>
        <v/>
      </c>
      <c r="AE4501" s="19">
        <f>IF(Z4501=1,(H4501-M4501)*I4501,0)</f>
        <v/>
      </c>
      <c r="AF4501">
        <f>IF(G4501&lt;EDATE(Assumptions!$C$6,-12)+1,"prior_12m","last_12m")</f>
        <v/>
      </c>
      <c r="AG4501" s="21">
        <f>DATE(YEAR(G4501),MONTH(G4501),1)</f>
        <v/>
      </c>
    </row>
    <row r="4502">
      <c r="A4502" t="inlineStr">
        <is>
          <t>SPO-02406-3</t>
        </is>
      </c>
      <c r="B4502" t="inlineStr">
        <is>
          <t>SPO-02406</t>
        </is>
      </c>
      <c r="C4502" t="inlineStr">
        <is>
          <t>SUP-11</t>
        </is>
      </c>
      <c r="D4502" t="inlineStr">
        <is>
          <t>PPE</t>
        </is>
      </c>
      <c r="E4502" t="inlineStr">
        <is>
          <t>PPE-07</t>
        </is>
      </c>
      <c r="F4502" s="17" t="n">
        <v>46242</v>
      </c>
      <c r="G4502" s="17" t="n">
        <v>46254</v>
      </c>
      <c r="H4502" s="18" t="n">
        <v>79</v>
      </c>
      <c r="I4502" s="19" t="n">
        <v>32.66</v>
      </c>
      <c r="J4502" s="19" t="n">
        <v>31</v>
      </c>
      <c r="K4502" s="20" t="n">
        <v>0</v>
      </c>
      <c r="L4502" s="20" t="n">
        <v>0</v>
      </c>
      <c r="M4502" s="18" t="n">
        <v>79</v>
      </c>
      <c r="N4502" s="18" t="n">
        <v>79</v>
      </c>
      <c r="O4502" s="18" t="n">
        <v>0</v>
      </c>
      <c r="P4502" s="17" t="n">
        <v>46251</v>
      </c>
      <c r="Q4502" s="17" t="n">
        <v>46251</v>
      </c>
      <c r="R4502" s="17" t="n">
        <v>46251</v>
      </c>
      <c r="S4502" s="19">
        <f>H4502*I4502</f>
        <v/>
      </c>
      <c r="T4502" s="19">
        <f>H4502*J4502</f>
        <v/>
      </c>
      <c r="U4502">
        <f>IF(AND(K4502=0,G4502&lt;=Assumptions!$C$6),1,0)</f>
        <v/>
      </c>
      <c r="V4502">
        <f>IF(U4502=1,IF(M4502&gt;0,IF(P4502&lt;=G4502+Assumptions!$C$7,1,0),0),0)</f>
        <v/>
      </c>
      <c r="W4502">
        <f>IF(AND(U4502=1,M4502&gt;=H4502*(1-Assumptions!$C$8)),1,0)</f>
        <v/>
      </c>
      <c r="X4502">
        <f>IF(AND(U4502=1,N4502&gt;=H4502*(1-Assumptions!$C$8)),1,0)</f>
        <v/>
      </c>
      <c r="Y4502">
        <f>IF(ISNUMBER(Q4502),1,0)</f>
        <v/>
      </c>
      <c r="Z4502">
        <f>IF(AND(K4502=0,L4502=0,Y4502=0),1,0)</f>
        <v/>
      </c>
      <c r="AA4502">
        <f>IF(AND(Z4502=1,G4502&lt;Assumptions!$C$6),1,0)</f>
        <v/>
      </c>
      <c r="AB4502">
        <f>IF(U4502=0,"",IF(Y4502=1,MAX(0,Q4502-G4502),IF(L4502=1,MAX(0,R4502-G4502),MAX(0,Assumptions!$C$6-G4502))))</f>
        <v/>
      </c>
      <c r="AC4502">
        <f>IF(Y4502=1,Q4502-F4502,"")</f>
        <v/>
      </c>
      <c r="AD4502">
        <f>IF(Y4502=1,AC4502^2,"")</f>
        <v/>
      </c>
      <c r="AE4502" s="19">
        <f>IF(Z4502=1,(H4502-M4502)*I4502,0)</f>
        <v/>
      </c>
      <c r="AF4502">
        <f>IF(G4502&lt;EDATE(Assumptions!$C$6,-12)+1,"prior_12m","last_12m")</f>
        <v/>
      </c>
      <c r="AG4502" s="21">
        <f>DATE(YEAR(G4502),MONTH(G4502),1)</f>
        <v/>
      </c>
    </row>
    <row r="4503">
      <c r="A4503" t="inlineStr">
        <is>
          <t>SPO-02407-1</t>
        </is>
      </c>
      <c r="B4503" t="inlineStr">
        <is>
          <t>SPO-02407</t>
        </is>
      </c>
      <c r="C4503" t="inlineStr">
        <is>
          <t>SUP-12</t>
        </is>
      </c>
      <c r="D4503" t="inlineStr">
        <is>
          <t>IT</t>
        </is>
      </c>
      <c r="E4503" t="inlineStr">
        <is>
          <t>IT-03</t>
        </is>
      </c>
      <c r="F4503" s="17" t="n">
        <v>46242</v>
      </c>
      <c r="G4503" s="17" t="n">
        <v>46252</v>
      </c>
      <c r="H4503" s="18" t="n">
        <v>44</v>
      </c>
      <c r="I4503" s="19" t="n">
        <v>41.82</v>
      </c>
      <c r="J4503" s="19" t="n">
        <v>38</v>
      </c>
      <c r="K4503" s="20" t="n">
        <v>0</v>
      </c>
      <c r="L4503" s="20" t="n">
        <v>0</v>
      </c>
      <c r="M4503" s="18" t="n">
        <v>44</v>
      </c>
      <c r="N4503" s="18" t="n">
        <v>44</v>
      </c>
      <c r="O4503" s="18" t="n">
        <v>0</v>
      </c>
      <c r="P4503" s="17" t="n">
        <v>46252</v>
      </c>
      <c r="Q4503" s="17" t="n">
        <v>46252</v>
      </c>
      <c r="R4503" s="17" t="n">
        <v>46252</v>
      </c>
      <c r="S4503" s="19">
        <f>H4503*I4503</f>
        <v/>
      </c>
      <c r="T4503" s="19">
        <f>H4503*J4503</f>
        <v/>
      </c>
      <c r="U4503">
        <f>IF(AND(K4503=0,G4503&lt;=Assumptions!$C$6),1,0)</f>
        <v/>
      </c>
      <c r="V4503">
        <f>IF(U4503=1,IF(M4503&gt;0,IF(P4503&lt;=G4503+Assumptions!$C$7,1,0),0),0)</f>
        <v/>
      </c>
      <c r="W4503">
        <f>IF(AND(U4503=1,M4503&gt;=H4503*(1-Assumptions!$C$8)),1,0)</f>
        <v/>
      </c>
      <c r="X4503">
        <f>IF(AND(U4503=1,N4503&gt;=H4503*(1-Assumptions!$C$8)),1,0)</f>
        <v/>
      </c>
      <c r="Y4503">
        <f>IF(ISNUMBER(Q4503),1,0)</f>
        <v/>
      </c>
      <c r="Z4503">
        <f>IF(AND(K4503=0,L4503=0,Y4503=0),1,0)</f>
        <v/>
      </c>
      <c r="AA4503">
        <f>IF(AND(Z4503=1,G4503&lt;Assumptions!$C$6),1,0)</f>
        <v/>
      </c>
      <c r="AB4503">
        <f>IF(U4503=0,"",IF(Y4503=1,MAX(0,Q4503-G4503),IF(L4503=1,MAX(0,R4503-G4503),MAX(0,Assumptions!$C$6-G4503))))</f>
        <v/>
      </c>
      <c r="AC4503">
        <f>IF(Y4503=1,Q4503-F4503,"")</f>
        <v/>
      </c>
      <c r="AD4503">
        <f>IF(Y4503=1,AC4503^2,"")</f>
        <v/>
      </c>
      <c r="AE4503" s="19">
        <f>IF(Z4503=1,(H4503-M4503)*I4503,0)</f>
        <v/>
      </c>
      <c r="AF4503">
        <f>IF(G4503&lt;EDATE(Assumptions!$C$6,-12)+1,"prior_12m","last_12m")</f>
        <v/>
      </c>
      <c r="AG4503" s="21">
        <f>DATE(YEAR(G4503),MONTH(G4503),1)</f>
        <v/>
      </c>
    </row>
    <row r="4504">
      <c r="A4504" t="inlineStr">
        <is>
          <t>SPO-02408-1</t>
        </is>
      </c>
      <c r="B4504" t="inlineStr">
        <is>
          <t>SPO-02408</t>
        </is>
      </c>
      <c r="C4504" t="inlineStr">
        <is>
          <t>SUP-09</t>
        </is>
      </c>
      <c r="D4504" t="inlineStr">
        <is>
          <t>CHEM</t>
        </is>
      </c>
      <c r="E4504" t="inlineStr">
        <is>
          <t>CHEM-06</t>
        </is>
      </c>
      <c r="F4504" s="17" t="n">
        <v>46242</v>
      </c>
      <c r="G4504" s="17" t="n">
        <v>46256</v>
      </c>
      <c r="H4504" s="18" t="n">
        <v>3</v>
      </c>
      <c r="I4504" s="19" t="n">
        <v>398.38</v>
      </c>
      <c r="J4504" s="19" t="n">
        <v>380</v>
      </c>
      <c r="K4504" s="20" t="n">
        <v>0</v>
      </c>
      <c r="L4504" s="20" t="n">
        <v>0</v>
      </c>
      <c r="M4504" s="18" t="n">
        <v>3</v>
      </c>
      <c r="N4504" s="18" t="n">
        <v>3</v>
      </c>
      <c r="O4504" s="18" t="n">
        <v>0</v>
      </c>
      <c r="P4504" s="17" t="n">
        <v>46251</v>
      </c>
      <c r="Q4504" s="17" t="n">
        <v>46251</v>
      </c>
      <c r="R4504" s="17" t="n">
        <v>46251</v>
      </c>
      <c r="S4504" s="19">
        <f>H4504*I4504</f>
        <v/>
      </c>
      <c r="T4504" s="19">
        <f>H4504*J4504</f>
        <v/>
      </c>
      <c r="U4504">
        <f>IF(AND(K4504=0,G4504&lt;=Assumptions!$C$6),1,0)</f>
        <v/>
      </c>
      <c r="V4504">
        <f>IF(U4504=1,IF(M4504&gt;0,IF(P4504&lt;=G4504+Assumptions!$C$7,1,0),0),0)</f>
        <v/>
      </c>
      <c r="W4504">
        <f>IF(AND(U4504=1,M4504&gt;=H4504*(1-Assumptions!$C$8)),1,0)</f>
        <v/>
      </c>
      <c r="X4504">
        <f>IF(AND(U4504=1,N4504&gt;=H4504*(1-Assumptions!$C$8)),1,0)</f>
        <v/>
      </c>
      <c r="Y4504">
        <f>IF(ISNUMBER(Q4504),1,0)</f>
        <v/>
      </c>
      <c r="Z4504">
        <f>IF(AND(K4504=0,L4504=0,Y4504=0),1,0)</f>
        <v/>
      </c>
      <c r="AA4504">
        <f>IF(AND(Z4504=1,G4504&lt;Assumptions!$C$6),1,0)</f>
        <v/>
      </c>
      <c r="AB4504">
        <f>IF(U4504=0,"",IF(Y4504=1,MAX(0,Q4504-G4504),IF(L4504=1,MAX(0,R4504-G4504),MAX(0,Assumptions!$C$6-G4504))))</f>
        <v/>
      </c>
      <c r="AC4504">
        <f>IF(Y4504=1,Q4504-F4504,"")</f>
        <v/>
      </c>
      <c r="AD4504">
        <f>IF(Y4504=1,AC4504^2,"")</f>
        <v/>
      </c>
      <c r="AE4504" s="19">
        <f>IF(Z4504=1,(H4504-M4504)*I4504,0)</f>
        <v/>
      </c>
      <c r="AF4504">
        <f>IF(G4504&lt;EDATE(Assumptions!$C$6,-12)+1,"prior_12m","last_12m")</f>
        <v/>
      </c>
      <c r="AG4504" s="21">
        <f>DATE(YEAR(G4504),MONTH(G4504),1)</f>
        <v/>
      </c>
    </row>
    <row r="4505">
      <c r="A4505" t="inlineStr">
        <is>
          <t>SPO-02409-1</t>
        </is>
      </c>
      <c r="B4505" t="inlineStr">
        <is>
          <t>SPO-02409</t>
        </is>
      </c>
      <c r="C4505" t="inlineStr">
        <is>
          <t>SUP-01</t>
        </is>
      </c>
      <c r="D4505" t="inlineStr">
        <is>
          <t>ELEC</t>
        </is>
      </c>
      <c r="E4505" t="inlineStr">
        <is>
          <t>ELEC-02</t>
        </is>
      </c>
      <c r="F4505" s="17" t="n">
        <v>46242</v>
      </c>
      <c r="G4505" s="17" t="n">
        <v>46260</v>
      </c>
      <c r="H4505" s="18" t="n">
        <v>364</v>
      </c>
      <c r="I4505" s="19" t="n">
        <v>4.17</v>
      </c>
      <c r="J4505" s="19" t="n">
        <v>4.2</v>
      </c>
      <c r="K4505" s="20" t="n">
        <v>0</v>
      </c>
      <c r="L4505" s="20" t="n">
        <v>0</v>
      </c>
      <c r="M4505" s="18" t="n">
        <v>364</v>
      </c>
      <c r="N4505" s="18" t="n">
        <v>364</v>
      </c>
      <c r="O4505" s="18" t="n">
        <v>0</v>
      </c>
      <c r="P4505" s="17" t="n">
        <v>46257</v>
      </c>
      <c r="Q4505" s="17" t="n">
        <v>46257</v>
      </c>
      <c r="R4505" s="17" t="n">
        <v>46257</v>
      </c>
      <c r="S4505" s="19">
        <f>H4505*I4505</f>
        <v/>
      </c>
      <c r="T4505" s="19">
        <f>H4505*J4505</f>
        <v/>
      </c>
      <c r="U4505">
        <f>IF(AND(K4505=0,G4505&lt;=Assumptions!$C$6),1,0)</f>
        <v/>
      </c>
      <c r="V4505">
        <f>IF(U4505=1,IF(M4505&gt;0,IF(P4505&lt;=G4505+Assumptions!$C$7,1,0),0),0)</f>
        <v/>
      </c>
      <c r="W4505">
        <f>IF(AND(U4505=1,M4505&gt;=H4505*(1-Assumptions!$C$8)),1,0)</f>
        <v/>
      </c>
      <c r="X4505">
        <f>IF(AND(U4505=1,N4505&gt;=H4505*(1-Assumptions!$C$8)),1,0)</f>
        <v/>
      </c>
      <c r="Y4505">
        <f>IF(ISNUMBER(Q4505),1,0)</f>
        <v/>
      </c>
      <c r="Z4505">
        <f>IF(AND(K4505=0,L4505=0,Y4505=0),1,0)</f>
        <v/>
      </c>
      <c r="AA4505">
        <f>IF(AND(Z4505=1,G4505&lt;Assumptions!$C$6),1,0)</f>
        <v/>
      </c>
      <c r="AB4505">
        <f>IF(U4505=0,"",IF(Y4505=1,MAX(0,Q4505-G4505),IF(L4505=1,MAX(0,R4505-G4505),MAX(0,Assumptions!$C$6-G4505))))</f>
        <v/>
      </c>
      <c r="AC4505">
        <f>IF(Y4505=1,Q4505-F4505,"")</f>
        <v/>
      </c>
      <c r="AD4505">
        <f>IF(Y4505=1,AC4505^2,"")</f>
        <v/>
      </c>
      <c r="AE4505" s="19">
        <f>IF(Z4505=1,(H4505-M4505)*I4505,0)</f>
        <v/>
      </c>
      <c r="AF4505">
        <f>IF(G4505&lt;EDATE(Assumptions!$C$6,-12)+1,"prior_12m","last_12m")</f>
        <v/>
      </c>
      <c r="AG4505" s="21">
        <f>DATE(YEAR(G4505),MONTH(G4505),1)</f>
        <v/>
      </c>
    </row>
    <row r="4506">
      <c r="A4506" t="inlineStr">
        <is>
          <t>SPO-02410-1</t>
        </is>
      </c>
      <c r="B4506" t="inlineStr">
        <is>
          <t>SPO-02410</t>
        </is>
      </c>
      <c r="C4506" t="inlineStr">
        <is>
          <t>SUP-01</t>
        </is>
      </c>
      <c r="D4506" t="inlineStr">
        <is>
          <t>ELEC</t>
        </is>
      </c>
      <c r="E4506" t="inlineStr">
        <is>
          <t>ELEC-05</t>
        </is>
      </c>
      <c r="F4506" s="17" t="n">
        <v>46242</v>
      </c>
      <c r="G4506" s="17" t="n">
        <v>46260</v>
      </c>
      <c r="H4506" s="18" t="n">
        <v>361</v>
      </c>
      <c r="I4506" s="19" t="n">
        <v>11.91</v>
      </c>
      <c r="J4506" s="19" t="n">
        <v>11.5</v>
      </c>
      <c r="K4506" s="20" t="n">
        <v>0</v>
      </c>
      <c r="L4506" s="20" t="n">
        <v>0</v>
      </c>
      <c r="M4506" s="18" t="n">
        <v>361</v>
      </c>
      <c r="N4506" s="18" t="n">
        <v>0</v>
      </c>
      <c r="O4506" s="18" t="n">
        <v>0</v>
      </c>
      <c r="P4506" s="17" t="n">
        <v>46263</v>
      </c>
      <c r="Q4506" s="17" t="n">
        <v>46263</v>
      </c>
      <c r="R4506" s="17" t="n">
        <v>46263</v>
      </c>
      <c r="S4506" s="19">
        <f>H4506*I4506</f>
        <v/>
      </c>
      <c r="T4506" s="19">
        <f>H4506*J4506</f>
        <v/>
      </c>
      <c r="U4506">
        <f>IF(AND(K4506=0,G4506&lt;=Assumptions!$C$6),1,0)</f>
        <v/>
      </c>
      <c r="V4506">
        <f>IF(U4506=1,IF(M4506&gt;0,IF(P4506&lt;=G4506+Assumptions!$C$7,1,0),0),0)</f>
        <v/>
      </c>
      <c r="W4506">
        <f>IF(AND(U4506=1,M4506&gt;=H4506*(1-Assumptions!$C$8)),1,0)</f>
        <v/>
      </c>
      <c r="X4506">
        <f>IF(AND(U4506=1,N4506&gt;=H4506*(1-Assumptions!$C$8)),1,0)</f>
        <v/>
      </c>
      <c r="Y4506">
        <f>IF(ISNUMBER(Q4506),1,0)</f>
        <v/>
      </c>
      <c r="Z4506">
        <f>IF(AND(K4506=0,L4506=0,Y4506=0),1,0)</f>
        <v/>
      </c>
      <c r="AA4506">
        <f>IF(AND(Z4506=1,G4506&lt;Assumptions!$C$6),1,0)</f>
        <v/>
      </c>
      <c r="AB4506">
        <f>IF(U4506=0,"",IF(Y4506=1,MAX(0,Q4506-G4506),IF(L4506=1,MAX(0,R4506-G4506),MAX(0,Assumptions!$C$6-G4506))))</f>
        <v/>
      </c>
      <c r="AC4506">
        <f>IF(Y4506=1,Q4506-F4506,"")</f>
        <v/>
      </c>
      <c r="AD4506">
        <f>IF(Y4506=1,AC4506^2,"")</f>
        <v/>
      </c>
      <c r="AE4506" s="19">
        <f>IF(Z4506=1,(H4506-M4506)*I4506,0)</f>
        <v/>
      </c>
      <c r="AF4506">
        <f>IF(G4506&lt;EDATE(Assumptions!$C$6,-12)+1,"prior_12m","last_12m")</f>
        <v/>
      </c>
      <c r="AG4506" s="21">
        <f>DATE(YEAR(G4506),MONTH(G4506),1)</f>
        <v/>
      </c>
    </row>
    <row r="4507">
      <c r="A4507" t="inlineStr">
        <is>
          <t>SPO-02411-1</t>
        </is>
      </c>
      <c r="B4507" t="inlineStr">
        <is>
          <t>SPO-02411</t>
        </is>
      </c>
      <c r="C4507" t="inlineStr">
        <is>
          <t>SUP-11</t>
        </is>
      </c>
      <c r="D4507" t="inlineStr">
        <is>
          <t>PPE</t>
        </is>
      </c>
      <c r="E4507" t="inlineStr">
        <is>
          <t>PPE-07</t>
        </is>
      </c>
      <c r="F4507" s="17" t="n">
        <v>46243</v>
      </c>
      <c r="G4507" s="17" t="n">
        <v>46255</v>
      </c>
      <c r="H4507" s="18" t="n">
        <v>48</v>
      </c>
      <c r="I4507" s="19" t="n">
        <v>32.39</v>
      </c>
      <c r="J4507" s="19" t="n">
        <v>31</v>
      </c>
      <c r="K4507" s="20" t="n">
        <v>0</v>
      </c>
      <c r="L4507" s="20" t="n">
        <v>0</v>
      </c>
      <c r="M4507" s="18" t="n">
        <v>48</v>
      </c>
      <c r="N4507" s="18" t="n">
        <v>48</v>
      </c>
      <c r="O4507" s="18" t="n">
        <v>0</v>
      </c>
      <c r="P4507" s="17" t="n">
        <v>46253</v>
      </c>
      <c r="Q4507" s="17" t="n">
        <v>46253</v>
      </c>
      <c r="R4507" s="17" t="n">
        <v>46253</v>
      </c>
      <c r="S4507" s="19">
        <f>H4507*I4507</f>
        <v/>
      </c>
      <c r="T4507" s="19">
        <f>H4507*J4507</f>
        <v/>
      </c>
      <c r="U4507">
        <f>IF(AND(K4507=0,G4507&lt;=Assumptions!$C$6),1,0)</f>
        <v/>
      </c>
      <c r="V4507">
        <f>IF(U4507=1,IF(M4507&gt;0,IF(P4507&lt;=G4507+Assumptions!$C$7,1,0),0),0)</f>
        <v/>
      </c>
      <c r="W4507">
        <f>IF(AND(U4507=1,M4507&gt;=H4507*(1-Assumptions!$C$8)),1,0)</f>
        <v/>
      </c>
      <c r="X4507">
        <f>IF(AND(U4507=1,N4507&gt;=H4507*(1-Assumptions!$C$8)),1,0)</f>
        <v/>
      </c>
      <c r="Y4507">
        <f>IF(ISNUMBER(Q4507),1,0)</f>
        <v/>
      </c>
      <c r="Z4507">
        <f>IF(AND(K4507=0,L4507=0,Y4507=0),1,0)</f>
        <v/>
      </c>
      <c r="AA4507">
        <f>IF(AND(Z4507=1,G4507&lt;Assumptions!$C$6),1,0)</f>
        <v/>
      </c>
      <c r="AB4507">
        <f>IF(U4507=0,"",IF(Y4507=1,MAX(0,Q4507-G4507),IF(L4507=1,MAX(0,R4507-G4507),MAX(0,Assumptions!$C$6-G4507))))</f>
        <v/>
      </c>
      <c r="AC4507">
        <f>IF(Y4507=1,Q4507-F4507,"")</f>
        <v/>
      </c>
      <c r="AD4507">
        <f>IF(Y4507=1,AC4507^2,"")</f>
        <v/>
      </c>
      <c r="AE4507" s="19">
        <f>IF(Z4507=1,(H4507-M4507)*I4507,0)</f>
        <v/>
      </c>
      <c r="AF4507">
        <f>IF(G4507&lt;EDATE(Assumptions!$C$6,-12)+1,"prior_12m","last_12m")</f>
        <v/>
      </c>
      <c r="AG4507" s="21">
        <f>DATE(YEAR(G4507),MONTH(G4507),1)</f>
        <v/>
      </c>
    </row>
    <row r="4508">
      <c r="A4508" t="inlineStr">
        <is>
          <t>SPO-02412-1</t>
        </is>
      </c>
      <c r="B4508" t="inlineStr">
        <is>
          <t>SPO-02412</t>
        </is>
      </c>
      <c r="C4508" t="inlineStr">
        <is>
          <t>SUP-06</t>
        </is>
      </c>
      <c r="D4508" t="inlineStr">
        <is>
          <t>MRO</t>
        </is>
      </c>
      <c r="E4508" t="inlineStr">
        <is>
          <t>MRO-03</t>
        </is>
      </c>
      <c r="F4508" s="17" t="n">
        <v>46243</v>
      </c>
      <c r="G4508" s="17" t="n">
        <v>46251</v>
      </c>
      <c r="H4508" s="18" t="n">
        <v>162</v>
      </c>
      <c r="I4508" s="19" t="n">
        <v>8.49</v>
      </c>
      <c r="J4508" s="19" t="n">
        <v>8.9</v>
      </c>
      <c r="K4508" s="20" t="n">
        <v>0</v>
      </c>
      <c r="L4508" s="20" t="n">
        <v>0</v>
      </c>
      <c r="M4508" s="18" t="n">
        <v>162</v>
      </c>
      <c r="N4508" s="18" t="n">
        <v>162</v>
      </c>
      <c r="O4508" s="18" t="n">
        <v>0</v>
      </c>
      <c r="P4508" s="17" t="n">
        <v>46250</v>
      </c>
      <c r="Q4508" s="17" t="n">
        <v>46250</v>
      </c>
      <c r="R4508" s="17" t="n">
        <v>46250</v>
      </c>
      <c r="S4508" s="19">
        <f>H4508*I4508</f>
        <v/>
      </c>
      <c r="T4508" s="19">
        <f>H4508*J4508</f>
        <v/>
      </c>
      <c r="U4508">
        <f>IF(AND(K4508=0,G4508&lt;=Assumptions!$C$6),1,0)</f>
        <v/>
      </c>
      <c r="V4508">
        <f>IF(U4508=1,IF(M4508&gt;0,IF(P4508&lt;=G4508+Assumptions!$C$7,1,0),0),0)</f>
        <v/>
      </c>
      <c r="W4508">
        <f>IF(AND(U4508=1,M4508&gt;=H4508*(1-Assumptions!$C$8)),1,0)</f>
        <v/>
      </c>
      <c r="X4508">
        <f>IF(AND(U4508=1,N4508&gt;=H4508*(1-Assumptions!$C$8)),1,0)</f>
        <v/>
      </c>
      <c r="Y4508">
        <f>IF(ISNUMBER(Q4508),1,0)</f>
        <v/>
      </c>
      <c r="Z4508">
        <f>IF(AND(K4508=0,L4508=0,Y4508=0),1,0)</f>
        <v/>
      </c>
      <c r="AA4508">
        <f>IF(AND(Z4508=1,G4508&lt;Assumptions!$C$6),1,0)</f>
        <v/>
      </c>
      <c r="AB4508">
        <f>IF(U4508=0,"",IF(Y4508=1,MAX(0,Q4508-G4508),IF(L4508=1,MAX(0,R4508-G4508),MAX(0,Assumptions!$C$6-G4508))))</f>
        <v/>
      </c>
      <c r="AC4508">
        <f>IF(Y4508=1,Q4508-F4508,"")</f>
        <v/>
      </c>
      <c r="AD4508">
        <f>IF(Y4508=1,AC4508^2,"")</f>
        <v/>
      </c>
      <c r="AE4508" s="19">
        <f>IF(Z4508=1,(H4508-M4508)*I4508,0)</f>
        <v/>
      </c>
      <c r="AF4508">
        <f>IF(G4508&lt;EDATE(Assumptions!$C$6,-12)+1,"prior_12m","last_12m")</f>
        <v/>
      </c>
      <c r="AG4508" s="21">
        <f>DATE(YEAR(G4508),MONTH(G4508),1)</f>
        <v/>
      </c>
    </row>
    <row r="4509">
      <c r="A4509" t="inlineStr">
        <is>
          <t>SPO-02412-2</t>
        </is>
      </c>
      <c r="B4509" t="inlineStr">
        <is>
          <t>SPO-02412</t>
        </is>
      </c>
      <c r="C4509" t="inlineStr">
        <is>
          <t>SUP-06</t>
        </is>
      </c>
      <c r="D4509" t="inlineStr">
        <is>
          <t>MRO</t>
        </is>
      </c>
      <c r="E4509" t="inlineStr">
        <is>
          <t>MRO-05</t>
        </is>
      </c>
      <c r="F4509" s="17" t="n">
        <v>46243</v>
      </c>
      <c r="G4509" s="17" t="n">
        <v>46251</v>
      </c>
      <c r="H4509" s="18" t="n">
        <v>96</v>
      </c>
      <c r="I4509" s="19" t="n">
        <v>37.11</v>
      </c>
      <c r="J4509" s="19" t="n">
        <v>36</v>
      </c>
      <c r="K4509" s="20" t="n">
        <v>0</v>
      </c>
      <c r="L4509" s="20" t="n">
        <v>0</v>
      </c>
      <c r="M4509" s="18" t="n">
        <v>96</v>
      </c>
      <c r="N4509" s="18" t="n">
        <v>96</v>
      </c>
      <c r="O4509" s="18" t="n">
        <v>0</v>
      </c>
      <c r="P4509" s="17" t="n">
        <v>46250</v>
      </c>
      <c r="Q4509" s="17" t="n">
        <v>46250</v>
      </c>
      <c r="R4509" s="17" t="n">
        <v>46250</v>
      </c>
      <c r="S4509" s="19">
        <f>H4509*I4509</f>
        <v/>
      </c>
      <c r="T4509" s="19">
        <f>H4509*J4509</f>
        <v/>
      </c>
      <c r="U4509">
        <f>IF(AND(K4509=0,G4509&lt;=Assumptions!$C$6),1,0)</f>
        <v/>
      </c>
      <c r="V4509">
        <f>IF(U4509=1,IF(M4509&gt;0,IF(P4509&lt;=G4509+Assumptions!$C$7,1,0),0),0)</f>
        <v/>
      </c>
      <c r="W4509">
        <f>IF(AND(U4509=1,M4509&gt;=H4509*(1-Assumptions!$C$8)),1,0)</f>
        <v/>
      </c>
      <c r="X4509">
        <f>IF(AND(U4509=1,N4509&gt;=H4509*(1-Assumptions!$C$8)),1,0)</f>
        <v/>
      </c>
      <c r="Y4509">
        <f>IF(ISNUMBER(Q4509),1,0)</f>
        <v/>
      </c>
      <c r="Z4509">
        <f>IF(AND(K4509=0,L4509=0,Y4509=0),1,0)</f>
        <v/>
      </c>
      <c r="AA4509">
        <f>IF(AND(Z4509=1,G4509&lt;Assumptions!$C$6),1,0)</f>
        <v/>
      </c>
      <c r="AB4509">
        <f>IF(U4509=0,"",IF(Y4509=1,MAX(0,Q4509-G4509),IF(L4509=1,MAX(0,R4509-G4509),MAX(0,Assumptions!$C$6-G4509))))</f>
        <v/>
      </c>
      <c r="AC4509">
        <f>IF(Y4509=1,Q4509-F4509,"")</f>
        <v/>
      </c>
      <c r="AD4509">
        <f>IF(Y4509=1,AC4509^2,"")</f>
        <v/>
      </c>
      <c r="AE4509" s="19">
        <f>IF(Z4509=1,(H4509-M4509)*I4509,0)</f>
        <v/>
      </c>
      <c r="AF4509">
        <f>IF(G4509&lt;EDATE(Assumptions!$C$6,-12)+1,"prior_12m","last_12m")</f>
        <v/>
      </c>
      <c r="AG4509" s="21">
        <f>DATE(YEAR(G4509),MONTH(G4509),1)</f>
        <v/>
      </c>
    </row>
    <row r="4510">
      <c r="A4510" t="inlineStr">
        <is>
          <t>SPO-02413-1</t>
        </is>
      </c>
      <c r="B4510" t="inlineStr">
        <is>
          <t>SPO-02413</t>
        </is>
      </c>
      <c r="C4510" t="inlineStr">
        <is>
          <t>SUP-02</t>
        </is>
      </c>
      <c r="D4510" t="inlineStr">
        <is>
          <t>ELEC</t>
        </is>
      </c>
      <c r="E4510" t="inlineStr">
        <is>
          <t>ELEC-08</t>
        </is>
      </c>
      <c r="F4510" s="17" t="n">
        <v>46243</v>
      </c>
      <c r="G4510" s="17" t="n">
        <v>46259</v>
      </c>
      <c r="H4510" s="18" t="n">
        <v>218</v>
      </c>
      <c r="I4510" s="19" t="n">
        <v>17.54</v>
      </c>
      <c r="J4510" s="19" t="n">
        <v>18</v>
      </c>
      <c r="K4510" s="20" t="n">
        <v>0</v>
      </c>
      <c r="L4510" s="20" t="n">
        <v>0</v>
      </c>
      <c r="M4510" s="18" t="n">
        <v>218</v>
      </c>
      <c r="N4510" s="18" t="n">
        <v>218</v>
      </c>
      <c r="O4510" s="18" t="n">
        <v>0</v>
      </c>
      <c r="P4510" s="17" t="n">
        <v>46257</v>
      </c>
      <c r="Q4510" s="17" t="n">
        <v>46257</v>
      </c>
      <c r="R4510" s="17" t="n">
        <v>46257</v>
      </c>
      <c r="S4510" s="19">
        <f>H4510*I4510</f>
        <v/>
      </c>
      <c r="T4510" s="19">
        <f>H4510*J4510</f>
        <v/>
      </c>
      <c r="U4510">
        <f>IF(AND(K4510=0,G4510&lt;=Assumptions!$C$6),1,0)</f>
        <v/>
      </c>
      <c r="V4510">
        <f>IF(U4510=1,IF(M4510&gt;0,IF(P4510&lt;=G4510+Assumptions!$C$7,1,0),0),0)</f>
        <v/>
      </c>
      <c r="W4510">
        <f>IF(AND(U4510=1,M4510&gt;=H4510*(1-Assumptions!$C$8)),1,0)</f>
        <v/>
      </c>
      <c r="X4510">
        <f>IF(AND(U4510=1,N4510&gt;=H4510*(1-Assumptions!$C$8)),1,0)</f>
        <v/>
      </c>
      <c r="Y4510">
        <f>IF(ISNUMBER(Q4510),1,0)</f>
        <v/>
      </c>
      <c r="Z4510">
        <f>IF(AND(K4510=0,L4510=0,Y4510=0),1,0)</f>
        <v/>
      </c>
      <c r="AA4510">
        <f>IF(AND(Z4510=1,G4510&lt;Assumptions!$C$6),1,0)</f>
        <v/>
      </c>
      <c r="AB4510">
        <f>IF(U4510=0,"",IF(Y4510=1,MAX(0,Q4510-G4510),IF(L4510=1,MAX(0,R4510-G4510),MAX(0,Assumptions!$C$6-G4510))))</f>
        <v/>
      </c>
      <c r="AC4510">
        <f>IF(Y4510=1,Q4510-F4510,"")</f>
        <v/>
      </c>
      <c r="AD4510">
        <f>IF(Y4510=1,AC4510^2,"")</f>
        <v/>
      </c>
      <c r="AE4510" s="19">
        <f>IF(Z4510=1,(H4510-M4510)*I4510,0)</f>
        <v/>
      </c>
      <c r="AF4510">
        <f>IF(G4510&lt;EDATE(Assumptions!$C$6,-12)+1,"prior_12m","last_12m")</f>
        <v/>
      </c>
      <c r="AG4510" s="21">
        <f>DATE(YEAR(G4510),MONTH(G4510),1)</f>
        <v/>
      </c>
    </row>
    <row r="4511">
      <c r="A4511" t="inlineStr">
        <is>
          <t>SPO-02413-2</t>
        </is>
      </c>
      <c r="B4511" t="inlineStr">
        <is>
          <t>SPO-02413</t>
        </is>
      </c>
      <c r="C4511" t="inlineStr">
        <is>
          <t>SUP-02</t>
        </is>
      </c>
      <c r="D4511" t="inlineStr">
        <is>
          <t>ELEC</t>
        </is>
      </c>
      <c r="E4511" t="inlineStr">
        <is>
          <t>ELEC-07</t>
        </is>
      </c>
      <c r="F4511" s="17" t="n">
        <v>46243</v>
      </c>
      <c r="G4511" s="17" t="n">
        <v>46259</v>
      </c>
      <c r="H4511" s="18" t="n">
        <v>354</v>
      </c>
      <c r="I4511" s="19" t="n">
        <v>9.58</v>
      </c>
      <c r="J4511" s="19" t="n">
        <v>9.800000000000001</v>
      </c>
      <c r="K4511" s="20" t="n">
        <v>0</v>
      </c>
      <c r="L4511" s="20" t="n">
        <v>0</v>
      </c>
      <c r="M4511" s="18" t="n">
        <v>354</v>
      </c>
      <c r="N4511" s="18" t="n">
        <v>354</v>
      </c>
      <c r="O4511" s="18" t="n">
        <v>0</v>
      </c>
      <c r="P4511" s="17" t="n">
        <v>46254</v>
      </c>
      <c r="Q4511" s="17" t="n">
        <v>46254</v>
      </c>
      <c r="R4511" s="17" t="n">
        <v>46254</v>
      </c>
      <c r="S4511" s="19">
        <f>H4511*I4511</f>
        <v/>
      </c>
      <c r="T4511" s="19">
        <f>H4511*J4511</f>
        <v/>
      </c>
      <c r="U4511">
        <f>IF(AND(K4511=0,G4511&lt;=Assumptions!$C$6),1,0)</f>
        <v/>
      </c>
      <c r="V4511">
        <f>IF(U4511=1,IF(M4511&gt;0,IF(P4511&lt;=G4511+Assumptions!$C$7,1,0),0),0)</f>
        <v/>
      </c>
      <c r="W4511">
        <f>IF(AND(U4511=1,M4511&gt;=H4511*(1-Assumptions!$C$8)),1,0)</f>
        <v/>
      </c>
      <c r="X4511">
        <f>IF(AND(U4511=1,N4511&gt;=H4511*(1-Assumptions!$C$8)),1,0)</f>
        <v/>
      </c>
      <c r="Y4511">
        <f>IF(ISNUMBER(Q4511),1,0)</f>
        <v/>
      </c>
      <c r="Z4511">
        <f>IF(AND(K4511=0,L4511=0,Y4511=0),1,0)</f>
        <v/>
      </c>
      <c r="AA4511">
        <f>IF(AND(Z4511=1,G4511&lt;Assumptions!$C$6),1,0)</f>
        <v/>
      </c>
      <c r="AB4511">
        <f>IF(U4511=0,"",IF(Y4511=1,MAX(0,Q4511-G4511),IF(L4511=1,MAX(0,R4511-G4511),MAX(0,Assumptions!$C$6-G4511))))</f>
        <v/>
      </c>
      <c r="AC4511">
        <f>IF(Y4511=1,Q4511-F4511,"")</f>
        <v/>
      </c>
      <c r="AD4511">
        <f>IF(Y4511=1,AC4511^2,"")</f>
        <v/>
      </c>
      <c r="AE4511" s="19">
        <f>IF(Z4511=1,(H4511-M4511)*I4511,0)</f>
        <v/>
      </c>
      <c r="AF4511">
        <f>IF(G4511&lt;EDATE(Assumptions!$C$6,-12)+1,"prior_12m","last_12m")</f>
        <v/>
      </c>
      <c r="AG4511" s="21">
        <f>DATE(YEAR(G4511),MONTH(G4511),1)</f>
        <v/>
      </c>
    </row>
    <row r="4512">
      <c r="A4512" t="inlineStr">
        <is>
          <t>SPO-02414-1</t>
        </is>
      </c>
      <c r="B4512" t="inlineStr">
        <is>
          <t>SPO-02414</t>
        </is>
      </c>
      <c r="C4512" t="inlineStr">
        <is>
          <t>SUP-04</t>
        </is>
      </c>
      <c r="D4512" t="inlineStr">
        <is>
          <t>FLEET</t>
        </is>
      </c>
      <c r="E4512" t="inlineStr">
        <is>
          <t>FLEET-07</t>
        </is>
      </c>
      <c r="F4512" s="17" t="n">
        <v>46244</v>
      </c>
      <c r="G4512" s="17" t="n">
        <v>46257</v>
      </c>
      <c r="H4512" s="18" t="n">
        <v>12</v>
      </c>
      <c r="I4512" s="19" t="n">
        <v>118.15</v>
      </c>
      <c r="J4512" s="19" t="n">
        <v>118</v>
      </c>
      <c r="K4512" s="20" t="n">
        <v>0</v>
      </c>
      <c r="L4512" s="20" t="n">
        <v>0</v>
      </c>
      <c r="M4512" s="18" t="n">
        <v>12</v>
      </c>
      <c r="N4512" s="18" t="n">
        <v>12</v>
      </c>
      <c r="O4512" s="18" t="n">
        <v>0</v>
      </c>
      <c r="P4512" s="17" t="n">
        <v>46246</v>
      </c>
      <c r="Q4512" s="17" t="n">
        <v>46246</v>
      </c>
      <c r="R4512" s="17" t="n">
        <v>46246</v>
      </c>
      <c r="S4512" s="19">
        <f>H4512*I4512</f>
        <v/>
      </c>
      <c r="T4512" s="19">
        <f>H4512*J4512</f>
        <v/>
      </c>
      <c r="U4512">
        <f>IF(AND(K4512=0,G4512&lt;=Assumptions!$C$6),1,0)</f>
        <v/>
      </c>
      <c r="V4512">
        <f>IF(U4512=1,IF(M4512&gt;0,IF(P4512&lt;=G4512+Assumptions!$C$7,1,0),0),0)</f>
        <v/>
      </c>
      <c r="W4512">
        <f>IF(AND(U4512=1,M4512&gt;=H4512*(1-Assumptions!$C$8)),1,0)</f>
        <v/>
      </c>
      <c r="X4512">
        <f>IF(AND(U4512=1,N4512&gt;=H4512*(1-Assumptions!$C$8)),1,0)</f>
        <v/>
      </c>
      <c r="Y4512">
        <f>IF(ISNUMBER(Q4512),1,0)</f>
        <v/>
      </c>
      <c r="Z4512">
        <f>IF(AND(K4512=0,L4512=0,Y4512=0),1,0)</f>
        <v/>
      </c>
      <c r="AA4512">
        <f>IF(AND(Z4512=1,G4512&lt;Assumptions!$C$6),1,0)</f>
        <v/>
      </c>
      <c r="AB4512">
        <f>IF(U4512=0,"",IF(Y4512=1,MAX(0,Q4512-G4512),IF(L4512=1,MAX(0,R4512-G4512),MAX(0,Assumptions!$C$6-G4512))))</f>
        <v/>
      </c>
      <c r="AC4512">
        <f>IF(Y4512=1,Q4512-F4512,"")</f>
        <v/>
      </c>
      <c r="AD4512">
        <f>IF(Y4512=1,AC4512^2,"")</f>
        <v/>
      </c>
      <c r="AE4512" s="19">
        <f>IF(Z4512=1,(H4512-M4512)*I4512,0)</f>
        <v/>
      </c>
      <c r="AF4512">
        <f>IF(G4512&lt;EDATE(Assumptions!$C$6,-12)+1,"prior_12m","last_12m")</f>
        <v/>
      </c>
      <c r="AG4512" s="21">
        <f>DATE(YEAR(G4512),MONTH(G4512),1)</f>
        <v/>
      </c>
    </row>
    <row r="4513">
      <c r="A4513" t="inlineStr">
        <is>
          <t>SPO-02415-1</t>
        </is>
      </c>
      <c r="B4513" t="inlineStr">
        <is>
          <t>SPO-02415</t>
        </is>
      </c>
      <c r="C4513" t="inlineStr">
        <is>
          <t>SUP-01</t>
        </is>
      </c>
      <c r="D4513" t="inlineStr">
        <is>
          <t>ELEC</t>
        </is>
      </c>
      <c r="E4513" t="inlineStr">
        <is>
          <t>ELEC-04</t>
        </is>
      </c>
      <c r="F4513" s="17" t="n">
        <v>46244</v>
      </c>
      <c r="G4513" s="17" t="n">
        <v>46262</v>
      </c>
      <c r="H4513" s="18" t="n">
        <v>52</v>
      </c>
      <c r="I4513" s="19" t="n">
        <v>72.45999999999999</v>
      </c>
      <c r="J4513" s="19" t="n">
        <v>72</v>
      </c>
      <c r="K4513" s="20" t="n">
        <v>0</v>
      </c>
      <c r="L4513" s="20" t="n">
        <v>0</v>
      </c>
      <c r="M4513" s="18" t="n">
        <v>52</v>
      </c>
      <c r="N4513" s="18" t="n">
        <v>0</v>
      </c>
      <c r="O4513" s="18" t="n">
        <v>0</v>
      </c>
      <c r="P4513" s="17" t="n">
        <v>46263</v>
      </c>
      <c r="Q4513" s="17" t="n">
        <v>46263</v>
      </c>
      <c r="R4513" s="17" t="n">
        <v>46263</v>
      </c>
      <c r="S4513" s="19">
        <f>H4513*I4513</f>
        <v/>
      </c>
      <c r="T4513" s="19">
        <f>H4513*J4513</f>
        <v/>
      </c>
      <c r="U4513">
        <f>IF(AND(K4513=0,G4513&lt;=Assumptions!$C$6),1,0)</f>
        <v/>
      </c>
      <c r="V4513">
        <f>IF(U4513=1,IF(M4513&gt;0,IF(P4513&lt;=G4513+Assumptions!$C$7,1,0),0),0)</f>
        <v/>
      </c>
      <c r="W4513">
        <f>IF(AND(U4513=1,M4513&gt;=H4513*(1-Assumptions!$C$8)),1,0)</f>
        <v/>
      </c>
      <c r="X4513">
        <f>IF(AND(U4513=1,N4513&gt;=H4513*(1-Assumptions!$C$8)),1,0)</f>
        <v/>
      </c>
      <c r="Y4513">
        <f>IF(ISNUMBER(Q4513),1,0)</f>
        <v/>
      </c>
      <c r="Z4513">
        <f>IF(AND(K4513=0,L4513=0,Y4513=0),1,0)</f>
        <v/>
      </c>
      <c r="AA4513">
        <f>IF(AND(Z4513=1,G4513&lt;Assumptions!$C$6),1,0)</f>
        <v/>
      </c>
      <c r="AB4513">
        <f>IF(U4513=0,"",IF(Y4513=1,MAX(0,Q4513-G4513),IF(L4513=1,MAX(0,R4513-G4513),MAX(0,Assumptions!$C$6-G4513))))</f>
        <v/>
      </c>
      <c r="AC4513">
        <f>IF(Y4513=1,Q4513-F4513,"")</f>
        <v/>
      </c>
      <c r="AD4513">
        <f>IF(Y4513=1,AC4513^2,"")</f>
        <v/>
      </c>
      <c r="AE4513" s="19">
        <f>IF(Z4513=1,(H4513-M4513)*I4513,0)</f>
        <v/>
      </c>
      <c r="AF4513">
        <f>IF(G4513&lt;EDATE(Assumptions!$C$6,-12)+1,"prior_12m","last_12m")</f>
        <v/>
      </c>
      <c r="AG4513" s="21">
        <f>DATE(YEAR(G4513),MONTH(G4513),1)</f>
        <v/>
      </c>
    </row>
    <row r="4514">
      <c r="A4514" t="inlineStr">
        <is>
          <t>SPO-02415-2</t>
        </is>
      </c>
      <c r="B4514" t="inlineStr">
        <is>
          <t>SPO-02415</t>
        </is>
      </c>
      <c r="C4514" t="inlineStr">
        <is>
          <t>SUP-01</t>
        </is>
      </c>
      <c r="D4514" t="inlineStr">
        <is>
          <t>ELEC</t>
        </is>
      </c>
      <c r="E4514" t="inlineStr">
        <is>
          <t>ELEC-05</t>
        </is>
      </c>
      <c r="F4514" s="17" t="n">
        <v>46244</v>
      </c>
      <c r="G4514" s="17" t="n">
        <v>46262</v>
      </c>
      <c r="H4514" s="18" t="n">
        <v>146</v>
      </c>
      <c r="I4514" s="19" t="n">
        <v>11.3</v>
      </c>
      <c r="J4514" s="19" t="n">
        <v>11.5</v>
      </c>
      <c r="K4514" s="20" t="n">
        <v>0</v>
      </c>
      <c r="L4514" s="20" t="n">
        <v>0</v>
      </c>
      <c r="M4514" s="18" t="n">
        <v>146</v>
      </c>
      <c r="N4514" s="18" t="n">
        <v>146</v>
      </c>
      <c r="O4514" s="18" t="n">
        <v>0</v>
      </c>
      <c r="P4514" s="17" t="n">
        <v>46250</v>
      </c>
      <c r="Q4514" s="17" t="n">
        <v>46250</v>
      </c>
      <c r="R4514" s="17" t="n">
        <v>46250</v>
      </c>
      <c r="S4514" s="19">
        <f>H4514*I4514</f>
        <v/>
      </c>
      <c r="T4514" s="19">
        <f>H4514*J4514</f>
        <v/>
      </c>
      <c r="U4514">
        <f>IF(AND(K4514=0,G4514&lt;=Assumptions!$C$6),1,0)</f>
        <v/>
      </c>
      <c r="V4514">
        <f>IF(U4514=1,IF(M4514&gt;0,IF(P4514&lt;=G4514+Assumptions!$C$7,1,0),0),0)</f>
        <v/>
      </c>
      <c r="W4514">
        <f>IF(AND(U4514=1,M4514&gt;=H4514*(1-Assumptions!$C$8)),1,0)</f>
        <v/>
      </c>
      <c r="X4514">
        <f>IF(AND(U4514=1,N4514&gt;=H4514*(1-Assumptions!$C$8)),1,0)</f>
        <v/>
      </c>
      <c r="Y4514">
        <f>IF(ISNUMBER(Q4514),1,0)</f>
        <v/>
      </c>
      <c r="Z4514">
        <f>IF(AND(K4514=0,L4514=0,Y4514=0),1,0)</f>
        <v/>
      </c>
      <c r="AA4514">
        <f>IF(AND(Z4514=1,G4514&lt;Assumptions!$C$6),1,0)</f>
        <v/>
      </c>
      <c r="AB4514">
        <f>IF(U4514=0,"",IF(Y4514=1,MAX(0,Q4514-G4514),IF(L4514=1,MAX(0,R4514-G4514),MAX(0,Assumptions!$C$6-G4514))))</f>
        <v/>
      </c>
      <c r="AC4514">
        <f>IF(Y4514=1,Q4514-F4514,"")</f>
        <v/>
      </c>
      <c r="AD4514">
        <f>IF(Y4514=1,AC4514^2,"")</f>
        <v/>
      </c>
      <c r="AE4514" s="19">
        <f>IF(Z4514=1,(H4514-M4514)*I4514,0)</f>
        <v/>
      </c>
      <c r="AF4514">
        <f>IF(G4514&lt;EDATE(Assumptions!$C$6,-12)+1,"prior_12m","last_12m")</f>
        <v/>
      </c>
      <c r="AG4514" s="21">
        <f>DATE(YEAR(G4514),MONTH(G4514),1)</f>
        <v/>
      </c>
    </row>
    <row r="4515">
      <c r="A4515" t="inlineStr">
        <is>
          <t>SPO-02416-1</t>
        </is>
      </c>
      <c r="B4515" t="inlineStr">
        <is>
          <t>SPO-02416</t>
        </is>
      </c>
      <c r="C4515" t="inlineStr">
        <is>
          <t>SUP-09</t>
        </is>
      </c>
      <c r="D4515" t="inlineStr">
        <is>
          <t>CHEM</t>
        </is>
      </c>
      <c r="E4515" t="inlineStr">
        <is>
          <t>CHEM-02</t>
        </is>
      </c>
      <c r="F4515" s="17" t="n">
        <v>46244</v>
      </c>
      <c r="G4515" s="17" t="n">
        <v>46258</v>
      </c>
      <c r="H4515" s="18" t="n">
        <v>5</v>
      </c>
      <c r="I4515" s="19" t="n">
        <v>433</v>
      </c>
      <c r="J4515" s="19" t="n">
        <v>410</v>
      </c>
      <c r="K4515" s="20" t="n">
        <v>0</v>
      </c>
      <c r="L4515" s="20" t="n">
        <v>0</v>
      </c>
      <c r="M4515" s="18" t="n">
        <v>5</v>
      </c>
      <c r="N4515" s="18" t="n">
        <v>5</v>
      </c>
      <c r="O4515" s="18" t="n">
        <v>0</v>
      </c>
      <c r="P4515" s="17" t="n">
        <v>46257</v>
      </c>
      <c r="Q4515" s="17" t="n">
        <v>46257</v>
      </c>
      <c r="R4515" s="17" t="n">
        <v>46257</v>
      </c>
      <c r="S4515" s="19">
        <f>H4515*I4515</f>
        <v/>
      </c>
      <c r="T4515" s="19">
        <f>H4515*J4515</f>
        <v/>
      </c>
      <c r="U4515">
        <f>IF(AND(K4515=0,G4515&lt;=Assumptions!$C$6),1,0)</f>
        <v/>
      </c>
      <c r="V4515">
        <f>IF(U4515=1,IF(M4515&gt;0,IF(P4515&lt;=G4515+Assumptions!$C$7,1,0),0),0)</f>
        <v/>
      </c>
      <c r="W4515">
        <f>IF(AND(U4515=1,M4515&gt;=H4515*(1-Assumptions!$C$8)),1,0)</f>
        <v/>
      </c>
      <c r="X4515">
        <f>IF(AND(U4515=1,N4515&gt;=H4515*(1-Assumptions!$C$8)),1,0)</f>
        <v/>
      </c>
      <c r="Y4515">
        <f>IF(ISNUMBER(Q4515),1,0)</f>
        <v/>
      </c>
      <c r="Z4515">
        <f>IF(AND(K4515=0,L4515=0,Y4515=0),1,0)</f>
        <v/>
      </c>
      <c r="AA4515">
        <f>IF(AND(Z4515=1,G4515&lt;Assumptions!$C$6),1,0)</f>
        <v/>
      </c>
      <c r="AB4515">
        <f>IF(U4515=0,"",IF(Y4515=1,MAX(0,Q4515-G4515),IF(L4515=1,MAX(0,R4515-G4515),MAX(0,Assumptions!$C$6-G4515))))</f>
        <v/>
      </c>
      <c r="AC4515">
        <f>IF(Y4515=1,Q4515-F4515,"")</f>
        <v/>
      </c>
      <c r="AD4515">
        <f>IF(Y4515=1,AC4515^2,"")</f>
        <v/>
      </c>
      <c r="AE4515" s="19">
        <f>IF(Z4515=1,(H4515-M4515)*I4515,0)</f>
        <v/>
      </c>
      <c r="AF4515">
        <f>IF(G4515&lt;EDATE(Assumptions!$C$6,-12)+1,"prior_12m","last_12m")</f>
        <v/>
      </c>
      <c r="AG4515" s="21">
        <f>DATE(YEAR(G4515),MONTH(G4515),1)</f>
        <v/>
      </c>
    </row>
    <row r="4516">
      <c r="A4516" t="inlineStr">
        <is>
          <t>SPO-02416-2</t>
        </is>
      </c>
      <c r="B4516" t="inlineStr">
        <is>
          <t>SPO-02416</t>
        </is>
      </c>
      <c r="C4516" t="inlineStr">
        <is>
          <t>SUP-09</t>
        </is>
      </c>
      <c r="D4516" t="inlineStr">
        <is>
          <t>CHEM</t>
        </is>
      </c>
      <c r="E4516" t="inlineStr">
        <is>
          <t>CHEM-06</t>
        </is>
      </c>
      <c r="F4516" s="17" t="n">
        <v>46244</v>
      </c>
      <c r="G4516" s="17" t="n">
        <v>46258</v>
      </c>
      <c r="H4516" s="18" t="n">
        <v>5</v>
      </c>
      <c r="I4516" s="19" t="n">
        <v>382.38</v>
      </c>
      <c r="J4516" s="19" t="n">
        <v>380</v>
      </c>
      <c r="K4516" s="20" t="n">
        <v>0</v>
      </c>
      <c r="L4516" s="20" t="n">
        <v>0</v>
      </c>
      <c r="M4516" s="18" t="n">
        <v>5</v>
      </c>
      <c r="N4516" s="18" t="n">
        <v>5</v>
      </c>
      <c r="O4516" s="18" t="n">
        <v>0</v>
      </c>
      <c r="P4516" s="17" t="n">
        <v>46257</v>
      </c>
      <c r="Q4516" s="17" t="n">
        <v>46257</v>
      </c>
      <c r="R4516" s="17" t="n">
        <v>46257</v>
      </c>
      <c r="S4516" s="19">
        <f>H4516*I4516</f>
        <v/>
      </c>
      <c r="T4516" s="19">
        <f>H4516*J4516</f>
        <v/>
      </c>
      <c r="U4516">
        <f>IF(AND(K4516=0,G4516&lt;=Assumptions!$C$6),1,0)</f>
        <v/>
      </c>
      <c r="V4516">
        <f>IF(U4516=1,IF(M4516&gt;0,IF(P4516&lt;=G4516+Assumptions!$C$7,1,0),0),0)</f>
        <v/>
      </c>
      <c r="W4516">
        <f>IF(AND(U4516=1,M4516&gt;=H4516*(1-Assumptions!$C$8)),1,0)</f>
        <v/>
      </c>
      <c r="X4516">
        <f>IF(AND(U4516=1,N4516&gt;=H4516*(1-Assumptions!$C$8)),1,0)</f>
        <v/>
      </c>
      <c r="Y4516">
        <f>IF(ISNUMBER(Q4516),1,0)</f>
        <v/>
      </c>
      <c r="Z4516">
        <f>IF(AND(K4516=0,L4516=0,Y4516=0),1,0)</f>
        <v/>
      </c>
      <c r="AA4516">
        <f>IF(AND(Z4516=1,G4516&lt;Assumptions!$C$6),1,0)</f>
        <v/>
      </c>
      <c r="AB4516">
        <f>IF(U4516=0,"",IF(Y4516=1,MAX(0,Q4516-G4516),IF(L4516=1,MAX(0,R4516-G4516),MAX(0,Assumptions!$C$6-G4516))))</f>
        <v/>
      </c>
      <c r="AC4516">
        <f>IF(Y4516=1,Q4516-F4516,"")</f>
        <v/>
      </c>
      <c r="AD4516">
        <f>IF(Y4516=1,AC4516^2,"")</f>
        <v/>
      </c>
      <c r="AE4516" s="19">
        <f>IF(Z4516=1,(H4516-M4516)*I4516,0)</f>
        <v/>
      </c>
      <c r="AF4516">
        <f>IF(G4516&lt;EDATE(Assumptions!$C$6,-12)+1,"prior_12m","last_12m")</f>
        <v/>
      </c>
      <c r="AG4516" s="21">
        <f>DATE(YEAR(G4516),MONTH(G4516),1)</f>
        <v/>
      </c>
    </row>
    <row r="4517">
      <c r="A4517" t="inlineStr">
        <is>
          <t>SPO-02416-3</t>
        </is>
      </c>
      <c r="B4517" t="inlineStr">
        <is>
          <t>SPO-02416</t>
        </is>
      </c>
      <c r="C4517" t="inlineStr">
        <is>
          <t>SUP-09</t>
        </is>
      </c>
      <c r="D4517" t="inlineStr">
        <is>
          <t>CHEM</t>
        </is>
      </c>
      <c r="E4517" t="inlineStr">
        <is>
          <t>CHEM-04</t>
        </is>
      </c>
      <c r="F4517" s="17" t="n">
        <v>46244</v>
      </c>
      <c r="G4517" s="17" t="n">
        <v>46258</v>
      </c>
      <c r="H4517" s="18" t="n">
        <v>6</v>
      </c>
      <c r="I4517" s="19" t="n">
        <v>863.0599999999999</v>
      </c>
      <c r="J4517" s="19" t="n">
        <v>820</v>
      </c>
      <c r="K4517" s="20" t="n">
        <v>0</v>
      </c>
      <c r="L4517" s="20" t="n">
        <v>0</v>
      </c>
      <c r="M4517" s="18" t="n">
        <v>6</v>
      </c>
      <c r="N4517" s="18" t="n">
        <v>6</v>
      </c>
      <c r="O4517" s="18" t="n">
        <v>0</v>
      </c>
      <c r="P4517" s="17" t="n">
        <v>46255</v>
      </c>
      <c r="Q4517" s="17" t="n">
        <v>46255</v>
      </c>
      <c r="R4517" s="17" t="n">
        <v>46255</v>
      </c>
      <c r="S4517" s="19">
        <f>H4517*I4517</f>
        <v/>
      </c>
      <c r="T4517" s="19">
        <f>H4517*J4517</f>
        <v/>
      </c>
      <c r="U4517">
        <f>IF(AND(K4517=0,G4517&lt;=Assumptions!$C$6),1,0)</f>
        <v/>
      </c>
      <c r="V4517">
        <f>IF(U4517=1,IF(M4517&gt;0,IF(P4517&lt;=G4517+Assumptions!$C$7,1,0),0),0)</f>
        <v/>
      </c>
      <c r="W4517">
        <f>IF(AND(U4517=1,M4517&gt;=H4517*(1-Assumptions!$C$8)),1,0)</f>
        <v/>
      </c>
      <c r="X4517">
        <f>IF(AND(U4517=1,N4517&gt;=H4517*(1-Assumptions!$C$8)),1,0)</f>
        <v/>
      </c>
      <c r="Y4517">
        <f>IF(ISNUMBER(Q4517),1,0)</f>
        <v/>
      </c>
      <c r="Z4517">
        <f>IF(AND(K4517=0,L4517=0,Y4517=0),1,0)</f>
        <v/>
      </c>
      <c r="AA4517">
        <f>IF(AND(Z4517=1,G4517&lt;Assumptions!$C$6),1,0)</f>
        <v/>
      </c>
      <c r="AB4517">
        <f>IF(U4517=0,"",IF(Y4517=1,MAX(0,Q4517-G4517),IF(L4517=1,MAX(0,R4517-G4517),MAX(0,Assumptions!$C$6-G4517))))</f>
        <v/>
      </c>
      <c r="AC4517">
        <f>IF(Y4517=1,Q4517-F4517,"")</f>
        <v/>
      </c>
      <c r="AD4517">
        <f>IF(Y4517=1,AC4517^2,"")</f>
        <v/>
      </c>
      <c r="AE4517" s="19">
        <f>IF(Z4517=1,(H4517-M4517)*I4517,0)</f>
        <v/>
      </c>
      <c r="AF4517">
        <f>IF(G4517&lt;EDATE(Assumptions!$C$6,-12)+1,"prior_12m","last_12m")</f>
        <v/>
      </c>
      <c r="AG4517" s="21">
        <f>DATE(YEAR(G4517),MONTH(G4517),1)</f>
        <v/>
      </c>
    </row>
    <row r="4518">
      <c r="A4518" t="inlineStr">
        <is>
          <t>SPO-02416-4</t>
        </is>
      </c>
      <c r="B4518" t="inlineStr">
        <is>
          <t>SPO-02416</t>
        </is>
      </c>
      <c r="C4518" t="inlineStr">
        <is>
          <t>SUP-09</t>
        </is>
      </c>
      <c r="D4518" t="inlineStr">
        <is>
          <t>CHEM</t>
        </is>
      </c>
      <c r="E4518" t="inlineStr">
        <is>
          <t>CHEM-03</t>
        </is>
      </c>
      <c r="F4518" s="17" t="n">
        <v>46244</v>
      </c>
      <c r="G4518" s="17" t="n">
        <v>46258</v>
      </c>
      <c r="H4518" s="18" t="n">
        <v>4</v>
      </c>
      <c r="I4518" s="19" t="n">
        <v>283.83</v>
      </c>
      <c r="J4518" s="19" t="n">
        <v>265</v>
      </c>
      <c r="K4518" s="20" t="n">
        <v>0</v>
      </c>
      <c r="L4518" s="20" t="n">
        <v>0</v>
      </c>
      <c r="M4518" s="18" t="n">
        <v>4</v>
      </c>
      <c r="N4518" s="18" t="n">
        <v>4</v>
      </c>
      <c r="O4518" s="18" t="n">
        <v>0</v>
      </c>
      <c r="P4518" s="17" t="n">
        <v>46256</v>
      </c>
      <c r="Q4518" s="17" t="n">
        <v>46256</v>
      </c>
      <c r="R4518" s="17" t="n">
        <v>46256</v>
      </c>
      <c r="S4518" s="19">
        <f>H4518*I4518</f>
        <v/>
      </c>
      <c r="T4518" s="19">
        <f>H4518*J4518</f>
        <v/>
      </c>
      <c r="U4518">
        <f>IF(AND(K4518=0,G4518&lt;=Assumptions!$C$6),1,0)</f>
        <v/>
      </c>
      <c r="V4518">
        <f>IF(U4518=1,IF(M4518&gt;0,IF(P4518&lt;=G4518+Assumptions!$C$7,1,0),0),0)</f>
        <v/>
      </c>
      <c r="W4518">
        <f>IF(AND(U4518=1,M4518&gt;=H4518*(1-Assumptions!$C$8)),1,0)</f>
        <v/>
      </c>
      <c r="X4518">
        <f>IF(AND(U4518=1,N4518&gt;=H4518*(1-Assumptions!$C$8)),1,0)</f>
        <v/>
      </c>
      <c r="Y4518">
        <f>IF(ISNUMBER(Q4518),1,0)</f>
        <v/>
      </c>
      <c r="Z4518">
        <f>IF(AND(K4518=0,L4518=0,Y4518=0),1,0)</f>
        <v/>
      </c>
      <c r="AA4518">
        <f>IF(AND(Z4518=1,G4518&lt;Assumptions!$C$6),1,0)</f>
        <v/>
      </c>
      <c r="AB4518">
        <f>IF(U4518=0,"",IF(Y4518=1,MAX(0,Q4518-G4518),IF(L4518=1,MAX(0,R4518-G4518),MAX(0,Assumptions!$C$6-G4518))))</f>
        <v/>
      </c>
      <c r="AC4518">
        <f>IF(Y4518=1,Q4518-F4518,"")</f>
        <v/>
      </c>
      <c r="AD4518">
        <f>IF(Y4518=1,AC4518^2,"")</f>
        <v/>
      </c>
      <c r="AE4518" s="19">
        <f>IF(Z4518=1,(H4518-M4518)*I4518,0)</f>
        <v/>
      </c>
      <c r="AF4518">
        <f>IF(G4518&lt;EDATE(Assumptions!$C$6,-12)+1,"prior_12m","last_12m")</f>
        <v/>
      </c>
      <c r="AG4518" s="21">
        <f>DATE(YEAR(G4518),MONTH(G4518),1)</f>
        <v/>
      </c>
    </row>
    <row r="4519">
      <c r="A4519" t="inlineStr">
        <is>
          <t>SPO-02417-1</t>
        </is>
      </c>
      <c r="B4519" t="inlineStr">
        <is>
          <t>SPO-02417</t>
        </is>
      </c>
      <c r="C4519" t="inlineStr">
        <is>
          <t>SUP-10</t>
        </is>
      </c>
      <c r="D4519" t="inlineStr">
        <is>
          <t>PPE</t>
        </is>
      </c>
      <c r="E4519" t="inlineStr">
        <is>
          <t>PPE-03</t>
        </is>
      </c>
      <c r="F4519" s="17" t="n">
        <v>46244</v>
      </c>
      <c r="G4519" s="17" t="n">
        <v>46257</v>
      </c>
      <c r="H4519" s="18" t="n">
        <v>35</v>
      </c>
      <c r="I4519" s="19" t="n">
        <v>19.77</v>
      </c>
      <c r="J4519" s="19" t="n">
        <v>21</v>
      </c>
      <c r="K4519" s="20" t="n">
        <v>0</v>
      </c>
      <c r="L4519" s="20" t="n">
        <v>0</v>
      </c>
      <c r="M4519" s="18" t="n">
        <v>35</v>
      </c>
      <c r="N4519" s="18" t="n">
        <v>35</v>
      </c>
      <c r="O4519" s="18" t="n">
        <v>0</v>
      </c>
      <c r="P4519" s="17" t="n">
        <v>46253</v>
      </c>
      <c r="Q4519" s="17" t="n">
        <v>46253</v>
      </c>
      <c r="R4519" s="17" t="n">
        <v>46253</v>
      </c>
      <c r="S4519" s="19">
        <f>H4519*I4519</f>
        <v/>
      </c>
      <c r="T4519" s="19">
        <f>H4519*J4519</f>
        <v/>
      </c>
      <c r="U4519">
        <f>IF(AND(K4519=0,G4519&lt;=Assumptions!$C$6),1,0)</f>
        <v/>
      </c>
      <c r="V4519">
        <f>IF(U4519=1,IF(M4519&gt;0,IF(P4519&lt;=G4519+Assumptions!$C$7,1,0),0),0)</f>
        <v/>
      </c>
      <c r="W4519">
        <f>IF(AND(U4519=1,M4519&gt;=H4519*(1-Assumptions!$C$8)),1,0)</f>
        <v/>
      </c>
      <c r="X4519">
        <f>IF(AND(U4519=1,N4519&gt;=H4519*(1-Assumptions!$C$8)),1,0)</f>
        <v/>
      </c>
      <c r="Y4519">
        <f>IF(ISNUMBER(Q4519),1,0)</f>
        <v/>
      </c>
      <c r="Z4519">
        <f>IF(AND(K4519=0,L4519=0,Y4519=0),1,0)</f>
        <v/>
      </c>
      <c r="AA4519">
        <f>IF(AND(Z4519=1,G4519&lt;Assumptions!$C$6),1,0)</f>
        <v/>
      </c>
      <c r="AB4519">
        <f>IF(U4519=0,"",IF(Y4519=1,MAX(0,Q4519-G4519),IF(L4519=1,MAX(0,R4519-G4519),MAX(0,Assumptions!$C$6-G4519))))</f>
        <v/>
      </c>
      <c r="AC4519">
        <f>IF(Y4519=1,Q4519-F4519,"")</f>
        <v/>
      </c>
      <c r="AD4519">
        <f>IF(Y4519=1,AC4519^2,"")</f>
        <v/>
      </c>
      <c r="AE4519" s="19">
        <f>IF(Z4519=1,(H4519-M4519)*I4519,0)</f>
        <v/>
      </c>
      <c r="AF4519">
        <f>IF(G4519&lt;EDATE(Assumptions!$C$6,-12)+1,"prior_12m","last_12m")</f>
        <v/>
      </c>
      <c r="AG4519" s="21">
        <f>DATE(YEAR(G4519),MONTH(G4519),1)</f>
        <v/>
      </c>
    </row>
    <row r="4520">
      <c r="A4520" t="inlineStr">
        <is>
          <t>SPO-02418-1</t>
        </is>
      </c>
      <c r="B4520" t="inlineStr">
        <is>
          <t>SPO-02418</t>
        </is>
      </c>
      <c r="C4520" t="inlineStr">
        <is>
          <t>SUP-08</t>
        </is>
      </c>
      <c r="D4520" t="inlineStr">
        <is>
          <t>MRO</t>
        </is>
      </c>
      <c r="E4520" t="inlineStr">
        <is>
          <t>MRO-02</t>
        </is>
      </c>
      <c r="F4520" s="17" t="n">
        <v>46244</v>
      </c>
      <c r="G4520" s="17" t="n">
        <v>46255</v>
      </c>
      <c r="H4520" s="18" t="n">
        <v>14</v>
      </c>
      <c r="I4520" s="19" t="n">
        <v>41.55</v>
      </c>
      <c r="J4520" s="19" t="n">
        <v>41</v>
      </c>
      <c r="K4520" s="20" t="n">
        <v>0</v>
      </c>
      <c r="L4520" s="20" t="n">
        <v>0</v>
      </c>
      <c r="M4520" s="18" t="n">
        <v>14</v>
      </c>
      <c r="N4520" s="18" t="n">
        <v>14</v>
      </c>
      <c r="O4520" s="18" t="n">
        <v>0</v>
      </c>
      <c r="P4520" s="17" t="n">
        <v>46253</v>
      </c>
      <c r="Q4520" s="17" t="n">
        <v>46253</v>
      </c>
      <c r="R4520" s="17" t="n">
        <v>46253</v>
      </c>
      <c r="S4520" s="19">
        <f>H4520*I4520</f>
        <v/>
      </c>
      <c r="T4520" s="19">
        <f>H4520*J4520</f>
        <v/>
      </c>
      <c r="U4520">
        <f>IF(AND(K4520=0,G4520&lt;=Assumptions!$C$6),1,0)</f>
        <v/>
      </c>
      <c r="V4520">
        <f>IF(U4520=1,IF(M4520&gt;0,IF(P4520&lt;=G4520+Assumptions!$C$7,1,0),0),0)</f>
        <v/>
      </c>
      <c r="W4520">
        <f>IF(AND(U4520=1,M4520&gt;=H4520*(1-Assumptions!$C$8)),1,0)</f>
        <v/>
      </c>
      <c r="X4520">
        <f>IF(AND(U4520=1,N4520&gt;=H4520*(1-Assumptions!$C$8)),1,0)</f>
        <v/>
      </c>
      <c r="Y4520">
        <f>IF(ISNUMBER(Q4520),1,0)</f>
        <v/>
      </c>
      <c r="Z4520">
        <f>IF(AND(K4520=0,L4520=0,Y4520=0),1,0)</f>
        <v/>
      </c>
      <c r="AA4520">
        <f>IF(AND(Z4520=1,G4520&lt;Assumptions!$C$6),1,0)</f>
        <v/>
      </c>
      <c r="AB4520">
        <f>IF(U4520=0,"",IF(Y4520=1,MAX(0,Q4520-G4520),IF(L4520=1,MAX(0,R4520-G4520),MAX(0,Assumptions!$C$6-G4520))))</f>
        <v/>
      </c>
      <c r="AC4520">
        <f>IF(Y4520=1,Q4520-F4520,"")</f>
        <v/>
      </c>
      <c r="AD4520">
        <f>IF(Y4520=1,AC4520^2,"")</f>
        <v/>
      </c>
      <c r="AE4520" s="19">
        <f>IF(Z4520=1,(H4520-M4520)*I4520,0)</f>
        <v/>
      </c>
      <c r="AF4520">
        <f>IF(G4520&lt;EDATE(Assumptions!$C$6,-12)+1,"prior_12m","last_12m")</f>
        <v/>
      </c>
      <c r="AG4520" s="21">
        <f>DATE(YEAR(G4520),MONTH(G4520),1)</f>
        <v/>
      </c>
    </row>
    <row r="4521">
      <c r="A4521" t="inlineStr">
        <is>
          <t>SPO-02418-2</t>
        </is>
      </c>
      <c r="B4521" t="inlineStr">
        <is>
          <t>SPO-02418</t>
        </is>
      </c>
      <c r="C4521" t="inlineStr">
        <is>
          <t>SUP-08</t>
        </is>
      </c>
      <c r="D4521" t="inlineStr">
        <is>
          <t>MRO</t>
        </is>
      </c>
      <c r="E4521" t="inlineStr">
        <is>
          <t>MRO-01</t>
        </is>
      </c>
      <c r="F4521" s="17" t="n">
        <v>46244</v>
      </c>
      <c r="G4521" s="17" t="n">
        <v>46255</v>
      </c>
      <c r="H4521" s="18" t="n">
        <v>14</v>
      </c>
      <c r="I4521" s="19" t="n">
        <v>50.75</v>
      </c>
      <c r="J4521" s="19" t="n">
        <v>52</v>
      </c>
      <c r="K4521" s="20" t="n">
        <v>0</v>
      </c>
      <c r="L4521" s="20" t="n">
        <v>0</v>
      </c>
      <c r="M4521" s="18" t="n">
        <v>14</v>
      </c>
      <c r="N4521" s="18" t="n">
        <v>14</v>
      </c>
      <c r="O4521" s="18" t="n">
        <v>0</v>
      </c>
      <c r="P4521" s="17" t="n">
        <v>46250</v>
      </c>
      <c r="Q4521" s="17" t="n">
        <v>46250</v>
      </c>
      <c r="R4521" s="17" t="n">
        <v>46250</v>
      </c>
      <c r="S4521" s="19">
        <f>H4521*I4521</f>
        <v/>
      </c>
      <c r="T4521" s="19">
        <f>H4521*J4521</f>
        <v/>
      </c>
      <c r="U4521">
        <f>IF(AND(K4521=0,G4521&lt;=Assumptions!$C$6),1,0)</f>
        <v/>
      </c>
      <c r="V4521">
        <f>IF(U4521=1,IF(M4521&gt;0,IF(P4521&lt;=G4521+Assumptions!$C$7,1,0),0),0)</f>
        <v/>
      </c>
      <c r="W4521">
        <f>IF(AND(U4521=1,M4521&gt;=H4521*(1-Assumptions!$C$8)),1,0)</f>
        <v/>
      </c>
      <c r="X4521">
        <f>IF(AND(U4521=1,N4521&gt;=H4521*(1-Assumptions!$C$8)),1,0)</f>
        <v/>
      </c>
      <c r="Y4521">
        <f>IF(ISNUMBER(Q4521),1,0)</f>
        <v/>
      </c>
      <c r="Z4521">
        <f>IF(AND(K4521=0,L4521=0,Y4521=0),1,0)</f>
        <v/>
      </c>
      <c r="AA4521">
        <f>IF(AND(Z4521=1,G4521&lt;Assumptions!$C$6),1,0)</f>
        <v/>
      </c>
      <c r="AB4521">
        <f>IF(U4521=0,"",IF(Y4521=1,MAX(0,Q4521-G4521),IF(L4521=1,MAX(0,R4521-G4521),MAX(0,Assumptions!$C$6-G4521))))</f>
        <v/>
      </c>
      <c r="AC4521">
        <f>IF(Y4521=1,Q4521-F4521,"")</f>
        <v/>
      </c>
      <c r="AD4521">
        <f>IF(Y4521=1,AC4521^2,"")</f>
        <v/>
      </c>
      <c r="AE4521" s="19">
        <f>IF(Z4521=1,(H4521-M4521)*I4521,0)</f>
        <v/>
      </c>
      <c r="AF4521">
        <f>IF(G4521&lt;EDATE(Assumptions!$C$6,-12)+1,"prior_12m","last_12m")</f>
        <v/>
      </c>
      <c r="AG4521" s="21">
        <f>DATE(YEAR(G4521),MONTH(G4521),1)</f>
        <v/>
      </c>
    </row>
    <row r="4522">
      <c r="A4522" t="inlineStr">
        <is>
          <t>SPO-02419-1</t>
        </is>
      </c>
      <c r="B4522" t="inlineStr">
        <is>
          <t>SPO-02419</t>
        </is>
      </c>
      <c r="C4522" t="inlineStr">
        <is>
          <t>SUP-01</t>
        </is>
      </c>
      <c r="D4522" t="inlineStr">
        <is>
          <t>ELEC</t>
        </is>
      </c>
      <c r="E4522" t="inlineStr">
        <is>
          <t>ELEC-05</t>
        </is>
      </c>
      <c r="F4522" s="17" t="n">
        <v>46245</v>
      </c>
      <c r="G4522" s="17" t="n">
        <v>46263</v>
      </c>
      <c r="H4522" s="18" t="n">
        <v>181</v>
      </c>
      <c r="I4522" s="19" t="n">
        <v>11.68</v>
      </c>
      <c r="J4522" s="19" t="n">
        <v>11.5</v>
      </c>
      <c r="K4522" s="20" t="n">
        <v>0</v>
      </c>
      <c r="L4522" s="20" t="n">
        <v>0</v>
      </c>
      <c r="M4522" s="18" t="n">
        <v>181</v>
      </c>
      <c r="N4522" s="18" t="n">
        <v>181</v>
      </c>
      <c r="O4522" s="18" t="n">
        <v>0</v>
      </c>
      <c r="P4522" s="17" t="n">
        <v>46252</v>
      </c>
      <c r="Q4522" s="17" t="n">
        <v>46252</v>
      </c>
      <c r="R4522" s="17" t="n">
        <v>46252</v>
      </c>
      <c r="S4522" s="19">
        <f>H4522*I4522</f>
        <v/>
      </c>
      <c r="T4522" s="19">
        <f>H4522*J4522</f>
        <v/>
      </c>
      <c r="U4522">
        <f>IF(AND(K4522=0,G4522&lt;=Assumptions!$C$6),1,0)</f>
        <v/>
      </c>
      <c r="V4522">
        <f>IF(U4522=1,IF(M4522&gt;0,IF(P4522&lt;=G4522+Assumptions!$C$7,1,0),0),0)</f>
        <v/>
      </c>
      <c r="W4522">
        <f>IF(AND(U4522=1,M4522&gt;=H4522*(1-Assumptions!$C$8)),1,0)</f>
        <v/>
      </c>
      <c r="X4522">
        <f>IF(AND(U4522=1,N4522&gt;=H4522*(1-Assumptions!$C$8)),1,0)</f>
        <v/>
      </c>
      <c r="Y4522">
        <f>IF(ISNUMBER(Q4522),1,0)</f>
        <v/>
      </c>
      <c r="Z4522">
        <f>IF(AND(K4522=0,L4522=0,Y4522=0),1,0)</f>
        <v/>
      </c>
      <c r="AA4522">
        <f>IF(AND(Z4522=1,G4522&lt;Assumptions!$C$6),1,0)</f>
        <v/>
      </c>
      <c r="AB4522">
        <f>IF(U4522=0,"",IF(Y4522=1,MAX(0,Q4522-G4522),IF(L4522=1,MAX(0,R4522-G4522),MAX(0,Assumptions!$C$6-G4522))))</f>
        <v/>
      </c>
      <c r="AC4522">
        <f>IF(Y4522=1,Q4522-F4522,"")</f>
        <v/>
      </c>
      <c r="AD4522">
        <f>IF(Y4522=1,AC4522^2,"")</f>
        <v/>
      </c>
      <c r="AE4522" s="19">
        <f>IF(Z4522=1,(H4522-M4522)*I4522,0)</f>
        <v/>
      </c>
      <c r="AF4522">
        <f>IF(G4522&lt;EDATE(Assumptions!$C$6,-12)+1,"prior_12m","last_12m")</f>
        <v/>
      </c>
      <c r="AG4522" s="21">
        <f>DATE(YEAR(G4522),MONTH(G4522),1)</f>
        <v/>
      </c>
    </row>
    <row r="4523">
      <c r="A4523" t="inlineStr">
        <is>
          <t>SPO-02420-1</t>
        </is>
      </c>
      <c r="B4523" t="inlineStr">
        <is>
          <t>SPO-02420</t>
        </is>
      </c>
      <c r="C4523" t="inlineStr">
        <is>
          <t>SUP-04</t>
        </is>
      </c>
      <c r="D4523" t="inlineStr">
        <is>
          <t>FLEET</t>
        </is>
      </c>
      <c r="E4523" t="inlineStr">
        <is>
          <t>FLEET-05</t>
        </is>
      </c>
      <c r="F4523" s="17" t="n">
        <v>46245</v>
      </c>
      <c r="G4523" s="17" t="n">
        <v>46258</v>
      </c>
      <c r="H4523" s="18" t="n">
        <v>11</v>
      </c>
      <c r="I4523" s="19" t="n">
        <v>157.05</v>
      </c>
      <c r="J4523" s="19" t="n">
        <v>168</v>
      </c>
      <c r="K4523" s="20" t="n">
        <v>0</v>
      </c>
      <c r="L4523" s="20" t="n">
        <v>0</v>
      </c>
      <c r="M4523" s="18" t="n">
        <v>11</v>
      </c>
      <c r="N4523" s="18" t="n">
        <v>11</v>
      </c>
      <c r="O4523" s="18" t="n">
        <v>0</v>
      </c>
      <c r="P4523" s="17" t="n">
        <v>46252</v>
      </c>
      <c r="Q4523" s="17" t="n">
        <v>46252</v>
      </c>
      <c r="R4523" s="17" t="n">
        <v>46252</v>
      </c>
      <c r="S4523" s="19">
        <f>H4523*I4523</f>
        <v/>
      </c>
      <c r="T4523" s="19">
        <f>H4523*J4523</f>
        <v/>
      </c>
      <c r="U4523">
        <f>IF(AND(K4523=0,G4523&lt;=Assumptions!$C$6),1,0)</f>
        <v/>
      </c>
      <c r="V4523">
        <f>IF(U4523=1,IF(M4523&gt;0,IF(P4523&lt;=G4523+Assumptions!$C$7,1,0),0),0)</f>
        <v/>
      </c>
      <c r="W4523">
        <f>IF(AND(U4523=1,M4523&gt;=H4523*(1-Assumptions!$C$8)),1,0)</f>
        <v/>
      </c>
      <c r="X4523">
        <f>IF(AND(U4523=1,N4523&gt;=H4523*(1-Assumptions!$C$8)),1,0)</f>
        <v/>
      </c>
      <c r="Y4523">
        <f>IF(ISNUMBER(Q4523),1,0)</f>
        <v/>
      </c>
      <c r="Z4523">
        <f>IF(AND(K4523=0,L4523=0,Y4523=0),1,0)</f>
        <v/>
      </c>
      <c r="AA4523">
        <f>IF(AND(Z4523=1,G4523&lt;Assumptions!$C$6),1,0)</f>
        <v/>
      </c>
      <c r="AB4523">
        <f>IF(U4523=0,"",IF(Y4523=1,MAX(0,Q4523-G4523),IF(L4523=1,MAX(0,R4523-G4523),MAX(0,Assumptions!$C$6-G4523))))</f>
        <v/>
      </c>
      <c r="AC4523">
        <f>IF(Y4523=1,Q4523-F4523,"")</f>
        <v/>
      </c>
      <c r="AD4523">
        <f>IF(Y4523=1,AC4523^2,"")</f>
        <v/>
      </c>
      <c r="AE4523" s="19">
        <f>IF(Z4523=1,(H4523-M4523)*I4523,0)</f>
        <v/>
      </c>
      <c r="AF4523">
        <f>IF(G4523&lt;EDATE(Assumptions!$C$6,-12)+1,"prior_12m","last_12m")</f>
        <v/>
      </c>
      <c r="AG4523" s="21">
        <f>DATE(YEAR(G4523),MONTH(G4523),1)</f>
        <v/>
      </c>
    </row>
    <row r="4524">
      <c r="A4524" t="inlineStr">
        <is>
          <t>SPO-02421-1</t>
        </is>
      </c>
      <c r="B4524" t="inlineStr">
        <is>
          <t>SPO-02421</t>
        </is>
      </c>
      <c r="C4524" t="inlineStr">
        <is>
          <t>SUP-09</t>
        </is>
      </c>
      <c r="D4524" t="inlineStr">
        <is>
          <t>CHEM</t>
        </is>
      </c>
      <c r="E4524" t="inlineStr">
        <is>
          <t>CHEM-02</t>
        </is>
      </c>
      <c r="F4524" s="17" t="n">
        <v>46246</v>
      </c>
      <c r="G4524" s="17" t="n">
        <v>46260</v>
      </c>
      <c r="H4524" s="18" t="n">
        <v>3</v>
      </c>
      <c r="I4524" s="19" t="n">
        <v>405.4</v>
      </c>
      <c r="J4524" s="19" t="n">
        <v>410</v>
      </c>
      <c r="K4524" s="20" t="n">
        <v>0</v>
      </c>
      <c r="L4524" s="20" t="n">
        <v>0</v>
      </c>
      <c r="M4524" s="18" t="n">
        <v>3</v>
      </c>
      <c r="N4524" s="18" t="n">
        <v>3</v>
      </c>
      <c r="O4524" s="18" t="n">
        <v>0</v>
      </c>
      <c r="P4524" s="17" t="n">
        <v>46257</v>
      </c>
      <c r="Q4524" s="17" t="n">
        <v>46257</v>
      </c>
      <c r="R4524" s="17" t="n">
        <v>46257</v>
      </c>
      <c r="S4524" s="19">
        <f>H4524*I4524</f>
        <v/>
      </c>
      <c r="T4524" s="19">
        <f>H4524*J4524</f>
        <v/>
      </c>
      <c r="U4524">
        <f>IF(AND(K4524=0,G4524&lt;=Assumptions!$C$6),1,0)</f>
        <v/>
      </c>
      <c r="V4524">
        <f>IF(U4524=1,IF(M4524&gt;0,IF(P4524&lt;=G4524+Assumptions!$C$7,1,0),0),0)</f>
        <v/>
      </c>
      <c r="W4524">
        <f>IF(AND(U4524=1,M4524&gt;=H4524*(1-Assumptions!$C$8)),1,0)</f>
        <v/>
      </c>
      <c r="X4524">
        <f>IF(AND(U4524=1,N4524&gt;=H4524*(1-Assumptions!$C$8)),1,0)</f>
        <v/>
      </c>
      <c r="Y4524">
        <f>IF(ISNUMBER(Q4524),1,0)</f>
        <v/>
      </c>
      <c r="Z4524">
        <f>IF(AND(K4524=0,L4524=0,Y4524=0),1,0)</f>
        <v/>
      </c>
      <c r="AA4524">
        <f>IF(AND(Z4524=1,G4524&lt;Assumptions!$C$6),1,0)</f>
        <v/>
      </c>
      <c r="AB4524">
        <f>IF(U4524=0,"",IF(Y4524=1,MAX(0,Q4524-G4524),IF(L4524=1,MAX(0,R4524-G4524),MAX(0,Assumptions!$C$6-G4524))))</f>
        <v/>
      </c>
      <c r="AC4524">
        <f>IF(Y4524=1,Q4524-F4524,"")</f>
        <v/>
      </c>
      <c r="AD4524">
        <f>IF(Y4524=1,AC4524^2,"")</f>
        <v/>
      </c>
      <c r="AE4524" s="19">
        <f>IF(Z4524=1,(H4524-M4524)*I4524,0)</f>
        <v/>
      </c>
      <c r="AF4524">
        <f>IF(G4524&lt;EDATE(Assumptions!$C$6,-12)+1,"prior_12m","last_12m")</f>
        <v/>
      </c>
      <c r="AG4524" s="21">
        <f>DATE(YEAR(G4524),MONTH(G4524),1)</f>
        <v/>
      </c>
    </row>
    <row r="4525">
      <c r="A4525" t="inlineStr">
        <is>
          <t>SPO-02422-1</t>
        </is>
      </c>
      <c r="B4525" t="inlineStr">
        <is>
          <t>SPO-02422</t>
        </is>
      </c>
      <c r="C4525" t="inlineStr">
        <is>
          <t>SUP-12</t>
        </is>
      </c>
      <c r="D4525" t="inlineStr">
        <is>
          <t>IT</t>
        </is>
      </c>
      <c r="E4525" t="inlineStr">
        <is>
          <t>IT-06</t>
        </is>
      </c>
      <c r="F4525" s="17" t="n">
        <v>46246</v>
      </c>
      <c r="G4525" s="17" t="n">
        <v>46256</v>
      </c>
      <c r="H4525" s="18" t="n">
        <v>12</v>
      </c>
      <c r="I4525" s="19" t="n">
        <v>99.48999999999999</v>
      </c>
      <c r="J4525" s="19" t="n">
        <v>89</v>
      </c>
      <c r="K4525" s="20" t="n">
        <v>0</v>
      </c>
      <c r="L4525" s="20" t="n">
        <v>0</v>
      </c>
      <c r="M4525" s="18" t="n">
        <v>12</v>
      </c>
      <c r="N4525" s="18" t="n">
        <v>12</v>
      </c>
      <c r="O4525" s="18" t="n">
        <v>0</v>
      </c>
      <c r="P4525" s="17" t="n">
        <v>46255</v>
      </c>
      <c r="Q4525" s="17" t="n">
        <v>46255</v>
      </c>
      <c r="R4525" s="17" t="n">
        <v>46255</v>
      </c>
      <c r="S4525" s="19">
        <f>H4525*I4525</f>
        <v/>
      </c>
      <c r="T4525" s="19">
        <f>H4525*J4525</f>
        <v/>
      </c>
      <c r="U4525">
        <f>IF(AND(K4525=0,G4525&lt;=Assumptions!$C$6),1,0)</f>
        <v/>
      </c>
      <c r="V4525">
        <f>IF(U4525=1,IF(M4525&gt;0,IF(P4525&lt;=G4525+Assumptions!$C$7,1,0),0),0)</f>
        <v/>
      </c>
      <c r="W4525">
        <f>IF(AND(U4525=1,M4525&gt;=H4525*(1-Assumptions!$C$8)),1,0)</f>
        <v/>
      </c>
      <c r="X4525">
        <f>IF(AND(U4525=1,N4525&gt;=H4525*(1-Assumptions!$C$8)),1,0)</f>
        <v/>
      </c>
      <c r="Y4525">
        <f>IF(ISNUMBER(Q4525),1,0)</f>
        <v/>
      </c>
      <c r="Z4525">
        <f>IF(AND(K4525=0,L4525=0,Y4525=0),1,0)</f>
        <v/>
      </c>
      <c r="AA4525">
        <f>IF(AND(Z4525=1,G4525&lt;Assumptions!$C$6),1,0)</f>
        <v/>
      </c>
      <c r="AB4525">
        <f>IF(U4525=0,"",IF(Y4525=1,MAX(0,Q4525-G4525),IF(L4525=1,MAX(0,R4525-G4525),MAX(0,Assumptions!$C$6-G4525))))</f>
        <v/>
      </c>
      <c r="AC4525">
        <f>IF(Y4525=1,Q4525-F4525,"")</f>
        <v/>
      </c>
      <c r="AD4525">
        <f>IF(Y4525=1,AC4525^2,"")</f>
        <v/>
      </c>
      <c r="AE4525" s="19">
        <f>IF(Z4525=1,(H4525-M4525)*I4525,0)</f>
        <v/>
      </c>
      <c r="AF4525">
        <f>IF(G4525&lt;EDATE(Assumptions!$C$6,-12)+1,"prior_12m","last_12m")</f>
        <v/>
      </c>
      <c r="AG4525" s="21">
        <f>DATE(YEAR(G4525),MONTH(G4525),1)</f>
        <v/>
      </c>
    </row>
    <row r="4526">
      <c r="A4526" t="inlineStr">
        <is>
          <t>SPO-02422-2</t>
        </is>
      </c>
      <c r="B4526" t="inlineStr">
        <is>
          <t>SPO-02422</t>
        </is>
      </c>
      <c r="C4526" t="inlineStr">
        <is>
          <t>SUP-12</t>
        </is>
      </c>
      <c r="D4526" t="inlineStr">
        <is>
          <t>IT</t>
        </is>
      </c>
      <c r="E4526" t="inlineStr">
        <is>
          <t>IT-02</t>
        </is>
      </c>
      <c r="F4526" s="17" t="n">
        <v>46246</v>
      </c>
      <c r="G4526" s="17" t="n">
        <v>46256</v>
      </c>
      <c r="H4526" s="18" t="n">
        <v>14</v>
      </c>
      <c r="I4526" s="19" t="n">
        <v>187.85</v>
      </c>
      <c r="J4526" s="19" t="n">
        <v>162</v>
      </c>
      <c r="K4526" s="20" t="n">
        <v>0</v>
      </c>
      <c r="L4526" s="20" t="n">
        <v>0</v>
      </c>
      <c r="M4526" s="18" t="n">
        <v>14</v>
      </c>
      <c r="N4526" s="18" t="n">
        <v>14</v>
      </c>
      <c r="O4526" s="18" t="n">
        <v>0</v>
      </c>
      <c r="P4526" s="17" t="n">
        <v>46249</v>
      </c>
      <c r="Q4526" s="17" t="n">
        <v>46249</v>
      </c>
      <c r="R4526" s="17" t="n">
        <v>46249</v>
      </c>
      <c r="S4526" s="19">
        <f>H4526*I4526</f>
        <v/>
      </c>
      <c r="T4526" s="19">
        <f>H4526*J4526</f>
        <v/>
      </c>
      <c r="U4526">
        <f>IF(AND(K4526=0,G4526&lt;=Assumptions!$C$6),1,0)</f>
        <v/>
      </c>
      <c r="V4526">
        <f>IF(U4526=1,IF(M4526&gt;0,IF(P4526&lt;=G4526+Assumptions!$C$7,1,0),0),0)</f>
        <v/>
      </c>
      <c r="W4526">
        <f>IF(AND(U4526=1,M4526&gt;=H4526*(1-Assumptions!$C$8)),1,0)</f>
        <v/>
      </c>
      <c r="X4526">
        <f>IF(AND(U4526=1,N4526&gt;=H4526*(1-Assumptions!$C$8)),1,0)</f>
        <v/>
      </c>
      <c r="Y4526">
        <f>IF(ISNUMBER(Q4526),1,0)</f>
        <v/>
      </c>
      <c r="Z4526">
        <f>IF(AND(K4526=0,L4526=0,Y4526=0),1,0)</f>
        <v/>
      </c>
      <c r="AA4526">
        <f>IF(AND(Z4526=1,G4526&lt;Assumptions!$C$6),1,0)</f>
        <v/>
      </c>
      <c r="AB4526">
        <f>IF(U4526=0,"",IF(Y4526=1,MAX(0,Q4526-G4526),IF(L4526=1,MAX(0,R4526-G4526),MAX(0,Assumptions!$C$6-G4526))))</f>
        <v/>
      </c>
      <c r="AC4526">
        <f>IF(Y4526=1,Q4526-F4526,"")</f>
        <v/>
      </c>
      <c r="AD4526">
        <f>IF(Y4526=1,AC4526^2,"")</f>
        <v/>
      </c>
      <c r="AE4526" s="19">
        <f>IF(Z4526=1,(H4526-M4526)*I4526,0)</f>
        <v/>
      </c>
      <c r="AF4526">
        <f>IF(G4526&lt;EDATE(Assumptions!$C$6,-12)+1,"prior_12m","last_12m")</f>
        <v/>
      </c>
      <c r="AG4526" s="21">
        <f>DATE(YEAR(G4526),MONTH(G4526),1)</f>
        <v/>
      </c>
    </row>
    <row r="4527">
      <c r="A4527" t="inlineStr">
        <is>
          <t>SPO-02423-1</t>
        </is>
      </c>
      <c r="B4527" t="inlineStr">
        <is>
          <t>SPO-02423</t>
        </is>
      </c>
      <c r="C4527" t="inlineStr">
        <is>
          <t>SUP-04</t>
        </is>
      </c>
      <c r="D4527" t="inlineStr">
        <is>
          <t>FLEET</t>
        </is>
      </c>
      <c r="E4527" t="inlineStr">
        <is>
          <t>FLEET-02</t>
        </is>
      </c>
      <c r="F4527" s="17" t="n">
        <v>46246</v>
      </c>
      <c r="G4527" s="17" t="n">
        <v>46259</v>
      </c>
      <c r="H4527" s="18" t="n">
        <v>169</v>
      </c>
      <c r="I4527" s="19" t="n">
        <v>7.3</v>
      </c>
      <c r="J4527" s="19" t="n">
        <v>7.5</v>
      </c>
      <c r="K4527" s="20" t="n">
        <v>0</v>
      </c>
      <c r="L4527" s="20" t="n">
        <v>1</v>
      </c>
      <c r="M4527" s="18" t="n">
        <v>97</v>
      </c>
      <c r="N4527" s="18" t="n">
        <v>0</v>
      </c>
      <c r="O4527" s="18" t="n">
        <v>0</v>
      </c>
      <c r="P4527" s="17" t="n">
        <v>46266</v>
      </c>
      <c r="Q4527" s="17" t="n"/>
      <c r="R4527" s="17" t="n">
        <v>46266</v>
      </c>
      <c r="S4527" s="19">
        <f>H4527*I4527</f>
        <v/>
      </c>
      <c r="T4527" s="19">
        <f>H4527*J4527</f>
        <v/>
      </c>
      <c r="U4527">
        <f>IF(AND(K4527=0,G4527&lt;=Assumptions!$C$6),1,0)</f>
        <v/>
      </c>
      <c r="V4527">
        <f>IF(U4527=1,IF(M4527&gt;0,IF(P4527&lt;=G4527+Assumptions!$C$7,1,0),0),0)</f>
        <v/>
      </c>
      <c r="W4527">
        <f>IF(AND(U4527=1,M4527&gt;=H4527*(1-Assumptions!$C$8)),1,0)</f>
        <v/>
      </c>
      <c r="X4527">
        <f>IF(AND(U4527=1,N4527&gt;=H4527*(1-Assumptions!$C$8)),1,0)</f>
        <v/>
      </c>
      <c r="Y4527">
        <f>IF(ISNUMBER(Q4527),1,0)</f>
        <v/>
      </c>
      <c r="Z4527">
        <f>IF(AND(K4527=0,L4527=0,Y4527=0),1,0)</f>
        <v/>
      </c>
      <c r="AA4527">
        <f>IF(AND(Z4527=1,G4527&lt;Assumptions!$C$6),1,0)</f>
        <v/>
      </c>
      <c r="AB4527">
        <f>IF(U4527=0,"",IF(Y4527=1,MAX(0,Q4527-G4527),IF(L4527=1,MAX(0,R4527-G4527),MAX(0,Assumptions!$C$6-G4527))))</f>
        <v/>
      </c>
      <c r="AC4527">
        <f>IF(Y4527=1,Q4527-F4527,"")</f>
        <v/>
      </c>
      <c r="AD4527">
        <f>IF(Y4527=1,AC4527^2,"")</f>
        <v/>
      </c>
      <c r="AE4527" s="19">
        <f>IF(Z4527=1,(H4527-M4527)*I4527,0)</f>
        <v/>
      </c>
      <c r="AF4527">
        <f>IF(G4527&lt;EDATE(Assumptions!$C$6,-12)+1,"prior_12m","last_12m")</f>
        <v/>
      </c>
      <c r="AG4527" s="21">
        <f>DATE(YEAR(G4527),MONTH(G4527),1)</f>
        <v/>
      </c>
    </row>
    <row r="4528">
      <c r="A4528" t="inlineStr">
        <is>
          <t>SPO-02423-2</t>
        </is>
      </c>
      <c r="B4528" t="inlineStr">
        <is>
          <t>SPO-02423</t>
        </is>
      </c>
      <c r="C4528" t="inlineStr">
        <is>
          <t>SUP-04</t>
        </is>
      </c>
      <c r="D4528" t="inlineStr">
        <is>
          <t>FLEET</t>
        </is>
      </c>
      <c r="E4528" t="inlineStr">
        <is>
          <t>FLEET-06</t>
        </is>
      </c>
      <c r="F4528" s="17" t="n">
        <v>46246</v>
      </c>
      <c r="G4528" s="17" t="n">
        <v>46259</v>
      </c>
      <c r="H4528" s="18" t="n">
        <v>46</v>
      </c>
      <c r="I4528" s="19" t="n">
        <v>33.85</v>
      </c>
      <c r="J4528" s="19" t="n">
        <v>33</v>
      </c>
      <c r="K4528" s="20" t="n">
        <v>0</v>
      </c>
      <c r="L4528" s="20" t="n">
        <v>0</v>
      </c>
      <c r="M4528" s="18" t="n">
        <v>46</v>
      </c>
      <c r="N4528" s="18" t="n">
        <v>46</v>
      </c>
      <c r="O4528" s="18" t="n">
        <v>0</v>
      </c>
      <c r="P4528" s="17" t="n">
        <v>46258</v>
      </c>
      <c r="Q4528" s="17" t="n">
        <v>46258</v>
      </c>
      <c r="R4528" s="17" t="n">
        <v>46258</v>
      </c>
      <c r="S4528" s="19">
        <f>H4528*I4528</f>
        <v/>
      </c>
      <c r="T4528" s="19">
        <f>H4528*J4528</f>
        <v/>
      </c>
      <c r="U4528">
        <f>IF(AND(K4528=0,G4528&lt;=Assumptions!$C$6),1,0)</f>
        <v/>
      </c>
      <c r="V4528">
        <f>IF(U4528=1,IF(M4528&gt;0,IF(P4528&lt;=G4528+Assumptions!$C$7,1,0),0),0)</f>
        <v/>
      </c>
      <c r="W4528">
        <f>IF(AND(U4528=1,M4528&gt;=H4528*(1-Assumptions!$C$8)),1,0)</f>
        <v/>
      </c>
      <c r="X4528">
        <f>IF(AND(U4528=1,N4528&gt;=H4528*(1-Assumptions!$C$8)),1,0)</f>
        <v/>
      </c>
      <c r="Y4528">
        <f>IF(ISNUMBER(Q4528),1,0)</f>
        <v/>
      </c>
      <c r="Z4528">
        <f>IF(AND(K4528=0,L4528=0,Y4528=0),1,0)</f>
        <v/>
      </c>
      <c r="AA4528">
        <f>IF(AND(Z4528=1,G4528&lt;Assumptions!$C$6),1,0)</f>
        <v/>
      </c>
      <c r="AB4528">
        <f>IF(U4528=0,"",IF(Y4528=1,MAX(0,Q4528-G4528),IF(L4528=1,MAX(0,R4528-G4528),MAX(0,Assumptions!$C$6-G4528))))</f>
        <v/>
      </c>
      <c r="AC4528">
        <f>IF(Y4528=1,Q4528-F4528,"")</f>
        <v/>
      </c>
      <c r="AD4528">
        <f>IF(Y4528=1,AC4528^2,"")</f>
        <v/>
      </c>
      <c r="AE4528" s="19">
        <f>IF(Z4528=1,(H4528-M4528)*I4528,0)</f>
        <v/>
      </c>
      <c r="AF4528">
        <f>IF(G4528&lt;EDATE(Assumptions!$C$6,-12)+1,"prior_12m","last_12m")</f>
        <v/>
      </c>
      <c r="AG4528" s="21">
        <f>DATE(YEAR(G4528),MONTH(G4528),1)</f>
        <v/>
      </c>
    </row>
    <row r="4529">
      <c r="A4529" t="inlineStr">
        <is>
          <t>SPO-02424-1</t>
        </is>
      </c>
      <c r="B4529" t="inlineStr">
        <is>
          <t>SPO-02424</t>
        </is>
      </c>
      <c r="C4529" t="inlineStr">
        <is>
          <t>SUP-07</t>
        </is>
      </c>
      <c r="D4529" t="inlineStr">
        <is>
          <t>MRO</t>
        </is>
      </c>
      <c r="E4529" t="inlineStr">
        <is>
          <t>MRO-07</t>
        </is>
      </c>
      <c r="F4529" s="17" t="n">
        <v>46246</v>
      </c>
      <c r="G4529" s="17" t="n">
        <v>46256</v>
      </c>
      <c r="H4529" s="18" t="n">
        <v>197</v>
      </c>
      <c r="I4529" s="19" t="n">
        <v>14.46</v>
      </c>
      <c r="J4529" s="19" t="n">
        <v>14</v>
      </c>
      <c r="K4529" s="20" t="n">
        <v>0</v>
      </c>
      <c r="L4529" s="20" t="n">
        <v>0</v>
      </c>
      <c r="M4529" s="18" t="n">
        <v>197</v>
      </c>
      <c r="N4529" s="18" t="n">
        <v>197</v>
      </c>
      <c r="O4529" s="18" t="n">
        <v>0</v>
      </c>
      <c r="P4529" s="17" t="n">
        <v>46254</v>
      </c>
      <c r="Q4529" s="17" t="n">
        <v>46254</v>
      </c>
      <c r="R4529" s="17" t="n">
        <v>46254</v>
      </c>
      <c r="S4529" s="19">
        <f>H4529*I4529</f>
        <v/>
      </c>
      <c r="T4529" s="19">
        <f>H4529*J4529</f>
        <v/>
      </c>
      <c r="U4529">
        <f>IF(AND(K4529=0,G4529&lt;=Assumptions!$C$6),1,0)</f>
        <v/>
      </c>
      <c r="V4529">
        <f>IF(U4529=1,IF(M4529&gt;0,IF(P4529&lt;=G4529+Assumptions!$C$7,1,0),0),0)</f>
        <v/>
      </c>
      <c r="W4529">
        <f>IF(AND(U4529=1,M4529&gt;=H4529*(1-Assumptions!$C$8)),1,0)</f>
        <v/>
      </c>
      <c r="X4529">
        <f>IF(AND(U4529=1,N4529&gt;=H4529*(1-Assumptions!$C$8)),1,0)</f>
        <v/>
      </c>
      <c r="Y4529">
        <f>IF(ISNUMBER(Q4529),1,0)</f>
        <v/>
      </c>
      <c r="Z4529">
        <f>IF(AND(K4529=0,L4529=0,Y4529=0),1,0)</f>
        <v/>
      </c>
      <c r="AA4529">
        <f>IF(AND(Z4529=1,G4529&lt;Assumptions!$C$6),1,0)</f>
        <v/>
      </c>
      <c r="AB4529">
        <f>IF(U4529=0,"",IF(Y4529=1,MAX(0,Q4529-G4529),IF(L4529=1,MAX(0,R4529-G4529),MAX(0,Assumptions!$C$6-G4529))))</f>
        <v/>
      </c>
      <c r="AC4529">
        <f>IF(Y4529=1,Q4529-F4529,"")</f>
        <v/>
      </c>
      <c r="AD4529">
        <f>IF(Y4529=1,AC4529^2,"")</f>
        <v/>
      </c>
      <c r="AE4529" s="19">
        <f>IF(Z4529=1,(H4529-M4529)*I4529,0)</f>
        <v/>
      </c>
      <c r="AF4529">
        <f>IF(G4529&lt;EDATE(Assumptions!$C$6,-12)+1,"prior_12m","last_12m")</f>
        <v/>
      </c>
      <c r="AG4529" s="21">
        <f>DATE(YEAR(G4529),MONTH(G4529),1)</f>
        <v/>
      </c>
    </row>
    <row r="4530">
      <c r="A4530" t="inlineStr">
        <is>
          <t>SPO-02424-2</t>
        </is>
      </c>
      <c r="B4530" t="inlineStr">
        <is>
          <t>SPO-02424</t>
        </is>
      </c>
      <c r="C4530" t="inlineStr">
        <is>
          <t>SUP-07</t>
        </is>
      </c>
      <c r="D4530" t="inlineStr">
        <is>
          <t>MRO</t>
        </is>
      </c>
      <c r="E4530" t="inlineStr">
        <is>
          <t>MRO-01</t>
        </is>
      </c>
      <c r="F4530" s="17" t="n">
        <v>46246</v>
      </c>
      <c r="G4530" s="17" t="n">
        <v>46256</v>
      </c>
      <c r="H4530" s="18" t="n">
        <v>25</v>
      </c>
      <c r="I4530" s="19" t="n">
        <v>53.19</v>
      </c>
      <c r="J4530" s="19" t="n">
        <v>52</v>
      </c>
      <c r="K4530" s="20" t="n">
        <v>0</v>
      </c>
      <c r="L4530" s="20" t="n">
        <v>0</v>
      </c>
      <c r="M4530" s="18" t="n">
        <v>25</v>
      </c>
      <c r="N4530" s="18" t="n">
        <v>25</v>
      </c>
      <c r="O4530" s="18" t="n">
        <v>0</v>
      </c>
      <c r="P4530" s="17" t="n">
        <v>46251</v>
      </c>
      <c r="Q4530" s="17" t="n">
        <v>46251</v>
      </c>
      <c r="R4530" s="17" t="n">
        <v>46251</v>
      </c>
      <c r="S4530" s="19">
        <f>H4530*I4530</f>
        <v/>
      </c>
      <c r="T4530" s="19">
        <f>H4530*J4530</f>
        <v/>
      </c>
      <c r="U4530">
        <f>IF(AND(K4530=0,G4530&lt;=Assumptions!$C$6),1,0)</f>
        <v/>
      </c>
      <c r="V4530">
        <f>IF(U4530=1,IF(M4530&gt;0,IF(P4530&lt;=G4530+Assumptions!$C$7,1,0),0),0)</f>
        <v/>
      </c>
      <c r="W4530">
        <f>IF(AND(U4530=1,M4530&gt;=H4530*(1-Assumptions!$C$8)),1,0)</f>
        <v/>
      </c>
      <c r="X4530">
        <f>IF(AND(U4530=1,N4530&gt;=H4530*(1-Assumptions!$C$8)),1,0)</f>
        <v/>
      </c>
      <c r="Y4530">
        <f>IF(ISNUMBER(Q4530),1,0)</f>
        <v/>
      </c>
      <c r="Z4530">
        <f>IF(AND(K4530=0,L4530=0,Y4530=0),1,0)</f>
        <v/>
      </c>
      <c r="AA4530">
        <f>IF(AND(Z4530=1,G4530&lt;Assumptions!$C$6),1,0)</f>
        <v/>
      </c>
      <c r="AB4530">
        <f>IF(U4530=0,"",IF(Y4530=1,MAX(0,Q4530-G4530),IF(L4530=1,MAX(0,R4530-G4530),MAX(0,Assumptions!$C$6-G4530))))</f>
        <v/>
      </c>
      <c r="AC4530">
        <f>IF(Y4530=1,Q4530-F4530,"")</f>
        <v/>
      </c>
      <c r="AD4530">
        <f>IF(Y4530=1,AC4530^2,"")</f>
        <v/>
      </c>
      <c r="AE4530" s="19">
        <f>IF(Z4530=1,(H4530-M4530)*I4530,0)</f>
        <v/>
      </c>
      <c r="AF4530">
        <f>IF(G4530&lt;EDATE(Assumptions!$C$6,-12)+1,"prior_12m","last_12m")</f>
        <v/>
      </c>
      <c r="AG4530" s="21">
        <f>DATE(YEAR(G4530),MONTH(G4530),1)</f>
        <v/>
      </c>
    </row>
    <row r="4531">
      <c r="A4531" t="inlineStr">
        <is>
          <t>SPO-02425-1</t>
        </is>
      </c>
      <c r="B4531" t="inlineStr">
        <is>
          <t>SPO-02425</t>
        </is>
      </c>
      <c r="C4531" t="inlineStr">
        <is>
          <t>SUP-01</t>
        </is>
      </c>
      <c r="D4531" t="inlineStr">
        <is>
          <t>ELEC</t>
        </is>
      </c>
      <c r="E4531" t="inlineStr">
        <is>
          <t>ELEC-05</t>
        </is>
      </c>
      <c r="F4531" s="17" t="n">
        <v>46246</v>
      </c>
      <c r="G4531" s="17" t="n">
        <v>46264</v>
      </c>
      <c r="H4531" s="18" t="n">
        <v>216</v>
      </c>
      <c r="I4531" s="19" t="n">
        <v>11.29</v>
      </c>
      <c r="J4531" s="19" t="n">
        <v>11.5</v>
      </c>
      <c r="K4531" s="20" t="n">
        <v>0</v>
      </c>
      <c r="L4531" s="20" t="n">
        <v>0</v>
      </c>
      <c r="M4531" s="18" t="n">
        <v>216</v>
      </c>
      <c r="N4531" s="18" t="n">
        <v>0</v>
      </c>
      <c r="O4531" s="18" t="n">
        <v>0</v>
      </c>
      <c r="P4531" s="17" t="n">
        <v>46265</v>
      </c>
      <c r="Q4531" s="17" t="n">
        <v>46265</v>
      </c>
      <c r="R4531" s="17" t="n">
        <v>46265</v>
      </c>
      <c r="S4531" s="19">
        <f>H4531*I4531</f>
        <v/>
      </c>
      <c r="T4531" s="19">
        <f>H4531*J4531</f>
        <v/>
      </c>
      <c r="U4531">
        <f>IF(AND(K4531=0,G4531&lt;=Assumptions!$C$6),1,0)</f>
        <v/>
      </c>
      <c r="V4531">
        <f>IF(U4531=1,IF(M4531&gt;0,IF(P4531&lt;=G4531+Assumptions!$C$7,1,0),0),0)</f>
        <v/>
      </c>
      <c r="W4531">
        <f>IF(AND(U4531=1,M4531&gt;=H4531*(1-Assumptions!$C$8)),1,0)</f>
        <v/>
      </c>
      <c r="X4531">
        <f>IF(AND(U4531=1,N4531&gt;=H4531*(1-Assumptions!$C$8)),1,0)</f>
        <v/>
      </c>
      <c r="Y4531">
        <f>IF(ISNUMBER(Q4531),1,0)</f>
        <v/>
      </c>
      <c r="Z4531">
        <f>IF(AND(K4531=0,L4531=0,Y4531=0),1,0)</f>
        <v/>
      </c>
      <c r="AA4531">
        <f>IF(AND(Z4531=1,G4531&lt;Assumptions!$C$6),1,0)</f>
        <v/>
      </c>
      <c r="AB4531">
        <f>IF(U4531=0,"",IF(Y4531=1,MAX(0,Q4531-G4531),IF(L4531=1,MAX(0,R4531-G4531),MAX(0,Assumptions!$C$6-G4531))))</f>
        <v/>
      </c>
      <c r="AC4531">
        <f>IF(Y4531=1,Q4531-F4531,"")</f>
        <v/>
      </c>
      <c r="AD4531">
        <f>IF(Y4531=1,AC4531^2,"")</f>
        <v/>
      </c>
      <c r="AE4531" s="19">
        <f>IF(Z4531=1,(H4531-M4531)*I4531,0)</f>
        <v/>
      </c>
      <c r="AF4531">
        <f>IF(G4531&lt;EDATE(Assumptions!$C$6,-12)+1,"prior_12m","last_12m")</f>
        <v/>
      </c>
      <c r="AG4531" s="21">
        <f>DATE(YEAR(G4531),MONTH(G4531),1)</f>
        <v/>
      </c>
    </row>
    <row r="4532">
      <c r="A4532" t="inlineStr">
        <is>
          <t>SPO-02426-1</t>
        </is>
      </c>
      <c r="B4532" t="inlineStr">
        <is>
          <t>SPO-02426</t>
        </is>
      </c>
      <c r="C4532" t="inlineStr">
        <is>
          <t>SUP-06</t>
        </is>
      </c>
      <c r="D4532" t="inlineStr">
        <is>
          <t>MRO</t>
        </is>
      </c>
      <c r="E4532" t="inlineStr">
        <is>
          <t>MRO-02</t>
        </is>
      </c>
      <c r="F4532" s="17" t="n">
        <v>46247</v>
      </c>
      <c r="G4532" s="17" t="n">
        <v>46255</v>
      </c>
      <c r="H4532" s="18" t="n">
        <v>22</v>
      </c>
      <c r="I4532" s="19" t="n">
        <v>41.9</v>
      </c>
      <c r="J4532" s="19" t="n">
        <v>41</v>
      </c>
      <c r="K4532" s="20" t="n">
        <v>0</v>
      </c>
      <c r="L4532" s="20" t="n">
        <v>1</v>
      </c>
      <c r="M4532" s="18" t="n">
        <v>17</v>
      </c>
      <c r="N4532" s="18" t="n">
        <v>17</v>
      </c>
      <c r="O4532" s="18" t="n">
        <v>0</v>
      </c>
      <c r="P4532" s="17" t="n">
        <v>46251</v>
      </c>
      <c r="Q4532" s="17" t="n"/>
      <c r="R4532" s="17" t="n">
        <v>46251</v>
      </c>
      <c r="S4532" s="19">
        <f>H4532*I4532</f>
        <v/>
      </c>
      <c r="T4532" s="19">
        <f>H4532*J4532</f>
        <v/>
      </c>
      <c r="U4532">
        <f>IF(AND(K4532=0,G4532&lt;=Assumptions!$C$6),1,0)</f>
        <v/>
      </c>
      <c r="V4532">
        <f>IF(U4532=1,IF(M4532&gt;0,IF(P4532&lt;=G4532+Assumptions!$C$7,1,0),0),0)</f>
        <v/>
      </c>
      <c r="W4532">
        <f>IF(AND(U4532=1,M4532&gt;=H4532*(1-Assumptions!$C$8)),1,0)</f>
        <v/>
      </c>
      <c r="X4532">
        <f>IF(AND(U4532=1,N4532&gt;=H4532*(1-Assumptions!$C$8)),1,0)</f>
        <v/>
      </c>
      <c r="Y4532">
        <f>IF(ISNUMBER(Q4532),1,0)</f>
        <v/>
      </c>
      <c r="Z4532">
        <f>IF(AND(K4532=0,L4532=0,Y4532=0),1,0)</f>
        <v/>
      </c>
      <c r="AA4532">
        <f>IF(AND(Z4532=1,G4532&lt;Assumptions!$C$6),1,0)</f>
        <v/>
      </c>
      <c r="AB4532">
        <f>IF(U4532=0,"",IF(Y4532=1,MAX(0,Q4532-G4532),IF(L4532=1,MAX(0,R4532-G4532),MAX(0,Assumptions!$C$6-G4532))))</f>
        <v/>
      </c>
      <c r="AC4532">
        <f>IF(Y4532=1,Q4532-F4532,"")</f>
        <v/>
      </c>
      <c r="AD4532">
        <f>IF(Y4532=1,AC4532^2,"")</f>
        <v/>
      </c>
      <c r="AE4532" s="19">
        <f>IF(Z4532=1,(H4532-M4532)*I4532,0)</f>
        <v/>
      </c>
      <c r="AF4532">
        <f>IF(G4532&lt;EDATE(Assumptions!$C$6,-12)+1,"prior_12m","last_12m")</f>
        <v/>
      </c>
      <c r="AG4532" s="21">
        <f>DATE(YEAR(G4532),MONTH(G4532),1)</f>
        <v/>
      </c>
    </row>
    <row r="4533">
      <c r="A4533" t="inlineStr">
        <is>
          <t>SPO-02426-2</t>
        </is>
      </c>
      <c r="B4533" t="inlineStr">
        <is>
          <t>SPO-02426</t>
        </is>
      </c>
      <c r="C4533" t="inlineStr">
        <is>
          <t>SUP-06</t>
        </is>
      </c>
      <c r="D4533" t="inlineStr">
        <is>
          <t>MRO</t>
        </is>
      </c>
      <c r="E4533" t="inlineStr">
        <is>
          <t>MRO-01</t>
        </is>
      </c>
      <c r="F4533" s="17" t="n">
        <v>46247</v>
      </c>
      <c r="G4533" s="17" t="n">
        <v>46255</v>
      </c>
      <c r="H4533" s="18" t="n">
        <v>23</v>
      </c>
      <c r="I4533" s="19" t="n">
        <v>51.56</v>
      </c>
      <c r="J4533" s="19" t="n">
        <v>52</v>
      </c>
      <c r="K4533" s="20" t="n">
        <v>0</v>
      </c>
      <c r="L4533" s="20" t="n">
        <v>0</v>
      </c>
      <c r="M4533" s="18" t="n">
        <v>23</v>
      </c>
      <c r="N4533" s="18" t="n">
        <v>0</v>
      </c>
      <c r="O4533" s="18" t="n">
        <v>0</v>
      </c>
      <c r="P4533" s="17" t="n">
        <v>46256</v>
      </c>
      <c r="Q4533" s="17" t="n">
        <v>46256</v>
      </c>
      <c r="R4533" s="17" t="n">
        <v>46256</v>
      </c>
      <c r="S4533" s="19">
        <f>H4533*I4533</f>
        <v/>
      </c>
      <c r="T4533" s="19">
        <f>H4533*J4533</f>
        <v/>
      </c>
      <c r="U4533">
        <f>IF(AND(K4533=0,G4533&lt;=Assumptions!$C$6),1,0)</f>
        <v/>
      </c>
      <c r="V4533">
        <f>IF(U4533=1,IF(M4533&gt;0,IF(P4533&lt;=G4533+Assumptions!$C$7,1,0),0),0)</f>
        <v/>
      </c>
      <c r="W4533">
        <f>IF(AND(U4533=1,M4533&gt;=H4533*(1-Assumptions!$C$8)),1,0)</f>
        <v/>
      </c>
      <c r="X4533">
        <f>IF(AND(U4533=1,N4533&gt;=H4533*(1-Assumptions!$C$8)),1,0)</f>
        <v/>
      </c>
      <c r="Y4533">
        <f>IF(ISNUMBER(Q4533),1,0)</f>
        <v/>
      </c>
      <c r="Z4533">
        <f>IF(AND(K4533=0,L4533=0,Y4533=0),1,0)</f>
        <v/>
      </c>
      <c r="AA4533">
        <f>IF(AND(Z4533=1,G4533&lt;Assumptions!$C$6),1,0)</f>
        <v/>
      </c>
      <c r="AB4533">
        <f>IF(U4533=0,"",IF(Y4533=1,MAX(0,Q4533-G4533),IF(L4533=1,MAX(0,R4533-G4533),MAX(0,Assumptions!$C$6-G4533))))</f>
        <v/>
      </c>
      <c r="AC4533">
        <f>IF(Y4533=1,Q4533-F4533,"")</f>
        <v/>
      </c>
      <c r="AD4533">
        <f>IF(Y4533=1,AC4533^2,"")</f>
        <v/>
      </c>
      <c r="AE4533" s="19">
        <f>IF(Z4533=1,(H4533-M4533)*I4533,0)</f>
        <v/>
      </c>
      <c r="AF4533">
        <f>IF(G4533&lt;EDATE(Assumptions!$C$6,-12)+1,"prior_12m","last_12m")</f>
        <v/>
      </c>
      <c r="AG4533" s="21">
        <f>DATE(YEAR(G4533),MONTH(G4533),1)</f>
        <v/>
      </c>
    </row>
    <row r="4534">
      <c r="A4534" t="inlineStr">
        <is>
          <t>SPO-02426-3</t>
        </is>
      </c>
      <c r="B4534" t="inlineStr">
        <is>
          <t>SPO-02426</t>
        </is>
      </c>
      <c r="C4534" t="inlineStr">
        <is>
          <t>SUP-06</t>
        </is>
      </c>
      <c r="D4534" t="inlineStr">
        <is>
          <t>MRO</t>
        </is>
      </c>
      <c r="E4534" t="inlineStr">
        <is>
          <t>MRO-08</t>
        </is>
      </c>
      <c r="F4534" s="17" t="n">
        <v>46247</v>
      </c>
      <c r="G4534" s="17" t="n">
        <v>46255</v>
      </c>
      <c r="H4534" s="18" t="n">
        <v>232</v>
      </c>
      <c r="I4534" s="19" t="n">
        <v>7.51</v>
      </c>
      <c r="J4534" s="19" t="n">
        <v>7.2</v>
      </c>
      <c r="K4534" s="20" t="n">
        <v>0</v>
      </c>
      <c r="L4534" s="20" t="n">
        <v>0</v>
      </c>
      <c r="M4534" s="18" t="n">
        <v>232</v>
      </c>
      <c r="N4534" s="18" t="n">
        <v>232</v>
      </c>
      <c r="O4534" s="18" t="n">
        <v>0</v>
      </c>
      <c r="P4534" s="17" t="n">
        <v>46252</v>
      </c>
      <c r="Q4534" s="17" t="n">
        <v>46252</v>
      </c>
      <c r="R4534" s="17" t="n">
        <v>46252</v>
      </c>
      <c r="S4534" s="19">
        <f>H4534*I4534</f>
        <v/>
      </c>
      <c r="T4534" s="19">
        <f>H4534*J4534</f>
        <v/>
      </c>
      <c r="U4534">
        <f>IF(AND(K4534=0,G4534&lt;=Assumptions!$C$6),1,0)</f>
        <v/>
      </c>
      <c r="V4534">
        <f>IF(U4534=1,IF(M4534&gt;0,IF(P4534&lt;=G4534+Assumptions!$C$7,1,0),0),0)</f>
        <v/>
      </c>
      <c r="W4534">
        <f>IF(AND(U4534=1,M4534&gt;=H4534*(1-Assumptions!$C$8)),1,0)</f>
        <v/>
      </c>
      <c r="X4534">
        <f>IF(AND(U4534=1,N4534&gt;=H4534*(1-Assumptions!$C$8)),1,0)</f>
        <v/>
      </c>
      <c r="Y4534">
        <f>IF(ISNUMBER(Q4534),1,0)</f>
        <v/>
      </c>
      <c r="Z4534">
        <f>IF(AND(K4534=0,L4534=0,Y4534=0),1,0)</f>
        <v/>
      </c>
      <c r="AA4534">
        <f>IF(AND(Z4534=1,G4534&lt;Assumptions!$C$6),1,0)</f>
        <v/>
      </c>
      <c r="AB4534">
        <f>IF(U4534=0,"",IF(Y4534=1,MAX(0,Q4534-G4534),IF(L4534=1,MAX(0,R4534-G4534),MAX(0,Assumptions!$C$6-G4534))))</f>
        <v/>
      </c>
      <c r="AC4534">
        <f>IF(Y4534=1,Q4534-F4534,"")</f>
        <v/>
      </c>
      <c r="AD4534">
        <f>IF(Y4534=1,AC4534^2,"")</f>
        <v/>
      </c>
      <c r="AE4534" s="19">
        <f>IF(Z4534=1,(H4534-M4534)*I4534,0)</f>
        <v/>
      </c>
      <c r="AF4534">
        <f>IF(G4534&lt;EDATE(Assumptions!$C$6,-12)+1,"prior_12m","last_12m")</f>
        <v/>
      </c>
      <c r="AG4534" s="21">
        <f>DATE(YEAR(G4534),MONTH(G4534),1)</f>
        <v/>
      </c>
    </row>
    <row r="4535">
      <c r="A4535" t="inlineStr">
        <is>
          <t>SPO-02427-1</t>
        </is>
      </c>
      <c r="B4535" t="inlineStr">
        <is>
          <t>SPO-02427</t>
        </is>
      </c>
      <c r="C4535" t="inlineStr">
        <is>
          <t>SUP-05</t>
        </is>
      </c>
      <c r="D4535" t="inlineStr">
        <is>
          <t>FLEET</t>
        </is>
      </c>
      <c r="E4535" t="inlineStr">
        <is>
          <t>FLEET-05</t>
        </is>
      </c>
      <c r="F4535" s="17" t="n">
        <v>46247</v>
      </c>
      <c r="G4535" s="17" t="n">
        <v>46261</v>
      </c>
      <c r="H4535" s="18" t="n">
        <v>20</v>
      </c>
      <c r="I4535" s="19" t="n">
        <v>175.29</v>
      </c>
      <c r="J4535" s="19" t="n">
        <v>168</v>
      </c>
      <c r="K4535" s="20" t="n">
        <v>0</v>
      </c>
      <c r="L4535" s="20" t="n">
        <v>0</v>
      </c>
      <c r="M4535" s="18" t="n">
        <v>20</v>
      </c>
      <c r="N4535" s="18" t="n">
        <v>20</v>
      </c>
      <c r="O4535" s="18" t="n">
        <v>0</v>
      </c>
      <c r="P4535" s="17" t="n">
        <v>46261</v>
      </c>
      <c r="Q4535" s="17" t="n">
        <v>46261</v>
      </c>
      <c r="R4535" s="17" t="n">
        <v>46261</v>
      </c>
      <c r="S4535" s="19">
        <f>H4535*I4535</f>
        <v/>
      </c>
      <c r="T4535" s="19">
        <f>H4535*J4535</f>
        <v/>
      </c>
      <c r="U4535">
        <f>IF(AND(K4535=0,G4535&lt;=Assumptions!$C$6),1,0)</f>
        <v/>
      </c>
      <c r="V4535">
        <f>IF(U4535=1,IF(M4535&gt;0,IF(P4535&lt;=G4535+Assumptions!$C$7,1,0),0),0)</f>
        <v/>
      </c>
      <c r="W4535">
        <f>IF(AND(U4535=1,M4535&gt;=H4535*(1-Assumptions!$C$8)),1,0)</f>
        <v/>
      </c>
      <c r="X4535">
        <f>IF(AND(U4535=1,N4535&gt;=H4535*(1-Assumptions!$C$8)),1,0)</f>
        <v/>
      </c>
      <c r="Y4535">
        <f>IF(ISNUMBER(Q4535),1,0)</f>
        <v/>
      </c>
      <c r="Z4535">
        <f>IF(AND(K4535=0,L4535=0,Y4535=0),1,0)</f>
        <v/>
      </c>
      <c r="AA4535">
        <f>IF(AND(Z4535=1,G4535&lt;Assumptions!$C$6),1,0)</f>
        <v/>
      </c>
      <c r="AB4535">
        <f>IF(U4535=0,"",IF(Y4535=1,MAX(0,Q4535-G4535),IF(L4535=1,MAX(0,R4535-G4535),MAX(0,Assumptions!$C$6-G4535))))</f>
        <v/>
      </c>
      <c r="AC4535">
        <f>IF(Y4535=1,Q4535-F4535,"")</f>
        <v/>
      </c>
      <c r="AD4535">
        <f>IF(Y4535=1,AC4535^2,"")</f>
        <v/>
      </c>
      <c r="AE4535" s="19">
        <f>IF(Z4535=1,(H4535-M4535)*I4535,0)</f>
        <v/>
      </c>
      <c r="AF4535">
        <f>IF(G4535&lt;EDATE(Assumptions!$C$6,-12)+1,"prior_12m","last_12m")</f>
        <v/>
      </c>
      <c r="AG4535" s="21">
        <f>DATE(YEAR(G4535),MONTH(G4535),1)</f>
        <v/>
      </c>
    </row>
    <row r="4536">
      <c r="A4536" t="inlineStr">
        <is>
          <t>SPO-02428-1</t>
        </is>
      </c>
      <c r="B4536" t="inlineStr">
        <is>
          <t>SPO-02428</t>
        </is>
      </c>
      <c r="C4536" t="inlineStr">
        <is>
          <t>SUP-05</t>
        </is>
      </c>
      <c r="D4536" t="inlineStr">
        <is>
          <t>FLEET</t>
        </is>
      </c>
      <c r="E4536" t="inlineStr">
        <is>
          <t>FLEET-06</t>
        </is>
      </c>
      <c r="F4536" s="17" t="n">
        <v>46247</v>
      </c>
      <c r="G4536" s="17" t="n">
        <v>46261</v>
      </c>
      <c r="H4536" s="18" t="n">
        <v>33</v>
      </c>
      <c r="I4536" s="19" t="n">
        <v>33.86</v>
      </c>
      <c r="J4536" s="19" t="n">
        <v>33</v>
      </c>
      <c r="K4536" s="20" t="n">
        <v>0</v>
      </c>
      <c r="L4536" s="20" t="n">
        <v>0</v>
      </c>
      <c r="M4536" s="18" t="n">
        <v>33</v>
      </c>
      <c r="N4536" s="18" t="n">
        <v>33</v>
      </c>
      <c r="O4536" s="18" t="n">
        <v>0</v>
      </c>
      <c r="P4536" s="17" t="n">
        <v>46260</v>
      </c>
      <c r="Q4536" s="17" t="n">
        <v>46260</v>
      </c>
      <c r="R4536" s="17" t="n">
        <v>46260</v>
      </c>
      <c r="S4536" s="19">
        <f>H4536*I4536</f>
        <v/>
      </c>
      <c r="T4536" s="19">
        <f>H4536*J4536</f>
        <v/>
      </c>
      <c r="U4536">
        <f>IF(AND(K4536=0,G4536&lt;=Assumptions!$C$6),1,0)</f>
        <v/>
      </c>
      <c r="V4536">
        <f>IF(U4536=1,IF(M4536&gt;0,IF(P4536&lt;=G4536+Assumptions!$C$7,1,0),0),0)</f>
        <v/>
      </c>
      <c r="W4536">
        <f>IF(AND(U4536=1,M4536&gt;=H4536*(1-Assumptions!$C$8)),1,0)</f>
        <v/>
      </c>
      <c r="X4536">
        <f>IF(AND(U4536=1,N4536&gt;=H4536*(1-Assumptions!$C$8)),1,0)</f>
        <v/>
      </c>
      <c r="Y4536">
        <f>IF(ISNUMBER(Q4536),1,0)</f>
        <v/>
      </c>
      <c r="Z4536">
        <f>IF(AND(K4536=0,L4536=0,Y4536=0),1,0)</f>
        <v/>
      </c>
      <c r="AA4536">
        <f>IF(AND(Z4536=1,G4536&lt;Assumptions!$C$6),1,0)</f>
        <v/>
      </c>
      <c r="AB4536">
        <f>IF(U4536=0,"",IF(Y4536=1,MAX(0,Q4536-G4536),IF(L4536=1,MAX(0,R4536-G4536),MAX(0,Assumptions!$C$6-G4536))))</f>
        <v/>
      </c>
      <c r="AC4536">
        <f>IF(Y4536=1,Q4536-F4536,"")</f>
        <v/>
      </c>
      <c r="AD4536">
        <f>IF(Y4536=1,AC4536^2,"")</f>
        <v/>
      </c>
      <c r="AE4536" s="19">
        <f>IF(Z4536=1,(H4536-M4536)*I4536,0)</f>
        <v/>
      </c>
      <c r="AF4536">
        <f>IF(G4536&lt;EDATE(Assumptions!$C$6,-12)+1,"prior_12m","last_12m")</f>
        <v/>
      </c>
      <c r="AG4536" s="21">
        <f>DATE(YEAR(G4536),MONTH(G4536),1)</f>
        <v/>
      </c>
    </row>
    <row r="4537">
      <c r="A4537" t="inlineStr">
        <is>
          <t>SPO-02428-2</t>
        </is>
      </c>
      <c r="B4537" t="inlineStr">
        <is>
          <t>SPO-02428</t>
        </is>
      </c>
      <c r="C4537" t="inlineStr">
        <is>
          <t>SUP-05</t>
        </is>
      </c>
      <c r="D4537" t="inlineStr">
        <is>
          <t>FLEET</t>
        </is>
      </c>
      <c r="E4537" t="inlineStr">
        <is>
          <t>FLEET-02</t>
        </is>
      </c>
      <c r="F4537" s="17" t="n">
        <v>46247</v>
      </c>
      <c r="G4537" s="17" t="n">
        <v>46261</v>
      </c>
      <c r="H4537" s="18" t="n">
        <v>105</v>
      </c>
      <c r="I4537" s="19" t="n">
        <v>7.75</v>
      </c>
      <c r="J4537" s="19" t="n">
        <v>7.5</v>
      </c>
      <c r="K4537" s="20" t="n">
        <v>0</v>
      </c>
      <c r="L4537" s="20" t="n">
        <v>0</v>
      </c>
      <c r="M4537" s="18" t="n">
        <v>105</v>
      </c>
      <c r="N4537" s="18" t="n">
        <v>105</v>
      </c>
      <c r="O4537" s="18" t="n">
        <v>0</v>
      </c>
      <c r="P4537" s="17" t="n">
        <v>46255</v>
      </c>
      <c r="Q4537" s="17" t="n">
        <v>46255</v>
      </c>
      <c r="R4537" s="17" t="n">
        <v>46255</v>
      </c>
      <c r="S4537" s="19">
        <f>H4537*I4537</f>
        <v/>
      </c>
      <c r="T4537" s="19">
        <f>H4537*J4537</f>
        <v/>
      </c>
      <c r="U4537">
        <f>IF(AND(K4537=0,G4537&lt;=Assumptions!$C$6),1,0)</f>
        <v/>
      </c>
      <c r="V4537">
        <f>IF(U4537=1,IF(M4537&gt;0,IF(P4537&lt;=G4537+Assumptions!$C$7,1,0),0),0)</f>
        <v/>
      </c>
      <c r="W4537">
        <f>IF(AND(U4537=1,M4537&gt;=H4537*(1-Assumptions!$C$8)),1,0)</f>
        <v/>
      </c>
      <c r="X4537">
        <f>IF(AND(U4537=1,N4537&gt;=H4537*(1-Assumptions!$C$8)),1,0)</f>
        <v/>
      </c>
      <c r="Y4537">
        <f>IF(ISNUMBER(Q4537),1,0)</f>
        <v/>
      </c>
      <c r="Z4537">
        <f>IF(AND(K4537=0,L4537=0,Y4537=0),1,0)</f>
        <v/>
      </c>
      <c r="AA4537">
        <f>IF(AND(Z4537=1,G4537&lt;Assumptions!$C$6),1,0)</f>
        <v/>
      </c>
      <c r="AB4537">
        <f>IF(U4537=0,"",IF(Y4537=1,MAX(0,Q4537-G4537),IF(L4537=1,MAX(0,R4537-G4537),MAX(0,Assumptions!$C$6-G4537))))</f>
        <v/>
      </c>
      <c r="AC4537">
        <f>IF(Y4537=1,Q4537-F4537,"")</f>
        <v/>
      </c>
      <c r="AD4537">
        <f>IF(Y4537=1,AC4537^2,"")</f>
        <v/>
      </c>
      <c r="AE4537" s="19">
        <f>IF(Z4537=1,(H4537-M4537)*I4537,0)</f>
        <v/>
      </c>
      <c r="AF4537">
        <f>IF(G4537&lt;EDATE(Assumptions!$C$6,-12)+1,"prior_12m","last_12m")</f>
        <v/>
      </c>
      <c r="AG4537" s="21">
        <f>DATE(YEAR(G4537),MONTH(G4537),1)</f>
        <v/>
      </c>
    </row>
    <row r="4538">
      <c r="A4538" t="inlineStr">
        <is>
          <t>SPO-02429-1</t>
        </is>
      </c>
      <c r="B4538" t="inlineStr">
        <is>
          <t>SPO-02429</t>
        </is>
      </c>
      <c r="C4538" t="inlineStr">
        <is>
          <t>SUP-07</t>
        </is>
      </c>
      <c r="D4538" t="inlineStr">
        <is>
          <t>MRO</t>
        </is>
      </c>
      <c r="E4538" t="inlineStr">
        <is>
          <t>MRO-07</t>
        </is>
      </c>
      <c r="F4538" s="17" t="n">
        <v>46247</v>
      </c>
      <c r="G4538" s="17" t="n">
        <v>46257</v>
      </c>
      <c r="H4538" s="18" t="n">
        <v>153</v>
      </c>
      <c r="I4538" s="19" t="n">
        <v>14.04</v>
      </c>
      <c r="J4538" s="19" t="n">
        <v>14</v>
      </c>
      <c r="K4538" s="20" t="n">
        <v>0</v>
      </c>
      <c r="L4538" s="20" t="n">
        <v>0</v>
      </c>
      <c r="M4538" s="18" t="n">
        <v>153</v>
      </c>
      <c r="N4538" s="18" t="n">
        <v>153</v>
      </c>
      <c r="O4538" s="18" t="n">
        <v>0</v>
      </c>
      <c r="P4538" s="17" t="n">
        <v>46255</v>
      </c>
      <c r="Q4538" s="17" t="n">
        <v>46255</v>
      </c>
      <c r="R4538" s="17" t="n">
        <v>46255</v>
      </c>
      <c r="S4538" s="19">
        <f>H4538*I4538</f>
        <v/>
      </c>
      <c r="T4538" s="19">
        <f>H4538*J4538</f>
        <v/>
      </c>
      <c r="U4538">
        <f>IF(AND(K4538=0,G4538&lt;=Assumptions!$C$6),1,0)</f>
        <v/>
      </c>
      <c r="V4538">
        <f>IF(U4538=1,IF(M4538&gt;0,IF(P4538&lt;=G4538+Assumptions!$C$7,1,0),0),0)</f>
        <v/>
      </c>
      <c r="W4538">
        <f>IF(AND(U4538=1,M4538&gt;=H4538*(1-Assumptions!$C$8)),1,0)</f>
        <v/>
      </c>
      <c r="X4538">
        <f>IF(AND(U4538=1,N4538&gt;=H4538*(1-Assumptions!$C$8)),1,0)</f>
        <v/>
      </c>
      <c r="Y4538">
        <f>IF(ISNUMBER(Q4538),1,0)</f>
        <v/>
      </c>
      <c r="Z4538">
        <f>IF(AND(K4538=0,L4538=0,Y4538=0),1,0)</f>
        <v/>
      </c>
      <c r="AA4538">
        <f>IF(AND(Z4538=1,G4538&lt;Assumptions!$C$6),1,0)</f>
        <v/>
      </c>
      <c r="AB4538">
        <f>IF(U4538=0,"",IF(Y4538=1,MAX(0,Q4538-G4538),IF(L4538=1,MAX(0,R4538-G4538),MAX(0,Assumptions!$C$6-G4538))))</f>
        <v/>
      </c>
      <c r="AC4538">
        <f>IF(Y4538=1,Q4538-F4538,"")</f>
        <v/>
      </c>
      <c r="AD4538">
        <f>IF(Y4538=1,AC4538^2,"")</f>
        <v/>
      </c>
      <c r="AE4538" s="19">
        <f>IF(Z4538=1,(H4538-M4538)*I4538,0)</f>
        <v/>
      </c>
      <c r="AF4538">
        <f>IF(G4538&lt;EDATE(Assumptions!$C$6,-12)+1,"prior_12m","last_12m")</f>
        <v/>
      </c>
      <c r="AG4538" s="21">
        <f>DATE(YEAR(G4538),MONTH(G4538),1)</f>
        <v/>
      </c>
    </row>
    <row r="4539">
      <c r="A4539" t="inlineStr">
        <is>
          <t>SPO-02429-2</t>
        </is>
      </c>
      <c r="B4539" t="inlineStr">
        <is>
          <t>SPO-02429</t>
        </is>
      </c>
      <c r="C4539" t="inlineStr">
        <is>
          <t>SUP-07</t>
        </is>
      </c>
      <c r="D4539" t="inlineStr">
        <is>
          <t>MRO</t>
        </is>
      </c>
      <c r="E4539" t="inlineStr">
        <is>
          <t>MRO-02</t>
        </is>
      </c>
      <c r="F4539" s="17" t="n">
        <v>46247</v>
      </c>
      <c r="G4539" s="17" t="n">
        <v>46257</v>
      </c>
      <c r="H4539" s="18" t="n">
        <v>14</v>
      </c>
      <c r="I4539" s="19" t="n">
        <v>40.16</v>
      </c>
      <c r="J4539" s="19" t="n">
        <v>41</v>
      </c>
      <c r="K4539" s="20" t="n">
        <v>0</v>
      </c>
      <c r="L4539" s="20" t="n">
        <v>0</v>
      </c>
      <c r="M4539" s="18" t="n">
        <v>14</v>
      </c>
      <c r="N4539" s="18" t="n">
        <v>14</v>
      </c>
      <c r="O4539" s="18" t="n">
        <v>0</v>
      </c>
      <c r="P4539" s="17" t="n">
        <v>46253</v>
      </c>
      <c r="Q4539" s="17" t="n">
        <v>46253</v>
      </c>
      <c r="R4539" s="17" t="n">
        <v>46253</v>
      </c>
      <c r="S4539" s="19">
        <f>H4539*I4539</f>
        <v/>
      </c>
      <c r="T4539" s="19">
        <f>H4539*J4539</f>
        <v/>
      </c>
      <c r="U4539">
        <f>IF(AND(K4539=0,G4539&lt;=Assumptions!$C$6),1,0)</f>
        <v/>
      </c>
      <c r="V4539">
        <f>IF(U4539=1,IF(M4539&gt;0,IF(P4539&lt;=G4539+Assumptions!$C$7,1,0),0),0)</f>
        <v/>
      </c>
      <c r="W4539">
        <f>IF(AND(U4539=1,M4539&gt;=H4539*(1-Assumptions!$C$8)),1,0)</f>
        <v/>
      </c>
      <c r="X4539">
        <f>IF(AND(U4539=1,N4539&gt;=H4539*(1-Assumptions!$C$8)),1,0)</f>
        <v/>
      </c>
      <c r="Y4539">
        <f>IF(ISNUMBER(Q4539),1,0)</f>
        <v/>
      </c>
      <c r="Z4539">
        <f>IF(AND(K4539=0,L4539=0,Y4539=0),1,0)</f>
        <v/>
      </c>
      <c r="AA4539">
        <f>IF(AND(Z4539=1,G4539&lt;Assumptions!$C$6),1,0)</f>
        <v/>
      </c>
      <c r="AB4539">
        <f>IF(U4539=0,"",IF(Y4539=1,MAX(0,Q4539-G4539),IF(L4539=1,MAX(0,R4539-G4539),MAX(0,Assumptions!$C$6-G4539))))</f>
        <v/>
      </c>
      <c r="AC4539">
        <f>IF(Y4539=1,Q4539-F4539,"")</f>
        <v/>
      </c>
      <c r="AD4539">
        <f>IF(Y4539=1,AC4539^2,"")</f>
        <v/>
      </c>
      <c r="AE4539" s="19">
        <f>IF(Z4539=1,(H4539-M4539)*I4539,0)</f>
        <v/>
      </c>
      <c r="AF4539">
        <f>IF(G4539&lt;EDATE(Assumptions!$C$6,-12)+1,"prior_12m","last_12m")</f>
        <v/>
      </c>
      <c r="AG4539" s="21">
        <f>DATE(YEAR(G4539),MONTH(G4539),1)</f>
        <v/>
      </c>
    </row>
    <row r="4540">
      <c r="A4540" t="inlineStr">
        <is>
          <t>SPO-02430-1</t>
        </is>
      </c>
      <c r="B4540" t="inlineStr">
        <is>
          <t>SPO-02430</t>
        </is>
      </c>
      <c r="C4540" t="inlineStr">
        <is>
          <t>SUP-06</t>
        </is>
      </c>
      <c r="D4540" t="inlineStr">
        <is>
          <t>MRO</t>
        </is>
      </c>
      <c r="E4540" t="inlineStr">
        <is>
          <t>MRO-06</t>
        </is>
      </c>
      <c r="F4540" s="17" t="n">
        <v>46248</v>
      </c>
      <c r="G4540" s="17" t="n">
        <v>46256</v>
      </c>
      <c r="H4540" s="18" t="n">
        <v>368</v>
      </c>
      <c r="I4540" s="19" t="n">
        <v>6.26</v>
      </c>
      <c r="J4540" s="19" t="n">
        <v>6.1</v>
      </c>
      <c r="K4540" s="20" t="n">
        <v>0</v>
      </c>
      <c r="L4540" s="20" t="n">
        <v>0</v>
      </c>
      <c r="M4540" s="18" t="n">
        <v>368</v>
      </c>
      <c r="N4540" s="18" t="n">
        <v>368</v>
      </c>
      <c r="O4540" s="18" t="n">
        <v>0</v>
      </c>
      <c r="P4540" s="17" t="n">
        <v>46254</v>
      </c>
      <c r="Q4540" s="17" t="n">
        <v>46254</v>
      </c>
      <c r="R4540" s="17" t="n">
        <v>46254</v>
      </c>
      <c r="S4540" s="19">
        <f>H4540*I4540</f>
        <v/>
      </c>
      <c r="T4540" s="19">
        <f>H4540*J4540</f>
        <v/>
      </c>
      <c r="U4540">
        <f>IF(AND(K4540=0,G4540&lt;=Assumptions!$C$6),1,0)</f>
        <v/>
      </c>
      <c r="V4540">
        <f>IF(U4540=1,IF(M4540&gt;0,IF(P4540&lt;=G4540+Assumptions!$C$7,1,0),0),0)</f>
        <v/>
      </c>
      <c r="W4540">
        <f>IF(AND(U4540=1,M4540&gt;=H4540*(1-Assumptions!$C$8)),1,0)</f>
        <v/>
      </c>
      <c r="X4540">
        <f>IF(AND(U4540=1,N4540&gt;=H4540*(1-Assumptions!$C$8)),1,0)</f>
        <v/>
      </c>
      <c r="Y4540">
        <f>IF(ISNUMBER(Q4540),1,0)</f>
        <v/>
      </c>
      <c r="Z4540">
        <f>IF(AND(K4540=0,L4540=0,Y4540=0),1,0)</f>
        <v/>
      </c>
      <c r="AA4540">
        <f>IF(AND(Z4540=1,G4540&lt;Assumptions!$C$6),1,0)</f>
        <v/>
      </c>
      <c r="AB4540">
        <f>IF(U4540=0,"",IF(Y4540=1,MAX(0,Q4540-G4540),IF(L4540=1,MAX(0,R4540-G4540),MAX(0,Assumptions!$C$6-G4540))))</f>
        <v/>
      </c>
      <c r="AC4540">
        <f>IF(Y4540=1,Q4540-F4540,"")</f>
        <v/>
      </c>
      <c r="AD4540">
        <f>IF(Y4540=1,AC4540^2,"")</f>
        <v/>
      </c>
      <c r="AE4540" s="19">
        <f>IF(Z4540=1,(H4540-M4540)*I4540,0)</f>
        <v/>
      </c>
      <c r="AF4540">
        <f>IF(G4540&lt;EDATE(Assumptions!$C$6,-12)+1,"prior_12m","last_12m")</f>
        <v/>
      </c>
      <c r="AG4540" s="21">
        <f>DATE(YEAR(G4540),MONTH(G4540),1)</f>
        <v/>
      </c>
    </row>
    <row r="4541">
      <c r="A4541" t="inlineStr">
        <is>
          <t>SPO-02430-2</t>
        </is>
      </c>
      <c r="B4541" t="inlineStr">
        <is>
          <t>SPO-02430</t>
        </is>
      </c>
      <c r="C4541" t="inlineStr">
        <is>
          <t>SUP-06</t>
        </is>
      </c>
      <c r="D4541" t="inlineStr">
        <is>
          <t>MRO</t>
        </is>
      </c>
      <c r="E4541" t="inlineStr">
        <is>
          <t>MRO-01</t>
        </is>
      </c>
      <c r="F4541" s="17" t="n">
        <v>46248</v>
      </c>
      <c r="G4541" s="17" t="n">
        <v>46256</v>
      </c>
      <c r="H4541" s="18" t="n">
        <v>19</v>
      </c>
      <c r="I4541" s="19" t="n">
        <v>50.4</v>
      </c>
      <c r="J4541" s="19" t="n">
        <v>52</v>
      </c>
      <c r="K4541" s="20" t="n">
        <v>0</v>
      </c>
      <c r="L4541" s="20" t="n">
        <v>0</v>
      </c>
      <c r="M4541" s="18" t="n">
        <v>19</v>
      </c>
      <c r="N4541" s="18" t="n">
        <v>19</v>
      </c>
      <c r="O4541" s="18" t="n">
        <v>0</v>
      </c>
      <c r="P4541" s="17" t="n">
        <v>46255</v>
      </c>
      <c r="Q4541" s="17" t="n">
        <v>46255</v>
      </c>
      <c r="R4541" s="17" t="n">
        <v>46255</v>
      </c>
      <c r="S4541" s="19">
        <f>H4541*I4541</f>
        <v/>
      </c>
      <c r="T4541" s="19">
        <f>H4541*J4541</f>
        <v/>
      </c>
      <c r="U4541">
        <f>IF(AND(K4541=0,G4541&lt;=Assumptions!$C$6),1,0)</f>
        <v/>
      </c>
      <c r="V4541">
        <f>IF(U4541=1,IF(M4541&gt;0,IF(P4541&lt;=G4541+Assumptions!$C$7,1,0),0),0)</f>
        <v/>
      </c>
      <c r="W4541">
        <f>IF(AND(U4541=1,M4541&gt;=H4541*(1-Assumptions!$C$8)),1,0)</f>
        <v/>
      </c>
      <c r="X4541">
        <f>IF(AND(U4541=1,N4541&gt;=H4541*(1-Assumptions!$C$8)),1,0)</f>
        <v/>
      </c>
      <c r="Y4541">
        <f>IF(ISNUMBER(Q4541),1,0)</f>
        <v/>
      </c>
      <c r="Z4541">
        <f>IF(AND(K4541=0,L4541=0,Y4541=0),1,0)</f>
        <v/>
      </c>
      <c r="AA4541">
        <f>IF(AND(Z4541=1,G4541&lt;Assumptions!$C$6),1,0)</f>
        <v/>
      </c>
      <c r="AB4541">
        <f>IF(U4541=0,"",IF(Y4541=1,MAX(0,Q4541-G4541),IF(L4541=1,MAX(0,R4541-G4541),MAX(0,Assumptions!$C$6-G4541))))</f>
        <v/>
      </c>
      <c r="AC4541">
        <f>IF(Y4541=1,Q4541-F4541,"")</f>
        <v/>
      </c>
      <c r="AD4541">
        <f>IF(Y4541=1,AC4541^2,"")</f>
        <v/>
      </c>
      <c r="AE4541" s="19">
        <f>IF(Z4541=1,(H4541-M4541)*I4541,0)</f>
        <v/>
      </c>
      <c r="AF4541">
        <f>IF(G4541&lt;EDATE(Assumptions!$C$6,-12)+1,"prior_12m","last_12m")</f>
        <v/>
      </c>
      <c r="AG4541" s="21">
        <f>DATE(YEAR(G4541),MONTH(G4541),1)</f>
        <v/>
      </c>
    </row>
    <row r="4542">
      <c r="A4542" t="inlineStr">
        <is>
          <t>SPO-02431-1</t>
        </is>
      </c>
      <c r="B4542" t="inlineStr">
        <is>
          <t>SPO-02431</t>
        </is>
      </c>
      <c r="C4542" t="inlineStr">
        <is>
          <t>SUP-04</t>
        </is>
      </c>
      <c r="D4542" t="inlineStr">
        <is>
          <t>FLEET</t>
        </is>
      </c>
      <c r="E4542" t="inlineStr">
        <is>
          <t>FLEET-02</t>
        </is>
      </c>
      <c r="F4542" s="17" t="n">
        <v>46248</v>
      </c>
      <c r="G4542" s="17" t="n">
        <v>46261</v>
      </c>
      <c r="H4542" s="18" t="n">
        <v>223</v>
      </c>
      <c r="I4542" s="19" t="n">
        <v>7.14</v>
      </c>
      <c r="J4542" s="19" t="n">
        <v>7.5</v>
      </c>
      <c r="K4542" s="20" t="n">
        <v>0</v>
      </c>
      <c r="L4542" s="20" t="n">
        <v>0</v>
      </c>
      <c r="M4542" s="18" t="n">
        <v>223</v>
      </c>
      <c r="N4542" s="18" t="n">
        <v>223</v>
      </c>
      <c r="O4542" s="18" t="n">
        <v>0</v>
      </c>
      <c r="P4542" s="17" t="n">
        <v>46249</v>
      </c>
      <c r="Q4542" s="17" t="n">
        <v>46249</v>
      </c>
      <c r="R4542" s="17" t="n">
        <v>46249</v>
      </c>
      <c r="S4542" s="19">
        <f>H4542*I4542</f>
        <v/>
      </c>
      <c r="T4542" s="19">
        <f>H4542*J4542</f>
        <v/>
      </c>
      <c r="U4542">
        <f>IF(AND(K4542=0,G4542&lt;=Assumptions!$C$6),1,0)</f>
        <v/>
      </c>
      <c r="V4542">
        <f>IF(U4542=1,IF(M4542&gt;0,IF(P4542&lt;=G4542+Assumptions!$C$7,1,0),0),0)</f>
        <v/>
      </c>
      <c r="W4542">
        <f>IF(AND(U4542=1,M4542&gt;=H4542*(1-Assumptions!$C$8)),1,0)</f>
        <v/>
      </c>
      <c r="X4542">
        <f>IF(AND(U4542=1,N4542&gt;=H4542*(1-Assumptions!$C$8)),1,0)</f>
        <v/>
      </c>
      <c r="Y4542">
        <f>IF(ISNUMBER(Q4542),1,0)</f>
        <v/>
      </c>
      <c r="Z4542">
        <f>IF(AND(K4542=0,L4542=0,Y4542=0),1,0)</f>
        <v/>
      </c>
      <c r="AA4542">
        <f>IF(AND(Z4542=1,G4542&lt;Assumptions!$C$6),1,0)</f>
        <v/>
      </c>
      <c r="AB4542">
        <f>IF(U4542=0,"",IF(Y4542=1,MAX(0,Q4542-G4542),IF(L4542=1,MAX(0,R4542-G4542),MAX(0,Assumptions!$C$6-G4542))))</f>
        <v/>
      </c>
      <c r="AC4542">
        <f>IF(Y4542=1,Q4542-F4542,"")</f>
        <v/>
      </c>
      <c r="AD4542">
        <f>IF(Y4542=1,AC4542^2,"")</f>
        <v/>
      </c>
      <c r="AE4542" s="19">
        <f>IF(Z4542=1,(H4542-M4542)*I4542,0)</f>
        <v/>
      </c>
      <c r="AF4542">
        <f>IF(G4542&lt;EDATE(Assumptions!$C$6,-12)+1,"prior_12m","last_12m")</f>
        <v/>
      </c>
      <c r="AG4542" s="21">
        <f>DATE(YEAR(G4542),MONTH(G4542),1)</f>
        <v/>
      </c>
    </row>
    <row r="4543">
      <c r="A4543" t="inlineStr">
        <is>
          <t>SPO-02432-1</t>
        </is>
      </c>
      <c r="B4543" t="inlineStr">
        <is>
          <t>SPO-02432</t>
        </is>
      </c>
      <c r="C4543" t="inlineStr">
        <is>
          <t>SUP-01</t>
        </is>
      </c>
      <c r="D4543" t="inlineStr">
        <is>
          <t>ELEC</t>
        </is>
      </c>
      <c r="E4543" t="inlineStr">
        <is>
          <t>ELEC-05</t>
        </is>
      </c>
      <c r="F4543" s="17" t="n">
        <v>46248</v>
      </c>
      <c r="G4543" s="17" t="n">
        <v>46266</v>
      </c>
      <c r="H4543" s="18" t="n">
        <v>155</v>
      </c>
      <c r="I4543" s="19" t="n">
        <v>11.6</v>
      </c>
      <c r="J4543" s="19" t="n">
        <v>11.5</v>
      </c>
      <c r="K4543" s="20" t="n">
        <v>0</v>
      </c>
      <c r="L4543" s="20" t="n">
        <v>0</v>
      </c>
      <c r="M4543" s="18" t="n">
        <v>155</v>
      </c>
      <c r="N4543" s="18" t="n">
        <v>155</v>
      </c>
      <c r="O4543" s="18" t="n">
        <v>0</v>
      </c>
      <c r="P4543" s="17" t="n">
        <v>46261</v>
      </c>
      <c r="Q4543" s="17" t="n">
        <v>46261</v>
      </c>
      <c r="R4543" s="17" t="n">
        <v>46261</v>
      </c>
      <c r="S4543" s="19">
        <f>H4543*I4543</f>
        <v/>
      </c>
      <c r="T4543" s="19">
        <f>H4543*J4543</f>
        <v/>
      </c>
      <c r="U4543">
        <f>IF(AND(K4543=0,G4543&lt;=Assumptions!$C$6),1,0)</f>
        <v/>
      </c>
      <c r="V4543">
        <f>IF(U4543=1,IF(M4543&gt;0,IF(P4543&lt;=G4543+Assumptions!$C$7,1,0),0),0)</f>
        <v/>
      </c>
      <c r="W4543">
        <f>IF(AND(U4543=1,M4543&gt;=H4543*(1-Assumptions!$C$8)),1,0)</f>
        <v/>
      </c>
      <c r="X4543">
        <f>IF(AND(U4543=1,N4543&gt;=H4543*(1-Assumptions!$C$8)),1,0)</f>
        <v/>
      </c>
      <c r="Y4543">
        <f>IF(ISNUMBER(Q4543),1,0)</f>
        <v/>
      </c>
      <c r="Z4543">
        <f>IF(AND(K4543=0,L4543=0,Y4543=0),1,0)</f>
        <v/>
      </c>
      <c r="AA4543">
        <f>IF(AND(Z4543=1,G4543&lt;Assumptions!$C$6),1,0)</f>
        <v/>
      </c>
      <c r="AB4543">
        <f>IF(U4543=0,"",IF(Y4543=1,MAX(0,Q4543-G4543),IF(L4543=1,MAX(0,R4543-G4543),MAX(0,Assumptions!$C$6-G4543))))</f>
        <v/>
      </c>
      <c r="AC4543">
        <f>IF(Y4543=1,Q4543-F4543,"")</f>
        <v/>
      </c>
      <c r="AD4543">
        <f>IF(Y4543=1,AC4543^2,"")</f>
        <v/>
      </c>
      <c r="AE4543" s="19">
        <f>IF(Z4543=1,(H4543-M4543)*I4543,0)</f>
        <v/>
      </c>
      <c r="AF4543">
        <f>IF(G4543&lt;EDATE(Assumptions!$C$6,-12)+1,"prior_12m","last_12m")</f>
        <v/>
      </c>
      <c r="AG4543" s="21">
        <f>DATE(YEAR(G4543),MONTH(G4543),1)</f>
        <v/>
      </c>
    </row>
    <row r="4544">
      <c r="A4544" t="inlineStr">
        <is>
          <t>SPO-02433-1</t>
        </is>
      </c>
      <c r="B4544" t="inlineStr">
        <is>
          <t>SPO-02433</t>
        </is>
      </c>
      <c r="C4544" t="inlineStr">
        <is>
          <t>SUP-06</t>
        </is>
      </c>
      <c r="D4544" t="inlineStr">
        <is>
          <t>MRO</t>
        </is>
      </c>
      <c r="E4544" t="inlineStr">
        <is>
          <t>MRO-03</t>
        </is>
      </c>
      <c r="F4544" s="17" t="n">
        <v>46249</v>
      </c>
      <c r="G4544" s="17" t="n">
        <v>46257</v>
      </c>
      <c r="H4544" s="18" t="n">
        <v>164</v>
      </c>
      <c r="I4544" s="19" t="n">
        <v>9.140000000000001</v>
      </c>
      <c r="J4544" s="19" t="n">
        <v>8.9</v>
      </c>
      <c r="K4544" s="20" t="n">
        <v>0</v>
      </c>
      <c r="L4544" s="20" t="n">
        <v>0</v>
      </c>
      <c r="M4544" s="18" t="n">
        <v>164</v>
      </c>
      <c r="N4544" s="18" t="n">
        <v>164</v>
      </c>
      <c r="O4544" s="18" t="n">
        <v>0</v>
      </c>
      <c r="P4544" s="17" t="n">
        <v>46254</v>
      </c>
      <c r="Q4544" s="17" t="n">
        <v>46254</v>
      </c>
      <c r="R4544" s="17" t="n">
        <v>46254</v>
      </c>
      <c r="S4544" s="19">
        <f>H4544*I4544</f>
        <v/>
      </c>
      <c r="T4544" s="19">
        <f>H4544*J4544</f>
        <v/>
      </c>
      <c r="U4544">
        <f>IF(AND(K4544=0,G4544&lt;=Assumptions!$C$6),1,0)</f>
        <v/>
      </c>
      <c r="V4544">
        <f>IF(U4544=1,IF(M4544&gt;0,IF(P4544&lt;=G4544+Assumptions!$C$7,1,0),0),0)</f>
        <v/>
      </c>
      <c r="W4544">
        <f>IF(AND(U4544=1,M4544&gt;=H4544*(1-Assumptions!$C$8)),1,0)</f>
        <v/>
      </c>
      <c r="X4544">
        <f>IF(AND(U4544=1,N4544&gt;=H4544*(1-Assumptions!$C$8)),1,0)</f>
        <v/>
      </c>
      <c r="Y4544">
        <f>IF(ISNUMBER(Q4544),1,0)</f>
        <v/>
      </c>
      <c r="Z4544">
        <f>IF(AND(K4544=0,L4544=0,Y4544=0),1,0)</f>
        <v/>
      </c>
      <c r="AA4544">
        <f>IF(AND(Z4544=1,G4544&lt;Assumptions!$C$6),1,0)</f>
        <v/>
      </c>
      <c r="AB4544">
        <f>IF(U4544=0,"",IF(Y4544=1,MAX(0,Q4544-G4544),IF(L4544=1,MAX(0,R4544-G4544),MAX(0,Assumptions!$C$6-G4544))))</f>
        <v/>
      </c>
      <c r="AC4544">
        <f>IF(Y4544=1,Q4544-F4544,"")</f>
        <v/>
      </c>
      <c r="AD4544">
        <f>IF(Y4544=1,AC4544^2,"")</f>
        <v/>
      </c>
      <c r="AE4544" s="19">
        <f>IF(Z4544=1,(H4544-M4544)*I4544,0)</f>
        <v/>
      </c>
      <c r="AF4544">
        <f>IF(G4544&lt;EDATE(Assumptions!$C$6,-12)+1,"prior_12m","last_12m")</f>
        <v/>
      </c>
      <c r="AG4544" s="21">
        <f>DATE(YEAR(G4544),MONTH(G4544),1)</f>
        <v/>
      </c>
    </row>
    <row r="4545">
      <c r="A4545" t="inlineStr">
        <is>
          <t>SPO-02433-2</t>
        </is>
      </c>
      <c r="B4545" t="inlineStr">
        <is>
          <t>SPO-02433</t>
        </is>
      </c>
      <c r="C4545" t="inlineStr">
        <is>
          <t>SUP-06</t>
        </is>
      </c>
      <c r="D4545" t="inlineStr">
        <is>
          <t>MRO</t>
        </is>
      </c>
      <c r="E4545" t="inlineStr">
        <is>
          <t>MRO-06</t>
        </is>
      </c>
      <c r="F4545" s="17" t="n">
        <v>46249</v>
      </c>
      <c r="G4545" s="17" t="n">
        <v>46257</v>
      </c>
      <c r="H4545" s="18" t="n">
        <v>447</v>
      </c>
      <c r="I4545" s="19" t="n">
        <v>5.89</v>
      </c>
      <c r="J4545" s="19" t="n">
        <v>6.1</v>
      </c>
      <c r="K4545" s="20" t="n">
        <v>0</v>
      </c>
      <c r="L4545" s="20" t="n">
        <v>0</v>
      </c>
      <c r="M4545" s="18" t="n">
        <v>447</v>
      </c>
      <c r="N4545" s="18" t="n">
        <v>447</v>
      </c>
      <c r="O4545" s="18" t="n">
        <v>0</v>
      </c>
      <c r="P4545" s="17" t="n">
        <v>46256</v>
      </c>
      <c r="Q4545" s="17" t="n">
        <v>46256</v>
      </c>
      <c r="R4545" s="17" t="n">
        <v>46256</v>
      </c>
      <c r="S4545" s="19">
        <f>H4545*I4545</f>
        <v/>
      </c>
      <c r="T4545" s="19">
        <f>H4545*J4545</f>
        <v/>
      </c>
      <c r="U4545">
        <f>IF(AND(K4545=0,G4545&lt;=Assumptions!$C$6),1,0)</f>
        <v/>
      </c>
      <c r="V4545">
        <f>IF(U4545=1,IF(M4545&gt;0,IF(P4545&lt;=G4545+Assumptions!$C$7,1,0),0),0)</f>
        <v/>
      </c>
      <c r="W4545">
        <f>IF(AND(U4545=1,M4545&gt;=H4545*(1-Assumptions!$C$8)),1,0)</f>
        <v/>
      </c>
      <c r="X4545">
        <f>IF(AND(U4545=1,N4545&gt;=H4545*(1-Assumptions!$C$8)),1,0)</f>
        <v/>
      </c>
      <c r="Y4545">
        <f>IF(ISNUMBER(Q4545),1,0)</f>
        <v/>
      </c>
      <c r="Z4545">
        <f>IF(AND(K4545=0,L4545=0,Y4545=0),1,0)</f>
        <v/>
      </c>
      <c r="AA4545">
        <f>IF(AND(Z4545=1,G4545&lt;Assumptions!$C$6),1,0)</f>
        <v/>
      </c>
      <c r="AB4545">
        <f>IF(U4545=0,"",IF(Y4545=1,MAX(0,Q4545-G4545),IF(L4545=1,MAX(0,R4545-G4545),MAX(0,Assumptions!$C$6-G4545))))</f>
        <v/>
      </c>
      <c r="AC4545">
        <f>IF(Y4545=1,Q4545-F4545,"")</f>
        <v/>
      </c>
      <c r="AD4545">
        <f>IF(Y4545=1,AC4545^2,"")</f>
        <v/>
      </c>
      <c r="AE4545" s="19">
        <f>IF(Z4545=1,(H4545-M4545)*I4545,0)</f>
        <v/>
      </c>
      <c r="AF4545">
        <f>IF(G4545&lt;EDATE(Assumptions!$C$6,-12)+1,"prior_12m","last_12m")</f>
        <v/>
      </c>
      <c r="AG4545" s="21">
        <f>DATE(YEAR(G4545),MONTH(G4545),1)</f>
        <v/>
      </c>
    </row>
    <row r="4546">
      <c r="A4546" t="inlineStr">
        <is>
          <t>SPO-02434-1</t>
        </is>
      </c>
      <c r="B4546" t="inlineStr">
        <is>
          <t>SPO-02434</t>
        </is>
      </c>
      <c r="C4546" t="inlineStr">
        <is>
          <t>SUP-12</t>
        </is>
      </c>
      <c r="D4546" t="inlineStr">
        <is>
          <t>IT</t>
        </is>
      </c>
      <c r="E4546" t="inlineStr">
        <is>
          <t>IT-03</t>
        </is>
      </c>
      <c r="F4546" s="17" t="n">
        <v>46249</v>
      </c>
      <c r="G4546" s="17" t="n">
        <v>46259</v>
      </c>
      <c r="H4546" s="18" t="n">
        <v>59</v>
      </c>
      <c r="I4546" s="19" t="n">
        <v>41.08</v>
      </c>
      <c r="J4546" s="19" t="n">
        <v>38</v>
      </c>
      <c r="K4546" s="20" t="n">
        <v>0</v>
      </c>
      <c r="L4546" s="20" t="n">
        <v>0</v>
      </c>
      <c r="M4546" s="18" t="n">
        <v>59</v>
      </c>
      <c r="N4546" s="18" t="n">
        <v>59</v>
      </c>
      <c r="O4546" s="18" t="n">
        <v>0</v>
      </c>
      <c r="P4546" s="17" t="n">
        <v>46258</v>
      </c>
      <c r="Q4546" s="17" t="n">
        <v>46258</v>
      </c>
      <c r="R4546" s="17" t="n">
        <v>46258</v>
      </c>
      <c r="S4546" s="19">
        <f>H4546*I4546</f>
        <v/>
      </c>
      <c r="T4546" s="19">
        <f>H4546*J4546</f>
        <v/>
      </c>
      <c r="U4546">
        <f>IF(AND(K4546=0,G4546&lt;=Assumptions!$C$6),1,0)</f>
        <v/>
      </c>
      <c r="V4546">
        <f>IF(U4546=1,IF(M4546&gt;0,IF(P4546&lt;=G4546+Assumptions!$C$7,1,0),0),0)</f>
        <v/>
      </c>
      <c r="W4546">
        <f>IF(AND(U4546=1,M4546&gt;=H4546*(1-Assumptions!$C$8)),1,0)</f>
        <v/>
      </c>
      <c r="X4546">
        <f>IF(AND(U4546=1,N4546&gt;=H4546*(1-Assumptions!$C$8)),1,0)</f>
        <v/>
      </c>
      <c r="Y4546">
        <f>IF(ISNUMBER(Q4546),1,0)</f>
        <v/>
      </c>
      <c r="Z4546">
        <f>IF(AND(K4546=0,L4546=0,Y4546=0),1,0)</f>
        <v/>
      </c>
      <c r="AA4546">
        <f>IF(AND(Z4546=1,G4546&lt;Assumptions!$C$6),1,0)</f>
        <v/>
      </c>
      <c r="AB4546">
        <f>IF(U4546=0,"",IF(Y4546=1,MAX(0,Q4546-G4546),IF(L4546=1,MAX(0,R4546-G4546),MAX(0,Assumptions!$C$6-G4546))))</f>
        <v/>
      </c>
      <c r="AC4546">
        <f>IF(Y4546=1,Q4546-F4546,"")</f>
        <v/>
      </c>
      <c r="AD4546">
        <f>IF(Y4546=1,AC4546^2,"")</f>
        <v/>
      </c>
      <c r="AE4546" s="19">
        <f>IF(Z4546=1,(H4546-M4546)*I4546,0)</f>
        <v/>
      </c>
      <c r="AF4546">
        <f>IF(G4546&lt;EDATE(Assumptions!$C$6,-12)+1,"prior_12m","last_12m")</f>
        <v/>
      </c>
      <c r="AG4546" s="21">
        <f>DATE(YEAR(G4546),MONTH(G4546),1)</f>
        <v/>
      </c>
    </row>
    <row r="4547">
      <c r="A4547" t="inlineStr">
        <is>
          <t>SPO-02435-1</t>
        </is>
      </c>
      <c r="B4547" t="inlineStr">
        <is>
          <t>SPO-02435</t>
        </is>
      </c>
      <c r="C4547" t="inlineStr">
        <is>
          <t>SUP-09</t>
        </is>
      </c>
      <c r="D4547" t="inlineStr">
        <is>
          <t>CHEM</t>
        </is>
      </c>
      <c r="E4547" t="inlineStr">
        <is>
          <t>CHEM-03</t>
        </is>
      </c>
      <c r="F4547" s="17" t="n">
        <v>46250</v>
      </c>
      <c r="G4547" s="17" t="n">
        <v>46264</v>
      </c>
      <c r="H4547" s="18" t="n">
        <v>2</v>
      </c>
      <c r="I4547" s="19" t="n">
        <v>255.77</v>
      </c>
      <c r="J4547" s="19" t="n">
        <v>265</v>
      </c>
      <c r="K4547" s="20" t="n">
        <v>0</v>
      </c>
      <c r="L4547" s="20" t="n">
        <v>0</v>
      </c>
      <c r="M4547" s="18" t="n">
        <v>2</v>
      </c>
      <c r="N4547" s="18" t="n">
        <v>2</v>
      </c>
      <c r="O4547" s="18" t="n">
        <v>0</v>
      </c>
      <c r="P4547" s="17" t="n">
        <v>46261</v>
      </c>
      <c r="Q4547" s="17" t="n">
        <v>46261</v>
      </c>
      <c r="R4547" s="17" t="n">
        <v>46261</v>
      </c>
      <c r="S4547" s="19">
        <f>H4547*I4547</f>
        <v/>
      </c>
      <c r="T4547" s="19">
        <f>H4547*J4547</f>
        <v/>
      </c>
      <c r="U4547">
        <f>IF(AND(K4547=0,G4547&lt;=Assumptions!$C$6),1,0)</f>
        <v/>
      </c>
      <c r="V4547">
        <f>IF(U4547=1,IF(M4547&gt;0,IF(P4547&lt;=G4547+Assumptions!$C$7,1,0),0),0)</f>
        <v/>
      </c>
      <c r="W4547">
        <f>IF(AND(U4547=1,M4547&gt;=H4547*(1-Assumptions!$C$8)),1,0)</f>
        <v/>
      </c>
      <c r="X4547">
        <f>IF(AND(U4547=1,N4547&gt;=H4547*(1-Assumptions!$C$8)),1,0)</f>
        <v/>
      </c>
      <c r="Y4547">
        <f>IF(ISNUMBER(Q4547),1,0)</f>
        <v/>
      </c>
      <c r="Z4547">
        <f>IF(AND(K4547=0,L4547=0,Y4547=0),1,0)</f>
        <v/>
      </c>
      <c r="AA4547">
        <f>IF(AND(Z4547=1,G4547&lt;Assumptions!$C$6),1,0)</f>
        <v/>
      </c>
      <c r="AB4547">
        <f>IF(U4547=0,"",IF(Y4547=1,MAX(0,Q4547-G4547),IF(L4547=1,MAX(0,R4547-G4547),MAX(0,Assumptions!$C$6-G4547))))</f>
        <v/>
      </c>
      <c r="AC4547">
        <f>IF(Y4547=1,Q4547-F4547,"")</f>
        <v/>
      </c>
      <c r="AD4547">
        <f>IF(Y4547=1,AC4547^2,"")</f>
        <v/>
      </c>
      <c r="AE4547" s="19">
        <f>IF(Z4547=1,(H4547-M4547)*I4547,0)</f>
        <v/>
      </c>
      <c r="AF4547">
        <f>IF(G4547&lt;EDATE(Assumptions!$C$6,-12)+1,"prior_12m","last_12m")</f>
        <v/>
      </c>
      <c r="AG4547" s="21">
        <f>DATE(YEAR(G4547),MONTH(G4547),1)</f>
        <v/>
      </c>
    </row>
    <row r="4548">
      <c r="A4548" t="inlineStr">
        <is>
          <t>SPO-02436-1</t>
        </is>
      </c>
      <c r="B4548" t="inlineStr">
        <is>
          <t>SPO-02436</t>
        </is>
      </c>
      <c r="C4548" t="inlineStr">
        <is>
          <t>SUP-12</t>
        </is>
      </c>
      <c r="D4548" t="inlineStr">
        <is>
          <t>IT</t>
        </is>
      </c>
      <c r="E4548" t="inlineStr">
        <is>
          <t>IT-05</t>
        </is>
      </c>
      <c r="F4548" s="17" t="n">
        <v>46250</v>
      </c>
      <c r="G4548" s="17" t="n">
        <v>46260</v>
      </c>
      <c r="H4548" s="18" t="n">
        <v>2</v>
      </c>
      <c r="I4548" s="19" t="n">
        <v>694.51</v>
      </c>
      <c r="J4548" s="19" t="n">
        <v>640</v>
      </c>
      <c r="K4548" s="20" t="n">
        <v>0</v>
      </c>
      <c r="L4548" s="20" t="n">
        <v>0</v>
      </c>
      <c r="M4548" s="18" t="n">
        <v>2</v>
      </c>
      <c r="N4548" s="18" t="n">
        <v>2</v>
      </c>
      <c r="O4548" s="18" t="n">
        <v>0</v>
      </c>
      <c r="P4548" s="17" t="n">
        <v>46258</v>
      </c>
      <c r="Q4548" s="17" t="n">
        <v>46258</v>
      </c>
      <c r="R4548" s="17" t="n">
        <v>46258</v>
      </c>
      <c r="S4548" s="19">
        <f>H4548*I4548</f>
        <v/>
      </c>
      <c r="T4548" s="19">
        <f>H4548*J4548</f>
        <v/>
      </c>
      <c r="U4548">
        <f>IF(AND(K4548=0,G4548&lt;=Assumptions!$C$6),1,0)</f>
        <v/>
      </c>
      <c r="V4548">
        <f>IF(U4548=1,IF(M4548&gt;0,IF(P4548&lt;=G4548+Assumptions!$C$7,1,0),0),0)</f>
        <v/>
      </c>
      <c r="W4548">
        <f>IF(AND(U4548=1,M4548&gt;=H4548*(1-Assumptions!$C$8)),1,0)</f>
        <v/>
      </c>
      <c r="X4548">
        <f>IF(AND(U4548=1,N4548&gt;=H4548*(1-Assumptions!$C$8)),1,0)</f>
        <v/>
      </c>
      <c r="Y4548">
        <f>IF(ISNUMBER(Q4548),1,0)</f>
        <v/>
      </c>
      <c r="Z4548">
        <f>IF(AND(K4548=0,L4548=0,Y4548=0),1,0)</f>
        <v/>
      </c>
      <c r="AA4548">
        <f>IF(AND(Z4548=1,G4548&lt;Assumptions!$C$6),1,0)</f>
        <v/>
      </c>
      <c r="AB4548">
        <f>IF(U4548=0,"",IF(Y4548=1,MAX(0,Q4548-G4548),IF(L4548=1,MAX(0,R4548-G4548),MAX(0,Assumptions!$C$6-G4548))))</f>
        <v/>
      </c>
      <c r="AC4548">
        <f>IF(Y4548=1,Q4548-F4548,"")</f>
        <v/>
      </c>
      <c r="AD4548">
        <f>IF(Y4548=1,AC4548^2,"")</f>
        <v/>
      </c>
      <c r="AE4548" s="19">
        <f>IF(Z4548=1,(H4548-M4548)*I4548,0)</f>
        <v/>
      </c>
      <c r="AF4548">
        <f>IF(G4548&lt;EDATE(Assumptions!$C$6,-12)+1,"prior_12m","last_12m")</f>
        <v/>
      </c>
      <c r="AG4548" s="21">
        <f>DATE(YEAR(G4548),MONTH(G4548),1)</f>
        <v/>
      </c>
    </row>
    <row r="4549">
      <c r="A4549" t="inlineStr">
        <is>
          <t>SPO-02437-1</t>
        </is>
      </c>
      <c r="B4549" t="inlineStr">
        <is>
          <t>SPO-02437</t>
        </is>
      </c>
      <c r="C4549" t="inlineStr">
        <is>
          <t>SUP-09</t>
        </is>
      </c>
      <c r="D4549" t="inlineStr">
        <is>
          <t>CHEM</t>
        </is>
      </c>
      <c r="E4549" t="inlineStr">
        <is>
          <t>CHEM-04</t>
        </is>
      </c>
      <c r="F4549" s="17" t="n">
        <v>46250</v>
      </c>
      <c r="G4549" s="17" t="n">
        <v>46264</v>
      </c>
      <c r="H4549" s="18" t="n">
        <v>2</v>
      </c>
      <c r="I4549" s="19" t="n">
        <v>833.62</v>
      </c>
      <c r="J4549" s="19" t="n">
        <v>820</v>
      </c>
      <c r="K4549" s="20" t="n">
        <v>0</v>
      </c>
      <c r="L4549" s="20" t="n">
        <v>0</v>
      </c>
      <c r="M4549" s="18" t="n">
        <v>2</v>
      </c>
      <c r="N4549" s="18" t="n">
        <v>2</v>
      </c>
      <c r="O4549" s="18" t="n">
        <v>0</v>
      </c>
      <c r="P4549" s="17" t="n">
        <v>46263</v>
      </c>
      <c r="Q4549" s="17" t="n">
        <v>46263</v>
      </c>
      <c r="R4549" s="17" t="n">
        <v>46263</v>
      </c>
      <c r="S4549" s="19">
        <f>H4549*I4549</f>
        <v/>
      </c>
      <c r="T4549" s="19">
        <f>H4549*J4549</f>
        <v/>
      </c>
      <c r="U4549">
        <f>IF(AND(K4549=0,G4549&lt;=Assumptions!$C$6),1,0)</f>
        <v/>
      </c>
      <c r="V4549">
        <f>IF(U4549=1,IF(M4549&gt;0,IF(P4549&lt;=G4549+Assumptions!$C$7,1,0),0),0)</f>
        <v/>
      </c>
      <c r="W4549">
        <f>IF(AND(U4549=1,M4549&gt;=H4549*(1-Assumptions!$C$8)),1,0)</f>
        <v/>
      </c>
      <c r="X4549">
        <f>IF(AND(U4549=1,N4549&gt;=H4549*(1-Assumptions!$C$8)),1,0)</f>
        <v/>
      </c>
      <c r="Y4549">
        <f>IF(ISNUMBER(Q4549),1,0)</f>
        <v/>
      </c>
      <c r="Z4549">
        <f>IF(AND(K4549=0,L4549=0,Y4549=0),1,0)</f>
        <v/>
      </c>
      <c r="AA4549">
        <f>IF(AND(Z4549=1,G4549&lt;Assumptions!$C$6),1,0)</f>
        <v/>
      </c>
      <c r="AB4549">
        <f>IF(U4549=0,"",IF(Y4549=1,MAX(0,Q4549-G4549),IF(L4549=1,MAX(0,R4549-G4549),MAX(0,Assumptions!$C$6-G4549))))</f>
        <v/>
      </c>
      <c r="AC4549">
        <f>IF(Y4549=1,Q4549-F4549,"")</f>
        <v/>
      </c>
      <c r="AD4549">
        <f>IF(Y4549=1,AC4549^2,"")</f>
        <v/>
      </c>
      <c r="AE4549" s="19">
        <f>IF(Z4549=1,(H4549-M4549)*I4549,0)</f>
        <v/>
      </c>
      <c r="AF4549">
        <f>IF(G4549&lt;EDATE(Assumptions!$C$6,-12)+1,"prior_12m","last_12m")</f>
        <v/>
      </c>
      <c r="AG4549" s="21">
        <f>DATE(YEAR(G4549),MONTH(G4549),1)</f>
        <v/>
      </c>
    </row>
    <row r="4550">
      <c r="A4550" t="inlineStr">
        <is>
          <t>SPO-02437-2</t>
        </is>
      </c>
      <c r="B4550" t="inlineStr">
        <is>
          <t>SPO-02437</t>
        </is>
      </c>
      <c r="C4550" t="inlineStr">
        <is>
          <t>SUP-09</t>
        </is>
      </c>
      <c r="D4550" t="inlineStr">
        <is>
          <t>CHEM</t>
        </is>
      </c>
      <c r="E4550" t="inlineStr">
        <is>
          <t>CHEM-06</t>
        </is>
      </c>
      <c r="F4550" s="17" t="n">
        <v>46250</v>
      </c>
      <c r="G4550" s="17" t="n">
        <v>46264</v>
      </c>
      <c r="H4550" s="18" t="n">
        <v>4</v>
      </c>
      <c r="I4550" s="19" t="n">
        <v>406.24</v>
      </c>
      <c r="J4550" s="19" t="n">
        <v>380</v>
      </c>
      <c r="K4550" s="20" t="n">
        <v>0</v>
      </c>
      <c r="L4550" s="20" t="n">
        <v>0</v>
      </c>
      <c r="M4550" s="18" t="n">
        <v>4</v>
      </c>
      <c r="N4550" s="18" t="n">
        <v>4</v>
      </c>
      <c r="O4550" s="18" t="n">
        <v>0</v>
      </c>
      <c r="P4550" s="17" t="n">
        <v>46261</v>
      </c>
      <c r="Q4550" s="17" t="n">
        <v>46261</v>
      </c>
      <c r="R4550" s="17" t="n">
        <v>46261</v>
      </c>
      <c r="S4550" s="19">
        <f>H4550*I4550</f>
        <v/>
      </c>
      <c r="T4550" s="19">
        <f>H4550*J4550</f>
        <v/>
      </c>
      <c r="U4550">
        <f>IF(AND(K4550=0,G4550&lt;=Assumptions!$C$6),1,0)</f>
        <v/>
      </c>
      <c r="V4550">
        <f>IF(U4550=1,IF(M4550&gt;0,IF(P4550&lt;=G4550+Assumptions!$C$7,1,0),0),0)</f>
        <v/>
      </c>
      <c r="W4550">
        <f>IF(AND(U4550=1,M4550&gt;=H4550*(1-Assumptions!$C$8)),1,0)</f>
        <v/>
      </c>
      <c r="X4550">
        <f>IF(AND(U4550=1,N4550&gt;=H4550*(1-Assumptions!$C$8)),1,0)</f>
        <v/>
      </c>
      <c r="Y4550">
        <f>IF(ISNUMBER(Q4550),1,0)</f>
        <v/>
      </c>
      <c r="Z4550">
        <f>IF(AND(K4550=0,L4550=0,Y4550=0),1,0)</f>
        <v/>
      </c>
      <c r="AA4550">
        <f>IF(AND(Z4550=1,G4550&lt;Assumptions!$C$6),1,0)</f>
        <v/>
      </c>
      <c r="AB4550">
        <f>IF(U4550=0,"",IF(Y4550=1,MAX(0,Q4550-G4550),IF(L4550=1,MAX(0,R4550-G4550),MAX(0,Assumptions!$C$6-G4550))))</f>
        <v/>
      </c>
      <c r="AC4550">
        <f>IF(Y4550=1,Q4550-F4550,"")</f>
        <v/>
      </c>
      <c r="AD4550">
        <f>IF(Y4550=1,AC4550^2,"")</f>
        <v/>
      </c>
      <c r="AE4550" s="19">
        <f>IF(Z4550=1,(H4550-M4550)*I4550,0)</f>
        <v/>
      </c>
      <c r="AF4550">
        <f>IF(G4550&lt;EDATE(Assumptions!$C$6,-12)+1,"prior_12m","last_12m")</f>
        <v/>
      </c>
      <c r="AG4550" s="21">
        <f>DATE(YEAR(G4550),MONTH(G4550),1)</f>
        <v/>
      </c>
    </row>
    <row r="4551">
      <c r="A4551" t="inlineStr">
        <is>
          <t>SPO-02438-1</t>
        </is>
      </c>
      <c r="B4551" t="inlineStr">
        <is>
          <t>SPO-02438</t>
        </is>
      </c>
      <c r="C4551" t="inlineStr">
        <is>
          <t>SUP-09</t>
        </is>
      </c>
      <c r="D4551" t="inlineStr">
        <is>
          <t>CHEM</t>
        </is>
      </c>
      <c r="E4551" t="inlineStr">
        <is>
          <t>CHEM-06</t>
        </is>
      </c>
      <c r="F4551" s="17" t="n">
        <v>46251</v>
      </c>
      <c r="G4551" s="17" t="n">
        <v>46265</v>
      </c>
      <c r="H4551" s="18" t="n">
        <v>3</v>
      </c>
      <c r="I4551" s="19" t="n">
        <v>401.52</v>
      </c>
      <c r="J4551" s="19" t="n">
        <v>380</v>
      </c>
      <c r="K4551" s="20" t="n">
        <v>0</v>
      </c>
      <c r="L4551" s="20" t="n">
        <v>0</v>
      </c>
      <c r="M4551" s="18" t="n">
        <v>3</v>
      </c>
      <c r="N4551" s="18" t="n">
        <v>3</v>
      </c>
      <c r="O4551" s="18" t="n">
        <v>0</v>
      </c>
      <c r="P4551" s="17" t="n">
        <v>46262</v>
      </c>
      <c r="Q4551" s="17" t="n">
        <v>46262</v>
      </c>
      <c r="R4551" s="17" t="n">
        <v>46262</v>
      </c>
      <c r="S4551" s="19">
        <f>H4551*I4551</f>
        <v/>
      </c>
      <c r="T4551" s="19">
        <f>H4551*J4551</f>
        <v/>
      </c>
      <c r="U4551">
        <f>IF(AND(K4551=0,G4551&lt;=Assumptions!$C$6),1,0)</f>
        <v/>
      </c>
      <c r="V4551">
        <f>IF(U4551=1,IF(M4551&gt;0,IF(P4551&lt;=G4551+Assumptions!$C$7,1,0),0),0)</f>
        <v/>
      </c>
      <c r="W4551">
        <f>IF(AND(U4551=1,M4551&gt;=H4551*(1-Assumptions!$C$8)),1,0)</f>
        <v/>
      </c>
      <c r="X4551">
        <f>IF(AND(U4551=1,N4551&gt;=H4551*(1-Assumptions!$C$8)),1,0)</f>
        <v/>
      </c>
      <c r="Y4551">
        <f>IF(ISNUMBER(Q4551),1,0)</f>
        <v/>
      </c>
      <c r="Z4551">
        <f>IF(AND(K4551=0,L4551=0,Y4551=0),1,0)</f>
        <v/>
      </c>
      <c r="AA4551">
        <f>IF(AND(Z4551=1,G4551&lt;Assumptions!$C$6),1,0)</f>
        <v/>
      </c>
      <c r="AB4551">
        <f>IF(U4551=0,"",IF(Y4551=1,MAX(0,Q4551-G4551),IF(L4551=1,MAX(0,R4551-G4551),MAX(0,Assumptions!$C$6-G4551))))</f>
        <v/>
      </c>
      <c r="AC4551">
        <f>IF(Y4551=1,Q4551-F4551,"")</f>
        <v/>
      </c>
      <c r="AD4551">
        <f>IF(Y4551=1,AC4551^2,"")</f>
        <v/>
      </c>
      <c r="AE4551" s="19">
        <f>IF(Z4551=1,(H4551-M4551)*I4551,0)</f>
        <v/>
      </c>
      <c r="AF4551">
        <f>IF(G4551&lt;EDATE(Assumptions!$C$6,-12)+1,"prior_12m","last_12m")</f>
        <v/>
      </c>
      <c r="AG4551" s="21">
        <f>DATE(YEAR(G4551),MONTH(G4551),1)</f>
        <v/>
      </c>
    </row>
    <row r="4552">
      <c r="A4552" t="inlineStr">
        <is>
          <t>SPO-02438-2</t>
        </is>
      </c>
      <c r="B4552" t="inlineStr">
        <is>
          <t>SPO-02438</t>
        </is>
      </c>
      <c r="C4552" t="inlineStr">
        <is>
          <t>SUP-09</t>
        </is>
      </c>
      <c r="D4552" t="inlineStr">
        <is>
          <t>CHEM</t>
        </is>
      </c>
      <c r="E4552" t="inlineStr">
        <is>
          <t>CHEM-04</t>
        </is>
      </c>
      <c r="F4552" s="17" t="n">
        <v>46251</v>
      </c>
      <c r="G4552" s="17" t="n">
        <v>46265</v>
      </c>
      <c r="H4552" s="18" t="n">
        <v>3</v>
      </c>
      <c r="I4552" s="19" t="n">
        <v>830.47</v>
      </c>
      <c r="J4552" s="19" t="n">
        <v>820</v>
      </c>
      <c r="K4552" s="20" t="n">
        <v>0</v>
      </c>
      <c r="L4552" s="20" t="n">
        <v>0</v>
      </c>
      <c r="M4552" s="18" t="n">
        <v>3</v>
      </c>
      <c r="N4552" s="18" t="n">
        <v>3</v>
      </c>
      <c r="O4552" s="18" t="n">
        <v>0</v>
      </c>
      <c r="P4552" s="17" t="n">
        <v>46263</v>
      </c>
      <c r="Q4552" s="17" t="n">
        <v>46263</v>
      </c>
      <c r="R4552" s="17" t="n">
        <v>46263</v>
      </c>
      <c r="S4552" s="19">
        <f>H4552*I4552</f>
        <v/>
      </c>
      <c r="T4552" s="19">
        <f>H4552*J4552</f>
        <v/>
      </c>
      <c r="U4552">
        <f>IF(AND(K4552=0,G4552&lt;=Assumptions!$C$6),1,0)</f>
        <v/>
      </c>
      <c r="V4552">
        <f>IF(U4552=1,IF(M4552&gt;0,IF(P4552&lt;=G4552+Assumptions!$C$7,1,0),0),0)</f>
        <v/>
      </c>
      <c r="W4552">
        <f>IF(AND(U4552=1,M4552&gt;=H4552*(1-Assumptions!$C$8)),1,0)</f>
        <v/>
      </c>
      <c r="X4552">
        <f>IF(AND(U4552=1,N4552&gt;=H4552*(1-Assumptions!$C$8)),1,0)</f>
        <v/>
      </c>
      <c r="Y4552">
        <f>IF(ISNUMBER(Q4552),1,0)</f>
        <v/>
      </c>
      <c r="Z4552">
        <f>IF(AND(K4552=0,L4552=0,Y4552=0),1,0)</f>
        <v/>
      </c>
      <c r="AA4552">
        <f>IF(AND(Z4552=1,G4552&lt;Assumptions!$C$6),1,0)</f>
        <v/>
      </c>
      <c r="AB4552">
        <f>IF(U4552=0,"",IF(Y4552=1,MAX(0,Q4552-G4552),IF(L4552=1,MAX(0,R4552-G4552),MAX(0,Assumptions!$C$6-G4552))))</f>
        <v/>
      </c>
      <c r="AC4552">
        <f>IF(Y4552=1,Q4552-F4552,"")</f>
        <v/>
      </c>
      <c r="AD4552">
        <f>IF(Y4552=1,AC4552^2,"")</f>
        <v/>
      </c>
      <c r="AE4552" s="19">
        <f>IF(Z4552=1,(H4552-M4552)*I4552,0)</f>
        <v/>
      </c>
      <c r="AF4552">
        <f>IF(G4552&lt;EDATE(Assumptions!$C$6,-12)+1,"prior_12m","last_12m")</f>
        <v/>
      </c>
      <c r="AG4552" s="21">
        <f>DATE(YEAR(G4552),MONTH(G4552),1)</f>
        <v/>
      </c>
    </row>
    <row r="4553">
      <c r="A4553" t="inlineStr">
        <is>
          <t>SPO-02439-1</t>
        </is>
      </c>
      <c r="B4553" t="inlineStr">
        <is>
          <t>SPO-02439</t>
        </is>
      </c>
      <c r="C4553" t="inlineStr">
        <is>
          <t>SUP-02</t>
        </is>
      </c>
      <c r="D4553" t="inlineStr">
        <is>
          <t>ELEC</t>
        </is>
      </c>
      <c r="E4553" t="inlineStr">
        <is>
          <t>ELEC-03</t>
        </is>
      </c>
      <c r="F4553" s="17" t="n">
        <v>46251</v>
      </c>
      <c r="G4553" s="17" t="n">
        <v>46267</v>
      </c>
      <c r="H4553" s="18" t="n">
        <v>9</v>
      </c>
      <c r="I4553" s="19" t="n">
        <v>100.27</v>
      </c>
      <c r="J4553" s="19" t="n">
        <v>96</v>
      </c>
      <c r="K4553" s="20" t="n">
        <v>0</v>
      </c>
      <c r="L4553" s="20" t="n">
        <v>0</v>
      </c>
      <c r="M4553" s="18" t="n">
        <v>9</v>
      </c>
      <c r="N4553" s="18" t="n">
        <v>9</v>
      </c>
      <c r="O4553" s="18" t="n">
        <v>0</v>
      </c>
      <c r="P4553" s="17" t="n">
        <v>46262</v>
      </c>
      <c r="Q4553" s="17" t="n">
        <v>46262</v>
      </c>
      <c r="R4553" s="17" t="n">
        <v>46262</v>
      </c>
      <c r="S4553" s="19">
        <f>H4553*I4553</f>
        <v/>
      </c>
      <c r="T4553" s="19">
        <f>H4553*J4553</f>
        <v/>
      </c>
      <c r="U4553">
        <f>IF(AND(K4553=0,G4553&lt;=Assumptions!$C$6),1,0)</f>
        <v/>
      </c>
      <c r="V4553">
        <f>IF(U4553=1,IF(M4553&gt;0,IF(P4553&lt;=G4553+Assumptions!$C$7,1,0),0),0)</f>
        <v/>
      </c>
      <c r="W4553">
        <f>IF(AND(U4553=1,M4553&gt;=H4553*(1-Assumptions!$C$8)),1,0)</f>
        <v/>
      </c>
      <c r="X4553">
        <f>IF(AND(U4553=1,N4553&gt;=H4553*(1-Assumptions!$C$8)),1,0)</f>
        <v/>
      </c>
      <c r="Y4553">
        <f>IF(ISNUMBER(Q4553),1,0)</f>
        <v/>
      </c>
      <c r="Z4553">
        <f>IF(AND(K4553=0,L4553=0,Y4553=0),1,0)</f>
        <v/>
      </c>
      <c r="AA4553">
        <f>IF(AND(Z4553=1,G4553&lt;Assumptions!$C$6),1,0)</f>
        <v/>
      </c>
      <c r="AB4553">
        <f>IF(U4553=0,"",IF(Y4553=1,MAX(0,Q4553-G4553),IF(L4553=1,MAX(0,R4553-G4553),MAX(0,Assumptions!$C$6-G4553))))</f>
        <v/>
      </c>
      <c r="AC4553">
        <f>IF(Y4553=1,Q4553-F4553,"")</f>
        <v/>
      </c>
      <c r="AD4553">
        <f>IF(Y4553=1,AC4553^2,"")</f>
        <v/>
      </c>
      <c r="AE4553" s="19">
        <f>IF(Z4553=1,(H4553-M4553)*I4553,0)</f>
        <v/>
      </c>
      <c r="AF4553">
        <f>IF(G4553&lt;EDATE(Assumptions!$C$6,-12)+1,"prior_12m","last_12m")</f>
        <v/>
      </c>
      <c r="AG4553" s="21">
        <f>DATE(YEAR(G4553),MONTH(G4553),1)</f>
        <v/>
      </c>
    </row>
    <row r="4554">
      <c r="A4554" t="inlineStr">
        <is>
          <t>SPO-02439-2</t>
        </is>
      </c>
      <c r="B4554" t="inlineStr">
        <is>
          <t>SPO-02439</t>
        </is>
      </c>
      <c r="C4554" t="inlineStr">
        <is>
          <t>SUP-02</t>
        </is>
      </c>
      <c r="D4554" t="inlineStr">
        <is>
          <t>ELEC</t>
        </is>
      </c>
      <c r="E4554" t="inlineStr">
        <is>
          <t>ELEC-07</t>
        </is>
      </c>
      <c r="F4554" s="17" t="n">
        <v>46251</v>
      </c>
      <c r="G4554" s="17" t="n">
        <v>46267</v>
      </c>
      <c r="H4554" s="18" t="n">
        <v>292</v>
      </c>
      <c r="I4554" s="19" t="n">
        <v>9.65</v>
      </c>
      <c r="J4554" s="19" t="n">
        <v>9.800000000000001</v>
      </c>
      <c r="K4554" s="20" t="n">
        <v>0</v>
      </c>
      <c r="L4554" s="20" t="n">
        <v>0</v>
      </c>
      <c r="M4554" s="18" t="n">
        <v>292</v>
      </c>
      <c r="N4554" s="18" t="n">
        <v>292</v>
      </c>
      <c r="O4554" s="18" t="n">
        <v>0</v>
      </c>
      <c r="P4554" s="17" t="n">
        <v>46265</v>
      </c>
      <c r="Q4554" s="17" t="n">
        <v>46265</v>
      </c>
      <c r="R4554" s="17" t="n">
        <v>46265</v>
      </c>
      <c r="S4554" s="19">
        <f>H4554*I4554</f>
        <v/>
      </c>
      <c r="T4554" s="19">
        <f>H4554*J4554</f>
        <v/>
      </c>
      <c r="U4554">
        <f>IF(AND(K4554=0,G4554&lt;=Assumptions!$C$6),1,0)</f>
        <v/>
      </c>
      <c r="V4554">
        <f>IF(U4554=1,IF(M4554&gt;0,IF(P4554&lt;=G4554+Assumptions!$C$7,1,0),0),0)</f>
        <v/>
      </c>
      <c r="W4554">
        <f>IF(AND(U4554=1,M4554&gt;=H4554*(1-Assumptions!$C$8)),1,0)</f>
        <v/>
      </c>
      <c r="X4554">
        <f>IF(AND(U4554=1,N4554&gt;=H4554*(1-Assumptions!$C$8)),1,0)</f>
        <v/>
      </c>
      <c r="Y4554">
        <f>IF(ISNUMBER(Q4554),1,0)</f>
        <v/>
      </c>
      <c r="Z4554">
        <f>IF(AND(K4554=0,L4554=0,Y4554=0),1,0)</f>
        <v/>
      </c>
      <c r="AA4554">
        <f>IF(AND(Z4554=1,G4554&lt;Assumptions!$C$6),1,0)</f>
        <v/>
      </c>
      <c r="AB4554">
        <f>IF(U4554=0,"",IF(Y4554=1,MAX(0,Q4554-G4554),IF(L4554=1,MAX(0,R4554-G4554),MAX(0,Assumptions!$C$6-G4554))))</f>
        <v/>
      </c>
      <c r="AC4554">
        <f>IF(Y4554=1,Q4554-F4554,"")</f>
        <v/>
      </c>
      <c r="AD4554">
        <f>IF(Y4554=1,AC4554^2,"")</f>
        <v/>
      </c>
      <c r="AE4554" s="19">
        <f>IF(Z4554=1,(H4554-M4554)*I4554,0)</f>
        <v/>
      </c>
      <c r="AF4554">
        <f>IF(G4554&lt;EDATE(Assumptions!$C$6,-12)+1,"prior_12m","last_12m")</f>
        <v/>
      </c>
      <c r="AG4554" s="21">
        <f>DATE(YEAR(G4554),MONTH(G4554),1)</f>
        <v/>
      </c>
    </row>
    <row r="4555">
      <c r="A4555" t="inlineStr">
        <is>
          <t>SPO-02439-3</t>
        </is>
      </c>
      <c r="B4555" t="inlineStr">
        <is>
          <t>SPO-02439</t>
        </is>
      </c>
      <c r="C4555" t="inlineStr">
        <is>
          <t>SUP-02</t>
        </is>
      </c>
      <c r="D4555" t="inlineStr">
        <is>
          <t>ELEC</t>
        </is>
      </c>
      <c r="E4555" t="inlineStr">
        <is>
          <t>ELEC-04</t>
        </is>
      </c>
      <c r="F4555" s="17" t="n">
        <v>46251</v>
      </c>
      <c r="G4555" s="17" t="n">
        <v>46267</v>
      </c>
      <c r="H4555" s="18" t="n">
        <v>16</v>
      </c>
      <c r="I4555" s="19" t="n">
        <v>70.48999999999999</v>
      </c>
      <c r="J4555" s="19" t="n">
        <v>72</v>
      </c>
      <c r="K4555" s="20" t="n">
        <v>0</v>
      </c>
      <c r="L4555" s="20" t="n">
        <v>0</v>
      </c>
      <c r="M4555" s="18" t="n">
        <v>16</v>
      </c>
      <c r="N4555" s="18" t="n">
        <v>16</v>
      </c>
      <c r="O4555" s="18" t="n">
        <v>0</v>
      </c>
      <c r="P4555" s="17" t="n">
        <v>46264</v>
      </c>
      <c r="Q4555" s="17" t="n">
        <v>46264</v>
      </c>
      <c r="R4555" s="17" t="n">
        <v>46264</v>
      </c>
      <c r="S4555" s="19">
        <f>H4555*I4555</f>
        <v/>
      </c>
      <c r="T4555" s="19">
        <f>H4555*J4555</f>
        <v/>
      </c>
      <c r="U4555">
        <f>IF(AND(K4555=0,G4555&lt;=Assumptions!$C$6),1,0)</f>
        <v/>
      </c>
      <c r="V4555">
        <f>IF(U4555=1,IF(M4555&gt;0,IF(P4555&lt;=G4555+Assumptions!$C$7,1,0),0),0)</f>
        <v/>
      </c>
      <c r="W4555">
        <f>IF(AND(U4555=1,M4555&gt;=H4555*(1-Assumptions!$C$8)),1,0)</f>
        <v/>
      </c>
      <c r="X4555">
        <f>IF(AND(U4555=1,N4555&gt;=H4555*(1-Assumptions!$C$8)),1,0)</f>
        <v/>
      </c>
      <c r="Y4555">
        <f>IF(ISNUMBER(Q4555),1,0)</f>
        <v/>
      </c>
      <c r="Z4555">
        <f>IF(AND(K4555=0,L4555=0,Y4555=0),1,0)</f>
        <v/>
      </c>
      <c r="AA4555">
        <f>IF(AND(Z4555=1,G4555&lt;Assumptions!$C$6),1,0)</f>
        <v/>
      </c>
      <c r="AB4555">
        <f>IF(U4555=0,"",IF(Y4555=1,MAX(0,Q4555-G4555),IF(L4555=1,MAX(0,R4555-G4555),MAX(0,Assumptions!$C$6-G4555))))</f>
        <v/>
      </c>
      <c r="AC4555">
        <f>IF(Y4555=1,Q4555-F4555,"")</f>
        <v/>
      </c>
      <c r="AD4555">
        <f>IF(Y4555=1,AC4555^2,"")</f>
        <v/>
      </c>
      <c r="AE4555" s="19">
        <f>IF(Z4555=1,(H4555-M4555)*I4555,0)</f>
        <v/>
      </c>
      <c r="AF4555">
        <f>IF(G4555&lt;EDATE(Assumptions!$C$6,-12)+1,"prior_12m","last_12m")</f>
        <v/>
      </c>
      <c r="AG4555" s="21">
        <f>DATE(YEAR(G4555),MONTH(G4555),1)</f>
        <v/>
      </c>
    </row>
    <row r="4556">
      <c r="A4556" t="inlineStr">
        <is>
          <t>SPO-02440-1</t>
        </is>
      </c>
      <c r="B4556" t="inlineStr">
        <is>
          <t>SPO-02440</t>
        </is>
      </c>
      <c r="C4556" t="inlineStr">
        <is>
          <t>SUP-14</t>
        </is>
      </c>
      <c r="D4556" t="inlineStr">
        <is>
          <t>FLEET</t>
        </is>
      </c>
      <c r="E4556" t="inlineStr">
        <is>
          <t>FLEET-01</t>
        </is>
      </c>
      <c r="F4556" s="17" t="n">
        <v>46251</v>
      </c>
      <c r="G4556" s="17" t="n">
        <v>46265</v>
      </c>
      <c r="H4556" s="18" t="n">
        <v>19</v>
      </c>
      <c r="I4556" s="19" t="n">
        <v>61.87</v>
      </c>
      <c r="J4556" s="19" t="n">
        <v>64</v>
      </c>
      <c r="K4556" s="20" t="n">
        <v>0</v>
      </c>
      <c r="L4556" s="20" t="n">
        <v>0</v>
      </c>
      <c r="M4556" s="18" t="n">
        <v>19</v>
      </c>
      <c r="N4556" s="18" t="n">
        <v>0</v>
      </c>
      <c r="O4556" s="18" t="n">
        <v>0</v>
      </c>
      <c r="P4556" s="17" t="n">
        <v>46268</v>
      </c>
      <c r="Q4556" s="17" t="n">
        <v>46268</v>
      </c>
      <c r="R4556" s="17" t="n">
        <v>46268</v>
      </c>
      <c r="S4556" s="19">
        <f>H4556*I4556</f>
        <v/>
      </c>
      <c r="T4556" s="19">
        <f>H4556*J4556</f>
        <v/>
      </c>
      <c r="U4556">
        <f>IF(AND(K4556=0,G4556&lt;=Assumptions!$C$6),1,0)</f>
        <v/>
      </c>
      <c r="V4556">
        <f>IF(U4556=1,IF(M4556&gt;0,IF(P4556&lt;=G4556+Assumptions!$C$7,1,0),0),0)</f>
        <v/>
      </c>
      <c r="W4556">
        <f>IF(AND(U4556=1,M4556&gt;=H4556*(1-Assumptions!$C$8)),1,0)</f>
        <v/>
      </c>
      <c r="X4556">
        <f>IF(AND(U4556=1,N4556&gt;=H4556*(1-Assumptions!$C$8)),1,0)</f>
        <v/>
      </c>
      <c r="Y4556">
        <f>IF(ISNUMBER(Q4556),1,0)</f>
        <v/>
      </c>
      <c r="Z4556">
        <f>IF(AND(K4556=0,L4556=0,Y4556=0),1,0)</f>
        <v/>
      </c>
      <c r="AA4556">
        <f>IF(AND(Z4556=1,G4556&lt;Assumptions!$C$6),1,0)</f>
        <v/>
      </c>
      <c r="AB4556">
        <f>IF(U4556=0,"",IF(Y4556=1,MAX(0,Q4556-G4556),IF(L4556=1,MAX(0,R4556-G4556),MAX(0,Assumptions!$C$6-G4556))))</f>
        <v/>
      </c>
      <c r="AC4556">
        <f>IF(Y4556=1,Q4556-F4556,"")</f>
        <v/>
      </c>
      <c r="AD4556">
        <f>IF(Y4556=1,AC4556^2,"")</f>
        <v/>
      </c>
      <c r="AE4556" s="19">
        <f>IF(Z4556=1,(H4556-M4556)*I4556,0)</f>
        <v/>
      </c>
      <c r="AF4556">
        <f>IF(G4556&lt;EDATE(Assumptions!$C$6,-12)+1,"prior_12m","last_12m")</f>
        <v/>
      </c>
      <c r="AG4556" s="21">
        <f>DATE(YEAR(G4556),MONTH(G4556),1)</f>
        <v/>
      </c>
    </row>
    <row r="4557">
      <c r="A4557" t="inlineStr">
        <is>
          <t>SPO-02440-2</t>
        </is>
      </c>
      <c r="B4557" t="inlineStr">
        <is>
          <t>SPO-02440</t>
        </is>
      </c>
      <c r="C4557" t="inlineStr">
        <is>
          <t>SUP-14</t>
        </is>
      </c>
      <c r="D4557" t="inlineStr">
        <is>
          <t>FLEET</t>
        </is>
      </c>
      <c r="E4557" t="inlineStr">
        <is>
          <t>FLEET-02</t>
        </is>
      </c>
      <c r="F4557" s="17" t="n">
        <v>46251</v>
      </c>
      <c r="G4557" s="17" t="n">
        <v>46265</v>
      </c>
      <c r="H4557" s="18" t="n">
        <v>135</v>
      </c>
      <c r="I4557" s="19" t="n">
        <v>7.39</v>
      </c>
      <c r="J4557" s="19" t="n">
        <v>7.5</v>
      </c>
      <c r="K4557" s="20" t="n">
        <v>0</v>
      </c>
      <c r="L4557" s="20" t="n">
        <v>0</v>
      </c>
      <c r="M4557" s="18" t="n">
        <v>135</v>
      </c>
      <c r="N4557" s="18" t="n">
        <v>135</v>
      </c>
      <c r="O4557" s="18" t="n">
        <v>0</v>
      </c>
      <c r="P4557" s="17" t="n">
        <v>46259</v>
      </c>
      <c r="Q4557" s="17" t="n">
        <v>46259</v>
      </c>
      <c r="R4557" s="17" t="n">
        <v>46259</v>
      </c>
      <c r="S4557" s="19">
        <f>H4557*I4557</f>
        <v/>
      </c>
      <c r="T4557" s="19">
        <f>H4557*J4557</f>
        <v/>
      </c>
      <c r="U4557">
        <f>IF(AND(K4557=0,G4557&lt;=Assumptions!$C$6),1,0)</f>
        <v/>
      </c>
      <c r="V4557">
        <f>IF(U4557=1,IF(M4557&gt;0,IF(P4557&lt;=G4557+Assumptions!$C$7,1,0),0),0)</f>
        <v/>
      </c>
      <c r="W4557">
        <f>IF(AND(U4557=1,M4557&gt;=H4557*(1-Assumptions!$C$8)),1,0)</f>
        <v/>
      </c>
      <c r="X4557">
        <f>IF(AND(U4557=1,N4557&gt;=H4557*(1-Assumptions!$C$8)),1,0)</f>
        <v/>
      </c>
      <c r="Y4557">
        <f>IF(ISNUMBER(Q4557),1,0)</f>
        <v/>
      </c>
      <c r="Z4557">
        <f>IF(AND(K4557=0,L4557=0,Y4557=0),1,0)</f>
        <v/>
      </c>
      <c r="AA4557">
        <f>IF(AND(Z4557=1,G4557&lt;Assumptions!$C$6),1,0)</f>
        <v/>
      </c>
      <c r="AB4557">
        <f>IF(U4557=0,"",IF(Y4557=1,MAX(0,Q4557-G4557),IF(L4557=1,MAX(0,R4557-G4557),MAX(0,Assumptions!$C$6-G4557))))</f>
        <v/>
      </c>
      <c r="AC4557">
        <f>IF(Y4557=1,Q4557-F4557,"")</f>
        <v/>
      </c>
      <c r="AD4557">
        <f>IF(Y4557=1,AC4557^2,"")</f>
        <v/>
      </c>
      <c r="AE4557" s="19">
        <f>IF(Z4557=1,(H4557-M4557)*I4557,0)</f>
        <v/>
      </c>
      <c r="AF4557">
        <f>IF(G4557&lt;EDATE(Assumptions!$C$6,-12)+1,"prior_12m","last_12m")</f>
        <v/>
      </c>
      <c r="AG4557" s="21">
        <f>DATE(YEAR(G4557),MONTH(G4557),1)</f>
        <v/>
      </c>
    </row>
    <row r="4558">
      <c r="A4558" t="inlineStr">
        <is>
          <t>SPO-02441-1</t>
        </is>
      </c>
      <c r="B4558" t="inlineStr">
        <is>
          <t>SPO-02441</t>
        </is>
      </c>
      <c r="C4558" t="inlineStr">
        <is>
          <t>SUP-08</t>
        </is>
      </c>
      <c r="D4558" t="inlineStr">
        <is>
          <t>MRO</t>
        </is>
      </c>
      <c r="E4558" t="inlineStr">
        <is>
          <t>MRO-01</t>
        </is>
      </c>
      <c r="F4558" s="17" t="n">
        <v>46251</v>
      </c>
      <c r="G4558" s="17" t="n">
        <v>46262</v>
      </c>
      <c r="H4558" s="18" t="n">
        <v>55</v>
      </c>
      <c r="I4558" s="19" t="n">
        <v>49.87</v>
      </c>
      <c r="J4558" s="19" t="n">
        <v>52</v>
      </c>
      <c r="K4558" s="20" t="n">
        <v>0</v>
      </c>
      <c r="L4558" s="20" t="n">
        <v>0</v>
      </c>
      <c r="M4558" s="18" t="n">
        <v>55</v>
      </c>
      <c r="N4558" s="18" t="n">
        <v>55</v>
      </c>
      <c r="O4558" s="18" t="n">
        <v>0</v>
      </c>
      <c r="P4558" s="17" t="n">
        <v>46261</v>
      </c>
      <c r="Q4558" s="17" t="n">
        <v>46261</v>
      </c>
      <c r="R4558" s="17" t="n">
        <v>46261</v>
      </c>
      <c r="S4558" s="19">
        <f>H4558*I4558</f>
        <v/>
      </c>
      <c r="T4558" s="19">
        <f>H4558*J4558</f>
        <v/>
      </c>
      <c r="U4558">
        <f>IF(AND(K4558=0,G4558&lt;=Assumptions!$C$6),1,0)</f>
        <v/>
      </c>
      <c r="V4558">
        <f>IF(U4558=1,IF(M4558&gt;0,IF(P4558&lt;=G4558+Assumptions!$C$7,1,0),0),0)</f>
        <v/>
      </c>
      <c r="W4558">
        <f>IF(AND(U4558=1,M4558&gt;=H4558*(1-Assumptions!$C$8)),1,0)</f>
        <v/>
      </c>
      <c r="X4558">
        <f>IF(AND(U4558=1,N4558&gt;=H4558*(1-Assumptions!$C$8)),1,0)</f>
        <v/>
      </c>
      <c r="Y4558">
        <f>IF(ISNUMBER(Q4558),1,0)</f>
        <v/>
      </c>
      <c r="Z4558">
        <f>IF(AND(K4558=0,L4558=0,Y4558=0),1,0)</f>
        <v/>
      </c>
      <c r="AA4558">
        <f>IF(AND(Z4558=1,G4558&lt;Assumptions!$C$6),1,0)</f>
        <v/>
      </c>
      <c r="AB4558">
        <f>IF(U4558=0,"",IF(Y4558=1,MAX(0,Q4558-G4558),IF(L4558=1,MAX(0,R4558-G4558),MAX(0,Assumptions!$C$6-G4558))))</f>
        <v/>
      </c>
      <c r="AC4558">
        <f>IF(Y4558=1,Q4558-F4558,"")</f>
        <v/>
      </c>
      <c r="AD4558">
        <f>IF(Y4558=1,AC4558^2,"")</f>
        <v/>
      </c>
      <c r="AE4558" s="19">
        <f>IF(Z4558=1,(H4558-M4558)*I4558,0)</f>
        <v/>
      </c>
      <c r="AF4558">
        <f>IF(G4558&lt;EDATE(Assumptions!$C$6,-12)+1,"prior_12m","last_12m")</f>
        <v/>
      </c>
      <c r="AG4558" s="21">
        <f>DATE(YEAR(G4558),MONTH(G4558),1)</f>
        <v/>
      </c>
    </row>
    <row r="4559">
      <c r="A4559" t="inlineStr">
        <is>
          <t>SPO-02442-1</t>
        </is>
      </c>
      <c r="B4559" t="inlineStr">
        <is>
          <t>SPO-02442</t>
        </is>
      </c>
      <c r="C4559" t="inlineStr">
        <is>
          <t>SUP-08</t>
        </is>
      </c>
      <c r="D4559" t="inlineStr">
        <is>
          <t>PPE</t>
        </is>
      </c>
      <c r="E4559" t="inlineStr">
        <is>
          <t>PPE-06</t>
        </is>
      </c>
      <c r="F4559" s="17" t="n">
        <v>46251</v>
      </c>
      <c r="G4559" s="17" t="n">
        <v>46262</v>
      </c>
      <c r="H4559" s="18" t="n">
        <v>12</v>
      </c>
      <c r="I4559" s="19" t="n">
        <v>107.71</v>
      </c>
      <c r="J4559" s="19" t="n">
        <v>115</v>
      </c>
      <c r="K4559" s="20" t="n">
        <v>0</v>
      </c>
      <c r="L4559" s="20" t="n">
        <v>0</v>
      </c>
      <c r="M4559" s="18" t="n">
        <v>12</v>
      </c>
      <c r="N4559" s="18" t="n">
        <v>12</v>
      </c>
      <c r="O4559" s="18" t="n">
        <v>0</v>
      </c>
      <c r="P4559" s="17" t="n">
        <v>46258</v>
      </c>
      <c r="Q4559" s="17" t="n">
        <v>46258</v>
      </c>
      <c r="R4559" s="17" t="n">
        <v>46258</v>
      </c>
      <c r="S4559" s="19">
        <f>H4559*I4559</f>
        <v/>
      </c>
      <c r="T4559" s="19">
        <f>H4559*J4559</f>
        <v/>
      </c>
      <c r="U4559">
        <f>IF(AND(K4559=0,G4559&lt;=Assumptions!$C$6),1,0)</f>
        <v/>
      </c>
      <c r="V4559">
        <f>IF(U4559=1,IF(M4559&gt;0,IF(P4559&lt;=G4559+Assumptions!$C$7,1,0),0),0)</f>
        <v/>
      </c>
      <c r="W4559">
        <f>IF(AND(U4559=1,M4559&gt;=H4559*(1-Assumptions!$C$8)),1,0)</f>
        <v/>
      </c>
      <c r="X4559">
        <f>IF(AND(U4559=1,N4559&gt;=H4559*(1-Assumptions!$C$8)),1,0)</f>
        <v/>
      </c>
      <c r="Y4559">
        <f>IF(ISNUMBER(Q4559),1,0)</f>
        <v/>
      </c>
      <c r="Z4559">
        <f>IF(AND(K4559=0,L4559=0,Y4559=0),1,0)</f>
        <v/>
      </c>
      <c r="AA4559">
        <f>IF(AND(Z4559=1,G4559&lt;Assumptions!$C$6),1,0)</f>
        <v/>
      </c>
      <c r="AB4559">
        <f>IF(U4559=0,"",IF(Y4559=1,MAX(0,Q4559-G4559),IF(L4559=1,MAX(0,R4559-G4559),MAX(0,Assumptions!$C$6-G4559))))</f>
        <v/>
      </c>
      <c r="AC4559">
        <f>IF(Y4559=1,Q4559-F4559,"")</f>
        <v/>
      </c>
      <c r="AD4559">
        <f>IF(Y4559=1,AC4559^2,"")</f>
        <v/>
      </c>
      <c r="AE4559" s="19">
        <f>IF(Z4559=1,(H4559-M4559)*I4559,0)</f>
        <v/>
      </c>
      <c r="AF4559">
        <f>IF(G4559&lt;EDATE(Assumptions!$C$6,-12)+1,"prior_12m","last_12m")</f>
        <v/>
      </c>
      <c r="AG4559" s="21">
        <f>DATE(YEAR(G4559),MONTH(G4559),1)</f>
        <v/>
      </c>
    </row>
    <row r="4560">
      <c r="A4560" t="inlineStr">
        <is>
          <t>SPO-02443-1</t>
        </is>
      </c>
      <c r="B4560" t="inlineStr">
        <is>
          <t>SPO-02443</t>
        </is>
      </c>
      <c r="C4560" t="inlineStr">
        <is>
          <t>SUP-12</t>
        </is>
      </c>
      <c r="D4560" t="inlineStr">
        <is>
          <t>IT</t>
        </is>
      </c>
      <c r="E4560" t="inlineStr">
        <is>
          <t>IT-08</t>
        </is>
      </c>
      <c r="F4560" s="17" t="n">
        <v>46252</v>
      </c>
      <c r="G4560" s="17" t="n">
        <v>46262</v>
      </c>
      <c r="H4560" s="18" t="n">
        <v>7</v>
      </c>
      <c r="I4560" s="19" t="n">
        <v>276.62</v>
      </c>
      <c r="J4560" s="19" t="n">
        <v>245</v>
      </c>
      <c r="K4560" s="20" t="n">
        <v>0</v>
      </c>
      <c r="L4560" s="20" t="n">
        <v>0</v>
      </c>
      <c r="M4560" s="18" t="n">
        <v>7</v>
      </c>
      <c r="N4560" s="18" t="n">
        <v>7</v>
      </c>
      <c r="O4560" s="18" t="n">
        <v>0</v>
      </c>
      <c r="P4560" s="17" t="n">
        <v>46259</v>
      </c>
      <c r="Q4560" s="17" t="n">
        <v>46259</v>
      </c>
      <c r="R4560" s="17" t="n">
        <v>46259</v>
      </c>
      <c r="S4560" s="19">
        <f>H4560*I4560</f>
        <v/>
      </c>
      <c r="T4560" s="19">
        <f>H4560*J4560</f>
        <v/>
      </c>
      <c r="U4560">
        <f>IF(AND(K4560=0,G4560&lt;=Assumptions!$C$6),1,0)</f>
        <v/>
      </c>
      <c r="V4560">
        <f>IF(U4560=1,IF(M4560&gt;0,IF(P4560&lt;=G4560+Assumptions!$C$7,1,0),0),0)</f>
        <v/>
      </c>
      <c r="W4560">
        <f>IF(AND(U4560=1,M4560&gt;=H4560*(1-Assumptions!$C$8)),1,0)</f>
        <v/>
      </c>
      <c r="X4560">
        <f>IF(AND(U4560=1,N4560&gt;=H4560*(1-Assumptions!$C$8)),1,0)</f>
        <v/>
      </c>
      <c r="Y4560">
        <f>IF(ISNUMBER(Q4560),1,0)</f>
        <v/>
      </c>
      <c r="Z4560">
        <f>IF(AND(K4560=0,L4560=0,Y4560=0),1,0)</f>
        <v/>
      </c>
      <c r="AA4560">
        <f>IF(AND(Z4560=1,G4560&lt;Assumptions!$C$6),1,0)</f>
        <v/>
      </c>
      <c r="AB4560">
        <f>IF(U4560=0,"",IF(Y4560=1,MAX(0,Q4560-G4560),IF(L4560=1,MAX(0,R4560-G4560),MAX(0,Assumptions!$C$6-G4560))))</f>
        <v/>
      </c>
      <c r="AC4560">
        <f>IF(Y4560=1,Q4560-F4560,"")</f>
        <v/>
      </c>
      <c r="AD4560">
        <f>IF(Y4560=1,AC4560^2,"")</f>
        <v/>
      </c>
      <c r="AE4560" s="19">
        <f>IF(Z4560=1,(H4560-M4560)*I4560,0)</f>
        <v/>
      </c>
      <c r="AF4560">
        <f>IF(G4560&lt;EDATE(Assumptions!$C$6,-12)+1,"prior_12m","last_12m")</f>
        <v/>
      </c>
      <c r="AG4560" s="21">
        <f>DATE(YEAR(G4560),MONTH(G4560),1)</f>
        <v/>
      </c>
    </row>
    <row r="4561">
      <c r="A4561" t="inlineStr">
        <is>
          <t>SPO-02443-2</t>
        </is>
      </c>
      <c r="B4561" t="inlineStr">
        <is>
          <t>SPO-02443</t>
        </is>
      </c>
      <c r="C4561" t="inlineStr">
        <is>
          <t>SUP-12</t>
        </is>
      </c>
      <c r="D4561" t="inlineStr">
        <is>
          <t>IT</t>
        </is>
      </c>
      <c r="E4561" t="inlineStr">
        <is>
          <t>IT-07</t>
        </is>
      </c>
      <c r="F4561" s="17" t="n">
        <v>46252</v>
      </c>
      <c r="G4561" s="17" t="n">
        <v>46262</v>
      </c>
      <c r="H4561" s="18" t="n">
        <v>8</v>
      </c>
      <c r="I4561" s="19" t="n">
        <v>86.7</v>
      </c>
      <c r="J4561" s="19" t="n">
        <v>74</v>
      </c>
      <c r="K4561" s="20" t="n">
        <v>0</v>
      </c>
      <c r="L4561" s="20" t="n">
        <v>0</v>
      </c>
      <c r="M4561" s="18" t="n">
        <v>8</v>
      </c>
      <c r="N4561" s="18" t="n">
        <v>8</v>
      </c>
      <c r="O4561" s="18" t="n">
        <v>0</v>
      </c>
      <c r="P4561" s="17" t="n">
        <v>46256</v>
      </c>
      <c r="Q4561" s="17" t="n">
        <v>46256</v>
      </c>
      <c r="R4561" s="17" t="n">
        <v>46256</v>
      </c>
      <c r="S4561" s="19">
        <f>H4561*I4561</f>
        <v/>
      </c>
      <c r="T4561" s="19">
        <f>H4561*J4561</f>
        <v/>
      </c>
      <c r="U4561">
        <f>IF(AND(K4561=0,G4561&lt;=Assumptions!$C$6),1,0)</f>
        <v/>
      </c>
      <c r="V4561">
        <f>IF(U4561=1,IF(M4561&gt;0,IF(P4561&lt;=G4561+Assumptions!$C$7,1,0),0),0)</f>
        <v/>
      </c>
      <c r="W4561">
        <f>IF(AND(U4561=1,M4561&gt;=H4561*(1-Assumptions!$C$8)),1,0)</f>
        <v/>
      </c>
      <c r="X4561">
        <f>IF(AND(U4561=1,N4561&gt;=H4561*(1-Assumptions!$C$8)),1,0)</f>
        <v/>
      </c>
      <c r="Y4561">
        <f>IF(ISNUMBER(Q4561),1,0)</f>
        <v/>
      </c>
      <c r="Z4561">
        <f>IF(AND(K4561=0,L4561=0,Y4561=0),1,0)</f>
        <v/>
      </c>
      <c r="AA4561">
        <f>IF(AND(Z4561=1,G4561&lt;Assumptions!$C$6),1,0)</f>
        <v/>
      </c>
      <c r="AB4561">
        <f>IF(U4561=0,"",IF(Y4561=1,MAX(0,Q4561-G4561),IF(L4561=1,MAX(0,R4561-G4561),MAX(0,Assumptions!$C$6-G4561))))</f>
        <v/>
      </c>
      <c r="AC4561">
        <f>IF(Y4561=1,Q4561-F4561,"")</f>
        <v/>
      </c>
      <c r="AD4561">
        <f>IF(Y4561=1,AC4561^2,"")</f>
        <v/>
      </c>
      <c r="AE4561" s="19">
        <f>IF(Z4561=1,(H4561-M4561)*I4561,0)</f>
        <v/>
      </c>
      <c r="AF4561">
        <f>IF(G4561&lt;EDATE(Assumptions!$C$6,-12)+1,"prior_12m","last_12m")</f>
        <v/>
      </c>
      <c r="AG4561" s="21">
        <f>DATE(YEAR(G4561),MONTH(G4561),1)</f>
        <v/>
      </c>
    </row>
    <row r="4562">
      <c r="A4562" t="inlineStr">
        <is>
          <t>SPO-02443-3</t>
        </is>
      </c>
      <c r="B4562" t="inlineStr">
        <is>
          <t>SPO-02443</t>
        </is>
      </c>
      <c r="C4562" t="inlineStr">
        <is>
          <t>SUP-12</t>
        </is>
      </c>
      <c r="D4562" t="inlineStr">
        <is>
          <t>IT</t>
        </is>
      </c>
      <c r="E4562" t="inlineStr">
        <is>
          <t>IT-04</t>
        </is>
      </c>
      <c r="F4562" s="17" t="n">
        <v>46252</v>
      </c>
      <c r="G4562" s="17" t="n">
        <v>46262</v>
      </c>
      <c r="H4562" s="18" t="n">
        <v>111</v>
      </c>
      <c r="I4562" s="19" t="n">
        <v>13.7</v>
      </c>
      <c r="J4562" s="19" t="n">
        <v>12</v>
      </c>
      <c r="K4562" s="20" t="n">
        <v>0</v>
      </c>
      <c r="L4562" s="20" t="n">
        <v>0</v>
      </c>
      <c r="M4562" s="18" t="n">
        <v>111</v>
      </c>
      <c r="N4562" s="18" t="n">
        <v>111</v>
      </c>
      <c r="O4562" s="18" t="n">
        <v>0</v>
      </c>
      <c r="P4562" s="17" t="n">
        <v>46258</v>
      </c>
      <c r="Q4562" s="17" t="n">
        <v>46258</v>
      </c>
      <c r="R4562" s="17" t="n">
        <v>46258</v>
      </c>
      <c r="S4562" s="19">
        <f>H4562*I4562</f>
        <v/>
      </c>
      <c r="T4562" s="19">
        <f>H4562*J4562</f>
        <v/>
      </c>
      <c r="U4562">
        <f>IF(AND(K4562=0,G4562&lt;=Assumptions!$C$6),1,0)</f>
        <v/>
      </c>
      <c r="V4562">
        <f>IF(U4562=1,IF(M4562&gt;0,IF(P4562&lt;=G4562+Assumptions!$C$7,1,0),0),0)</f>
        <v/>
      </c>
      <c r="W4562">
        <f>IF(AND(U4562=1,M4562&gt;=H4562*(1-Assumptions!$C$8)),1,0)</f>
        <v/>
      </c>
      <c r="X4562">
        <f>IF(AND(U4562=1,N4562&gt;=H4562*(1-Assumptions!$C$8)),1,0)</f>
        <v/>
      </c>
      <c r="Y4562">
        <f>IF(ISNUMBER(Q4562),1,0)</f>
        <v/>
      </c>
      <c r="Z4562">
        <f>IF(AND(K4562=0,L4562=0,Y4562=0),1,0)</f>
        <v/>
      </c>
      <c r="AA4562">
        <f>IF(AND(Z4562=1,G4562&lt;Assumptions!$C$6),1,0)</f>
        <v/>
      </c>
      <c r="AB4562">
        <f>IF(U4562=0,"",IF(Y4562=1,MAX(0,Q4562-G4562),IF(L4562=1,MAX(0,R4562-G4562),MAX(0,Assumptions!$C$6-G4562))))</f>
        <v/>
      </c>
      <c r="AC4562">
        <f>IF(Y4562=1,Q4562-F4562,"")</f>
        <v/>
      </c>
      <c r="AD4562">
        <f>IF(Y4562=1,AC4562^2,"")</f>
        <v/>
      </c>
      <c r="AE4562" s="19">
        <f>IF(Z4562=1,(H4562-M4562)*I4562,0)</f>
        <v/>
      </c>
      <c r="AF4562">
        <f>IF(G4562&lt;EDATE(Assumptions!$C$6,-12)+1,"prior_12m","last_12m")</f>
        <v/>
      </c>
      <c r="AG4562" s="21">
        <f>DATE(YEAR(G4562),MONTH(G4562),1)</f>
        <v/>
      </c>
    </row>
    <row r="4563">
      <c r="A4563" t="inlineStr">
        <is>
          <t>SPO-02444-1</t>
        </is>
      </c>
      <c r="B4563" t="inlineStr">
        <is>
          <t>SPO-02444</t>
        </is>
      </c>
      <c r="C4563" t="inlineStr">
        <is>
          <t>SUP-12</t>
        </is>
      </c>
      <c r="D4563" t="inlineStr">
        <is>
          <t>IT</t>
        </is>
      </c>
      <c r="E4563" t="inlineStr">
        <is>
          <t>IT-02</t>
        </is>
      </c>
      <c r="F4563" s="17" t="n">
        <v>46252</v>
      </c>
      <c r="G4563" s="17" t="n">
        <v>46262</v>
      </c>
      <c r="H4563" s="18" t="n">
        <v>7</v>
      </c>
      <c r="I4563" s="19" t="n">
        <v>185.68</v>
      </c>
      <c r="J4563" s="19" t="n">
        <v>162</v>
      </c>
      <c r="K4563" s="20" t="n">
        <v>0</v>
      </c>
      <c r="L4563" s="20" t="n">
        <v>0</v>
      </c>
      <c r="M4563" s="18" t="n">
        <v>7</v>
      </c>
      <c r="N4563" s="18" t="n">
        <v>7</v>
      </c>
      <c r="O4563" s="18" t="n">
        <v>0</v>
      </c>
      <c r="P4563" s="17" t="n">
        <v>46259</v>
      </c>
      <c r="Q4563" s="17" t="n">
        <v>46259</v>
      </c>
      <c r="R4563" s="17" t="n">
        <v>46259</v>
      </c>
      <c r="S4563" s="19">
        <f>H4563*I4563</f>
        <v/>
      </c>
      <c r="T4563" s="19">
        <f>H4563*J4563</f>
        <v/>
      </c>
      <c r="U4563">
        <f>IF(AND(K4563=0,G4563&lt;=Assumptions!$C$6),1,0)</f>
        <v/>
      </c>
      <c r="V4563">
        <f>IF(U4563=1,IF(M4563&gt;0,IF(P4563&lt;=G4563+Assumptions!$C$7,1,0),0),0)</f>
        <v/>
      </c>
      <c r="W4563">
        <f>IF(AND(U4563=1,M4563&gt;=H4563*(1-Assumptions!$C$8)),1,0)</f>
        <v/>
      </c>
      <c r="X4563">
        <f>IF(AND(U4563=1,N4563&gt;=H4563*(1-Assumptions!$C$8)),1,0)</f>
        <v/>
      </c>
      <c r="Y4563">
        <f>IF(ISNUMBER(Q4563),1,0)</f>
        <v/>
      </c>
      <c r="Z4563">
        <f>IF(AND(K4563=0,L4563=0,Y4563=0),1,0)</f>
        <v/>
      </c>
      <c r="AA4563">
        <f>IF(AND(Z4563=1,G4563&lt;Assumptions!$C$6),1,0)</f>
        <v/>
      </c>
      <c r="AB4563">
        <f>IF(U4563=0,"",IF(Y4563=1,MAX(0,Q4563-G4563),IF(L4563=1,MAX(0,R4563-G4563),MAX(0,Assumptions!$C$6-G4563))))</f>
        <v/>
      </c>
      <c r="AC4563">
        <f>IF(Y4563=1,Q4563-F4563,"")</f>
        <v/>
      </c>
      <c r="AD4563">
        <f>IF(Y4563=1,AC4563^2,"")</f>
        <v/>
      </c>
      <c r="AE4563" s="19">
        <f>IF(Z4563=1,(H4563-M4563)*I4563,0)</f>
        <v/>
      </c>
      <c r="AF4563">
        <f>IF(G4563&lt;EDATE(Assumptions!$C$6,-12)+1,"prior_12m","last_12m")</f>
        <v/>
      </c>
      <c r="AG4563" s="21">
        <f>DATE(YEAR(G4563),MONTH(G4563),1)</f>
        <v/>
      </c>
    </row>
    <row r="4564">
      <c r="A4564" t="inlineStr">
        <is>
          <t>SPO-02444-2</t>
        </is>
      </c>
      <c r="B4564" t="inlineStr">
        <is>
          <t>SPO-02444</t>
        </is>
      </c>
      <c r="C4564" t="inlineStr">
        <is>
          <t>SUP-12</t>
        </is>
      </c>
      <c r="D4564" t="inlineStr">
        <is>
          <t>IT</t>
        </is>
      </c>
      <c r="E4564" t="inlineStr">
        <is>
          <t>IT-03</t>
        </is>
      </c>
      <c r="F4564" s="17" t="n">
        <v>46252</v>
      </c>
      <c r="G4564" s="17" t="n">
        <v>46262</v>
      </c>
      <c r="H4564" s="18" t="n">
        <v>59</v>
      </c>
      <c r="I4564" s="19" t="n">
        <v>42.16</v>
      </c>
      <c r="J4564" s="19" t="n">
        <v>38</v>
      </c>
      <c r="K4564" s="20" t="n">
        <v>0</v>
      </c>
      <c r="L4564" s="20" t="n">
        <v>0</v>
      </c>
      <c r="M4564" s="18" t="n">
        <v>59</v>
      </c>
      <c r="N4564" s="18" t="n">
        <v>59</v>
      </c>
      <c r="O4564" s="18" t="n">
        <v>0</v>
      </c>
      <c r="P4564" s="17" t="n">
        <v>46261</v>
      </c>
      <c r="Q4564" s="17" t="n">
        <v>46261</v>
      </c>
      <c r="R4564" s="17" t="n">
        <v>46261</v>
      </c>
      <c r="S4564" s="19">
        <f>H4564*I4564</f>
        <v/>
      </c>
      <c r="T4564" s="19">
        <f>H4564*J4564</f>
        <v/>
      </c>
      <c r="U4564">
        <f>IF(AND(K4564=0,G4564&lt;=Assumptions!$C$6),1,0)</f>
        <v/>
      </c>
      <c r="V4564">
        <f>IF(U4564=1,IF(M4564&gt;0,IF(P4564&lt;=G4564+Assumptions!$C$7,1,0),0),0)</f>
        <v/>
      </c>
      <c r="W4564">
        <f>IF(AND(U4564=1,M4564&gt;=H4564*(1-Assumptions!$C$8)),1,0)</f>
        <v/>
      </c>
      <c r="X4564">
        <f>IF(AND(U4564=1,N4564&gt;=H4564*(1-Assumptions!$C$8)),1,0)</f>
        <v/>
      </c>
      <c r="Y4564">
        <f>IF(ISNUMBER(Q4564),1,0)</f>
        <v/>
      </c>
      <c r="Z4564">
        <f>IF(AND(K4564=0,L4564=0,Y4564=0),1,0)</f>
        <v/>
      </c>
      <c r="AA4564">
        <f>IF(AND(Z4564=1,G4564&lt;Assumptions!$C$6),1,0)</f>
        <v/>
      </c>
      <c r="AB4564">
        <f>IF(U4564=0,"",IF(Y4564=1,MAX(0,Q4564-G4564),IF(L4564=1,MAX(0,R4564-G4564),MAX(0,Assumptions!$C$6-G4564))))</f>
        <v/>
      </c>
      <c r="AC4564">
        <f>IF(Y4564=1,Q4564-F4564,"")</f>
        <v/>
      </c>
      <c r="AD4564">
        <f>IF(Y4564=1,AC4564^2,"")</f>
        <v/>
      </c>
      <c r="AE4564" s="19">
        <f>IF(Z4564=1,(H4564-M4564)*I4564,0)</f>
        <v/>
      </c>
      <c r="AF4564">
        <f>IF(G4564&lt;EDATE(Assumptions!$C$6,-12)+1,"prior_12m","last_12m")</f>
        <v/>
      </c>
      <c r="AG4564" s="21">
        <f>DATE(YEAR(G4564),MONTH(G4564),1)</f>
        <v/>
      </c>
    </row>
    <row r="4565">
      <c r="A4565" t="inlineStr">
        <is>
          <t>SPO-02444-3</t>
        </is>
      </c>
      <c r="B4565" t="inlineStr">
        <is>
          <t>SPO-02444</t>
        </is>
      </c>
      <c r="C4565" t="inlineStr">
        <is>
          <t>SUP-12</t>
        </is>
      </c>
      <c r="D4565" t="inlineStr">
        <is>
          <t>IT</t>
        </is>
      </c>
      <c r="E4565" t="inlineStr">
        <is>
          <t>IT-05</t>
        </is>
      </c>
      <c r="F4565" s="17" t="n">
        <v>46252</v>
      </c>
      <c r="G4565" s="17" t="n">
        <v>46262</v>
      </c>
      <c r="H4565" s="18" t="n">
        <v>1</v>
      </c>
      <c r="I4565" s="19" t="n">
        <v>703.9299999999999</v>
      </c>
      <c r="J4565" s="19" t="n">
        <v>640</v>
      </c>
      <c r="K4565" s="20" t="n">
        <v>0</v>
      </c>
      <c r="L4565" s="20" t="n">
        <v>0</v>
      </c>
      <c r="M4565" s="18" t="n">
        <v>1</v>
      </c>
      <c r="N4565" s="18" t="n">
        <v>1</v>
      </c>
      <c r="O4565" s="18" t="n">
        <v>0</v>
      </c>
      <c r="P4565" s="17" t="n">
        <v>46262</v>
      </c>
      <c r="Q4565" s="17" t="n">
        <v>46262</v>
      </c>
      <c r="R4565" s="17" t="n">
        <v>46262</v>
      </c>
      <c r="S4565" s="19">
        <f>H4565*I4565</f>
        <v/>
      </c>
      <c r="T4565" s="19">
        <f>H4565*J4565</f>
        <v/>
      </c>
      <c r="U4565">
        <f>IF(AND(K4565=0,G4565&lt;=Assumptions!$C$6),1,0)</f>
        <v/>
      </c>
      <c r="V4565">
        <f>IF(U4565=1,IF(M4565&gt;0,IF(P4565&lt;=G4565+Assumptions!$C$7,1,0),0),0)</f>
        <v/>
      </c>
      <c r="W4565">
        <f>IF(AND(U4565=1,M4565&gt;=H4565*(1-Assumptions!$C$8)),1,0)</f>
        <v/>
      </c>
      <c r="X4565">
        <f>IF(AND(U4565=1,N4565&gt;=H4565*(1-Assumptions!$C$8)),1,0)</f>
        <v/>
      </c>
      <c r="Y4565">
        <f>IF(ISNUMBER(Q4565),1,0)</f>
        <v/>
      </c>
      <c r="Z4565">
        <f>IF(AND(K4565=0,L4565=0,Y4565=0),1,0)</f>
        <v/>
      </c>
      <c r="AA4565">
        <f>IF(AND(Z4565=1,G4565&lt;Assumptions!$C$6),1,0)</f>
        <v/>
      </c>
      <c r="AB4565">
        <f>IF(U4565=0,"",IF(Y4565=1,MAX(0,Q4565-G4565),IF(L4565=1,MAX(0,R4565-G4565),MAX(0,Assumptions!$C$6-G4565))))</f>
        <v/>
      </c>
      <c r="AC4565">
        <f>IF(Y4565=1,Q4565-F4565,"")</f>
        <v/>
      </c>
      <c r="AD4565">
        <f>IF(Y4565=1,AC4565^2,"")</f>
        <v/>
      </c>
      <c r="AE4565" s="19">
        <f>IF(Z4565=1,(H4565-M4565)*I4565,0)</f>
        <v/>
      </c>
      <c r="AF4565">
        <f>IF(G4565&lt;EDATE(Assumptions!$C$6,-12)+1,"prior_12m","last_12m")</f>
        <v/>
      </c>
      <c r="AG4565" s="21">
        <f>DATE(YEAR(G4565),MONTH(G4565),1)</f>
        <v/>
      </c>
    </row>
    <row r="4566">
      <c r="A4566" t="inlineStr">
        <is>
          <t>SPO-02445-1</t>
        </is>
      </c>
      <c r="B4566" t="inlineStr">
        <is>
          <t>SPO-02445</t>
        </is>
      </c>
      <c r="C4566" t="inlineStr">
        <is>
          <t>SUP-01</t>
        </is>
      </c>
      <c r="D4566" t="inlineStr">
        <is>
          <t>ELEC</t>
        </is>
      </c>
      <c r="E4566" t="inlineStr">
        <is>
          <t>ELEC-08</t>
        </is>
      </c>
      <c r="F4566" s="17" t="n">
        <v>46252</v>
      </c>
      <c r="G4566" s="17" t="n">
        <v>46270</v>
      </c>
      <c r="H4566" s="18" t="n">
        <v>240</v>
      </c>
      <c r="I4566" s="19" t="n">
        <v>17.99</v>
      </c>
      <c r="J4566" s="19" t="n">
        <v>18</v>
      </c>
      <c r="K4566" s="20" t="n">
        <v>0</v>
      </c>
      <c r="L4566" s="20" t="n">
        <v>0</v>
      </c>
      <c r="M4566" s="18" t="n">
        <v>240</v>
      </c>
      <c r="N4566" s="18" t="n">
        <v>240</v>
      </c>
      <c r="O4566" s="18" t="n">
        <v>0</v>
      </c>
      <c r="P4566" s="17" t="n">
        <v>46255</v>
      </c>
      <c r="Q4566" s="17" t="n">
        <v>46255</v>
      </c>
      <c r="R4566" s="17" t="n">
        <v>46255</v>
      </c>
      <c r="S4566" s="19">
        <f>H4566*I4566</f>
        <v/>
      </c>
      <c r="T4566" s="19">
        <f>H4566*J4566</f>
        <v/>
      </c>
      <c r="U4566">
        <f>IF(AND(K4566=0,G4566&lt;=Assumptions!$C$6),1,0)</f>
        <v/>
      </c>
      <c r="V4566">
        <f>IF(U4566=1,IF(M4566&gt;0,IF(P4566&lt;=G4566+Assumptions!$C$7,1,0),0),0)</f>
        <v/>
      </c>
      <c r="W4566">
        <f>IF(AND(U4566=1,M4566&gt;=H4566*(1-Assumptions!$C$8)),1,0)</f>
        <v/>
      </c>
      <c r="X4566">
        <f>IF(AND(U4566=1,N4566&gt;=H4566*(1-Assumptions!$C$8)),1,0)</f>
        <v/>
      </c>
      <c r="Y4566">
        <f>IF(ISNUMBER(Q4566),1,0)</f>
        <v/>
      </c>
      <c r="Z4566">
        <f>IF(AND(K4566=0,L4566=0,Y4566=0),1,0)</f>
        <v/>
      </c>
      <c r="AA4566">
        <f>IF(AND(Z4566=1,G4566&lt;Assumptions!$C$6),1,0)</f>
        <v/>
      </c>
      <c r="AB4566">
        <f>IF(U4566=0,"",IF(Y4566=1,MAX(0,Q4566-G4566),IF(L4566=1,MAX(0,R4566-G4566),MAX(0,Assumptions!$C$6-G4566))))</f>
        <v/>
      </c>
      <c r="AC4566">
        <f>IF(Y4566=1,Q4566-F4566,"")</f>
        <v/>
      </c>
      <c r="AD4566">
        <f>IF(Y4566=1,AC4566^2,"")</f>
        <v/>
      </c>
      <c r="AE4566" s="19">
        <f>IF(Z4566=1,(H4566-M4566)*I4566,0)</f>
        <v/>
      </c>
      <c r="AF4566">
        <f>IF(G4566&lt;EDATE(Assumptions!$C$6,-12)+1,"prior_12m","last_12m")</f>
        <v/>
      </c>
      <c r="AG4566" s="21">
        <f>DATE(YEAR(G4566),MONTH(G4566),1)</f>
        <v/>
      </c>
    </row>
    <row r="4567">
      <c r="A4567" t="inlineStr">
        <is>
          <t>SPO-02445-2</t>
        </is>
      </c>
      <c r="B4567" t="inlineStr">
        <is>
          <t>SPO-02445</t>
        </is>
      </c>
      <c r="C4567" t="inlineStr">
        <is>
          <t>SUP-01</t>
        </is>
      </c>
      <c r="D4567" t="inlineStr">
        <is>
          <t>ELEC</t>
        </is>
      </c>
      <c r="E4567" t="inlineStr">
        <is>
          <t>ELEC-05</t>
        </is>
      </c>
      <c r="F4567" s="17" t="n">
        <v>46252</v>
      </c>
      <c r="G4567" s="17" t="n">
        <v>46270</v>
      </c>
      <c r="H4567" s="18" t="n">
        <v>123</v>
      </c>
      <c r="I4567" s="19" t="n">
        <v>11.83</v>
      </c>
      <c r="J4567" s="19" t="n">
        <v>11.5</v>
      </c>
      <c r="K4567" s="20" t="n">
        <v>0</v>
      </c>
      <c r="L4567" s="20" t="n">
        <v>0</v>
      </c>
      <c r="M4567" s="18" t="n">
        <v>123</v>
      </c>
      <c r="N4567" s="18" t="n">
        <v>123</v>
      </c>
      <c r="O4567" s="18" t="n">
        <v>0</v>
      </c>
      <c r="P4567" s="17" t="n">
        <v>46259</v>
      </c>
      <c r="Q4567" s="17" t="n">
        <v>46259</v>
      </c>
      <c r="R4567" s="17" t="n">
        <v>46259</v>
      </c>
      <c r="S4567" s="19">
        <f>H4567*I4567</f>
        <v/>
      </c>
      <c r="T4567" s="19">
        <f>H4567*J4567</f>
        <v/>
      </c>
      <c r="U4567">
        <f>IF(AND(K4567=0,G4567&lt;=Assumptions!$C$6),1,0)</f>
        <v/>
      </c>
      <c r="V4567">
        <f>IF(U4567=1,IF(M4567&gt;0,IF(P4567&lt;=G4567+Assumptions!$C$7,1,0),0),0)</f>
        <v/>
      </c>
      <c r="W4567">
        <f>IF(AND(U4567=1,M4567&gt;=H4567*(1-Assumptions!$C$8)),1,0)</f>
        <v/>
      </c>
      <c r="X4567">
        <f>IF(AND(U4567=1,N4567&gt;=H4567*(1-Assumptions!$C$8)),1,0)</f>
        <v/>
      </c>
      <c r="Y4567">
        <f>IF(ISNUMBER(Q4567),1,0)</f>
        <v/>
      </c>
      <c r="Z4567">
        <f>IF(AND(K4567=0,L4567=0,Y4567=0),1,0)</f>
        <v/>
      </c>
      <c r="AA4567">
        <f>IF(AND(Z4567=1,G4567&lt;Assumptions!$C$6),1,0)</f>
        <v/>
      </c>
      <c r="AB4567">
        <f>IF(U4567=0,"",IF(Y4567=1,MAX(0,Q4567-G4567),IF(L4567=1,MAX(0,R4567-G4567),MAX(0,Assumptions!$C$6-G4567))))</f>
        <v/>
      </c>
      <c r="AC4567">
        <f>IF(Y4567=1,Q4567-F4567,"")</f>
        <v/>
      </c>
      <c r="AD4567">
        <f>IF(Y4567=1,AC4567^2,"")</f>
        <v/>
      </c>
      <c r="AE4567" s="19">
        <f>IF(Z4567=1,(H4567-M4567)*I4567,0)</f>
        <v/>
      </c>
      <c r="AF4567">
        <f>IF(G4567&lt;EDATE(Assumptions!$C$6,-12)+1,"prior_12m","last_12m")</f>
        <v/>
      </c>
      <c r="AG4567" s="21">
        <f>DATE(YEAR(G4567),MONTH(G4567),1)</f>
        <v/>
      </c>
    </row>
    <row r="4568">
      <c r="A4568" t="inlineStr">
        <is>
          <t>SPO-02446-1</t>
        </is>
      </c>
      <c r="B4568" t="inlineStr">
        <is>
          <t>SPO-02446</t>
        </is>
      </c>
      <c r="C4568" t="inlineStr">
        <is>
          <t>SUP-01</t>
        </is>
      </c>
      <c r="D4568" t="inlineStr">
        <is>
          <t>ELEC</t>
        </is>
      </c>
      <c r="E4568" t="inlineStr">
        <is>
          <t>ELEC-02</t>
        </is>
      </c>
      <c r="F4568" s="17" t="n">
        <v>46252</v>
      </c>
      <c r="G4568" s="17" t="n">
        <v>46270</v>
      </c>
      <c r="H4568" s="18" t="n">
        <v>767</v>
      </c>
      <c r="I4568" s="19" t="n">
        <v>4.27</v>
      </c>
      <c r="J4568" s="19" t="n">
        <v>4.2</v>
      </c>
      <c r="K4568" s="20" t="n">
        <v>0</v>
      </c>
      <c r="L4568" s="20" t="n">
        <v>0</v>
      </c>
      <c r="M4568" s="18" t="n">
        <v>767</v>
      </c>
      <c r="N4568" s="18" t="n">
        <v>767</v>
      </c>
      <c r="O4568" s="18" t="n">
        <v>0</v>
      </c>
      <c r="P4568" s="17" t="n">
        <v>46263</v>
      </c>
      <c r="Q4568" s="17" t="n">
        <v>46263</v>
      </c>
      <c r="R4568" s="17" t="n">
        <v>46263</v>
      </c>
      <c r="S4568" s="19">
        <f>H4568*I4568</f>
        <v/>
      </c>
      <c r="T4568" s="19">
        <f>H4568*J4568</f>
        <v/>
      </c>
      <c r="U4568">
        <f>IF(AND(K4568=0,G4568&lt;=Assumptions!$C$6),1,0)</f>
        <v/>
      </c>
      <c r="V4568">
        <f>IF(U4568=1,IF(M4568&gt;0,IF(P4568&lt;=G4568+Assumptions!$C$7,1,0),0),0)</f>
        <v/>
      </c>
      <c r="W4568">
        <f>IF(AND(U4568=1,M4568&gt;=H4568*(1-Assumptions!$C$8)),1,0)</f>
        <v/>
      </c>
      <c r="X4568">
        <f>IF(AND(U4568=1,N4568&gt;=H4568*(1-Assumptions!$C$8)),1,0)</f>
        <v/>
      </c>
      <c r="Y4568">
        <f>IF(ISNUMBER(Q4568),1,0)</f>
        <v/>
      </c>
      <c r="Z4568">
        <f>IF(AND(K4568=0,L4568=0,Y4568=0),1,0)</f>
        <v/>
      </c>
      <c r="AA4568">
        <f>IF(AND(Z4568=1,G4568&lt;Assumptions!$C$6),1,0)</f>
        <v/>
      </c>
      <c r="AB4568">
        <f>IF(U4568=0,"",IF(Y4568=1,MAX(0,Q4568-G4568),IF(L4568=1,MAX(0,R4568-G4568),MAX(0,Assumptions!$C$6-G4568))))</f>
        <v/>
      </c>
      <c r="AC4568">
        <f>IF(Y4568=1,Q4568-F4568,"")</f>
        <v/>
      </c>
      <c r="AD4568">
        <f>IF(Y4568=1,AC4568^2,"")</f>
        <v/>
      </c>
      <c r="AE4568" s="19">
        <f>IF(Z4568=1,(H4568-M4568)*I4568,0)</f>
        <v/>
      </c>
      <c r="AF4568">
        <f>IF(G4568&lt;EDATE(Assumptions!$C$6,-12)+1,"prior_12m","last_12m")</f>
        <v/>
      </c>
      <c r="AG4568" s="21">
        <f>DATE(YEAR(G4568),MONTH(G4568),1)</f>
        <v/>
      </c>
    </row>
    <row r="4569">
      <c r="A4569" t="inlineStr">
        <is>
          <t>SPO-02446-2</t>
        </is>
      </c>
      <c r="B4569" t="inlineStr">
        <is>
          <t>SPO-02446</t>
        </is>
      </c>
      <c r="C4569" t="inlineStr">
        <is>
          <t>SUP-01</t>
        </is>
      </c>
      <c r="D4569" t="inlineStr">
        <is>
          <t>ELEC</t>
        </is>
      </c>
      <c r="E4569" t="inlineStr">
        <is>
          <t>ELEC-05</t>
        </is>
      </c>
      <c r="F4569" s="17" t="n">
        <v>46252</v>
      </c>
      <c r="G4569" s="17" t="n">
        <v>46270</v>
      </c>
      <c r="H4569" s="18" t="n">
        <v>267</v>
      </c>
      <c r="I4569" s="19" t="n">
        <v>12.04</v>
      </c>
      <c r="J4569" s="19" t="n">
        <v>11.5</v>
      </c>
      <c r="K4569" s="20" t="n">
        <v>0</v>
      </c>
      <c r="L4569" s="20" t="n">
        <v>0</v>
      </c>
      <c r="M4569" s="18" t="n">
        <v>267</v>
      </c>
      <c r="N4569" s="18" t="n">
        <v>267</v>
      </c>
      <c r="O4569" s="18" t="n">
        <v>0</v>
      </c>
      <c r="P4569" s="17" t="n">
        <v>46270</v>
      </c>
      <c r="Q4569" s="17" t="n">
        <v>46270</v>
      </c>
      <c r="R4569" s="17" t="n">
        <v>46270</v>
      </c>
      <c r="S4569" s="19">
        <f>H4569*I4569</f>
        <v/>
      </c>
      <c r="T4569" s="19">
        <f>H4569*J4569</f>
        <v/>
      </c>
      <c r="U4569">
        <f>IF(AND(K4569=0,G4569&lt;=Assumptions!$C$6),1,0)</f>
        <v/>
      </c>
      <c r="V4569">
        <f>IF(U4569=1,IF(M4569&gt;0,IF(P4569&lt;=G4569+Assumptions!$C$7,1,0),0),0)</f>
        <v/>
      </c>
      <c r="W4569">
        <f>IF(AND(U4569=1,M4569&gt;=H4569*(1-Assumptions!$C$8)),1,0)</f>
        <v/>
      </c>
      <c r="X4569">
        <f>IF(AND(U4569=1,N4569&gt;=H4569*(1-Assumptions!$C$8)),1,0)</f>
        <v/>
      </c>
      <c r="Y4569">
        <f>IF(ISNUMBER(Q4569),1,0)</f>
        <v/>
      </c>
      <c r="Z4569">
        <f>IF(AND(K4569=0,L4569=0,Y4569=0),1,0)</f>
        <v/>
      </c>
      <c r="AA4569">
        <f>IF(AND(Z4569=1,G4569&lt;Assumptions!$C$6),1,0)</f>
        <v/>
      </c>
      <c r="AB4569">
        <f>IF(U4569=0,"",IF(Y4569=1,MAX(0,Q4569-G4569),IF(L4569=1,MAX(0,R4569-G4569),MAX(0,Assumptions!$C$6-G4569))))</f>
        <v/>
      </c>
      <c r="AC4569">
        <f>IF(Y4569=1,Q4569-F4569,"")</f>
        <v/>
      </c>
      <c r="AD4569">
        <f>IF(Y4569=1,AC4569^2,"")</f>
        <v/>
      </c>
      <c r="AE4569" s="19">
        <f>IF(Z4569=1,(H4569-M4569)*I4569,0)</f>
        <v/>
      </c>
      <c r="AF4569">
        <f>IF(G4569&lt;EDATE(Assumptions!$C$6,-12)+1,"prior_12m","last_12m")</f>
        <v/>
      </c>
      <c r="AG4569" s="21">
        <f>DATE(YEAR(G4569),MONTH(G4569),1)</f>
        <v/>
      </c>
    </row>
    <row r="4570">
      <c r="A4570" t="inlineStr">
        <is>
          <t>SPO-02446-3</t>
        </is>
      </c>
      <c r="B4570" t="inlineStr">
        <is>
          <t>SPO-02446</t>
        </is>
      </c>
      <c r="C4570" t="inlineStr">
        <is>
          <t>SUP-01</t>
        </is>
      </c>
      <c r="D4570" t="inlineStr">
        <is>
          <t>ELEC</t>
        </is>
      </c>
      <c r="E4570" t="inlineStr">
        <is>
          <t>ELEC-07</t>
        </is>
      </c>
      <c r="F4570" s="17" t="n">
        <v>46252</v>
      </c>
      <c r="G4570" s="17" t="n">
        <v>46270</v>
      </c>
      <c r="H4570" s="18" t="n">
        <v>524</v>
      </c>
      <c r="I4570" s="19" t="n">
        <v>9.85</v>
      </c>
      <c r="J4570" s="19" t="n">
        <v>9.800000000000001</v>
      </c>
      <c r="K4570" s="20" t="n">
        <v>0</v>
      </c>
      <c r="L4570" s="20" t="n">
        <v>0</v>
      </c>
      <c r="M4570" s="18" t="n">
        <v>524</v>
      </c>
      <c r="N4570" s="18" t="n">
        <v>524</v>
      </c>
      <c r="O4570" s="18" t="n">
        <v>0</v>
      </c>
      <c r="P4570" s="17" t="n">
        <v>46265</v>
      </c>
      <c r="Q4570" s="17" t="n">
        <v>46265</v>
      </c>
      <c r="R4570" s="17" t="n">
        <v>46265</v>
      </c>
      <c r="S4570" s="19">
        <f>H4570*I4570</f>
        <v/>
      </c>
      <c r="T4570" s="19">
        <f>H4570*J4570</f>
        <v/>
      </c>
      <c r="U4570">
        <f>IF(AND(K4570=0,G4570&lt;=Assumptions!$C$6),1,0)</f>
        <v/>
      </c>
      <c r="V4570">
        <f>IF(U4570=1,IF(M4570&gt;0,IF(P4570&lt;=G4570+Assumptions!$C$7,1,0),0),0)</f>
        <v/>
      </c>
      <c r="W4570">
        <f>IF(AND(U4570=1,M4570&gt;=H4570*(1-Assumptions!$C$8)),1,0)</f>
        <v/>
      </c>
      <c r="X4570">
        <f>IF(AND(U4570=1,N4570&gt;=H4570*(1-Assumptions!$C$8)),1,0)</f>
        <v/>
      </c>
      <c r="Y4570">
        <f>IF(ISNUMBER(Q4570),1,0)</f>
        <v/>
      </c>
      <c r="Z4570">
        <f>IF(AND(K4570=0,L4570=0,Y4570=0),1,0)</f>
        <v/>
      </c>
      <c r="AA4570">
        <f>IF(AND(Z4570=1,G4570&lt;Assumptions!$C$6),1,0)</f>
        <v/>
      </c>
      <c r="AB4570">
        <f>IF(U4570=0,"",IF(Y4570=1,MAX(0,Q4570-G4570),IF(L4570=1,MAX(0,R4570-G4570),MAX(0,Assumptions!$C$6-G4570))))</f>
        <v/>
      </c>
      <c r="AC4570">
        <f>IF(Y4570=1,Q4570-F4570,"")</f>
        <v/>
      </c>
      <c r="AD4570">
        <f>IF(Y4570=1,AC4570^2,"")</f>
        <v/>
      </c>
      <c r="AE4570" s="19">
        <f>IF(Z4570=1,(H4570-M4570)*I4570,0)</f>
        <v/>
      </c>
      <c r="AF4570">
        <f>IF(G4570&lt;EDATE(Assumptions!$C$6,-12)+1,"prior_12m","last_12m")</f>
        <v/>
      </c>
      <c r="AG4570" s="21">
        <f>DATE(YEAR(G4570),MONTH(G4570),1)</f>
        <v/>
      </c>
    </row>
    <row r="4571">
      <c r="A4571" t="inlineStr">
        <is>
          <t>SPO-02446-4</t>
        </is>
      </c>
      <c r="B4571" t="inlineStr">
        <is>
          <t>SPO-02446</t>
        </is>
      </c>
      <c r="C4571" t="inlineStr">
        <is>
          <t>SUP-01</t>
        </is>
      </c>
      <c r="D4571" t="inlineStr">
        <is>
          <t>ELEC</t>
        </is>
      </c>
      <c r="E4571" t="inlineStr">
        <is>
          <t>ELEC-08</t>
        </is>
      </c>
      <c r="F4571" s="17" t="n">
        <v>46252</v>
      </c>
      <c r="G4571" s="17" t="n">
        <v>46270</v>
      </c>
      <c r="H4571" s="18" t="n">
        <v>357</v>
      </c>
      <c r="I4571" s="19" t="n">
        <v>18.37</v>
      </c>
      <c r="J4571" s="19" t="n">
        <v>18</v>
      </c>
      <c r="K4571" s="20" t="n">
        <v>0</v>
      </c>
      <c r="L4571" s="20" t="n">
        <v>0</v>
      </c>
      <c r="M4571" s="18" t="n">
        <v>357</v>
      </c>
      <c r="N4571" s="18" t="n">
        <v>0</v>
      </c>
      <c r="O4571" s="18" t="n">
        <v>0</v>
      </c>
      <c r="P4571" s="17" t="n">
        <v>46273</v>
      </c>
      <c r="Q4571" s="17" t="n">
        <v>46273</v>
      </c>
      <c r="R4571" s="17" t="n">
        <v>46273</v>
      </c>
      <c r="S4571" s="19">
        <f>H4571*I4571</f>
        <v/>
      </c>
      <c r="T4571" s="19">
        <f>H4571*J4571</f>
        <v/>
      </c>
      <c r="U4571">
        <f>IF(AND(K4571=0,G4571&lt;=Assumptions!$C$6),1,0)</f>
        <v/>
      </c>
      <c r="V4571">
        <f>IF(U4571=1,IF(M4571&gt;0,IF(P4571&lt;=G4571+Assumptions!$C$7,1,0),0),0)</f>
        <v/>
      </c>
      <c r="W4571">
        <f>IF(AND(U4571=1,M4571&gt;=H4571*(1-Assumptions!$C$8)),1,0)</f>
        <v/>
      </c>
      <c r="X4571">
        <f>IF(AND(U4571=1,N4571&gt;=H4571*(1-Assumptions!$C$8)),1,0)</f>
        <v/>
      </c>
      <c r="Y4571">
        <f>IF(ISNUMBER(Q4571),1,0)</f>
        <v/>
      </c>
      <c r="Z4571">
        <f>IF(AND(K4571=0,L4571=0,Y4571=0),1,0)</f>
        <v/>
      </c>
      <c r="AA4571">
        <f>IF(AND(Z4571=1,G4571&lt;Assumptions!$C$6),1,0)</f>
        <v/>
      </c>
      <c r="AB4571">
        <f>IF(U4571=0,"",IF(Y4571=1,MAX(0,Q4571-G4571),IF(L4571=1,MAX(0,R4571-G4571),MAX(0,Assumptions!$C$6-G4571))))</f>
        <v/>
      </c>
      <c r="AC4571">
        <f>IF(Y4571=1,Q4571-F4571,"")</f>
        <v/>
      </c>
      <c r="AD4571">
        <f>IF(Y4571=1,AC4571^2,"")</f>
        <v/>
      </c>
      <c r="AE4571" s="19">
        <f>IF(Z4571=1,(H4571-M4571)*I4571,0)</f>
        <v/>
      </c>
      <c r="AF4571">
        <f>IF(G4571&lt;EDATE(Assumptions!$C$6,-12)+1,"prior_12m","last_12m")</f>
        <v/>
      </c>
      <c r="AG4571" s="21">
        <f>DATE(YEAR(G4571),MONTH(G4571),1)</f>
        <v/>
      </c>
    </row>
    <row r="4572">
      <c r="A4572" t="inlineStr">
        <is>
          <t>SPO-02447-1</t>
        </is>
      </c>
      <c r="B4572" t="inlineStr">
        <is>
          <t>SPO-02447</t>
        </is>
      </c>
      <c r="C4572" t="inlineStr">
        <is>
          <t>SUP-09</t>
        </is>
      </c>
      <c r="D4572" t="inlineStr">
        <is>
          <t>CHEM</t>
        </is>
      </c>
      <c r="E4572" t="inlineStr">
        <is>
          <t>CHEM-06</t>
        </is>
      </c>
      <c r="F4572" s="17" t="n">
        <v>46252</v>
      </c>
      <c r="G4572" s="17" t="n">
        <v>46266</v>
      </c>
      <c r="H4572" s="18" t="n">
        <v>2</v>
      </c>
      <c r="I4572" s="19" t="n">
        <v>386.46</v>
      </c>
      <c r="J4572" s="19" t="n">
        <v>380</v>
      </c>
      <c r="K4572" s="20" t="n">
        <v>0</v>
      </c>
      <c r="L4572" s="20" t="n">
        <v>0</v>
      </c>
      <c r="M4572" s="18" t="n">
        <v>2</v>
      </c>
      <c r="N4572" s="18" t="n">
        <v>2</v>
      </c>
      <c r="O4572" s="18" t="n">
        <v>0</v>
      </c>
      <c r="P4572" s="17" t="n">
        <v>46266</v>
      </c>
      <c r="Q4572" s="17" t="n">
        <v>46266</v>
      </c>
      <c r="R4572" s="17" t="n">
        <v>46266</v>
      </c>
      <c r="S4572" s="19">
        <f>H4572*I4572</f>
        <v/>
      </c>
      <c r="T4572" s="19">
        <f>H4572*J4572</f>
        <v/>
      </c>
      <c r="U4572">
        <f>IF(AND(K4572=0,G4572&lt;=Assumptions!$C$6),1,0)</f>
        <v/>
      </c>
      <c r="V4572">
        <f>IF(U4572=1,IF(M4572&gt;0,IF(P4572&lt;=G4572+Assumptions!$C$7,1,0),0),0)</f>
        <v/>
      </c>
      <c r="W4572">
        <f>IF(AND(U4572=1,M4572&gt;=H4572*(1-Assumptions!$C$8)),1,0)</f>
        <v/>
      </c>
      <c r="X4572">
        <f>IF(AND(U4572=1,N4572&gt;=H4572*(1-Assumptions!$C$8)),1,0)</f>
        <v/>
      </c>
      <c r="Y4572">
        <f>IF(ISNUMBER(Q4572),1,0)</f>
        <v/>
      </c>
      <c r="Z4572">
        <f>IF(AND(K4572=0,L4572=0,Y4572=0),1,0)</f>
        <v/>
      </c>
      <c r="AA4572">
        <f>IF(AND(Z4572=1,G4572&lt;Assumptions!$C$6),1,0)</f>
        <v/>
      </c>
      <c r="AB4572">
        <f>IF(U4572=0,"",IF(Y4572=1,MAX(0,Q4572-G4572),IF(L4572=1,MAX(0,R4572-G4572),MAX(0,Assumptions!$C$6-G4572))))</f>
        <v/>
      </c>
      <c r="AC4572">
        <f>IF(Y4572=1,Q4572-F4572,"")</f>
        <v/>
      </c>
      <c r="AD4572">
        <f>IF(Y4572=1,AC4572^2,"")</f>
        <v/>
      </c>
      <c r="AE4572" s="19">
        <f>IF(Z4572=1,(H4572-M4572)*I4572,0)</f>
        <v/>
      </c>
      <c r="AF4572">
        <f>IF(G4572&lt;EDATE(Assumptions!$C$6,-12)+1,"prior_12m","last_12m")</f>
        <v/>
      </c>
      <c r="AG4572" s="21">
        <f>DATE(YEAR(G4572),MONTH(G4572),1)</f>
        <v/>
      </c>
    </row>
    <row r="4573">
      <c r="A4573" t="inlineStr">
        <is>
          <t>SPO-02447-2</t>
        </is>
      </c>
      <c r="B4573" t="inlineStr">
        <is>
          <t>SPO-02447</t>
        </is>
      </c>
      <c r="C4573" t="inlineStr">
        <is>
          <t>SUP-09</t>
        </is>
      </c>
      <c r="D4573" t="inlineStr">
        <is>
          <t>CHEM</t>
        </is>
      </c>
      <c r="E4573" t="inlineStr">
        <is>
          <t>CHEM-01</t>
        </is>
      </c>
      <c r="F4573" s="17" t="n">
        <v>46252</v>
      </c>
      <c r="G4573" s="17" t="n">
        <v>46266</v>
      </c>
      <c r="H4573" s="18" t="n">
        <v>2</v>
      </c>
      <c r="I4573" s="19" t="n">
        <v>657.11</v>
      </c>
      <c r="J4573" s="19" t="n">
        <v>640</v>
      </c>
      <c r="K4573" s="20" t="n">
        <v>0</v>
      </c>
      <c r="L4573" s="20" t="n">
        <v>0</v>
      </c>
      <c r="M4573" s="18" t="n">
        <v>2</v>
      </c>
      <c r="N4573" s="18" t="n">
        <v>2</v>
      </c>
      <c r="O4573" s="18" t="n">
        <v>0</v>
      </c>
      <c r="P4573" s="17" t="n">
        <v>46263</v>
      </c>
      <c r="Q4573" s="17" t="n">
        <v>46263</v>
      </c>
      <c r="R4573" s="17" t="n">
        <v>46263</v>
      </c>
      <c r="S4573" s="19">
        <f>H4573*I4573</f>
        <v/>
      </c>
      <c r="T4573" s="19">
        <f>H4573*J4573</f>
        <v/>
      </c>
      <c r="U4573">
        <f>IF(AND(K4573=0,G4573&lt;=Assumptions!$C$6),1,0)</f>
        <v/>
      </c>
      <c r="V4573">
        <f>IF(U4573=1,IF(M4573&gt;0,IF(P4573&lt;=G4573+Assumptions!$C$7,1,0),0),0)</f>
        <v/>
      </c>
      <c r="W4573">
        <f>IF(AND(U4573=1,M4573&gt;=H4573*(1-Assumptions!$C$8)),1,0)</f>
        <v/>
      </c>
      <c r="X4573">
        <f>IF(AND(U4573=1,N4573&gt;=H4573*(1-Assumptions!$C$8)),1,0)</f>
        <v/>
      </c>
      <c r="Y4573">
        <f>IF(ISNUMBER(Q4573),1,0)</f>
        <v/>
      </c>
      <c r="Z4573">
        <f>IF(AND(K4573=0,L4573=0,Y4573=0),1,0)</f>
        <v/>
      </c>
      <c r="AA4573">
        <f>IF(AND(Z4573=1,G4573&lt;Assumptions!$C$6),1,0)</f>
        <v/>
      </c>
      <c r="AB4573">
        <f>IF(U4573=0,"",IF(Y4573=1,MAX(0,Q4573-G4573),IF(L4573=1,MAX(0,R4573-G4573),MAX(0,Assumptions!$C$6-G4573))))</f>
        <v/>
      </c>
      <c r="AC4573">
        <f>IF(Y4573=1,Q4573-F4573,"")</f>
        <v/>
      </c>
      <c r="AD4573">
        <f>IF(Y4573=1,AC4573^2,"")</f>
        <v/>
      </c>
      <c r="AE4573" s="19">
        <f>IF(Z4573=1,(H4573-M4573)*I4573,0)</f>
        <v/>
      </c>
      <c r="AF4573">
        <f>IF(G4573&lt;EDATE(Assumptions!$C$6,-12)+1,"prior_12m","last_12m")</f>
        <v/>
      </c>
      <c r="AG4573" s="21">
        <f>DATE(YEAR(G4573),MONTH(G4573),1)</f>
        <v/>
      </c>
    </row>
    <row r="4574">
      <c r="A4574" t="inlineStr">
        <is>
          <t>SPO-02447-3</t>
        </is>
      </c>
      <c r="B4574" t="inlineStr">
        <is>
          <t>SPO-02447</t>
        </is>
      </c>
      <c r="C4574" t="inlineStr">
        <is>
          <t>SUP-09</t>
        </is>
      </c>
      <c r="D4574" t="inlineStr">
        <is>
          <t>CHEM</t>
        </is>
      </c>
      <c r="E4574" t="inlineStr">
        <is>
          <t>CHEM-05</t>
        </is>
      </c>
      <c r="F4574" s="17" t="n">
        <v>46252</v>
      </c>
      <c r="G4574" s="17" t="n">
        <v>46266</v>
      </c>
      <c r="H4574" s="18" t="n">
        <v>1</v>
      </c>
      <c r="I4574" s="19" t="n">
        <v>979.65</v>
      </c>
      <c r="J4574" s="19" t="n">
        <v>930</v>
      </c>
      <c r="K4574" s="20" t="n">
        <v>0</v>
      </c>
      <c r="L4574" s="20" t="n">
        <v>0</v>
      </c>
      <c r="M4574" s="18" t="n">
        <v>1</v>
      </c>
      <c r="N4574" s="18" t="n">
        <v>1</v>
      </c>
      <c r="O4574" s="18" t="n">
        <v>0</v>
      </c>
      <c r="P4574" s="17" t="n">
        <v>46265</v>
      </c>
      <c r="Q4574" s="17" t="n">
        <v>46265</v>
      </c>
      <c r="R4574" s="17" t="n">
        <v>46265</v>
      </c>
      <c r="S4574" s="19">
        <f>H4574*I4574</f>
        <v/>
      </c>
      <c r="T4574" s="19">
        <f>H4574*J4574</f>
        <v/>
      </c>
      <c r="U4574">
        <f>IF(AND(K4574=0,G4574&lt;=Assumptions!$C$6),1,0)</f>
        <v/>
      </c>
      <c r="V4574">
        <f>IF(U4574=1,IF(M4574&gt;0,IF(P4574&lt;=G4574+Assumptions!$C$7,1,0),0),0)</f>
        <v/>
      </c>
      <c r="W4574">
        <f>IF(AND(U4574=1,M4574&gt;=H4574*(1-Assumptions!$C$8)),1,0)</f>
        <v/>
      </c>
      <c r="X4574">
        <f>IF(AND(U4574=1,N4574&gt;=H4574*(1-Assumptions!$C$8)),1,0)</f>
        <v/>
      </c>
      <c r="Y4574">
        <f>IF(ISNUMBER(Q4574),1,0)</f>
        <v/>
      </c>
      <c r="Z4574">
        <f>IF(AND(K4574=0,L4574=0,Y4574=0),1,0)</f>
        <v/>
      </c>
      <c r="AA4574">
        <f>IF(AND(Z4574=1,G4574&lt;Assumptions!$C$6),1,0)</f>
        <v/>
      </c>
      <c r="AB4574">
        <f>IF(U4574=0,"",IF(Y4574=1,MAX(0,Q4574-G4574),IF(L4574=1,MAX(0,R4574-G4574),MAX(0,Assumptions!$C$6-G4574))))</f>
        <v/>
      </c>
      <c r="AC4574">
        <f>IF(Y4574=1,Q4574-F4574,"")</f>
        <v/>
      </c>
      <c r="AD4574">
        <f>IF(Y4574=1,AC4574^2,"")</f>
        <v/>
      </c>
      <c r="AE4574" s="19">
        <f>IF(Z4574=1,(H4574-M4574)*I4574,0)</f>
        <v/>
      </c>
      <c r="AF4574">
        <f>IF(G4574&lt;EDATE(Assumptions!$C$6,-12)+1,"prior_12m","last_12m")</f>
        <v/>
      </c>
      <c r="AG4574" s="21">
        <f>DATE(YEAR(G4574),MONTH(G4574),1)</f>
        <v/>
      </c>
    </row>
    <row r="4575">
      <c r="A4575" t="inlineStr">
        <is>
          <t>SPO-02448-1</t>
        </is>
      </c>
      <c r="B4575" t="inlineStr">
        <is>
          <t>SPO-02448</t>
        </is>
      </c>
      <c r="C4575" t="inlineStr">
        <is>
          <t>SUP-14</t>
        </is>
      </c>
      <c r="D4575" t="inlineStr">
        <is>
          <t>FLEET</t>
        </is>
      </c>
      <c r="E4575" t="inlineStr">
        <is>
          <t>FLEET-06</t>
        </is>
      </c>
      <c r="F4575" s="17" t="n">
        <v>46253</v>
      </c>
      <c r="G4575" s="17" t="n">
        <v>46267</v>
      </c>
      <c r="H4575" s="18" t="n">
        <v>89</v>
      </c>
      <c r="I4575" s="19" t="n">
        <v>35.16</v>
      </c>
      <c r="J4575" s="19" t="n">
        <v>33</v>
      </c>
      <c r="K4575" s="20" t="n">
        <v>0</v>
      </c>
      <c r="L4575" s="20" t="n">
        <v>0</v>
      </c>
      <c r="M4575" s="18" t="n">
        <v>89</v>
      </c>
      <c r="N4575" s="18" t="n">
        <v>89</v>
      </c>
      <c r="O4575" s="18" t="n">
        <v>0</v>
      </c>
      <c r="P4575" s="17" t="n">
        <v>46262</v>
      </c>
      <c r="Q4575" s="17" t="n">
        <v>46262</v>
      </c>
      <c r="R4575" s="17" t="n">
        <v>46262</v>
      </c>
      <c r="S4575" s="19">
        <f>H4575*I4575</f>
        <v/>
      </c>
      <c r="T4575" s="19">
        <f>H4575*J4575</f>
        <v/>
      </c>
      <c r="U4575">
        <f>IF(AND(K4575=0,G4575&lt;=Assumptions!$C$6),1,0)</f>
        <v/>
      </c>
      <c r="V4575">
        <f>IF(U4575=1,IF(M4575&gt;0,IF(P4575&lt;=G4575+Assumptions!$C$7,1,0),0),0)</f>
        <v/>
      </c>
      <c r="W4575">
        <f>IF(AND(U4575=1,M4575&gt;=H4575*(1-Assumptions!$C$8)),1,0)</f>
        <v/>
      </c>
      <c r="X4575">
        <f>IF(AND(U4575=1,N4575&gt;=H4575*(1-Assumptions!$C$8)),1,0)</f>
        <v/>
      </c>
      <c r="Y4575">
        <f>IF(ISNUMBER(Q4575),1,0)</f>
        <v/>
      </c>
      <c r="Z4575">
        <f>IF(AND(K4575=0,L4575=0,Y4575=0),1,0)</f>
        <v/>
      </c>
      <c r="AA4575">
        <f>IF(AND(Z4575=1,G4575&lt;Assumptions!$C$6),1,0)</f>
        <v/>
      </c>
      <c r="AB4575">
        <f>IF(U4575=0,"",IF(Y4575=1,MAX(0,Q4575-G4575),IF(L4575=1,MAX(0,R4575-G4575),MAX(0,Assumptions!$C$6-G4575))))</f>
        <v/>
      </c>
      <c r="AC4575">
        <f>IF(Y4575=1,Q4575-F4575,"")</f>
        <v/>
      </c>
      <c r="AD4575">
        <f>IF(Y4575=1,AC4575^2,"")</f>
        <v/>
      </c>
      <c r="AE4575" s="19">
        <f>IF(Z4575=1,(H4575-M4575)*I4575,0)</f>
        <v/>
      </c>
      <c r="AF4575">
        <f>IF(G4575&lt;EDATE(Assumptions!$C$6,-12)+1,"prior_12m","last_12m")</f>
        <v/>
      </c>
      <c r="AG4575" s="21">
        <f>DATE(YEAR(G4575),MONTH(G4575),1)</f>
        <v/>
      </c>
    </row>
    <row r="4576">
      <c r="A4576" t="inlineStr">
        <is>
          <t>SPO-02449-1</t>
        </is>
      </c>
      <c r="B4576" t="inlineStr">
        <is>
          <t>SPO-02449</t>
        </is>
      </c>
      <c r="C4576" t="inlineStr">
        <is>
          <t>SUP-12</t>
        </is>
      </c>
      <c r="D4576" t="inlineStr">
        <is>
          <t>IT</t>
        </is>
      </c>
      <c r="E4576" t="inlineStr">
        <is>
          <t>IT-07</t>
        </is>
      </c>
      <c r="F4576" s="17" t="n">
        <v>46253</v>
      </c>
      <c r="G4576" s="17" t="n">
        <v>46263</v>
      </c>
      <c r="H4576" s="18" t="n">
        <v>30</v>
      </c>
      <c r="I4576" s="19" t="n">
        <v>85.98999999999999</v>
      </c>
      <c r="J4576" s="19" t="n">
        <v>74</v>
      </c>
      <c r="K4576" s="20" t="n">
        <v>0</v>
      </c>
      <c r="L4576" s="20" t="n">
        <v>0</v>
      </c>
      <c r="M4576" s="18" t="n">
        <v>30</v>
      </c>
      <c r="N4576" s="18" t="n">
        <v>30</v>
      </c>
      <c r="O4576" s="18" t="n">
        <v>0</v>
      </c>
      <c r="P4576" s="17" t="n">
        <v>46258</v>
      </c>
      <c r="Q4576" s="17" t="n">
        <v>46258</v>
      </c>
      <c r="R4576" s="17" t="n">
        <v>46258</v>
      </c>
      <c r="S4576" s="19">
        <f>H4576*I4576</f>
        <v/>
      </c>
      <c r="T4576" s="19">
        <f>H4576*J4576</f>
        <v/>
      </c>
      <c r="U4576">
        <f>IF(AND(K4576=0,G4576&lt;=Assumptions!$C$6),1,0)</f>
        <v/>
      </c>
      <c r="V4576">
        <f>IF(U4576=1,IF(M4576&gt;0,IF(P4576&lt;=G4576+Assumptions!$C$7,1,0),0),0)</f>
        <v/>
      </c>
      <c r="W4576">
        <f>IF(AND(U4576=1,M4576&gt;=H4576*(1-Assumptions!$C$8)),1,0)</f>
        <v/>
      </c>
      <c r="X4576">
        <f>IF(AND(U4576=1,N4576&gt;=H4576*(1-Assumptions!$C$8)),1,0)</f>
        <v/>
      </c>
      <c r="Y4576">
        <f>IF(ISNUMBER(Q4576),1,0)</f>
        <v/>
      </c>
      <c r="Z4576">
        <f>IF(AND(K4576=0,L4576=0,Y4576=0),1,0)</f>
        <v/>
      </c>
      <c r="AA4576">
        <f>IF(AND(Z4576=1,G4576&lt;Assumptions!$C$6),1,0)</f>
        <v/>
      </c>
      <c r="AB4576">
        <f>IF(U4576=0,"",IF(Y4576=1,MAX(0,Q4576-G4576),IF(L4576=1,MAX(0,R4576-G4576),MAX(0,Assumptions!$C$6-G4576))))</f>
        <v/>
      </c>
      <c r="AC4576">
        <f>IF(Y4576=1,Q4576-F4576,"")</f>
        <v/>
      </c>
      <c r="AD4576">
        <f>IF(Y4576=1,AC4576^2,"")</f>
        <v/>
      </c>
      <c r="AE4576" s="19">
        <f>IF(Z4576=1,(H4576-M4576)*I4576,0)</f>
        <v/>
      </c>
      <c r="AF4576">
        <f>IF(G4576&lt;EDATE(Assumptions!$C$6,-12)+1,"prior_12m","last_12m")</f>
        <v/>
      </c>
      <c r="AG4576" s="21">
        <f>DATE(YEAR(G4576),MONTH(G4576),1)</f>
        <v/>
      </c>
    </row>
    <row r="4577">
      <c r="A4577" t="inlineStr">
        <is>
          <t>SPO-02450-1</t>
        </is>
      </c>
      <c r="B4577" t="inlineStr">
        <is>
          <t>SPO-02450</t>
        </is>
      </c>
      <c r="C4577" t="inlineStr">
        <is>
          <t>SUP-07</t>
        </is>
      </c>
      <c r="D4577" t="inlineStr">
        <is>
          <t>MRO</t>
        </is>
      </c>
      <c r="E4577" t="inlineStr">
        <is>
          <t>MRO-05</t>
        </is>
      </c>
      <c r="F4577" s="17" t="n">
        <v>46253</v>
      </c>
      <c r="G4577" s="17" t="n">
        <v>46263</v>
      </c>
      <c r="H4577" s="18" t="n">
        <v>59</v>
      </c>
      <c r="I4577" s="19" t="n">
        <v>36.73</v>
      </c>
      <c r="J4577" s="19" t="n">
        <v>36</v>
      </c>
      <c r="K4577" s="20" t="n">
        <v>0</v>
      </c>
      <c r="L4577" s="20" t="n">
        <v>0</v>
      </c>
      <c r="M4577" s="18" t="n">
        <v>59</v>
      </c>
      <c r="N4577" s="18" t="n">
        <v>31</v>
      </c>
      <c r="O4577" s="18" t="n">
        <v>0</v>
      </c>
      <c r="P4577" s="17" t="n">
        <v>46262</v>
      </c>
      <c r="Q4577" s="17" t="n">
        <v>46274</v>
      </c>
      <c r="R4577" s="17" t="n">
        <v>46274</v>
      </c>
      <c r="S4577" s="19">
        <f>H4577*I4577</f>
        <v/>
      </c>
      <c r="T4577" s="19">
        <f>H4577*J4577</f>
        <v/>
      </c>
      <c r="U4577">
        <f>IF(AND(K4577=0,G4577&lt;=Assumptions!$C$6),1,0)</f>
        <v/>
      </c>
      <c r="V4577">
        <f>IF(U4577=1,IF(M4577&gt;0,IF(P4577&lt;=G4577+Assumptions!$C$7,1,0),0),0)</f>
        <v/>
      </c>
      <c r="W4577">
        <f>IF(AND(U4577=1,M4577&gt;=H4577*(1-Assumptions!$C$8)),1,0)</f>
        <v/>
      </c>
      <c r="X4577">
        <f>IF(AND(U4577=1,N4577&gt;=H4577*(1-Assumptions!$C$8)),1,0)</f>
        <v/>
      </c>
      <c r="Y4577">
        <f>IF(ISNUMBER(Q4577),1,0)</f>
        <v/>
      </c>
      <c r="Z4577">
        <f>IF(AND(K4577=0,L4577=0,Y4577=0),1,0)</f>
        <v/>
      </c>
      <c r="AA4577">
        <f>IF(AND(Z4577=1,G4577&lt;Assumptions!$C$6),1,0)</f>
        <v/>
      </c>
      <c r="AB4577">
        <f>IF(U4577=0,"",IF(Y4577=1,MAX(0,Q4577-G4577),IF(L4577=1,MAX(0,R4577-G4577),MAX(0,Assumptions!$C$6-G4577))))</f>
        <v/>
      </c>
      <c r="AC4577">
        <f>IF(Y4577=1,Q4577-F4577,"")</f>
        <v/>
      </c>
      <c r="AD4577">
        <f>IF(Y4577=1,AC4577^2,"")</f>
        <v/>
      </c>
      <c r="AE4577" s="19">
        <f>IF(Z4577=1,(H4577-M4577)*I4577,0)</f>
        <v/>
      </c>
      <c r="AF4577">
        <f>IF(G4577&lt;EDATE(Assumptions!$C$6,-12)+1,"prior_12m","last_12m")</f>
        <v/>
      </c>
      <c r="AG4577" s="21">
        <f>DATE(YEAR(G4577),MONTH(G4577),1)</f>
        <v/>
      </c>
    </row>
    <row r="4578">
      <c r="A4578" t="inlineStr">
        <is>
          <t>SPO-02450-2</t>
        </is>
      </c>
      <c r="B4578" t="inlineStr">
        <is>
          <t>SPO-02450</t>
        </is>
      </c>
      <c r="C4578" t="inlineStr">
        <is>
          <t>SUP-07</t>
        </is>
      </c>
      <c r="D4578" t="inlineStr">
        <is>
          <t>MRO</t>
        </is>
      </c>
      <c r="E4578" t="inlineStr">
        <is>
          <t>MRO-08</t>
        </is>
      </c>
      <c r="F4578" s="17" t="n">
        <v>46253</v>
      </c>
      <c r="G4578" s="17" t="n">
        <v>46263</v>
      </c>
      <c r="H4578" s="18" t="n">
        <v>252</v>
      </c>
      <c r="I4578" s="19" t="n">
        <v>7.21</v>
      </c>
      <c r="J4578" s="19" t="n">
        <v>7.2</v>
      </c>
      <c r="K4578" s="20" t="n">
        <v>0</v>
      </c>
      <c r="L4578" s="20" t="n">
        <v>0</v>
      </c>
      <c r="M4578" s="18" t="n">
        <v>252</v>
      </c>
      <c r="N4578" s="18" t="n">
        <v>252</v>
      </c>
      <c r="O4578" s="18" t="n">
        <v>0</v>
      </c>
      <c r="P4578" s="17" t="n">
        <v>46259</v>
      </c>
      <c r="Q4578" s="17" t="n">
        <v>46259</v>
      </c>
      <c r="R4578" s="17" t="n">
        <v>46259</v>
      </c>
      <c r="S4578" s="19">
        <f>H4578*I4578</f>
        <v/>
      </c>
      <c r="T4578" s="19">
        <f>H4578*J4578</f>
        <v/>
      </c>
      <c r="U4578">
        <f>IF(AND(K4578=0,G4578&lt;=Assumptions!$C$6),1,0)</f>
        <v/>
      </c>
      <c r="V4578">
        <f>IF(U4578=1,IF(M4578&gt;0,IF(P4578&lt;=G4578+Assumptions!$C$7,1,0),0),0)</f>
        <v/>
      </c>
      <c r="W4578">
        <f>IF(AND(U4578=1,M4578&gt;=H4578*(1-Assumptions!$C$8)),1,0)</f>
        <v/>
      </c>
      <c r="X4578">
        <f>IF(AND(U4578=1,N4578&gt;=H4578*(1-Assumptions!$C$8)),1,0)</f>
        <v/>
      </c>
      <c r="Y4578">
        <f>IF(ISNUMBER(Q4578),1,0)</f>
        <v/>
      </c>
      <c r="Z4578">
        <f>IF(AND(K4578=0,L4578=0,Y4578=0),1,0)</f>
        <v/>
      </c>
      <c r="AA4578">
        <f>IF(AND(Z4578=1,G4578&lt;Assumptions!$C$6),1,0)</f>
        <v/>
      </c>
      <c r="AB4578">
        <f>IF(U4578=0,"",IF(Y4578=1,MAX(0,Q4578-G4578),IF(L4578=1,MAX(0,R4578-G4578),MAX(0,Assumptions!$C$6-G4578))))</f>
        <v/>
      </c>
      <c r="AC4578">
        <f>IF(Y4578=1,Q4578-F4578,"")</f>
        <v/>
      </c>
      <c r="AD4578">
        <f>IF(Y4578=1,AC4578^2,"")</f>
        <v/>
      </c>
      <c r="AE4578" s="19">
        <f>IF(Z4578=1,(H4578-M4578)*I4578,0)</f>
        <v/>
      </c>
      <c r="AF4578">
        <f>IF(G4578&lt;EDATE(Assumptions!$C$6,-12)+1,"prior_12m","last_12m")</f>
        <v/>
      </c>
      <c r="AG4578" s="21">
        <f>DATE(YEAR(G4578),MONTH(G4578),1)</f>
        <v/>
      </c>
    </row>
    <row r="4579">
      <c r="A4579" t="inlineStr">
        <is>
          <t>SPO-02451-1</t>
        </is>
      </c>
      <c r="B4579" t="inlineStr">
        <is>
          <t>SPO-02451</t>
        </is>
      </c>
      <c r="C4579" t="inlineStr">
        <is>
          <t>SUP-01</t>
        </is>
      </c>
      <c r="D4579" t="inlineStr">
        <is>
          <t>ELEC</t>
        </is>
      </c>
      <c r="E4579" t="inlineStr">
        <is>
          <t>ELEC-08</t>
        </is>
      </c>
      <c r="F4579" s="17" t="n">
        <v>46254</v>
      </c>
      <c r="G4579" s="17" t="n">
        <v>46272</v>
      </c>
      <c r="H4579" s="18" t="n">
        <v>162</v>
      </c>
      <c r="I4579" s="19" t="n">
        <v>17.44</v>
      </c>
      <c r="J4579" s="19" t="n">
        <v>18</v>
      </c>
      <c r="K4579" s="20" t="n">
        <v>0</v>
      </c>
      <c r="L4579" s="20" t="n">
        <v>0</v>
      </c>
      <c r="M4579" s="18" t="n">
        <v>0</v>
      </c>
      <c r="N4579" s="18" t="n">
        <v>0</v>
      </c>
      <c r="O4579" s="18" t="n">
        <v>0</v>
      </c>
      <c r="P4579" s="17" t="n"/>
      <c r="Q4579" s="17" t="n"/>
      <c r="R4579" s="17" t="n"/>
      <c r="S4579" s="19">
        <f>H4579*I4579</f>
        <v/>
      </c>
      <c r="T4579" s="19">
        <f>H4579*J4579</f>
        <v/>
      </c>
      <c r="U4579">
        <f>IF(AND(K4579=0,G4579&lt;=Assumptions!$C$6),1,0)</f>
        <v/>
      </c>
      <c r="V4579">
        <f>IF(U4579=1,IF(M4579&gt;0,IF(P4579&lt;=G4579+Assumptions!$C$7,1,0),0),0)</f>
        <v/>
      </c>
      <c r="W4579">
        <f>IF(AND(U4579=1,M4579&gt;=H4579*(1-Assumptions!$C$8)),1,0)</f>
        <v/>
      </c>
      <c r="X4579">
        <f>IF(AND(U4579=1,N4579&gt;=H4579*(1-Assumptions!$C$8)),1,0)</f>
        <v/>
      </c>
      <c r="Y4579">
        <f>IF(ISNUMBER(Q4579),1,0)</f>
        <v/>
      </c>
      <c r="Z4579">
        <f>IF(AND(K4579=0,L4579=0,Y4579=0),1,0)</f>
        <v/>
      </c>
      <c r="AA4579">
        <f>IF(AND(Z4579=1,G4579&lt;Assumptions!$C$6),1,0)</f>
        <v/>
      </c>
      <c r="AB4579">
        <f>IF(U4579=0,"",IF(Y4579=1,MAX(0,Q4579-G4579),IF(L4579=1,MAX(0,R4579-G4579),MAX(0,Assumptions!$C$6-G4579))))</f>
        <v/>
      </c>
      <c r="AC4579">
        <f>IF(Y4579=1,Q4579-F4579,"")</f>
        <v/>
      </c>
      <c r="AD4579">
        <f>IF(Y4579=1,AC4579^2,"")</f>
        <v/>
      </c>
      <c r="AE4579" s="19">
        <f>IF(Z4579=1,(H4579-M4579)*I4579,0)</f>
        <v/>
      </c>
      <c r="AF4579">
        <f>IF(G4579&lt;EDATE(Assumptions!$C$6,-12)+1,"prior_12m","last_12m")</f>
        <v/>
      </c>
      <c r="AG4579" s="21">
        <f>DATE(YEAR(G4579),MONTH(G4579),1)</f>
        <v/>
      </c>
    </row>
    <row r="4580">
      <c r="A4580" t="inlineStr">
        <is>
          <t>SPO-02452-1</t>
        </is>
      </c>
      <c r="B4580" t="inlineStr">
        <is>
          <t>SPO-02452</t>
        </is>
      </c>
      <c r="C4580" t="inlineStr">
        <is>
          <t>SUP-02</t>
        </is>
      </c>
      <c r="D4580" t="inlineStr">
        <is>
          <t>ELEC</t>
        </is>
      </c>
      <c r="E4580" t="inlineStr">
        <is>
          <t>ELEC-04</t>
        </is>
      </c>
      <c r="F4580" s="17" t="n">
        <v>46254</v>
      </c>
      <c r="G4580" s="17" t="n">
        <v>46270</v>
      </c>
      <c r="H4580" s="18" t="n">
        <v>72</v>
      </c>
      <c r="I4580" s="19" t="n">
        <v>73.83</v>
      </c>
      <c r="J4580" s="19" t="n">
        <v>72</v>
      </c>
      <c r="K4580" s="20" t="n">
        <v>0</v>
      </c>
      <c r="L4580" s="20" t="n">
        <v>0</v>
      </c>
      <c r="M4580" s="18" t="n">
        <v>72</v>
      </c>
      <c r="N4580" s="18" t="n">
        <v>72</v>
      </c>
      <c r="O4580" s="18" t="n">
        <v>0</v>
      </c>
      <c r="P4580" s="17" t="n">
        <v>46266</v>
      </c>
      <c r="Q4580" s="17" t="n">
        <v>46266</v>
      </c>
      <c r="R4580" s="17" t="n">
        <v>46266</v>
      </c>
      <c r="S4580" s="19">
        <f>H4580*I4580</f>
        <v/>
      </c>
      <c r="T4580" s="19">
        <f>H4580*J4580</f>
        <v/>
      </c>
      <c r="U4580">
        <f>IF(AND(K4580=0,G4580&lt;=Assumptions!$C$6),1,0)</f>
        <v/>
      </c>
      <c r="V4580">
        <f>IF(U4580=1,IF(M4580&gt;0,IF(P4580&lt;=G4580+Assumptions!$C$7,1,0),0),0)</f>
        <v/>
      </c>
      <c r="W4580">
        <f>IF(AND(U4580=1,M4580&gt;=H4580*(1-Assumptions!$C$8)),1,0)</f>
        <v/>
      </c>
      <c r="X4580">
        <f>IF(AND(U4580=1,N4580&gt;=H4580*(1-Assumptions!$C$8)),1,0)</f>
        <v/>
      </c>
      <c r="Y4580">
        <f>IF(ISNUMBER(Q4580),1,0)</f>
        <v/>
      </c>
      <c r="Z4580">
        <f>IF(AND(K4580=0,L4580=0,Y4580=0),1,0)</f>
        <v/>
      </c>
      <c r="AA4580">
        <f>IF(AND(Z4580=1,G4580&lt;Assumptions!$C$6),1,0)</f>
        <v/>
      </c>
      <c r="AB4580">
        <f>IF(U4580=0,"",IF(Y4580=1,MAX(0,Q4580-G4580),IF(L4580=1,MAX(0,R4580-G4580),MAX(0,Assumptions!$C$6-G4580))))</f>
        <v/>
      </c>
      <c r="AC4580">
        <f>IF(Y4580=1,Q4580-F4580,"")</f>
        <v/>
      </c>
      <c r="AD4580">
        <f>IF(Y4580=1,AC4580^2,"")</f>
        <v/>
      </c>
      <c r="AE4580" s="19">
        <f>IF(Z4580=1,(H4580-M4580)*I4580,0)</f>
        <v/>
      </c>
      <c r="AF4580">
        <f>IF(G4580&lt;EDATE(Assumptions!$C$6,-12)+1,"prior_12m","last_12m")</f>
        <v/>
      </c>
      <c r="AG4580" s="21">
        <f>DATE(YEAR(G4580),MONTH(G4580),1)</f>
        <v/>
      </c>
    </row>
    <row r="4581">
      <c r="A4581" t="inlineStr">
        <is>
          <t>SPO-02453-1</t>
        </is>
      </c>
      <c r="B4581" t="inlineStr">
        <is>
          <t>SPO-02453</t>
        </is>
      </c>
      <c r="C4581" t="inlineStr">
        <is>
          <t>SUP-08</t>
        </is>
      </c>
      <c r="D4581" t="inlineStr">
        <is>
          <t>PPE</t>
        </is>
      </c>
      <c r="E4581" t="inlineStr">
        <is>
          <t>PPE-07</t>
        </is>
      </c>
      <c r="F4581" s="17" t="n">
        <v>46254</v>
      </c>
      <c r="G4581" s="17" t="n">
        <v>46265</v>
      </c>
      <c r="H4581" s="18" t="n">
        <v>43</v>
      </c>
      <c r="I4581" s="19" t="n">
        <v>30.79</v>
      </c>
      <c r="J4581" s="19" t="n">
        <v>31</v>
      </c>
      <c r="K4581" s="20" t="n">
        <v>0</v>
      </c>
      <c r="L4581" s="20" t="n">
        <v>0</v>
      </c>
      <c r="M4581" s="18" t="n">
        <v>43</v>
      </c>
      <c r="N4581" s="18" t="n">
        <v>33</v>
      </c>
      <c r="O4581" s="18" t="n">
        <v>0</v>
      </c>
      <c r="P4581" s="17" t="n">
        <v>46260</v>
      </c>
      <c r="Q4581" s="17" t="n">
        <v>46273</v>
      </c>
      <c r="R4581" s="17" t="n">
        <v>46273</v>
      </c>
      <c r="S4581" s="19">
        <f>H4581*I4581</f>
        <v/>
      </c>
      <c r="T4581" s="19">
        <f>H4581*J4581</f>
        <v/>
      </c>
      <c r="U4581">
        <f>IF(AND(K4581=0,G4581&lt;=Assumptions!$C$6),1,0)</f>
        <v/>
      </c>
      <c r="V4581">
        <f>IF(U4581=1,IF(M4581&gt;0,IF(P4581&lt;=G4581+Assumptions!$C$7,1,0),0),0)</f>
        <v/>
      </c>
      <c r="W4581">
        <f>IF(AND(U4581=1,M4581&gt;=H4581*(1-Assumptions!$C$8)),1,0)</f>
        <v/>
      </c>
      <c r="X4581">
        <f>IF(AND(U4581=1,N4581&gt;=H4581*(1-Assumptions!$C$8)),1,0)</f>
        <v/>
      </c>
      <c r="Y4581">
        <f>IF(ISNUMBER(Q4581),1,0)</f>
        <v/>
      </c>
      <c r="Z4581">
        <f>IF(AND(K4581=0,L4581=0,Y4581=0),1,0)</f>
        <v/>
      </c>
      <c r="AA4581">
        <f>IF(AND(Z4581=1,G4581&lt;Assumptions!$C$6),1,0)</f>
        <v/>
      </c>
      <c r="AB4581">
        <f>IF(U4581=0,"",IF(Y4581=1,MAX(0,Q4581-G4581),IF(L4581=1,MAX(0,R4581-G4581),MAX(0,Assumptions!$C$6-G4581))))</f>
        <v/>
      </c>
      <c r="AC4581">
        <f>IF(Y4581=1,Q4581-F4581,"")</f>
        <v/>
      </c>
      <c r="AD4581">
        <f>IF(Y4581=1,AC4581^2,"")</f>
        <v/>
      </c>
      <c r="AE4581" s="19">
        <f>IF(Z4581=1,(H4581-M4581)*I4581,0)</f>
        <v/>
      </c>
      <c r="AF4581">
        <f>IF(G4581&lt;EDATE(Assumptions!$C$6,-12)+1,"prior_12m","last_12m")</f>
        <v/>
      </c>
      <c r="AG4581" s="21">
        <f>DATE(YEAR(G4581),MONTH(G4581),1)</f>
        <v/>
      </c>
    </row>
    <row r="4582">
      <c r="A4582" t="inlineStr">
        <is>
          <t>SPO-02454-1</t>
        </is>
      </c>
      <c r="B4582" t="inlineStr">
        <is>
          <t>SPO-02454</t>
        </is>
      </c>
      <c r="C4582" t="inlineStr">
        <is>
          <t>SUP-10</t>
        </is>
      </c>
      <c r="D4582" t="inlineStr">
        <is>
          <t>PPE</t>
        </is>
      </c>
      <c r="E4582" t="inlineStr">
        <is>
          <t>PPE-04</t>
        </is>
      </c>
      <c r="F4582" s="17" t="n">
        <v>46254</v>
      </c>
      <c r="G4582" s="17" t="n">
        <v>46267</v>
      </c>
      <c r="H4582" s="18" t="n">
        <v>62</v>
      </c>
      <c r="I4582" s="19" t="n">
        <v>25.74</v>
      </c>
      <c r="J4582" s="19" t="n">
        <v>26</v>
      </c>
      <c r="K4582" s="20" t="n">
        <v>0</v>
      </c>
      <c r="L4582" s="20" t="n">
        <v>0</v>
      </c>
      <c r="M4582" s="18" t="n">
        <v>62</v>
      </c>
      <c r="N4582" s="18" t="n">
        <v>62</v>
      </c>
      <c r="O4582" s="18" t="n">
        <v>16</v>
      </c>
      <c r="P4582" s="17" t="n">
        <v>46266</v>
      </c>
      <c r="Q4582" s="17" t="n">
        <v>46266</v>
      </c>
      <c r="R4582" s="17" t="n">
        <v>46266</v>
      </c>
      <c r="S4582" s="19">
        <f>H4582*I4582</f>
        <v/>
      </c>
      <c r="T4582" s="19">
        <f>H4582*J4582</f>
        <v/>
      </c>
      <c r="U4582">
        <f>IF(AND(K4582=0,G4582&lt;=Assumptions!$C$6),1,0)</f>
        <v/>
      </c>
      <c r="V4582">
        <f>IF(U4582=1,IF(M4582&gt;0,IF(P4582&lt;=G4582+Assumptions!$C$7,1,0),0),0)</f>
        <v/>
      </c>
      <c r="W4582">
        <f>IF(AND(U4582=1,M4582&gt;=H4582*(1-Assumptions!$C$8)),1,0)</f>
        <v/>
      </c>
      <c r="X4582">
        <f>IF(AND(U4582=1,N4582&gt;=H4582*(1-Assumptions!$C$8)),1,0)</f>
        <v/>
      </c>
      <c r="Y4582">
        <f>IF(ISNUMBER(Q4582),1,0)</f>
        <v/>
      </c>
      <c r="Z4582">
        <f>IF(AND(K4582=0,L4582=0,Y4582=0),1,0)</f>
        <v/>
      </c>
      <c r="AA4582">
        <f>IF(AND(Z4582=1,G4582&lt;Assumptions!$C$6),1,0)</f>
        <v/>
      </c>
      <c r="AB4582">
        <f>IF(U4582=0,"",IF(Y4582=1,MAX(0,Q4582-G4582),IF(L4582=1,MAX(0,R4582-G4582),MAX(0,Assumptions!$C$6-G4582))))</f>
        <v/>
      </c>
      <c r="AC4582">
        <f>IF(Y4582=1,Q4582-F4582,"")</f>
        <v/>
      </c>
      <c r="AD4582">
        <f>IF(Y4582=1,AC4582^2,"")</f>
        <v/>
      </c>
      <c r="AE4582" s="19">
        <f>IF(Z4582=1,(H4582-M4582)*I4582,0)</f>
        <v/>
      </c>
      <c r="AF4582">
        <f>IF(G4582&lt;EDATE(Assumptions!$C$6,-12)+1,"prior_12m","last_12m")</f>
        <v/>
      </c>
      <c r="AG4582" s="21">
        <f>DATE(YEAR(G4582),MONTH(G4582),1)</f>
        <v/>
      </c>
    </row>
    <row r="4583">
      <c r="A4583" t="inlineStr">
        <is>
          <t>SPO-02454-2</t>
        </is>
      </c>
      <c r="B4583" t="inlineStr">
        <is>
          <t>SPO-02454</t>
        </is>
      </c>
      <c r="C4583" t="inlineStr">
        <is>
          <t>SUP-10</t>
        </is>
      </c>
      <c r="D4583" t="inlineStr">
        <is>
          <t>PPE</t>
        </is>
      </c>
      <c r="E4583" t="inlineStr">
        <is>
          <t>PPE-03</t>
        </is>
      </c>
      <c r="F4583" s="17" t="n">
        <v>46254</v>
      </c>
      <c r="G4583" s="17" t="n">
        <v>46267</v>
      </c>
      <c r="H4583" s="18" t="n">
        <v>39</v>
      </c>
      <c r="I4583" s="19" t="n">
        <v>20.06</v>
      </c>
      <c r="J4583" s="19" t="n">
        <v>21</v>
      </c>
      <c r="K4583" s="20" t="n">
        <v>0</v>
      </c>
      <c r="L4583" s="20" t="n">
        <v>0</v>
      </c>
      <c r="M4583" s="18" t="n">
        <v>39</v>
      </c>
      <c r="N4583" s="18" t="n">
        <v>39</v>
      </c>
      <c r="O4583" s="18" t="n">
        <v>0</v>
      </c>
      <c r="P4583" s="17" t="n">
        <v>46263</v>
      </c>
      <c r="Q4583" s="17" t="n">
        <v>46263</v>
      </c>
      <c r="R4583" s="17" t="n">
        <v>46263</v>
      </c>
      <c r="S4583" s="19">
        <f>H4583*I4583</f>
        <v/>
      </c>
      <c r="T4583" s="19">
        <f>H4583*J4583</f>
        <v/>
      </c>
      <c r="U4583">
        <f>IF(AND(K4583=0,G4583&lt;=Assumptions!$C$6),1,0)</f>
        <v/>
      </c>
      <c r="V4583">
        <f>IF(U4583=1,IF(M4583&gt;0,IF(P4583&lt;=G4583+Assumptions!$C$7,1,0),0),0)</f>
        <v/>
      </c>
      <c r="W4583">
        <f>IF(AND(U4583=1,M4583&gt;=H4583*(1-Assumptions!$C$8)),1,0)</f>
        <v/>
      </c>
      <c r="X4583">
        <f>IF(AND(U4583=1,N4583&gt;=H4583*(1-Assumptions!$C$8)),1,0)</f>
        <v/>
      </c>
      <c r="Y4583">
        <f>IF(ISNUMBER(Q4583),1,0)</f>
        <v/>
      </c>
      <c r="Z4583">
        <f>IF(AND(K4583=0,L4583=0,Y4583=0),1,0)</f>
        <v/>
      </c>
      <c r="AA4583">
        <f>IF(AND(Z4583=1,G4583&lt;Assumptions!$C$6),1,0)</f>
        <v/>
      </c>
      <c r="AB4583">
        <f>IF(U4583=0,"",IF(Y4583=1,MAX(0,Q4583-G4583),IF(L4583=1,MAX(0,R4583-G4583),MAX(0,Assumptions!$C$6-G4583))))</f>
        <v/>
      </c>
      <c r="AC4583">
        <f>IF(Y4583=1,Q4583-F4583,"")</f>
        <v/>
      </c>
      <c r="AD4583">
        <f>IF(Y4583=1,AC4583^2,"")</f>
        <v/>
      </c>
      <c r="AE4583" s="19">
        <f>IF(Z4583=1,(H4583-M4583)*I4583,0)</f>
        <v/>
      </c>
      <c r="AF4583">
        <f>IF(G4583&lt;EDATE(Assumptions!$C$6,-12)+1,"prior_12m","last_12m")</f>
        <v/>
      </c>
      <c r="AG4583" s="21">
        <f>DATE(YEAR(G4583),MONTH(G4583),1)</f>
        <v/>
      </c>
    </row>
    <row r="4584">
      <c r="A4584" t="inlineStr">
        <is>
          <t>SPO-02454-3</t>
        </is>
      </c>
      <c r="B4584" t="inlineStr">
        <is>
          <t>SPO-02454</t>
        </is>
      </c>
      <c r="C4584" t="inlineStr">
        <is>
          <t>SUP-10</t>
        </is>
      </c>
      <c r="D4584" t="inlineStr">
        <is>
          <t>PPE</t>
        </is>
      </c>
      <c r="E4584" t="inlineStr">
        <is>
          <t>PPE-05</t>
        </is>
      </c>
      <c r="F4584" s="17" t="n">
        <v>46254</v>
      </c>
      <c r="G4584" s="17" t="n">
        <v>46267</v>
      </c>
      <c r="H4584" s="18" t="n">
        <v>289</v>
      </c>
      <c r="I4584" s="19" t="n">
        <v>10.44</v>
      </c>
      <c r="J4584" s="19" t="n">
        <v>11</v>
      </c>
      <c r="K4584" s="20" t="n">
        <v>0</v>
      </c>
      <c r="L4584" s="20" t="n">
        <v>0</v>
      </c>
      <c r="M4584" s="18" t="n">
        <v>289</v>
      </c>
      <c r="N4584" s="18" t="n">
        <v>289</v>
      </c>
      <c r="O4584" s="18" t="n">
        <v>0</v>
      </c>
      <c r="P4584" s="17" t="n">
        <v>46266</v>
      </c>
      <c r="Q4584" s="17" t="n">
        <v>46266</v>
      </c>
      <c r="R4584" s="17" t="n">
        <v>46266</v>
      </c>
      <c r="S4584" s="19">
        <f>H4584*I4584</f>
        <v/>
      </c>
      <c r="T4584" s="19">
        <f>H4584*J4584</f>
        <v/>
      </c>
      <c r="U4584">
        <f>IF(AND(K4584=0,G4584&lt;=Assumptions!$C$6),1,0)</f>
        <v/>
      </c>
      <c r="V4584">
        <f>IF(U4584=1,IF(M4584&gt;0,IF(P4584&lt;=G4584+Assumptions!$C$7,1,0),0),0)</f>
        <v/>
      </c>
      <c r="W4584">
        <f>IF(AND(U4584=1,M4584&gt;=H4584*(1-Assumptions!$C$8)),1,0)</f>
        <v/>
      </c>
      <c r="X4584">
        <f>IF(AND(U4584=1,N4584&gt;=H4584*(1-Assumptions!$C$8)),1,0)</f>
        <v/>
      </c>
      <c r="Y4584">
        <f>IF(ISNUMBER(Q4584),1,0)</f>
        <v/>
      </c>
      <c r="Z4584">
        <f>IF(AND(K4584=0,L4584=0,Y4584=0),1,0)</f>
        <v/>
      </c>
      <c r="AA4584">
        <f>IF(AND(Z4584=1,G4584&lt;Assumptions!$C$6),1,0)</f>
        <v/>
      </c>
      <c r="AB4584">
        <f>IF(U4584=0,"",IF(Y4584=1,MAX(0,Q4584-G4584),IF(L4584=1,MAX(0,R4584-G4584),MAX(0,Assumptions!$C$6-G4584))))</f>
        <v/>
      </c>
      <c r="AC4584">
        <f>IF(Y4584=1,Q4584-F4584,"")</f>
        <v/>
      </c>
      <c r="AD4584">
        <f>IF(Y4584=1,AC4584^2,"")</f>
        <v/>
      </c>
      <c r="AE4584" s="19">
        <f>IF(Z4584=1,(H4584-M4584)*I4584,0)</f>
        <v/>
      </c>
      <c r="AF4584">
        <f>IF(G4584&lt;EDATE(Assumptions!$C$6,-12)+1,"prior_12m","last_12m")</f>
        <v/>
      </c>
      <c r="AG4584" s="21">
        <f>DATE(YEAR(G4584),MONTH(G4584),1)</f>
        <v/>
      </c>
    </row>
    <row r="4585">
      <c r="A4585" t="inlineStr">
        <is>
          <t>SPO-02455-1</t>
        </is>
      </c>
      <c r="B4585" t="inlineStr">
        <is>
          <t>SPO-02455</t>
        </is>
      </c>
      <c r="C4585" t="inlineStr">
        <is>
          <t>SUP-09</t>
        </is>
      </c>
      <c r="D4585" t="inlineStr">
        <is>
          <t>CHEM</t>
        </is>
      </c>
      <c r="E4585" t="inlineStr">
        <is>
          <t>CHEM-06</t>
        </is>
      </c>
      <c r="F4585" s="17" t="n">
        <v>46254</v>
      </c>
      <c r="G4585" s="17" t="n">
        <v>46268</v>
      </c>
      <c r="H4585" s="18" t="n">
        <v>6</v>
      </c>
      <c r="I4585" s="19" t="n">
        <v>389.53</v>
      </c>
      <c r="J4585" s="19" t="n">
        <v>380</v>
      </c>
      <c r="K4585" s="20" t="n">
        <v>0</v>
      </c>
      <c r="L4585" s="20" t="n">
        <v>0</v>
      </c>
      <c r="M4585" s="18" t="n">
        <v>6</v>
      </c>
      <c r="N4585" s="18" t="n">
        <v>6</v>
      </c>
      <c r="O4585" s="18" t="n">
        <v>0</v>
      </c>
      <c r="P4585" s="17" t="n">
        <v>46268</v>
      </c>
      <c r="Q4585" s="17" t="n">
        <v>46268</v>
      </c>
      <c r="R4585" s="17" t="n">
        <v>46268</v>
      </c>
      <c r="S4585" s="19">
        <f>H4585*I4585</f>
        <v/>
      </c>
      <c r="T4585" s="19">
        <f>H4585*J4585</f>
        <v/>
      </c>
      <c r="U4585">
        <f>IF(AND(K4585=0,G4585&lt;=Assumptions!$C$6),1,0)</f>
        <v/>
      </c>
      <c r="V4585">
        <f>IF(U4585=1,IF(M4585&gt;0,IF(P4585&lt;=G4585+Assumptions!$C$7,1,0),0),0)</f>
        <v/>
      </c>
      <c r="W4585">
        <f>IF(AND(U4585=1,M4585&gt;=H4585*(1-Assumptions!$C$8)),1,0)</f>
        <v/>
      </c>
      <c r="X4585">
        <f>IF(AND(U4585=1,N4585&gt;=H4585*(1-Assumptions!$C$8)),1,0)</f>
        <v/>
      </c>
      <c r="Y4585">
        <f>IF(ISNUMBER(Q4585),1,0)</f>
        <v/>
      </c>
      <c r="Z4585">
        <f>IF(AND(K4585=0,L4585=0,Y4585=0),1,0)</f>
        <v/>
      </c>
      <c r="AA4585">
        <f>IF(AND(Z4585=1,G4585&lt;Assumptions!$C$6),1,0)</f>
        <v/>
      </c>
      <c r="AB4585">
        <f>IF(U4585=0,"",IF(Y4585=1,MAX(0,Q4585-G4585),IF(L4585=1,MAX(0,R4585-G4585),MAX(0,Assumptions!$C$6-G4585))))</f>
        <v/>
      </c>
      <c r="AC4585">
        <f>IF(Y4585=1,Q4585-F4585,"")</f>
        <v/>
      </c>
      <c r="AD4585">
        <f>IF(Y4585=1,AC4585^2,"")</f>
        <v/>
      </c>
      <c r="AE4585" s="19">
        <f>IF(Z4585=1,(H4585-M4585)*I4585,0)</f>
        <v/>
      </c>
      <c r="AF4585">
        <f>IF(G4585&lt;EDATE(Assumptions!$C$6,-12)+1,"prior_12m","last_12m")</f>
        <v/>
      </c>
      <c r="AG4585" s="21">
        <f>DATE(YEAR(G4585),MONTH(G4585),1)</f>
        <v/>
      </c>
    </row>
    <row r="4586">
      <c r="A4586" t="inlineStr">
        <is>
          <t>SPO-02455-2</t>
        </is>
      </c>
      <c r="B4586" t="inlineStr">
        <is>
          <t>SPO-02455</t>
        </is>
      </c>
      <c r="C4586" t="inlineStr">
        <is>
          <t>SUP-09</t>
        </is>
      </c>
      <c r="D4586" t="inlineStr">
        <is>
          <t>CHEM</t>
        </is>
      </c>
      <c r="E4586" t="inlineStr">
        <is>
          <t>CHEM-01</t>
        </is>
      </c>
      <c r="F4586" s="17" t="n">
        <v>46254</v>
      </c>
      <c r="G4586" s="17" t="n">
        <v>46268</v>
      </c>
      <c r="H4586" s="18" t="n">
        <v>3</v>
      </c>
      <c r="I4586" s="19" t="n">
        <v>657.0599999999999</v>
      </c>
      <c r="J4586" s="19" t="n">
        <v>640</v>
      </c>
      <c r="K4586" s="20" t="n">
        <v>0</v>
      </c>
      <c r="L4586" s="20" t="n">
        <v>0</v>
      </c>
      <c r="M4586" s="18" t="n">
        <v>3</v>
      </c>
      <c r="N4586" s="18" t="n">
        <v>3</v>
      </c>
      <c r="O4586" s="18" t="n">
        <v>0</v>
      </c>
      <c r="P4586" s="17" t="n">
        <v>46267</v>
      </c>
      <c r="Q4586" s="17" t="n">
        <v>46267</v>
      </c>
      <c r="R4586" s="17" t="n">
        <v>46267</v>
      </c>
      <c r="S4586" s="19">
        <f>H4586*I4586</f>
        <v/>
      </c>
      <c r="T4586" s="19">
        <f>H4586*J4586</f>
        <v/>
      </c>
      <c r="U4586">
        <f>IF(AND(K4586=0,G4586&lt;=Assumptions!$C$6),1,0)</f>
        <v/>
      </c>
      <c r="V4586">
        <f>IF(U4586=1,IF(M4586&gt;0,IF(P4586&lt;=G4586+Assumptions!$C$7,1,0),0),0)</f>
        <v/>
      </c>
      <c r="W4586">
        <f>IF(AND(U4586=1,M4586&gt;=H4586*(1-Assumptions!$C$8)),1,0)</f>
        <v/>
      </c>
      <c r="X4586">
        <f>IF(AND(U4586=1,N4586&gt;=H4586*(1-Assumptions!$C$8)),1,0)</f>
        <v/>
      </c>
      <c r="Y4586">
        <f>IF(ISNUMBER(Q4586),1,0)</f>
        <v/>
      </c>
      <c r="Z4586">
        <f>IF(AND(K4586=0,L4586=0,Y4586=0),1,0)</f>
        <v/>
      </c>
      <c r="AA4586">
        <f>IF(AND(Z4586=1,G4586&lt;Assumptions!$C$6),1,0)</f>
        <v/>
      </c>
      <c r="AB4586">
        <f>IF(U4586=0,"",IF(Y4586=1,MAX(0,Q4586-G4586),IF(L4586=1,MAX(0,R4586-G4586),MAX(0,Assumptions!$C$6-G4586))))</f>
        <v/>
      </c>
      <c r="AC4586">
        <f>IF(Y4586=1,Q4586-F4586,"")</f>
        <v/>
      </c>
      <c r="AD4586">
        <f>IF(Y4586=1,AC4586^2,"")</f>
        <v/>
      </c>
      <c r="AE4586" s="19">
        <f>IF(Z4586=1,(H4586-M4586)*I4586,0)</f>
        <v/>
      </c>
      <c r="AF4586">
        <f>IF(G4586&lt;EDATE(Assumptions!$C$6,-12)+1,"prior_12m","last_12m")</f>
        <v/>
      </c>
      <c r="AG4586" s="21">
        <f>DATE(YEAR(G4586),MONTH(G4586),1)</f>
        <v/>
      </c>
    </row>
    <row r="4587">
      <c r="A4587" t="inlineStr">
        <is>
          <t>SPO-02455-3</t>
        </is>
      </c>
      <c r="B4587" t="inlineStr">
        <is>
          <t>SPO-02455</t>
        </is>
      </c>
      <c r="C4587" t="inlineStr">
        <is>
          <t>SUP-09</t>
        </is>
      </c>
      <c r="D4587" t="inlineStr">
        <is>
          <t>CHEM</t>
        </is>
      </c>
      <c r="E4587" t="inlineStr">
        <is>
          <t>CHEM-04</t>
        </is>
      </c>
      <c r="F4587" s="17" t="n">
        <v>46254</v>
      </c>
      <c r="G4587" s="17" t="n">
        <v>46268</v>
      </c>
      <c r="H4587" s="18" t="n">
        <v>3</v>
      </c>
      <c r="I4587" s="19" t="n">
        <v>841.27</v>
      </c>
      <c r="J4587" s="19" t="n">
        <v>820</v>
      </c>
      <c r="K4587" s="20" t="n">
        <v>0</v>
      </c>
      <c r="L4587" s="20" t="n">
        <v>0</v>
      </c>
      <c r="M4587" s="18" t="n">
        <v>3</v>
      </c>
      <c r="N4587" s="18" t="n">
        <v>3</v>
      </c>
      <c r="O4587" s="18" t="n">
        <v>0</v>
      </c>
      <c r="P4587" s="17" t="n">
        <v>46266</v>
      </c>
      <c r="Q4587" s="17" t="n">
        <v>46266</v>
      </c>
      <c r="R4587" s="17" t="n">
        <v>46266</v>
      </c>
      <c r="S4587" s="19">
        <f>H4587*I4587</f>
        <v/>
      </c>
      <c r="T4587" s="19">
        <f>H4587*J4587</f>
        <v/>
      </c>
      <c r="U4587">
        <f>IF(AND(K4587=0,G4587&lt;=Assumptions!$C$6),1,0)</f>
        <v/>
      </c>
      <c r="V4587">
        <f>IF(U4587=1,IF(M4587&gt;0,IF(P4587&lt;=G4587+Assumptions!$C$7,1,0),0),0)</f>
        <v/>
      </c>
      <c r="W4587">
        <f>IF(AND(U4587=1,M4587&gt;=H4587*(1-Assumptions!$C$8)),1,0)</f>
        <v/>
      </c>
      <c r="X4587">
        <f>IF(AND(U4587=1,N4587&gt;=H4587*(1-Assumptions!$C$8)),1,0)</f>
        <v/>
      </c>
      <c r="Y4587">
        <f>IF(ISNUMBER(Q4587),1,0)</f>
        <v/>
      </c>
      <c r="Z4587">
        <f>IF(AND(K4587=0,L4587=0,Y4587=0),1,0)</f>
        <v/>
      </c>
      <c r="AA4587">
        <f>IF(AND(Z4587=1,G4587&lt;Assumptions!$C$6),1,0)</f>
        <v/>
      </c>
      <c r="AB4587">
        <f>IF(U4587=0,"",IF(Y4587=1,MAX(0,Q4587-G4587),IF(L4587=1,MAX(0,R4587-G4587),MAX(0,Assumptions!$C$6-G4587))))</f>
        <v/>
      </c>
      <c r="AC4587">
        <f>IF(Y4587=1,Q4587-F4587,"")</f>
        <v/>
      </c>
      <c r="AD4587">
        <f>IF(Y4587=1,AC4587^2,"")</f>
        <v/>
      </c>
      <c r="AE4587" s="19">
        <f>IF(Z4587=1,(H4587-M4587)*I4587,0)</f>
        <v/>
      </c>
      <c r="AF4587">
        <f>IF(G4587&lt;EDATE(Assumptions!$C$6,-12)+1,"prior_12m","last_12m")</f>
        <v/>
      </c>
      <c r="AG4587" s="21">
        <f>DATE(YEAR(G4587),MONTH(G4587),1)</f>
        <v/>
      </c>
    </row>
    <row r="4588">
      <c r="A4588" t="inlineStr">
        <is>
          <t>SPO-02456-1</t>
        </is>
      </c>
      <c r="B4588" t="inlineStr">
        <is>
          <t>SPO-02456</t>
        </is>
      </c>
      <c r="C4588" t="inlineStr">
        <is>
          <t>SUP-02</t>
        </is>
      </c>
      <c r="D4588" t="inlineStr">
        <is>
          <t>ELEC</t>
        </is>
      </c>
      <c r="E4588" t="inlineStr">
        <is>
          <t>ELEC-06</t>
        </is>
      </c>
      <c r="F4588" s="17" t="n">
        <v>46254</v>
      </c>
      <c r="G4588" s="17" t="n">
        <v>46270</v>
      </c>
      <c r="H4588" s="18" t="n">
        <v>8</v>
      </c>
      <c r="I4588" s="19" t="n">
        <v>140.98</v>
      </c>
      <c r="J4588" s="19" t="n">
        <v>145</v>
      </c>
      <c r="K4588" s="20" t="n">
        <v>0</v>
      </c>
      <c r="L4588" s="20" t="n">
        <v>0</v>
      </c>
      <c r="M4588" s="18" t="n">
        <v>8</v>
      </c>
      <c r="N4588" s="18" t="n">
        <v>8</v>
      </c>
      <c r="O4588" s="18" t="n">
        <v>0</v>
      </c>
      <c r="P4588" s="17" t="n">
        <v>46268</v>
      </c>
      <c r="Q4588" s="17" t="n">
        <v>46268</v>
      </c>
      <c r="R4588" s="17" t="n">
        <v>46268</v>
      </c>
      <c r="S4588" s="19">
        <f>H4588*I4588</f>
        <v/>
      </c>
      <c r="T4588" s="19">
        <f>H4588*J4588</f>
        <v/>
      </c>
      <c r="U4588">
        <f>IF(AND(K4588=0,G4588&lt;=Assumptions!$C$6),1,0)</f>
        <v/>
      </c>
      <c r="V4588">
        <f>IF(U4588=1,IF(M4588&gt;0,IF(P4588&lt;=G4588+Assumptions!$C$7,1,0),0),0)</f>
        <v/>
      </c>
      <c r="W4588">
        <f>IF(AND(U4588=1,M4588&gt;=H4588*(1-Assumptions!$C$8)),1,0)</f>
        <v/>
      </c>
      <c r="X4588">
        <f>IF(AND(U4588=1,N4588&gt;=H4588*(1-Assumptions!$C$8)),1,0)</f>
        <v/>
      </c>
      <c r="Y4588">
        <f>IF(ISNUMBER(Q4588),1,0)</f>
        <v/>
      </c>
      <c r="Z4588">
        <f>IF(AND(K4588=0,L4588=0,Y4588=0),1,0)</f>
        <v/>
      </c>
      <c r="AA4588">
        <f>IF(AND(Z4588=1,G4588&lt;Assumptions!$C$6),1,0)</f>
        <v/>
      </c>
      <c r="AB4588">
        <f>IF(U4588=0,"",IF(Y4588=1,MAX(0,Q4588-G4588),IF(L4588=1,MAX(0,R4588-G4588),MAX(0,Assumptions!$C$6-G4588))))</f>
        <v/>
      </c>
      <c r="AC4588">
        <f>IF(Y4588=1,Q4588-F4588,"")</f>
        <v/>
      </c>
      <c r="AD4588">
        <f>IF(Y4588=1,AC4588^2,"")</f>
        <v/>
      </c>
      <c r="AE4588" s="19">
        <f>IF(Z4588=1,(H4588-M4588)*I4588,0)</f>
        <v/>
      </c>
      <c r="AF4588">
        <f>IF(G4588&lt;EDATE(Assumptions!$C$6,-12)+1,"prior_12m","last_12m")</f>
        <v/>
      </c>
      <c r="AG4588" s="21">
        <f>DATE(YEAR(G4588),MONTH(G4588),1)</f>
        <v/>
      </c>
    </row>
    <row r="4589">
      <c r="A4589" t="inlineStr">
        <is>
          <t>SPO-02457-1</t>
        </is>
      </c>
      <c r="B4589" t="inlineStr">
        <is>
          <t>SPO-02457</t>
        </is>
      </c>
      <c r="C4589" t="inlineStr">
        <is>
          <t>SUP-06</t>
        </is>
      </c>
      <c r="D4589" t="inlineStr">
        <is>
          <t>MRO</t>
        </is>
      </c>
      <c r="E4589" t="inlineStr">
        <is>
          <t>MRO-01</t>
        </is>
      </c>
      <c r="F4589" s="17" t="n">
        <v>46254</v>
      </c>
      <c r="G4589" s="17" t="n">
        <v>46262</v>
      </c>
      <c r="H4589" s="18" t="n">
        <v>58</v>
      </c>
      <c r="I4589" s="19" t="n">
        <v>53.02</v>
      </c>
      <c r="J4589" s="19" t="n">
        <v>52</v>
      </c>
      <c r="K4589" s="20" t="n">
        <v>0</v>
      </c>
      <c r="L4589" s="20" t="n">
        <v>0</v>
      </c>
      <c r="M4589" s="18" t="n">
        <v>58</v>
      </c>
      <c r="N4589" s="18" t="n">
        <v>58</v>
      </c>
      <c r="O4589" s="18" t="n">
        <v>0</v>
      </c>
      <c r="P4589" s="17" t="n">
        <v>46259</v>
      </c>
      <c r="Q4589" s="17" t="n">
        <v>46259</v>
      </c>
      <c r="R4589" s="17" t="n">
        <v>46259</v>
      </c>
      <c r="S4589" s="19">
        <f>H4589*I4589</f>
        <v/>
      </c>
      <c r="T4589" s="19">
        <f>H4589*J4589</f>
        <v/>
      </c>
      <c r="U4589">
        <f>IF(AND(K4589=0,G4589&lt;=Assumptions!$C$6),1,0)</f>
        <v/>
      </c>
      <c r="V4589">
        <f>IF(U4589=1,IF(M4589&gt;0,IF(P4589&lt;=G4589+Assumptions!$C$7,1,0),0),0)</f>
        <v/>
      </c>
      <c r="W4589">
        <f>IF(AND(U4589=1,M4589&gt;=H4589*(1-Assumptions!$C$8)),1,0)</f>
        <v/>
      </c>
      <c r="X4589">
        <f>IF(AND(U4589=1,N4589&gt;=H4589*(1-Assumptions!$C$8)),1,0)</f>
        <v/>
      </c>
      <c r="Y4589">
        <f>IF(ISNUMBER(Q4589),1,0)</f>
        <v/>
      </c>
      <c r="Z4589">
        <f>IF(AND(K4589=0,L4589=0,Y4589=0),1,0)</f>
        <v/>
      </c>
      <c r="AA4589">
        <f>IF(AND(Z4589=1,G4589&lt;Assumptions!$C$6),1,0)</f>
        <v/>
      </c>
      <c r="AB4589">
        <f>IF(U4589=0,"",IF(Y4589=1,MAX(0,Q4589-G4589),IF(L4589=1,MAX(0,R4589-G4589),MAX(0,Assumptions!$C$6-G4589))))</f>
        <v/>
      </c>
      <c r="AC4589">
        <f>IF(Y4589=1,Q4589-F4589,"")</f>
        <v/>
      </c>
      <c r="AD4589">
        <f>IF(Y4589=1,AC4589^2,"")</f>
        <v/>
      </c>
      <c r="AE4589" s="19">
        <f>IF(Z4589=1,(H4589-M4589)*I4589,0)</f>
        <v/>
      </c>
      <c r="AF4589">
        <f>IF(G4589&lt;EDATE(Assumptions!$C$6,-12)+1,"prior_12m","last_12m")</f>
        <v/>
      </c>
      <c r="AG4589" s="21">
        <f>DATE(YEAR(G4589),MONTH(G4589),1)</f>
        <v/>
      </c>
    </row>
    <row r="4590">
      <c r="A4590" t="inlineStr">
        <is>
          <t>SPO-02458-1</t>
        </is>
      </c>
      <c r="B4590" t="inlineStr">
        <is>
          <t>SPO-02458</t>
        </is>
      </c>
      <c r="C4590" t="inlineStr">
        <is>
          <t>SUP-01</t>
        </is>
      </c>
      <c r="D4590" t="inlineStr">
        <is>
          <t>ELEC</t>
        </is>
      </c>
      <c r="E4590" t="inlineStr">
        <is>
          <t>ELEC-04</t>
        </is>
      </c>
      <c r="F4590" s="17" t="n">
        <v>46255</v>
      </c>
      <c r="G4590" s="17" t="n">
        <v>46273</v>
      </c>
      <c r="H4590" s="18" t="n">
        <v>59</v>
      </c>
      <c r="I4590" s="19" t="n">
        <v>68.17</v>
      </c>
      <c r="J4590" s="19" t="n">
        <v>72</v>
      </c>
      <c r="K4590" s="20" t="n">
        <v>0</v>
      </c>
      <c r="L4590" s="20" t="n">
        <v>0</v>
      </c>
      <c r="M4590" s="18" t="n">
        <v>59</v>
      </c>
      <c r="N4590" s="18" t="n">
        <v>59</v>
      </c>
      <c r="O4590" s="18" t="n">
        <v>0</v>
      </c>
      <c r="P4590" s="17" t="n">
        <v>46264</v>
      </c>
      <c r="Q4590" s="17" t="n">
        <v>46264</v>
      </c>
      <c r="R4590" s="17" t="n">
        <v>46264</v>
      </c>
      <c r="S4590" s="19">
        <f>H4590*I4590</f>
        <v/>
      </c>
      <c r="T4590" s="19">
        <f>H4590*J4590</f>
        <v/>
      </c>
      <c r="U4590">
        <f>IF(AND(K4590=0,G4590&lt;=Assumptions!$C$6),1,0)</f>
        <v/>
      </c>
      <c r="V4590">
        <f>IF(U4590=1,IF(M4590&gt;0,IF(P4590&lt;=G4590+Assumptions!$C$7,1,0),0),0)</f>
        <v/>
      </c>
      <c r="W4590">
        <f>IF(AND(U4590=1,M4590&gt;=H4590*(1-Assumptions!$C$8)),1,0)</f>
        <v/>
      </c>
      <c r="X4590">
        <f>IF(AND(U4590=1,N4590&gt;=H4590*(1-Assumptions!$C$8)),1,0)</f>
        <v/>
      </c>
      <c r="Y4590">
        <f>IF(ISNUMBER(Q4590),1,0)</f>
        <v/>
      </c>
      <c r="Z4590">
        <f>IF(AND(K4590=0,L4590=0,Y4590=0),1,0)</f>
        <v/>
      </c>
      <c r="AA4590">
        <f>IF(AND(Z4590=1,G4590&lt;Assumptions!$C$6),1,0)</f>
        <v/>
      </c>
      <c r="AB4590">
        <f>IF(U4590=0,"",IF(Y4590=1,MAX(0,Q4590-G4590),IF(L4590=1,MAX(0,R4590-G4590),MAX(0,Assumptions!$C$6-G4590))))</f>
        <v/>
      </c>
      <c r="AC4590">
        <f>IF(Y4590=1,Q4590-F4590,"")</f>
        <v/>
      </c>
      <c r="AD4590">
        <f>IF(Y4590=1,AC4590^2,"")</f>
        <v/>
      </c>
      <c r="AE4590" s="19">
        <f>IF(Z4590=1,(H4590-M4590)*I4590,0)</f>
        <v/>
      </c>
      <c r="AF4590">
        <f>IF(G4590&lt;EDATE(Assumptions!$C$6,-12)+1,"prior_12m","last_12m")</f>
        <v/>
      </c>
      <c r="AG4590" s="21">
        <f>DATE(YEAR(G4590),MONTH(G4590),1)</f>
        <v/>
      </c>
    </row>
    <row r="4591">
      <c r="A4591" t="inlineStr">
        <is>
          <t>SPO-02459-1</t>
        </is>
      </c>
      <c r="B4591" t="inlineStr">
        <is>
          <t>SPO-02459</t>
        </is>
      </c>
      <c r="C4591" t="inlineStr">
        <is>
          <t>SUP-01</t>
        </is>
      </c>
      <c r="D4591" t="inlineStr">
        <is>
          <t>ELEC</t>
        </is>
      </c>
      <c r="E4591" t="inlineStr">
        <is>
          <t>ELEC-06</t>
        </is>
      </c>
      <c r="F4591" s="17" t="n">
        <v>46255</v>
      </c>
      <c r="G4591" s="17" t="n">
        <v>46273</v>
      </c>
      <c r="H4591" s="18" t="n">
        <v>11</v>
      </c>
      <c r="I4591" s="19" t="n">
        <v>141.15</v>
      </c>
      <c r="J4591" s="19" t="n">
        <v>145</v>
      </c>
      <c r="K4591" s="20" t="n">
        <v>0</v>
      </c>
      <c r="L4591" s="20" t="n">
        <v>0</v>
      </c>
      <c r="M4591" s="18" t="n">
        <v>11</v>
      </c>
      <c r="N4591" s="18" t="n">
        <v>0</v>
      </c>
      <c r="O4591" s="18" t="n">
        <v>0</v>
      </c>
      <c r="P4591" s="17" t="n">
        <v>46276</v>
      </c>
      <c r="Q4591" s="17" t="n">
        <v>46276</v>
      </c>
      <c r="R4591" s="17" t="n">
        <v>46276</v>
      </c>
      <c r="S4591" s="19">
        <f>H4591*I4591</f>
        <v/>
      </c>
      <c r="T4591" s="19">
        <f>H4591*J4591</f>
        <v/>
      </c>
      <c r="U4591">
        <f>IF(AND(K4591=0,G4591&lt;=Assumptions!$C$6),1,0)</f>
        <v/>
      </c>
      <c r="V4591">
        <f>IF(U4591=1,IF(M4591&gt;0,IF(P4591&lt;=G4591+Assumptions!$C$7,1,0),0),0)</f>
        <v/>
      </c>
      <c r="W4591">
        <f>IF(AND(U4591=1,M4591&gt;=H4591*(1-Assumptions!$C$8)),1,0)</f>
        <v/>
      </c>
      <c r="X4591">
        <f>IF(AND(U4591=1,N4591&gt;=H4591*(1-Assumptions!$C$8)),1,0)</f>
        <v/>
      </c>
      <c r="Y4591">
        <f>IF(ISNUMBER(Q4591),1,0)</f>
        <v/>
      </c>
      <c r="Z4591">
        <f>IF(AND(K4591=0,L4591=0,Y4591=0),1,0)</f>
        <v/>
      </c>
      <c r="AA4591">
        <f>IF(AND(Z4591=1,G4591&lt;Assumptions!$C$6),1,0)</f>
        <v/>
      </c>
      <c r="AB4591">
        <f>IF(U4591=0,"",IF(Y4591=1,MAX(0,Q4591-G4591),IF(L4591=1,MAX(0,R4591-G4591),MAX(0,Assumptions!$C$6-G4591))))</f>
        <v/>
      </c>
      <c r="AC4591">
        <f>IF(Y4591=1,Q4591-F4591,"")</f>
        <v/>
      </c>
      <c r="AD4591">
        <f>IF(Y4591=1,AC4591^2,"")</f>
        <v/>
      </c>
      <c r="AE4591" s="19">
        <f>IF(Z4591=1,(H4591-M4591)*I4591,0)</f>
        <v/>
      </c>
      <c r="AF4591">
        <f>IF(G4591&lt;EDATE(Assumptions!$C$6,-12)+1,"prior_12m","last_12m")</f>
        <v/>
      </c>
      <c r="AG4591" s="21">
        <f>DATE(YEAR(G4591),MONTH(G4591),1)</f>
        <v/>
      </c>
    </row>
    <row r="4592">
      <c r="A4592" t="inlineStr">
        <is>
          <t>SPO-02460-1</t>
        </is>
      </c>
      <c r="B4592" t="inlineStr">
        <is>
          <t>SPO-02460</t>
        </is>
      </c>
      <c r="C4592" t="inlineStr">
        <is>
          <t>SUP-08</t>
        </is>
      </c>
      <c r="D4592" t="inlineStr">
        <is>
          <t>MRO</t>
        </is>
      </c>
      <c r="E4592" t="inlineStr">
        <is>
          <t>MRO-07</t>
        </is>
      </c>
      <c r="F4592" s="17" t="n">
        <v>46255</v>
      </c>
      <c r="G4592" s="17" t="n">
        <v>46266</v>
      </c>
      <c r="H4592" s="18" t="n">
        <v>198</v>
      </c>
      <c r="I4592" s="19" t="n">
        <v>14.56</v>
      </c>
      <c r="J4592" s="19" t="n">
        <v>14</v>
      </c>
      <c r="K4592" s="20" t="n">
        <v>0</v>
      </c>
      <c r="L4592" s="20" t="n">
        <v>0</v>
      </c>
      <c r="M4592" s="18" t="n">
        <v>198</v>
      </c>
      <c r="N4592" s="18" t="n">
        <v>198</v>
      </c>
      <c r="O4592" s="18" t="n">
        <v>0</v>
      </c>
      <c r="P4592" s="17" t="n">
        <v>46263</v>
      </c>
      <c r="Q4592" s="17" t="n">
        <v>46263</v>
      </c>
      <c r="R4592" s="17" t="n">
        <v>46263</v>
      </c>
      <c r="S4592" s="19">
        <f>H4592*I4592</f>
        <v/>
      </c>
      <c r="T4592" s="19">
        <f>H4592*J4592</f>
        <v/>
      </c>
      <c r="U4592">
        <f>IF(AND(K4592=0,G4592&lt;=Assumptions!$C$6),1,0)</f>
        <v/>
      </c>
      <c r="V4592">
        <f>IF(U4592=1,IF(M4592&gt;0,IF(P4592&lt;=G4592+Assumptions!$C$7,1,0),0),0)</f>
        <v/>
      </c>
      <c r="W4592">
        <f>IF(AND(U4592=1,M4592&gt;=H4592*(1-Assumptions!$C$8)),1,0)</f>
        <v/>
      </c>
      <c r="X4592">
        <f>IF(AND(U4592=1,N4592&gt;=H4592*(1-Assumptions!$C$8)),1,0)</f>
        <v/>
      </c>
      <c r="Y4592">
        <f>IF(ISNUMBER(Q4592),1,0)</f>
        <v/>
      </c>
      <c r="Z4592">
        <f>IF(AND(K4592=0,L4592=0,Y4592=0),1,0)</f>
        <v/>
      </c>
      <c r="AA4592">
        <f>IF(AND(Z4592=1,G4592&lt;Assumptions!$C$6),1,0)</f>
        <v/>
      </c>
      <c r="AB4592">
        <f>IF(U4592=0,"",IF(Y4592=1,MAX(0,Q4592-G4592),IF(L4592=1,MAX(0,R4592-G4592),MAX(0,Assumptions!$C$6-G4592))))</f>
        <v/>
      </c>
      <c r="AC4592">
        <f>IF(Y4592=1,Q4592-F4592,"")</f>
        <v/>
      </c>
      <c r="AD4592">
        <f>IF(Y4592=1,AC4592^2,"")</f>
        <v/>
      </c>
      <c r="AE4592" s="19">
        <f>IF(Z4592=1,(H4592-M4592)*I4592,0)</f>
        <v/>
      </c>
      <c r="AF4592">
        <f>IF(G4592&lt;EDATE(Assumptions!$C$6,-12)+1,"prior_12m","last_12m")</f>
        <v/>
      </c>
      <c r="AG4592" s="21">
        <f>DATE(YEAR(G4592),MONTH(G4592),1)</f>
        <v/>
      </c>
    </row>
    <row r="4593">
      <c r="A4593" t="inlineStr">
        <is>
          <t>SPO-02460-2</t>
        </is>
      </c>
      <c r="B4593" t="inlineStr">
        <is>
          <t>SPO-02460</t>
        </is>
      </c>
      <c r="C4593" t="inlineStr">
        <is>
          <t>SUP-08</t>
        </is>
      </c>
      <c r="D4593" t="inlineStr">
        <is>
          <t>MRO</t>
        </is>
      </c>
      <c r="E4593" t="inlineStr">
        <is>
          <t>MRO-06</t>
        </is>
      </c>
      <c r="F4593" s="17" t="n">
        <v>46255</v>
      </c>
      <c r="G4593" s="17" t="n">
        <v>46266</v>
      </c>
      <c r="H4593" s="18" t="n">
        <v>172</v>
      </c>
      <c r="I4593" s="19" t="n">
        <v>6.03</v>
      </c>
      <c r="J4593" s="19" t="n">
        <v>6.1</v>
      </c>
      <c r="K4593" s="20" t="n">
        <v>0</v>
      </c>
      <c r="L4593" s="20" t="n">
        <v>0</v>
      </c>
      <c r="M4593" s="18" t="n">
        <v>172</v>
      </c>
      <c r="N4593" s="18" t="n">
        <v>172</v>
      </c>
      <c r="O4593" s="18" t="n">
        <v>0</v>
      </c>
      <c r="P4593" s="17" t="n">
        <v>46263</v>
      </c>
      <c r="Q4593" s="17" t="n">
        <v>46263</v>
      </c>
      <c r="R4593" s="17" t="n">
        <v>46263</v>
      </c>
      <c r="S4593" s="19">
        <f>H4593*I4593</f>
        <v/>
      </c>
      <c r="T4593" s="19">
        <f>H4593*J4593</f>
        <v/>
      </c>
      <c r="U4593">
        <f>IF(AND(K4593=0,G4593&lt;=Assumptions!$C$6),1,0)</f>
        <v/>
      </c>
      <c r="V4593">
        <f>IF(U4593=1,IF(M4593&gt;0,IF(P4593&lt;=G4593+Assumptions!$C$7,1,0),0),0)</f>
        <v/>
      </c>
      <c r="W4593">
        <f>IF(AND(U4593=1,M4593&gt;=H4593*(1-Assumptions!$C$8)),1,0)</f>
        <v/>
      </c>
      <c r="X4593">
        <f>IF(AND(U4593=1,N4593&gt;=H4593*(1-Assumptions!$C$8)),1,0)</f>
        <v/>
      </c>
      <c r="Y4593">
        <f>IF(ISNUMBER(Q4593),1,0)</f>
        <v/>
      </c>
      <c r="Z4593">
        <f>IF(AND(K4593=0,L4593=0,Y4593=0),1,0)</f>
        <v/>
      </c>
      <c r="AA4593">
        <f>IF(AND(Z4593=1,G4593&lt;Assumptions!$C$6),1,0)</f>
        <v/>
      </c>
      <c r="AB4593">
        <f>IF(U4593=0,"",IF(Y4593=1,MAX(0,Q4593-G4593),IF(L4593=1,MAX(0,R4593-G4593),MAX(0,Assumptions!$C$6-G4593))))</f>
        <v/>
      </c>
      <c r="AC4593">
        <f>IF(Y4593=1,Q4593-F4593,"")</f>
        <v/>
      </c>
      <c r="AD4593">
        <f>IF(Y4593=1,AC4593^2,"")</f>
        <v/>
      </c>
      <c r="AE4593" s="19">
        <f>IF(Z4593=1,(H4593-M4593)*I4593,0)</f>
        <v/>
      </c>
      <c r="AF4593">
        <f>IF(G4593&lt;EDATE(Assumptions!$C$6,-12)+1,"prior_12m","last_12m")</f>
        <v/>
      </c>
      <c r="AG4593" s="21">
        <f>DATE(YEAR(G4593),MONTH(G4593),1)</f>
        <v/>
      </c>
    </row>
    <row r="4594">
      <c r="A4594" t="inlineStr">
        <is>
          <t>SPO-02460-3</t>
        </is>
      </c>
      <c r="B4594" t="inlineStr">
        <is>
          <t>SPO-02460</t>
        </is>
      </c>
      <c r="C4594" t="inlineStr">
        <is>
          <t>SUP-08</t>
        </is>
      </c>
      <c r="D4594" t="inlineStr">
        <is>
          <t>MRO</t>
        </is>
      </c>
      <c r="E4594" t="inlineStr">
        <is>
          <t>MRO-08</t>
        </is>
      </c>
      <c r="F4594" s="17" t="n">
        <v>46255</v>
      </c>
      <c r="G4594" s="17" t="n">
        <v>46266</v>
      </c>
      <c r="H4594" s="18" t="n">
        <v>206</v>
      </c>
      <c r="I4594" s="19" t="n">
        <v>7.22</v>
      </c>
      <c r="J4594" s="19" t="n">
        <v>7.2</v>
      </c>
      <c r="K4594" s="20" t="n">
        <v>0</v>
      </c>
      <c r="L4594" s="20" t="n">
        <v>0</v>
      </c>
      <c r="M4594" s="18" t="n">
        <v>206</v>
      </c>
      <c r="N4594" s="18" t="n">
        <v>206</v>
      </c>
      <c r="O4594" s="18" t="n">
        <v>0</v>
      </c>
      <c r="P4594" s="17" t="n">
        <v>46261</v>
      </c>
      <c r="Q4594" s="17" t="n">
        <v>46261</v>
      </c>
      <c r="R4594" s="17" t="n">
        <v>46261</v>
      </c>
      <c r="S4594" s="19">
        <f>H4594*I4594</f>
        <v/>
      </c>
      <c r="T4594" s="19">
        <f>H4594*J4594</f>
        <v/>
      </c>
      <c r="U4594">
        <f>IF(AND(K4594=0,G4594&lt;=Assumptions!$C$6),1,0)</f>
        <v/>
      </c>
      <c r="V4594">
        <f>IF(U4594=1,IF(M4594&gt;0,IF(P4594&lt;=G4594+Assumptions!$C$7,1,0),0),0)</f>
        <v/>
      </c>
      <c r="W4594">
        <f>IF(AND(U4594=1,M4594&gt;=H4594*(1-Assumptions!$C$8)),1,0)</f>
        <v/>
      </c>
      <c r="X4594">
        <f>IF(AND(U4594=1,N4594&gt;=H4594*(1-Assumptions!$C$8)),1,0)</f>
        <v/>
      </c>
      <c r="Y4594">
        <f>IF(ISNUMBER(Q4594),1,0)</f>
        <v/>
      </c>
      <c r="Z4594">
        <f>IF(AND(K4594=0,L4594=0,Y4594=0),1,0)</f>
        <v/>
      </c>
      <c r="AA4594">
        <f>IF(AND(Z4594=1,G4594&lt;Assumptions!$C$6),1,0)</f>
        <v/>
      </c>
      <c r="AB4594">
        <f>IF(U4594=0,"",IF(Y4594=1,MAX(0,Q4594-G4594),IF(L4594=1,MAX(0,R4594-G4594),MAX(0,Assumptions!$C$6-G4594))))</f>
        <v/>
      </c>
      <c r="AC4594">
        <f>IF(Y4594=1,Q4594-F4594,"")</f>
        <v/>
      </c>
      <c r="AD4594">
        <f>IF(Y4594=1,AC4594^2,"")</f>
        <v/>
      </c>
      <c r="AE4594" s="19">
        <f>IF(Z4594=1,(H4594-M4594)*I4594,0)</f>
        <v/>
      </c>
      <c r="AF4594">
        <f>IF(G4594&lt;EDATE(Assumptions!$C$6,-12)+1,"prior_12m","last_12m")</f>
        <v/>
      </c>
      <c r="AG4594" s="21">
        <f>DATE(YEAR(G4594),MONTH(G4594),1)</f>
        <v/>
      </c>
    </row>
    <row r="4595">
      <c r="A4595" t="inlineStr">
        <is>
          <t>SPO-02461-1</t>
        </is>
      </c>
      <c r="B4595" t="inlineStr">
        <is>
          <t>SPO-02461</t>
        </is>
      </c>
      <c r="C4595" t="inlineStr">
        <is>
          <t>SUP-02</t>
        </is>
      </c>
      <c r="D4595" t="inlineStr">
        <is>
          <t>ELEC</t>
        </is>
      </c>
      <c r="E4595" t="inlineStr">
        <is>
          <t>ELEC-04</t>
        </is>
      </c>
      <c r="F4595" s="17" t="n">
        <v>46255</v>
      </c>
      <c r="G4595" s="17" t="n">
        <v>46271</v>
      </c>
      <c r="H4595" s="18" t="n">
        <v>74</v>
      </c>
      <c r="I4595" s="19" t="n">
        <v>71.66</v>
      </c>
      <c r="J4595" s="19" t="n">
        <v>72</v>
      </c>
      <c r="K4595" s="20" t="n">
        <v>0</v>
      </c>
      <c r="L4595" s="20" t="n">
        <v>0</v>
      </c>
      <c r="M4595" s="18" t="n">
        <v>74</v>
      </c>
      <c r="N4595" s="18" t="n">
        <v>74</v>
      </c>
      <c r="O4595" s="18" t="n">
        <v>0</v>
      </c>
      <c r="P4595" s="17" t="n">
        <v>46264</v>
      </c>
      <c r="Q4595" s="17" t="n">
        <v>46264</v>
      </c>
      <c r="R4595" s="17" t="n">
        <v>46264</v>
      </c>
      <c r="S4595" s="19">
        <f>H4595*I4595</f>
        <v/>
      </c>
      <c r="T4595" s="19">
        <f>H4595*J4595</f>
        <v/>
      </c>
      <c r="U4595">
        <f>IF(AND(K4595=0,G4595&lt;=Assumptions!$C$6),1,0)</f>
        <v/>
      </c>
      <c r="V4595">
        <f>IF(U4595=1,IF(M4595&gt;0,IF(P4595&lt;=G4595+Assumptions!$C$7,1,0),0),0)</f>
        <v/>
      </c>
      <c r="W4595">
        <f>IF(AND(U4595=1,M4595&gt;=H4595*(1-Assumptions!$C$8)),1,0)</f>
        <v/>
      </c>
      <c r="X4595">
        <f>IF(AND(U4595=1,N4595&gt;=H4595*(1-Assumptions!$C$8)),1,0)</f>
        <v/>
      </c>
      <c r="Y4595">
        <f>IF(ISNUMBER(Q4595),1,0)</f>
        <v/>
      </c>
      <c r="Z4595">
        <f>IF(AND(K4595=0,L4595=0,Y4595=0),1,0)</f>
        <v/>
      </c>
      <c r="AA4595">
        <f>IF(AND(Z4595=1,G4595&lt;Assumptions!$C$6),1,0)</f>
        <v/>
      </c>
      <c r="AB4595">
        <f>IF(U4595=0,"",IF(Y4595=1,MAX(0,Q4595-G4595),IF(L4595=1,MAX(0,R4595-G4595),MAX(0,Assumptions!$C$6-G4595))))</f>
        <v/>
      </c>
      <c r="AC4595">
        <f>IF(Y4595=1,Q4595-F4595,"")</f>
        <v/>
      </c>
      <c r="AD4595">
        <f>IF(Y4595=1,AC4595^2,"")</f>
        <v/>
      </c>
      <c r="AE4595" s="19">
        <f>IF(Z4595=1,(H4595-M4595)*I4595,0)</f>
        <v/>
      </c>
      <c r="AF4595">
        <f>IF(G4595&lt;EDATE(Assumptions!$C$6,-12)+1,"prior_12m","last_12m")</f>
        <v/>
      </c>
      <c r="AG4595" s="21">
        <f>DATE(YEAR(G4595),MONTH(G4595),1)</f>
        <v/>
      </c>
    </row>
    <row r="4596">
      <c r="A4596" t="inlineStr">
        <is>
          <t>SPO-02462-1</t>
        </is>
      </c>
      <c r="B4596" t="inlineStr">
        <is>
          <t>SPO-02462</t>
        </is>
      </c>
      <c r="C4596" t="inlineStr">
        <is>
          <t>SUP-06</t>
        </is>
      </c>
      <c r="D4596" t="inlineStr">
        <is>
          <t>MRO</t>
        </is>
      </c>
      <c r="E4596" t="inlineStr">
        <is>
          <t>MRO-04</t>
        </is>
      </c>
      <c r="F4596" s="17" t="n">
        <v>46255</v>
      </c>
      <c r="G4596" s="17" t="n">
        <v>46263</v>
      </c>
      <c r="H4596" s="18" t="n">
        <v>10</v>
      </c>
      <c r="I4596" s="19" t="n">
        <v>57.76</v>
      </c>
      <c r="J4596" s="19" t="n">
        <v>58</v>
      </c>
      <c r="K4596" s="20" t="n">
        <v>0</v>
      </c>
      <c r="L4596" s="20" t="n">
        <v>0</v>
      </c>
      <c r="M4596" s="18" t="n">
        <v>10</v>
      </c>
      <c r="N4596" s="18" t="n">
        <v>10</v>
      </c>
      <c r="O4596" s="18" t="n">
        <v>0</v>
      </c>
      <c r="P4596" s="17" t="n">
        <v>46261</v>
      </c>
      <c r="Q4596" s="17" t="n">
        <v>46261</v>
      </c>
      <c r="R4596" s="17" t="n">
        <v>46261</v>
      </c>
      <c r="S4596" s="19">
        <f>H4596*I4596</f>
        <v/>
      </c>
      <c r="T4596" s="19">
        <f>H4596*J4596</f>
        <v/>
      </c>
      <c r="U4596">
        <f>IF(AND(K4596=0,G4596&lt;=Assumptions!$C$6),1,0)</f>
        <v/>
      </c>
      <c r="V4596">
        <f>IF(U4596=1,IF(M4596&gt;0,IF(P4596&lt;=G4596+Assumptions!$C$7,1,0),0),0)</f>
        <v/>
      </c>
      <c r="W4596">
        <f>IF(AND(U4596=1,M4596&gt;=H4596*(1-Assumptions!$C$8)),1,0)</f>
        <v/>
      </c>
      <c r="X4596">
        <f>IF(AND(U4596=1,N4596&gt;=H4596*(1-Assumptions!$C$8)),1,0)</f>
        <v/>
      </c>
      <c r="Y4596">
        <f>IF(ISNUMBER(Q4596),1,0)</f>
        <v/>
      </c>
      <c r="Z4596">
        <f>IF(AND(K4596=0,L4596=0,Y4596=0),1,0)</f>
        <v/>
      </c>
      <c r="AA4596">
        <f>IF(AND(Z4596=1,G4596&lt;Assumptions!$C$6),1,0)</f>
        <v/>
      </c>
      <c r="AB4596">
        <f>IF(U4596=0,"",IF(Y4596=1,MAX(0,Q4596-G4596),IF(L4596=1,MAX(0,R4596-G4596),MAX(0,Assumptions!$C$6-G4596))))</f>
        <v/>
      </c>
      <c r="AC4596">
        <f>IF(Y4596=1,Q4596-F4596,"")</f>
        <v/>
      </c>
      <c r="AD4596">
        <f>IF(Y4596=1,AC4596^2,"")</f>
        <v/>
      </c>
      <c r="AE4596" s="19">
        <f>IF(Z4596=1,(H4596-M4596)*I4596,0)</f>
        <v/>
      </c>
      <c r="AF4596">
        <f>IF(G4596&lt;EDATE(Assumptions!$C$6,-12)+1,"prior_12m","last_12m")</f>
        <v/>
      </c>
      <c r="AG4596" s="21">
        <f>DATE(YEAR(G4596),MONTH(G4596),1)</f>
        <v/>
      </c>
    </row>
    <row r="4597">
      <c r="A4597" t="inlineStr">
        <is>
          <t>SPO-02462-2</t>
        </is>
      </c>
      <c r="B4597" t="inlineStr">
        <is>
          <t>SPO-02462</t>
        </is>
      </c>
      <c r="C4597" t="inlineStr">
        <is>
          <t>SUP-06</t>
        </is>
      </c>
      <c r="D4597" t="inlineStr">
        <is>
          <t>MRO</t>
        </is>
      </c>
      <c r="E4597" t="inlineStr">
        <is>
          <t>MRO-01</t>
        </is>
      </c>
      <c r="F4597" s="17" t="n">
        <v>46255</v>
      </c>
      <c r="G4597" s="17" t="n">
        <v>46263</v>
      </c>
      <c r="H4597" s="18" t="n">
        <v>27</v>
      </c>
      <c r="I4597" s="19" t="n">
        <v>52.77</v>
      </c>
      <c r="J4597" s="19" t="n">
        <v>52</v>
      </c>
      <c r="K4597" s="20" t="n">
        <v>0</v>
      </c>
      <c r="L4597" s="20" t="n">
        <v>0</v>
      </c>
      <c r="M4597" s="18" t="n">
        <v>27</v>
      </c>
      <c r="N4597" s="18" t="n">
        <v>27</v>
      </c>
      <c r="O4597" s="18" t="n">
        <v>0</v>
      </c>
      <c r="P4597" s="17" t="n">
        <v>46261</v>
      </c>
      <c r="Q4597" s="17" t="n">
        <v>46261</v>
      </c>
      <c r="R4597" s="17" t="n">
        <v>46261</v>
      </c>
      <c r="S4597" s="19">
        <f>H4597*I4597</f>
        <v/>
      </c>
      <c r="T4597" s="19">
        <f>H4597*J4597</f>
        <v/>
      </c>
      <c r="U4597">
        <f>IF(AND(K4597=0,G4597&lt;=Assumptions!$C$6),1,0)</f>
        <v/>
      </c>
      <c r="V4597">
        <f>IF(U4597=1,IF(M4597&gt;0,IF(P4597&lt;=G4597+Assumptions!$C$7,1,0),0),0)</f>
        <v/>
      </c>
      <c r="W4597">
        <f>IF(AND(U4597=1,M4597&gt;=H4597*(1-Assumptions!$C$8)),1,0)</f>
        <v/>
      </c>
      <c r="X4597">
        <f>IF(AND(U4597=1,N4597&gt;=H4597*(1-Assumptions!$C$8)),1,0)</f>
        <v/>
      </c>
      <c r="Y4597">
        <f>IF(ISNUMBER(Q4597),1,0)</f>
        <v/>
      </c>
      <c r="Z4597">
        <f>IF(AND(K4597=0,L4597=0,Y4597=0),1,0)</f>
        <v/>
      </c>
      <c r="AA4597">
        <f>IF(AND(Z4597=1,G4597&lt;Assumptions!$C$6),1,0)</f>
        <v/>
      </c>
      <c r="AB4597">
        <f>IF(U4597=0,"",IF(Y4597=1,MAX(0,Q4597-G4597),IF(L4597=1,MAX(0,R4597-G4597),MAX(0,Assumptions!$C$6-G4597))))</f>
        <v/>
      </c>
      <c r="AC4597">
        <f>IF(Y4597=1,Q4597-F4597,"")</f>
        <v/>
      </c>
      <c r="AD4597">
        <f>IF(Y4597=1,AC4597^2,"")</f>
        <v/>
      </c>
      <c r="AE4597" s="19">
        <f>IF(Z4597=1,(H4597-M4597)*I4597,0)</f>
        <v/>
      </c>
      <c r="AF4597">
        <f>IF(G4597&lt;EDATE(Assumptions!$C$6,-12)+1,"prior_12m","last_12m")</f>
        <v/>
      </c>
      <c r="AG4597" s="21">
        <f>DATE(YEAR(G4597),MONTH(G4597),1)</f>
        <v/>
      </c>
    </row>
    <row r="4598">
      <c r="A4598" t="inlineStr">
        <is>
          <t>SPO-02463-1</t>
        </is>
      </c>
      <c r="B4598" t="inlineStr">
        <is>
          <t>SPO-02463</t>
        </is>
      </c>
      <c r="C4598" t="inlineStr">
        <is>
          <t>SUP-12</t>
        </is>
      </c>
      <c r="D4598" t="inlineStr">
        <is>
          <t>IT</t>
        </is>
      </c>
      <c r="E4598" t="inlineStr">
        <is>
          <t>IT-04</t>
        </is>
      </c>
      <c r="F4598" s="17" t="n">
        <v>46255</v>
      </c>
      <c r="G4598" s="17" t="n">
        <v>46265</v>
      </c>
      <c r="H4598" s="18" t="n">
        <v>156</v>
      </c>
      <c r="I4598" s="19" t="n">
        <v>13.45</v>
      </c>
      <c r="J4598" s="19" t="n">
        <v>12</v>
      </c>
      <c r="K4598" s="20" t="n">
        <v>0</v>
      </c>
      <c r="L4598" s="20" t="n">
        <v>0</v>
      </c>
      <c r="M4598" s="18" t="n">
        <v>156</v>
      </c>
      <c r="N4598" s="18" t="n">
        <v>156</v>
      </c>
      <c r="O4598" s="18" t="n">
        <v>0</v>
      </c>
      <c r="P4598" s="17" t="n">
        <v>46261</v>
      </c>
      <c r="Q4598" s="17" t="n">
        <v>46261</v>
      </c>
      <c r="R4598" s="17" t="n">
        <v>46261</v>
      </c>
      <c r="S4598" s="19">
        <f>H4598*I4598</f>
        <v/>
      </c>
      <c r="T4598" s="19">
        <f>H4598*J4598</f>
        <v/>
      </c>
      <c r="U4598">
        <f>IF(AND(K4598=0,G4598&lt;=Assumptions!$C$6),1,0)</f>
        <v/>
      </c>
      <c r="V4598">
        <f>IF(U4598=1,IF(M4598&gt;0,IF(P4598&lt;=G4598+Assumptions!$C$7,1,0),0),0)</f>
        <v/>
      </c>
      <c r="W4598">
        <f>IF(AND(U4598=1,M4598&gt;=H4598*(1-Assumptions!$C$8)),1,0)</f>
        <v/>
      </c>
      <c r="X4598">
        <f>IF(AND(U4598=1,N4598&gt;=H4598*(1-Assumptions!$C$8)),1,0)</f>
        <v/>
      </c>
      <c r="Y4598">
        <f>IF(ISNUMBER(Q4598),1,0)</f>
        <v/>
      </c>
      <c r="Z4598">
        <f>IF(AND(K4598=0,L4598=0,Y4598=0),1,0)</f>
        <v/>
      </c>
      <c r="AA4598">
        <f>IF(AND(Z4598=1,G4598&lt;Assumptions!$C$6),1,0)</f>
        <v/>
      </c>
      <c r="AB4598">
        <f>IF(U4598=0,"",IF(Y4598=1,MAX(0,Q4598-G4598),IF(L4598=1,MAX(0,R4598-G4598),MAX(0,Assumptions!$C$6-G4598))))</f>
        <v/>
      </c>
      <c r="AC4598">
        <f>IF(Y4598=1,Q4598-F4598,"")</f>
        <v/>
      </c>
      <c r="AD4598">
        <f>IF(Y4598=1,AC4598^2,"")</f>
        <v/>
      </c>
      <c r="AE4598" s="19">
        <f>IF(Z4598=1,(H4598-M4598)*I4598,0)</f>
        <v/>
      </c>
      <c r="AF4598">
        <f>IF(G4598&lt;EDATE(Assumptions!$C$6,-12)+1,"prior_12m","last_12m")</f>
        <v/>
      </c>
      <c r="AG4598" s="21">
        <f>DATE(YEAR(G4598),MONTH(G4598),1)</f>
        <v/>
      </c>
    </row>
    <row r="4599">
      <c r="A4599" t="inlineStr">
        <is>
          <t>SPO-02464-1</t>
        </is>
      </c>
      <c r="B4599" t="inlineStr">
        <is>
          <t>SPO-02464</t>
        </is>
      </c>
      <c r="C4599" t="inlineStr">
        <is>
          <t>SUP-04</t>
        </is>
      </c>
      <c r="D4599" t="inlineStr">
        <is>
          <t>FLEET</t>
        </is>
      </c>
      <c r="E4599" t="inlineStr">
        <is>
          <t>FLEET-08</t>
        </is>
      </c>
      <c r="F4599" s="17" t="n">
        <v>46255</v>
      </c>
      <c r="G4599" s="17" t="n">
        <v>46268</v>
      </c>
      <c r="H4599" s="18" t="n">
        <v>183</v>
      </c>
      <c r="I4599" s="19" t="n">
        <v>6.34</v>
      </c>
      <c r="J4599" s="19" t="n">
        <v>6.4</v>
      </c>
      <c r="K4599" s="20" t="n">
        <v>0</v>
      </c>
      <c r="L4599" s="20" t="n">
        <v>0</v>
      </c>
      <c r="M4599" s="18" t="n">
        <v>183</v>
      </c>
      <c r="N4599" s="18" t="n">
        <v>183</v>
      </c>
      <c r="O4599" s="18" t="n">
        <v>0</v>
      </c>
      <c r="P4599" s="17" t="n">
        <v>46257</v>
      </c>
      <c r="Q4599" s="17" t="n">
        <v>46257</v>
      </c>
      <c r="R4599" s="17" t="n">
        <v>46257</v>
      </c>
      <c r="S4599" s="19">
        <f>H4599*I4599</f>
        <v/>
      </c>
      <c r="T4599" s="19">
        <f>H4599*J4599</f>
        <v/>
      </c>
      <c r="U4599">
        <f>IF(AND(K4599=0,G4599&lt;=Assumptions!$C$6),1,0)</f>
        <v/>
      </c>
      <c r="V4599">
        <f>IF(U4599=1,IF(M4599&gt;0,IF(P4599&lt;=G4599+Assumptions!$C$7,1,0),0),0)</f>
        <v/>
      </c>
      <c r="W4599">
        <f>IF(AND(U4599=1,M4599&gt;=H4599*(1-Assumptions!$C$8)),1,0)</f>
        <v/>
      </c>
      <c r="X4599">
        <f>IF(AND(U4599=1,N4599&gt;=H4599*(1-Assumptions!$C$8)),1,0)</f>
        <v/>
      </c>
      <c r="Y4599">
        <f>IF(ISNUMBER(Q4599),1,0)</f>
        <v/>
      </c>
      <c r="Z4599">
        <f>IF(AND(K4599=0,L4599=0,Y4599=0),1,0)</f>
        <v/>
      </c>
      <c r="AA4599">
        <f>IF(AND(Z4599=1,G4599&lt;Assumptions!$C$6),1,0)</f>
        <v/>
      </c>
      <c r="AB4599">
        <f>IF(U4599=0,"",IF(Y4599=1,MAX(0,Q4599-G4599),IF(L4599=1,MAX(0,R4599-G4599),MAX(0,Assumptions!$C$6-G4599))))</f>
        <v/>
      </c>
      <c r="AC4599">
        <f>IF(Y4599=1,Q4599-F4599,"")</f>
        <v/>
      </c>
      <c r="AD4599">
        <f>IF(Y4599=1,AC4599^2,"")</f>
        <v/>
      </c>
      <c r="AE4599" s="19">
        <f>IF(Z4599=1,(H4599-M4599)*I4599,0)</f>
        <v/>
      </c>
      <c r="AF4599">
        <f>IF(G4599&lt;EDATE(Assumptions!$C$6,-12)+1,"prior_12m","last_12m")</f>
        <v/>
      </c>
      <c r="AG4599" s="21">
        <f>DATE(YEAR(G4599),MONTH(G4599),1)</f>
        <v/>
      </c>
    </row>
    <row r="4600">
      <c r="A4600" t="inlineStr">
        <is>
          <t>SPO-02465-1</t>
        </is>
      </c>
      <c r="B4600" t="inlineStr">
        <is>
          <t>SPO-02465</t>
        </is>
      </c>
      <c r="C4600" t="inlineStr">
        <is>
          <t>SUP-12</t>
        </is>
      </c>
      <c r="D4600" t="inlineStr">
        <is>
          <t>IT</t>
        </is>
      </c>
      <c r="E4600" t="inlineStr">
        <is>
          <t>IT-07</t>
        </is>
      </c>
      <c r="F4600" s="17" t="n">
        <v>46255</v>
      </c>
      <c r="G4600" s="17" t="n">
        <v>46265</v>
      </c>
      <c r="H4600" s="18" t="n">
        <v>45</v>
      </c>
      <c r="I4600" s="19" t="n">
        <v>84.01000000000001</v>
      </c>
      <c r="J4600" s="19" t="n">
        <v>74</v>
      </c>
      <c r="K4600" s="20" t="n">
        <v>0</v>
      </c>
      <c r="L4600" s="20" t="n">
        <v>0</v>
      </c>
      <c r="M4600" s="18" t="n">
        <v>45</v>
      </c>
      <c r="N4600" s="18" t="n">
        <v>45</v>
      </c>
      <c r="O4600" s="18" t="n">
        <v>0</v>
      </c>
      <c r="P4600" s="17" t="n">
        <v>46262</v>
      </c>
      <c r="Q4600" s="17" t="n">
        <v>46262</v>
      </c>
      <c r="R4600" s="17" t="n">
        <v>46262</v>
      </c>
      <c r="S4600" s="19">
        <f>H4600*I4600</f>
        <v/>
      </c>
      <c r="T4600" s="19">
        <f>H4600*J4600</f>
        <v/>
      </c>
      <c r="U4600">
        <f>IF(AND(K4600=0,G4600&lt;=Assumptions!$C$6),1,0)</f>
        <v/>
      </c>
      <c r="V4600">
        <f>IF(U4600=1,IF(M4600&gt;0,IF(P4600&lt;=G4600+Assumptions!$C$7,1,0),0),0)</f>
        <v/>
      </c>
      <c r="W4600">
        <f>IF(AND(U4600=1,M4600&gt;=H4600*(1-Assumptions!$C$8)),1,0)</f>
        <v/>
      </c>
      <c r="X4600">
        <f>IF(AND(U4600=1,N4600&gt;=H4600*(1-Assumptions!$C$8)),1,0)</f>
        <v/>
      </c>
      <c r="Y4600">
        <f>IF(ISNUMBER(Q4600),1,0)</f>
        <v/>
      </c>
      <c r="Z4600">
        <f>IF(AND(K4600=0,L4600=0,Y4600=0),1,0)</f>
        <v/>
      </c>
      <c r="AA4600">
        <f>IF(AND(Z4600=1,G4600&lt;Assumptions!$C$6),1,0)</f>
        <v/>
      </c>
      <c r="AB4600">
        <f>IF(U4600=0,"",IF(Y4600=1,MAX(0,Q4600-G4600),IF(L4600=1,MAX(0,R4600-G4600),MAX(0,Assumptions!$C$6-G4600))))</f>
        <v/>
      </c>
      <c r="AC4600">
        <f>IF(Y4600=1,Q4600-F4600,"")</f>
        <v/>
      </c>
      <c r="AD4600">
        <f>IF(Y4600=1,AC4600^2,"")</f>
        <v/>
      </c>
      <c r="AE4600" s="19">
        <f>IF(Z4600=1,(H4600-M4600)*I4600,0)</f>
        <v/>
      </c>
      <c r="AF4600">
        <f>IF(G4600&lt;EDATE(Assumptions!$C$6,-12)+1,"prior_12m","last_12m")</f>
        <v/>
      </c>
      <c r="AG4600" s="21">
        <f>DATE(YEAR(G4600),MONTH(G4600),1)</f>
        <v/>
      </c>
    </row>
    <row r="4601">
      <c r="A4601" t="inlineStr">
        <is>
          <t>SPO-02466-1</t>
        </is>
      </c>
      <c r="B4601" t="inlineStr">
        <is>
          <t>SPO-02466</t>
        </is>
      </c>
      <c r="C4601" t="inlineStr">
        <is>
          <t>SUP-06</t>
        </is>
      </c>
      <c r="D4601" t="inlineStr">
        <is>
          <t>MRO</t>
        </is>
      </c>
      <c r="E4601" t="inlineStr">
        <is>
          <t>MRO-03</t>
        </is>
      </c>
      <c r="F4601" s="17" t="n">
        <v>46255</v>
      </c>
      <c r="G4601" s="17" t="n">
        <v>46263</v>
      </c>
      <c r="H4601" s="18" t="n">
        <v>185</v>
      </c>
      <c r="I4601" s="19" t="n">
        <v>9.210000000000001</v>
      </c>
      <c r="J4601" s="19" t="n">
        <v>8.9</v>
      </c>
      <c r="K4601" s="20" t="n">
        <v>0</v>
      </c>
      <c r="L4601" s="20" t="n">
        <v>0</v>
      </c>
      <c r="M4601" s="18" t="n">
        <v>185</v>
      </c>
      <c r="N4601" s="18" t="n">
        <v>185</v>
      </c>
      <c r="O4601" s="18" t="n">
        <v>0</v>
      </c>
      <c r="P4601" s="17" t="n">
        <v>46260</v>
      </c>
      <c r="Q4601" s="17" t="n">
        <v>46260</v>
      </c>
      <c r="R4601" s="17" t="n">
        <v>46260</v>
      </c>
      <c r="S4601" s="19">
        <f>H4601*I4601</f>
        <v/>
      </c>
      <c r="T4601" s="19">
        <f>H4601*J4601</f>
        <v/>
      </c>
      <c r="U4601">
        <f>IF(AND(K4601=0,G4601&lt;=Assumptions!$C$6),1,0)</f>
        <v/>
      </c>
      <c r="V4601">
        <f>IF(U4601=1,IF(M4601&gt;0,IF(P4601&lt;=G4601+Assumptions!$C$7,1,0),0),0)</f>
        <v/>
      </c>
      <c r="W4601">
        <f>IF(AND(U4601=1,M4601&gt;=H4601*(1-Assumptions!$C$8)),1,0)</f>
        <v/>
      </c>
      <c r="X4601">
        <f>IF(AND(U4601=1,N4601&gt;=H4601*(1-Assumptions!$C$8)),1,0)</f>
        <v/>
      </c>
      <c r="Y4601">
        <f>IF(ISNUMBER(Q4601),1,0)</f>
        <v/>
      </c>
      <c r="Z4601">
        <f>IF(AND(K4601=0,L4601=0,Y4601=0),1,0)</f>
        <v/>
      </c>
      <c r="AA4601">
        <f>IF(AND(Z4601=1,G4601&lt;Assumptions!$C$6),1,0)</f>
        <v/>
      </c>
      <c r="AB4601">
        <f>IF(U4601=0,"",IF(Y4601=1,MAX(0,Q4601-G4601),IF(L4601=1,MAX(0,R4601-G4601),MAX(0,Assumptions!$C$6-G4601))))</f>
        <v/>
      </c>
      <c r="AC4601">
        <f>IF(Y4601=1,Q4601-F4601,"")</f>
        <v/>
      </c>
      <c r="AD4601">
        <f>IF(Y4601=1,AC4601^2,"")</f>
        <v/>
      </c>
      <c r="AE4601" s="19">
        <f>IF(Z4601=1,(H4601-M4601)*I4601,0)</f>
        <v/>
      </c>
      <c r="AF4601">
        <f>IF(G4601&lt;EDATE(Assumptions!$C$6,-12)+1,"prior_12m","last_12m")</f>
        <v/>
      </c>
      <c r="AG4601" s="21">
        <f>DATE(YEAR(G4601),MONTH(G4601),1)</f>
        <v/>
      </c>
    </row>
    <row r="4602">
      <c r="A4602" t="inlineStr">
        <is>
          <t>SPO-02466-2</t>
        </is>
      </c>
      <c r="B4602" t="inlineStr">
        <is>
          <t>SPO-02466</t>
        </is>
      </c>
      <c r="C4602" t="inlineStr">
        <is>
          <t>SUP-06</t>
        </is>
      </c>
      <c r="D4602" t="inlineStr">
        <is>
          <t>MRO</t>
        </is>
      </c>
      <c r="E4602" t="inlineStr">
        <is>
          <t>MRO-01</t>
        </is>
      </c>
      <c r="F4602" s="17" t="n">
        <v>46255</v>
      </c>
      <c r="G4602" s="17" t="n">
        <v>46263</v>
      </c>
      <c r="H4602" s="18" t="n">
        <v>44</v>
      </c>
      <c r="I4602" s="19" t="n">
        <v>52.15</v>
      </c>
      <c r="J4602" s="19" t="n">
        <v>52</v>
      </c>
      <c r="K4602" s="20" t="n">
        <v>0</v>
      </c>
      <c r="L4602" s="20" t="n">
        <v>0</v>
      </c>
      <c r="M4602" s="18" t="n">
        <v>44</v>
      </c>
      <c r="N4602" s="18" t="n">
        <v>44</v>
      </c>
      <c r="O4602" s="18" t="n">
        <v>0</v>
      </c>
      <c r="P4602" s="17" t="n">
        <v>46261</v>
      </c>
      <c r="Q4602" s="17" t="n">
        <v>46261</v>
      </c>
      <c r="R4602" s="17" t="n">
        <v>46261</v>
      </c>
      <c r="S4602" s="19">
        <f>H4602*I4602</f>
        <v/>
      </c>
      <c r="T4602" s="19">
        <f>H4602*J4602</f>
        <v/>
      </c>
      <c r="U4602">
        <f>IF(AND(K4602=0,G4602&lt;=Assumptions!$C$6),1,0)</f>
        <v/>
      </c>
      <c r="V4602">
        <f>IF(U4602=1,IF(M4602&gt;0,IF(P4602&lt;=G4602+Assumptions!$C$7,1,0),0),0)</f>
        <v/>
      </c>
      <c r="W4602">
        <f>IF(AND(U4602=1,M4602&gt;=H4602*(1-Assumptions!$C$8)),1,0)</f>
        <v/>
      </c>
      <c r="X4602">
        <f>IF(AND(U4602=1,N4602&gt;=H4602*(1-Assumptions!$C$8)),1,0)</f>
        <v/>
      </c>
      <c r="Y4602">
        <f>IF(ISNUMBER(Q4602),1,0)</f>
        <v/>
      </c>
      <c r="Z4602">
        <f>IF(AND(K4602=0,L4602=0,Y4602=0),1,0)</f>
        <v/>
      </c>
      <c r="AA4602">
        <f>IF(AND(Z4602=1,G4602&lt;Assumptions!$C$6),1,0)</f>
        <v/>
      </c>
      <c r="AB4602">
        <f>IF(U4602=0,"",IF(Y4602=1,MAX(0,Q4602-G4602),IF(L4602=1,MAX(0,R4602-G4602),MAX(0,Assumptions!$C$6-G4602))))</f>
        <v/>
      </c>
      <c r="AC4602">
        <f>IF(Y4602=1,Q4602-F4602,"")</f>
        <v/>
      </c>
      <c r="AD4602">
        <f>IF(Y4602=1,AC4602^2,"")</f>
        <v/>
      </c>
      <c r="AE4602" s="19">
        <f>IF(Z4602=1,(H4602-M4602)*I4602,0)</f>
        <v/>
      </c>
      <c r="AF4602">
        <f>IF(G4602&lt;EDATE(Assumptions!$C$6,-12)+1,"prior_12m","last_12m")</f>
        <v/>
      </c>
      <c r="AG4602" s="21">
        <f>DATE(YEAR(G4602),MONTH(G4602),1)</f>
        <v/>
      </c>
    </row>
    <row r="4603">
      <c r="A4603" t="inlineStr">
        <is>
          <t>SPO-02466-3</t>
        </is>
      </c>
      <c r="B4603" t="inlineStr">
        <is>
          <t>SPO-02466</t>
        </is>
      </c>
      <c r="C4603" t="inlineStr">
        <is>
          <t>SUP-06</t>
        </is>
      </c>
      <c r="D4603" t="inlineStr">
        <is>
          <t>MRO</t>
        </is>
      </c>
      <c r="E4603" t="inlineStr">
        <is>
          <t>MRO-06</t>
        </is>
      </c>
      <c r="F4603" s="17" t="n">
        <v>46255</v>
      </c>
      <c r="G4603" s="17" t="n">
        <v>46263</v>
      </c>
      <c r="H4603" s="18" t="n">
        <v>280</v>
      </c>
      <c r="I4603" s="19" t="n">
        <v>5.97</v>
      </c>
      <c r="J4603" s="19" t="n">
        <v>6.1</v>
      </c>
      <c r="K4603" s="20" t="n">
        <v>0</v>
      </c>
      <c r="L4603" s="20" t="n">
        <v>0</v>
      </c>
      <c r="M4603" s="18" t="n">
        <v>280</v>
      </c>
      <c r="N4603" s="18" t="n">
        <v>280</v>
      </c>
      <c r="O4603" s="18" t="n">
        <v>0</v>
      </c>
      <c r="P4603" s="17" t="n">
        <v>46262</v>
      </c>
      <c r="Q4603" s="17" t="n">
        <v>46262</v>
      </c>
      <c r="R4603" s="17" t="n">
        <v>46262</v>
      </c>
      <c r="S4603" s="19">
        <f>H4603*I4603</f>
        <v/>
      </c>
      <c r="T4603" s="19">
        <f>H4603*J4603</f>
        <v/>
      </c>
      <c r="U4603">
        <f>IF(AND(K4603=0,G4603&lt;=Assumptions!$C$6),1,0)</f>
        <v/>
      </c>
      <c r="V4603">
        <f>IF(U4603=1,IF(M4603&gt;0,IF(P4603&lt;=G4603+Assumptions!$C$7,1,0),0),0)</f>
        <v/>
      </c>
      <c r="W4603">
        <f>IF(AND(U4603=1,M4603&gt;=H4603*(1-Assumptions!$C$8)),1,0)</f>
        <v/>
      </c>
      <c r="X4603">
        <f>IF(AND(U4603=1,N4603&gt;=H4603*(1-Assumptions!$C$8)),1,0)</f>
        <v/>
      </c>
      <c r="Y4603">
        <f>IF(ISNUMBER(Q4603),1,0)</f>
        <v/>
      </c>
      <c r="Z4603">
        <f>IF(AND(K4603=0,L4603=0,Y4603=0),1,0)</f>
        <v/>
      </c>
      <c r="AA4603">
        <f>IF(AND(Z4603=1,G4603&lt;Assumptions!$C$6),1,0)</f>
        <v/>
      </c>
      <c r="AB4603">
        <f>IF(U4603=0,"",IF(Y4603=1,MAX(0,Q4603-G4603),IF(L4603=1,MAX(0,R4603-G4603),MAX(0,Assumptions!$C$6-G4603))))</f>
        <v/>
      </c>
      <c r="AC4603">
        <f>IF(Y4603=1,Q4603-F4603,"")</f>
        <v/>
      </c>
      <c r="AD4603">
        <f>IF(Y4603=1,AC4603^2,"")</f>
        <v/>
      </c>
      <c r="AE4603" s="19">
        <f>IF(Z4603=1,(H4603-M4603)*I4603,0)</f>
        <v/>
      </c>
      <c r="AF4603">
        <f>IF(G4603&lt;EDATE(Assumptions!$C$6,-12)+1,"prior_12m","last_12m")</f>
        <v/>
      </c>
      <c r="AG4603" s="21">
        <f>DATE(YEAR(G4603),MONTH(G4603),1)</f>
        <v/>
      </c>
    </row>
    <row r="4604">
      <c r="A4604" t="inlineStr">
        <is>
          <t>SPO-02467-1</t>
        </is>
      </c>
      <c r="B4604" t="inlineStr">
        <is>
          <t>SPO-02467</t>
        </is>
      </c>
      <c r="C4604" t="inlineStr">
        <is>
          <t>SUP-10</t>
        </is>
      </c>
      <c r="D4604" t="inlineStr">
        <is>
          <t>PPE</t>
        </is>
      </c>
      <c r="E4604" t="inlineStr">
        <is>
          <t>PPE-01</t>
        </is>
      </c>
      <c r="F4604" s="17" t="n">
        <v>46256</v>
      </c>
      <c r="G4604" s="17" t="n">
        <v>46269</v>
      </c>
      <c r="H4604" s="18" t="n">
        <v>420</v>
      </c>
      <c r="I4604" s="19" t="n">
        <v>4.55</v>
      </c>
      <c r="J4604" s="19" t="n">
        <v>4.8</v>
      </c>
      <c r="K4604" s="20" t="n">
        <v>0</v>
      </c>
      <c r="L4604" s="20" t="n">
        <v>0</v>
      </c>
      <c r="M4604" s="18" t="n">
        <v>420</v>
      </c>
      <c r="N4604" s="18" t="n">
        <v>420</v>
      </c>
      <c r="O4604" s="18" t="n">
        <v>0</v>
      </c>
      <c r="P4604" s="17" t="n">
        <v>46266</v>
      </c>
      <c r="Q4604" s="17" t="n">
        <v>46266</v>
      </c>
      <c r="R4604" s="17" t="n">
        <v>46266</v>
      </c>
      <c r="S4604" s="19">
        <f>H4604*I4604</f>
        <v/>
      </c>
      <c r="T4604" s="19">
        <f>H4604*J4604</f>
        <v/>
      </c>
      <c r="U4604">
        <f>IF(AND(K4604=0,G4604&lt;=Assumptions!$C$6),1,0)</f>
        <v/>
      </c>
      <c r="V4604">
        <f>IF(U4604=1,IF(M4604&gt;0,IF(P4604&lt;=G4604+Assumptions!$C$7,1,0),0),0)</f>
        <v/>
      </c>
      <c r="W4604">
        <f>IF(AND(U4604=1,M4604&gt;=H4604*(1-Assumptions!$C$8)),1,0)</f>
        <v/>
      </c>
      <c r="X4604">
        <f>IF(AND(U4604=1,N4604&gt;=H4604*(1-Assumptions!$C$8)),1,0)</f>
        <v/>
      </c>
      <c r="Y4604">
        <f>IF(ISNUMBER(Q4604),1,0)</f>
        <v/>
      </c>
      <c r="Z4604">
        <f>IF(AND(K4604=0,L4604=0,Y4604=0),1,0)</f>
        <v/>
      </c>
      <c r="AA4604">
        <f>IF(AND(Z4604=1,G4604&lt;Assumptions!$C$6),1,0)</f>
        <v/>
      </c>
      <c r="AB4604">
        <f>IF(U4604=0,"",IF(Y4604=1,MAX(0,Q4604-G4604),IF(L4604=1,MAX(0,R4604-G4604),MAX(0,Assumptions!$C$6-G4604))))</f>
        <v/>
      </c>
      <c r="AC4604">
        <f>IF(Y4604=1,Q4604-F4604,"")</f>
        <v/>
      </c>
      <c r="AD4604">
        <f>IF(Y4604=1,AC4604^2,"")</f>
        <v/>
      </c>
      <c r="AE4604" s="19">
        <f>IF(Z4604=1,(H4604-M4604)*I4604,0)</f>
        <v/>
      </c>
      <c r="AF4604">
        <f>IF(G4604&lt;EDATE(Assumptions!$C$6,-12)+1,"prior_12m","last_12m")</f>
        <v/>
      </c>
      <c r="AG4604" s="21">
        <f>DATE(YEAR(G4604),MONTH(G4604),1)</f>
        <v/>
      </c>
    </row>
    <row r="4605">
      <c r="A4605" t="inlineStr">
        <is>
          <t>SPO-02468-1</t>
        </is>
      </c>
      <c r="B4605" t="inlineStr">
        <is>
          <t>SPO-02468</t>
        </is>
      </c>
      <c r="C4605" t="inlineStr">
        <is>
          <t>SUP-01</t>
        </is>
      </c>
      <c r="D4605" t="inlineStr">
        <is>
          <t>ELEC</t>
        </is>
      </c>
      <c r="E4605" t="inlineStr">
        <is>
          <t>ELEC-05</t>
        </is>
      </c>
      <c r="F4605" s="17" t="n">
        <v>46257</v>
      </c>
      <c r="G4605" s="17" t="n">
        <v>46275</v>
      </c>
      <c r="H4605" s="18" t="n">
        <v>197</v>
      </c>
      <c r="I4605" s="19" t="n">
        <v>11.22</v>
      </c>
      <c r="J4605" s="19" t="n">
        <v>11.5</v>
      </c>
      <c r="K4605" s="20" t="n">
        <v>0</v>
      </c>
      <c r="L4605" s="20" t="n">
        <v>0</v>
      </c>
      <c r="M4605" s="18" t="n">
        <v>197</v>
      </c>
      <c r="N4605" s="18" t="n">
        <v>0</v>
      </c>
      <c r="O4605" s="18" t="n">
        <v>0</v>
      </c>
      <c r="P4605" s="17" t="n">
        <v>46276</v>
      </c>
      <c r="Q4605" s="17" t="n">
        <v>46276</v>
      </c>
      <c r="R4605" s="17" t="n">
        <v>46276</v>
      </c>
      <c r="S4605" s="19">
        <f>H4605*I4605</f>
        <v/>
      </c>
      <c r="T4605" s="19">
        <f>H4605*J4605</f>
        <v/>
      </c>
      <c r="U4605">
        <f>IF(AND(K4605=0,G4605&lt;=Assumptions!$C$6),1,0)</f>
        <v/>
      </c>
      <c r="V4605">
        <f>IF(U4605=1,IF(M4605&gt;0,IF(P4605&lt;=G4605+Assumptions!$C$7,1,0),0),0)</f>
        <v/>
      </c>
      <c r="W4605">
        <f>IF(AND(U4605=1,M4605&gt;=H4605*(1-Assumptions!$C$8)),1,0)</f>
        <v/>
      </c>
      <c r="X4605">
        <f>IF(AND(U4605=1,N4605&gt;=H4605*(1-Assumptions!$C$8)),1,0)</f>
        <v/>
      </c>
      <c r="Y4605">
        <f>IF(ISNUMBER(Q4605),1,0)</f>
        <v/>
      </c>
      <c r="Z4605">
        <f>IF(AND(K4605=0,L4605=0,Y4605=0),1,0)</f>
        <v/>
      </c>
      <c r="AA4605">
        <f>IF(AND(Z4605=1,G4605&lt;Assumptions!$C$6),1,0)</f>
        <v/>
      </c>
      <c r="AB4605">
        <f>IF(U4605=0,"",IF(Y4605=1,MAX(0,Q4605-G4605),IF(L4605=1,MAX(0,R4605-G4605),MAX(0,Assumptions!$C$6-G4605))))</f>
        <v/>
      </c>
      <c r="AC4605">
        <f>IF(Y4605=1,Q4605-F4605,"")</f>
        <v/>
      </c>
      <c r="AD4605">
        <f>IF(Y4605=1,AC4605^2,"")</f>
        <v/>
      </c>
      <c r="AE4605" s="19">
        <f>IF(Z4605=1,(H4605-M4605)*I4605,0)</f>
        <v/>
      </c>
      <c r="AF4605">
        <f>IF(G4605&lt;EDATE(Assumptions!$C$6,-12)+1,"prior_12m","last_12m")</f>
        <v/>
      </c>
      <c r="AG4605" s="21">
        <f>DATE(YEAR(G4605),MONTH(G4605),1)</f>
        <v/>
      </c>
    </row>
    <row r="4606">
      <c r="A4606" t="inlineStr">
        <is>
          <t>SPO-02469-1</t>
        </is>
      </c>
      <c r="B4606" t="inlineStr">
        <is>
          <t>SPO-02469</t>
        </is>
      </c>
      <c r="C4606" t="inlineStr">
        <is>
          <t>SUP-07</t>
        </is>
      </c>
      <c r="D4606" t="inlineStr">
        <is>
          <t>MRO</t>
        </is>
      </c>
      <c r="E4606" t="inlineStr">
        <is>
          <t>MRO-05</t>
        </is>
      </c>
      <c r="F4606" s="17" t="n">
        <v>46257</v>
      </c>
      <c r="G4606" s="17" t="n">
        <v>46267</v>
      </c>
      <c r="H4606" s="18" t="n">
        <v>20</v>
      </c>
      <c r="I4606" s="19" t="n">
        <v>36.93</v>
      </c>
      <c r="J4606" s="19" t="n">
        <v>36</v>
      </c>
      <c r="K4606" s="20" t="n">
        <v>0</v>
      </c>
      <c r="L4606" s="20" t="n">
        <v>0</v>
      </c>
      <c r="M4606" s="18" t="n">
        <v>20</v>
      </c>
      <c r="N4606" s="18" t="n">
        <v>20</v>
      </c>
      <c r="O4606" s="18" t="n">
        <v>0</v>
      </c>
      <c r="P4606" s="17" t="n">
        <v>46265</v>
      </c>
      <c r="Q4606" s="17" t="n">
        <v>46265</v>
      </c>
      <c r="R4606" s="17" t="n">
        <v>46265</v>
      </c>
      <c r="S4606" s="19">
        <f>H4606*I4606</f>
        <v/>
      </c>
      <c r="T4606" s="19">
        <f>H4606*J4606</f>
        <v/>
      </c>
      <c r="U4606">
        <f>IF(AND(K4606=0,G4606&lt;=Assumptions!$C$6),1,0)</f>
        <v/>
      </c>
      <c r="V4606">
        <f>IF(U4606=1,IF(M4606&gt;0,IF(P4606&lt;=G4606+Assumptions!$C$7,1,0),0),0)</f>
        <v/>
      </c>
      <c r="W4606">
        <f>IF(AND(U4606=1,M4606&gt;=H4606*(1-Assumptions!$C$8)),1,0)</f>
        <v/>
      </c>
      <c r="X4606">
        <f>IF(AND(U4606=1,N4606&gt;=H4606*(1-Assumptions!$C$8)),1,0)</f>
        <v/>
      </c>
      <c r="Y4606">
        <f>IF(ISNUMBER(Q4606),1,0)</f>
        <v/>
      </c>
      <c r="Z4606">
        <f>IF(AND(K4606=0,L4606=0,Y4606=0),1,0)</f>
        <v/>
      </c>
      <c r="AA4606">
        <f>IF(AND(Z4606=1,G4606&lt;Assumptions!$C$6),1,0)</f>
        <v/>
      </c>
      <c r="AB4606">
        <f>IF(U4606=0,"",IF(Y4606=1,MAX(0,Q4606-G4606),IF(L4606=1,MAX(0,R4606-G4606),MAX(0,Assumptions!$C$6-G4606))))</f>
        <v/>
      </c>
      <c r="AC4606">
        <f>IF(Y4606=1,Q4606-F4606,"")</f>
        <v/>
      </c>
      <c r="AD4606">
        <f>IF(Y4606=1,AC4606^2,"")</f>
        <v/>
      </c>
      <c r="AE4606" s="19">
        <f>IF(Z4606=1,(H4606-M4606)*I4606,0)</f>
        <v/>
      </c>
      <c r="AF4606">
        <f>IF(G4606&lt;EDATE(Assumptions!$C$6,-12)+1,"prior_12m","last_12m")</f>
        <v/>
      </c>
      <c r="AG4606" s="21">
        <f>DATE(YEAR(G4606),MONTH(G4606),1)</f>
        <v/>
      </c>
    </row>
    <row r="4607">
      <c r="A4607" t="inlineStr">
        <is>
          <t>SPO-02469-2</t>
        </is>
      </c>
      <c r="B4607" t="inlineStr">
        <is>
          <t>SPO-02469</t>
        </is>
      </c>
      <c r="C4607" t="inlineStr">
        <is>
          <t>SUP-07</t>
        </is>
      </c>
      <c r="D4607" t="inlineStr">
        <is>
          <t>MRO</t>
        </is>
      </c>
      <c r="E4607" t="inlineStr">
        <is>
          <t>MRO-02</t>
        </is>
      </c>
      <c r="F4607" s="17" t="n">
        <v>46257</v>
      </c>
      <c r="G4607" s="17" t="n">
        <v>46267</v>
      </c>
      <c r="H4607" s="18" t="n">
        <v>23</v>
      </c>
      <c r="I4607" s="19" t="n">
        <v>39.43</v>
      </c>
      <c r="J4607" s="19" t="n">
        <v>41</v>
      </c>
      <c r="K4607" s="20" t="n">
        <v>0</v>
      </c>
      <c r="L4607" s="20" t="n">
        <v>0</v>
      </c>
      <c r="M4607" s="18" t="n">
        <v>23</v>
      </c>
      <c r="N4607" s="18" t="n">
        <v>23</v>
      </c>
      <c r="O4607" s="18" t="n">
        <v>0</v>
      </c>
      <c r="P4607" s="17" t="n">
        <v>46264</v>
      </c>
      <c r="Q4607" s="17" t="n">
        <v>46264</v>
      </c>
      <c r="R4607" s="17" t="n">
        <v>46264</v>
      </c>
      <c r="S4607" s="19">
        <f>H4607*I4607</f>
        <v/>
      </c>
      <c r="T4607" s="19">
        <f>H4607*J4607</f>
        <v/>
      </c>
      <c r="U4607">
        <f>IF(AND(K4607=0,G4607&lt;=Assumptions!$C$6),1,0)</f>
        <v/>
      </c>
      <c r="V4607">
        <f>IF(U4607=1,IF(M4607&gt;0,IF(P4607&lt;=G4607+Assumptions!$C$7,1,0),0),0)</f>
        <v/>
      </c>
      <c r="W4607">
        <f>IF(AND(U4607=1,M4607&gt;=H4607*(1-Assumptions!$C$8)),1,0)</f>
        <v/>
      </c>
      <c r="X4607">
        <f>IF(AND(U4607=1,N4607&gt;=H4607*(1-Assumptions!$C$8)),1,0)</f>
        <v/>
      </c>
      <c r="Y4607">
        <f>IF(ISNUMBER(Q4607),1,0)</f>
        <v/>
      </c>
      <c r="Z4607">
        <f>IF(AND(K4607=0,L4607=0,Y4607=0),1,0)</f>
        <v/>
      </c>
      <c r="AA4607">
        <f>IF(AND(Z4607=1,G4607&lt;Assumptions!$C$6),1,0)</f>
        <v/>
      </c>
      <c r="AB4607">
        <f>IF(U4607=0,"",IF(Y4607=1,MAX(0,Q4607-G4607),IF(L4607=1,MAX(0,R4607-G4607),MAX(0,Assumptions!$C$6-G4607))))</f>
        <v/>
      </c>
      <c r="AC4607">
        <f>IF(Y4607=1,Q4607-F4607,"")</f>
        <v/>
      </c>
      <c r="AD4607">
        <f>IF(Y4607=1,AC4607^2,"")</f>
        <v/>
      </c>
      <c r="AE4607" s="19">
        <f>IF(Z4607=1,(H4607-M4607)*I4607,0)</f>
        <v/>
      </c>
      <c r="AF4607">
        <f>IF(G4607&lt;EDATE(Assumptions!$C$6,-12)+1,"prior_12m","last_12m")</f>
        <v/>
      </c>
      <c r="AG4607" s="21">
        <f>DATE(YEAR(G4607),MONTH(G4607),1)</f>
        <v/>
      </c>
    </row>
    <row r="4608">
      <c r="A4608" t="inlineStr">
        <is>
          <t>SPO-02470-1</t>
        </is>
      </c>
      <c r="B4608" t="inlineStr">
        <is>
          <t>SPO-02470</t>
        </is>
      </c>
      <c r="C4608" t="inlineStr">
        <is>
          <t>SUP-06</t>
        </is>
      </c>
      <c r="D4608" t="inlineStr">
        <is>
          <t>MRO</t>
        </is>
      </c>
      <c r="E4608" t="inlineStr">
        <is>
          <t>MRO-06</t>
        </is>
      </c>
      <c r="F4608" s="17" t="n">
        <v>46257</v>
      </c>
      <c r="G4608" s="17" t="n">
        <v>46265</v>
      </c>
      <c r="H4608" s="18" t="n">
        <v>542</v>
      </c>
      <c r="I4608" s="19" t="n">
        <v>6.09</v>
      </c>
      <c r="J4608" s="19" t="n">
        <v>6.1</v>
      </c>
      <c r="K4608" s="20" t="n">
        <v>0</v>
      </c>
      <c r="L4608" s="20" t="n">
        <v>0</v>
      </c>
      <c r="M4608" s="18" t="n">
        <v>542</v>
      </c>
      <c r="N4608" s="18" t="n">
        <v>542</v>
      </c>
      <c r="O4608" s="18" t="n">
        <v>0</v>
      </c>
      <c r="P4608" s="17" t="n">
        <v>46261</v>
      </c>
      <c r="Q4608" s="17" t="n">
        <v>46261</v>
      </c>
      <c r="R4608" s="17" t="n">
        <v>46261</v>
      </c>
      <c r="S4608" s="19">
        <f>H4608*I4608</f>
        <v/>
      </c>
      <c r="T4608" s="19">
        <f>H4608*J4608</f>
        <v/>
      </c>
      <c r="U4608">
        <f>IF(AND(K4608=0,G4608&lt;=Assumptions!$C$6),1,0)</f>
        <v/>
      </c>
      <c r="V4608">
        <f>IF(U4608=1,IF(M4608&gt;0,IF(P4608&lt;=G4608+Assumptions!$C$7,1,0),0),0)</f>
        <v/>
      </c>
      <c r="W4608">
        <f>IF(AND(U4608=1,M4608&gt;=H4608*(1-Assumptions!$C$8)),1,0)</f>
        <v/>
      </c>
      <c r="X4608">
        <f>IF(AND(U4608=1,N4608&gt;=H4608*(1-Assumptions!$C$8)),1,0)</f>
        <v/>
      </c>
      <c r="Y4608">
        <f>IF(ISNUMBER(Q4608),1,0)</f>
        <v/>
      </c>
      <c r="Z4608">
        <f>IF(AND(K4608=0,L4608=0,Y4608=0),1,0)</f>
        <v/>
      </c>
      <c r="AA4608">
        <f>IF(AND(Z4608=1,G4608&lt;Assumptions!$C$6),1,0)</f>
        <v/>
      </c>
      <c r="AB4608">
        <f>IF(U4608=0,"",IF(Y4608=1,MAX(0,Q4608-G4608),IF(L4608=1,MAX(0,R4608-G4608),MAX(0,Assumptions!$C$6-G4608))))</f>
        <v/>
      </c>
      <c r="AC4608">
        <f>IF(Y4608=1,Q4608-F4608,"")</f>
        <v/>
      </c>
      <c r="AD4608">
        <f>IF(Y4608=1,AC4608^2,"")</f>
        <v/>
      </c>
      <c r="AE4608" s="19">
        <f>IF(Z4608=1,(H4608-M4608)*I4608,0)</f>
        <v/>
      </c>
      <c r="AF4608">
        <f>IF(G4608&lt;EDATE(Assumptions!$C$6,-12)+1,"prior_12m","last_12m")</f>
        <v/>
      </c>
      <c r="AG4608" s="21">
        <f>DATE(YEAR(G4608),MONTH(G4608),1)</f>
        <v/>
      </c>
    </row>
    <row r="4609">
      <c r="A4609" t="inlineStr">
        <is>
          <t>SPO-02471-1</t>
        </is>
      </c>
      <c r="B4609" t="inlineStr">
        <is>
          <t>SPO-02471</t>
        </is>
      </c>
      <c r="C4609" t="inlineStr">
        <is>
          <t>SUP-02</t>
        </is>
      </c>
      <c r="D4609" t="inlineStr">
        <is>
          <t>ELEC</t>
        </is>
      </c>
      <c r="E4609" t="inlineStr">
        <is>
          <t>ELEC-08</t>
        </is>
      </c>
      <c r="F4609" s="17" t="n">
        <v>46257</v>
      </c>
      <c r="G4609" s="17" t="n">
        <v>46273</v>
      </c>
      <c r="H4609" s="18" t="n">
        <v>86</v>
      </c>
      <c r="I4609" s="19" t="n">
        <v>17.84</v>
      </c>
      <c r="J4609" s="19" t="n">
        <v>18</v>
      </c>
      <c r="K4609" s="20" t="n">
        <v>0</v>
      </c>
      <c r="L4609" s="20" t="n">
        <v>0</v>
      </c>
      <c r="M4609" s="18" t="n">
        <v>86</v>
      </c>
      <c r="N4609" s="18" t="n">
        <v>86</v>
      </c>
      <c r="O4609" s="18" t="n">
        <v>0</v>
      </c>
      <c r="P4609" s="17" t="n">
        <v>46269</v>
      </c>
      <c r="Q4609" s="17" t="n">
        <v>46269</v>
      </c>
      <c r="R4609" s="17" t="n">
        <v>46269</v>
      </c>
      <c r="S4609" s="19">
        <f>H4609*I4609</f>
        <v/>
      </c>
      <c r="T4609" s="19">
        <f>H4609*J4609</f>
        <v/>
      </c>
      <c r="U4609">
        <f>IF(AND(K4609=0,G4609&lt;=Assumptions!$C$6),1,0)</f>
        <v/>
      </c>
      <c r="V4609">
        <f>IF(U4609=1,IF(M4609&gt;0,IF(P4609&lt;=G4609+Assumptions!$C$7,1,0),0),0)</f>
        <v/>
      </c>
      <c r="W4609">
        <f>IF(AND(U4609=1,M4609&gt;=H4609*(1-Assumptions!$C$8)),1,0)</f>
        <v/>
      </c>
      <c r="X4609">
        <f>IF(AND(U4609=1,N4609&gt;=H4609*(1-Assumptions!$C$8)),1,0)</f>
        <v/>
      </c>
      <c r="Y4609">
        <f>IF(ISNUMBER(Q4609),1,0)</f>
        <v/>
      </c>
      <c r="Z4609">
        <f>IF(AND(K4609=0,L4609=0,Y4609=0),1,0)</f>
        <v/>
      </c>
      <c r="AA4609">
        <f>IF(AND(Z4609=1,G4609&lt;Assumptions!$C$6),1,0)</f>
        <v/>
      </c>
      <c r="AB4609">
        <f>IF(U4609=0,"",IF(Y4609=1,MAX(0,Q4609-G4609),IF(L4609=1,MAX(0,R4609-G4609),MAX(0,Assumptions!$C$6-G4609))))</f>
        <v/>
      </c>
      <c r="AC4609">
        <f>IF(Y4609=1,Q4609-F4609,"")</f>
        <v/>
      </c>
      <c r="AD4609">
        <f>IF(Y4609=1,AC4609^2,"")</f>
        <v/>
      </c>
      <c r="AE4609" s="19">
        <f>IF(Z4609=1,(H4609-M4609)*I4609,0)</f>
        <v/>
      </c>
      <c r="AF4609">
        <f>IF(G4609&lt;EDATE(Assumptions!$C$6,-12)+1,"prior_12m","last_12m")</f>
        <v/>
      </c>
      <c r="AG4609" s="21">
        <f>DATE(YEAR(G4609),MONTH(G4609),1)</f>
        <v/>
      </c>
    </row>
    <row r="4610">
      <c r="A4610" t="inlineStr">
        <is>
          <t>SPO-02472-1</t>
        </is>
      </c>
      <c r="B4610" t="inlineStr">
        <is>
          <t>SPO-02472</t>
        </is>
      </c>
      <c r="C4610" t="inlineStr">
        <is>
          <t>SUP-04</t>
        </is>
      </c>
      <c r="D4610" t="inlineStr">
        <is>
          <t>FLEET</t>
        </is>
      </c>
      <c r="E4610" t="inlineStr">
        <is>
          <t>FLEET-01</t>
        </is>
      </c>
      <c r="F4610" s="17" t="n">
        <v>46257</v>
      </c>
      <c r="G4610" s="17" t="n">
        <v>46270</v>
      </c>
      <c r="H4610" s="18" t="n">
        <v>29</v>
      </c>
      <c r="I4610" s="19" t="n">
        <v>63.13</v>
      </c>
      <c r="J4610" s="19" t="n">
        <v>64</v>
      </c>
      <c r="K4610" s="20" t="n">
        <v>0</v>
      </c>
      <c r="L4610" s="20" t="n">
        <v>0</v>
      </c>
      <c r="M4610" s="18" t="n">
        <v>29</v>
      </c>
      <c r="N4610" s="18" t="n">
        <v>0</v>
      </c>
      <c r="O4610" s="18" t="n">
        <v>0</v>
      </c>
      <c r="P4610" s="17" t="n">
        <v>46273</v>
      </c>
      <c r="Q4610" s="17" t="n">
        <v>46284</v>
      </c>
      <c r="R4610" s="17" t="n">
        <v>46284</v>
      </c>
      <c r="S4610" s="19">
        <f>H4610*I4610</f>
        <v/>
      </c>
      <c r="T4610" s="19">
        <f>H4610*J4610</f>
        <v/>
      </c>
      <c r="U4610">
        <f>IF(AND(K4610=0,G4610&lt;=Assumptions!$C$6),1,0)</f>
        <v/>
      </c>
      <c r="V4610">
        <f>IF(U4610=1,IF(M4610&gt;0,IF(P4610&lt;=G4610+Assumptions!$C$7,1,0),0),0)</f>
        <v/>
      </c>
      <c r="W4610">
        <f>IF(AND(U4610=1,M4610&gt;=H4610*(1-Assumptions!$C$8)),1,0)</f>
        <v/>
      </c>
      <c r="X4610">
        <f>IF(AND(U4610=1,N4610&gt;=H4610*(1-Assumptions!$C$8)),1,0)</f>
        <v/>
      </c>
      <c r="Y4610">
        <f>IF(ISNUMBER(Q4610),1,0)</f>
        <v/>
      </c>
      <c r="Z4610">
        <f>IF(AND(K4610=0,L4610=0,Y4610=0),1,0)</f>
        <v/>
      </c>
      <c r="AA4610">
        <f>IF(AND(Z4610=1,G4610&lt;Assumptions!$C$6),1,0)</f>
        <v/>
      </c>
      <c r="AB4610">
        <f>IF(U4610=0,"",IF(Y4610=1,MAX(0,Q4610-G4610),IF(L4610=1,MAX(0,R4610-G4610),MAX(0,Assumptions!$C$6-G4610))))</f>
        <v/>
      </c>
      <c r="AC4610">
        <f>IF(Y4610=1,Q4610-F4610,"")</f>
        <v/>
      </c>
      <c r="AD4610">
        <f>IF(Y4610=1,AC4610^2,"")</f>
        <v/>
      </c>
      <c r="AE4610" s="19">
        <f>IF(Z4610=1,(H4610-M4610)*I4610,0)</f>
        <v/>
      </c>
      <c r="AF4610">
        <f>IF(G4610&lt;EDATE(Assumptions!$C$6,-12)+1,"prior_12m","last_12m")</f>
        <v/>
      </c>
      <c r="AG4610" s="21">
        <f>DATE(YEAR(G4610),MONTH(G4610),1)</f>
        <v/>
      </c>
    </row>
    <row r="4611">
      <c r="A4611" t="inlineStr">
        <is>
          <t>SPO-02472-2</t>
        </is>
      </c>
      <c r="B4611" t="inlineStr">
        <is>
          <t>SPO-02472</t>
        </is>
      </c>
      <c r="C4611" t="inlineStr">
        <is>
          <t>SUP-04</t>
        </is>
      </c>
      <c r="D4611" t="inlineStr">
        <is>
          <t>FLEET</t>
        </is>
      </c>
      <c r="E4611" t="inlineStr">
        <is>
          <t>FLEET-06</t>
        </is>
      </c>
      <c r="F4611" s="17" t="n">
        <v>46257</v>
      </c>
      <c r="G4611" s="17" t="n">
        <v>46270</v>
      </c>
      <c r="H4611" s="18" t="n">
        <v>22</v>
      </c>
      <c r="I4611" s="19" t="n">
        <v>30.98</v>
      </c>
      <c r="J4611" s="19" t="n">
        <v>33</v>
      </c>
      <c r="K4611" s="20" t="n">
        <v>0</v>
      </c>
      <c r="L4611" s="20" t="n">
        <v>0</v>
      </c>
      <c r="M4611" s="18" t="n">
        <v>22</v>
      </c>
      <c r="N4611" s="18" t="n">
        <v>22</v>
      </c>
      <c r="O4611" s="18" t="n">
        <v>0</v>
      </c>
      <c r="P4611" s="17" t="n">
        <v>46262</v>
      </c>
      <c r="Q4611" s="17" t="n">
        <v>46262</v>
      </c>
      <c r="R4611" s="17" t="n">
        <v>46262</v>
      </c>
      <c r="S4611" s="19">
        <f>H4611*I4611</f>
        <v/>
      </c>
      <c r="T4611" s="19">
        <f>H4611*J4611</f>
        <v/>
      </c>
      <c r="U4611">
        <f>IF(AND(K4611=0,G4611&lt;=Assumptions!$C$6),1,0)</f>
        <v/>
      </c>
      <c r="V4611">
        <f>IF(U4611=1,IF(M4611&gt;0,IF(P4611&lt;=G4611+Assumptions!$C$7,1,0),0),0)</f>
        <v/>
      </c>
      <c r="W4611">
        <f>IF(AND(U4611=1,M4611&gt;=H4611*(1-Assumptions!$C$8)),1,0)</f>
        <v/>
      </c>
      <c r="X4611">
        <f>IF(AND(U4611=1,N4611&gt;=H4611*(1-Assumptions!$C$8)),1,0)</f>
        <v/>
      </c>
      <c r="Y4611">
        <f>IF(ISNUMBER(Q4611),1,0)</f>
        <v/>
      </c>
      <c r="Z4611">
        <f>IF(AND(K4611=0,L4611=0,Y4611=0),1,0)</f>
        <v/>
      </c>
      <c r="AA4611">
        <f>IF(AND(Z4611=1,G4611&lt;Assumptions!$C$6),1,0)</f>
        <v/>
      </c>
      <c r="AB4611">
        <f>IF(U4611=0,"",IF(Y4611=1,MAX(0,Q4611-G4611),IF(L4611=1,MAX(0,R4611-G4611),MAX(0,Assumptions!$C$6-G4611))))</f>
        <v/>
      </c>
      <c r="AC4611">
        <f>IF(Y4611=1,Q4611-F4611,"")</f>
        <v/>
      </c>
      <c r="AD4611">
        <f>IF(Y4611=1,AC4611^2,"")</f>
        <v/>
      </c>
      <c r="AE4611" s="19">
        <f>IF(Z4611=1,(H4611-M4611)*I4611,0)</f>
        <v/>
      </c>
      <c r="AF4611">
        <f>IF(G4611&lt;EDATE(Assumptions!$C$6,-12)+1,"prior_12m","last_12m")</f>
        <v/>
      </c>
      <c r="AG4611" s="21">
        <f>DATE(YEAR(G4611),MONTH(G4611),1)</f>
        <v/>
      </c>
    </row>
    <row r="4612">
      <c r="A4612" t="inlineStr">
        <is>
          <t>SPO-02473-1</t>
        </is>
      </c>
      <c r="B4612" t="inlineStr">
        <is>
          <t>SPO-02473</t>
        </is>
      </c>
      <c r="C4612" t="inlineStr">
        <is>
          <t>SUP-12</t>
        </is>
      </c>
      <c r="D4612" t="inlineStr">
        <is>
          <t>IT</t>
        </is>
      </c>
      <c r="E4612" t="inlineStr">
        <is>
          <t>IT-01</t>
        </is>
      </c>
      <c r="F4612" s="17" t="n">
        <v>46258</v>
      </c>
      <c r="G4612" s="17" t="n">
        <v>46268</v>
      </c>
      <c r="H4612" s="18" t="n">
        <v>10</v>
      </c>
      <c r="I4612" s="19" t="n">
        <v>197.88</v>
      </c>
      <c r="J4612" s="19" t="n">
        <v>189</v>
      </c>
      <c r="K4612" s="20" t="n">
        <v>0</v>
      </c>
      <c r="L4612" s="20" t="n">
        <v>0</v>
      </c>
      <c r="M4612" s="18" t="n">
        <v>10</v>
      </c>
      <c r="N4612" s="18" t="n">
        <v>0</v>
      </c>
      <c r="O4612" s="18" t="n">
        <v>0</v>
      </c>
      <c r="P4612" s="17" t="n">
        <v>46270</v>
      </c>
      <c r="Q4612" s="17" t="n">
        <v>46270</v>
      </c>
      <c r="R4612" s="17" t="n">
        <v>46270</v>
      </c>
      <c r="S4612" s="19">
        <f>H4612*I4612</f>
        <v/>
      </c>
      <c r="T4612" s="19">
        <f>H4612*J4612</f>
        <v/>
      </c>
      <c r="U4612">
        <f>IF(AND(K4612=0,G4612&lt;=Assumptions!$C$6),1,0)</f>
        <v/>
      </c>
      <c r="V4612">
        <f>IF(U4612=1,IF(M4612&gt;0,IF(P4612&lt;=G4612+Assumptions!$C$7,1,0),0),0)</f>
        <v/>
      </c>
      <c r="W4612">
        <f>IF(AND(U4612=1,M4612&gt;=H4612*(1-Assumptions!$C$8)),1,0)</f>
        <v/>
      </c>
      <c r="X4612">
        <f>IF(AND(U4612=1,N4612&gt;=H4612*(1-Assumptions!$C$8)),1,0)</f>
        <v/>
      </c>
      <c r="Y4612">
        <f>IF(ISNUMBER(Q4612),1,0)</f>
        <v/>
      </c>
      <c r="Z4612">
        <f>IF(AND(K4612=0,L4612=0,Y4612=0),1,0)</f>
        <v/>
      </c>
      <c r="AA4612">
        <f>IF(AND(Z4612=1,G4612&lt;Assumptions!$C$6),1,0)</f>
        <v/>
      </c>
      <c r="AB4612">
        <f>IF(U4612=0,"",IF(Y4612=1,MAX(0,Q4612-G4612),IF(L4612=1,MAX(0,R4612-G4612),MAX(0,Assumptions!$C$6-G4612))))</f>
        <v/>
      </c>
      <c r="AC4612">
        <f>IF(Y4612=1,Q4612-F4612,"")</f>
        <v/>
      </c>
      <c r="AD4612">
        <f>IF(Y4612=1,AC4612^2,"")</f>
        <v/>
      </c>
      <c r="AE4612" s="19">
        <f>IF(Z4612=1,(H4612-M4612)*I4612,0)</f>
        <v/>
      </c>
      <c r="AF4612">
        <f>IF(G4612&lt;EDATE(Assumptions!$C$6,-12)+1,"prior_12m","last_12m")</f>
        <v/>
      </c>
      <c r="AG4612" s="21">
        <f>DATE(YEAR(G4612),MONTH(G4612),1)</f>
        <v/>
      </c>
    </row>
    <row r="4613">
      <c r="A4613" t="inlineStr">
        <is>
          <t>SPO-02474-1</t>
        </is>
      </c>
      <c r="B4613" t="inlineStr">
        <is>
          <t>SPO-02474</t>
        </is>
      </c>
      <c r="C4613" t="inlineStr">
        <is>
          <t>SUP-01</t>
        </is>
      </c>
      <c r="D4613" t="inlineStr">
        <is>
          <t>ELEC</t>
        </is>
      </c>
      <c r="E4613" t="inlineStr">
        <is>
          <t>ELEC-06</t>
        </is>
      </c>
      <c r="F4613" s="17" t="n">
        <v>46258</v>
      </c>
      <c r="G4613" s="17" t="n">
        <v>46276</v>
      </c>
      <c r="H4613" s="18" t="n">
        <v>7</v>
      </c>
      <c r="I4613" s="19" t="n">
        <v>144.69</v>
      </c>
      <c r="J4613" s="19" t="n">
        <v>145</v>
      </c>
      <c r="K4613" s="20" t="n">
        <v>0</v>
      </c>
      <c r="L4613" s="20" t="n">
        <v>0</v>
      </c>
      <c r="M4613" s="18" t="n">
        <v>0</v>
      </c>
      <c r="N4613" s="18" t="n">
        <v>0</v>
      </c>
      <c r="O4613" s="18" t="n">
        <v>0</v>
      </c>
      <c r="P4613" s="17" t="n"/>
      <c r="Q4613" s="17" t="n"/>
      <c r="R4613" s="17" t="n"/>
      <c r="S4613" s="19">
        <f>H4613*I4613</f>
        <v/>
      </c>
      <c r="T4613" s="19">
        <f>H4613*J4613</f>
        <v/>
      </c>
      <c r="U4613">
        <f>IF(AND(K4613=0,G4613&lt;=Assumptions!$C$6),1,0)</f>
        <v/>
      </c>
      <c r="V4613">
        <f>IF(U4613=1,IF(M4613&gt;0,IF(P4613&lt;=G4613+Assumptions!$C$7,1,0),0),0)</f>
        <v/>
      </c>
      <c r="W4613">
        <f>IF(AND(U4613=1,M4613&gt;=H4613*(1-Assumptions!$C$8)),1,0)</f>
        <v/>
      </c>
      <c r="X4613">
        <f>IF(AND(U4613=1,N4613&gt;=H4613*(1-Assumptions!$C$8)),1,0)</f>
        <v/>
      </c>
      <c r="Y4613">
        <f>IF(ISNUMBER(Q4613),1,0)</f>
        <v/>
      </c>
      <c r="Z4613">
        <f>IF(AND(K4613=0,L4613=0,Y4613=0),1,0)</f>
        <v/>
      </c>
      <c r="AA4613">
        <f>IF(AND(Z4613=1,G4613&lt;Assumptions!$C$6),1,0)</f>
        <v/>
      </c>
      <c r="AB4613">
        <f>IF(U4613=0,"",IF(Y4613=1,MAX(0,Q4613-G4613),IF(L4613=1,MAX(0,R4613-G4613),MAX(0,Assumptions!$C$6-G4613))))</f>
        <v/>
      </c>
      <c r="AC4613">
        <f>IF(Y4613=1,Q4613-F4613,"")</f>
        <v/>
      </c>
      <c r="AD4613">
        <f>IF(Y4613=1,AC4613^2,"")</f>
        <v/>
      </c>
      <c r="AE4613" s="19">
        <f>IF(Z4613=1,(H4613-M4613)*I4613,0)</f>
        <v/>
      </c>
      <c r="AF4613">
        <f>IF(G4613&lt;EDATE(Assumptions!$C$6,-12)+1,"prior_12m","last_12m")</f>
        <v/>
      </c>
      <c r="AG4613" s="21">
        <f>DATE(YEAR(G4613),MONTH(G4613),1)</f>
        <v/>
      </c>
    </row>
    <row r="4614">
      <c r="A4614" t="inlineStr">
        <is>
          <t>SPO-02475-1</t>
        </is>
      </c>
      <c r="B4614" t="inlineStr">
        <is>
          <t>SPO-02475</t>
        </is>
      </c>
      <c r="C4614" t="inlineStr">
        <is>
          <t>SUP-02</t>
        </is>
      </c>
      <c r="D4614" t="inlineStr">
        <is>
          <t>ELEC</t>
        </is>
      </c>
      <c r="E4614" t="inlineStr">
        <is>
          <t>ELEC-02</t>
        </is>
      </c>
      <c r="F4614" s="17" t="n">
        <v>46258</v>
      </c>
      <c r="G4614" s="17" t="n">
        <v>46274</v>
      </c>
      <c r="H4614" s="18" t="n">
        <v>342</v>
      </c>
      <c r="I4614" s="19" t="n">
        <v>4.18</v>
      </c>
      <c r="J4614" s="19" t="n">
        <v>4.2</v>
      </c>
      <c r="K4614" s="20" t="n">
        <v>0</v>
      </c>
      <c r="L4614" s="20" t="n">
        <v>0</v>
      </c>
      <c r="M4614" s="18" t="n">
        <v>342</v>
      </c>
      <c r="N4614" s="18" t="n">
        <v>342</v>
      </c>
      <c r="O4614" s="18" t="n">
        <v>0</v>
      </c>
      <c r="P4614" s="17" t="n">
        <v>46274</v>
      </c>
      <c r="Q4614" s="17" t="n">
        <v>46274</v>
      </c>
      <c r="R4614" s="17" t="n">
        <v>46274</v>
      </c>
      <c r="S4614" s="19">
        <f>H4614*I4614</f>
        <v/>
      </c>
      <c r="T4614" s="19">
        <f>H4614*J4614</f>
        <v/>
      </c>
      <c r="U4614">
        <f>IF(AND(K4614=0,G4614&lt;=Assumptions!$C$6),1,0)</f>
        <v/>
      </c>
      <c r="V4614">
        <f>IF(U4614=1,IF(M4614&gt;0,IF(P4614&lt;=G4614+Assumptions!$C$7,1,0),0),0)</f>
        <v/>
      </c>
      <c r="W4614">
        <f>IF(AND(U4614=1,M4614&gt;=H4614*(1-Assumptions!$C$8)),1,0)</f>
        <v/>
      </c>
      <c r="X4614">
        <f>IF(AND(U4614=1,N4614&gt;=H4614*(1-Assumptions!$C$8)),1,0)</f>
        <v/>
      </c>
      <c r="Y4614">
        <f>IF(ISNUMBER(Q4614),1,0)</f>
        <v/>
      </c>
      <c r="Z4614">
        <f>IF(AND(K4614=0,L4614=0,Y4614=0),1,0)</f>
        <v/>
      </c>
      <c r="AA4614">
        <f>IF(AND(Z4614=1,G4614&lt;Assumptions!$C$6),1,0)</f>
        <v/>
      </c>
      <c r="AB4614">
        <f>IF(U4614=0,"",IF(Y4614=1,MAX(0,Q4614-G4614),IF(L4614=1,MAX(0,R4614-G4614),MAX(0,Assumptions!$C$6-G4614))))</f>
        <v/>
      </c>
      <c r="AC4614">
        <f>IF(Y4614=1,Q4614-F4614,"")</f>
        <v/>
      </c>
      <c r="AD4614">
        <f>IF(Y4614=1,AC4614^2,"")</f>
        <v/>
      </c>
      <c r="AE4614" s="19">
        <f>IF(Z4614=1,(H4614-M4614)*I4614,0)</f>
        <v/>
      </c>
      <c r="AF4614">
        <f>IF(G4614&lt;EDATE(Assumptions!$C$6,-12)+1,"prior_12m","last_12m")</f>
        <v/>
      </c>
      <c r="AG4614" s="21">
        <f>DATE(YEAR(G4614),MONTH(G4614),1)</f>
        <v/>
      </c>
    </row>
    <row r="4615">
      <c r="A4615" t="inlineStr">
        <is>
          <t>SPO-02476-1</t>
        </is>
      </c>
      <c r="B4615" t="inlineStr">
        <is>
          <t>SPO-02476</t>
        </is>
      </c>
      <c r="C4615" t="inlineStr">
        <is>
          <t>SUP-01</t>
        </is>
      </c>
      <c r="D4615" t="inlineStr">
        <is>
          <t>ELEC</t>
        </is>
      </c>
      <c r="E4615" t="inlineStr">
        <is>
          <t>ELEC-01</t>
        </is>
      </c>
      <c r="F4615" s="17" t="n">
        <v>46258</v>
      </c>
      <c r="G4615" s="17" t="n">
        <v>46276</v>
      </c>
      <c r="H4615" s="18" t="n">
        <v>113</v>
      </c>
      <c r="I4615" s="19" t="n">
        <v>37.95</v>
      </c>
      <c r="J4615" s="19" t="n">
        <v>38</v>
      </c>
      <c r="K4615" s="20" t="n">
        <v>0</v>
      </c>
      <c r="L4615" s="20" t="n">
        <v>0</v>
      </c>
      <c r="M4615" s="18" t="n">
        <v>113</v>
      </c>
      <c r="N4615" s="18" t="n">
        <v>113</v>
      </c>
      <c r="O4615" s="18" t="n">
        <v>0</v>
      </c>
      <c r="P4615" s="17" t="n">
        <v>46267</v>
      </c>
      <c r="Q4615" s="17" t="n">
        <v>46267</v>
      </c>
      <c r="R4615" s="17" t="n">
        <v>46267</v>
      </c>
      <c r="S4615" s="19">
        <f>H4615*I4615</f>
        <v/>
      </c>
      <c r="T4615" s="19">
        <f>H4615*J4615</f>
        <v/>
      </c>
      <c r="U4615">
        <f>IF(AND(K4615=0,G4615&lt;=Assumptions!$C$6),1,0)</f>
        <v/>
      </c>
      <c r="V4615">
        <f>IF(U4615=1,IF(M4615&gt;0,IF(P4615&lt;=G4615+Assumptions!$C$7,1,0),0),0)</f>
        <v/>
      </c>
      <c r="W4615">
        <f>IF(AND(U4615=1,M4615&gt;=H4615*(1-Assumptions!$C$8)),1,0)</f>
        <v/>
      </c>
      <c r="X4615">
        <f>IF(AND(U4615=1,N4615&gt;=H4615*(1-Assumptions!$C$8)),1,0)</f>
        <v/>
      </c>
      <c r="Y4615">
        <f>IF(ISNUMBER(Q4615),1,0)</f>
        <v/>
      </c>
      <c r="Z4615">
        <f>IF(AND(K4615=0,L4615=0,Y4615=0),1,0)</f>
        <v/>
      </c>
      <c r="AA4615">
        <f>IF(AND(Z4615=1,G4615&lt;Assumptions!$C$6),1,0)</f>
        <v/>
      </c>
      <c r="AB4615">
        <f>IF(U4615=0,"",IF(Y4615=1,MAX(0,Q4615-G4615),IF(L4615=1,MAX(0,R4615-G4615),MAX(0,Assumptions!$C$6-G4615))))</f>
        <v/>
      </c>
      <c r="AC4615">
        <f>IF(Y4615=1,Q4615-F4615,"")</f>
        <v/>
      </c>
      <c r="AD4615">
        <f>IF(Y4615=1,AC4615^2,"")</f>
        <v/>
      </c>
      <c r="AE4615" s="19">
        <f>IF(Z4615=1,(H4615-M4615)*I4615,0)</f>
        <v/>
      </c>
      <c r="AF4615">
        <f>IF(G4615&lt;EDATE(Assumptions!$C$6,-12)+1,"prior_12m","last_12m")</f>
        <v/>
      </c>
      <c r="AG4615" s="21">
        <f>DATE(YEAR(G4615),MONTH(G4615),1)</f>
        <v/>
      </c>
    </row>
    <row r="4616">
      <c r="A4616" t="inlineStr">
        <is>
          <t>SPO-02477-1</t>
        </is>
      </c>
      <c r="B4616" t="inlineStr">
        <is>
          <t>SPO-02477</t>
        </is>
      </c>
      <c r="C4616" t="inlineStr">
        <is>
          <t>SUP-09</t>
        </is>
      </c>
      <c r="D4616" t="inlineStr">
        <is>
          <t>CHEM</t>
        </is>
      </c>
      <c r="E4616" t="inlineStr">
        <is>
          <t>CHEM-02</t>
        </is>
      </c>
      <c r="F4616" s="17" t="n">
        <v>46258</v>
      </c>
      <c r="G4616" s="17" t="n">
        <v>46272</v>
      </c>
      <c r="H4616" s="18" t="n">
        <v>5</v>
      </c>
      <c r="I4616" s="19" t="n">
        <v>436.53</v>
      </c>
      <c r="J4616" s="19" t="n">
        <v>410</v>
      </c>
      <c r="K4616" s="20" t="n">
        <v>0</v>
      </c>
      <c r="L4616" s="20" t="n">
        <v>0</v>
      </c>
      <c r="M4616" s="18" t="n">
        <v>5</v>
      </c>
      <c r="N4616" s="18" t="n">
        <v>5</v>
      </c>
      <c r="O4616" s="18" t="n">
        <v>0</v>
      </c>
      <c r="P4616" s="17" t="n">
        <v>46269</v>
      </c>
      <c r="Q4616" s="17" t="n">
        <v>46269</v>
      </c>
      <c r="R4616" s="17" t="n">
        <v>46269</v>
      </c>
      <c r="S4616" s="19">
        <f>H4616*I4616</f>
        <v/>
      </c>
      <c r="T4616" s="19">
        <f>H4616*J4616</f>
        <v/>
      </c>
      <c r="U4616">
        <f>IF(AND(K4616=0,G4616&lt;=Assumptions!$C$6),1,0)</f>
        <v/>
      </c>
      <c r="V4616">
        <f>IF(U4616=1,IF(M4616&gt;0,IF(P4616&lt;=G4616+Assumptions!$C$7,1,0),0),0)</f>
        <v/>
      </c>
      <c r="W4616">
        <f>IF(AND(U4616=1,M4616&gt;=H4616*(1-Assumptions!$C$8)),1,0)</f>
        <v/>
      </c>
      <c r="X4616">
        <f>IF(AND(U4616=1,N4616&gt;=H4616*(1-Assumptions!$C$8)),1,0)</f>
        <v/>
      </c>
      <c r="Y4616">
        <f>IF(ISNUMBER(Q4616),1,0)</f>
        <v/>
      </c>
      <c r="Z4616">
        <f>IF(AND(K4616=0,L4616=0,Y4616=0),1,0)</f>
        <v/>
      </c>
      <c r="AA4616">
        <f>IF(AND(Z4616=1,G4616&lt;Assumptions!$C$6),1,0)</f>
        <v/>
      </c>
      <c r="AB4616">
        <f>IF(U4616=0,"",IF(Y4616=1,MAX(0,Q4616-G4616),IF(L4616=1,MAX(0,R4616-G4616),MAX(0,Assumptions!$C$6-G4616))))</f>
        <v/>
      </c>
      <c r="AC4616">
        <f>IF(Y4616=1,Q4616-F4616,"")</f>
        <v/>
      </c>
      <c r="AD4616">
        <f>IF(Y4616=1,AC4616^2,"")</f>
        <v/>
      </c>
      <c r="AE4616" s="19">
        <f>IF(Z4616=1,(H4616-M4616)*I4616,0)</f>
        <v/>
      </c>
      <c r="AF4616">
        <f>IF(G4616&lt;EDATE(Assumptions!$C$6,-12)+1,"prior_12m","last_12m")</f>
        <v/>
      </c>
      <c r="AG4616" s="21">
        <f>DATE(YEAR(G4616),MONTH(G4616),1)</f>
        <v/>
      </c>
    </row>
    <row r="4617">
      <c r="A4617" t="inlineStr">
        <is>
          <t>SPO-02478-1</t>
        </is>
      </c>
      <c r="B4617" t="inlineStr">
        <is>
          <t>SPO-02478</t>
        </is>
      </c>
      <c r="C4617" t="inlineStr">
        <is>
          <t>SUP-12</t>
        </is>
      </c>
      <c r="D4617" t="inlineStr">
        <is>
          <t>IT</t>
        </is>
      </c>
      <c r="E4617" t="inlineStr">
        <is>
          <t>IT-01</t>
        </is>
      </c>
      <c r="F4617" s="17" t="n">
        <v>46258</v>
      </c>
      <c r="G4617" s="17" t="n">
        <v>46268</v>
      </c>
      <c r="H4617" s="18" t="n">
        <v>8</v>
      </c>
      <c r="I4617" s="19" t="n">
        <v>222.61</v>
      </c>
      <c r="J4617" s="19" t="n">
        <v>189</v>
      </c>
      <c r="K4617" s="20" t="n">
        <v>0</v>
      </c>
      <c r="L4617" s="20" t="n">
        <v>0</v>
      </c>
      <c r="M4617" s="18" t="n">
        <v>8</v>
      </c>
      <c r="N4617" s="18" t="n">
        <v>8</v>
      </c>
      <c r="O4617" s="18" t="n">
        <v>0</v>
      </c>
      <c r="P4617" s="17" t="n">
        <v>46267</v>
      </c>
      <c r="Q4617" s="17" t="n">
        <v>46267</v>
      </c>
      <c r="R4617" s="17" t="n">
        <v>46267</v>
      </c>
      <c r="S4617" s="19">
        <f>H4617*I4617</f>
        <v/>
      </c>
      <c r="T4617" s="19">
        <f>H4617*J4617</f>
        <v/>
      </c>
      <c r="U4617">
        <f>IF(AND(K4617=0,G4617&lt;=Assumptions!$C$6),1,0)</f>
        <v/>
      </c>
      <c r="V4617">
        <f>IF(U4617=1,IF(M4617&gt;0,IF(P4617&lt;=G4617+Assumptions!$C$7,1,0),0),0)</f>
        <v/>
      </c>
      <c r="W4617">
        <f>IF(AND(U4617=1,M4617&gt;=H4617*(1-Assumptions!$C$8)),1,0)</f>
        <v/>
      </c>
      <c r="X4617">
        <f>IF(AND(U4617=1,N4617&gt;=H4617*(1-Assumptions!$C$8)),1,0)</f>
        <v/>
      </c>
      <c r="Y4617">
        <f>IF(ISNUMBER(Q4617),1,0)</f>
        <v/>
      </c>
      <c r="Z4617">
        <f>IF(AND(K4617=0,L4617=0,Y4617=0),1,0)</f>
        <v/>
      </c>
      <c r="AA4617">
        <f>IF(AND(Z4617=1,G4617&lt;Assumptions!$C$6),1,0)</f>
        <v/>
      </c>
      <c r="AB4617">
        <f>IF(U4617=0,"",IF(Y4617=1,MAX(0,Q4617-G4617),IF(L4617=1,MAX(0,R4617-G4617),MAX(0,Assumptions!$C$6-G4617))))</f>
        <v/>
      </c>
      <c r="AC4617">
        <f>IF(Y4617=1,Q4617-F4617,"")</f>
        <v/>
      </c>
      <c r="AD4617">
        <f>IF(Y4617=1,AC4617^2,"")</f>
        <v/>
      </c>
      <c r="AE4617" s="19">
        <f>IF(Z4617=1,(H4617-M4617)*I4617,0)</f>
        <v/>
      </c>
      <c r="AF4617">
        <f>IF(G4617&lt;EDATE(Assumptions!$C$6,-12)+1,"prior_12m","last_12m")</f>
        <v/>
      </c>
      <c r="AG4617" s="21">
        <f>DATE(YEAR(G4617),MONTH(G4617),1)</f>
        <v/>
      </c>
    </row>
    <row r="4618">
      <c r="A4618" t="inlineStr">
        <is>
          <t>SPO-02479-1</t>
        </is>
      </c>
      <c r="B4618" t="inlineStr">
        <is>
          <t>SPO-02479</t>
        </is>
      </c>
      <c r="C4618" t="inlineStr">
        <is>
          <t>SUP-02</t>
        </is>
      </c>
      <c r="D4618" t="inlineStr">
        <is>
          <t>ELEC</t>
        </is>
      </c>
      <c r="E4618" t="inlineStr">
        <is>
          <t>ELEC-08</t>
        </is>
      </c>
      <c r="F4618" s="17" t="n">
        <v>46258</v>
      </c>
      <c r="G4618" s="17" t="n">
        <v>46274</v>
      </c>
      <c r="H4618" s="18" t="n">
        <v>322</v>
      </c>
      <c r="I4618" s="19" t="n">
        <v>17.92</v>
      </c>
      <c r="J4618" s="19" t="n">
        <v>18</v>
      </c>
      <c r="K4618" s="20" t="n">
        <v>0</v>
      </c>
      <c r="L4618" s="20" t="n">
        <v>0</v>
      </c>
      <c r="M4618" s="18" t="n">
        <v>322</v>
      </c>
      <c r="N4618" s="18" t="n">
        <v>322</v>
      </c>
      <c r="O4618" s="18" t="n">
        <v>0</v>
      </c>
      <c r="P4618" s="17" t="n">
        <v>46269</v>
      </c>
      <c r="Q4618" s="17" t="n">
        <v>46269</v>
      </c>
      <c r="R4618" s="17" t="n">
        <v>46269</v>
      </c>
      <c r="S4618" s="19">
        <f>H4618*I4618</f>
        <v/>
      </c>
      <c r="T4618" s="19">
        <f>H4618*J4618</f>
        <v/>
      </c>
      <c r="U4618">
        <f>IF(AND(K4618=0,G4618&lt;=Assumptions!$C$6),1,0)</f>
        <v/>
      </c>
      <c r="V4618">
        <f>IF(U4618=1,IF(M4618&gt;0,IF(P4618&lt;=G4618+Assumptions!$C$7,1,0),0),0)</f>
        <v/>
      </c>
      <c r="W4618">
        <f>IF(AND(U4618=1,M4618&gt;=H4618*(1-Assumptions!$C$8)),1,0)</f>
        <v/>
      </c>
      <c r="X4618">
        <f>IF(AND(U4618=1,N4618&gt;=H4618*(1-Assumptions!$C$8)),1,0)</f>
        <v/>
      </c>
      <c r="Y4618">
        <f>IF(ISNUMBER(Q4618),1,0)</f>
        <v/>
      </c>
      <c r="Z4618">
        <f>IF(AND(K4618=0,L4618=0,Y4618=0),1,0)</f>
        <v/>
      </c>
      <c r="AA4618">
        <f>IF(AND(Z4618=1,G4618&lt;Assumptions!$C$6),1,0)</f>
        <v/>
      </c>
      <c r="AB4618">
        <f>IF(U4618=0,"",IF(Y4618=1,MAX(0,Q4618-G4618),IF(L4618=1,MAX(0,R4618-G4618),MAX(0,Assumptions!$C$6-G4618))))</f>
        <v/>
      </c>
      <c r="AC4618">
        <f>IF(Y4618=1,Q4618-F4618,"")</f>
        <v/>
      </c>
      <c r="AD4618">
        <f>IF(Y4618=1,AC4618^2,"")</f>
        <v/>
      </c>
      <c r="AE4618" s="19">
        <f>IF(Z4618=1,(H4618-M4618)*I4618,0)</f>
        <v/>
      </c>
      <c r="AF4618">
        <f>IF(G4618&lt;EDATE(Assumptions!$C$6,-12)+1,"prior_12m","last_12m")</f>
        <v/>
      </c>
      <c r="AG4618" s="21">
        <f>DATE(YEAR(G4618),MONTH(G4618),1)</f>
        <v/>
      </c>
    </row>
    <row r="4619">
      <c r="A4619" t="inlineStr">
        <is>
          <t>SPO-02480-1</t>
        </is>
      </c>
      <c r="B4619" t="inlineStr">
        <is>
          <t>SPO-02480</t>
        </is>
      </c>
      <c r="C4619" t="inlineStr">
        <is>
          <t>SUP-01</t>
        </is>
      </c>
      <c r="D4619" t="inlineStr">
        <is>
          <t>ELEC</t>
        </is>
      </c>
      <c r="E4619" t="inlineStr">
        <is>
          <t>ELEC-02</t>
        </is>
      </c>
      <c r="F4619" s="17" t="n">
        <v>46259</v>
      </c>
      <c r="G4619" s="17" t="n">
        <v>46277</v>
      </c>
      <c r="H4619" s="18" t="n">
        <v>219</v>
      </c>
      <c r="I4619" s="19" t="n">
        <v>3.93</v>
      </c>
      <c r="J4619" s="19" t="n">
        <v>4.2</v>
      </c>
      <c r="K4619" s="20" t="n">
        <v>0</v>
      </c>
      <c r="L4619" s="20" t="n">
        <v>0</v>
      </c>
      <c r="M4619" s="18" t="n">
        <v>219</v>
      </c>
      <c r="N4619" s="18" t="n">
        <v>219</v>
      </c>
      <c r="O4619" s="18" t="n">
        <v>0</v>
      </c>
      <c r="P4619" s="17" t="n">
        <v>46271</v>
      </c>
      <c r="Q4619" s="17" t="n">
        <v>46271</v>
      </c>
      <c r="R4619" s="17" t="n">
        <v>46271</v>
      </c>
      <c r="S4619" s="19">
        <f>H4619*I4619</f>
        <v/>
      </c>
      <c r="T4619" s="19">
        <f>H4619*J4619</f>
        <v/>
      </c>
      <c r="U4619">
        <f>IF(AND(K4619=0,G4619&lt;=Assumptions!$C$6),1,0)</f>
        <v/>
      </c>
      <c r="V4619">
        <f>IF(U4619=1,IF(M4619&gt;0,IF(P4619&lt;=G4619+Assumptions!$C$7,1,0),0),0)</f>
        <v/>
      </c>
      <c r="W4619">
        <f>IF(AND(U4619=1,M4619&gt;=H4619*(1-Assumptions!$C$8)),1,0)</f>
        <v/>
      </c>
      <c r="X4619">
        <f>IF(AND(U4619=1,N4619&gt;=H4619*(1-Assumptions!$C$8)),1,0)</f>
        <v/>
      </c>
      <c r="Y4619">
        <f>IF(ISNUMBER(Q4619),1,0)</f>
        <v/>
      </c>
      <c r="Z4619">
        <f>IF(AND(K4619=0,L4619=0,Y4619=0),1,0)</f>
        <v/>
      </c>
      <c r="AA4619">
        <f>IF(AND(Z4619=1,G4619&lt;Assumptions!$C$6),1,0)</f>
        <v/>
      </c>
      <c r="AB4619">
        <f>IF(U4619=0,"",IF(Y4619=1,MAX(0,Q4619-G4619),IF(L4619=1,MAX(0,R4619-G4619),MAX(0,Assumptions!$C$6-G4619))))</f>
        <v/>
      </c>
      <c r="AC4619">
        <f>IF(Y4619=1,Q4619-F4619,"")</f>
        <v/>
      </c>
      <c r="AD4619">
        <f>IF(Y4619=1,AC4619^2,"")</f>
        <v/>
      </c>
      <c r="AE4619" s="19">
        <f>IF(Z4619=1,(H4619-M4619)*I4619,0)</f>
        <v/>
      </c>
      <c r="AF4619">
        <f>IF(G4619&lt;EDATE(Assumptions!$C$6,-12)+1,"prior_12m","last_12m")</f>
        <v/>
      </c>
      <c r="AG4619" s="21">
        <f>DATE(YEAR(G4619),MONTH(G4619),1)</f>
        <v/>
      </c>
    </row>
    <row r="4620">
      <c r="A4620" t="inlineStr">
        <is>
          <t>SPO-02480-2</t>
        </is>
      </c>
      <c r="B4620" t="inlineStr">
        <is>
          <t>SPO-02480</t>
        </is>
      </c>
      <c r="C4620" t="inlineStr">
        <is>
          <t>SUP-01</t>
        </is>
      </c>
      <c r="D4620" t="inlineStr">
        <is>
          <t>ELEC</t>
        </is>
      </c>
      <c r="E4620" t="inlineStr">
        <is>
          <t>ELEC-05</t>
        </is>
      </c>
      <c r="F4620" s="17" t="n">
        <v>46259</v>
      </c>
      <c r="G4620" s="17" t="n">
        <v>46277</v>
      </c>
      <c r="H4620" s="18" t="n">
        <v>197</v>
      </c>
      <c r="I4620" s="19" t="n">
        <v>11.74</v>
      </c>
      <c r="J4620" s="19" t="n">
        <v>11.5</v>
      </c>
      <c r="K4620" s="20" t="n">
        <v>0</v>
      </c>
      <c r="L4620" s="20" t="n">
        <v>0</v>
      </c>
      <c r="M4620" s="18" t="n">
        <v>197</v>
      </c>
      <c r="N4620" s="18" t="n">
        <v>0</v>
      </c>
      <c r="O4620" s="18" t="n">
        <v>0</v>
      </c>
      <c r="P4620" s="17" t="n">
        <v>46288</v>
      </c>
      <c r="Q4620" s="17" t="n">
        <v>46288</v>
      </c>
      <c r="R4620" s="17" t="n">
        <v>46288</v>
      </c>
      <c r="S4620" s="19">
        <f>H4620*I4620</f>
        <v/>
      </c>
      <c r="T4620" s="19">
        <f>H4620*J4620</f>
        <v/>
      </c>
      <c r="U4620">
        <f>IF(AND(K4620=0,G4620&lt;=Assumptions!$C$6),1,0)</f>
        <v/>
      </c>
      <c r="V4620">
        <f>IF(U4620=1,IF(M4620&gt;0,IF(P4620&lt;=G4620+Assumptions!$C$7,1,0),0),0)</f>
        <v/>
      </c>
      <c r="W4620">
        <f>IF(AND(U4620=1,M4620&gt;=H4620*(1-Assumptions!$C$8)),1,0)</f>
        <v/>
      </c>
      <c r="X4620">
        <f>IF(AND(U4620=1,N4620&gt;=H4620*(1-Assumptions!$C$8)),1,0)</f>
        <v/>
      </c>
      <c r="Y4620">
        <f>IF(ISNUMBER(Q4620),1,0)</f>
        <v/>
      </c>
      <c r="Z4620">
        <f>IF(AND(K4620=0,L4620=0,Y4620=0),1,0)</f>
        <v/>
      </c>
      <c r="AA4620">
        <f>IF(AND(Z4620=1,G4620&lt;Assumptions!$C$6),1,0)</f>
        <v/>
      </c>
      <c r="AB4620">
        <f>IF(U4620=0,"",IF(Y4620=1,MAX(0,Q4620-G4620),IF(L4620=1,MAX(0,R4620-G4620),MAX(0,Assumptions!$C$6-G4620))))</f>
        <v/>
      </c>
      <c r="AC4620">
        <f>IF(Y4620=1,Q4620-F4620,"")</f>
        <v/>
      </c>
      <c r="AD4620">
        <f>IF(Y4620=1,AC4620^2,"")</f>
        <v/>
      </c>
      <c r="AE4620" s="19">
        <f>IF(Z4620=1,(H4620-M4620)*I4620,0)</f>
        <v/>
      </c>
      <c r="AF4620">
        <f>IF(G4620&lt;EDATE(Assumptions!$C$6,-12)+1,"prior_12m","last_12m")</f>
        <v/>
      </c>
      <c r="AG4620" s="21">
        <f>DATE(YEAR(G4620),MONTH(G4620),1)</f>
        <v/>
      </c>
    </row>
    <row r="4621">
      <c r="A4621" t="inlineStr">
        <is>
          <t>SPO-02481-1</t>
        </is>
      </c>
      <c r="B4621" t="inlineStr">
        <is>
          <t>SPO-02481</t>
        </is>
      </c>
      <c r="C4621" t="inlineStr">
        <is>
          <t>SUP-11</t>
        </is>
      </c>
      <c r="D4621" t="inlineStr">
        <is>
          <t>PPE</t>
        </is>
      </c>
      <c r="E4621" t="inlineStr">
        <is>
          <t>PPE-03</t>
        </is>
      </c>
      <c r="F4621" s="17" t="n">
        <v>46259</v>
      </c>
      <c r="G4621" s="17" t="n">
        <v>46271</v>
      </c>
      <c r="H4621" s="18" t="n">
        <v>85</v>
      </c>
      <c r="I4621" s="19" t="n">
        <v>20.38</v>
      </c>
      <c r="J4621" s="19" t="n">
        <v>21</v>
      </c>
      <c r="K4621" s="20" t="n">
        <v>0</v>
      </c>
      <c r="L4621" s="20" t="n">
        <v>0</v>
      </c>
      <c r="M4621" s="18" t="n">
        <v>85</v>
      </c>
      <c r="N4621" s="18" t="n">
        <v>85</v>
      </c>
      <c r="O4621" s="18" t="n">
        <v>0</v>
      </c>
      <c r="P4621" s="17" t="n">
        <v>46268</v>
      </c>
      <c r="Q4621" s="17" t="n">
        <v>46268</v>
      </c>
      <c r="R4621" s="17" t="n">
        <v>46268</v>
      </c>
      <c r="S4621" s="19">
        <f>H4621*I4621</f>
        <v/>
      </c>
      <c r="T4621" s="19">
        <f>H4621*J4621</f>
        <v/>
      </c>
      <c r="U4621">
        <f>IF(AND(K4621=0,G4621&lt;=Assumptions!$C$6),1,0)</f>
        <v/>
      </c>
      <c r="V4621">
        <f>IF(U4621=1,IF(M4621&gt;0,IF(P4621&lt;=G4621+Assumptions!$C$7,1,0),0),0)</f>
        <v/>
      </c>
      <c r="W4621">
        <f>IF(AND(U4621=1,M4621&gt;=H4621*(1-Assumptions!$C$8)),1,0)</f>
        <v/>
      </c>
      <c r="X4621">
        <f>IF(AND(U4621=1,N4621&gt;=H4621*(1-Assumptions!$C$8)),1,0)</f>
        <v/>
      </c>
      <c r="Y4621">
        <f>IF(ISNUMBER(Q4621),1,0)</f>
        <v/>
      </c>
      <c r="Z4621">
        <f>IF(AND(K4621=0,L4621=0,Y4621=0),1,0)</f>
        <v/>
      </c>
      <c r="AA4621">
        <f>IF(AND(Z4621=1,G4621&lt;Assumptions!$C$6),1,0)</f>
        <v/>
      </c>
      <c r="AB4621">
        <f>IF(U4621=0,"",IF(Y4621=1,MAX(0,Q4621-G4621),IF(L4621=1,MAX(0,R4621-G4621),MAX(0,Assumptions!$C$6-G4621))))</f>
        <v/>
      </c>
      <c r="AC4621">
        <f>IF(Y4621=1,Q4621-F4621,"")</f>
        <v/>
      </c>
      <c r="AD4621">
        <f>IF(Y4621=1,AC4621^2,"")</f>
        <v/>
      </c>
      <c r="AE4621" s="19">
        <f>IF(Z4621=1,(H4621-M4621)*I4621,0)</f>
        <v/>
      </c>
      <c r="AF4621">
        <f>IF(G4621&lt;EDATE(Assumptions!$C$6,-12)+1,"prior_12m","last_12m")</f>
        <v/>
      </c>
      <c r="AG4621" s="21">
        <f>DATE(YEAR(G4621),MONTH(G4621),1)</f>
        <v/>
      </c>
    </row>
    <row r="4622">
      <c r="A4622" t="inlineStr">
        <is>
          <t>SPO-02482-1</t>
        </is>
      </c>
      <c r="B4622" t="inlineStr">
        <is>
          <t>SPO-02482</t>
        </is>
      </c>
      <c r="C4622" t="inlineStr">
        <is>
          <t>SUP-12</t>
        </is>
      </c>
      <c r="D4622" t="inlineStr">
        <is>
          <t>IT</t>
        </is>
      </c>
      <c r="E4622" t="inlineStr">
        <is>
          <t>IT-08</t>
        </is>
      </c>
      <c r="F4622" s="17" t="n">
        <v>46259</v>
      </c>
      <c r="G4622" s="17" t="n">
        <v>46269</v>
      </c>
      <c r="H4622" s="18" t="n">
        <v>4</v>
      </c>
      <c r="I4622" s="19" t="n">
        <v>294.31</v>
      </c>
      <c r="J4622" s="19" t="n">
        <v>245</v>
      </c>
      <c r="K4622" s="20" t="n">
        <v>0</v>
      </c>
      <c r="L4622" s="20" t="n">
        <v>0</v>
      </c>
      <c r="M4622" s="18" t="n">
        <v>4</v>
      </c>
      <c r="N4622" s="18" t="n">
        <v>4</v>
      </c>
      <c r="O4622" s="18" t="n">
        <v>0</v>
      </c>
      <c r="P4622" s="17" t="n">
        <v>46267</v>
      </c>
      <c r="Q4622" s="17" t="n">
        <v>46267</v>
      </c>
      <c r="R4622" s="17" t="n">
        <v>46267</v>
      </c>
      <c r="S4622" s="19">
        <f>H4622*I4622</f>
        <v/>
      </c>
      <c r="T4622" s="19">
        <f>H4622*J4622</f>
        <v/>
      </c>
      <c r="U4622">
        <f>IF(AND(K4622=0,G4622&lt;=Assumptions!$C$6),1,0)</f>
        <v/>
      </c>
      <c r="V4622">
        <f>IF(U4622=1,IF(M4622&gt;0,IF(P4622&lt;=G4622+Assumptions!$C$7,1,0),0),0)</f>
        <v/>
      </c>
      <c r="W4622">
        <f>IF(AND(U4622=1,M4622&gt;=H4622*(1-Assumptions!$C$8)),1,0)</f>
        <v/>
      </c>
      <c r="X4622">
        <f>IF(AND(U4622=1,N4622&gt;=H4622*(1-Assumptions!$C$8)),1,0)</f>
        <v/>
      </c>
      <c r="Y4622">
        <f>IF(ISNUMBER(Q4622),1,0)</f>
        <v/>
      </c>
      <c r="Z4622">
        <f>IF(AND(K4622=0,L4622=0,Y4622=0),1,0)</f>
        <v/>
      </c>
      <c r="AA4622">
        <f>IF(AND(Z4622=1,G4622&lt;Assumptions!$C$6),1,0)</f>
        <v/>
      </c>
      <c r="AB4622">
        <f>IF(U4622=0,"",IF(Y4622=1,MAX(0,Q4622-G4622),IF(L4622=1,MAX(0,R4622-G4622),MAX(0,Assumptions!$C$6-G4622))))</f>
        <v/>
      </c>
      <c r="AC4622">
        <f>IF(Y4622=1,Q4622-F4622,"")</f>
        <v/>
      </c>
      <c r="AD4622">
        <f>IF(Y4622=1,AC4622^2,"")</f>
        <v/>
      </c>
      <c r="AE4622" s="19">
        <f>IF(Z4622=1,(H4622-M4622)*I4622,0)</f>
        <v/>
      </c>
      <c r="AF4622">
        <f>IF(G4622&lt;EDATE(Assumptions!$C$6,-12)+1,"prior_12m","last_12m")</f>
        <v/>
      </c>
      <c r="AG4622" s="21">
        <f>DATE(YEAR(G4622),MONTH(G4622),1)</f>
        <v/>
      </c>
    </row>
    <row r="4623">
      <c r="A4623" t="inlineStr">
        <is>
          <t>SPO-02482-2</t>
        </is>
      </c>
      <c r="B4623" t="inlineStr">
        <is>
          <t>SPO-02482</t>
        </is>
      </c>
      <c r="C4623" t="inlineStr">
        <is>
          <t>SUP-12</t>
        </is>
      </c>
      <c r="D4623" t="inlineStr">
        <is>
          <t>IT</t>
        </is>
      </c>
      <c r="E4623" t="inlineStr">
        <is>
          <t>IT-05</t>
        </is>
      </c>
      <c r="F4623" s="17" t="n">
        <v>46259</v>
      </c>
      <c r="G4623" s="17" t="n">
        <v>46269</v>
      </c>
      <c r="H4623" s="18" t="n">
        <v>2</v>
      </c>
      <c r="I4623" s="19" t="n">
        <v>740.88</v>
      </c>
      <c r="J4623" s="19" t="n">
        <v>640</v>
      </c>
      <c r="K4623" s="20" t="n">
        <v>0</v>
      </c>
      <c r="L4623" s="20" t="n">
        <v>0</v>
      </c>
      <c r="M4623" s="18" t="n">
        <v>2</v>
      </c>
      <c r="N4623" s="18" t="n">
        <v>2</v>
      </c>
      <c r="O4623" s="18" t="n">
        <v>0</v>
      </c>
      <c r="P4623" s="17" t="n">
        <v>46263</v>
      </c>
      <c r="Q4623" s="17" t="n">
        <v>46263</v>
      </c>
      <c r="R4623" s="17" t="n">
        <v>46263</v>
      </c>
      <c r="S4623" s="19">
        <f>H4623*I4623</f>
        <v/>
      </c>
      <c r="T4623" s="19">
        <f>H4623*J4623</f>
        <v/>
      </c>
      <c r="U4623">
        <f>IF(AND(K4623=0,G4623&lt;=Assumptions!$C$6),1,0)</f>
        <v/>
      </c>
      <c r="V4623">
        <f>IF(U4623=1,IF(M4623&gt;0,IF(P4623&lt;=G4623+Assumptions!$C$7,1,0),0),0)</f>
        <v/>
      </c>
      <c r="W4623">
        <f>IF(AND(U4623=1,M4623&gt;=H4623*(1-Assumptions!$C$8)),1,0)</f>
        <v/>
      </c>
      <c r="X4623">
        <f>IF(AND(U4623=1,N4623&gt;=H4623*(1-Assumptions!$C$8)),1,0)</f>
        <v/>
      </c>
      <c r="Y4623">
        <f>IF(ISNUMBER(Q4623),1,0)</f>
        <v/>
      </c>
      <c r="Z4623">
        <f>IF(AND(K4623=0,L4623=0,Y4623=0),1,0)</f>
        <v/>
      </c>
      <c r="AA4623">
        <f>IF(AND(Z4623=1,G4623&lt;Assumptions!$C$6),1,0)</f>
        <v/>
      </c>
      <c r="AB4623">
        <f>IF(U4623=0,"",IF(Y4623=1,MAX(0,Q4623-G4623),IF(L4623=1,MAX(0,R4623-G4623),MAX(0,Assumptions!$C$6-G4623))))</f>
        <v/>
      </c>
      <c r="AC4623">
        <f>IF(Y4623=1,Q4623-F4623,"")</f>
        <v/>
      </c>
      <c r="AD4623">
        <f>IF(Y4623=1,AC4623^2,"")</f>
        <v/>
      </c>
      <c r="AE4623" s="19">
        <f>IF(Z4623=1,(H4623-M4623)*I4623,0)</f>
        <v/>
      </c>
      <c r="AF4623">
        <f>IF(G4623&lt;EDATE(Assumptions!$C$6,-12)+1,"prior_12m","last_12m")</f>
        <v/>
      </c>
      <c r="AG4623" s="21">
        <f>DATE(YEAR(G4623),MONTH(G4623),1)</f>
        <v/>
      </c>
    </row>
    <row r="4624">
      <c r="A4624" t="inlineStr">
        <is>
          <t>SPO-02482-3</t>
        </is>
      </c>
      <c r="B4624" t="inlineStr">
        <is>
          <t>SPO-02482</t>
        </is>
      </c>
      <c r="C4624" t="inlineStr">
        <is>
          <t>SUP-12</t>
        </is>
      </c>
      <c r="D4624" t="inlineStr">
        <is>
          <t>IT</t>
        </is>
      </c>
      <c r="E4624" t="inlineStr">
        <is>
          <t>IT-02</t>
        </is>
      </c>
      <c r="F4624" s="17" t="n">
        <v>46259</v>
      </c>
      <c r="G4624" s="17" t="n">
        <v>46269</v>
      </c>
      <c r="H4624" s="18" t="n">
        <v>6</v>
      </c>
      <c r="I4624" s="19" t="n">
        <v>184.22</v>
      </c>
      <c r="J4624" s="19" t="n">
        <v>162</v>
      </c>
      <c r="K4624" s="20" t="n">
        <v>0</v>
      </c>
      <c r="L4624" s="20" t="n">
        <v>0</v>
      </c>
      <c r="M4624" s="18" t="n">
        <v>6</v>
      </c>
      <c r="N4624" s="18" t="n">
        <v>6</v>
      </c>
      <c r="O4624" s="18" t="n">
        <v>0</v>
      </c>
      <c r="P4624" s="17" t="n">
        <v>46262</v>
      </c>
      <c r="Q4624" s="17" t="n">
        <v>46262</v>
      </c>
      <c r="R4624" s="17" t="n">
        <v>46262</v>
      </c>
      <c r="S4624" s="19">
        <f>H4624*I4624</f>
        <v/>
      </c>
      <c r="T4624" s="19">
        <f>H4624*J4624</f>
        <v/>
      </c>
      <c r="U4624">
        <f>IF(AND(K4624=0,G4624&lt;=Assumptions!$C$6),1,0)</f>
        <v/>
      </c>
      <c r="V4624">
        <f>IF(U4624=1,IF(M4624&gt;0,IF(P4624&lt;=G4624+Assumptions!$C$7,1,0),0),0)</f>
        <v/>
      </c>
      <c r="W4624">
        <f>IF(AND(U4624=1,M4624&gt;=H4624*(1-Assumptions!$C$8)),1,0)</f>
        <v/>
      </c>
      <c r="X4624">
        <f>IF(AND(U4624=1,N4624&gt;=H4624*(1-Assumptions!$C$8)),1,0)</f>
        <v/>
      </c>
      <c r="Y4624">
        <f>IF(ISNUMBER(Q4624),1,0)</f>
        <v/>
      </c>
      <c r="Z4624">
        <f>IF(AND(K4624=0,L4624=0,Y4624=0),1,0)</f>
        <v/>
      </c>
      <c r="AA4624">
        <f>IF(AND(Z4624=1,G4624&lt;Assumptions!$C$6),1,0)</f>
        <v/>
      </c>
      <c r="AB4624">
        <f>IF(U4624=0,"",IF(Y4624=1,MAX(0,Q4624-G4624),IF(L4624=1,MAX(0,R4624-G4624),MAX(0,Assumptions!$C$6-G4624))))</f>
        <v/>
      </c>
      <c r="AC4624">
        <f>IF(Y4624=1,Q4624-F4624,"")</f>
        <v/>
      </c>
      <c r="AD4624">
        <f>IF(Y4624=1,AC4624^2,"")</f>
        <v/>
      </c>
      <c r="AE4624" s="19">
        <f>IF(Z4624=1,(H4624-M4624)*I4624,0)</f>
        <v/>
      </c>
      <c r="AF4624">
        <f>IF(G4624&lt;EDATE(Assumptions!$C$6,-12)+1,"prior_12m","last_12m")</f>
        <v/>
      </c>
      <c r="AG4624" s="21">
        <f>DATE(YEAR(G4624),MONTH(G4624),1)</f>
        <v/>
      </c>
    </row>
    <row r="4625">
      <c r="A4625" t="inlineStr">
        <is>
          <t>SPO-02483-1</t>
        </is>
      </c>
      <c r="B4625" t="inlineStr">
        <is>
          <t>SPO-02483</t>
        </is>
      </c>
      <c r="C4625" t="inlineStr">
        <is>
          <t>SUP-05</t>
        </is>
      </c>
      <c r="D4625" t="inlineStr">
        <is>
          <t>FLEET</t>
        </is>
      </c>
      <c r="E4625" t="inlineStr">
        <is>
          <t>FLEET-08</t>
        </is>
      </c>
      <c r="F4625" s="17" t="n">
        <v>46260</v>
      </c>
      <c r="G4625" s="17" t="n">
        <v>46274</v>
      </c>
      <c r="H4625" s="18" t="n">
        <v>77</v>
      </c>
      <c r="I4625" s="19" t="n">
        <v>6.58</v>
      </c>
      <c r="J4625" s="19" t="n">
        <v>6.4</v>
      </c>
      <c r="K4625" s="20" t="n">
        <v>0</v>
      </c>
      <c r="L4625" s="20" t="n">
        <v>0</v>
      </c>
      <c r="M4625" s="18" t="n">
        <v>77</v>
      </c>
      <c r="N4625" s="18" t="n">
        <v>77</v>
      </c>
      <c r="O4625" s="18" t="n">
        <v>0</v>
      </c>
      <c r="P4625" s="17" t="n">
        <v>46272</v>
      </c>
      <c r="Q4625" s="17" t="n">
        <v>46272</v>
      </c>
      <c r="R4625" s="17" t="n">
        <v>46272</v>
      </c>
      <c r="S4625" s="19">
        <f>H4625*I4625</f>
        <v/>
      </c>
      <c r="T4625" s="19">
        <f>H4625*J4625</f>
        <v/>
      </c>
      <c r="U4625">
        <f>IF(AND(K4625=0,G4625&lt;=Assumptions!$C$6),1,0)</f>
        <v/>
      </c>
      <c r="V4625">
        <f>IF(U4625=1,IF(M4625&gt;0,IF(P4625&lt;=G4625+Assumptions!$C$7,1,0),0),0)</f>
        <v/>
      </c>
      <c r="W4625">
        <f>IF(AND(U4625=1,M4625&gt;=H4625*(1-Assumptions!$C$8)),1,0)</f>
        <v/>
      </c>
      <c r="X4625">
        <f>IF(AND(U4625=1,N4625&gt;=H4625*(1-Assumptions!$C$8)),1,0)</f>
        <v/>
      </c>
      <c r="Y4625">
        <f>IF(ISNUMBER(Q4625),1,0)</f>
        <v/>
      </c>
      <c r="Z4625">
        <f>IF(AND(K4625=0,L4625=0,Y4625=0),1,0)</f>
        <v/>
      </c>
      <c r="AA4625">
        <f>IF(AND(Z4625=1,G4625&lt;Assumptions!$C$6),1,0)</f>
        <v/>
      </c>
      <c r="AB4625">
        <f>IF(U4625=0,"",IF(Y4625=1,MAX(0,Q4625-G4625),IF(L4625=1,MAX(0,R4625-G4625),MAX(0,Assumptions!$C$6-G4625))))</f>
        <v/>
      </c>
      <c r="AC4625">
        <f>IF(Y4625=1,Q4625-F4625,"")</f>
        <v/>
      </c>
      <c r="AD4625">
        <f>IF(Y4625=1,AC4625^2,"")</f>
        <v/>
      </c>
      <c r="AE4625" s="19">
        <f>IF(Z4625=1,(H4625-M4625)*I4625,0)</f>
        <v/>
      </c>
      <c r="AF4625">
        <f>IF(G4625&lt;EDATE(Assumptions!$C$6,-12)+1,"prior_12m","last_12m")</f>
        <v/>
      </c>
      <c r="AG4625" s="21">
        <f>DATE(YEAR(G4625),MONTH(G4625),1)</f>
        <v/>
      </c>
    </row>
    <row r="4626">
      <c r="A4626" t="inlineStr">
        <is>
          <t>SPO-02484-1</t>
        </is>
      </c>
      <c r="B4626" t="inlineStr">
        <is>
          <t>SPO-02484</t>
        </is>
      </c>
      <c r="C4626" t="inlineStr">
        <is>
          <t>SUP-12</t>
        </is>
      </c>
      <c r="D4626" t="inlineStr">
        <is>
          <t>IT</t>
        </is>
      </c>
      <c r="E4626" t="inlineStr">
        <is>
          <t>IT-08</t>
        </is>
      </c>
      <c r="F4626" s="17" t="n">
        <v>46261</v>
      </c>
      <c r="G4626" s="17" t="n">
        <v>46271</v>
      </c>
      <c r="H4626" s="18" t="n">
        <v>6</v>
      </c>
      <c r="I4626" s="19" t="n">
        <v>271.96</v>
      </c>
      <c r="J4626" s="19" t="n">
        <v>245</v>
      </c>
      <c r="K4626" s="20" t="n">
        <v>0</v>
      </c>
      <c r="L4626" s="20" t="n">
        <v>0</v>
      </c>
      <c r="M4626" s="18" t="n">
        <v>6</v>
      </c>
      <c r="N4626" s="18" t="n">
        <v>6</v>
      </c>
      <c r="O4626" s="18" t="n">
        <v>0</v>
      </c>
      <c r="P4626" s="17" t="n">
        <v>46269</v>
      </c>
      <c r="Q4626" s="17" t="n">
        <v>46269</v>
      </c>
      <c r="R4626" s="17" t="n">
        <v>46269</v>
      </c>
      <c r="S4626" s="19">
        <f>H4626*I4626</f>
        <v/>
      </c>
      <c r="T4626" s="19">
        <f>H4626*J4626</f>
        <v/>
      </c>
      <c r="U4626">
        <f>IF(AND(K4626=0,G4626&lt;=Assumptions!$C$6),1,0)</f>
        <v/>
      </c>
      <c r="V4626">
        <f>IF(U4626=1,IF(M4626&gt;0,IF(P4626&lt;=G4626+Assumptions!$C$7,1,0),0),0)</f>
        <v/>
      </c>
      <c r="W4626">
        <f>IF(AND(U4626=1,M4626&gt;=H4626*(1-Assumptions!$C$8)),1,0)</f>
        <v/>
      </c>
      <c r="X4626">
        <f>IF(AND(U4626=1,N4626&gt;=H4626*(1-Assumptions!$C$8)),1,0)</f>
        <v/>
      </c>
      <c r="Y4626">
        <f>IF(ISNUMBER(Q4626),1,0)</f>
        <v/>
      </c>
      <c r="Z4626">
        <f>IF(AND(K4626=0,L4626=0,Y4626=0),1,0)</f>
        <v/>
      </c>
      <c r="AA4626">
        <f>IF(AND(Z4626=1,G4626&lt;Assumptions!$C$6),1,0)</f>
        <v/>
      </c>
      <c r="AB4626">
        <f>IF(U4626=0,"",IF(Y4626=1,MAX(0,Q4626-G4626),IF(L4626=1,MAX(0,R4626-G4626),MAX(0,Assumptions!$C$6-G4626))))</f>
        <v/>
      </c>
      <c r="AC4626">
        <f>IF(Y4626=1,Q4626-F4626,"")</f>
        <v/>
      </c>
      <c r="AD4626">
        <f>IF(Y4626=1,AC4626^2,"")</f>
        <v/>
      </c>
      <c r="AE4626" s="19">
        <f>IF(Z4626=1,(H4626-M4626)*I4626,0)</f>
        <v/>
      </c>
      <c r="AF4626">
        <f>IF(G4626&lt;EDATE(Assumptions!$C$6,-12)+1,"prior_12m","last_12m")</f>
        <v/>
      </c>
      <c r="AG4626" s="21">
        <f>DATE(YEAR(G4626),MONTH(G4626),1)</f>
        <v/>
      </c>
    </row>
    <row r="4627">
      <c r="A4627" t="inlineStr">
        <is>
          <t>SPO-02484-2</t>
        </is>
      </c>
      <c r="B4627" t="inlineStr">
        <is>
          <t>SPO-02484</t>
        </is>
      </c>
      <c r="C4627" t="inlineStr">
        <is>
          <t>SUP-12</t>
        </is>
      </c>
      <c r="D4627" t="inlineStr">
        <is>
          <t>IT</t>
        </is>
      </c>
      <c r="E4627" t="inlineStr">
        <is>
          <t>IT-06</t>
        </is>
      </c>
      <c r="F4627" s="17" t="n">
        <v>46261</v>
      </c>
      <c r="G4627" s="17" t="n">
        <v>46271</v>
      </c>
      <c r="H4627" s="18" t="n">
        <v>74</v>
      </c>
      <c r="I4627" s="19" t="n">
        <v>100.72</v>
      </c>
      <c r="J4627" s="19" t="n">
        <v>89</v>
      </c>
      <c r="K4627" s="20" t="n">
        <v>1</v>
      </c>
      <c r="L4627" s="20" t="n">
        <v>0</v>
      </c>
      <c r="M4627" s="18" t="n">
        <v>0</v>
      </c>
      <c r="N4627" s="18" t="n">
        <v>0</v>
      </c>
      <c r="O4627" s="18" t="n">
        <v>0</v>
      </c>
      <c r="P4627" s="17" t="n"/>
      <c r="Q4627" s="17" t="n"/>
      <c r="R4627" s="17" t="n"/>
      <c r="S4627" s="19">
        <f>H4627*I4627</f>
        <v/>
      </c>
      <c r="T4627" s="19">
        <f>H4627*J4627</f>
        <v/>
      </c>
      <c r="U4627">
        <f>IF(AND(K4627=0,G4627&lt;=Assumptions!$C$6),1,0)</f>
        <v/>
      </c>
      <c r="V4627">
        <f>IF(U4627=1,IF(M4627&gt;0,IF(P4627&lt;=G4627+Assumptions!$C$7,1,0),0),0)</f>
        <v/>
      </c>
      <c r="W4627">
        <f>IF(AND(U4627=1,M4627&gt;=H4627*(1-Assumptions!$C$8)),1,0)</f>
        <v/>
      </c>
      <c r="X4627">
        <f>IF(AND(U4627=1,N4627&gt;=H4627*(1-Assumptions!$C$8)),1,0)</f>
        <v/>
      </c>
      <c r="Y4627">
        <f>IF(ISNUMBER(Q4627),1,0)</f>
        <v/>
      </c>
      <c r="Z4627">
        <f>IF(AND(K4627=0,L4627=0,Y4627=0),1,0)</f>
        <v/>
      </c>
      <c r="AA4627">
        <f>IF(AND(Z4627=1,G4627&lt;Assumptions!$C$6),1,0)</f>
        <v/>
      </c>
      <c r="AB4627">
        <f>IF(U4627=0,"",IF(Y4627=1,MAX(0,Q4627-G4627),IF(L4627=1,MAX(0,R4627-G4627),MAX(0,Assumptions!$C$6-G4627))))</f>
        <v/>
      </c>
      <c r="AC4627">
        <f>IF(Y4627=1,Q4627-F4627,"")</f>
        <v/>
      </c>
      <c r="AD4627">
        <f>IF(Y4627=1,AC4627^2,"")</f>
        <v/>
      </c>
      <c r="AE4627" s="19">
        <f>IF(Z4627=1,(H4627-M4627)*I4627,0)</f>
        <v/>
      </c>
      <c r="AF4627">
        <f>IF(G4627&lt;EDATE(Assumptions!$C$6,-12)+1,"prior_12m","last_12m")</f>
        <v/>
      </c>
      <c r="AG4627" s="21">
        <f>DATE(YEAR(G4627),MONTH(G4627),1)</f>
        <v/>
      </c>
    </row>
    <row r="4628">
      <c r="A4628" t="inlineStr">
        <is>
          <t>SPO-02484-3</t>
        </is>
      </c>
      <c r="B4628" t="inlineStr">
        <is>
          <t>SPO-02484</t>
        </is>
      </c>
      <c r="C4628" t="inlineStr">
        <is>
          <t>SUP-12</t>
        </is>
      </c>
      <c r="D4628" t="inlineStr">
        <is>
          <t>IT</t>
        </is>
      </c>
      <c r="E4628" t="inlineStr">
        <is>
          <t>IT-03</t>
        </is>
      </c>
      <c r="F4628" s="17" t="n">
        <v>46261</v>
      </c>
      <c r="G4628" s="17" t="n">
        <v>46271</v>
      </c>
      <c r="H4628" s="18" t="n">
        <v>52</v>
      </c>
      <c r="I4628" s="19" t="n">
        <v>42.28</v>
      </c>
      <c r="J4628" s="19" t="n">
        <v>38</v>
      </c>
      <c r="K4628" s="20" t="n">
        <v>0</v>
      </c>
      <c r="L4628" s="20" t="n">
        <v>0</v>
      </c>
      <c r="M4628" s="18" t="n">
        <v>52</v>
      </c>
      <c r="N4628" s="18" t="n">
        <v>52</v>
      </c>
      <c r="O4628" s="18" t="n">
        <v>0</v>
      </c>
      <c r="P4628" s="17" t="n">
        <v>46267</v>
      </c>
      <c r="Q4628" s="17" t="n">
        <v>46267</v>
      </c>
      <c r="R4628" s="17" t="n">
        <v>46267</v>
      </c>
      <c r="S4628" s="19">
        <f>H4628*I4628</f>
        <v/>
      </c>
      <c r="T4628" s="19">
        <f>H4628*J4628</f>
        <v/>
      </c>
      <c r="U4628">
        <f>IF(AND(K4628=0,G4628&lt;=Assumptions!$C$6),1,0)</f>
        <v/>
      </c>
      <c r="V4628">
        <f>IF(U4628=1,IF(M4628&gt;0,IF(P4628&lt;=G4628+Assumptions!$C$7,1,0),0),0)</f>
        <v/>
      </c>
      <c r="W4628">
        <f>IF(AND(U4628=1,M4628&gt;=H4628*(1-Assumptions!$C$8)),1,0)</f>
        <v/>
      </c>
      <c r="X4628">
        <f>IF(AND(U4628=1,N4628&gt;=H4628*(1-Assumptions!$C$8)),1,0)</f>
        <v/>
      </c>
      <c r="Y4628">
        <f>IF(ISNUMBER(Q4628),1,0)</f>
        <v/>
      </c>
      <c r="Z4628">
        <f>IF(AND(K4628=0,L4628=0,Y4628=0),1,0)</f>
        <v/>
      </c>
      <c r="AA4628">
        <f>IF(AND(Z4628=1,G4628&lt;Assumptions!$C$6),1,0)</f>
        <v/>
      </c>
      <c r="AB4628">
        <f>IF(U4628=0,"",IF(Y4628=1,MAX(0,Q4628-G4628),IF(L4628=1,MAX(0,R4628-G4628),MAX(0,Assumptions!$C$6-G4628))))</f>
        <v/>
      </c>
      <c r="AC4628">
        <f>IF(Y4628=1,Q4628-F4628,"")</f>
        <v/>
      </c>
      <c r="AD4628">
        <f>IF(Y4628=1,AC4628^2,"")</f>
        <v/>
      </c>
      <c r="AE4628" s="19">
        <f>IF(Z4628=1,(H4628-M4628)*I4628,0)</f>
        <v/>
      </c>
      <c r="AF4628">
        <f>IF(G4628&lt;EDATE(Assumptions!$C$6,-12)+1,"prior_12m","last_12m")</f>
        <v/>
      </c>
      <c r="AG4628" s="21">
        <f>DATE(YEAR(G4628),MONTH(G4628),1)</f>
        <v/>
      </c>
    </row>
    <row r="4629">
      <c r="A4629" t="inlineStr">
        <is>
          <t>SPO-02485-1</t>
        </is>
      </c>
      <c r="B4629" t="inlineStr">
        <is>
          <t>SPO-02485</t>
        </is>
      </c>
      <c r="C4629" t="inlineStr">
        <is>
          <t>SUP-08</t>
        </is>
      </c>
      <c r="D4629" t="inlineStr">
        <is>
          <t>MRO</t>
        </is>
      </c>
      <c r="E4629" t="inlineStr">
        <is>
          <t>MRO-08</t>
        </is>
      </c>
      <c r="F4629" s="17" t="n">
        <v>46261</v>
      </c>
      <c r="G4629" s="17" t="n">
        <v>46272</v>
      </c>
      <c r="H4629" s="18" t="n">
        <v>111</v>
      </c>
      <c r="I4629" s="19" t="n">
        <v>7.16</v>
      </c>
      <c r="J4629" s="19" t="n">
        <v>7.2</v>
      </c>
      <c r="K4629" s="20" t="n">
        <v>0</v>
      </c>
      <c r="L4629" s="20" t="n">
        <v>0</v>
      </c>
      <c r="M4629" s="18" t="n">
        <v>111</v>
      </c>
      <c r="N4629" s="18" t="n">
        <v>111</v>
      </c>
      <c r="O4629" s="18" t="n">
        <v>0</v>
      </c>
      <c r="P4629" s="17" t="n">
        <v>46270</v>
      </c>
      <c r="Q4629" s="17" t="n">
        <v>46270</v>
      </c>
      <c r="R4629" s="17" t="n">
        <v>46270</v>
      </c>
      <c r="S4629" s="19">
        <f>H4629*I4629</f>
        <v/>
      </c>
      <c r="T4629" s="19">
        <f>H4629*J4629</f>
        <v/>
      </c>
      <c r="U4629">
        <f>IF(AND(K4629=0,G4629&lt;=Assumptions!$C$6),1,0)</f>
        <v/>
      </c>
      <c r="V4629">
        <f>IF(U4629=1,IF(M4629&gt;0,IF(P4629&lt;=G4629+Assumptions!$C$7,1,0),0),0)</f>
        <v/>
      </c>
      <c r="W4629">
        <f>IF(AND(U4629=1,M4629&gt;=H4629*(1-Assumptions!$C$8)),1,0)</f>
        <v/>
      </c>
      <c r="X4629">
        <f>IF(AND(U4629=1,N4629&gt;=H4629*(1-Assumptions!$C$8)),1,0)</f>
        <v/>
      </c>
      <c r="Y4629">
        <f>IF(ISNUMBER(Q4629),1,0)</f>
        <v/>
      </c>
      <c r="Z4629">
        <f>IF(AND(K4629=0,L4629=0,Y4629=0),1,0)</f>
        <v/>
      </c>
      <c r="AA4629">
        <f>IF(AND(Z4629=1,G4629&lt;Assumptions!$C$6),1,0)</f>
        <v/>
      </c>
      <c r="AB4629">
        <f>IF(U4629=0,"",IF(Y4629=1,MAX(0,Q4629-G4629),IF(L4629=1,MAX(0,R4629-G4629),MAX(0,Assumptions!$C$6-G4629))))</f>
        <v/>
      </c>
      <c r="AC4629">
        <f>IF(Y4629=1,Q4629-F4629,"")</f>
        <v/>
      </c>
      <c r="AD4629">
        <f>IF(Y4629=1,AC4629^2,"")</f>
        <v/>
      </c>
      <c r="AE4629" s="19">
        <f>IF(Z4629=1,(H4629-M4629)*I4629,0)</f>
        <v/>
      </c>
      <c r="AF4629">
        <f>IF(G4629&lt;EDATE(Assumptions!$C$6,-12)+1,"prior_12m","last_12m")</f>
        <v/>
      </c>
      <c r="AG4629" s="21">
        <f>DATE(YEAR(G4629),MONTH(G4629),1)</f>
        <v/>
      </c>
    </row>
    <row r="4630">
      <c r="A4630" t="inlineStr">
        <is>
          <t>SPO-02486-1</t>
        </is>
      </c>
      <c r="B4630" t="inlineStr">
        <is>
          <t>SPO-02486</t>
        </is>
      </c>
      <c r="C4630" t="inlineStr">
        <is>
          <t>SUP-05</t>
        </is>
      </c>
      <c r="D4630" t="inlineStr">
        <is>
          <t>FLEET</t>
        </is>
      </c>
      <c r="E4630" t="inlineStr">
        <is>
          <t>FLEET-04</t>
        </is>
      </c>
      <c r="F4630" s="17" t="n">
        <v>46261</v>
      </c>
      <c r="G4630" s="17" t="n">
        <v>46275</v>
      </c>
      <c r="H4630" s="18" t="n">
        <v>187</v>
      </c>
      <c r="I4630" s="19" t="n">
        <v>9.109999999999999</v>
      </c>
      <c r="J4630" s="19" t="n">
        <v>9</v>
      </c>
      <c r="K4630" s="20" t="n">
        <v>0</v>
      </c>
      <c r="L4630" s="20" t="n">
        <v>0</v>
      </c>
      <c r="M4630" s="18" t="n">
        <v>187</v>
      </c>
      <c r="N4630" s="18" t="n">
        <v>187</v>
      </c>
      <c r="O4630" s="18" t="n">
        <v>16</v>
      </c>
      <c r="P4630" s="17" t="n">
        <v>46271</v>
      </c>
      <c r="Q4630" s="17" t="n">
        <v>46271</v>
      </c>
      <c r="R4630" s="17" t="n">
        <v>46271</v>
      </c>
      <c r="S4630" s="19">
        <f>H4630*I4630</f>
        <v/>
      </c>
      <c r="T4630" s="19">
        <f>H4630*J4630</f>
        <v/>
      </c>
      <c r="U4630">
        <f>IF(AND(K4630=0,G4630&lt;=Assumptions!$C$6),1,0)</f>
        <v/>
      </c>
      <c r="V4630">
        <f>IF(U4630=1,IF(M4630&gt;0,IF(P4630&lt;=G4630+Assumptions!$C$7,1,0),0),0)</f>
        <v/>
      </c>
      <c r="W4630">
        <f>IF(AND(U4630=1,M4630&gt;=H4630*(1-Assumptions!$C$8)),1,0)</f>
        <v/>
      </c>
      <c r="X4630">
        <f>IF(AND(U4630=1,N4630&gt;=H4630*(1-Assumptions!$C$8)),1,0)</f>
        <v/>
      </c>
      <c r="Y4630">
        <f>IF(ISNUMBER(Q4630),1,0)</f>
        <v/>
      </c>
      <c r="Z4630">
        <f>IF(AND(K4630=0,L4630=0,Y4630=0),1,0)</f>
        <v/>
      </c>
      <c r="AA4630">
        <f>IF(AND(Z4630=1,G4630&lt;Assumptions!$C$6),1,0)</f>
        <v/>
      </c>
      <c r="AB4630">
        <f>IF(U4630=0,"",IF(Y4630=1,MAX(0,Q4630-G4630),IF(L4630=1,MAX(0,R4630-G4630),MAX(0,Assumptions!$C$6-G4630))))</f>
        <v/>
      </c>
      <c r="AC4630">
        <f>IF(Y4630=1,Q4630-F4630,"")</f>
        <v/>
      </c>
      <c r="AD4630">
        <f>IF(Y4630=1,AC4630^2,"")</f>
        <v/>
      </c>
      <c r="AE4630" s="19">
        <f>IF(Z4630=1,(H4630-M4630)*I4630,0)</f>
        <v/>
      </c>
      <c r="AF4630">
        <f>IF(G4630&lt;EDATE(Assumptions!$C$6,-12)+1,"prior_12m","last_12m")</f>
        <v/>
      </c>
      <c r="AG4630" s="21">
        <f>DATE(YEAR(G4630),MONTH(G4630),1)</f>
        <v/>
      </c>
    </row>
    <row r="4631">
      <c r="A4631" t="inlineStr">
        <is>
          <t>SPO-02486-2</t>
        </is>
      </c>
      <c r="B4631" t="inlineStr">
        <is>
          <t>SPO-02486</t>
        </is>
      </c>
      <c r="C4631" t="inlineStr">
        <is>
          <t>SUP-05</t>
        </is>
      </c>
      <c r="D4631" t="inlineStr">
        <is>
          <t>FLEET</t>
        </is>
      </c>
      <c r="E4631" t="inlineStr">
        <is>
          <t>FLEET-06</t>
        </is>
      </c>
      <c r="F4631" s="17" t="n">
        <v>46261</v>
      </c>
      <c r="G4631" s="17" t="n">
        <v>46275</v>
      </c>
      <c r="H4631" s="18" t="n">
        <v>83</v>
      </c>
      <c r="I4631" s="19" t="n">
        <v>33.86</v>
      </c>
      <c r="J4631" s="19" t="n">
        <v>33</v>
      </c>
      <c r="K4631" s="20" t="n">
        <v>0</v>
      </c>
      <c r="L4631" s="20" t="n">
        <v>0</v>
      </c>
      <c r="M4631" s="18" t="n">
        <v>83</v>
      </c>
      <c r="N4631" s="18" t="n">
        <v>83</v>
      </c>
      <c r="O4631" s="18" t="n">
        <v>0</v>
      </c>
      <c r="P4631" s="17" t="n">
        <v>46267</v>
      </c>
      <c r="Q4631" s="17" t="n">
        <v>46267</v>
      </c>
      <c r="R4631" s="17" t="n">
        <v>46267</v>
      </c>
      <c r="S4631" s="19">
        <f>H4631*I4631</f>
        <v/>
      </c>
      <c r="T4631" s="19">
        <f>H4631*J4631</f>
        <v/>
      </c>
      <c r="U4631">
        <f>IF(AND(K4631=0,G4631&lt;=Assumptions!$C$6),1,0)</f>
        <v/>
      </c>
      <c r="V4631">
        <f>IF(U4631=1,IF(M4631&gt;0,IF(P4631&lt;=G4631+Assumptions!$C$7,1,0),0),0)</f>
        <v/>
      </c>
      <c r="W4631">
        <f>IF(AND(U4631=1,M4631&gt;=H4631*(1-Assumptions!$C$8)),1,0)</f>
        <v/>
      </c>
      <c r="X4631">
        <f>IF(AND(U4631=1,N4631&gt;=H4631*(1-Assumptions!$C$8)),1,0)</f>
        <v/>
      </c>
      <c r="Y4631">
        <f>IF(ISNUMBER(Q4631),1,0)</f>
        <v/>
      </c>
      <c r="Z4631">
        <f>IF(AND(K4631=0,L4631=0,Y4631=0),1,0)</f>
        <v/>
      </c>
      <c r="AA4631">
        <f>IF(AND(Z4631=1,G4631&lt;Assumptions!$C$6),1,0)</f>
        <v/>
      </c>
      <c r="AB4631">
        <f>IF(U4631=0,"",IF(Y4631=1,MAX(0,Q4631-G4631),IF(L4631=1,MAX(0,R4631-G4631),MAX(0,Assumptions!$C$6-G4631))))</f>
        <v/>
      </c>
      <c r="AC4631">
        <f>IF(Y4631=1,Q4631-F4631,"")</f>
        <v/>
      </c>
      <c r="AD4631">
        <f>IF(Y4631=1,AC4631^2,"")</f>
        <v/>
      </c>
      <c r="AE4631" s="19">
        <f>IF(Z4631=1,(H4631-M4631)*I4631,0)</f>
        <v/>
      </c>
      <c r="AF4631">
        <f>IF(G4631&lt;EDATE(Assumptions!$C$6,-12)+1,"prior_12m","last_12m")</f>
        <v/>
      </c>
      <c r="AG4631" s="21">
        <f>DATE(YEAR(G4631),MONTH(G4631),1)</f>
        <v/>
      </c>
    </row>
    <row r="4632">
      <c r="A4632" t="inlineStr">
        <is>
          <t>SPO-02487-1</t>
        </is>
      </c>
      <c r="B4632" t="inlineStr">
        <is>
          <t>SPO-02487</t>
        </is>
      </c>
      <c r="C4632" t="inlineStr">
        <is>
          <t>SUP-05</t>
        </is>
      </c>
      <c r="D4632" t="inlineStr">
        <is>
          <t>FLEET</t>
        </is>
      </c>
      <c r="E4632" t="inlineStr">
        <is>
          <t>FLEET-02</t>
        </is>
      </c>
      <c r="F4632" s="17" t="n">
        <v>46261</v>
      </c>
      <c r="G4632" s="17" t="n">
        <v>46275</v>
      </c>
      <c r="H4632" s="18" t="n">
        <v>117</v>
      </c>
      <c r="I4632" s="19" t="n">
        <v>8.15</v>
      </c>
      <c r="J4632" s="19" t="n">
        <v>7.5</v>
      </c>
      <c r="K4632" s="20" t="n">
        <v>0</v>
      </c>
      <c r="L4632" s="20" t="n">
        <v>0</v>
      </c>
      <c r="M4632" s="18" t="n">
        <v>117</v>
      </c>
      <c r="N4632" s="18" t="n">
        <v>117</v>
      </c>
      <c r="O4632" s="18" t="n">
        <v>0</v>
      </c>
      <c r="P4632" s="17" t="n">
        <v>46271</v>
      </c>
      <c r="Q4632" s="17" t="n">
        <v>46271</v>
      </c>
      <c r="R4632" s="17" t="n">
        <v>46271</v>
      </c>
      <c r="S4632" s="19">
        <f>H4632*I4632</f>
        <v/>
      </c>
      <c r="T4632" s="19">
        <f>H4632*J4632</f>
        <v/>
      </c>
      <c r="U4632">
        <f>IF(AND(K4632=0,G4632&lt;=Assumptions!$C$6),1,0)</f>
        <v/>
      </c>
      <c r="V4632">
        <f>IF(U4632=1,IF(M4632&gt;0,IF(P4632&lt;=G4632+Assumptions!$C$7,1,0),0),0)</f>
        <v/>
      </c>
      <c r="W4632">
        <f>IF(AND(U4632=1,M4632&gt;=H4632*(1-Assumptions!$C$8)),1,0)</f>
        <v/>
      </c>
      <c r="X4632">
        <f>IF(AND(U4632=1,N4632&gt;=H4632*(1-Assumptions!$C$8)),1,0)</f>
        <v/>
      </c>
      <c r="Y4632">
        <f>IF(ISNUMBER(Q4632),1,0)</f>
        <v/>
      </c>
      <c r="Z4632">
        <f>IF(AND(K4632=0,L4632=0,Y4632=0),1,0)</f>
        <v/>
      </c>
      <c r="AA4632">
        <f>IF(AND(Z4632=1,G4632&lt;Assumptions!$C$6),1,0)</f>
        <v/>
      </c>
      <c r="AB4632">
        <f>IF(U4632=0,"",IF(Y4632=1,MAX(0,Q4632-G4632),IF(L4632=1,MAX(0,R4632-G4632),MAX(0,Assumptions!$C$6-G4632))))</f>
        <v/>
      </c>
      <c r="AC4632">
        <f>IF(Y4632=1,Q4632-F4632,"")</f>
        <v/>
      </c>
      <c r="AD4632">
        <f>IF(Y4632=1,AC4632^2,"")</f>
        <v/>
      </c>
      <c r="AE4632" s="19">
        <f>IF(Z4632=1,(H4632-M4632)*I4632,0)</f>
        <v/>
      </c>
      <c r="AF4632">
        <f>IF(G4632&lt;EDATE(Assumptions!$C$6,-12)+1,"prior_12m","last_12m")</f>
        <v/>
      </c>
      <c r="AG4632" s="21">
        <f>DATE(YEAR(G4632),MONTH(G4632),1)</f>
        <v/>
      </c>
    </row>
    <row r="4633">
      <c r="A4633" t="inlineStr">
        <is>
          <t>SPO-02488-1</t>
        </is>
      </c>
      <c r="B4633" t="inlineStr">
        <is>
          <t>SPO-02488</t>
        </is>
      </c>
      <c r="C4633" t="inlineStr">
        <is>
          <t>SUP-11</t>
        </is>
      </c>
      <c r="D4633" t="inlineStr">
        <is>
          <t>PPE</t>
        </is>
      </c>
      <c r="E4633" t="inlineStr">
        <is>
          <t>PPE-05</t>
        </is>
      </c>
      <c r="F4633" s="17" t="n">
        <v>46262</v>
      </c>
      <c r="G4633" s="17" t="n">
        <v>46274</v>
      </c>
      <c r="H4633" s="18" t="n">
        <v>108</v>
      </c>
      <c r="I4633" s="19" t="n">
        <v>11.35</v>
      </c>
      <c r="J4633" s="19" t="n">
        <v>11</v>
      </c>
      <c r="K4633" s="20" t="n">
        <v>0</v>
      </c>
      <c r="L4633" s="20" t="n">
        <v>0</v>
      </c>
      <c r="M4633" s="18" t="n">
        <v>108</v>
      </c>
      <c r="N4633" s="18" t="n">
        <v>108</v>
      </c>
      <c r="O4633" s="18" t="n">
        <v>0</v>
      </c>
      <c r="P4633" s="17" t="n">
        <v>46271</v>
      </c>
      <c r="Q4633" s="17" t="n">
        <v>46271</v>
      </c>
      <c r="R4633" s="17" t="n">
        <v>46271</v>
      </c>
      <c r="S4633" s="19">
        <f>H4633*I4633</f>
        <v/>
      </c>
      <c r="T4633" s="19">
        <f>H4633*J4633</f>
        <v/>
      </c>
      <c r="U4633">
        <f>IF(AND(K4633=0,G4633&lt;=Assumptions!$C$6),1,0)</f>
        <v/>
      </c>
      <c r="V4633">
        <f>IF(U4633=1,IF(M4633&gt;0,IF(P4633&lt;=G4633+Assumptions!$C$7,1,0),0),0)</f>
        <v/>
      </c>
      <c r="W4633">
        <f>IF(AND(U4633=1,M4633&gt;=H4633*(1-Assumptions!$C$8)),1,0)</f>
        <v/>
      </c>
      <c r="X4633">
        <f>IF(AND(U4633=1,N4633&gt;=H4633*(1-Assumptions!$C$8)),1,0)</f>
        <v/>
      </c>
      <c r="Y4633">
        <f>IF(ISNUMBER(Q4633),1,0)</f>
        <v/>
      </c>
      <c r="Z4633">
        <f>IF(AND(K4633=0,L4633=0,Y4633=0),1,0)</f>
        <v/>
      </c>
      <c r="AA4633">
        <f>IF(AND(Z4633=1,G4633&lt;Assumptions!$C$6),1,0)</f>
        <v/>
      </c>
      <c r="AB4633">
        <f>IF(U4633=0,"",IF(Y4633=1,MAX(0,Q4633-G4633),IF(L4633=1,MAX(0,R4633-G4633),MAX(0,Assumptions!$C$6-G4633))))</f>
        <v/>
      </c>
      <c r="AC4633">
        <f>IF(Y4633=1,Q4633-F4633,"")</f>
        <v/>
      </c>
      <c r="AD4633">
        <f>IF(Y4633=1,AC4633^2,"")</f>
        <v/>
      </c>
      <c r="AE4633" s="19">
        <f>IF(Z4633=1,(H4633-M4633)*I4633,0)</f>
        <v/>
      </c>
      <c r="AF4633">
        <f>IF(G4633&lt;EDATE(Assumptions!$C$6,-12)+1,"prior_12m","last_12m")</f>
        <v/>
      </c>
      <c r="AG4633" s="21">
        <f>DATE(YEAR(G4633),MONTH(G4633),1)</f>
        <v/>
      </c>
    </row>
    <row r="4634">
      <c r="A4634" t="inlineStr">
        <is>
          <t>SPO-02488-2</t>
        </is>
      </c>
      <c r="B4634" t="inlineStr">
        <is>
          <t>SPO-02488</t>
        </is>
      </c>
      <c r="C4634" t="inlineStr">
        <is>
          <t>SUP-11</t>
        </is>
      </c>
      <c r="D4634" t="inlineStr">
        <is>
          <t>PPE</t>
        </is>
      </c>
      <c r="E4634" t="inlineStr">
        <is>
          <t>PPE-07</t>
        </is>
      </c>
      <c r="F4634" s="17" t="n">
        <v>46262</v>
      </c>
      <c r="G4634" s="17" t="n">
        <v>46274</v>
      </c>
      <c r="H4634" s="18" t="n">
        <v>62</v>
      </c>
      <c r="I4634" s="19" t="n">
        <v>32.78</v>
      </c>
      <c r="J4634" s="19" t="n">
        <v>31</v>
      </c>
      <c r="K4634" s="20" t="n">
        <v>0</v>
      </c>
      <c r="L4634" s="20" t="n">
        <v>0</v>
      </c>
      <c r="M4634" s="18" t="n">
        <v>62</v>
      </c>
      <c r="N4634" s="18" t="n">
        <v>62</v>
      </c>
      <c r="O4634" s="18" t="n">
        <v>0</v>
      </c>
      <c r="P4634" s="17" t="n">
        <v>46272</v>
      </c>
      <c r="Q4634" s="17" t="n">
        <v>46272</v>
      </c>
      <c r="R4634" s="17" t="n">
        <v>46272</v>
      </c>
      <c r="S4634" s="19">
        <f>H4634*I4634</f>
        <v/>
      </c>
      <c r="T4634" s="19">
        <f>H4634*J4634</f>
        <v/>
      </c>
      <c r="U4634">
        <f>IF(AND(K4634=0,G4634&lt;=Assumptions!$C$6),1,0)</f>
        <v/>
      </c>
      <c r="V4634">
        <f>IF(U4634=1,IF(M4634&gt;0,IF(P4634&lt;=G4634+Assumptions!$C$7,1,0),0),0)</f>
        <v/>
      </c>
      <c r="W4634">
        <f>IF(AND(U4634=1,M4634&gt;=H4634*(1-Assumptions!$C$8)),1,0)</f>
        <v/>
      </c>
      <c r="X4634">
        <f>IF(AND(U4634=1,N4634&gt;=H4634*(1-Assumptions!$C$8)),1,0)</f>
        <v/>
      </c>
      <c r="Y4634">
        <f>IF(ISNUMBER(Q4634),1,0)</f>
        <v/>
      </c>
      <c r="Z4634">
        <f>IF(AND(K4634=0,L4634=0,Y4634=0),1,0)</f>
        <v/>
      </c>
      <c r="AA4634">
        <f>IF(AND(Z4634=1,G4634&lt;Assumptions!$C$6),1,0)</f>
        <v/>
      </c>
      <c r="AB4634">
        <f>IF(U4634=0,"",IF(Y4634=1,MAX(0,Q4634-G4634),IF(L4634=1,MAX(0,R4634-G4634),MAX(0,Assumptions!$C$6-G4634))))</f>
        <v/>
      </c>
      <c r="AC4634">
        <f>IF(Y4634=1,Q4634-F4634,"")</f>
        <v/>
      </c>
      <c r="AD4634">
        <f>IF(Y4634=1,AC4634^2,"")</f>
        <v/>
      </c>
      <c r="AE4634" s="19">
        <f>IF(Z4634=1,(H4634-M4634)*I4634,0)</f>
        <v/>
      </c>
      <c r="AF4634">
        <f>IF(G4634&lt;EDATE(Assumptions!$C$6,-12)+1,"prior_12m","last_12m")</f>
        <v/>
      </c>
      <c r="AG4634" s="21">
        <f>DATE(YEAR(G4634),MONTH(G4634),1)</f>
        <v/>
      </c>
    </row>
    <row r="4635">
      <c r="A4635" t="inlineStr">
        <is>
          <t>SPO-02488-3</t>
        </is>
      </c>
      <c r="B4635" t="inlineStr">
        <is>
          <t>SPO-02488</t>
        </is>
      </c>
      <c r="C4635" t="inlineStr">
        <is>
          <t>SUP-11</t>
        </is>
      </c>
      <c r="D4635" t="inlineStr">
        <is>
          <t>PPE</t>
        </is>
      </c>
      <c r="E4635" t="inlineStr">
        <is>
          <t>PPE-01</t>
        </is>
      </c>
      <c r="F4635" s="17" t="n">
        <v>46262</v>
      </c>
      <c r="G4635" s="17" t="n">
        <v>46274</v>
      </c>
      <c r="H4635" s="18" t="n">
        <v>218</v>
      </c>
      <c r="I4635" s="19" t="n">
        <v>4.98</v>
      </c>
      <c r="J4635" s="19" t="n">
        <v>4.8</v>
      </c>
      <c r="K4635" s="20" t="n">
        <v>0</v>
      </c>
      <c r="L4635" s="20" t="n">
        <v>0</v>
      </c>
      <c r="M4635" s="18" t="n">
        <v>218</v>
      </c>
      <c r="N4635" s="18" t="n">
        <v>218</v>
      </c>
      <c r="O4635" s="18" t="n">
        <v>0</v>
      </c>
      <c r="P4635" s="17" t="n">
        <v>46273</v>
      </c>
      <c r="Q4635" s="17" t="n">
        <v>46273</v>
      </c>
      <c r="R4635" s="17" t="n">
        <v>46273</v>
      </c>
      <c r="S4635" s="19">
        <f>H4635*I4635</f>
        <v/>
      </c>
      <c r="T4635" s="19">
        <f>H4635*J4635</f>
        <v/>
      </c>
      <c r="U4635">
        <f>IF(AND(K4635=0,G4635&lt;=Assumptions!$C$6),1,0)</f>
        <v/>
      </c>
      <c r="V4635">
        <f>IF(U4635=1,IF(M4635&gt;0,IF(P4635&lt;=G4635+Assumptions!$C$7,1,0),0),0)</f>
        <v/>
      </c>
      <c r="W4635">
        <f>IF(AND(U4635=1,M4635&gt;=H4635*(1-Assumptions!$C$8)),1,0)</f>
        <v/>
      </c>
      <c r="X4635">
        <f>IF(AND(U4635=1,N4635&gt;=H4635*(1-Assumptions!$C$8)),1,0)</f>
        <v/>
      </c>
      <c r="Y4635">
        <f>IF(ISNUMBER(Q4635),1,0)</f>
        <v/>
      </c>
      <c r="Z4635">
        <f>IF(AND(K4635=0,L4635=0,Y4635=0),1,0)</f>
        <v/>
      </c>
      <c r="AA4635">
        <f>IF(AND(Z4635=1,G4635&lt;Assumptions!$C$6),1,0)</f>
        <v/>
      </c>
      <c r="AB4635">
        <f>IF(U4635=0,"",IF(Y4635=1,MAX(0,Q4635-G4635),IF(L4635=1,MAX(0,R4635-G4635),MAX(0,Assumptions!$C$6-G4635))))</f>
        <v/>
      </c>
      <c r="AC4635">
        <f>IF(Y4635=1,Q4635-F4635,"")</f>
        <v/>
      </c>
      <c r="AD4635">
        <f>IF(Y4635=1,AC4635^2,"")</f>
        <v/>
      </c>
      <c r="AE4635" s="19">
        <f>IF(Z4635=1,(H4635-M4635)*I4635,0)</f>
        <v/>
      </c>
      <c r="AF4635">
        <f>IF(G4635&lt;EDATE(Assumptions!$C$6,-12)+1,"prior_12m","last_12m")</f>
        <v/>
      </c>
      <c r="AG4635" s="21">
        <f>DATE(YEAR(G4635),MONTH(G4635),1)</f>
        <v/>
      </c>
    </row>
    <row r="4636">
      <c r="A4636" t="inlineStr">
        <is>
          <t>SPO-02489-1</t>
        </is>
      </c>
      <c r="B4636" t="inlineStr">
        <is>
          <t>SPO-02489</t>
        </is>
      </c>
      <c r="C4636" t="inlineStr">
        <is>
          <t>SUP-08</t>
        </is>
      </c>
      <c r="D4636" t="inlineStr">
        <is>
          <t>PPE</t>
        </is>
      </c>
      <c r="E4636" t="inlineStr">
        <is>
          <t>PPE-08</t>
        </is>
      </c>
      <c r="F4636" s="17" t="n">
        <v>46262</v>
      </c>
      <c r="G4636" s="17" t="n">
        <v>46273</v>
      </c>
      <c r="H4636" s="18" t="n">
        <v>37</v>
      </c>
      <c r="I4636" s="19" t="n">
        <v>62.32</v>
      </c>
      <c r="J4636" s="19" t="n">
        <v>64</v>
      </c>
      <c r="K4636" s="20" t="n">
        <v>0</v>
      </c>
      <c r="L4636" s="20" t="n">
        <v>0</v>
      </c>
      <c r="M4636" s="18" t="n">
        <v>37</v>
      </c>
      <c r="N4636" s="18" t="n">
        <v>0</v>
      </c>
      <c r="O4636" s="18" t="n">
        <v>0</v>
      </c>
      <c r="P4636" s="17" t="n">
        <v>46274</v>
      </c>
      <c r="Q4636" s="17" t="n">
        <v>46274</v>
      </c>
      <c r="R4636" s="17" t="n">
        <v>46274</v>
      </c>
      <c r="S4636" s="19">
        <f>H4636*I4636</f>
        <v/>
      </c>
      <c r="T4636" s="19">
        <f>H4636*J4636</f>
        <v/>
      </c>
      <c r="U4636">
        <f>IF(AND(K4636=0,G4636&lt;=Assumptions!$C$6),1,0)</f>
        <v/>
      </c>
      <c r="V4636">
        <f>IF(U4636=1,IF(M4636&gt;0,IF(P4636&lt;=G4636+Assumptions!$C$7,1,0),0),0)</f>
        <v/>
      </c>
      <c r="W4636">
        <f>IF(AND(U4636=1,M4636&gt;=H4636*(1-Assumptions!$C$8)),1,0)</f>
        <v/>
      </c>
      <c r="X4636">
        <f>IF(AND(U4636=1,N4636&gt;=H4636*(1-Assumptions!$C$8)),1,0)</f>
        <v/>
      </c>
      <c r="Y4636">
        <f>IF(ISNUMBER(Q4636),1,0)</f>
        <v/>
      </c>
      <c r="Z4636">
        <f>IF(AND(K4636=0,L4636=0,Y4636=0),1,0)</f>
        <v/>
      </c>
      <c r="AA4636">
        <f>IF(AND(Z4636=1,G4636&lt;Assumptions!$C$6),1,0)</f>
        <v/>
      </c>
      <c r="AB4636">
        <f>IF(U4636=0,"",IF(Y4636=1,MAX(0,Q4636-G4636),IF(L4636=1,MAX(0,R4636-G4636),MAX(0,Assumptions!$C$6-G4636))))</f>
        <v/>
      </c>
      <c r="AC4636">
        <f>IF(Y4636=1,Q4636-F4636,"")</f>
        <v/>
      </c>
      <c r="AD4636">
        <f>IF(Y4636=1,AC4636^2,"")</f>
        <v/>
      </c>
      <c r="AE4636" s="19">
        <f>IF(Z4636=1,(H4636-M4636)*I4636,0)</f>
        <v/>
      </c>
      <c r="AF4636">
        <f>IF(G4636&lt;EDATE(Assumptions!$C$6,-12)+1,"prior_12m","last_12m")</f>
        <v/>
      </c>
      <c r="AG4636" s="21">
        <f>DATE(YEAR(G4636),MONTH(G4636),1)</f>
        <v/>
      </c>
    </row>
    <row r="4637">
      <c r="A4637" t="inlineStr">
        <is>
          <t>SPO-02490-1</t>
        </is>
      </c>
      <c r="B4637" t="inlineStr">
        <is>
          <t>SPO-02490</t>
        </is>
      </c>
      <c r="C4637" t="inlineStr">
        <is>
          <t>SUP-14</t>
        </is>
      </c>
      <c r="D4637" t="inlineStr">
        <is>
          <t>FLEET</t>
        </is>
      </c>
      <c r="E4637" t="inlineStr">
        <is>
          <t>FLEET-07</t>
        </is>
      </c>
      <c r="F4637" s="17" t="n">
        <v>46262</v>
      </c>
      <c r="G4637" s="17" t="n">
        <v>46276</v>
      </c>
      <c r="H4637" s="18" t="n">
        <v>16</v>
      </c>
      <c r="I4637" s="19" t="n">
        <v>112.74</v>
      </c>
      <c r="J4637" s="19" t="n">
        <v>118</v>
      </c>
      <c r="K4637" s="20" t="n">
        <v>0</v>
      </c>
      <c r="L4637" s="20" t="n">
        <v>0</v>
      </c>
      <c r="M4637" s="18" t="n">
        <v>16</v>
      </c>
      <c r="N4637" s="18" t="n">
        <v>16</v>
      </c>
      <c r="O4637" s="18" t="n">
        <v>0</v>
      </c>
      <c r="P4637" s="17" t="n">
        <v>46272</v>
      </c>
      <c r="Q4637" s="17" t="n">
        <v>46272</v>
      </c>
      <c r="R4637" s="17" t="n">
        <v>46272</v>
      </c>
      <c r="S4637" s="19">
        <f>H4637*I4637</f>
        <v/>
      </c>
      <c r="T4637" s="19">
        <f>H4637*J4637</f>
        <v/>
      </c>
      <c r="U4637">
        <f>IF(AND(K4637=0,G4637&lt;=Assumptions!$C$6),1,0)</f>
        <v/>
      </c>
      <c r="V4637">
        <f>IF(U4637=1,IF(M4637&gt;0,IF(P4637&lt;=G4637+Assumptions!$C$7,1,0),0),0)</f>
        <v/>
      </c>
      <c r="W4637">
        <f>IF(AND(U4637=1,M4637&gt;=H4637*(1-Assumptions!$C$8)),1,0)</f>
        <v/>
      </c>
      <c r="X4637">
        <f>IF(AND(U4637=1,N4637&gt;=H4637*(1-Assumptions!$C$8)),1,0)</f>
        <v/>
      </c>
      <c r="Y4637">
        <f>IF(ISNUMBER(Q4637),1,0)</f>
        <v/>
      </c>
      <c r="Z4637">
        <f>IF(AND(K4637=0,L4637=0,Y4637=0),1,0)</f>
        <v/>
      </c>
      <c r="AA4637">
        <f>IF(AND(Z4637=1,G4637&lt;Assumptions!$C$6),1,0)</f>
        <v/>
      </c>
      <c r="AB4637">
        <f>IF(U4637=0,"",IF(Y4637=1,MAX(0,Q4637-G4637),IF(L4637=1,MAX(0,R4637-G4637),MAX(0,Assumptions!$C$6-G4637))))</f>
        <v/>
      </c>
      <c r="AC4637">
        <f>IF(Y4637=1,Q4637-F4637,"")</f>
        <v/>
      </c>
      <c r="AD4637">
        <f>IF(Y4637=1,AC4637^2,"")</f>
        <v/>
      </c>
      <c r="AE4637" s="19">
        <f>IF(Z4637=1,(H4637-M4637)*I4637,0)</f>
        <v/>
      </c>
      <c r="AF4637">
        <f>IF(G4637&lt;EDATE(Assumptions!$C$6,-12)+1,"prior_12m","last_12m")</f>
        <v/>
      </c>
      <c r="AG4637" s="21">
        <f>DATE(YEAR(G4637),MONTH(G4637),1)</f>
        <v/>
      </c>
    </row>
    <row r="4638">
      <c r="A4638" t="inlineStr">
        <is>
          <t>SPO-02490-2</t>
        </is>
      </c>
      <c r="B4638" t="inlineStr">
        <is>
          <t>SPO-02490</t>
        </is>
      </c>
      <c r="C4638" t="inlineStr">
        <is>
          <t>SUP-14</t>
        </is>
      </c>
      <c r="D4638" t="inlineStr">
        <is>
          <t>FLEET</t>
        </is>
      </c>
      <c r="E4638" t="inlineStr">
        <is>
          <t>FLEET-04</t>
        </is>
      </c>
      <c r="F4638" s="17" t="n">
        <v>46262</v>
      </c>
      <c r="G4638" s="17" t="n">
        <v>46276</v>
      </c>
      <c r="H4638" s="18" t="n">
        <v>239</v>
      </c>
      <c r="I4638" s="19" t="n">
        <v>8.9</v>
      </c>
      <c r="J4638" s="19" t="n">
        <v>9</v>
      </c>
      <c r="K4638" s="20" t="n">
        <v>0</v>
      </c>
      <c r="L4638" s="20" t="n">
        <v>0</v>
      </c>
      <c r="M4638" s="18" t="n">
        <v>239</v>
      </c>
      <c r="N4638" s="18" t="n">
        <v>239</v>
      </c>
      <c r="O4638" s="18" t="n">
        <v>0</v>
      </c>
      <c r="P4638" s="17" t="n">
        <v>46275</v>
      </c>
      <c r="Q4638" s="17" t="n">
        <v>46275</v>
      </c>
      <c r="R4638" s="17" t="n">
        <v>46275</v>
      </c>
      <c r="S4638" s="19">
        <f>H4638*I4638</f>
        <v/>
      </c>
      <c r="T4638" s="19">
        <f>H4638*J4638</f>
        <v/>
      </c>
      <c r="U4638">
        <f>IF(AND(K4638=0,G4638&lt;=Assumptions!$C$6),1,0)</f>
        <v/>
      </c>
      <c r="V4638">
        <f>IF(U4638=1,IF(M4638&gt;0,IF(P4638&lt;=G4638+Assumptions!$C$7,1,0),0),0)</f>
        <v/>
      </c>
      <c r="W4638">
        <f>IF(AND(U4638=1,M4638&gt;=H4638*(1-Assumptions!$C$8)),1,0)</f>
        <v/>
      </c>
      <c r="X4638">
        <f>IF(AND(U4638=1,N4638&gt;=H4638*(1-Assumptions!$C$8)),1,0)</f>
        <v/>
      </c>
      <c r="Y4638">
        <f>IF(ISNUMBER(Q4638),1,0)</f>
        <v/>
      </c>
      <c r="Z4638">
        <f>IF(AND(K4638=0,L4638=0,Y4638=0),1,0)</f>
        <v/>
      </c>
      <c r="AA4638">
        <f>IF(AND(Z4638=1,G4638&lt;Assumptions!$C$6),1,0)</f>
        <v/>
      </c>
      <c r="AB4638">
        <f>IF(U4638=0,"",IF(Y4638=1,MAX(0,Q4638-G4638),IF(L4638=1,MAX(0,R4638-G4638),MAX(0,Assumptions!$C$6-G4638))))</f>
        <v/>
      </c>
      <c r="AC4638">
        <f>IF(Y4638=1,Q4638-F4638,"")</f>
        <v/>
      </c>
      <c r="AD4638">
        <f>IF(Y4638=1,AC4638^2,"")</f>
        <v/>
      </c>
      <c r="AE4638" s="19">
        <f>IF(Z4638=1,(H4638-M4638)*I4638,0)</f>
        <v/>
      </c>
      <c r="AF4638">
        <f>IF(G4638&lt;EDATE(Assumptions!$C$6,-12)+1,"prior_12m","last_12m")</f>
        <v/>
      </c>
      <c r="AG4638" s="21">
        <f>DATE(YEAR(G4638),MONTH(G4638),1)</f>
        <v/>
      </c>
    </row>
    <row r="4639">
      <c r="A4639" t="inlineStr">
        <is>
          <t>SPO-02491-1</t>
        </is>
      </c>
      <c r="B4639" t="inlineStr">
        <is>
          <t>SPO-02491</t>
        </is>
      </c>
      <c r="C4639" t="inlineStr">
        <is>
          <t>SUP-10</t>
        </is>
      </c>
      <c r="D4639" t="inlineStr">
        <is>
          <t>PPE</t>
        </is>
      </c>
      <c r="E4639" t="inlineStr">
        <is>
          <t>PPE-04</t>
        </is>
      </c>
      <c r="F4639" s="17" t="n">
        <v>46263</v>
      </c>
      <c r="G4639" s="17" t="n">
        <v>46276</v>
      </c>
      <c r="H4639" s="18" t="n">
        <v>203</v>
      </c>
      <c r="I4639" s="19" t="n">
        <v>25.89</v>
      </c>
      <c r="J4639" s="19" t="n">
        <v>26</v>
      </c>
      <c r="K4639" s="20" t="n">
        <v>0</v>
      </c>
      <c r="L4639" s="20" t="n">
        <v>0</v>
      </c>
      <c r="M4639" s="18" t="n">
        <v>203</v>
      </c>
      <c r="N4639" s="18" t="n">
        <v>203</v>
      </c>
      <c r="O4639" s="18" t="n">
        <v>38</v>
      </c>
      <c r="P4639" s="17" t="n">
        <v>46270</v>
      </c>
      <c r="Q4639" s="17" t="n">
        <v>46270</v>
      </c>
      <c r="R4639" s="17" t="n">
        <v>46270</v>
      </c>
      <c r="S4639" s="19">
        <f>H4639*I4639</f>
        <v/>
      </c>
      <c r="T4639" s="19">
        <f>H4639*J4639</f>
        <v/>
      </c>
      <c r="U4639">
        <f>IF(AND(K4639=0,G4639&lt;=Assumptions!$C$6),1,0)</f>
        <v/>
      </c>
      <c r="V4639">
        <f>IF(U4639=1,IF(M4639&gt;0,IF(P4639&lt;=G4639+Assumptions!$C$7,1,0),0),0)</f>
        <v/>
      </c>
      <c r="W4639">
        <f>IF(AND(U4639=1,M4639&gt;=H4639*(1-Assumptions!$C$8)),1,0)</f>
        <v/>
      </c>
      <c r="X4639">
        <f>IF(AND(U4639=1,N4639&gt;=H4639*(1-Assumptions!$C$8)),1,0)</f>
        <v/>
      </c>
      <c r="Y4639">
        <f>IF(ISNUMBER(Q4639),1,0)</f>
        <v/>
      </c>
      <c r="Z4639">
        <f>IF(AND(K4639=0,L4639=0,Y4639=0),1,0)</f>
        <v/>
      </c>
      <c r="AA4639">
        <f>IF(AND(Z4639=1,G4639&lt;Assumptions!$C$6),1,0)</f>
        <v/>
      </c>
      <c r="AB4639">
        <f>IF(U4639=0,"",IF(Y4639=1,MAX(0,Q4639-G4639),IF(L4639=1,MAX(0,R4639-G4639),MAX(0,Assumptions!$C$6-G4639))))</f>
        <v/>
      </c>
      <c r="AC4639">
        <f>IF(Y4639=1,Q4639-F4639,"")</f>
        <v/>
      </c>
      <c r="AD4639">
        <f>IF(Y4639=1,AC4639^2,"")</f>
        <v/>
      </c>
      <c r="AE4639" s="19">
        <f>IF(Z4639=1,(H4639-M4639)*I4639,0)</f>
        <v/>
      </c>
      <c r="AF4639">
        <f>IF(G4639&lt;EDATE(Assumptions!$C$6,-12)+1,"prior_12m","last_12m")</f>
        <v/>
      </c>
      <c r="AG4639" s="21">
        <f>DATE(YEAR(G4639),MONTH(G4639),1)</f>
        <v/>
      </c>
    </row>
    <row r="4640">
      <c r="A4640" t="inlineStr">
        <is>
          <t>SPO-02491-2</t>
        </is>
      </c>
      <c r="B4640" t="inlineStr">
        <is>
          <t>SPO-02491</t>
        </is>
      </c>
      <c r="C4640" t="inlineStr">
        <is>
          <t>SUP-10</t>
        </is>
      </c>
      <c r="D4640" t="inlineStr">
        <is>
          <t>PPE</t>
        </is>
      </c>
      <c r="E4640" t="inlineStr">
        <is>
          <t>PPE-01</t>
        </is>
      </c>
      <c r="F4640" s="17" t="n">
        <v>46263</v>
      </c>
      <c r="G4640" s="17" t="n">
        <v>46276</v>
      </c>
      <c r="H4640" s="18" t="n">
        <v>112</v>
      </c>
      <c r="I4640" s="19" t="n">
        <v>4.88</v>
      </c>
      <c r="J4640" s="19" t="n">
        <v>4.8</v>
      </c>
      <c r="K4640" s="20" t="n">
        <v>0</v>
      </c>
      <c r="L4640" s="20" t="n">
        <v>0</v>
      </c>
      <c r="M4640" s="18" t="n">
        <v>112</v>
      </c>
      <c r="N4640" s="18" t="n">
        <v>112</v>
      </c>
      <c r="O4640" s="18" t="n">
        <v>0</v>
      </c>
      <c r="P4640" s="17" t="n">
        <v>46275</v>
      </c>
      <c r="Q4640" s="17" t="n">
        <v>46275</v>
      </c>
      <c r="R4640" s="17" t="n">
        <v>46275</v>
      </c>
      <c r="S4640" s="19">
        <f>H4640*I4640</f>
        <v/>
      </c>
      <c r="T4640" s="19">
        <f>H4640*J4640</f>
        <v/>
      </c>
      <c r="U4640">
        <f>IF(AND(K4640=0,G4640&lt;=Assumptions!$C$6),1,0)</f>
        <v/>
      </c>
      <c r="V4640">
        <f>IF(U4640=1,IF(M4640&gt;0,IF(P4640&lt;=G4640+Assumptions!$C$7,1,0),0),0)</f>
        <v/>
      </c>
      <c r="W4640">
        <f>IF(AND(U4640=1,M4640&gt;=H4640*(1-Assumptions!$C$8)),1,0)</f>
        <v/>
      </c>
      <c r="X4640">
        <f>IF(AND(U4640=1,N4640&gt;=H4640*(1-Assumptions!$C$8)),1,0)</f>
        <v/>
      </c>
      <c r="Y4640">
        <f>IF(ISNUMBER(Q4640),1,0)</f>
        <v/>
      </c>
      <c r="Z4640">
        <f>IF(AND(K4640=0,L4640=0,Y4640=0),1,0)</f>
        <v/>
      </c>
      <c r="AA4640">
        <f>IF(AND(Z4640=1,G4640&lt;Assumptions!$C$6),1,0)</f>
        <v/>
      </c>
      <c r="AB4640">
        <f>IF(U4640=0,"",IF(Y4640=1,MAX(0,Q4640-G4640),IF(L4640=1,MAX(0,R4640-G4640),MAX(0,Assumptions!$C$6-G4640))))</f>
        <v/>
      </c>
      <c r="AC4640">
        <f>IF(Y4640=1,Q4640-F4640,"")</f>
        <v/>
      </c>
      <c r="AD4640">
        <f>IF(Y4640=1,AC4640^2,"")</f>
        <v/>
      </c>
      <c r="AE4640" s="19">
        <f>IF(Z4640=1,(H4640-M4640)*I4640,0)</f>
        <v/>
      </c>
      <c r="AF4640">
        <f>IF(G4640&lt;EDATE(Assumptions!$C$6,-12)+1,"prior_12m","last_12m")</f>
        <v/>
      </c>
      <c r="AG4640" s="21">
        <f>DATE(YEAR(G4640),MONTH(G4640),1)</f>
        <v/>
      </c>
    </row>
    <row r="4641">
      <c r="A4641" t="inlineStr">
        <is>
          <t>SPO-02492-1</t>
        </is>
      </c>
      <c r="B4641" t="inlineStr">
        <is>
          <t>SPO-02492</t>
        </is>
      </c>
      <c r="C4641" t="inlineStr">
        <is>
          <t>SUP-08</t>
        </is>
      </c>
      <c r="D4641" t="inlineStr">
        <is>
          <t>MRO</t>
        </is>
      </c>
      <c r="E4641" t="inlineStr">
        <is>
          <t>MRO-03</t>
        </is>
      </c>
      <c r="F4641" s="17" t="n">
        <v>46263</v>
      </c>
      <c r="G4641" s="17" t="n">
        <v>46274</v>
      </c>
      <c r="H4641" s="18" t="n">
        <v>322</v>
      </c>
      <c r="I4641" s="19" t="n">
        <v>8.800000000000001</v>
      </c>
      <c r="J4641" s="19" t="n">
        <v>8.9</v>
      </c>
      <c r="K4641" s="20" t="n">
        <v>0</v>
      </c>
      <c r="L4641" s="20" t="n">
        <v>0</v>
      </c>
      <c r="M4641" s="18" t="n">
        <v>322</v>
      </c>
      <c r="N4641" s="18" t="n">
        <v>322</v>
      </c>
      <c r="O4641" s="18" t="n">
        <v>0</v>
      </c>
      <c r="P4641" s="17" t="n">
        <v>46274</v>
      </c>
      <c r="Q4641" s="17" t="n">
        <v>46274</v>
      </c>
      <c r="R4641" s="17" t="n">
        <v>46274</v>
      </c>
      <c r="S4641" s="19">
        <f>H4641*I4641</f>
        <v/>
      </c>
      <c r="T4641" s="19">
        <f>H4641*J4641</f>
        <v/>
      </c>
      <c r="U4641">
        <f>IF(AND(K4641=0,G4641&lt;=Assumptions!$C$6),1,0)</f>
        <v/>
      </c>
      <c r="V4641">
        <f>IF(U4641=1,IF(M4641&gt;0,IF(P4641&lt;=G4641+Assumptions!$C$7,1,0),0),0)</f>
        <v/>
      </c>
      <c r="W4641">
        <f>IF(AND(U4641=1,M4641&gt;=H4641*(1-Assumptions!$C$8)),1,0)</f>
        <v/>
      </c>
      <c r="X4641">
        <f>IF(AND(U4641=1,N4641&gt;=H4641*(1-Assumptions!$C$8)),1,0)</f>
        <v/>
      </c>
      <c r="Y4641">
        <f>IF(ISNUMBER(Q4641),1,0)</f>
        <v/>
      </c>
      <c r="Z4641">
        <f>IF(AND(K4641=0,L4641=0,Y4641=0),1,0)</f>
        <v/>
      </c>
      <c r="AA4641">
        <f>IF(AND(Z4641=1,G4641&lt;Assumptions!$C$6),1,0)</f>
        <v/>
      </c>
      <c r="AB4641">
        <f>IF(U4641=0,"",IF(Y4641=1,MAX(0,Q4641-G4641),IF(L4641=1,MAX(0,R4641-G4641),MAX(0,Assumptions!$C$6-G4641))))</f>
        <v/>
      </c>
      <c r="AC4641">
        <f>IF(Y4641=1,Q4641-F4641,"")</f>
        <v/>
      </c>
      <c r="AD4641">
        <f>IF(Y4641=1,AC4641^2,"")</f>
        <v/>
      </c>
      <c r="AE4641" s="19">
        <f>IF(Z4641=1,(H4641-M4641)*I4641,0)</f>
        <v/>
      </c>
      <c r="AF4641">
        <f>IF(G4641&lt;EDATE(Assumptions!$C$6,-12)+1,"prior_12m","last_12m")</f>
        <v/>
      </c>
      <c r="AG4641" s="21">
        <f>DATE(YEAR(G4641),MONTH(G4641),1)</f>
        <v/>
      </c>
    </row>
    <row r="4642">
      <c r="A4642" t="inlineStr">
        <is>
          <t>SPO-02492-2</t>
        </is>
      </c>
      <c r="B4642" t="inlineStr">
        <is>
          <t>SPO-02492</t>
        </is>
      </c>
      <c r="C4642" t="inlineStr">
        <is>
          <t>SUP-08</t>
        </is>
      </c>
      <c r="D4642" t="inlineStr">
        <is>
          <t>MRO</t>
        </is>
      </c>
      <c r="E4642" t="inlineStr">
        <is>
          <t>MRO-04</t>
        </is>
      </c>
      <c r="F4642" s="17" t="n">
        <v>46263</v>
      </c>
      <c r="G4642" s="17" t="n">
        <v>46274</v>
      </c>
      <c r="H4642" s="18" t="n">
        <v>8</v>
      </c>
      <c r="I4642" s="19" t="n">
        <v>59.02</v>
      </c>
      <c r="J4642" s="19" t="n">
        <v>58</v>
      </c>
      <c r="K4642" s="20" t="n">
        <v>0</v>
      </c>
      <c r="L4642" s="20" t="n">
        <v>0</v>
      </c>
      <c r="M4642" s="18" t="n">
        <v>8</v>
      </c>
      <c r="N4642" s="18" t="n">
        <v>8</v>
      </c>
      <c r="O4642" s="18" t="n">
        <v>0</v>
      </c>
      <c r="P4642" s="17" t="n">
        <v>46269</v>
      </c>
      <c r="Q4642" s="17" t="n">
        <v>46269</v>
      </c>
      <c r="R4642" s="17" t="n">
        <v>46269</v>
      </c>
      <c r="S4642" s="19">
        <f>H4642*I4642</f>
        <v/>
      </c>
      <c r="T4642" s="19">
        <f>H4642*J4642</f>
        <v/>
      </c>
      <c r="U4642">
        <f>IF(AND(K4642=0,G4642&lt;=Assumptions!$C$6),1,0)</f>
        <v/>
      </c>
      <c r="V4642">
        <f>IF(U4642=1,IF(M4642&gt;0,IF(P4642&lt;=G4642+Assumptions!$C$7,1,0),0),0)</f>
        <v/>
      </c>
      <c r="W4642">
        <f>IF(AND(U4642=1,M4642&gt;=H4642*(1-Assumptions!$C$8)),1,0)</f>
        <v/>
      </c>
      <c r="X4642">
        <f>IF(AND(U4642=1,N4642&gt;=H4642*(1-Assumptions!$C$8)),1,0)</f>
        <v/>
      </c>
      <c r="Y4642">
        <f>IF(ISNUMBER(Q4642),1,0)</f>
        <v/>
      </c>
      <c r="Z4642">
        <f>IF(AND(K4642=0,L4642=0,Y4642=0),1,0)</f>
        <v/>
      </c>
      <c r="AA4642">
        <f>IF(AND(Z4642=1,G4642&lt;Assumptions!$C$6),1,0)</f>
        <v/>
      </c>
      <c r="AB4642">
        <f>IF(U4642=0,"",IF(Y4642=1,MAX(0,Q4642-G4642),IF(L4642=1,MAX(0,R4642-G4642),MAX(0,Assumptions!$C$6-G4642))))</f>
        <v/>
      </c>
      <c r="AC4642">
        <f>IF(Y4642=1,Q4642-F4642,"")</f>
        <v/>
      </c>
      <c r="AD4642">
        <f>IF(Y4642=1,AC4642^2,"")</f>
        <v/>
      </c>
      <c r="AE4642" s="19">
        <f>IF(Z4642=1,(H4642-M4642)*I4642,0)</f>
        <v/>
      </c>
      <c r="AF4642">
        <f>IF(G4642&lt;EDATE(Assumptions!$C$6,-12)+1,"prior_12m","last_12m")</f>
        <v/>
      </c>
      <c r="AG4642" s="21">
        <f>DATE(YEAR(G4642),MONTH(G4642),1)</f>
        <v/>
      </c>
    </row>
    <row r="4643">
      <c r="A4643" t="inlineStr">
        <is>
          <t>SPO-02492-3</t>
        </is>
      </c>
      <c r="B4643" t="inlineStr">
        <is>
          <t>SPO-02492</t>
        </is>
      </c>
      <c r="C4643" t="inlineStr">
        <is>
          <t>SUP-08</t>
        </is>
      </c>
      <c r="D4643" t="inlineStr">
        <is>
          <t>MRO</t>
        </is>
      </c>
      <c r="E4643" t="inlineStr">
        <is>
          <t>MRO-05</t>
        </is>
      </c>
      <c r="F4643" s="17" t="n">
        <v>46263</v>
      </c>
      <c r="G4643" s="17" t="n">
        <v>46274</v>
      </c>
      <c r="H4643" s="18" t="n">
        <v>19</v>
      </c>
      <c r="I4643" s="19" t="n">
        <v>35.05</v>
      </c>
      <c r="J4643" s="19" t="n">
        <v>36</v>
      </c>
      <c r="K4643" s="20" t="n">
        <v>0</v>
      </c>
      <c r="L4643" s="20" t="n">
        <v>0</v>
      </c>
      <c r="M4643" s="18" t="n">
        <v>19</v>
      </c>
      <c r="N4643" s="18" t="n">
        <v>19</v>
      </c>
      <c r="O4643" s="18" t="n">
        <v>0</v>
      </c>
      <c r="P4643" s="17" t="n">
        <v>46272</v>
      </c>
      <c r="Q4643" s="17" t="n">
        <v>46272</v>
      </c>
      <c r="R4643" s="17" t="n">
        <v>46272</v>
      </c>
      <c r="S4643" s="19">
        <f>H4643*I4643</f>
        <v/>
      </c>
      <c r="T4643" s="19">
        <f>H4643*J4643</f>
        <v/>
      </c>
      <c r="U4643">
        <f>IF(AND(K4643=0,G4643&lt;=Assumptions!$C$6),1,0)</f>
        <v/>
      </c>
      <c r="V4643">
        <f>IF(U4643=1,IF(M4643&gt;0,IF(P4643&lt;=G4643+Assumptions!$C$7,1,0),0),0)</f>
        <v/>
      </c>
      <c r="W4643">
        <f>IF(AND(U4643=1,M4643&gt;=H4643*(1-Assumptions!$C$8)),1,0)</f>
        <v/>
      </c>
      <c r="X4643">
        <f>IF(AND(U4643=1,N4643&gt;=H4643*(1-Assumptions!$C$8)),1,0)</f>
        <v/>
      </c>
      <c r="Y4643">
        <f>IF(ISNUMBER(Q4643),1,0)</f>
        <v/>
      </c>
      <c r="Z4643">
        <f>IF(AND(K4643=0,L4643=0,Y4643=0),1,0)</f>
        <v/>
      </c>
      <c r="AA4643">
        <f>IF(AND(Z4643=1,G4643&lt;Assumptions!$C$6),1,0)</f>
        <v/>
      </c>
      <c r="AB4643">
        <f>IF(U4643=0,"",IF(Y4643=1,MAX(0,Q4643-G4643),IF(L4643=1,MAX(0,R4643-G4643),MAX(0,Assumptions!$C$6-G4643))))</f>
        <v/>
      </c>
      <c r="AC4643">
        <f>IF(Y4643=1,Q4643-F4643,"")</f>
        <v/>
      </c>
      <c r="AD4643">
        <f>IF(Y4643=1,AC4643^2,"")</f>
        <v/>
      </c>
      <c r="AE4643" s="19">
        <f>IF(Z4643=1,(H4643-M4643)*I4643,0)</f>
        <v/>
      </c>
      <c r="AF4643">
        <f>IF(G4643&lt;EDATE(Assumptions!$C$6,-12)+1,"prior_12m","last_12m")</f>
        <v/>
      </c>
      <c r="AG4643" s="21">
        <f>DATE(YEAR(G4643),MONTH(G4643),1)</f>
        <v/>
      </c>
    </row>
    <row r="4644">
      <c r="A4644" t="inlineStr">
        <is>
          <t>SPO-02492-4</t>
        </is>
      </c>
      <c r="B4644" t="inlineStr">
        <is>
          <t>SPO-02492</t>
        </is>
      </c>
      <c r="C4644" t="inlineStr">
        <is>
          <t>SUP-08</t>
        </is>
      </c>
      <c r="D4644" t="inlineStr">
        <is>
          <t>MRO</t>
        </is>
      </c>
      <c r="E4644" t="inlineStr">
        <is>
          <t>MRO-08</t>
        </is>
      </c>
      <c r="F4644" s="17" t="n">
        <v>46263</v>
      </c>
      <c r="G4644" s="17" t="n">
        <v>46274</v>
      </c>
      <c r="H4644" s="18" t="n">
        <v>124</v>
      </c>
      <c r="I4644" s="19" t="n">
        <v>6.96</v>
      </c>
      <c r="J4644" s="19" t="n">
        <v>7.2</v>
      </c>
      <c r="K4644" s="20" t="n">
        <v>0</v>
      </c>
      <c r="L4644" s="20" t="n">
        <v>0</v>
      </c>
      <c r="M4644" s="18" t="n">
        <v>124</v>
      </c>
      <c r="N4644" s="18" t="n">
        <v>124</v>
      </c>
      <c r="O4644" s="18" t="n">
        <v>0</v>
      </c>
      <c r="P4644" s="17" t="n">
        <v>46273</v>
      </c>
      <c r="Q4644" s="17" t="n">
        <v>46273</v>
      </c>
      <c r="R4644" s="17" t="n">
        <v>46273</v>
      </c>
      <c r="S4644" s="19">
        <f>H4644*I4644</f>
        <v/>
      </c>
      <c r="T4644" s="19">
        <f>H4644*J4644</f>
        <v/>
      </c>
      <c r="U4644">
        <f>IF(AND(K4644=0,G4644&lt;=Assumptions!$C$6),1,0)</f>
        <v/>
      </c>
      <c r="V4644">
        <f>IF(U4644=1,IF(M4644&gt;0,IF(P4644&lt;=G4644+Assumptions!$C$7,1,0),0),0)</f>
        <v/>
      </c>
      <c r="W4644">
        <f>IF(AND(U4644=1,M4644&gt;=H4644*(1-Assumptions!$C$8)),1,0)</f>
        <v/>
      </c>
      <c r="X4644">
        <f>IF(AND(U4644=1,N4644&gt;=H4644*(1-Assumptions!$C$8)),1,0)</f>
        <v/>
      </c>
      <c r="Y4644">
        <f>IF(ISNUMBER(Q4644),1,0)</f>
        <v/>
      </c>
      <c r="Z4644">
        <f>IF(AND(K4644=0,L4644=0,Y4644=0),1,0)</f>
        <v/>
      </c>
      <c r="AA4644">
        <f>IF(AND(Z4644=1,G4644&lt;Assumptions!$C$6),1,0)</f>
        <v/>
      </c>
      <c r="AB4644">
        <f>IF(U4644=0,"",IF(Y4644=1,MAX(0,Q4644-G4644),IF(L4644=1,MAX(0,R4644-G4644),MAX(0,Assumptions!$C$6-G4644))))</f>
        <v/>
      </c>
      <c r="AC4644">
        <f>IF(Y4644=1,Q4644-F4644,"")</f>
        <v/>
      </c>
      <c r="AD4644">
        <f>IF(Y4644=1,AC4644^2,"")</f>
        <v/>
      </c>
      <c r="AE4644" s="19">
        <f>IF(Z4644=1,(H4644-M4644)*I4644,0)</f>
        <v/>
      </c>
      <c r="AF4644">
        <f>IF(G4644&lt;EDATE(Assumptions!$C$6,-12)+1,"prior_12m","last_12m")</f>
        <v/>
      </c>
      <c r="AG4644" s="21">
        <f>DATE(YEAR(G4644),MONTH(G4644),1)</f>
        <v/>
      </c>
    </row>
    <row r="4645">
      <c r="A4645" t="inlineStr">
        <is>
          <t>SPO-02493-1</t>
        </is>
      </c>
      <c r="B4645" t="inlineStr">
        <is>
          <t>SPO-02493</t>
        </is>
      </c>
      <c r="C4645" t="inlineStr">
        <is>
          <t>SUP-10</t>
        </is>
      </c>
      <c r="D4645" t="inlineStr">
        <is>
          <t>PPE</t>
        </is>
      </c>
      <c r="E4645" t="inlineStr">
        <is>
          <t>PPE-04</t>
        </is>
      </c>
      <c r="F4645" s="17" t="n">
        <v>46263</v>
      </c>
      <c r="G4645" s="17" t="n">
        <v>46276</v>
      </c>
      <c r="H4645" s="18" t="n">
        <v>59</v>
      </c>
      <c r="I4645" s="19" t="n">
        <v>26.5</v>
      </c>
      <c r="J4645" s="19" t="n">
        <v>26</v>
      </c>
      <c r="K4645" s="20" t="n">
        <v>0</v>
      </c>
      <c r="L4645" s="20" t="n">
        <v>0</v>
      </c>
      <c r="M4645" s="18" t="n">
        <v>59</v>
      </c>
      <c r="N4645" s="18" t="n">
        <v>59</v>
      </c>
      <c r="O4645" s="18" t="n">
        <v>0</v>
      </c>
      <c r="P4645" s="17" t="n">
        <v>46272</v>
      </c>
      <c r="Q4645" s="17" t="n">
        <v>46272</v>
      </c>
      <c r="R4645" s="17" t="n">
        <v>46272</v>
      </c>
      <c r="S4645" s="19">
        <f>H4645*I4645</f>
        <v/>
      </c>
      <c r="T4645" s="19">
        <f>H4645*J4645</f>
        <v/>
      </c>
      <c r="U4645">
        <f>IF(AND(K4645=0,G4645&lt;=Assumptions!$C$6),1,0)</f>
        <v/>
      </c>
      <c r="V4645">
        <f>IF(U4645=1,IF(M4645&gt;0,IF(P4645&lt;=G4645+Assumptions!$C$7,1,0),0),0)</f>
        <v/>
      </c>
      <c r="W4645">
        <f>IF(AND(U4645=1,M4645&gt;=H4645*(1-Assumptions!$C$8)),1,0)</f>
        <v/>
      </c>
      <c r="X4645">
        <f>IF(AND(U4645=1,N4645&gt;=H4645*(1-Assumptions!$C$8)),1,0)</f>
        <v/>
      </c>
      <c r="Y4645">
        <f>IF(ISNUMBER(Q4645),1,0)</f>
        <v/>
      </c>
      <c r="Z4645">
        <f>IF(AND(K4645=0,L4645=0,Y4645=0),1,0)</f>
        <v/>
      </c>
      <c r="AA4645">
        <f>IF(AND(Z4645=1,G4645&lt;Assumptions!$C$6),1,0)</f>
        <v/>
      </c>
      <c r="AB4645">
        <f>IF(U4645=0,"",IF(Y4645=1,MAX(0,Q4645-G4645),IF(L4645=1,MAX(0,R4645-G4645),MAX(0,Assumptions!$C$6-G4645))))</f>
        <v/>
      </c>
      <c r="AC4645">
        <f>IF(Y4645=1,Q4645-F4645,"")</f>
        <v/>
      </c>
      <c r="AD4645">
        <f>IF(Y4645=1,AC4645^2,"")</f>
        <v/>
      </c>
      <c r="AE4645" s="19">
        <f>IF(Z4645=1,(H4645-M4645)*I4645,0)</f>
        <v/>
      </c>
      <c r="AF4645">
        <f>IF(G4645&lt;EDATE(Assumptions!$C$6,-12)+1,"prior_12m","last_12m")</f>
        <v/>
      </c>
      <c r="AG4645" s="21">
        <f>DATE(YEAR(G4645),MONTH(G4645),1)</f>
        <v/>
      </c>
    </row>
    <row r="4646">
      <c r="A4646" t="inlineStr">
        <is>
          <t>SPO-02493-2</t>
        </is>
      </c>
      <c r="B4646" t="inlineStr">
        <is>
          <t>SPO-02493</t>
        </is>
      </c>
      <c r="C4646" t="inlineStr">
        <is>
          <t>SUP-10</t>
        </is>
      </c>
      <c r="D4646" t="inlineStr">
        <is>
          <t>PPE</t>
        </is>
      </c>
      <c r="E4646" t="inlineStr">
        <is>
          <t>PPE-06</t>
        </is>
      </c>
      <c r="F4646" s="17" t="n">
        <v>46263</v>
      </c>
      <c r="G4646" s="17" t="n">
        <v>46276</v>
      </c>
      <c r="H4646" s="18" t="n">
        <v>11</v>
      </c>
      <c r="I4646" s="19" t="n">
        <v>110.27</v>
      </c>
      <c r="J4646" s="19" t="n">
        <v>115</v>
      </c>
      <c r="K4646" s="20" t="n">
        <v>0</v>
      </c>
      <c r="L4646" s="20" t="n">
        <v>0</v>
      </c>
      <c r="M4646" s="18" t="n">
        <v>11</v>
      </c>
      <c r="N4646" s="18" t="n">
        <v>11</v>
      </c>
      <c r="O4646" s="18" t="n">
        <v>0</v>
      </c>
      <c r="P4646" s="17" t="n">
        <v>46275</v>
      </c>
      <c r="Q4646" s="17" t="n">
        <v>46275</v>
      </c>
      <c r="R4646" s="17" t="n">
        <v>46275</v>
      </c>
      <c r="S4646" s="19">
        <f>H4646*I4646</f>
        <v/>
      </c>
      <c r="T4646" s="19">
        <f>H4646*J4646</f>
        <v/>
      </c>
      <c r="U4646">
        <f>IF(AND(K4646=0,G4646&lt;=Assumptions!$C$6),1,0)</f>
        <v/>
      </c>
      <c r="V4646">
        <f>IF(U4646=1,IF(M4646&gt;0,IF(P4646&lt;=G4646+Assumptions!$C$7,1,0),0),0)</f>
        <v/>
      </c>
      <c r="W4646">
        <f>IF(AND(U4646=1,M4646&gt;=H4646*(1-Assumptions!$C$8)),1,0)</f>
        <v/>
      </c>
      <c r="X4646">
        <f>IF(AND(U4646=1,N4646&gt;=H4646*(1-Assumptions!$C$8)),1,0)</f>
        <v/>
      </c>
      <c r="Y4646">
        <f>IF(ISNUMBER(Q4646),1,0)</f>
        <v/>
      </c>
      <c r="Z4646">
        <f>IF(AND(K4646=0,L4646=0,Y4646=0),1,0)</f>
        <v/>
      </c>
      <c r="AA4646">
        <f>IF(AND(Z4646=1,G4646&lt;Assumptions!$C$6),1,0)</f>
        <v/>
      </c>
      <c r="AB4646">
        <f>IF(U4646=0,"",IF(Y4646=1,MAX(0,Q4646-G4646),IF(L4646=1,MAX(0,R4646-G4646),MAX(0,Assumptions!$C$6-G4646))))</f>
        <v/>
      </c>
      <c r="AC4646">
        <f>IF(Y4646=1,Q4646-F4646,"")</f>
        <v/>
      </c>
      <c r="AD4646">
        <f>IF(Y4646=1,AC4646^2,"")</f>
        <v/>
      </c>
      <c r="AE4646" s="19">
        <f>IF(Z4646=1,(H4646-M4646)*I4646,0)</f>
        <v/>
      </c>
      <c r="AF4646">
        <f>IF(G4646&lt;EDATE(Assumptions!$C$6,-12)+1,"prior_12m","last_12m")</f>
        <v/>
      </c>
      <c r="AG4646" s="21">
        <f>DATE(YEAR(G4646),MONTH(G4646),1)</f>
        <v/>
      </c>
    </row>
    <row r="4647">
      <c r="A4647" t="inlineStr">
        <is>
          <t>SPO-02494-1</t>
        </is>
      </c>
      <c r="B4647" t="inlineStr">
        <is>
          <t>SPO-02494</t>
        </is>
      </c>
      <c r="C4647" t="inlineStr">
        <is>
          <t>SUP-12</t>
        </is>
      </c>
      <c r="D4647" t="inlineStr">
        <is>
          <t>IT</t>
        </is>
      </c>
      <c r="E4647" t="inlineStr">
        <is>
          <t>IT-04</t>
        </is>
      </c>
      <c r="F4647" s="17" t="n">
        <v>46263</v>
      </c>
      <c r="G4647" s="17" t="n">
        <v>46273</v>
      </c>
      <c r="H4647" s="18" t="n">
        <v>151</v>
      </c>
      <c r="I4647" s="19" t="n">
        <v>14.44</v>
      </c>
      <c r="J4647" s="19" t="n">
        <v>12</v>
      </c>
      <c r="K4647" s="20" t="n">
        <v>0</v>
      </c>
      <c r="L4647" s="20" t="n">
        <v>0</v>
      </c>
      <c r="M4647" s="18" t="n">
        <v>151</v>
      </c>
      <c r="N4647" s="18" t="n">
        <v>151</v>
      </c>
      <c r="O4647" s="18" t="n">
        <v>0</v>
      </c>
      <c r="P4647" s="17" t="n">
        <v>46272</v>
      </c>
      <c r="Q4647" s="17" t="n">
        <v>46272</v>
      </c>
      <c r="R4647" s="17" t="n">
        <v>46272</v>
      </c>
      <c r="S4647" s="19">
        <f>H4647*I4647</f>
        <v/>
      </c>
      <c r="T4647" s="19">
        <f>H4647*J4647</f>
        <v/>
      </c>
      <c r="U4647">
        <f>IF(AND(K4647=0,G4647&lt;=Assumptions!$C$6),1,0)</f>
        <v/>
      </c>
      <c r="V4647">
        <f>IF(U4647=1,IF(M4647&gt;0,IF(P4647&lt;=G4647+Assumptions!$C$7,1,0),0),0)</f>
        <v/>
      </c>
      <c r="W4647">
        <f>IF(AND(U4647=1,M4647&gt;=H4647*(1-Assumptions!$C$8)),1,0)</f>
        <v/>
      </c>
      <c r="X4647">
        <f>IF(AND(U4647=1,N4647&gt;=H4647*(1-Assumptions!$C$8)),1,0)</f>
        <v/>
      </c>
      <c r="Y4647">
        <f>IF(ISNUMBER(Q4647),1,0)</f>
        <v/>
      </c>
      <c r="Z4647">
        <f>IF(AND(K4647=0,L4647=0,Y4647=0),1,0)</f>
        <v/>
      </c>
      <c r="AA4647">
        <f>IF(AND(Z4647=1,G4647&lt;Assumptions!$C$6),1,0)</f>
        <v/>
      </c>
      <c r="AB4647">
        <f>IF(U4647=0,"",IF(Y4647=1,MAX(0,Q4647-G4647),IF(L4647=1,MAX(0,R4647-G4647),MAX(0,Assumptions!$C$6-G4647))))</f>
        <v/>
      </c>
      <c r="AC4647">
        <f>IF(Y4647=1,Q4647-F4647,"")</f>
        <v/>
      </c>
      <c r="AD4647">
        <f>IF(Y4647=1,AC4647^2,"")</f>
        <v/>
      </c>
      <c r="AE4647" s="19">
        <f>IF(Z4647=1,(H4647-M4647)*I4647,0)</f>
        <v/>
      </c>
      <c r="AF4647">
        <f>IF(G4647&lt;EDATE(Assumptions!$C$6,-12)+1,"prior_12m","last_12m")</f>
        <v/>
      </c>
      <c r="AG4647" s="21">
        <f>DATE(YEAR(G4647),MONTH(G4647),1)</f>
        <v/>
      </c>
    </row>
    <row r="4648">
      <c r="A4648" t="inlineStr">
        <is>
          <t>SPO-02495-1</t>
        </is>
      </c>
      <c r="B4648" t="inlineStr">
        <is>
          <t>SPO-02495</t>
        </is>
      </c>
      <c r="C4648" t="inlineStr">
        <is>
          <t>SUP-12</t>
        </is>
      </c>
      <c r="D4648" t="inlineStr">
        <is>
          <t>IT</t>
        </is>
      </c>
      <c r="E4648" t="inlineStr">
        <is>
          <t>IT-08</t>
        </is>
      </c>
      <c r="F4648" s="17" t="n">
        <v>46263</v>
      </c>
      <c r="G4648" s="17" t="n">
        <v>46273</v>
      </c>
      <c r="H4648" s="18" t="n">
        <v>5</v>
      </c>
      <c r="I4648" s="19" t="n">
        <v>275.44</v>
      </c>
      <c r="J4648" s="19" t="n">
        <v>245</v>
      </c>
      <c r="K4648" s="20" t="n">
        <v>0</v>
      </c>
      <c r="L4648" s="20" t="n">
        <v>0</v>
      </c>
      <c r="M4648" s="18" t="n">
        <v>5</v>
      </c>
      <c r="N4648" s="18" t="n">
        <v>5</v>
      </c>
      <c r="O4648" s="18" t="n">
        <v>0</v>
      </c>
      <c r="P4648" s="17" t="n">
        <v>46265</v>
      </c>
      <c r="Q4648" s="17" t="n">
        <v>46265</v>
      </c>
      <c r="R4648" s="17" t="n">
        <v>46265</v>
      </c>
      <c r="S4648" s="19">
        <f>H4648*I4648</f>
        <v/>
      </c>
      <c r="T4648" s="19">
        <f>H4648*J4648</f>
        <v/>
      </c>
      <c r="U4648">
        <f>IF(AND(K4648=0,G4648&lt;=Assumptions!$C$6),1,0)</f>
        <v/>
      </c>
      <c r="V4648">
        <f>IF(U4648=1,IF(M4648&gt;0,IF(P4648&lt;=G4648+Assumptions!$C$7,1,0),0),0)</f>
        <v/>
      </c>
      <c r="W4648">
        <f>IF(AND(U4648=1,M4648&gt;=H4648*(1-Assumptions!$C$8)),1,0)</f>
        <v/>
      </c>
      <c r="X4648">
        <f>IF(AND(U4648=1,N4648&gt;=H4648*(1-Assumptions!$C$8)),1,0)</f>
        <v/>
      </c>
      <c r="Y4648">
        <f>IF(ISNUMBER(Q4648),1,0)</f>
        <v/>
      </c>
      <c r="Z4648">
        <f>IF(AND(K4648=0,L4648=0,Y4648=0),1,0)</f>
        <v/>
      </c>
      <c r="AA4648">
        <f>IF(AND(Z4648=1,G4648&lt;Assumptions!$C$6),1,0)</f>
        <v/>
      </c>
      <c r="AB4648">
        <f>IF(U4648=0,"",IF(Y4648=1,MAX(0,Q4648-G4648),IF(L4648=1,MAX(0,R4648-G4648),MAX(0,Assumptions!$C$6-G4648))))</f>
        <v/>
      </c>
      <c r="AC4648">
        <f>IF(Y4648=1,Q4648-F4648,"")</f>
        <v/>
      </c>
      <c r="AD4648">
        <f>IF(Y4648=1,AC4648^2,"")</f>
        <v/>
      </c>
      <c r="AE4648" s="19">
        <f>IF(Z4648=1,(H4648-M4648)*I4648,0)</f>
        <v/>
      </c>
      <c r="AF4648">
        <f>IF(G4648&lt;EDATE(Assumptions!$C$6,-12)+1,"prior_12m","last_12m")</f>
        <v/>
      </c>
      <c r="AG4648" s="21">
        <f>DATE(YEAR(G4648),MONTH(G4648),1)</f>
        <v/>
      </c>
    </row>
    <row r="4649">
      <c r="A4649" t="inlineStr">
        <is>
          <t>SPO-02495-2</t>
        </is>
      </c>
      <c r="B4649" t="inlineStr">
        <is>
          <t>SPO-02495</t>
        </is>
      </c>
      <c r="C4649" t="inlineStr">
        <is>
          <t>SUP-12</t>
        </is>
      </c>
      <c r="D4649" t="inlineStr">
        <is>
          <t>IT</t>
        </is>
      </c>
      <c r="E4649" t="inlineStr">
        <is>
          <t>IT-07</t>
        </is>
      </c>
      <c r="F4649" s="17" t="n">
        <v>46263</v>
      </c>
      <c r="G4649" s="17" t="n">
        <v>46273</v>
      </c>
      <c r="H4649" s="18" t="n">
        <v>57</v>
      </c>
      <c r="I4649" s="19" t="n">
        <v>84.67</v>
      </c>
      <c r="J4649" s="19" t="n">
        <v>74</v>
      </c>
      <c r="K4649" s="20" t="n">
        <v>0</v>
      </c>
      <c r="L4649" s="20" t="n">
        <v>0</v>
      </c>
      <c r="M4649" s="18" t="n">
        <v>57</v>
      </c>
      <c r="N4649" s="18" t="n">
        <v>57</v>
      </c>
      <c r="O4649" s="18" t="n">
        <v>0</v>
      </c>
      <c r="P4649" s="17" t="n">
        <v>46269</v>
      </c>
      <c r="Q4649" s="17" t="n">
        <v>46269</v>
      </c>
      <c r="R4649" s="17" t="n">
        <v>46269</v>
      </c>
      <c r="S4649" s="19">
        <f>H4649*I4649</f>
        <v/>
      </c>
      <c r="T4649" s="19">
        <f>H4649*J4649</f>
        <v/>
      </c>
      <c r="U4649">
        <f>IF(AND(K4649=0,G4649&lt;=Assumptions!$C$6),1,0)</f>
        <v/>
      </c>
      <c r="V4649">
        <f>IF(U4649=1,IF(M4649&gt;0,IF(P4649&lt;=G4649+Assumptions!$C$7,1,0),0),0)</f>
        <v/>
      </c>
      <c r="W4649">
        <f>IF(AND(U4649=1,M4649&gt;=H4649*(1-Assumptions!$C$8)),1,0)</f>
        <v/>
      </c>
      <c r="X4649">
        <f>IF(AND(U4649=1,N4649&gt;=H4649*(1-Assumptions!$C$8)),1,0)</f>
        <v/>
      </c>
      <c r="Y4649">
        <f>IF(ISNUMBER(Q4649),1,0)</f>
        <v/>
      </c>
      <c r="Z4649">
        <f>IF(AND(K4649=0,L4649=0,Y4649=0),1,0)</f>
        <v/>
      </c>
      <c r="AA4649">
        <f>IF(AND(Z4649=1,G4649&lt;Assumptions!$C$6),1,0)</f>
        <v/>
      </c>
      <c r="AB4649">
        <f>IF(U4649=0,"",IF(Y4649=1,MAX(0,Q4649-G4649),IF(L4649=1,MAX(0,R4649-G4649),MAX(0,Assumptions!$C$6-G4649))))</f>
        <v/>
      </c>
      <c r="AC4649">
        <f>IF(Y4649=1,Q4649-F4649,"")</f>
        <v/>
      </c>
      <c r="AD4649">
        <f>IF(Y4649=1,AC4649^2,"")</f>
        <v/>
      </c>
      <c r="AE4649" s="19">
        <f>IF(Z4649=1,(H4649-M4649)*I4649,0)</f>
        <v/>
      </c>
      <c r="AF4649">
        <f>IF(G4649&lt;EDATE(Assumptions!$C$6,-12)+1,"prior_12m","last_12m")</f>
        <v/>
      </c>
      <c r="AG4649" s="21">
        <f>DATE(YEAR(G4649),MONTH(G4649),1)</f>
        <v/>
      </c>
    </row>
    <row r="4650">
      <c r="A4650" t="inlineStr">
        <is>
          <t>SPO-02496-1</t>
        </is>
      </c>
      <c r="B4650" t="inlineStr">
        <is>
          <t>SPO-02496</t>
        </is>
      </c>
      <c r="C4650" t="inlineStr">
        <is>
          <t>SUP-01</t>
        </is>
      </c>
      <c r="D4650" t="inlineStr">
        <is>
          <t>ELEC</t>
        </is>
      </c>
      <c r="E4650" t="inlineStr">
        <is>
          <t>ELEC-04</t>
        </is>
      </c>
      <c r="F4650" s="17" t="n">
        <v>46263</v>
      </c>
      <c r="G4650" s="17" t="n">
        <v>46281</v>
      </c>
      <c r="H4650" s="18" t="n">
        <v>17</v>
      </c>
      <c r="I4650" s="19" t="n">
        <v>73.54000000000001</v>
      </c>
      <c r="J4650" s="19" t="n">
        <v>72</v>
      </c>
      <c r="K4650" s="20" t="n">
        <v>0</v>
      </c>
      <c r="L4650" s="20" t="n">
        <v>0</v>
      </c>
      <c r="M4650" s="18" t="n">
        <v>0</v>
      </c>
      <c r="N4650" s="18" t="n">
        <v>0</v>
      </c>
      <c r="O4650" s="18" t="n">
        <v>0</v>
      </c>
      <c r="P4650" s="17" t="n"/>
      <c r="Q4650" s="17" t="n"/>
      <c r="R4650" s="17" t="n"/>
      <c r="S4650" s="19">
        <f>H4650*I4650</f>
        <v/>
      </c>
      <c r="T4650" s="19">
        <f>H4650*J4650</f>
        <v/>
      </c>
      <c r="U4650">
        <f>IF(AND(K4650=0,G4650&lt;=Assumptions!$C$6),1,0)</f>
        <v/>
      </c>
      <c r="V4650">
        <f>IF(U4650=1,IF(M4650&gt;0,IF(P4650&lt;=G4650+Assumptions!$C$7,1,0),0),0)</f>
        <v/>
      </c>
      <c r="W4650">
        <f>IF(AND(U4650=1,M4650&gt;=H4650*(1-Assumptions!$C$8)),1,0)</f>
        <v/>
      </c>
      <c r="X4650">
        <f>IF(AND(U4650=1,N4650&gt;=H4650*(1-Assumptions!$C$8)),1,0)</f>
        <v/>
      </c>
      <c r="Y4650">
        <f>IF(ISNUMBER(Q4650),1,0)</f>
        <v/>
      </c>
      <c r="Z4650">
        <f>IF(AND(K4650=0,L4650=0,Y4650=0),1,0)</f>
        <v/>
      </c>
      <c r="AA4650">
        <f>IF(AND(Z4650=1,G4650&lt;Assumptions!$C$6),1,0)</f>
        <v/>
      </c>
      <c r="AB4650">
        <f>IF(U4650=0,"",IF(Y4650=1,MAX(0,Q4650-G4650),IF(L4650=1,MAX(0,R4650-G4650),MAX(0,Assumptions!$C$6-G4650))))</f>
        <v/>
      </c>
      <c r="AC4650">
        <f>IF(Y4650=1,Q4650-F4650,"")</f>
        <v/>
      </c>
      <c r="AD4650">
        <f>IF(Y4650=1,AC4650^2,"")</f>
        <v/>
      </c>
      <c r="AE4650" s="19">
        <f>IF(Z4650=1,(H4650-M4650)*I4650,0)</f>
        <v/>
      </c>
      <c r="AF4650">
        <f>IF(G4650&lt;EDATE(Assumptions!$C$6,-12)+1,"prior_12m","last_12m")</f>
        <v/>
      </c>
      <c r="AG4650" s="21">
        <f>DATE(YEAR(G4650),MONTH(G4650),1)</f>
        <v/>
      </c>
    </row>
    <row r="4651">
      <c r="A4651" t="inlineStr">
        <is>
          <t>SPO-02496-2</t>
        </is>
      </c>
      <c r="B4651" t="inlineStr">
        <is>
          <t>SPO-02496</t>
        </is>
      </c>
      <c r="C4651" t="inlineStr">
        <is>
          <t>SUP-01</t>
        </is>
      </c>
      <c r="D4651" t="inlineStr">
        <is>
          <t>ELEC</t>
        </is>
      </c>
      <c r="E4651" t="inlineStr">
        <is>
          <t>ELEC-03</t>
        </is>
      </c>
      <c r="F4651" s="17" t="n">
        <v>46263</v>
      </c>
      <c r="G4651" s="17" t="n">
        <v>46281</v>
      </c>
      <c r="H4651" s="18" t="n">
        <v>32</v>
      </c>
      <c r="I4651" s="19" t="n">
        <v>97.27</v>
      </c>
      <c r="J4651" s="19" t="n">
        <v>96</v>
      </c>
      <c r="K4651" s="20" t="n">
        <v>0</v>
      </c>
      <c r="L4651" s="20" t="n">
        <v>0</v>
      </c>
      <c r="M4651" s="18" t="n">
        <v>32</v>
      </c>
      <c r="N4651" s="18" t="n">
        <v>19</v>
      </c>
      <c r="O4651" s="18" t="n">
        <v>0</v>
      </c>
      <c r="P4651" s="17" t="n">
        <v>46275</v>
      </c>
      <c r="Q4651" s="17" t="n">
        <v>46287</v>
      </c>
      <c r="R4651" s="17" t="n">
        <v>46287</v>
      </c>
      <c r="S4651" s="19">
        <f>H4651*I4651</f>
        <v/>
      </c>
      <c r="T4651" s="19">
        <f>H4651*J4651</f>
        <v/>
      </c>
      <c r="U4651">
        <f>IF(AND(K4651=0,G4651&lt;=Assumptions!$C$6),1,0)</f>
        <v/>
      </c>
      <c r="V4651">
        <f>IF(U4651=1,IF(M4651&gt;0,IF(P4651&lt;=G4651+Assumptions!$C$7,1,0),0),0)</f>
        <v/>
      </c>
      <c r="W4651">
        <f>IF(AND(U4651=1,M4651&gt;=H4651*(1-Assumptions!$C$8)),1,0)</f>
        <v/>
      </c>
      <c r="X4651">
        <f>IF(AND(U4651=1,N4651&gt;=H4651*(1-Assumptions!$C$8)),1,0)</f>
        <v/>
      </c>
      <c r="Y4651">
        <f>IF(ISNUMBER(Q4651),1,0)</f>
        <v/>
      </c>
      <c r="Z4651">
        <f>IF(AND(K4651=0,L4651=0,Y4651=0),1,0)</f>
        <v/>
      </c>
      <c r="AA4651">
        <f>IF(AND(Z4651=1,G4651&lt;Assumptions!$C$6),1,0)</f>
        <v/>
      </c>
      <c r="AB4651">
        <f>IF(U4651=0,"",IF(Y4651=1,MAX(0,Q4651-G4651),IF(L4651=1,MAX(0,R4651-G4651),MAX(0,Assumptions!$C$6-G4651))))</f>
        <v/>
      </c>
      <c r="AC4651">
        <f>IF(Y4651=1,Q4651-F4651,"")</f>
        <v/>
      </c>
      <c r="AD4651">
        <f>IF(Y4651=1,AC4651^2,"")</f>
        <v/>
      </c>
      <c r="AE4651" s="19">
        <f>IF(Z4651=1,(H4651-M4651)*I4651,0)</f>
        <v/>
      </c>
      <c r="AF4651">
        <f>IF(G4651&lt;EDATE(Assumptions!$C$6,-12)+1,"prior_12m","last_12m")</f>
        <v/>
      </c>
      <c r="AG4651" s="21">
        <f>DATE(YEAR(G4651),MONTH(G4651),1)</f>
        <v/>
      </c>
    </row>
    <row r="4652">
      <c r="A4652" t="inlineStr">
        <is>
          <t>SPO-02497-1</t>
        </is>
      </c>
      <c r="B4652" t="inlineStr">
        <is>
          <t>SPO-02497</t>
        </is>
      </c>
      <c r="C4652" t="inlineStr">
        <is>
          <t>SUP-07</t>
        </is>
      </c>
      <c r="D4652" t="inlineStr">
        <is>
          <t>MRO</t>
        </is>
      </c>
      <c r="E4652" t="inlineStr">
        <is>
          <t>MRO-02</t>
        </is>
      </c>
      <c r="F4652" s="17" t="n">
        <v>46264</v>
      </c>
      <c r="G4652" s="17" t="n">
        <v>46274</v>
      </c>
      <c r="H4652" s="18" t="n">
        <v>14</v>
      </c>
      <c r="I4652" s="19" t="n">
        <v>40.3</v>
      </c>
      <c r="J4652" s="19" t="n">
        <v>41</v>
      </c>
      <c r="K4652" s="20" t="n">
        <v>0</v>
      </c>
      <c r="L4652" s="20" t="n">
        <v>0</v>
      </c>
      <c r="M4652" s="18" t="n">
        <v>14</v>
      </c>
      <c r="N4652" s="18" t="n">
        <v>14</v>
      </c>
      <c r="O4652" s="18" t="n">
        <v>0</v>
      </c>
      <c r="P4652" s="17" t="n">
        <v>46271</v>
      </c>
      <c r="Q4652" s="17" t="n">
        <v>46271</v>
      </c>
      <c r="R4652" s="17" t="n">
        <v>46271</v>
      </c>
      <c r="S4652" s="19">
        <f>H4652*I4652</f>
        <v/>
      </c>
      <c r="T4652" s="19">
        <f>H4652*J4652</f>
        <v/>
      </c>
      <c r="U4652">
        <f>IF(AND(K4652=0,G4652&lt;=Assumptions!$C$6),1,0)</f>
        <v/>
      </c>
      <c r="V4652">
        <f>IF(U4652=1,IF(M4652&gt;0,IF(P4652&lt;=G4652+Assumptions!$C$7,1,0),0),0)</f>
        <v/>
      </c>
      <c r="W4652">
        <f>IF(AND(U4652=1,M4652&gt;=H4652*(1-Assumptions!$C$8)),1,0)</f>
        <v/>
      </c>
      <c r="X4652">
        <f>IF(AND(U4652=1,N4652&gt;=H4652*(1-Assumptions!$C$8)),1,0)</f>
        <v/>
      </c>
      <c r="Y4652">
        <f>IF(ISNUMBER(Q4652),1,0)</f>
        <v/>
      </c>
      <c r="Z4652">
        <f>IF(AND(K4652=0,L4652=0,Y4652=0),1,0)</f>
        <v/>
      </c>
      <c r="AA4652">
        <f>IF(AND(Z4652=1,G4652&lt;Assumptions!$C$6),1,0)</f>
        <v/>
      </c>
      <c r="AB4652">
        <f>IF(U4652=0,"",IF(Y4652=1,MAX(0,Q4652-G4652),IF(L4652=1,MAX(0,R4652-G4652),MAX(0,Assumptions!$C$6-G4652))))</f>
        <v/>
      </c>
      <c r="AC4652">
        <f>IF(Y4652=1,Q4652-F4652,"")</f>
        <v/>
      </c>
      <c r="AD4652">
        <f>IF(Y4652=1,AC4652^2,"")</f>
        <v/>
      </c>
      <c r="AE4652" s="19">
        <f>IF(Z4652=1,(H4652-M4652)*I4652,0)</f>
        <v/>
      </c>
      <c r="AF4652">
        <f>IF(G4652&lt;EDATE(Assumptions!$C$6,-12)+1,"prior_12m","last_12m")</f>
        <v/>
      </c>
      <c r="AG4652" s="21">
        <f>DATE(YEAR(G4652),MONTH(G4652),1)</f>
        <v/>
      </c>
    </row>
    <row r="4653">
      <c r="A4653" t="inlineStr">
        <is>
          <t>SPO-02498-1</t>
        </is>
      </c>
      <c r="B4653" t="inlineStr">
        <is>
          <t>SPO-02498</t>
        </is>
      </c>
      <c r="C4653" t="inlineStr">
        <is>
          <t>SUP-02</t>
        </is>
      </c>
      <c r="D4653" t="inlineStr">
        <is>
          <t>ELEC</t>
        </is>
      </c>
      <c r="E4653" t="inlineStr">
        <is>
          <t>ELEC-03</t>
        </is>
      </c>
      <c r="F4653" s="17" t="n">
        <v>46264</v>
      </c>
      <c r="G4653" s="17" t="n">
        <v>46280</v>
      </c>
      <c r="H4653" s="18" t="n">
        <v>21</v>
      </c>
      <c r="I4653" s="19" t="n">
        <v>96.88</v>
      </c>
      <c r="J4653" s="19" t="n">
        <v>96</v>
      </c>
      <c r="K4653" s="20" t="n">
        <v>0</v>
      </c>
      <c r="L4653" s="20" t="n">
        <v>0</v>
      </c>
      <c r="M4653" s="18" t="n">
        <v>21</v>
      </c>
      <c r="N4653" s="18" t="n">
        <v>21</v>
      </c>
      <c r="O4653" s="18" t="n">
        <v>0</v>
      </c>
      <c r="P4653" s="17" t="n">
        <v>46276</v>
      </c>
      <c r="Q4653" s="17" t="n">
        <v>46276</v>
      </c>
      <c r="R4653" s="17" t="n">
        <v>46276</v>
      </c>
      <c r="S4653" s="19">
        <f>H4653*I4653</f>
        <v/>
      </c>
      <c r="T4653" s="19">
        <f>H4653*J4653</f>
        <v/>
      </c>
      <c r="U4653">
        <f>IF(AND(K4653=0,G4653&lt;=Assumptions!$C$6),1,0)</f>
        <v/>
      </c>
      <c r="V4653">
        <f>IF(U4653=1,IF(M4653&gt;0,IF(P4653&lt;=G4653+Assumptions!$C$7,1,0),0),0)</f>
        <v/>
      </c>
      <c r="W4653">
        <f>IF(AND(U4653=1,M4653&gt;=H4653*(1-Assumptions!$C$8)),1,0)</f>
        <v/>
      </c>
      <c r="X4653">
        <f>IF(AND(U4653=1,N4653&gt;=H4653*(1-Assumptions!$C$8)),1,0)</f>
        <v/>
      </c>
      <c r="Y4653">
        <f>IF(ISNUMBER(Q4653),1,0)</f>
        <v/>
      </c>
      <c r="Z4653">
        <f>IF(AND(K4653=0,L4653=0,Y4653=0),1,0)</f>
        <v/>
      </c>
      <c r="AA4653">
        <f>IF(AND(Z4653=1,G4653&lt;Assumptions!$C$6),1,0)</f>
        <v/>
      </c>
      <c r="AB4653">
        <f>IF(U4653=0,"",IF(Y4653=1,MAX(0,Q4653-G4653),IF(L4653=1,MAX(0,R4653-G4653),MAX(0,Assumptions!$C$6-G4653))))</f>
        <v/>
      </c>
      <c r="AC4653">
        <f>IF(Y4653=1,Q4653-F4653,"")</f>
        <v/>
      </c>
      <c r="AD4653">
        <f>IF(Y4653=1,AC4653^2,"")</f>
        <v/>
      </c>
      <c r="AE4653" s="19">
        <f>IF(Z4653=1,(H4653-M4653)*I4653,0)</f>
        <v/>
      </c>
      <c r="AF4653">
        <f>IF(G4653&lt;EDATE(Assumptions!$C$6,-12)+1,"prior_12m","last_12m")</f>
        <v/>
      </c>
      <c r="AG4653" s="21">
        <f>DATE(YEAR(G4653),MONTH(G4653),1)</f>
        <v/>
      </c>
    </row>
    <row r="4654">
      <c r="A4654" t="inlineStr">
        <is>
          <t>SPO-02499-1</t>
        </is>
      </c>
      <c r="B4654" t="inlineStr">
        <is>
          <t>SPO-02499</t>
        </is>
      </c>
      <c r="C4654" t="inlineStr">
        <is>
          <t>SUP-01</t>
        </is>
      </c>
      <c r="D4654" t="inlineStr">
        <is>
          <t>ELEC</t>
        </is>
      </c>
      <c r="E4654" t="inlineStr">
        <is>
          <t>ELEC-06</t>
        </is>
      </c>
      <c r="F4654" s="17" t="n">
        <v>46264</v>
      </c>
      <c r="G4654" s="17" t="n">
        <v>46282</v>
      </c>
      <c r="H4654" s="18" t="n">
        <v>12</v>
      </c>
      <c r="I4654" s="19" t="n">
        <v>147.61</v>
      </c>
      <c r="J4654" s="19" t="n">
        <v>145</v>
      </c>
      <c r="K4654" s="20" t="n">
        <v>0</v>
      </c>
      <c r="L4654" s="20" t="n">
        <v>0</v>
      </c>
      <c r="M4654" s="18" t="n">
        <v>12</v>
      </c>
      <c r="N4654" s="18" t="n">
        <v>12</v>
      </c>
      <c r="O4654" s="18" t="n">
        <v>0</v>
      </c>
      <c r="P4654" s="17" t="n">
        <v>46281</v>
      </c>
      <c r="Q4654" s="17" t="n">
        <v>46281</v>
      </c>
      <c r="R4654" s="17" t="n">
        <v>46281</v>
      </c>
      <c r="S4654" s="19">
        <f>H4654*I4654</f>
        <v/>
      </c>
      <c r="T4654" s="19">
        <f>H4654*J4654</f>
        <v/>
      </c>
      <c r="U4654">
        <f>IF(AND(K4654=0,G4654&lt;=Assumptions!$C$6),1,0)</f>
        <v/>
      </c>
      <c r="V4654">
        <f>IF(U4654=1,IF(M4654&gt;0,IF(P4654&lt;=G4654+Assumptions!$C$7,1,0),0),0)</f>
        <v/>
      </c>
      <c r="W4654">
        <f>IF(AND(U4654=1,M4654&gt;=H4654*(1-Assumptions!$C$8)),1,0)</f>
        <v/>
      </c>
      <c r="X4654">
        <f>IF(AND(U4654=1,N4654&gt;=H4654*(1-Assumptions!$C$8)),1,0)</f>
        <v/>
      </c>
      <c r="Y4654">
        <f>IF(ISNUMBER(Q4654),1,0)</f>
        <v/>
      </c>
      <c r="Z4654">
        <f>IF(AND(K4654=0,L4654=0,Y4654=0),1,0)</f>
        <v/>
      </c>
      <c r="AA4654">
        <f>IF(AND(Z4654=1,G4654&lt;Assumptions!$C$6),1,0)</f>
        <v/>
      </c>
      <c r="AB4654">
        <f>IF(U4654=0,"",IF(Y4654=1,MAX(0,Q4654-G4654),IF(L4654=1,MAX(0,R4654-G4654),MAX(0,Assumptions!$C$6-G4654))))</f>
        <v/>
      </c>
      <c r="AC4654">
        <f>IF(Y4654=1,Q4654-F4654,"")</f>
        <v/>
      </c>
      <c r="AD4654">
        <f>IF(Y4654=1,AC4654^2,"")</f>
        <v/>
      </c>
      <c r="AE4654" s="19">
        <f>IF(Z4654=1,(H4654-M4654)*I4654,0)</f>
        <v/>
      </c>
      <c r="AF4654">
        <f>IF(G4654&lt;EDATE(Assumptions!$C$6,-12)+1,"prior_12m","last_12m")</f>
        <v/>
      </c>
      <c r="AG4654" s="21">
        <f>DATE(YEAR(G4654),MONTH(G4654),1)</f>
        <v/>
      </c>
    </row>
    <row r="4655">
      <c r="A4655" t="inlineStr">
        <is>
          <t>SPO-02499-2</t>
        </is>
      </c>
      <c r="B4655" t="inlineStr">
        <is>
          <t>SPO-02499</t>
        </is>
      </c>
      <c r="C4655" t="inlineStr">
        <is>
          <t>SUP-01</t>
        </is>
      </c>
      <c r="D4655" t="inlineStr">
        <is>
          <t>ELEC</t>
        </is>
      </c>
      <c r="E4655" t="inlineStr">
        <is>
          <t>ELEC-04</t>
        </is>
      </c>
      <c r="F4655" s="17" t="n">
        <v>46264</v>
      </c>
      <c r="G4655" s="17" t="n">
        <v>46282</v>
      </c>
      <c r="H4655" s="18" t="n">
        <v>33</v>
      </c>
      <c r="I4655" s="19" t="n">
        <v>70.90000000000001</v>
      </c>
      <c r="J4655" s="19" t="n">
        <v>72</v>
      </c>
      <c r="K4655" s="20" t="n">
        <v>0</v>
      </c>
      <c r="L4655" s="20" t="n">
        <v>0</v>
      </c>
      <c r="M4655" s="18" t="n">
        <v>33</v>
      </c>
      <c r="N4655" s="18" t="n">
        <v>33</v>
      </c>
      <c r="O4655" s="18" t="n">
        <v>0</v>
      </c>
      <c r="P4655" s="17" t="n">
        <v>46282</v>
      </c>
      <c r="Q4655" s="17" t="n">
        <v>46282</v>
      </c>
      <c r="R4655" s="17" t="n">
        <v>46282</v>
      </c>
      <c r="S4655" s="19">
        <f>H4655*I4655</f>
        <v/>
      </c>
      <c r="T4655" s="19">
        <f>H4655*J4655</f>
        <v/>
      </c>
      <c r="U4655">
        <f>IF(AND(K4655=0,G4655&lt;=Assumptions!$C$6),1,0)</f>
        <v/>
      </c>
      <c r="V4655">
        <f>IF(U4655=1,IF(M4655&gt;0,IF(P4655&lt;=G4655+Assumptions!$C$7,1,0),0),0)</f>
        <v/>
      </c>
      <c r="W4655">
        <f>IF(AND(U4655=1,M4655&gt;=H4655*(1-Assumptions!$C$8)),1,0)</f>
        <v/>
      </c>
      <c r="X4655">
        <f>IF(AND(U4655=1,N4655&gt;=H4655*(1-Assumptions!$C$8)),1,0)</f>
        <v/>
      </c>
      <c r="Y4655">
        <f>IF(ISNUMBER(Q4655),1,0)</f>
        <v/>
      </c>
      <c r="Z4655">
        <f>IF(AND(K4655=0,L4655=0,Y4655=0),1,0)</f>
        <v/>
      </c>
      <c r="AA4655">
        <f>IF(AND(Z4655=1,G4655&lt;Assumptions!$C$6),1,0)</f>
        <v/>
      </c>
      <c r="AB4655">
        <f>IF(U4655=0,"",IF(Y4655=1,MAX(0,Q4655-G4655),IF(L4655=1,MAX(0,R4655-G4655),MAX(0,Assumptions!$C$6-G4655))))</f>
        <v/>
      </c>
      <c r="AC4655">
        <f>IF(Y4655=1,Q4655-F4655,"")</f>
        <v/>
      </c>
      <c r="AD4655">
        <f>IF(Y4655=1,AC4655^2,"")</f>
        <v/>
      </c>
      <c r="AE4655" s="19">
        <f>IF(Z4655=1,(H4655-M4655)*I4655,0)</f>
        <v/>
      </c>
      <c r="AF4655">
        <f>IF(G4655&lt;EDATE(Assumptions!$C$6,-12)+1,"prior_12m","last_12m")</f>
        <v/>
      </c>
      <c r="AG4655" s="21">
        <f>DATE(YEAR(G4655),MONTH(G4655),1)</f>
        <v/>
      </c>
    </row>
    <row r="4656">
      <c r="A4656" t="inlineStr">
        <is>
          <t>SPO-02500-1</t>
        </is>
      </c>
      <c r="B4656" t="inlineStr">
        <is>
          <t>SPO-02500</t>
        </is>
      </c>
      <c r="C4656" t="inlineStr">
        <is>
          <t>SUP-06</t>
        </is>
      </c>
      <c r="D4656" t="inlineStr">
        <is>
          <t>MRO</t>
        </is>
      </c>
      <c r="E4656" t="inlineStr">
        <is>
          <t>MRO-01</t>
        </is>
      </c>
      <c r="F4656" s="17" t="n">
        <v>46265</v>
      </c>
      <c r="G4656" s="17" t="n">
        <v>46273</v>
      </c>
      <c r="H4656" s="18" t="n">
        <v>48</v>
      </c>
      <c r="I4656" s="19" t="n">
        <v>51.62</v>
      </c>
      <c r="J4656" s="19" t="n">
        <v>52</v>
      </c>
      <c r="K4656" s="20" t="n">
        <v>0</v>
      </c>
      <c r="L4656" s="20" t="n">
        <v>0</v>
      </c>
      <c r="M4656" s="18" t="n">
        <v>48</v>
      </c>
      <c r="N4656" s="18" t="n">
        <v>48</v>
      </c>
      <c r="O4656" s="18" t="n">
        <v>0</v>
      </c>
      <c r="P4656" s="17" t="n">
        <v>46271</v>
      </c>
      <c r="Q4656" s="17" t="n">
        <v>46271</v>
      </c>
      <c r="R4656" s="17" t="n">
        <v>46271</v>
      </c>
      <c r="S4656" s="19">
        <f>H4656*I4656</f>
        <v/>
      </c>
      <c r="T4656" s="19">
        <f>H4656*J4656</f>
        <v/>
      </c>
      <c r="U4656">
        <f>IF(AND(K4656=0,G4656&lt;=Assumptions!$C$6),1,0)</f>
        <v/>
      </c>
      <c r="V4656">
        <f>IF(U4656=1,IF(M4656&gt;0,IF(P4656&lt;=G4656+Assumptions!$C$7,1,0),0),0)</f>
        <v/>
      </c>
      <c r="W4656">
        <f>IF(AND(U4656=1,M4656&gt;=H4656*(1-Assumptions!$C$8)),1,0)</f>
        <v/>
      </c>
      <c r="X4656">
        <f>IF(AND(U4656=1,N4656&gt;=H4656*(1-Assumptions!$C$8)),1,0)</f>
        <v/>
      </c>
      <c r="Y4656">
        <f>IF(ISNUMBER(Q4656),1,0)</f>
        <v/>
      </c>
      <c r="Z4656">
        <f>IF(AND(K4656=0,L4656=0,Y4656=0),1,0)</f>
        <v/>
      </c>
      <c r="AA4656">
        <f>IF(AND(Z4656=1,G4656&lt;Assumptions!$C$6),1,0)</f>
        <v/>
      </c>
      <c r="AB4656">
        <f>IF(U4656=0,"",IF(Y4656=1,MAX(0,Q4656-G4656),IF(L4656=1,MAX(0,R4656-G4656),MAX(0,Assumptions!$C$6-G4656))))</f>
        <v/>
      </c>
      <c r="AC4656">
        <f>IF(Y4656=1,Q4656-F4656,"")</f>
        <v/>
      </c>
      <c r="AD4656">
        <f>IF(Y4656=1,AC4656^2,"")</f>
        <v/>
      </c>
      <c r="AE4656" s="19">
        <f>IF(Z4656=1,(H4656-M4656)*I4656,0)</f>
        <v/>
      </c>
      <c r="AF4656">
        <f>IF(G4656&lt;EDATE(Assumptions!$C$6,-12)+1,"prior_12m","last_12m")</f>
        <v/>
      </c>
      <c r="AG4656" s="21">
        <f>DATE(YEAR(G4656),MONTH(G4656),1)</f>
        <v/>
      </c>
    </row>
    <row r="4657">
      <c r="A4657" t="inlineStr">
        <is>
          <t>SPO-02501-1</t>
        </is>
      </c>
      <c r="B4657" t="inlineStr">
        <is>
          <t>SPO-02501</t>
        </is>
      </c>
      <c r="C4657" t="inlineStr">
        <is>
          <t>SUP-09</t>
        </is>
      </c>
      <c r="D4657" t="inlineStr">
        <is>
          <t>CHEM</t>
        </is>
      </c>
      <c r="E4657" t="inlineStr">
        <is>
          <t>CHEM-06</t>
        </is>
      </c>
      <c r="F4657" s="17" t="n">
        <v>46265</v>
      </c>
      <c r="G4657" s="17" t="n">
        <v>46279</v>
      </c>
      <c r="H4657" s="18" t="n">
        <v>7</v>
      </c>
      <c r="I4657" s="19" t="n">
        <v>373.99</v>
      </c>
      <c r="J4657" s="19" t="n">
        <v>380</v>
      </c>
      <c r="K4657" s="20" t="n">
        <v>0</v>
      </c>
      <c r="L4657" s="20" t="n">
        <v>0</v>
      </c>
      <c r="M4657" s="18" t="n">
        <v>7</v>
      </c>
      <c r="N4657" s="18" t="n">
        <v>7</v>
      </c>
      <c r="O4657" s="18" t="n">
        <v>0</v>
      </c>
      <c r="P4657" s="17" t="n">
        <v>46277</v>
      </c>
      <c r="Q4657" s="17" t="n">
        <v>46277</v>
      </c>
      <c r="R4657" s="17" t="n">
        <v>46277</v>
      </c>
      <c r="S4657" s="19">
        <f>H4657*I4657</f>
        <v/>
      </c>
      <c r="T4657" s="19">
        <f>H4657*J4657</f>
        <v/>
      </c>
      <c r="U4657">
        <f>IF(AND(K4657=0,G4657&lt;=Assumptions!$C$6),1,0)</f>
        <v/>
      </c>
      <c r="V4657">
        <f>IF(U4657=1,IF(M4657&gt;0,IF(P4657&lt;=G4657+Assumptions!$C$7,1,0),0),0)</f>
        <v/>
      </c>
      <c r="W4657">
        <f>IF(AND(U4657=1,M4657&gt;=H4657*(1-Assumptions!$C$8)),1,0)</f>
        <v/>
      </c>
      <c r="X4657">
        <f>IF(AND(U4657=1,N4657&gt;=H4657*(1-Assumptions!$C$8)),1,0)</f>
        <v/>
      </c>
      <c r="Y4657">
        <f>IF(ISNUMBER(Q4657),1,0)</f>
        <v/>
      </c>
      <c r="Z4657">
        <f>IF(AND(K4657=0,L4657=0,Y4657=0),1,0)</f>
        <v/>
      </c>
      <c r="AA4657">
        <f>IF(AND(Z4657=1,G4657&lt;Assumptions!$C$6),1,0)</f>
        <v/>
      </c>
      <c r="AB4657">
        <f>IF(U4657=0,"",IF(Y4657=1,MAX(0,Q4657-G4657),IF(L4657=1,MAX(0,R4657-G4657),MAX(0,Assumptions!$C$6-G4657))))</f>
        <v/>
      </c>
      <c r="AC4657">
        <f>IF(Y4657=1,Q4657-F4657,"")</f>
        <v/>
      </c>
      <c r="AD4657">
        <f>IF(Y4657=1,AC4657^2,"")</f>
        <v/>
      </c>
      <c r="AE4657" s="19">
        <f>IF(Z4657=1,(H4657-M4657)*I4657,0)</f>
        <v/>
      </c>
      <c r="AF4657">
        <f>IF(G4657&lt;EDATE(Assumptions!$C$6,-12)+1,"prior_12m","last_12m")</f>
        <v/>
      </c>
      <c r="AG4657" s="21">
        <f>DATE(YEAR(G4657),MONTH(G4657),1)</f>
        <v/>
      </c>
    </row>
    <row r="4658">
      <c r="A4658" t="inlineStr">
        <is>
          <t>SPO-02502-1</t>
        </is>
      </c>
      <c r="B4658" t="inlineStr">
        <is>
          <t>SPO-02502</t>
        </is>
      </c>
      <c r="C4658" t="inlineStr">
        <is>
          <t>SUP-01</t>
        </is>
      </c>
      <c r="D4658" t="inlineStr">
        <is>
          <t>ELEC</t>
        </is>
      </c>
      <c r="E4658" t="inlineStr">
        <is>
          <t>ELEC-07</t>
        </is>
      </c>
      <c r="F4658" s="17" t="n">
        <v>46266</v>
      </c>
      <c r="G4658" s="17" t="n">
        <v>46284</v>
      </c>
      <c r="H4658" s="18" t="n">
        <v>232</v>
      </c>
      <c r="I4658" s="19" t="n">
        <v>10.1</v>
      </c>
      <c r="J4658" s="19" t="n">
        <v>9.800000000000001</v>
      </c>
      <c r="K4658" s="20" t="n">
        <v>0</v>
      </c>
      <c r="L4658" s="20" t="n">
        <v>0</v>
      </c>
      <c r="M4658" s="18" t="n">
        <v>232</v>
      </c>
      <c r="N4658" s="18" t="n">
        <v>0</v>
      </c>
      <c r="O4658" s="18" t="n">
        <v>0</v>
      </c>
      <c r="P4658" s="17" t="n">
        <v>46285</v>
      </c>
      <c r="Q4658" s="17" t="n">
        <v>46285</v>
      </c>
      <c r="R4658" s="17" t="n">
        <v>46285</v>
      </c>
      <c r="S4658" s="19">
        <f>H4658*I4658</f>
        <v/>
      </c>
      <c r="T4658" s="19">
        <f>H4658*J4658</f>
        <v/>
      </c>
      <c r="U4658">
        <f>IF(AND(K4658=0,G4658&lt;=Assumptions!$C$6),1,0)</f>
        <v/>
      </c>
      <c r="V4658">
        <f>IF(U4658=1,IF(M4658&gt;0,IF(P4658&lt;=G4658+Assumptions!$C$7,1,0),0),0)</f>
        <v/>
      </c>
      <c r="W4658">
        <f>IF(AND(U4658=1,M4658&gt;=H4658*(1-Assumptions!$C$8)),1,0)</f>
        <v/>
      </c>
      <c r="X4658">
        <f>IF(AND(U4658=1,N4658&gt;=H4658*(1-Assumptions!$C$8)),1,0)</f>
        <v/>
      </c>
      <c r="Y4658">
        <f>IF(ISNUMBER(Q4658),1,0)</f>
        <v/>
      </c>
      <c r="Z4658">
        <f>IF(AND(K4658=0,L4658=0,Y4658=0),1,0)</f>
        <v/>
      </c>
      <c r="AA4658">
        <f>IF(AND(Z4658=1,G4658&lt;Assumptions!$C$6),1,0)</f>
        <v/>
      </c>
      <c r="AB4658">
        <f>IF(U4658=0,"",IF(Y4658=1,MAX(0,Q4658-G4658),IF(L4658=1,MAX(0,R4658-G4658),MAX(0,Assumptions!$C$6-G4658))))</f>
        <v/>
      </c>
      <c r="AC4658">
        <f>IF(Y4658=1,Q4658-F4658,"")</f>
        <v/>
      </c>
      <c r="AD4658">
        <f>IF(Y4658=1,AC4658^2,"")</f>
        <v/>
      </c>
      <c r="AE4658" s="19">
        <f>IF(Z4658=1,(H4658-M4658)*I4658,0)</f>
        <v/>
      </c>
      <c r="AF4658">
        <f>IF(G4658&lt;EDATE(Assumptions!$C$6,-12)+1,"prior_12m","last_12m")</f>
        <v/>
      </c>
      <c r="AG4658" s="21">
        <f>DATE(YEAR(G4658),MONTH(G4658),1)</f>
        <v/>
      </c>
    </row>
    <row r="4659">
      <c r="A4659" t="inlineStr">
        <is>
          <t>SPO-02502-2</t>
        </is>
      </c>
      <c r="B4659" t="inlineStr">
        <is>
          <t>SPO-02502</t>
        </is>
      </c>
      <c r="C4659" t="inlineStr">
        <is>
          <t>SUP-01</t>
        </is>
      </c>
      <c r="D4659" t="inlineStr">
        <is>
          <t>ELEC</t>
        </is>
      </c>
      <c r="E4659" t="inlineStr">
        <is>
          <t>ELEC-01</t>
        </is>
      </c>
      <c r="F4659" s="17" t="n">
        <v>46266</v>
      </c>
      <c r="G4659" s="17" t="n">
        <v>46284</v>
      </c>
      <c r="H4659" s="18" t="n">
        <v>56</v>
      </c>
      <c r="I4659" s="19" t="n">
        <v>38.99</v>
      </c>
      <c r="J4659" s="19" t="n">
        <v>38</v>
      </c>
      <c r="K4659" s="20" t="n">
        <v>0</v>
      </c>
      <c r="L4659" s="20" t="n">
        <v>0</v>
      </c>
      <c r="M4659" s="18" t="n">
        <v>56</v>
      </c>
      <c r="N4659" s="18" t="n">
        <v>56</v>
      </c>
      <c r="O4659" s="18" t="n">
        <v>4</v>
      </c>
      <c r="P4659" s="17" t="n">
        <v>46276</v>
      </c>
      <c r="Q4659" s="17" t="n">
        <v>46276</v>
      </c>
      <c r="R4659" s="17" t="n">
        <v>46276</v>
      </c>
      <c r="S4659" s="19">
        <f>H4659*I4659</f>
        <v/>
      </c>
      <c r="T4659" s="19">
        <f>H4659*J4659</f>
        <v/>
      </c>
      <c r="U4659">
        <f>IF(AND(K4659=0,G4659&lt;=Assumptions!$C$6),1,0)</f>
        <v/>
      </c>
      <c r="V4659">
        <f>IF(U4659=1,IF(M4659&gt;0,IF(P4659&lt;=G4659+Assumptions!$C$7,1,0),0),0)</f>
        <v/>
      </c>
      <c r="W4659">
        <f>IF(AND(U4659=1,M4659&gt;=H4659*(1-Assumptions!$C$8)),1,0)</f>
        <v/>
      </c>
      <c r="X4659">
        <f>IF(AND(U4659=1,N4659&gt;=H4659*(1-Assumptions!$C$8)),1,0)</f>
        <v/>
      </c>
      <c r="Y4659">
        <f>IF(ISNUMBER(Q4659),1,0)</f>
        <v/>
      </c>
      <c r="Z4659">
        <f>IF(AND(K4659=0,L4659=0,Y4659=0),1,0)</f>
        <v/>
      </c>
      <c r="AA4659">
        <f>IF(AND(Z4659=1,G4659&lt;Assumptions!$C$6),1,0)</f>
        <v/>
      </c>
      <c r="AB4659">
        <f>IF(U4659=0,"",IF(Y4659=1,MAX(0,Q4659-G4659),IF(L4659=1,MAX(0,R4659-G4659),MAX(0,Assumptions!$C$6-G4659))))</f>
        <v/>
      </c>
      <c r="AC4659">
        <f>IF(Y4659=1,Q4659-F4659,"")</f>
        <v/>
      </c>
      <c r="AD4659">
        <f>IF(Y4659=1,AC4659^2,"")</f>
        <v/>
      </c>
      <c r="AE4659" s="19">
        <f>IF(Z4659=1,(H4659-M4659)*I4659,0)</f>
        <v/>
      </c>
      <c r="AF4659">
        <f>IF(G4659&lt;EDATE(Assumptions!$C$6,-12)+1,"prior_12m","last_12m")</f>
        <v/>
      </c>
      <c r="AG4659" s="21">
        <f>DATE(YEAR(G4659),MONTH(G4659),1)</f>
        <v/>
      </c>
    </row>
    <row r="4660">
      <c r="A4660" t="inlineStr">
        <is>
          <t>SPO-02503-1</t>
        </is>
      </c>
      <c r="B4660" t="inlineStr">
        <is>
          <t>SPO-02503</t>
        </is>
      </c>
      <c r="C4660" t="inlineStr">
        <is>
          <t>SUP-10</t>
        </is>
      </c>
      <c r="D4660" t="inlineStr">
        <is>
          <t>PPE</t>
        </is>
      </c>
      <c r="E4660" t="inlineStr">
        <is>
          <t>PPE-06</t>
        </is>
      </c>
      <c r="F4660" s="17" t="n">
        <v>46266</v>
      </c>
      <c r="G4660" s="17" t="n">
        <v>46279</v>
      </c>
      <c r="H4660" s="18" t="n">
        <v>11</v>
      </c>
      <c r="I4660" s="19" t="n">
        <v>116.15</v>
      </c>
      <c r="J4660" s="19" t="n">
        <v>115</v>
      </c>
      <c r="K4660" s="20" t="n">
        <v>0</v>
      </c>
      <c r="L4660" s="20" t="n">
        <v>0</v>
      </c>
      <c r="M4660" s="18" t="n">
        <v>11</v>
      </c>
      <c r="N4660" s="18" t="n">
        <v>0</v>
      </c>
      <c r="O4660" s="18" t="n">
        <v>0</v>
      </c>
      <c r="P4660" s="17" t="n">
        <v>46280</v>
      </c>
      <c r="Q4660" s="17" t="n">
        <v>46280</v>
      </c>
      <c r="R4660" s="17" t="n">
        <v>46280</v>
      </c>
      <c r="S4660" s="19">
        <f>H4660*I4660</f>
        <v/>
      </c>
      <c r="T4660" s="19">
        <f>H4660*J4660</f>
        <v/>
      </c>
      <c r="U4660">
        <f>IF(AND(K4660=0,G4660&lt;=Assumptions!$C$6),1,0)</f>
        <v/>
      </c>
      <c r="V4660">
        <f>IF(U4660=1,IF(M4660&gt;0,IF(P4660&lt;=G4660+Assumptions!$C$7,1,0),0),0)</f>
        <v/>
      </c>
      <c r="W4660">
        <f>IF(AND(U4660=1,M4660&gt;=H4660*(1-Assumptions!$C$8)),1,0)</f>
        <v/>
      </c>
      <c r="X4660">
        <f>IF(AND(U4660=1,N4660&gt;=H4660*(1-Assumptions!$C$8)),1,0)</f>
        <v/>
      </c>
      <c r="Y4660">
        <f>IF(ISNUMBER(Q4660),1,0)</f>
        <v/>
      </c>
      <c r="Z4660">
        <f>IF(AND(K4660=0,L4660=0,Y4660=0),1,0)</f>
        <v/>
      </c>
      <c r="AA4660">
        <f>IF(AND(Z4660=1,G4660&lt;Assumptions!$C$6),1,0)</f>
        <v/>
      </c>
      <c r="AB4660">
        <f>IF(U4660=0,"",IF(Y4660=1,MAX(0,Q4660-G4660),IF(L4660=1,MAX(0,R4660-G4660),MAX(0,Assumptions!$C$6-G4660))))</f>
        <v/>
      </c>
      <c r="AC4660">
        <f>IF(Y4660=1,Q4660-F4660,"")</f>
        <v/>
      </c>
      <c r="AD4660">
        <f>IF(Y4660=1,AC4660^2,"")</f>
        <v/>
      </c>
      <c r="AE4660" s="19">
        <f>IF(Z4660=1,(H4660-M4660)*I4660,0)</f>
        <v/>
      </c>
      <c r="AF4660">
        <f>IF(G4660&lt;EDATE(Assumptions!$C$6,-12)+1,"prior_12m","last_12m")</f>
        <v/>
      </c>
      <c r="AG4660" s="21">
        <f>DATE(YEAR(G4660),MONTH(G4660),1)</f>
        <v/>
      </c>
    </row>
    <row r="4661">
      <c r="A4661" t="inlineStr">
        <is>
          <t>SPO-02503-2</t>
        </is>
      </c>
      <c r="B4661" t="inlineStr">
        <is>
          <t>SPO-02503</t>
        </is>
      </c>
      <c r="C4661" t="inlineStr">
        <is>
          <t>SUP-10</t>
        </is>
      </c>
      <c r="D4661" t="inlineStr">
        <is>
          <t>PPE</t>
        </is>
      </c>
      <c r="E4661" t="inlineStr">
        <is>
          <t>PPE-04</t>
        </is>
      </c>
      <c r="F4661" s="17" t="n">
        <v>46266</v>
      </c>
      <c r="G4661" s="17" t="n">
        <v>46279</v>
      </c>
      <c r="H4661" s="18" t="n">
        <v>52</v>
      </c>
      <c r="I4661" s="19" t="n">
        <v>25.74</v>
      </c>
      <c r="J4661" s="19" t="n">
        <v>26</v>
      </c>
      <c r="K4661" s="20" t="n">
        <v>0</v>
      </c>
      <c r="L4661" s="20" t="n">
        <v>0</v>
      </c>
      <c r="M4661" s="18" t="n">
        <v>52</v>
      </c>
      <c r="N4661" s="18" t="n">
        <v>52</v>
      </c>
      <c r="O4661" s="18" t="n">
        <v>0</v>
      </c>
      <c r="P4661" s="17" t="n">
        <v>46276</v>
      </c>
      <c r="Q4661" s="17" t="n">
        <v>46276</v>
      </c>
      <c r="R4661" s="17" t="n">
        <v>46276</v>
      </c>
      <c r="S4661" s="19">
        <f>H4661*I4661</f>
        <v/>
      </c>
      <c r="T4661" s="19">
        <f>H4661*J4661</f>
        <v/>
      </c>
      <c r="U4661">
        <f>IF(AND(K4661=0,G4661&lt;=Assumptions!$C$6),1,0)</f>
        <v/>
      </c>
      <c r="V4661">
        <f>IF(U4661=1,IF(M4661&gt;0,IF(P4661&lt;=G4661+Assumptions!$C$7,1,0),0),0)</f>
        <v/>
      </c>
      <c r="W4661">
        <f>IF(AND(U4661=1,M4661&gt;=H4661*(1-Assumptions!$C$8)),1,0)</f>
        <v/>
      </c>
      <c r="X4661">
        <f>IF(AND(U4661=1,N4661&gt;=H4661*(1-Assumptions!$C$8)),1,0)</f>
        <v/>
      </c>
      <c r="Y4661">
        <f>IF(ISNUMBER(Q4661),1,0)</f>
        <v/>
      </c>
      <c r="Z4661">
        <f>IF(AND(K4661=0,L4661=0,Y4661=0),1,0)</f>
        <v/>
      </c>
      <c r="AA4661">
        <f>IF(AND(Z4661=1,G4661&lt;Assumptions!$C$6),1,0)</f>
        <v/>
      </c>
      <c r="AB4661">
        <f>IF(U4661=0,"",IF(Y4661=1,MAX(0,Q4661-G4661),IF(L4661=1,MAX(0,R4661-G4661),MAX(0,Assumptions!$C$6-G4661))))</f>
        <v/>
      </c>
      <c r="AC4661">
        <f>IF(Y4661=1,Q4661-F4661,"")</f>
        <v/>
      </c>
      <c r="AD4661">
        <f>IF(Y4661=1,AC4661^2,"")</f>
        <v/>
      </c>
      <c r="AE4661" s="19">
        <f>IF(Z4661=1,(H4661-M4661)*I4661,0)</f>
        <v/>
      </c>
      <c r="AF4661">
        <f>IF(G4661&lt;EDATE(Assumptions!$C$6,-12)+1,"prior_12m","last_12m")</f>
        <v/>
      </c>
      <c r="AG4661" s="21">
        <f>DATE(YEAR(G4661),MONTH(G4661),1)</f>
        <v/>
      </c>
    </row>
    <row r="4662">
      <c r="A4662" t="inlineStr">
        <is>
          <t>SPO-02504-1</t>
        </is>
      </c>
      <c r="B4662" t="inlineStr">
        <is>
          <t>SPO-02504</t>
        </is>
      </c>
      <c r="C4662" t="inlineStr">
        <is>
          <t>SUP-02</t>
        </is>
      </c>
      <c r="D4662" t="inlineStr">
        <is>
          <t>ELEC</t>
        </is>
      </c>
      <c r="E4662" t="inlineStr">
        <is>
          <t>ELEC-03</t>
        </is>
      </c>
      <c r="F4662" s="17" t="n">
        <v>46267</v>
      </c>
      <c r="G4662" s="17" t="n">
        <v>46283</v>
      </c>
      <c r="H4662" s="18" t="n">
        <v>9</v>
      </c>
      <c r="I4662" s="19" t="n">
        <v>100.92</v>
      </c>
      <c r="J4662" s="19" t="n">
        <v>96</v>
      </c>
      <c r="K4662" s="20" t="n">
        <v>0</v>
      </c>
      <c r="L4662" s="20" t="n">
        <v>0</v>
      </c>
      <c r="M4662" s="18" t="n">
        <v>9</v>
      </c>
      <c r="N4662" s="18" t="n">
        <v>9</v>
      </c>
      <c r="O4662" s="18" t="n">
        <v>0</v>
      </c>
      <c r="P4662" s="17" t="n">
        <v>46283</v>
      </c>
      <c r="Q4662" s="17" t="n">
        <v>46283</v>
      </c>
      <c r="R4662" s="17" t="n">
        <v>46283</v>
      </c>
      <c r="S4662" s="19">
        <f>H4662*I4662</f>
        <v/>
      </c>
      <c r="T4662" s="19">
        <f>H4662*J4662</f>
        <v/>
      </c>
      <c r="U4662">
        <f>IF(AND(K4662=0,G4662&lt;=Assumptions!$C$6),1,0)</f>
        <v/>
      </c>
      <c r="V4662">
        <f>IF(U4662=1,IF(M4662&gt;0,IF(P4662&lt;=G4662+Assumptions!$C$7,1,0),0),0)</f>
        <v/>
      </c>
      <c r="W4662">
        <f>IF(AND(U4662=1,M4662&gt;=H4662*(1-Assumptions!$C$8)),1,0)</f>
        <v/>
      </c>
      <c r="X4662">
        <f>IF(AND(U4662=1,N4662&gt;=H4662*(1-Assumptions!$C$8)),1,0)</f>
        <v/>
      </c>
      <c r="Y4662">
        <f>IF(ISNUMBER(Q4662),1,0)</f>
        <v/>
      </c>
      <c r="Z4662">
        <f>IF(AND(K4662=0,L4662=0,Y4662=0),1,0)</f>
        <v/>
      </c>
      <c r="AA4662">
        <f>IF(AND(Z4662=1,G4662&lt;Assumptions!$C$6),1,0)</f>
        <v/>
      </c>
      <c r="AB4662">
        <f>IF(U4662=0,"",IF(Y4662=1,MAX(0,Q4662-G4662),IF(L4662=1,MAX(0,R4662-G4662),MAX(0,Assumptions!$C$6-G4662))))</f>
        <v/>
      </c>
      <c r="AC4662">
        <f>IF(Y4662=1,Q4662-F4662,"")</f>
        <v/>
      </c>
      <c r="AD4662">
        <f>IF(Y4662=1,AC4662^2,"")</f>
        <v/>
      </c>
      <c r="AE4662" s="19">
        <f>IF(Z4662=1,(H4662-M4662)*I4662,0)</f>
        <v/>
      </c>
      <c r="AF4662">
        <f>IF(G4662&lt;EDATE(Assumptions!$C$6,-12)+1,"prior_12m","last_12m")</f>
        <v/>
      </c>
      <c r="AG4662" s="21">
        <f>DATE(YEAR(G4662),MONTH(G4662),1)</f>
        <v/>
      </c>
    </row>
    <row r="4663">
      <c r="A4663" t="inlineStr">
        <is>
          <t>SPO-02504-2</t>
        </is>
      </c>
      <c r="B4663" t="inlineStr">
        <is>
          <t>SPO-02504</t>
        </is>
      </c>
      <c r="C4663" t="inlineStr">
        <is>
          <t>SUP-02</t>
        </is>
      </c>
      <c r="D4663" t="inlineStr">
        <is>
          <t>ELEC</t>
        </is>
      </c>
      <c r="E4663" t="inlineStr">
        <is>
          <t>ELEC-06</t>
        </is>
      </c>
      <c r="F4663" s="17" t="n">
        <v>46267</v>
      </c>
      <c r="G4663" s="17" t="n">
        <v>46283</v>
      </c>
      <c r="H4663" s="18" t="n">
        <v>9</v>
      </c>
      <c r="I4663" s="19" t="n">
        <v>145.69</v>
      </c>
      <c r="J4663" s="19" t="n">
        <v>145</v>
      </c>
      <c r="K4663" s="20" t="n">
        <v>0</v>
      </c>
      <c r="L4663" s="20" t="n">
        <v>0</v>
      </c>
      <c r="M4663" s="18" t="n">
        <v>9</v>
      </c>
      <c r="N4663" s="18" t="n">
        <v>9</v>
      </c>
      <c r="O4663" s="18" t="n">
        <v>0</v>
      </c>
      <c r="P4663" s="17" t="n">
        <v>46281</v>
      </c>
      <c r="Q4663" s="17" t="n">
        <v>46281</v>
      </c>
      <c r="R4663" s="17" t="n">
        <v>46281</v>
      </c>
      <c r="S4663" s="19">
        <f>H4663*I4663</f>
        <v/>
      </c>
      <c r="T4663" s="19">
        <f>H4663*J4663</f>
        <v/>
      </c>
      <c r="U4663">
        <f>IF(AND(K4663=0,G4663&lt;=Assumptions!$C$6),1,0)</f>
        <v/>
      </c>
      <c r="V4663">
        <f>IF(U4663=1,IF(M4663&gt;0,IF(P4663&lt;=G4663+Assumptions!$C$7,1,0),0),0)</f>
        <v/>
      </c>
      <c r="W4663">
        <f>IF(AND(U4663=1,M4663&gt;=H4663*(1-Assumptions!$C$8)),1,0)</f>
        <v/>
      </c>
      <c r="X4663">
        <f>IF(AND(U4663=1,N4663&gt;=H4663*(1-Assumptions!$C$8)),1,0)</f>
        <v/>
      </c>
      <c r="Y4663">
        <f>IF(ISNUMBER(Q4663),1,0)</f>
        <v/>
      </c>
      <c r="Z4663">
        <f>IF(AND(K4663=0,L4663=0,Y4663=0),1,0)</f>
        <v/>
      </c>
      <c r="AA4663">
        <f>IF(AND(Z4663=1,G4663&lt;Assumptions!$C$6),1,0)</f>
        <v/>
      </c>
      <c r="AB4663">
        <f>IF(U4663=0,"",IF(Y4663=1,MAX(0,Q4663-G4663),IF(L4663=1,MAX(0,R4663-G4663),MAX(0,Assumptions!$C$6-G4663))))</f>
        <v/>
      </c>
      <c r="AC4663">
        <f>IF(Y4663=1,Q4663-F4663,"")</f>
        <v/>
      </c>
      <c r="AD4663">
        <f>IF(Y4663=1,AC4663^2,"")</f>
        <v/>
      </c>
      <c r="AE4663" s="19">
        <f>IF(Z4663=1,(H4663-M4663)*I4663,0)</f>
        <v/>
      </c>
      <c r="AF4663">
        <f>IF(G4663&lt;EDATE(Assumptions!$C$6,-12)+1,"prior_12m","last_12m")</f>
        <v/>
      </c>
      <c r="AG4663" s="21">
        <f>DATE(YEAR(G4663),MONTH(G4663),1)</f>
        <v/>
      </c>
    </row>
    <row r="4664">
      <c r="A4664" t="inlineStr">
        <is>
          <t>SPO-02504-3</t>
        </is>
      </c>
      <c r="B4664" t="inlineStr">
        <is>
          <t>SPO-02504</t>
        </is>
      </c>
      <c r="C4664" t="inlineStr">
        <is>
          <t>SUP-02</t>
        </is>
      </c>
      <c r="D4664" t="inlineStr">
        <is>
          <t>ELEC</t>
        </is>
      </c>
      <c r="E4664" t="inlineStr">
        <is>
          <t>ELEC-05</t>
        </is>
      </c>
      <c r="F4664" s="17" t="n">
        <v>46267</v>
      </c>
      <c r="G4664" s="17" t="n">
        <v>46283</v>
      </c>
      <c r="H4664" s="18" t="n">
        <v>195</v>
      </c>
      <c r="I4664" s="19" t="n">
        <v>11.54</v>
      </c>
      <c r="J4664" s="19" t="n">
        <v>11.5</v>
      </c>
      <c r="K4664" s="20" t="n">
        <v>0</v>
      </c>
      <c r="L4664" s="20" t="n">
        <v>0</v>
      </c>
      <c r="M4664" s="18" t="n">
        <v>195</v>
      </c>
      <c r="N4664" s="18" t="n">
        <v>195</v>
      </c>
      <c r="O4664" s="18" t="n">
        <v>0</v>
      </c>
      <c r="P4664" s="17" t="n">
        <v>46280</v>
      </c>
      <c r="Q4664" s="17" t="n">
        <v>46280</v>
      </c>
      <c r="R4664" s="17" t="n">
        <v>46280</v>
      </c>
      <c r="S4664" s="19">
        <f>H4664*I4664</f>
        <v/>
      </c>
      <c r="T4664" s="19">
        <f>H4664*J4664</f>
        <v/>
      </c>
      <c r="U4664">
        <f>IF(AND(K4664=0,G4664&lt;=Assumptions!$C$6),1,0)</f>
        <v/>
      </c>
      <c r="V4664">
        <f>IF(U4664=1,IF(M4664&gt;0,IF(P4664&lt;=G4664+Assumptions!$C$7,1,0),0),0)</f>
        <v/>
      </c>
      <c r="W4664">
        <f>IF(AND(U4664=1,M4664&gt;=H4664*(1-Assumptions!$C$8)),1,0)</f>
        <v/>
      </c>
      <c r="X4664">
        <f>IF(AND(U4664=1,N4664&gt;=H4664*(1-Assumptions!$C$8)),1,0)</f>
        <v/>
      </c>
      <c r="Y4664">
        <f>IF(ISNUMBER(Q4664),1,0)</f>
        <v/>
      </c>
      <c r="Z4664">
        <f>IF(AND(K4664=0,L4664=0,Y4664=0),1,0)</f>
        <v/>
      </c>
      <c r="AA4664">
        <f>IF(AND(Z4664=1,G4664&lt;Assumptions!$C$6),1,0)</f>
        <v/>
      </c>
      <c r="AB4664">
        <f>IF(U4664=0,"",IF(Y4664=1,MAX(0,Q4664-G4664),IF(L4664=1,MAX(0,R4664-G4664),MAX(0,Assumptions!$C$6-G4664))))</f>
        <v/>
      </c>
      <c r="AC4664">
        <f>IF(Y4664=1,Q4664-F4664,"")</f>
        <v/>
      </c>
      <c r="AD4664">
        <f>IF(Y4664=1,AC4664^2,"")</f>
        <v/>
      </c>
      <c r="AE4664" s="19">
        <f>IF(Z4664=1,(H4664-M4664)*I4664,0)</f>
        <v/>
      </c>
      <c r="AF4664">
        <f>IF(G4664&lt;EDATE(Assumptions!$C$6,-12)+1,"prior_12m","last_12m")</f>
        <v/>
      </c>
      <c r="AG4664" s="21">
        <f>DATE(YEAR(G4664),MONTH(G4664),1)</f>
        <v/>
      </c>
    </row>
    <row r="4665">
      <c r="A4665" t="inlineStr">
        <is>
          <t>SPO-02504-4</t>
        </is>
      </c>
      <c r="B4665" t="inlineStr">
        <is>
          <t>SPO-02504</t>
        </is>
      </c>
      <c r="C4665" t="inlineStr">
        <is>
          <t>SUP-02</t>
        </is>
      </c>
      <c r="D4665" t="inlineStr">
        <is>
          <t>ELEC</t>
        </is>
      </c>
      <c r="E4665" t="inlineStr">
        <is>
          <t>ELEC-02</t>
        </is>
      </c>
      <c r="F4665" s="17" t="n">
        <v>46267</v>
      </c>
      <c r="G4665" s="17" t="n">
        <v>46283</v>
      </c>
      <c r="H4665" s="18" t="n">
        <v>379</v>
      </c>
      <c r="I4665" s="19" t="n">
        <v>4.28</v>
      </c>
      <c r="J4665" s="19" t="n">
        <v>4.2</v>
      </c>
      <c r="K4665" s="20" t="n">
        <v>0</v>
      </c>
      <c r="L4665" s="20" t="n">
        <v>0</v>
      </c>
      <c r="M4665" s="18" t="n">
        <v>379</v>
      </c>
      <c r="N4665" s="18" t="n">
        <v>379</v>
      </c>
      <c r="O4665" s="18" t="n">
        <v>0</v>
      </c>
      <c r="P4665" s="17" t="n">
        <v>46278</v>
      </c>
      <c r="Q4665" s="17" t="n">
        <v>46278</v>
      </c>
      <c r="R4665" s="17" t="n">
        <v>46278</v>
      </c>
      <c r="S4665" s="19">
        <f>H4665*I4665</f>
        <v/>
      </c>
      <c r="T4665" s="19">
        <f>H4665*J4665</f>
        <v/>
      </c>
      <c r="U4665">
        <f>IF(AND(K4665=0,G4665&lt;=Assumptions!$C$6),1,0)</f>
        <v/>
      </c>
      <c r="V4665">
        <f>IF(U4665=1,IF(M4665&gt;0,IF(P4665&lt;=G4665+Assumptions!$C$7,1,0),0),0)</f>
        <v/>
      </c>
      <c r="W4665">
        <f>IF(AND(U4665=1,M4665&gt;=H4665*(1-Assumptions!$C$8)),1,0)</f>
        <v/>
      </c>
      <c r="X4665">
        <f>IF(AND(U4665=1,N4665&gt;=H4665*(1-Assumptions!$C$8)),1,0)</f>
        <v/>
      </c>
      <c r="Y4665">
        <f>IF(ISNUMBER(Q4665),1,0)</f>
        <v/>
      </c>
      <c r="Z4665">
        <f>IF(AND(K4665=0,L4665=0,Y4665=0),1,0)</f>
        <v/>
      </c>
      <c r="AA4665">
        <f>IF(AND(Z4665=1,G4665&lt;Assumptions!$C$6),1,0)</f>
        <v/>
      </c>
      <c r="AB4665">
        <f>IF(U4665=0,"",IF(Y4665=1,MAX(0,Q4665-G4665),IF(L4665=1,MAX(0,R4665-G4665),MAX(0,Assumptions!$C$6-G4665))))</f>
        <v/>
      </c>
      <c r="AC4665">
        <f>IF(Y4665=1,Q4665-F4665,"")</f>
        <v/>
      </c>
      <c r="AD4665">
        <f>IF(Y4665=1,AC4665^2,"")</f>
        <v/>
      </c>
      <c r="AE4665" s="19">
        <f>IF(Z4665=1,(H4665-M4665)*I4665,0)</f>
        <v/>
      </c>
      <c r="AF4665">
        <f>IF(G4665&lt;EDATE(Assumptions!$C$6,-12)+1,"prior_12m","last_12m")</f>
        <v/>
      </c>
      <c r="AG4665" s="21">
        <f>DATE(YEAR(G4665),MONTH(G4665),1)</f>
        <v/>
      </c>
    </row>
    <row r="4666">
      <c r="A4666" t="inlineStr">
        <is>
          <t>SPO-02505-1</t>
        </is>
      </c>
      <c r="B4666" t="inlineStr">
        <is>
          <t>SPO-02505</t>
        </is>
      </c>
      <c r="C4666" t="inlineStr">
        <is>
          <t>SUP-01</t>
        </is>
      </c>
      <c r="D4666" t="inlineStr">
        <is>
          <t>ELEC</t>
        </is>
      </c>
      <c r="E4666" t="inlineStr">
        <is>
          <t>ELEC-07</t>
        </is>
      </c>
      <c r="F4666" s="17" t="n">
        <v>46268</v>
      </c>
      <c r="G4666" s="17" t="n">
        <v>46286</v>
      </c>
      <c r="H4666" s="18" t="n">
        <v>246</v>
      </c>
      <c r="I4666" s="19" t="n">
        <v>9.57</v>
      </c>
      <c r="J4666" s="19" t="n">
        <v>9.800000000000001</v>
      </c>
      <c r="K4666" s="20" t="n">
        <v>0</v>
      </c>
      <c r="L4666" s="20" t="n">
        <v>0</v>
      </c>
      <c r="M4666" s="18" t="n">
        <v>246</v>
      </c>
      <c r="N4666" s="18" t="n">
        <v>246</v>
      </c>
      <c r="O4666" s="18" t="n">
        <v>0</v>
      </c>
      <c r="P4666" s="17" t="n">
        <v>46283</v>
      </c>
      <c r="Q4666" s="17" t="n">
        <v>46283</v>
      </c>
      <c r="R4666" s="17" t="n">
        <v>46283</v>
      </c>
      <c r="S4666" s="19">
        <f>H4666*I4666</f>
        <v/>
      </c>
      <c r="T4666" s="19">
        <f>H4666*J4666</f>
        <v/>
      </c>
      <c r="U4666">
        <f>IF(AND(K4666=0,G4666&lt;=Assumptions!$C$6),1,0)</f>
        <v/>
      </c>
      <c r="V4666">
        <f>IF(U4666=1,IF(M4666&gt;0,IF(P4666&lt;=G4666+Assumptions!$C$7,1,0),0),0)</f>
        <v/>
      </c>
      <c r="W4666">
        <f>IF(AND(U4666=1,M4666&gt;=H4666*(1-Assumptions!$C$8)),1,0)</f>
        <v/>
      </c>
      <c r="X4666">
        <f>IF(AND(U4666=1,N4666&gt;=H4666*(1-Assumptions!$C$8)),1,0)</f>
        <v/>
      </c>
      <c r="Y4666">
        <f>IF(ISNUMBER(Q4666),1,0)</f>
        <v/>
      </c>
      <c r="Z4666">
        <f>IF(AND(K4666=0,L4666=0,Y4666=0),1,0)</f>
        <v/>
      </c>
      <c r="AA4666">
        <f>IF(AND(Z4666=1,G4666&lt;Assumptions!$C$6),1,0)</f>
        <v/>
      </c>
      <c r="AB4666">
        <f>IF(U4666=0,"",IF(Y4666=1,MAX(0,Q4666-G4666),IF(L4666=1,MAX(0,R4666-G4666),MAX(0,Assumptions!$C$6-G4666))))</f>
        <v/>
      </c>
      <c r="AC4666">
        <f>IF(Y4666=1,Q4666-F4666,"")</f>
        <v/>
      </c>
      <c r="AD4666">
        <f>IF(Y4666=1,AC4666^2,"")</f>
        <v/>
      </c>
      <c r="AE4666" s="19">
        <f>IF(Z4666=1,(H4666-M4666)*I4666,0)</f>
        <v/>
      </c>
      <c r="AF4666">
        <f>IF(G4666&lt;EDATE(Assumptions!$C$6,-12)+1,"prior_12m","last_12m")</f>
        <v/>
      </c>
      <c r="AG4666" s="21">
        <f>DATE(YEAR(G4666),MONTH(G4666),1)</f>
        <v/>
      </c>
    </row>
    <row r="4667">
      <c r="A4667" t="inlineStr">
        <is>
          <t>SPO-02505-2</t>
        </is>
      </c>
      <c r="B4667" t="inlineStr">
        <is>
          <t>SPO-02505</t>
        </is>
      </c>
      <c r="C4667" t="inlineStr">
        <is>
          <t>SUP-01</t>
        </is>
      </c>
      <c r="D4667" t="inlineStr">
        <is>
          <t>ELEC</t>
        </is>
      </c>
      <c r="E4667" t="inlineStr">
        <is>
          <t>ELEC-01</t>
        </is>
      </c>
      <c r="F4667" s="17" t="n">
        <v>46268</v>
      </c>
      <c r="G4667" s="17" t="n">
        <v>46286</v>
      </c>
      <c r="H4667" s="18" t="n">
        <v>35</v>
      </c>
      <c r="I4667" s="19" t="n">
        <v>35.24</v>
      </c>
      <c r="J4667" s="19" t="n">
        <v>38</v>
      </c>
      <c r="K4667" s="20" t="n">
        <v>0</v>
      </c>
      <c r="L4667" s="20" t="n">
        <v>0</v>
      </c>
      <c r="M4667" s="18" t="n">
        <v>35</v>
      </c>
      <c r="N4667" s="18" t="n">
        <v>35</v>
      </c>
      <c r="O4667" s="18" t="n">
        <v>0</v>
      </c>
      <c r="P4667" s="17" t="n">
        <v>46283</v>
      </c>
      <c r="Q4667" s="17" t="n">
        <v>46283</v>
      </c>
      <c r="R4667" s="17" t="n">
        <v>46283</v>
      </c>
      <c r="S4667" s="19">
        <f>H4667*I4667</f>
        <v/>
      </c>
      <c r="T4667" s="19">
        <f>H4667*J4667</f>
        <v/>
      </c>
      <c r="U4667">
        <f>IF(AND(K4667=0,G4667&lt;=Assumptions!$C$6),1,0)</f>
        <v/>
      </c>
      <c r="V4667">
        <f>IF(U4667=1,IF(M4667&gt;0,IF(P4667&lt;=G4667+Assumptions!$C$7,1,0),0),0)</f>
        <v/>
      </c>
      <c r="W4667">
        <f>IF(AND(U4667=1,M4667&gt;=H4667*(1-Assumptions!$C$8)),1,0)</f>
        <v/>
      </c>
      <c r="X4667">
        <f>IF(AND(U4667=1,N4667&gt;=H4667*(1-Assumptions!$C$8)),1,0)</f>
        <v/>
      </c>
      <c r="Y4667">
        <f>IF(ISNUMBER(Q4667),1,0)</f>
        <v/>
      </c>
      <c r="Z4667">
        <f>IF(AND(K4667=0,L4667=0,Y4667=0),1,0)</f>
        <v/>
      </c>
      <c r="AA4667">
        <f>IF(AND(Z4667=1,G4667&lt;Assumptions!$C$6),1,0)</f>
        <v/>
      </c>
      <c r="AB4667">
        <f>IF(U4667=0,"",IF(Y4667=1,MAX(0,Q4667-G4667),IF(L4667=1,MAX(0,R4667-G4667),MAX(0,Assumptions!$C$6-G4667))))</f>
        <v/>
      </c>
      <c r="AC4667">
        <f>IF(Y4667=1,Q4667-F4667,"")</f>
        <v/>
      </c>
      <c r="AD4667">
        <f>IF(Y4667=1,AC4667^2,"")</f>
        <v/>
      </c>
      <c r="AE4667" s="19">
        <f>IF(Z4667=1,(H4667-M4667)*I4667,0)</f>
        <v/>
      </c>
      <c r="AF4667">
        <f>IF(G4667&lt;EDATE(Assumptions!$C$6,-12)+1,"prior_12m","last_12m")</f>
        <v/>
      </c>
      <c r="AG4667" s="21">
        <f>DATE(YEAR(G4667),MONTH(G4667),1)</f>
        <v/>
      </c>
    </row>
    <row r="4668">
      <c r="A4668" t="inlineStr">
        <is>
          <t>SPO-02506-1</t>
        </is>
      </c>
      <c r="B4668" t="inlineStr">
        <is>
          <t>SPO-02506</t>
        </is>
      </c>
      <c r="C4668" t="inlineStr">
        <is>
          <t>SUP-12</t>
        </is>
      </c>
      <c r="D4668" t="inlineStr">
        <is>
          <t>IT</t>
        </is>
      </c>
      <c r="E4668" t="inlineStr">
        <is>
          <t>IT-06</t>
        </is>
      </c>
      <c r="F4668" s="17" t="n">
        <v>46268</v>
      </c>
      <c r="G4668" s="17" t="n">
        <v>46278</v>
      </c>
      <c r="H4668" s="18" t="n">
        <v>13</v>
      </c>
      <c r="I4668" s="19" t="n">
        <v>99.05</v>
      </c>
      <c r="J4668" s="19" t="n">
        <v>89</v>
      </c>
      <c r="K4668" s="20" t="n">
        <v>0</v>
      </c>
      <c r="L4668" s="20" t="n">
        <v>0</v>
      </c>
      <c r="M4668" s="18" t="n">
        <v>13</v>
      </c>
      <c r="N4668" s="18" t="n">
        <v>13</v>
      </c>
      <c r="O4668" s="18" t="n">
        <v>0</v>
      </c>
      <c r="P4668" s="17" t="n">
        <v>46272</v>
      </c>
      <c r="Q4668" s="17" t="n">
        <v>46272</v>
      </c>
      <c r="R4668" s="17" t="n">
        <v>46272</v>
      </c>
      <c r="S4668" s="19">
        <f>H4668*I4668</f>
        <v/>
      </c>
      <c r="T4668" s="19">
        <f>H4668*J4668</f>
        <v/>
      </c>
      <c r="U4668">
        <f>IF(AND(K4668=0,G4668&lt;=Assumptions!$C$6),1,0)</f>
        <v/>
      </c>
      <c r="V4668">
        <f>IF(U4668=1,IF(M4668&gt;0,IF(P4668&lt;=G4668+Assumptions!$C$7,1,0),0),0)</f>
        <v/>
      </c>
      <c r="W4668">
        <f>IF(AND(U4668=1,M4668&gt;=H4668*(1-Assumptions!$C$8)),1,0)</f>
        <v/>
      </c>
      <c r="X4668">
        <f>IF(AND(U4668=1,N4668&gt;=H4668*(1-Assumptions!$C$8)),1,0)</f>
        <v/>
      </c>
      <c r="Y4668">
        <f>IF(ISNUMBER(Q4668),1,0)</f>
        <v/>
      </c>
      <c r="Z4668">
        <f>IF(AND(K4668=0,L4668=0,Y4668=0),1,0)</f>
        <v/>
      </c>
      <c r="AA4668">
        <f>IF(AND(Z4668=1,G4668&lt;Assumptions!$C$6),1,0)</f>
        <v/>
      </c>
      <c r="AB4668">
        <f>IF(U4668=0,"",IF(Y4668=1,MAX(0,Q4668-G4668),IF(L4668=1,MAX(0,R4668-G4668),MAX(0,Assumptions!$C$6-G4668))))</f>
        <v/>
      </c>
      <c r="AC4668">
        <f>IF(Y4668=1,Q4668-F4668,"")</f>
        <v/>
      </c>
      <c r="AD4668">
        <f>IF(Y4668=1,AC4668^2,"")</f>
        <v/>
      </c>
      <c r="AE4668" s="19">
        <f>IF(Z4668=1,(H4668-M4668)*I4668,0)</f>
        <v/>
      </c>
      <c r="AF4668">
        <f>IF(G4668&lt;EDATE(Assumptions!$C$6,-12)+1,"prior_12m","last_12m")</f>
        <v/>
      </c>
      <c r="AG4668" s="21">
        <f>DATE(YEAR(G4668),MONTH(G4668),1)</f>
        <v/>
      </c>
    </row>
    <row r="4669">
      <c r="A4669" t="inlineStr">
        <is>
          <t>SPO-02507-1</t>
        </is>
      </c>
      <c r="B4669" t="inlineStr">
        <is>
          <t>SPO-02507</t>
        </is>
      </c>
      <c r="C4669" t="inlineStr">
        <is>
          <t>SUP-07</t>
        </is>
      </c>
      <c r="D4669" t="inlineStr">
        <is>
          <t>MRO</t>
        </is>
      </c>
      <c r="E4669" t="inlineStr">
        <is>
          <t>MRO-04</t>
        </is>
      </c>
      <c r="F4669" s="17" t="n">
        <v>46269</v>
      </c>
      <c r="G4669" s="17" t="n">
        <v>46279</v>
      </c>
      <c r="H4669" s="18" t="n">
        <v>24</v>
      </c>
      <c r="I4669" s="19" t="n">
        <v>62.92</v>
      </c>
      <c r="J4669" s="19" t="n">
        <v>58</v>
      </c>
      <c r="K4669" s="20" t="n">
        <v>0</v>
      </c>
      <c r="L4669" s="20" t="n">
        <v>0</v>
      </c>
      <c r="M4669" s="18" t="n">
        <v>24</v>
      </c>
      <c r="N4669" s="18" t="n">
        <v>24</v>
      </c>
      <c r="O4669" s="18" t="n">
        <v>0</v>
      </c>
      <c r="P4669" s="17" t="n">
        <v>46273</v>
      </c>
      <c r="Q4669" s="17" t="n">
        <v>46273</v>
      </c>
      <c r="R4669" s="17" t="n">
        <v>46273</v>
      </c>
      <c r="S4669" s="19">
        <f>H4669*I4669</f>
        <v/>
      </c>
      <c r="T4669" s="19">
        <f>H4669*J4669</f>
        <v/>
      </c>
      <c r="U4669">
        <f>IF(AND(K4669=0,G4669&lt;=Assumptions!$C$6),1,0)</f>
        <v/>
      </c>
      <c r="V4669">
        <f>IF(U4669=1,IF(M4669&gt;0,IF(P4669&lt;=G4669+Assumptions!$C$7,1,0),0),0)</f>
        <v/>
      </c>
      <c r="W4669">
        <f>IF(AND(U4669=1,M4669&gt;=H4669*(1-Assumptions!$C$8)),1,0)</f>
        <v/>
      </c>
      <c r="X4669">
        <f>IF(AND(U4669=1,N4669&gt;=H4669*(1-Assumptions!$C$8)),1,0)</f>
        <v/>
      </c>
      <c r="Y4669">
        <f>IF(ISNUMBER(Q4669),1,0)</f>
        <v/>
      </c>
      <c r="Z4669">
        <f>IF(AND(K4669=0,L4669=0,Y4669=0),1,0)</f>
        <v/>
      </c>
      <c r="AA4669">
        <f>IF(AND(Z4669=1,G4669&lt;Assumptions!$C$6),1,0)</f>
        <v/>
      </c>
      <c r="AB4669">
        <f>IF(U4669=0,"",IF(Y4669=1,MAX(0,Q4669-G4669),IF(L4669=1,MAX(0,R4669-G4669),MAX(0,Assumptions!$C$6-G4669))))</f>
        <v/>
      </c>
      <c r="AC4669">
        <f>IF(Y4669=1,Q4669-F4669,"")</f>
        <v/>
      </c>
      <c r="AD4669">
        <f>IF(Y4669=1,AC4669^2,"")</f>
        <v/>
      </c>
      <c r="AE4669" s="19">
        <f>IF(Z4669=1,(H4669-M4669)*I4669,0)</f>
        <v/>
      </c>
      <c r="AF4669">
        <f>IF(G4669&lt;EDATE(Assumptions!$C$6,-12)+1,"prior_12m","last_12m")</f>
        <v/>
      </c>
      <c r="AG4669" s="21">
        <f>DATE(YEAR(G4669),MONTH(G4669),1)</f>
        <v/>
      </c>
    </row>
    <row r="4670">
      <c r="A4670" t="inlineStr">
        <is>
          <t>SPO-02508-1</t>
        </is>
      </c>
      <c r="B4670" t="inlineStr">
        <is>
          <t>SPO-02508</t>
        </is>
      </c>
      <c r="C4670" t="inlineStr">
        <is>
          <t>SUP-02</t>
        </is>
      </c>
      <c r="D4670" t="inlineStr">
        <is>
          <t>ELEC</t>
        </is>
      </c>
      <c r="E4670" t="inlineStr">
        <is>
          <t>ELEC-08</t>
        </is>
      </c>
      <c r="F4670" s="17" t="n">
        <v>46269</v>
      </c>
      <c r="G4670" s="17" t="n">
        <v>46285</v>
      </c>
      <c r="H4670" s="18" t="n">
        <v>164</v>
      </c>
      <c r="I4670" s="19" t="n">
        <v>18.23</v>
      </c>
      <c r="J4670" s="19" t="n">
        <v>18</v>
      </c>
      <c r="K4670" s="20" t="n">
        <v>0</v>
      </c>
      <c r="L4670" s="20" t="n">
        <v>0</v>
      </c>
      <c r="M4670" s="18" t="n">
        <v>164</v>
      </c>
      <c r="N4670" s="18" t="n">
        <v>164</v>
      </c>
      <c r="O4670" s="18" t="n">
        <v>0</v>
      </c>
      <c r="P4670" s="17" t="n">
        <v>46282</v>
      </c>
      <c r="Q4670" s="17" t="n">
        <v>46282</v>
      </c>
      <c r="R4670" s="17" t="n">
        <v>46282</v>
      </c>
      <c r="S4670" s="19">
        <f>H4670*I4670</f>
        <v/>
      </c>
      <c r="T4670" s="19">
        <f>H4670*J4670</f>
        <v/>
      </c>
      <c r="U4670">
        <f>IF(AND(K4670=0,G4670&lt;=Assumptions!$C$6),1,0)</f>
        <v/>
      </c>
      <c r="V4670">
        <f>IF(U4670=1,IF(M4670&gt;0,IF(P4670&lt;=G4670+Assumptions!$C$7,1,0),0),0)</f>
        <v/>
      </c>
      <c r="W4670">
        <f>IF(AND(U4670=1,M4670&gt;=H4670*(1-Assumptions!$C$8)),1,0)</f>
        <v/>
      </c>
      <c r="X4670">
        <f>IF(AND(U4670=1,N4670&gt;=H4670*(1-Assumptions!$C$8)),1,0)</f>
        <v/>
      </c>
      <c r="Y4670">
        <f>IF(ISNUMBER(Q4670),1,0)</f>
        <v/>
      </c>
      <c r="Z4670">
        <f>IF(AND(K4670=0,L4670=0,Y4670=0),1,0)</f>
        <v/>
      </c>
      <c r="AA4670">
        <f>IF(AND(Z4670=1,G4670&lt;Assumptions!$C$6),1,0)</f>
        <v/>
      </c>
      <c r="AB4670">
        <f>IF(U4670=0,"",IF(Y4670=1,MAX(0,Q4670-G4670),IF(L4670=1,MAX(0,R4670-G4670),MAX(0,Assumptions!$C$6-G4670))))</f>
        <v/>
      </c>
      <c r="AC4670">
        <f>IF(Y4670=1,Q4670-F4670,"")</f>
        <v/>
      </c>
      <c r="AD4670">
        <f>IF(Y4670=1,AC4670^2,"")</f>
        <v/>
      </c>
      <c r="AE4670" s="19">
        <f>IF(Z4670=1,(H4670-M4670)*I4670,0)</f>
        <v/>
      </c>
      <c r="AF4670">
        <f>IF(G4670&lt;EDATE(Assumptions!$C$6,-12)+1,"prior_12m","last_12m")</f>
        <v/>
      </c>
      <c r="AG4670" s="21">
        <f>DATE(YEAR(G4670),MONTH(G4670),1)</f>
        <v/>
      </c>
    </row>
    <row r="4671">
      <c r="A4671" t="inlineStr">
        <is>
          <t>SPO-02508-2</t>
        </is>
      </c>
      <c r="B4671" t="inlineStr">
        <is>
          <t>SPO-02508</t>
        </is>
      </c>
      <c r="C4671" t="inlineStr">
        <is>
          <t>SUP-02</t>
        </is>
      </c>
      <c r="D4671" t="inlineStr">
        <is>
          <t>ELEC</t>
        </is>
      </c>
      <c r="E4671" t="inlineStr">
        <is>
          <t>ELEC-04</t>
        </is>
      </c>
      <c r="F4671" s="17" t="n">
        <v>46269</v>
      </c>
      <c r="G4671" s="17" t="n">
        <v>46285</v>
      </c>
      <c r="H4671" s="18" t="n">
        <v>11</v>
      </c>
      <c r="I4671" s="19" t="n">
        <v>73.23</v>
      </c>
      <c r="J4671" s="19" t="n">
        <v>72</v>
      </c>
      <c r="K4671" s="20" t="n">
        <v>0</v>
      </c>
      <c r="L4671" s="20" t="n">
        <v>0</v>
      </c>
      <c r="M4671" s="18" t="n">
        <v>11</v>
      </c>
      <c r="N4671" s="18" t="n">
        <v>11</v>
      </c>
      <c r="O4671" s="18" t="n">
        <v>0</v>
      </c>
      <c r="P4671" s="17" t="n">
        <v>46284</v>
      </c>
      <c r="Q4671" s="17" t="n">
        <v>46284</v>
      </c>
      <c r="R4671" s="17" t="n">
        <v>46284</v>
      </c>
      <c r="S4671" s="19">
        <f>H4671*I4671</f>
        <v/>
      </c>
      <c r="T4671" s="19">
        <f>H4671*J4671</f>
        <v/>
      </c>
      <c r="U4671">
        <f>IF(AND(K4671=0,G4671&lt;=Assumptions!$C$6),1,0)</f>
        <v/>
      </c>
      <c r="V4671">
        <f>IF(U4671=1,IF(M4671&gt;0,IF(P4671&lt;=G4671+Assumptions!$C$7,1,0),0),0)</f>
        <v/>
      </c>
      <c r="W4671">
        <f>IF(AND(U4671=1,M4671&gt;=H4671*(1-Assumptions!$C$8)),1,0)</f>
        <v/>
      </c>
      <c r="X4671">
        <f>IF(AND(U4671=1,N4671&gt;=H4671*(1-Assumptions!$C$8)),1,0)</f>
        <v/>
      </c>
      <c r="Y4671">
        <f>IF(ISNUMBER(Q4671),1,0)</f>
        <v/>
      </c>
      <c r="Z4671">
        <f>IF(AND(K4671=0,L4671=0,Y4671=0),1,0)</f>
        <v/>
      </c>
      <c r="AA4671">
        <f>IF(AND(Z4671=1,G4671&lt;Assumptions!$C$6),1,0)</f>
        <v/>
      </c>
      <c r="AB4671">
        <f>IF(U4671=0,"",IF(Y4671=1,MAX(0,Q4671-G4671),IF(L4671=1,MAX(0,R4671-G4671),MAX(0,Assumptions!$C$6-G4671))))</f>
        <v/>
      </c>
      <c r="AC4671">
        <f>IF(Y4671=1,Q4671-F4671,"")</f>
        <v/>
      </c>
      <c r="AD4671">
        <f>IF(Y4671=1,AC4671^2,"")</f>
        <v/>
      </c>
      <c r="AE4671" s="19">
        <f>IF(Z4671=1,(H4671-M4671)*I4671,0)</f>
        <v/>
      </c>
      <c r="AF4671">
        <f>IF(G4671&lt;EDATE(Assumptions!$C$6,-12)+1,"prior_12m","last_12m")</f>
        <v/>
      </c>
      <c r="AG4671" s="21">
        <f>DATE(YEAR(G4671),MONTH(G4671),1)</f>
        <v/>
      </c>
    </row>
    <row r="4672">
      <c r="A4672" t="inlineStr">
        <is>
          <t>SPO-02508-3</t>
        </is>
      </c>
      <c r="B4672" t="inlineStr">
        <is>
          <t>SPO-02508</t>
        </is>
      </c>
      <c r="C4672" t="inlineStr">
        <is>
          <t>SUP-02</t>
        </is>
      </c>
      <c r="D4672" t="inlineStr">
        <is>
          <t>ELEC</t>
        </is>
      </c>
      <c r="E4672" t="inlineStr">
        <is>
          <t>ELEC-01</t>
        </is>
      </c>
      <c r="F4672" s="17" t="n">
        <v>46269</v>
      </c>
      <c r="G4672" s="17" t="n">
        <v>46285</v>
      </c>
      <c r="H4672" s="18" t="n">
        <v>48</v>
      </c>
      <c r="I4672" s="19" t="n">
        <v>37.47</v>
      </c>
      <c r="J4672" s="19" t="n">
        <v>38</v>
      </c>
      <c r="K4672" s="20" t="n">
        <v>0</v>
      </c>
      <c r="L4672" s="20" t="n">
        <v>0</v>
      </c>
      <c r="M4672" s="18" t="n">
        <v>48</v>
      </c>
      <c r="N4672" s="18" t="n">
        <v>48</v>
      </c>
      <c r="O4672" s="18" t="n">
        <v>0</v>
      </c>
      <c r="P4672" s="17" t="n">
        <v>46282</v>
      </c>
      <c r="Q4672" s="17" t="n">
        <v>46282</v>
      </c>
      <c r="R4672" s="17" t="n">
        <v>46282</v>
      </c>
      <c r="S4672" s="19">
        <f>H4672*I4672</f>
        <v/>
      </c>
      <c r="T4672" s="19">
        <f>H4672*J4672</f>
        <v/>
      </c>
      <c r="U4672">
        <f>IF(AND(K4672=0,G4672&lt;=Assumptions!$C$6),1,0)</f>
        <v/>
      </c>
      <c r="V4672">
        <f>IF(U4672=1,IF(M4672&gt;0,IF(P4672&lt;=G4672+Assumptions!$C$7,1,0),0),0)</f>
        <v/>
      </c>
      <c r="W4672">
        <f>IF(AND(U4672=1,M4672&gt;=H4672*(1-Assumptions!$C$8)),1,0)</f>
        <v/>
      </c>
      <c r="X4672">
        <f>IF(AND(U4672=1,N4672&gt;=H4672*(1-Assumptions!$C$8)),1,0)</f>
        <v/>
      </c>
      <c r="Y4672">
        <f>IF(ISNUMBER(Q4672),1,0)</f>
        <v/>
      </c>
      <c r="Z4672">
        <f>IF(AND(K4672=0,L4672=0,Y4672=0),1,0)</f>
        <v/>
      </c>
      <c r="AA4672">
        <f>IF(AND(Z4672=1,G4672&lt;Assumptions!$C$6),1,0)</f>
        <v/>
      </c>
      <c r="AB4672">
        <f>IF(U4672=0,"",IF(Y4672=1,MAX(0,Q4672-G4672),IF(L4672=1,MAX(0,R4672-G4672),MAX(0,Assumptions!$C$6-G4672))))</f>
        <v/>
      </c>
      <c r="AC4672">
        <f>IF(Y4672=1,Q4672-F4672,"")</f>
        <v/>
      </c>
      <c r="AD4672">
        <f>IF(Y4672=1,AC4672^2,"")</f>
        <v/>
      </c>
      <c r="AE4672" s="19">
        <f>IF(Z4672=1,(H4672-M4672)*I4672,0)</f>
        <v/>
      </c>
      <c r="AF4672">
        <f>IF(G4672&lt;EDATE(Assumptions!$C$6,-12)+1,"prior_12m","last_12m")</f>
        <v/>
      </c>
      <c r="AG4672" s="21">
        <f>DATE(YEAR(G4672),MONTH(G4672),1)</f>
        <v/>
      </c>
    </row>
    <row r="4673">
      <c r="A4673" t="inlineStr">
        <is>
          <t>SPO-02509-1</t>
        </is>
      </c>
      <c r="B4673" t="inlineStr">
        <is>
          <t>SPO-02509</t>
        </is>
      </c>
      <c r="C4673" t="inlineStr">
        <is>
          <t>SUP-01</t>
        </is>
      </c>
      <c r="D4673" t="inlineStr">
        <is>
          <t>ELEC</t>
        </is>
      </c>
      <c r="E4673" t="inlineStr">
        <is>
          <t>ELEC-08</t>
        </is>
      </c>
      <c r="F4673" s="17" t="n">
        <v>46270</v>
      </c>
      <c r="G4673" s="17" t="n">
        <v>46288</v>
      </c>
      <c r="H4673" s="18" t="n">
        <v>235</v>
      </c>
      <c r="I4673" s="19" t="n">
        <v>17.78</v>
      </c>
      <c r="J4673" s="19" t="n">
        <v>18</v>
      </c>
      <c r="K4673" s="20" t="n">
        <v>0</v>
      </c>
      <c r="L4673" s="20" t="n">
        <v>0</v>
      </c>
      <c r="M4673" s="18" t="n">
        <v>235</v>
      </c>
      <c r="N4673" s="18" t="n">
        <v>0</v>
      </c>
      <c r="O4673" s="18" t="n">
        <v>0</v>
      </c>
      <c r="P4673" s="17" t="n">
        <v>46289</v>
      </c>
      <c r="Q4673" s="17" t="n">
        <v>46289</v>
      </c>
      <c r="R4673" s="17" t="n">
        <v>46289</v>
      </c>
      <c r="S4673" s="19">
        <f>H4673*I4673</f>
        <v/>
      </c>
      <c r="T4673" s="19">
        <f>H4673*J4673</f>
        <v/>
      </c>
      <c r="U4673">
        <f>IF(AND(K4673=0,G4673&lt;=Assumptions!$C$6),1,0)</f>
        <v/>
      </c>
      <c r="V4673">
        <f>IF(U4673=1,IF(M4673&gt;0,IF(P4673&lt;=G4673+Assumptions!$C$7,1,0),0),0)</f>
        <v/>
      </c>
      <c r="W4673">
        <f>IF(AND(U4673=1,M4673&gt;=H4673*(1-Assumptions!$C$8)),1,0)</f>
        <v/>
      </c>
      <c r="X4673">
        <f>IF(AND(U4673=1,N4673&gt;=H4673*(1-Assumptions!$C$8)),1,0)</f>
        <v/>
      </c>
      <c r="Y4673">
        <f>IF(ISNUMBER(Q4673),1,0)</f>
        <v/>
      </c>
      <c r="Z4673">
        <f>IF(AND(K4673=0,L4673=0,Y4673=0),1,0)</f>
        <v/>
      </c>
      <c r="AA4673">
        <f>IF(AND(Z4673=1,G4673&lt;Assumptions!$C$6),1,0)</f>
        <v/>
      </c>
      <c r="AB4673">
        <f>IF(U4673=0,"",IF(Y4673=1,MAX(0,Q4673-G4673),IF(L4673=1,MAX(0,R4673-G4673),MAX(0,Assumptions!$C$6-G4673))))</f>
        <v/>
      </c>
      <c r="AC4673">
        <f>IF(Y4673=1,Q4673-F4673,"")</f>
        <v/>
      </c>
      <c r="AD4673">
        <f>IF(Y4673=1,AC4673^2,"")</f>
        <v/>
      </c>
      <c r="AE4673" s="19">
        <f>IF(Z4673=1,(H4673-M4673)*I4673,0)</f>
        <v/>
      </c>
      <c r="AF4673">
        <f>IF(G4673&lt;EDATE(Assumptions!$C$6,-12)+1,"prior_12m","last_12m")</f>
        <v/>
      </c>
      <c r="AG4673" s="21">
        <f>DATE(YEAR(G4673),MONTH(G4673),1)</f>
        <v/>
      </c>
    </row>
    <row r="4674">
      <c r="A4674" t="inlineStr">
        <is>
          <t>SPO-02510-1</t>
        </is>
      </c>
      <c r="B4674" t="inlineStr">
        <is>
          <t>SPO-02510</t>
        </is>
      </c>
      <c r="C4674" t="inlineStr">
        <is>
          <t>SUP-01</t>
        </is>
      </c>
      <c r="D4674" t="inlineStr">
        <is>
          <t>ELEC</t>
        </is>
      </c>
      <c r="E4674" t="inlineStr">
        <is>
          <t>ELEC-08</t>
        </is>
      </c>
      <c r="F4674" s="17" t="n">
        <v>46270</v>
      </c>
      <c r="G4674" s="17" t="n">
        <v>46288</v>
      </c>
      <c r="H4674" s="18" t="n">
        <v>61</v>
      </c>
      <c r="I4674" s="19" t="n">
        <v>19.55</v>
      </c>
      <c r="J4674" s="19" t="n">
        <v>18</v>
      </c>
      <c r="K4674" s="20" t="n">
        <v>0</v>
      </c>
      <c r="L4674" s="20" t="n">
        <v>0</v>
      </c>
      <c r="M4674" s="18" t="n">
        <v>61</v>
      </c>
      <c r="N4674" s="18" t="n">
        <v>61</v>
      </c>
      <c r="O4674" s="18" t="n">
        <v>0</v>
      </c>
      <c r="P4674" s="17" t="n">
        <v>46284</v>
      </c>
      <c r="Q4674" s="17" t="n">
        <v>46284</v>
      </c>
      <c r="R4674" s="17" t="n">
        <v>46284</v>
      </c>
      <c r="S4674" s="19">
        <f>H4674*I4674</f>
        <v/>
      </c>
      <c r="T4674" s="19">
        <f>H4674*J4674</f>
        <v/>
      </c>
      <c r="U4674">
        <f>IF(AND(K4674=0,G4674&lt;=Assumptions!$C$6),1,0)</f>
        <v/>
      </c>
      <c r="V4674">
        <f>IF(U4674=1,IF(M4674&gt;0,IF(P4674&lt;=G4674+Assumptions!$C$7,1,0),0),0)</f>
        <v/>
      </c>
      <c r="W4674">
        <f>IF(AND(U4674=1,M4674&gt;=H4674*(1-Assumptions!$C$8)),1,0)</f>
        <v/>
      </c>
      <c r="X4674">
        <f>IF(AND(U4674=1,N4674&gt;=H4674*(1-Assumptions!$C$8)),1,0)</f>
        <v/>
      </c>
      <c r="Y4674">
        <f>IF(ISNUMBER(Q4674),1,0)</f>
        <v/>
      </c>
      <c r="Z4674">
        <f>IF(AND(K4674=0,L4674=0,Y4674=0),1,0)</f>
        <v/>
      </c>
      <c r="AA4674">
        <f>IF(AND(Z4674=1,G4674&lt;Assumptions!$C$6),1,0)</f>
        <v/>
      </c>
      <c r="AB4674">
        <f>IF(U4674=0,"",IF(Y4674=1,MAX(0,Q4674-G4674),IF(L4674=1,MAX(0,R4674-G4674),MAX(0,Assumptions!$C$6-G4674))))</f>
        <v/>
      </c>
      <c r="AC4674">
        <f>IF(Y4674=1,Q4674-F4674,"")</f>
        <v/>
      </c>
      <c r="AD4674">
        <f>IF(Y4674=1,AC4674^2,"")</f>
        <v/>
      </c>
      <c r="AE4674" s="19">
        <f>IF(Z4674=1,(H4674-M4674)*I4674,0)</f>
        <v/>
      </c>
      <c r="AF4674">
        <f>IF(G4674&lt;EDATE(Assumptions!$C$6,-12)+1,"prior_12m","last_12m")</f>
        <v/>
      </c>
      <c r="AG4674" s="21">
        <f>DATE(YEAR(G4674),MONTH(G4674),1)</f>
        <v/>
      </c>
    </row>
    <row r="4675">
      <c r="A4675" t="inlineStr">
        <is>
          <t>SPO-02510-2</t>
        </is>
      </c>
      <c r="B4675" t="inlineStr">
        <is>
          <t>SPO-02510</t>
        </is>
      </c>
      <c r="C4675" t="inlineStr">
        <is>
          <t>SUP-01</t>
        </is>
      </c>
      <c r="D4675" t="inlineStr">
        <is>
          <t>ELEC</t>
        </is>
      </c>
      <c r="E4675" t="inlineStr">
        <is>
          <t>ELEC-05</t>
        </is>
      </c>
      <c r="F4675" s="17" t="n">
        <v>46270</v>
      </c>
      <c r="G4675" s="17" t="n">
        <v>46288</v>
      </c>
      <c r="H4675" s="18" t="n">
        <v>182</v>
      </c>
      <c r="I4675" s="19" t="n">
        <v>11.65</v>
      </c>
      <c r="J4675" s="19" t="n">
        <v>11.5</v>
      </c>
      <c r="K4675" s="20" t="n">
        <v>0</v>
      </c>
      <c r="L4675" s="20" t="n">
        <v>0</v>
      </c>
      <c r="M4675" s="18" t="n">
        <v>182</v>
      </c>
      <c r="N4675" s="18" t="n">
        <v>182</v>
      </c>
      <c r="O4675" s="18" t="n">
        <v>0</v>
      </c>
      <c r="P4675" s="17" t="n">
        <v>46281</v>
      </c>
      <c r="Q4675" s="17" t="n">
        <v>46281</v>
      </c>
      <c r="R4675" s="17" t="n">
        <v>46281</v>
      </c>
      <c r="S4675" s="19">
        <f>H4675*I4675</f>
        <v/>
      </c>
      <c r="T4675" s="19">
        <f>H4675*J4675</f>
        <v/>
      </c>
      <c r="U4675">
        <f>IF(AND(K4675=0,G4675&lt;=Assumptions!$C$6),1,0)</f>
        <v/>
      </c>
      <c r="V4675">
        <f>IF(U4675=1,IF(M4675&gt;0,IF(P4675&lt;=G4675+Assumptions!$C$7,1,0),0),0)</f>
        <v/>
      </c>
      <c r="W4675">
        <f>IF(AND(U4675=1,M4675&gt;=H4675*(1-Assumptions!$C$8)),1,0)</f>
        <v/>
      </c>
      <c r="X4675">
        <f>IF(AND(U4675=1,N4675&gt;=H4675*(1-Assumptions!$C$8)),1,0)</f>
        <v/>
      </c>
      <c r="Y4675">
        <f>IF(ISNUMBER(Q4675),1,0)</f>
        <v/>
      </c>
      <c r="Z4675">
        <f>IF(AND(K4675=0,L4675=0,Y4675=0),1,0)</f>
        <v/>
      </c>
      <c r="AA4675">
        <f>IF(AND(Z4675=1,G4675&lt;Assumptions!$C$6),1,0)</f>
        <v/>
      </c>
      <c r="AB4675">
        <f>IF(U4675=0,"",IF(Y4675=1,MAX(0,Q4675-G4675),IF(L4675=1,MAX(0,R4675-G4675),MAX(0,Assumptions!$C$6-G4675))))</f>
        <v/>
      </c>
      <c r="AC4675">
        <f>IF(Y4675=1,Q4675-F4675,"")</f>
        <v/>
      </c>
      <c r="AD4675">
        <f>IF(Y4675=1,AC4675^2,"")</f>
        <v/>
      </c>
      <c r="AE4675" s="19">
        <f>IF(Z4675=1,(H4675-M4675)*I4675,0)</f>
        <v/>
      </c>
      <c r="AF4675">
        <f>IF(G4675&lt;EDATE(Assumptions!$C$6,-12)+1,"prior_12m","last_12m")</f>
        <v/>
      </c>
      <c r="AG4675" s="21">
        <f>DATE(YEAR(G4675),MONTH(G4675),1)</f>
        <v/>
      </c>
    </row>
    <row r="4676">
      <c r="A4676" t="inlineStr">
        <is>
          <t>SPO-02511-1</t>
        </is>
      </c>
      <c r="B4676" t="inlineStr">
        <is>
          <t>SPO-02511</t>
        </is>
      </c>
      <c r="C4676" t="inlineStr">
        <is>
          <t>SUP-07</t>
        </is>
      </c>
      <c r="D4676" t="inlineStr">
        <is>
          <t>MRO</t>
        </is>
      </c>
      <c r="E4676" t="inlineStr">
        <is>
          <t>MRO-06</t>
        </is>
      </c>
      <c r="F4676" s="17" t="n">
        <v>46270</v>
      </c>
      <c r="G4676" s="17" t="n">
        <v>46280</v>
      </c>
      <c r="H4676" s="18" t="n">
        <v>660</v>
      </c>
      <c r="I4676" s="19" t="n">
        <v>5.99</v>
      </c>
      <c r="J4676" s="19" t="n">
        <v>6.1</v>
      </c>
      <c r="K4676" s="20" t="n">
        <v>0</v>
      </c>
      <c r="L4676" s="20" t="n">
        <v>0</v>
      </c>
      <c r="M4676" s="18" t="n">
        <v>660</v>
      </c>
      <c r="N4676" s="18" t="n">
        <v>410</v>
      </c>
      <c r="O4676" s="18" t="n">
        <v>0</v>
      </c>
      <c r="P4676" s="17" t="n">
        <v>46278</v>
      </c>
      <c r="Q4676" s="17" t="n">
        <v>46294</v>
      </c>
      <c r="R4676" s="17" t="n">
        <v>46294</v>
      </c>
      <c r="S4676" s="19">
        <f>H4676*I4676</f>
        <v/>
      </c>
      <c r="T4676" s="19">
        <f>H4676*J4676</f>
        <v/>
      </c>
      <c r="U4676">
        <f>IF(AND(K4676=0,G4676&lt;=Assumptions!$C$6),1,0)</f>
        <v/>
      </c>
      <c r="V4676">
        <f>IF(U4676=1,IF(M4676&gt;0,IF(P4676&lt;=G4676+Assumptions!$C$7,1,0),0),0)</f>
        <v/>
      </c>
      <c r="W4676">
        <f>IF(AND(U4676=1,M4676&gt;=H4676*(1-Assumptions!$C$8)),1,0)</f>
        <v/>
      </c>
      <c r="X4676">
        <f>IF(AND(U4676=1,N4676&gt;=H4676*(1-Assumptions!$C$8)),1,0)</f>
        <v/>
      </c>
      <c r="Y4676">
        <f>IF(ISNUMBER(Q4676),1,0)</f>
        <v/>
      </c>
      <c r="Z4676">
        <f>IF(AND(K4676=0,L4676=0,Y4676=0),1,0)</f>
        <v/>
      </c>
      <c r="AA4676">
        <f>IF(AND(Z4676=1,G4676&lt;Assumptions!$C$6),1,0)</f>
        <v/>
      </c>
      <c r="AB4676">
        <f>IF(U4676=0,"",IF(Y4676=1,MAX(0,Q4676-G4676),IF(L4676=1,MAX(0,R4676-G4676),MAX(0,Assumptions!$C$6-G4676))))</f>
        <v/>
      </c>
      <c r="AC4676">
        <f>IF(Y4676=1,Q4676-F4676,"")</f>
        <v/>
      </c>
      <c r="AD4676">
        <f>IF(Y4676=1,AC4676^2,"")</f>
        <v/>
      </c>
      <c r="AE4676" s="19">
        <f>IF(Z4676=1,(H4676-M4676)*I4676,0)</f>
        <v/>
      </c>
      <c r="AF4676">
        <f>IF(G4676&lt;EDATE(Assumptions!$C$6,-12)+1,"prior_12m","last_12m")</f>
        <v/>
      </c>
      <c r="AG4676" s="21">
        <f>DATE(YEAR(G4676),MONTH(G4676),1)</f>
        <v/>
      </c>
    </row>
    <row r="4677">
      <c r="A4677" t="inlineStr">
        <is>
          <t>SPO-02511-2</t>
        </is>
      </c>
      <c r="B4677" t="inlineStr">
        <is>
          <t>SPO-02511</t>
        </is>
      </c>
      <c r="C4677" t="inlineStr">
        <is>
          <t>SUP-07</t>
        </is>
      </c>
      <c r="D4677" t="inlineStr">
        <is>
          <t>MRO</t>
        </is>
      </c>
      <c r="E4677" t="inlineStr">
        <is>
          <t>MRO-02</t>
        </is>
      </c>
      <c r="F4677" s="17" t="n">
        <v>46270</v>
      </c>
      <c r="G4677" s="17" t="n">
        <v>46280</v>
      </c>
      <c r="H4677" s="18" t="n">
        <v>41</v>
      </c>
      <c r="I4677" s="19" t="n">
        <v>38.52</v>
      </c>
      <c r="J4677" s="19" t="n">
        <v>41</v>
      </c>
      <c r="K4677" s="20" t="n">
        <v>0</v>
      </c>
      <c r="L4677" s="20" t="n">
        <v>0</v>
      </c>
      <c r="M4677" s="18" t="n">
        <v>41</v>
      </c>
      <c r="N4677" s="18" t="n">
        <v>41</v>
      </c>
      <c r="O4677" s="18" t="n">
        <v>0</v>
      </c>
      <c r="P4677" s="17" t="n">
        <v>46277</v>
      </c>
      <c r="Q4677" s="17" t="n">
        <v>46277</v>
      </c>
      <c r="R4677" s="17" t="n">
        <v>46277</v>
      </c>
      <c r="S4677" s="19">
        <f>H4677*I4677</f>
        <v/>
      </c>
      <c r="T4677" s="19">
        <f>H4677*J4677</f>
        <v/>
      </c>
      <c r="U4677">
        <f>IF(AND(K4677=0,G4677&lt;=Assumptions!$C$6),1,0)</f>
        <v/>
      </c>
      <c r="V4677">
        <f>IF(U4677=1,IF(M4677&gt;0,IF(P4677&lt;=G4677+Assumptions!$C$7,1,0),0),0)</f>
        <v/>
      </c>
      <c r="W4677">
        <f>IF(AND(U4677=1,M4677&gt;=H4677*(1-Assumptions!$C$8)),1,0)</f>
        <v/>
      </c>
      <c r="X4677">
        <f>IF(AND(U4677=1,N4677&gt;=H4677*(1-Assumptions!$C$8)),1,0)</f>
        <v/>
      </c>
      <c r="Y4677">
        <f>IF(ISNUMBER(Q4677),1,0)</f>
        <v/>
      </c>
      <c r="Z4677">
        <f>IF(AND(K4677=0,L4677=0,Y4677=0),1,0)</f>
        <v/>
      </c>
      <c r="AA4677">
        <f>IF(AND(Z4677=1,G4677&lt;Assumptions!$C$6),1,0)</f>
        <v/>
      </c>
      <c r="AB4677">
        <f>IF(U4677=0,"",IF(Y4677=1,MAX(0,Q4677-G4677),IF(L4677=1,MAX(0,R4677-G4677),MAX(0,Assumptions!$C$6-G4677))))</f>
        <v/>
      </c>
      <c r="AC4677">
        <f>IF(Y4677=1,Q4677-F4677,"")</f>
        <v/>
      </c>
      <c r="AD4677">
        <f>IF(Y4677=1,AC4677^2,"")</f>
        <v/>
      </c>
      <c r="AE4677" s="19">
        <f>IF(Z4677=1,(H4677-M4677)*I4677,0)</f>
        <v/>
      </c>
      <c r="AF4677">
        <f>IF(G4677&lt;EDATE(Assumptions!$C$6,-12)+1,"prior_12m","last_12m")</f>
        <v/>
      </c>
      <c r="AG4677" s="21">
        <f>DATE(YEAR(G4677),MONTH(G4677),1)</f>
        <v/>
      </c>
    </row>
    <row r="4678">
      <c r="A4678" t="inlineStr">
        <is>
          <t>SPO-02511-3</t>
        </is>
      </c>
      <c r="B4678" t="inlineStr">
        <is>
          <t>SPO-02511</t>
        </is>
      </c>
      <c r="C4678" t="inlineStr">
        <is>
          <t>SUP-07</t>
        </is>
      </c>
      <c r="D4678" t="inlineStr">
        <is>
          <t>MRO</t>
        </is>
      </c>
      <c r="E4678" t="inlineStr">
        <is>
          <t>MRO-03</t>
        </is>
      </c>
      <c r="F4678" s="17" t="n">
        <v>46270</v>
      </c>
      <c r="G4678" s="17" t="n">
        <v>46280</v>
      </c>
      <c r="H4678" s="18" t="n">
        <v>188</v>
      </c>
      <c r="I4678" s="19" t="n">
        <v>8.92</v>
      </c>
      <c r="J4678" s="19" t="n">
        <v>8.9</v>
      </c>
      <c r="K4678" s="20" t="n">
        <v>0</v>
      </c>
      <c r="L4678" s="20" t="n">
        <v>0</v>
      </c>
      <c r="M4678" s="18" t="n">
        <v>188</v>
      </c>
      <c r="N4678" s="18" t="n">
        <v>188</v>
      </c>
      <c r="O4678" s="18" t="n">
        <v>0</v>
      </c>
      <c r="P4678" s="17" t="n">
        <v>46278</v>
      </c>
      <c r="Q4678" s="17" t="n">
        <v>46278</v>
      </c>
      <c r="R4678" s="17" t="n">
        <v>46278</v>
      </c>
      <c r="S4678" s="19">
        <f>H4678*I4678</f>
        <v/>
      </c>
      <c r="T4678" s="19">
        <f>H4678*J4678</f>
        <v/>
      </c>
      <c r="U4678">
        <f>IF(AND(K4678=0,G4678&lt;=Assumptions!$C$6),1,0)</f>
        <v/>
      </c>
      <c r="V4678">
        <f>IF(U4678=1,IF(M4678&gt;0,IF(P4678&lt;=G4678+Assumptions!$C$7,1,0),0),0)</f>
        <v/>
      </c>
      <c r="W4678">
        <f>IF(AND(U4678=1,M4678&gt;=H4678*(1-Assumptions!$C$8)),1,0)</f>
        <v/>
      </c>
      <c r="X4678">
        <f>IF(AND(U4678=1,N4678&gt;=H4678*(1-Assumptions!$C$8)),1,0)</f>
        <v/>
      </c>
      <c r="Y4678">
        <f>IF(ISNUMBER(Q4678),1,0)</f>
        <v/>
      </c>
      <c r="Z4678">
        <f>IF(AND(K4678=0,L4678=0,Y4678=0),1,0)</f>
        <v/>
      </c>
      <c r="AA4678">
        <f>IF(AND(Z4678=1,G4678&lt;Assumptions!$C$6),1,0)</f>
        <v/>
      </c>
      <c r="AB4678">
        <f>IF(U4678=0,"",IF(Y4678=1,MAX(0,Q4678-G4678),IF(L4678=1,MAX(0,R4678-G4678),MAX(0,Assumptions!$C$6-G4678))))</f>
        <v/>
      </c>
      <c r="AC4678">
        <f>IF(Y4678=1,Q4678-F4678,"")</f>
        <v/>
      </c>
      <c r="AD4678">
        <f>IF(Y4678=1,AC4678^2,"")</f>
        <v/>
      </c>
      <c r="AE4678" s="19">
        <f>IF(Z4678=1,(H4678-M4678)*I4678,0)</f>
        <v/>
      </c>
      <c r="AF4678">
        <f>IF(G4678&lt;EDATE(Assumptions!$C$6,-12)+1,"prior_12m","last_12m")</f>
        <v/>
      </c>
      <c r="AG4678" s="21">
        <f>DATE(YEAR(G4678),MONTH(G4678),1)</f>
        <v/>
      </c>
    </row>
    <row r="4679">
      <c r="A4679" t="inlineStr">
        <is>
          <t>SPO-02511-4</t>
        </is>
      </c>
      <c r="B4679" t="inlineStr">
        <is>
          <t>SPO-02511</t>
        </is>
      </c>
      <c r="C4679" t="inlineStr">
        <is>
          <t>SUP-07</t>
        </is>
      </c>
      <c r="D4679" t="inlineStr">
        <is>
          <t>MRO</t>
        </is>
      </c>
      <c r="E4679" t="inlineStr">
        <is>
          <t>MRO-08</t>
        </is>
      </c>
      <c r="F4679" s="17" t="n">
        <v>46270</v>
      </c>
      <c r="G4679" s="17" t="n">
        <v>46280</v>
      </c>
      <c r="H4679" s="18" t="n">
        <v>404</v>
      </c>
      <c r="I4679" s="19" t="n">
        <v>7.28</v>
      </c>
      <c r="J4679" s="19" t="n">
        <v>7.2</v>
      </c>
      <c r="K4679" s="20" t="n">
        <v>0</v>
      </c>
      <c r="L4679" s="20" t="n">
        <v>0</v>
      </c>
      <c r="M4679" s="18" t="n">
        <v>404</v>
      </c>
      <c r="N4679" s="18" t="n">
        <v>404</v>
      </c>
      <c r="O4679" s="18" t="n">
        <v>0</v>
      </c>
      <c r="P4679" s="17" t="n">
        <v>46280</v>
      </c>
      <c r="Q4679" s="17" t="n">
        <v>46280</v>
      </c>
      <c r="R4679" s="17" t="n">
        <v>46280</v>
      </c>
      <c r="S4679" s="19">
        <f>H4679*I4679</f>
        <v/>
      </c>
      <c r="T4679" s="19">
        <f>H4679*J4679</f>
        <v/>
      </c>
      <c r="U4679">
        <f>IF(AND(K4679=0,G4679&lt;=Assumptions!$C$6),1,0)</f>
        <v/>
      </c>
      <c r="V4679">
        <f>IF(U4679=1,IF(M4679&gt;0,IF(P4679&lt;=G4679+Assumptions!$C$7,1,0),0),0)</f>
        <v/>
      </c>
      <c r="W4679">
        <f>IF(AND(U4679=1,M4679&gt;=H4679*(1-Assumptions!$C$8)),1,0)</f>
        <v/>
      </c>
      <c r="X4679">
        <f>IF(AND(U4679=1,N4679&gt;=H4679*(1-Assumptions!$C$8)),1,0)</f>
        <v/>
      </c>
      <c r="Y4679">
        <f>IF(ISNUMBER(Q4679),1,0)</f>
        <v/>
      </c>
      <c r="Z4679">
        <f>IF(AND(K4679=0,L4679=0,Y4679=0),1,0)</f>
        <v/>
      </c>
      <c r="AA4679">
        <f>IF(AND(Z4679=1,G4679&lt;Assumptions!$C$6),1,0)</f>
        <v/>
      </c>
      <c r="AB4679">
        <f>IF(U4679=0,"",IF(Y4679=1,MAX(0,Q4679-G4679),IF(L4679=1,MAX(0,R4679-G4679),MAX(0,Assumptions!$C$6-G4679))))</f>
        <v/>
      </c>
      <c r="AC4679">
        <f>IF(Y4679=1,Q4679-F4679,"")</f>
        <v/>
      </c>
      <c r="AD4679">
        <f>IF(Y4679=1,AC4679^2,"")</f>
        <v/>
      </c>
      <c r="AE4679" s="19">
        <f>IF(Z4679=1,(H4679-M4679)*I4679,0)</f>
        <v/>
      </c>
      <c r="AF4679">
        <f>IF(G4679&lt;EDATE(Assumptions!$C$6,-12)+1,"prior_12m","last_12m")</f>
        <v/>
      </c>
      <c r="AG4679" s="21">
        <f>DATE(YEAR(G4679),MONTH(G4679),1)</f>
        <v/>
      </c>
    </row>
    <row r="4680">
      <c r="A4680" t="inlineStr">
        <is>
          <t>SPO-02512-1</t>
        </is>
      </c>
      <c r="B4680" t="inlineStr">
        <is>
          <t>SPO-02512</t>
        </is>
      </c>
      <c r="C4680" t="inlineStr">
        <is>
          <t>SUP-08</t>
        </is>
      </c>
      <c r="D4680" t="inlineStr">
        <is>
          <t>PPE</t>
        </is>
      </c>
      <c r="E4680" t="inlineStr">
        <is>
          <t>PPE-04</t>
        </is>
      </c>
      <c r="F4680" s="17" t="n">
        <v>46270</v>
      </c>
      <c r="G4680" s="17" t="n">
        <v>46281</v>
      </c>
      <c r="H4680" s="18" t="n">
        <v>46</v>
      </c>
      <c r="I4680" s="19" t="n">
        <v>27.36</v>
      </c>
      <c r="J4680" s="19" t="n">
        <v>26</v>
      </c>
      <c r="K4680" s="20" t="n">
        <v>0</v>
      </c>
      <c r="L4680" s="20" t="n">
        <v>0</v>
      </c>
      <c r="M4680" s="18" t="n">
        <v>46</v>
      </c>
      <c r="N4680" s="18" t="n">
        <v>46</v>
      </c>
      <c r="O4680" s="18" t="n">
        <v>0</v>
      </c>
      <c r="P4680" s="17" t="n">
        <v>46279</v>
      </c>
      <c r="Q4680" s="17" t="n">
        <v>46279</v>
      </c>
      <c r="R4680" s="17" t="n">
        <v>46279</v>
      </c>
      <c r="S4680" s="19">
        <f>H4680*I4680</f>
        <v/>
      </c>
      <c r="T4680" s="19">
        <f>H4680*J4680</f>
        <v/>
      </c>
      <c r="U4680">
        <f>IF(AND(K4680=0,G4680&lt;=Assumptions!$C$6),1,0)</f>
        <v/>
      </c>
      <c r="V4680">
        <f>IF(U4680=1,IF(M4680&gt;0,IF(P4680&lt;=G4680+Assumptions!$C$7,1,0),0),0)</f>
        <v/>
      </c>
      <c r="W4680">
        <f>IF(AND(U4680=1,M4680&gt;=H4680*(1-Assumptions!$C$8)),1,0)</f>
        <v/>
      </c>
      <c r="X4680">
        <f>IF(AND(U4680=1,N4680&gt;=H4680*(1-Assumptions!$C$8)),1,0)</f>
        <v/>
      </c>
      <c r="Y4680">
        <f>IF(ISNUMBER(Q4680),1,0)</f>
        <v/>
      </c>
      <c r="Z4680">
        <f>IF(AND(K4680=0,L4680=0,Y4680=0),1,0)</f>
        <v/>
      </c>
      <c r="AA4680">
        <f>IF(AND(Z4680=1,G4680&lt;Assumptions!$C$6),1,0)</f>
        <v/>
      </c>
      <c r="AB4680">
        <f>IF(U4680=0,"",IF(Y4680=1,MAX(0,Q4680-G4680),IF(L4680=1,MAX(0,R4680-G4680),MAX(0,Assumptions!$C$6-G4680))))</f>
        <v/>
      </c>
      <c r="AC4680">
        <f>IF(Y4680=1,Q4680-F4680,"")</f>
        <v/>
      </c>
      <c r="AD4680">
        <f>IF(Y4680=1,AC4680^2,"")</f>
        <v/>
      </c>
      <c r="AE4680" s="19">
        <f>IF(Z4680=1,(H4680-M4680)*I4680,0)</f>
        <v/>
      </c>
      <c r="AF4680">
        <f>IF(G4680&lt;EDATE(Assumptions!$C$6,-12)+1,"prior_12m","last_12m")</f>
        <v/>
      </c>
      <c r="AG4680" s="21">
        <f>DATE(YEAR(G4680),MONTH(G4680),1)</f>
        <v/>
      </c>
    </row>
    <row r="4681">
      <c r="A4681" t="inlineStr">
        <is>
          <t>SPO-02513-1</t>
        </is>
      </c>
      <c r="B4681" t="inlineStr">
        <is>
          <t>SPO-02513</t>
        </is>
      </c>
      <c r="C4681" t="inlineStr">
        <is>
          <t>SUP-12</t>
        </is>
      </c>
      <c r="D4681" t="inlineStr">
        <is>
          <t>IT</t>
        </is>
      </c>
      <c r="E4681" t="inlineStr">
        <is>
          <t>IT-08</t>
        </is>
      </c>
      <c r="F4681" s="17" t="n">
        <v>46270</v>
      </c>
      <c r="G4681" s="17" t="n">
        <v>46280</v>
      </c>
      <c r="H4681" s="18" t="n">
        <v>22</v>
      </c>
      <c r="I4681" s="19" t="n">
        <v>278.41</v>
      </c>
      <c r="J4681" s="19" t="n">
        <v>245</v>
      </c>
      <c r="K4681" s="20" t="n">
        <v>0</v>
      </c>
      <c r="L4681" s="20" t="n">
        <v>0</v>
      </c>
      <c r="M4681" s="18" t="n">
        <v>22</v>
      </c>
      <c r="N4681" s="18" t="n">
        <v>0</v>
      </c>
      <c r="O4681" s="18" t="n">
        <v>0</v>
      </c>
      <c r="P4681" s="17" t="n">
        <v>46282</v>
      </c>
      <c r="Q4681" s="17" t="n">
        <v>46282</v>
      </c>
      <c r="R4681" s="17" t="n">
        <v>46282</v>
      </c>
      <c r="S4681" s="19">
        <f>H4681*I4681</f>
        <v/>
      </c>
      <c r="T4681" s="19">
        <f>H4681*J4681</f>
        <v/>
      </c>
      <c r="U4681">
        <f>IF(AND(K4681=0,G4681&lt;=Assumptions!$C$6),1,0)</f>
        <v/>
      </c>
      <c r="V4681">
        <f>IF(U4681=1,IF(M4681&gt;0,IF(P4681&lt;=G4681+Assumptions!$C$7,1,0),0),0)</f>
        <v/>
      </c>
      <c r="W4681">
        <f>IF(AND(U4681=1,M4681&gt;=H4681*(1-Assumptions!$C$8)),1,0)</f>
        <v/>
      </c>
      <c r="X4681">
        <f>IF(AND(U4681=1,N4681&gt;=H4681*(1-Assumptions!$C$8)),1,0)</f>
        <v/>
      </c>
      <c r="Y4681">
        <f>IF(ISNUMBER(Q4681),1,0)</f>
        <v/>
      </c>
      <c r="Z4681">
        <f>IF(AND(K4681=0,L4681=0,Y4681=0),1,0)</f>
        <v/>
      </c>
      <c r="AA4681">
        <f>IF(AND(Z4681=1,G4681&lt;Assumptions!$C$6),1,0)</f>
        <v/>
      </c>
      <c r="AB4681">
        <f>IF(U4681=0,"",IF(Y4681=1,MAX(0,Q4681-G4681),IF(L4681=1,MAX(0,R4681-G4681),MAX(0,Assumptions!$C$6-G4681))))</f>
        <v/>
      </c>
      <c r="AC4681">
        <f>IF(Y4681=1,Q4681-F4681,"")</f>
        <v/>
      </c>
      <c r="AD4681">
        <f>IF(Y4681=1,AC4681^2,"")</f>
        <v/>
      </c>
      <c r="AE4681" s="19">
        <f>IF(Z4681=1,(H4681-M4681)*I4681,0)</f>
        <v/>
      </c>
      <c r="AF4681">
        <f>IF(G4681&lt;EDATE(Assumptions!$C$6,-12)+1,"prior_12m","last_12m")</f>
        <v/>
      </c>
      <c r="AG4681" s="21">
        <f>DATE(YEAR(G4681),MONTH(G4681),1)</f>
        <v/>
      </c>
    </row>
    <row r="4682">
      <c r="A4682" t="inlineStr">
        <is>
          <t>SPO-02514-1</t>
        </is>
      </c>
      <c r="B4682" t="inlineStr">
        <is>
          <t>SPO-02514</t>
        </is>
      </c>
      <c r="C4682" t="inlineStr">
        <is>
          <t>SUP-14</t>
        </is>
      </c>
      <c r="D4682" t="inlineStr">
        <is>
          <t>FLEET</t>
        </is>
      </c>
      <c r="E4682" t="inlineStr">
        <is>
          <t>FLEET-08</t>
        </is>
      </c>
      <c r="F4682" s="17" t="n">
        <v>46271</v>
      </c>
      <c r="G4682" s="17" t="n">
        <v>46285</v>
      </c>
      <c r="H4682" s="18" t="n">
        <v>160</v>
      </c>
      <c r="I4682" s="19" t="n">
        <v>6.22</v>
      </c>
      <c r="J4682" s="19" t="n">
        <v>6.4</v>
      </c>
      <c r="K4682" s="20" t="n">
        <v>0</v>
      </c>
      <c r="L4682" s="20" t="n">
        <v>0</v>
      </c>
      <c r="M4682" s="18" t="n">
        <v>160</v>
      </c>
      <c r="N4682" s="18" t="n">
        <v>160</v>
      </c>
      <c r="O4682" s="18" t="n">
        <v>0</v>
      </c>
      <c r="P4682" s="17" t="n">
        <v>46285</v>
      </c>
      <c r="Q4682" s="17" t="n">
        <v>46285</v>
      </c>
      <c r="R4682" s="17" t="n">
        <v>46285</v>
      </c>
      <c r="S4682" s="19">
        <f>H4682*I4682</f>
        <v/>
      </c>
      <c r="T4682" s="19">
        <f>H4682*J4682</f>
        <v/>
      </c>
      <c r="U4682">
        <f>IF(AND(K4682=0,G4682&lt;=Assumptions!$C$6),1,0)</f>
        <v/>
      </c>
      <c r="V4682">
        <f>IF(U4682=1,IF(M4682&gt;0,IF(P4682&lt;=G4682+Assumptions!$C$7,1,0),0),0)</f>
        <v/>
      </c>
      <c r="W4682">
        <f>IF(AND(U4682=1,M4682&gt;=H4682*(1-Assumptions!$C$8)),1,0)</f>
        <v/>
      </c>
      <c r="X4682">
        <f>IF(AND(U4682=1,N4682&gt;=H4682*(1-Assumptions!$C$8)),1,0)</f>
        <v/>
      </c>
      <c r="Y4682">
        <f>IF(ISNUMBER(Q4682),1,0)</f>
        <v/>
      </c>
      <c r="Z4682">
        <f>IF(AND(K4682=0,L4682=0,Y4682=0),1,0)</f>
        <v/>
      </c>
      <c r="AA4682">
        <f>IF(AND(Z4682=1,G4682&lt;Assumptions!$C$6),1,0)</f>
        <v/>
      </c>
      <c r="AB4682">
        <f>IF(U4682=0,"",IF(Y4682=1,MAX(0,Q4682-G4682),IF(L4682=1,MAX(0,R4682-G4682),MAX(0,Assumptions!$C$6-G4682))))</f>
        <v/>
      </c>
      <c r="AC4682">
        <f>IF(Y4682=1,Q4682-F4682,"")</f>
        <v/>
      </c>
      <c r="AD4682">
        <f>IF(Y4682=1,AC4682^2,"")</f>
        <v/>
      </c>
      <c r="AE4682" s="19">
        <f>IF(Z4682=1,(H4682-M4682)*I4682,0)</f>
        <v/>
      </c>
      <c r="AF4682">
        <f>IF(G4682&lt;EDATE(Assumptions!$C$6,-12)+1,"prior_12m","last_12m")</f>
        <v/>
      </c>
      <c r="AG4682" s="21">
        <f>DATE(YEAR(G4682),MONTH(G4682),1)</f>
        <v/>
      </c>
    </row>
    <row r="4683">
      <c r="A4683" t="inlineStr">
        <is>
          <t>SPO-02515-1</t>
        </is>
      </c>
      <c r="B4683" t="inlineStr">
        <is>
          <t>SPO-02515</t>
        </is>
      </c>
      <c r="C4683" t="inlineStr">
        <is>
          <t>SUP-09</t>
        </is>
      </c>
      <c r="D4683" t="inlineStr">
        <is>
          <t>CHEM</t>
        </is>
      </c>
      <c r="E4683" t="inlineStr">
        <is>
          <t>CHEM-04</t>
        </is>
      </c>
      <c r="F4683" s="17" t="n">
        <v>46271</v>
      </c>
      <c r="G4683" s="17" t="n">
        <v>46285</v>
      </c>
      <c r="H4683" s="18" t="n">
        <v>1</v>
      </c>
      <c r="I4683" s="19" t="n">
        <v>862.49</v>
      </c>
      <c r="J4683" s="19" t="n">
        <v>820</v>
      </c>
      <c r="K4683" s="20" t="n">
        <v>0</v>
      </c>
      <c r="L4683" s="20" t="n">
        <v>0</v>
      </c>
      <c r="M4683" s="18" t="n">
        <v>1</v>
      </c>
      <c r="N4683" s="18" t="n">
        <v>1</v>
      </c>
      <c r="O4683" s="18" t="n">
        <v>1</v>
      </c>
      <c r="P4683" s="17" t="n">
        <v>46281</v>
      </c>
      <c r="Q4683" s="17" t="n">
        <v>46281</v>
      </c>
      <c r="R4683" s="17" t="n">
        <v>46281</v>
      </c>
      <c r="S4683" s="19">
        <f>H4683*I4683</f>
        <v/>
      </c>
      <c r="T4683" s="19">
        <f>H4683*J4683</f>
        <v/>
      </c>
      <c r="U4683">
        <f>IF(AND(K4683=0,G4683&lt;=Assumptions!$C$6),1,0)</f>
        <v/>
      </c>
      <c r="V4683">
        <f>IF(U4683=1,IF(M4683&gt;0,IF(P4683&lt;=G4683+Assumptions!$C$7,1,0),0),0)</f>
        <v/>
      </c>
      <c r="W4683">
        <f>IF(AND(U4683=1,M4683&gt;=H4683*(1-Assumptions!$C$8)),1,0)</f>
        <v/>
      </c>
      <c r="X4683">
        <f>IF(AND(U4683=1,N4683&gt;=H4683*(1-Assumptions!$C$8)),1,0)</f>
        <v/>
      </c>
      <c r="Y4683">
        <f>IF(ISNUMBER(Q4683),1,0)</f>
        <v/>
      </c>
      <c r="Z4683">
        <f>IF(AND(K4683=0,L4683=0,Y4683=0),1,0)</f>
        <v/>
      </c>
      <c r="AA4683">
        <f>IF(AND(Z4683=1,G4683&lt;Assumptions!$C$6),1,0)</f>
        <v/>
      </c>
      <c r="AB4683">
        <f>IF(U4683=0,"",IF(Y4683=1,MAX(0,Q4683-G4683),IF(L4683=1,MAX(0,R4683-G4683),MAX(0,Assumptions!$C$6-G4683))))</f>
        <v/>
      </c>
      <c r="AC4683">
        <f>IF(Y4683=1,Q4683-F4683,"")</f>
        <v/>
      </c>
      <c r="AD4683">
        <f>IF(Y4683=1,AC4683^2,"")</f>
        <v/>
      </c>
      <c r="AE4683" s="19">
        <f>IF(Z4683=1,(H4683-M4683)*I4683,0)</f>
        <v/>
      </c>
      <c r="AF4683">
        <f>IF(G4683&lt;EDATE(Assumptions!$C$6,-12)+1,"prior_12m","last_12m")</f>
        <v/>
      </c>
      <c r="AG4683" s="21">
        <f>DATE(YEAR(G4683),MONTH(G4683),1)</f>
        <v/>
      </c>
    </row>
    <row r="4684">
      <c r="A4684" t="inlineStr">
        <is>
          <t>SPO-02516-1</t>
        </is>
      </c>
      <c r="B4684" t="inlineStr">
        <is>
          <t>SPO-02516</t>
        </is>
      </c>
      <c r="C4684" t="inlineStr">
        <is>
          <t>SUP-01</t>
        </is>
      </c>
      <c r="D4684" t="inlineStr">
        <is>
          <t>ELEC</t>
        </is>
      </c>
      <c r="E4684" t="inlineStr">
        <is>
          <t>ELEC-03</t>
        </is>
      </c>
      <c r="F4684" s="17" t="n">
        <v>46272</v>
      </c>
      <c r="G4684" s="17" t="n">
        <v>46290</v>
      </c>
      <c r="H4684" s="18" t="n">
        <v>56</v>
      </c>
      <c r="I4684" s="19" t="n">
        <v>97.70999999999999</v>
      </c>
      <c r="J4684" s="19" t="n">
        <v>96</v>
      </c>
      <c r="K4684" s="20" t="n">
        <v>0</v>
      </c>
      <c r="L4684" s="20" t="n">
        <v>0</v>
      </c>
      <c r="M4684" s="18" t="n">
        <v>56</v>
      </c>
      <c r="N4684" s="18" t="n">
        <v>0</v>
      </c>
      <c r="O4684" s="18" t="n">
        <v>0</v>
      </c>
      <c r="P4684" s="17" t="n">
        <v>46291</v>
      </c>
      <c r="Q4684" s="17" t="n">
        <v>46291</v>
      </c>
      <c r="R4684" s="17" t="n">
        <v>46291</v>
      </c>
      <c r="S4684" s="19">
        <f>H4684*I4684</f>
        <v/>
      </c>
      <c r="T4684" s="19">
        <f>H4684*J4684</f>
        <v/>
      </c>
      <c r="U4684">
        <f>IF(AND(K4684=0,G4684&lt;=Assumptions!$C$6),1,0)</f>
        <v/>
      </c>
      <c r="V4684">
        <f>IF(U4684=1,IF(M4684&gt;0,IF(P4684&lt;=G4684+Assumptions!$C$7,1,0),0),0)</f>
        <v/>
      </c>
      <c r="W4684">
        <f>IF(AND(U4684=1,M4684&gt;=H4684*(1-Assumptions!$C$8)),1,0)</f>
        <v/>
      </c>
      <c r="X4684">
        <f>IF(AND(U4684=1,N4684&gt;=H4684*(1-Assumptions!$C$8)),1,0)</f>
        <v/>
      </c>
      <c r="Y4684">
        <f>IF(ISNUMBER(Q4684),1,0)</f>
        <v/>
      </c>
      <c r="Z4684">
        <f>IF(AND(K4684=0,L4684=0,Y4684=0),1,0)</f>
        <v/>
      </c>
      <c r="AA4684">
        <f>IF(AND(Z4684=1,G4684&lt;Assumptions!$C$6),1,0)</f>
        <v/>
      </c>
      <c r="AB4684">
        <f>IF(U4684=0,"",IF(Y4684=1,MAX(0,Q4684-G4684),IF(L4684=1,MAX(0,R4684-G4684),MAX(0,Assumptions!$C$6-G4684))))</f>
        <v/>
      </c>
      <c r="AC4684">
        <f>IF(Y4684=1,Q4684-F4684,"")</f>
        <v/>
      </c>
      <c r="AD4684">
        <f>IF(Y4684=1,AC4684^2,"")</f>
        <v/>
      </c>
      <c r="AE4684" s="19">
        <f>IF(Z4684=1,(H4684-M4684)*I4684,0)</f>
        <v/>
      </c>
      <c r="AF4684">
        <f>IF(G4684&lt;EDATE(Assumptions!$C$6,-12)+1,"prior_12m","last_12m")</f>
        <v/>
      </c>
      <c r="AG4684" s="21">
        <f>DATE(YEAR(G4684),MONTH(G4684),1)</f>
        <v/>
      </c>
    </row>
    <row r="4685">
      <c r="A4685" t="inlineStr">
        <is>
          <t>SPO-02516-2</t>
        </is>
      </c>
      <c r="B4685" t="inlineStr">
        <is>
          <t>SPO-02516</t>
        </is>
      </c>
      <c r="C4685" t="inlineStr">
        <is>
          <t>SUP-01</t>
        </is>
      </c>
      <c r="D4685" t="inlineStr">
        <is>
          <t>ELEC</t>
        </is>
      </c>
      <c r="E4685" t="inlineStr">
        <is>
          <t>ELEC-05</t>
        </is>
      </c>
      <c r="F4685" s="17" t="n">
        <v>46272</v>
      </c>
      <c r="G4685" s="17" t="n">
        <v>46290</v>
      </c>
      <c r="H4685" s="18" t="n">
        <v>340</v>
      </c>
      <c r="I4685" s="19" t="n">
        <v>11.44</v>
      </c>
      <c r="J4685" s="19" t="n">
        <v>11.5</v>
      </c>
      <c r="K4685" s="20" t="n">
        <v>0</v>
      </c>
      <c r="L4685" s="20" t="n">
        <v>0</v>
      </c>
      <c r="M4685" s="18" t="n">
        <v>340</v>
      </c>
      <c r="N4685" s="18" t="n">
        <v>340</v>
      </c>
      <c r="O4685" s="18" t="n">
        <v>0</v>
      </c>
      <c r="P4685" s="17" t="n">
        <v>46280</v>
      </c>
      <c r="Q4685" s="17" t="n">
        <v>46280</v>
      </c>
      <c r="R4685" s="17" t="n">
        <v>46280</v>
      </c>
      <c r="S4685" s="19">
        <f>H4685*I4685</f>
        <v/>
      </c>
      <c r="T4685" s="19">
        <f>H4685*J4685</f>
        <v/>
      </c>
      <c r="U4685">
        <f>IF(AND(K4685=0,G4685&lt;=Assumptions!$C$6),1,0)</f>
        <v/>
      </c>
      <c r="V4685">
        <f>IF(U4685=1,IF(M4685&gt;0,IF(P4685&lt;=G4685+Assumptions!$C$7,1,0),0),0)</f>
        <v/>
      </c>
      <c r="W4685">
        <f>IF(AND(U4685=1,M4685&gt;=H4685*(1-Assumptions!$C$8)),1,0)</f>
        <v/>
      </c>
      <c r="X4685">
        <f>IF(AND(U4685=1,N4685&gt;=H4685*(1-Assumptions!$C$8)),1,0)</f>
        <v/>
      </c>
      <c r="Y4685">
        <f>IF(ISNUMBER(Q4685),1,0)</f>
        <v/>
      </c>
      <c r="Z4685">
        <f>IF(AND(K4685=0,L4685=0,Y4685=0),1,0)</f>
        <v/>
      </c>
      <c r="AA4685">
        <f>IF(AND(Z4685=1,G4685&lt;Assumptions!$C$6),1,0)</f>
        <v/>
      </c>
      <c r="AB4685">
        <f>IF(U4685=0,"",IF(Y4685=1,MAX(0,Q4685-G4685),IF(L4685=1,MAX(0,R4685-G4685),MAX(0,Assumptions!$C$6-G4685))))</f>
        <v/>
      </c>
      <c r="AC4685">
        <f>IF(Y4685=1,Q4685-F4685,"")</f>
        <v/>
      </c>
      <c r="AD4685">
        <f>IF(Y4685=1,AC4685^2,"")</f>
        <v/>
      </c>
      <c r="AE4685" s="19">
        <f>IF(Z4685=1,(H4685-M4685)*I4685,0)</f>
        <v/>
      </c>
      <c r="AF4685">
        <f>IF(G4685&lt;EDATE(Assumptions!$C$6,-12)+1,"prior_12m","last_12m")</f>
        <v/>
      </c>
      <c r="AG4685" s="21">
        <f>DATE(YEAR(G4685),MONTH(G4685),1)</f>
        <v/>
      </c>
    </row>
    <row r="4686">
      <c r="A4686" t="inlineStr">
        <is>
          <t>SPO-02517-1</t>
        </is>
      </c>
      <c r="B4686" t="inlineStr">
        <is>
          <t>SPO-02517</t>
        </is>
      </c>
      <c r="C4686" t="inlineStr">
        <is>
          <t>SUP-10</t>
        </is>
      </c>
      <c r="D4686" t="inlineStr">
        <is>
          <t>PPE</t>
        </is>
      </c>
      <c r="E4686" t="inlineStr">
        <is>
          <t>PPE-05</t>
        </is>
      </c>
      <c r="F4686" s="17" t="n">
        <v>46272</v>
      </c>
      <c r="G4686" s="17" t="n">
        <v>46285</v>
      </c>
      <c r="H4686" s="18" t="n">
        <v>101</v>
      </c>
      <c r="I4686" s="19" t="n">
        <v>10.97</v>
      </c>
      <c r="J4686" s="19" t="n">
        <v>11</v>
      </c>
      <c r="K4686" s="20" t="n">
        <v>0</v>
      </c>
      <c r="L4686" s="20" t="n">
        <v>0</v>
      </c>
      <c r="M4686" s="18" t="n">
        <v>101</v>
      </c>
      <c r="N4686" s="18" t="n">
        <v>101</v>
      </c>
      <c r="O4686" s="18" t="n">
        <v>0</v>
      </c>
      <c r="P4686" s="17" t="n">
        <v>46283</v>
      </c>
      <c r="Q4686" s="17" t="n">
        <v>46283</v>
      </c>
      <c r="R4686" s="17" t="n">
        <v>46283</v>
      </c>
      <c r="S4686" s="19">
        <f>H4686*I4686</f>
        <v/>
      </c>
      <c r="T4686" s="19">
        <f>H4686*J4686</f>
        <v/>
      </c>
      <c r="U4686">
        <f>IF(AND(K4686=0,G4686&lt;=Assumptions!$C$6),1,0)</f>
        <v/>
      </c>
      <c r="V4686">
        <f>IF(U4686=1,IF(M4686&gt;0,IF(P4686&lt;=G4686+Assumptions!$C$7,1,0),0),0)</f>
        <v/>
      </c>
      <c r="W4686">
        <f>IF(AND(U4686=1,M4686&gt;=H4686*(1-Assumptions!$C$8)),1,0)</f>
        <v/>
      </c>
      <c r="X4686">
        <f>IF(AND(U4686=1,N4686&gt;=H4686*(1-Assumptions!$C$8)),1,0)</f>
        <v/>
      </c>
      <c r="Y4686">
        <f>IF(ISNUMBER(Q4686),1,0)</f>
        <v/>
      </c>
      <c r="Z4686">
        <f>IF(AND(K4686=0,L4686=0,Y4686=0),1,0)</f>
        <v/>
      </c>
      <c r="AA4686">
        <f>IF(AND(Z4686=1,G4686&lt;Assumptions!$C$6),1,0)</f>
        <v/>
      </c>
      <c r="AB4686">
        <f>IF(U4686=0,"",IF(Y4686=1,MAX(0,Q4686-G4686),IF(L4686=1,MAX(0,R4686-G4686),MAX(0,Assumptions!$C$6-G4686))))</f>
        <v/>
      </c>
      <c r="AC4686">
        <f>IF(Y4686=1,Q4686-F4686,"")</f>
        <v/>
      </c>
      <c r="AD4686">
        <f>IF(Y4686=1,AC4686^2,"")</f>
        <v/>
      </c>
      <c r="AE4686" s="19">
        <f>IF(Z4686=1,(H4686-M4686)*I4686,0)</f>
        <v/>
      </c>
      <c r="AF4686">
        <f>IF(G4686&lt;EDATE(Assumptions!$C$6,-12)+1,"prior_12m","last_12m")</f>
        <v/>
      </c>
      <c r="AG4686" s="21">
        <f>DATE(YEAR(G4686),MONTH(G4686),1)</f>
        <v/>
      </c>
    </row>
    <row r="4687">
      <c r="A4687" t="inlineStr">
        <is>
          <t>SPO-02518-1</t>
        </is>
      </c>
      <c r="B4687" t="inlineStr">
        <is>
          <t>SPO-02518</t>
        </is>
      </c>
      <c r="C4687" t="inlineStr">
        <is>
          <t>SUP-05</t>
        </is>
      </c>
      <c r="D4687" t="inlineStr">
        <is>
          <t>FLEET</t>
        </is>
      </c>
      <c r="E4687" t="inlineStr">
        <is>
          <t>FLEET-07</t>
        </is>
      </c>
      <c r="F4687" s="17" t="n">
        <v>46272</v>
      </c>
      <c r="G4687" s="17" t="n">
        <v>46286</v>
      </c>
      <c r="H4687" s="18" t="n">
        <v>18</v>
      </c>
      <c r="I4687" s="19" t="n">
        <v>124.54</v>
      </c>
      <c r="J4687" s="19" t="n">
        <v>118</v>
      </c>
      <c r="K4687" s="20" t="n">
        <v>0</v>
      </c>
      <c r="L4687" s="20" t="n">
        <v>0</v>
      </c>
      <c r="M4687" s="18" t="n">
        <v>18</v>
      </c>
      <c r="N4687" s="18" t="n">
        <v>18</v>
      </c>
      <c r="O4687" s="18" t="n">
        <v>0</v>
      </c>
      <c r="P4687" s="17" t="n">
        <v>46285</v>
      </c>
      <c r="Q4687" s="17" t="n">
        <v>46285</v>
      </c>
      <c r="R4687" s="17" t="n">
        <v>46285</v>
      </c>
      <c r="S4687" s="19">
        <f>H4687*I4687</f>
        <v/>
      </c>
      <c r="T4687" s="19">
        <f>H4687*J4687</f>
        <v/>
      </c>
      <c r="U4687">
        <f>IF(AND(K4687=0,G4687&lt;=Assumptions!$C$6),1,0)</f>
        <v/>
      </c>
      <c r="V4687">
        <f>IF(U4687=1,IF(M4687&gt;0,IF(P4687&lt;=G4687+Assumptions!$C$7,1,0),0),0)</f>
        <v/>
      </c>
      <c r="W4687">
        <f>IF(AND(U4687=1,M4687&gt;=H4687*(1-Assumptions!$C$8)),1,0)</f>
        <v/>
      </c>
      <c r="X4687">
        <f>IF(AND(U4687=1,N4687&gt;=H4687*(1-Assumptions!$C$8)),1,0)</f>
        <v/>
      </c>
      <c r="Y4687">
        <f>IF(ISNUMBER(Q4687),1,0)</f>
        <v/>
      </c>
      <c r="Z4687">
        <f>IF(AND(K4687=0,L4687=0,Y4687=0),1,0)</f>
        <v/>
      </c>
      <c r="AA4687">
        <f>IF(AND(Z4687=1,G4687&lt;Assumptions!$C$6),1,0)</f>
        <v/>
      </c>
      <c r="AB4687">
        <f>IF(U4687=0,"",IF(Y4687=1,MAX(0,Q4687-G4687),IF(L4687=1,MAX(0,R4687-G4687),MAX(0,Assumptions!$C$6-G4687))))</f>
        <v/>
      </c>
      <c r="AC4687">
        <f>IF(Y4687=1,Q4687-F4687,"")</f>
        <v/>
      </c>
      <c r="AD4687">
        <f>IF(Y4687=1,AC4687^2,"")</f>
        <v/>
      </c>
      <c r="AE4687" s="19">
        <f>IF(Z4687=1,(H4687-M4687)*I4687,0)</f>
        <v/>
      </c>
      <c r="AF4687">
        <f>IF(G4687&lt;EDATE(Assumptions!$C$6,-12)+1,"prior_12m","last_12m")</f>
        <v/>
      </c>
      <c r="AG4687" s="21">
        <f>DATE(YEAR(G4687),MONTH(G4687),1)</f>
        <v/>
      </c>
    </row>
    <row r="4688">
      <c r="A4688" t="inlineStr">
        <is>
          <t>SPO-02518-2</t>
        </is>
      </c>
      <c r="B4688" t="inlineStr">
        <is>
          <t>SPO-02518</t>
        </is>
      </c>
      <c r="C4688" t="inlineStr">
        <is>
          <t>SUP-05</t>
        </is>
      </c>
      <c r="D4688" t="inlineStr">
        <is>
          <t>FLEET</t>
        </is>
      </c>
      <c r="E4688" t="inlineStr">
        <is>
          <t>FLEET-04</t>
        </is>
      </c>
      <c r="F4688" s="17" t="n">
        <v>46272</v>
      </c>
      <c r="G4688" s="17" t="n">
        <v>46286</v>
      </c>
      <c r="H4688" s="18" t="n">
        <v>234</v>
      </c>
      <c r="I4688" s="19" t="n">
        <v>9.710000000000001</v>
      </c>
      <c r="J4688" s="19" t="n">
        <v>9</v>
      </c>
      <c r="K4688" s="20" t="n">
        <v>0</v>
      </c>
      <c r="L4688" s="20" t="n">
        <v>0</v>
      </c>
      <c r="M4688" s="18" t="n">
        <v>234</v>
      </c>
      <c r="N4688" s="18" t="n">
        <v>234</v>
      </c>
      <c r="O4688" s="18" t="n">
        <v>0</v>
      </c>
      <c r="P4688" s="17" t="n">
        <v>46285</v>
      </c>
      <c r="Q4688" s="17" t="n">
        <v>46285</v>
      </c>
      <c r="R4688" s="17" t="n">
        <v>46285</v>
      </c>
      <c r="S4688" s="19">
        <f>H4688*I4688</f>
        <v/>
      </c>
      <c r="T4688" s="19">
        <f>H4688*J4688</f>
        <v/>
      </c>
      <c r="U4688">
        <f>IF(AND(K4688=0,G4688&lt;=Assumptions!$C$6),1,0)</f>
        <v/>
      </c>
      <c r="V4688">
        <f>IF(U4688=1,IF(M4688&gt;0,IF(P4688&lt;=G4688+Assumptions!$C$7,1,0),0),0)</f>
        <v/>
      </c>
      <c r="W4688">
        <f>IF(AND(U4688=1,M4688&gt;=H4688*(1-Assumptions!$C$8)),1,0)</f>
        <v/>
      </c>
      <c r="X4688">
        <f>IF(AND(U4688=1,N4688&gt;=H4688*(1-Assumptions!$C$8)),1,0)</f>
        <v/>
      </c>
      <c r="Y4688">
        <f>IF(ISNUMBER(Q4688),1,0)</f>
        <v/>
      </c>
      <c r="Z4688">
        <f>IF(AND(K4688=0,L4688=0,Y4688=0),1,0)</f>
        <v/>
      </c>
      <c r="AA4688">
        <f>IF(AND(Z4688=1,G4688&lt;Assumptions!$C$6),1,0)</f>
        <v/>
      </c>
      <c r="AB4688">
        <f>IF(U4688=0,"",IF(Y4688=1,MAX(0,Q4688-G4688),IF(L4688=1,MAX(0,R4688-G4688),MAX(0,Assumptions!$C$6-G4688))))</f>
        <v/>
      </c>
      <c r="AC4688">
        <f>IF(Y4688=1,Q4688-F4688,"")</f>
        <v/>
      </c>
      <c r="AD4688">
        <f>IF(Y4688=1,AC4688^2,"")</f>
        <v/>
      </c>
      <c r="AE4688" s="19">
        <f>IF(Z4688=1,(H4688-M4688)*I4688,0)</f>
        <v/>
      </c>
      <c r="AF4688">
        <f>IF(G4688&lt;EDATE(Assumptions!$C$6,-12)+1,"prior_12m","last_12m")</f>
        <v/>
      </c>
      <c r="AG4688" s="21">
        <f>DATE(YEAR(G4688),MONTH(G4688),1)</f>
        <v/>
      </c>
    </row>
    <row r="4689">
      <c r="A4689" t="inlineStr">
        <is>
          <t>SPO-02519-1</t>
        </is>
      </c>
      <c r="B4689" t="inlineStr">
        <is>
          <t>SPO-02519</t>
        </is>
      </c>
      <c r="C4689" t="inlineStr">
        <is>
          <t>SUP-01</t>
        </is>
      </c>
      <c r="D4689" t="inlineStr">
        <is>
          <t>ELEC</t>
        </is>
      </c>
      <c r="E4689" t="inlineStr">
        <is>
          <t>ELEC-02</t>
        </is>
      </c>
      <c r="F4689" s="17" t="n">
        <v>46273</v>
      </c>
      <c r="G4689" s="17" t="n">
        <v>46291</v>
      </c>
      <c r="H4689" s="18" t="n">
        <v>788</v>
      </c>
      <c r="I4689" s="19" t="n">
        <v>4.39</v>
      </c>
      <c r="J4689" s="19" t="n">
        <v>4.2</v>
      </c>
      <c r="K4689" s="20" t="n">
        <v>0</v>
      </c>
      <c r="L4689" s="20" t="n">
        <v>0</v>
      </c>
      <c r="M4689" s="18" t="n">
        <v>788</v>
      </c>
      <c r="N4689" s="18" t="n">
        <v>788</v>
      </c>
      <c r="O4689" s="18" t="n">
        <v>0</v>
      </c>
      <c r="P4689" s="17" t="n">
        <v>46290</v>
      </c>
      <c r="Q4689" s="17" t="n">
        <v>46290</v>
      </c>
      <c r="R4689" s="17" t="n">
        <v>46290</v>
      </c>
      <c r="S4689" s="19">
        <f>H4689*I4689</f>
        <v/>
      </c>
      <c r="T4689" s="19">
        <f>H4689*J4689</f>
        <v/>
      </c>
      <c r="U4689">
        <f>IF(AND(K4689=0,G4689&lt;=Assumptions!$C$6),1,0)</f>
        <v/>
      </c>
      <c r="V4689">
        <f>IF(U4689=1,IF(M4689&gt;0,IF(P4689&lt;=G4689+Assumptions!$C$7,1,0),0),0)</f>
        <v/>
      </c>
      <c r="W4689">
        <f>IF(AND(U4689=1,M4689&gt;=H4689*(1-Assumptions!$C$8)),1,0)</f>
        <v/>
      </c>
      <c r="X4689">
        <f>IF(AND(U4689=1,N4689&gt;=H4689*(1-Assumptions!$C$8)),1,0)</f>
        <v/>
      </c>
      <c r="Y4689">
        <f>IF(ISNUMBER(Q4689),1,0)</f>
        <v/>
      </c>
      <c r="Z4689">
        <f>IF(AND(K4689=0,L4689=0,Y4689=0),1,0)</f>
        <v/>
      </c>
      <c r="AA4689">
        <f>IF(AND(Z4689=1,G4689&lt;Assumptions!$C$6),1,0)</f>
        <v/>
      </c>
      <c r="AB4689">
        <f>IF(U4689=0,"",IF(Y4689=1,MAX(0,Q4689-G4689),IF(L4689=1,MAX(0,R4689-G4689),MAX(0,Assumptions!$C$6-G4689))))</f>
        <v/>
      </c>
      <c r="AC4689">
        <f>IF(Y4689=1,Q4689-F4689,"")</f>
        <v/>
      </c>
      <c r="AD4689">
        <f>IF(Y4689=1,AC4689^2,"")</f>
        <v/>
      </c>
      <c r="AE4689" s="19">
        <f>IF(Z4689=1,(H4689-M4689)*I4689,0)</f>
        <v/>
      </c>
      <c r="AF4689">
        <f>IF(G4689&lt;EDATE(Assumptions!$C$6,-12)+1,"prior_12m","last_12m")</f>
        <v/>
      </c>
      <c r="AG4689" s="21">
        <f>DATE(YEAR(G4689),MONTH(G4689),1)</f>
        <v/>
      </c>
    </row>
    <row r="4690">
      <c r="A4690" t="inlineStr">
        <is>
          <t>SPO-02520-1</t>
        </is>
      </c>
      <c r="B4690" t="inlineStr">
        <is>
          <t>SPO-02520</t>
        </is>
      </c>
      <c r="C4690" t="inlineStr">
        <is>
          <t>SUP-14</t>
        </is>
      </c>
      <c r="D4690" t="inlineStr">
        <is>
          <t>FLEET</t>
        </is>
      </c>
      <c r="E4690" t="inlineStr">
        <is>
          <t>FLEET-07</t>
        </is>
      </c>
      <c r="F4690" s="17" t="n">
        <v>46274</v>
      </c>
      <c r="G4690" s="17" t="n">
        <v>46288</v>
      </c>
      <c r="H4690" s="18" t="n">
        <v>6</v>
      </c>
      <c r="I4690" s="19" t="n">
        <v>120.11</v>
      </c>
      <c r="J4690" s="19" t="n">
        <v>118</v>
      </c>
      <c r="K4690" s="20" t="n">
        <v>0</v>
      </c>
      <c r="L4690" s="20" t="n">
        <v>0</v>
      </c>
      <c r="M4690" s="18" t="n">
        <v>6</v>
      </c>
      <c r="N4690" s="18" t="n">
        <v>6</v>
      </c>
      <c r="O4690" s="18" t="n">
        <v>0</v>
      </c>
      <c r="P4690" s="17" t="n">
        <v>46286</v>
      </c>
      <c r="Q4690" s="17" t="n">
        <v>46286</v>
      </c>
      <c r="R4690" s="17" t="n">
        <v>46286</v>
      </c>
      <c r="S4690" s="19">
        <f>H4690*I4690</f>
        <v/>
      </c>
      <c r="T4690" s="19">
        <f>H4690*J4690</f>
        <v/>
      </c>
      <c r="U4690">
        <f>IF(AND(K4690=0,G4690&lt;=Assumptions!$C$6),1,0)</f>
        <v/>
      </c>
      <c r="V4690">
        <f>IF(U4690=1,IF(M4690&gt;0,IF(P4690&lt;=G4690+Assumptions!$C$7,1,0),0),0)</f>
        <v/>
      </c>
      <c r="W4690">
        <f>IF(AND(U4690=1,M4690&gt;=H4690*(1-Assumptions!$C$8)),1,0)</f>
        <v/>
      </c>
      <c r="X4690">
        <f>IF(AND(U4690=1,N4690&gt;=H4690*(1-Assumptions!$C$8)),1,0)</f>
        <v/>
      </c>
      <c r="Y4690">
        <f>IF(ISNUMBER(Q4690),1,0)</f>
        <v/>
      </c>
      <c r="Z4690">
        <f>IF(AND(K4690=0,L4690=0,Y4690=0),1,0)</f>
        <v/>
      </c>
      <c r="AA4690">
        <f>IF(AND(Z4690=1,G4690&lt;Assumptions!$C$6),1,0)</f>
        <v/>
      </c>
      <c r="AB4690">
        <f>IF(U4690=0,"",IF(Y4690=1,MAX(0,Q4690-G4690),IF(L4690=1,MAX(0,R4690-G4690),MAX(0,Assumptions!$C$6-G4690))))</f>
        <v/>
      </c>
      <c r="AC4690">
        <f>IF(Y4690=1,Q4690-F4690,"")</f>
        <v/>
      </c>
      <c r="AD4690">
        <f>IF(Y4690=1,AC4690^2,"")</f>
        <v/>
      </c>
      <c r="AE4690" s="19">
        <f>IF(Z4690=1,(H4690-M4690)*I4690,0)</f>
        <v/>
      </c>
      <c r="AF4690">
        <f>IF(G4690&lt;EDATE(Assumptions!$C$6,-12)+1,"prior_12m","last_12m")</f>
        <v/>
      </c>
      <c r="AG4690" s="21">
        <f>DATE(YEAR(G4690),MONTH(G4690),1)</f>
        <v/>
      </c>
    </row>
    <row r="4691">
      <c r="A4691" t="inlineStr">
        <is>
          <t>SPO-02521-1</t>
        </is>
      </c>
      <c r="B4691" t="inlineStr">
        <is>
          <t>SPO-02521</t>
        </is>
      </c>
      <c r="C4691" t="inlineStr">
        <is>
          <t>SUP-04</t>
        </is>
      </c>
      <c r="D4691" t="inlineStr">
        <is>
          <t>FLEET</t>
        </is>
      </c>
      <c r="E4691" t="inlineStr">
        <is>
          <t>FLEET-08</t>
        </is>
      </c>
      <c r="F4691" s="17" t="n">
        <v>46274</v>
      </c>
      <c r="G4691" s="17" t="n">
        <v>46287</v>
      </c>
      <c r="H4691" s="18" t="n">
        <v>348</v>
      </c>
      <c r="I4691" s="19" t="n">
        <v>6.53</v>
      </c>
      <c r="J4691" s="19" t="n">
        <v>6.4</v>
      </c>
      <c r="K4691" s="20" t="n">
        <v>0</v>
      </c>
      <c r="L4691" s="20" t="n">
        <v>0</v>
      </c>
      <c r="M4691" s="18" t="n">
        <v>348</v>
      </c>
      <c r="N4691" s="18" t="n">
        <v>348</v>
      </c>
      <c r="O4691" s="18" t="n">
        <v>0</v>
      </c>
      <c r="P4691" s="17" t="n">
        <v>46287</v>
      </c>
      <c r="Q4691" s="17" t="n">
        <v>46287</v>
      </c>
      <c r="R4691" s="17" t="n">
        <v>46287</v>
      </c>
      <c r="S4691" s="19">
        <f>H4691*I4691</f>
        <v/>
      </c>
      <c r="T4691" s="19">
        <f>H4691*J4691</f>
        <v/>
      </c>
      <c r="U4691">
        <f>IF(AND(K4691=0,G4691&lt;=Assumptions!$C$6),1,0)</f>
        <v/>
      </c>
      <c r="V4691">
        <f>IF(U4691=1,IF(M4691&gt;0,IF(P4691&lt;=G4691+Assumptions!$C$7,1,0),0),0)</f>
        <v/>
      </c>
      <c r="W4691">
        <f>IF(AND(U4691=1,M4691&gt;=H4691*(1-Assumptions!$C$8)),1,0)</f>
        <v/>
      </c>
      <c r="X4691">
        <f>IF(AND(U4691=1,N4691&gt;=H4691*(1-Assumptions!$C$8)),1,0)</f>
        <v/>
      </c>
      <c r="Y4691">
        <f>IF(ISNUMBER(Q4691),1,0)</f>
        <v/>
      </c>
      <c r="Z4691">
        <f>IF(AND(K4691=0,L4691=0,Y4691=0),1,0)</f>
        <v/>
      </c>
      <c r="AA4691">
        <f>IF(AND(Z4691=1,G4691&lt;Assumptions!$C$6),1,0)</f>
        <v/>
      </c>
      <c r="AB4691">
        <f>IF(U4691=0,"",IF(Y4691=1,MAX(0,Q4691-G4691),IF(L4691=1,MAX(0,R4691-G4691),MAX(0,Assumptions!$C$6-G4691))))</f>
        <v/>
      </c>
      <c r="AC4691">
        <f>IF(Y4691=1,Q4691-F4691,"")</f>
        <v/>
      </c>
      <c r="AD4691">
        <f>IF(Y4691=1,AC4691^2,"")</f>
        <v/>
      </c>
      <c r="AE4691" s="19">
        <f>IF(Z4691=1,(H4691-M4691)*I4691,0)</f>
        <v/>
      </c>
      <c r="AF4691">
        <f>IF(G4691&lt;EDATE(Assumptions!$C$6,-12)+1,"prior_12m","last_12m")</f>
        <v/>
      </c>
      <c r="AG4691" s="21">
        <f>DATE(YEAR(G4691),MONTH(G4691),1)</f>
        <v/>
      </c>
    </row>
    <row r="4692">
      <c r="A4692" t="inlineStr">
        <is>
          <t>SPO-02521-2</t>
        </is>
      </c>
      <c r="B4692" t="inlineStr">
        <is>
          <t>SPO-02521</t>
        </is>
      </c>
      <c r="C4692" t="inlineStr">
        <is>
          <t>SUP-04</t>
        </is>
      </c>
      <c r="D4692" t="inlineStr">
        <is>
          <t>FLEET</t>
        </is>
      </c>
      <c r="E4692" t="inlineStr">
        <is>
          <t>FLEET-03</t>
        </is>
      </c>
      <c r="F4692" s="17" t="n">
        <v>46274</v>
      </c>
      <c r="G4692" s="17" t="n">
        <v>46287</v>
      </c>
      <c r="H4692" s="18" t="n">
        <v>68</v>
      </c>
      <c r="I4692" s="19" t="n">
        <v>20.88</v>
      </c>
      <c r="J4692" s="19" t="n">
        <v>21</v>
      </c>
      <c r="K4692" s="20" t="n">
        <v>0</v>
      </c>
      <c r="L4692" s="20" t="n">
        <v>0</v>
      </c>
      <c r="M4692" s="18" t="n">
        <v>68</v>
      </c>
      <c r="N4692" s="18" t="n">
        <v>0</v>
      </c>
      <c r="O4692" s="18" t="n">
        <v>0</v>
      </c>
      <c r="P4692" s="17" t="n">
        <v>46292</v>
      </c>
      <c r="Q4692" s="17" t="n">
        <v>46292</v>
      </c>
      <c r="R4692" s="17" t="n">
        <v>46292</v>
      </c>
      <c r="S4692" s="19">
        <f>H4692*I4692</f>
        <v/>
      </c>
      <c r="T4692" s="19">
        <f>H4692*J4692</f>
        <v/>
      </c>
      <c r="U4692">
        <f>IF(AND(K4692=0,G4692&lt;=Assumptions!$C$6),1,0)</f>
        <v/>
      </c>
      <c r="V4692">
        <f>IF(U4692=1,IF(M4692&gt;0,IF(P4692&lt;=G4692+Assumptions!$C$7,1,0),0),0)</f>
        <v/>
      </c>
      <c r="W4692">
        <f>IF(AND(U4692=1,M4692&gt;=H4692*(1-Assumptions!$C$8)),1,0)</f>
        <v/>
      </c>
      <c r="X4692">
        <f>IF(AND(U4692=1,N4692&gt;=H4692*(1-Assumptions!$C$8)),1,0)</f>
        <v/>
      </c>
      <c r="Y4692">
        <f>IF(ISNUMBER(Q4692),1,0)</f>
        <v/>
      </c>
      <c r="Z4692">
        <f>IF(AND(K4692=0,L4692=0,Y4692=0),1,0)</f>
        <v/>
      </c>
      <c r="AA4692">
        <f>IF(AND(Z4692=1,G4692&lt;Assumptions!$C$6),1,0)</f>
        <v/>
      </c>
      <c r="AB4692">
        <f>IF(U4692=0,"",IF(Y4692=1,MAX(0,Q4692-G4692),IF(L4692=1,MAX(0,R4692-G4692),MAX(0,Assumptions!$C$6-G4692))))</f>
        <v/>
      </c>
      <c r="AC4692">
        <f>IF(Y4692=1,Q4692-F4692,"")</f>
        <v/>
      </c>
      <c r="AD4692">
        <f>IF(Y4692=1,AC4692^2,"")</f>
        <v/>
      </c>
      <c r="AE4692" s="19">
        <f>IF(Z4692=1,(H4692-M4692)*I4692,0)</f>
        <v/>
      </c>
      <c r="AF4692">
        <f>IF(G4692&lt;EDATE(Assumptions!$C$6,-12)+1,"prior_12m","last_12m")</f>
        <v/>
      </c>
      <c r="AG4692" s="21">
        <f>DATE(YEAR(G4692),MONTH(G4692),1)</f>
        <v/>
      </c>
    </row>
    <row r="4693">
      <c r="A4693" t="inlineStr">
        <is>
          <t>SPO-02522-1</t>
        </is>
      </c>
      <c r="B4693" t="inlineStr">
        <is>
          <t>SPO-02522</t>
        </is>
      </c>
      <c r="C4693" t="inlineStr">
        <is>
          <t>SUP-04</t>
        </is>
      </c>
      <c r="D4693" t="inlineStr">
        <is>
          <t>FLEET</t>
        </is>
      </c>
      <c r="E4693" t="inlineStr">
        <is>
          <t>FLEET-01</t>
        </is>
      </c>
      <c r="F4693" s="17" t="n">
        <v>46274</v>
      </c>
      <c r="G4693" s="17" t="n">
        <v>46287</v>
      </c>
      <c r="H4693" s="18" t="n">
        <v>12</v>
      </c>
      <c r="I4693" s="19" t="n">
        <v>63.18</v>
      </c>
      <c r="J4693" s="19" t="n">
        <v>64</v>
      </c>
      <c r="K4693" s="20" t="n">
        <v>0</v>
      </c>
      <c r="L4693" s="20" t="n">
        <v>0</v>
      </c>
      <c r="M4693" s="18" t="n">
        <v>12</v>
      </c>
      <c r="N4693" s="18" t="n">
        <v>12</v>
      </c>
      <c r="O4693" s="18" t="n">
        <v>0</v>
      </c>
      <c r="P4693" s="17" t="n">
        <v>46285</v>
      </c>
      <c r="Q4693" s="17" t="n">
        <v>46285</v>
      </c>
      <c r="R4693" s="17" t="n">
        <v>46285</v>
      </c>
      <c r="S4693" s="19">
        <f>H4693*I4693</f>
        <v/>
      </c>
      <c r="T4693" s="19">
        <f>H4693*J4693</f>
        <v/>
      </c>
      <c r="U4693">
        <f>IF(AND(K4693=0,G4693&lt;=Assumptions!$C$6),1,0)</f>
        <v/>
      </c>
      <c r="V4693">
        <f>IF(U4693=1,IF(M4693&gt;0,IF(P4693&lt;=G4693+Assumptions!$C$7,1,0),0),0)</f>
        <v/>
      </c>
      <c r="W4693">
        <f>IF(AND(U4693=1,M4693&gt;=H4693*(1-Assumptions!$C$8)),1,0)</f>
        <v/>
      </c>
      <c r="X4693">
        <f>IF(AND(U4693=1,N4693&gt;=H4693*(1-Assumptions!$C$8)),1,0)</f>
        <v/>
      </c>
      <c r="Y4693">
        <f>IF(ISNUMBER(Q4693),1,0)</f>
        <v/>
      </c>
      <c r="Z4693">
        <f>IF(AND(K4693=0,L4693=0,Y4693=0),1,0)</f>
        <v/>
      </c>
      <c r="AA4693">
        <f>IF(AND(Z4693=1,G4693&lt;Assumptions!$C$6),1,0)</f>
        <v/>
      </c>
      <c r="AB4693">
        <f>IF(U4693=0,"",IF(Y4693=1,MAX(0,Q4693-G4693),IF(L4693=1,MAX(0,R4693-G4693),MAX(0,Assumptions!$C$6-G4693))))</f>
        <v/>
      </c>
      <c r="AC4693">
        <f>IF(Y4693=1,Q4693-F4693,"")</f>
        <v/>
      </c>
      <c r="AD4693">
        <f>IF(Y4693=1,AC4693^2,"")</f>
        <v/>
      </c>
      <c r="AE4693" s="19">
        <f>IF(Z4693=1,(H4693-M4693)*I4693,0)</f>
        <v/>
      </c>
      <c r="AF4693">
        <f>IF(G4693&lt;EDATE(Assumptions!$C$6,-12)+1,"prior_12m","last_12m")</f>
        <v/>
      </c>
      <c r="AG4693" s="21">
        <f>DATE(YEAR(G4693),MONTH(G4693),1)</f>
        <v/>
      </c>
    </row>
    <row r="4694">
      <c r="A4694" t="inlineStr">
        <is>
          <t>SPO-02522-2</t>
        </is>
      </c>
      <c r="B4694" t="inlineStr">
        <is>
          <t>SPO-02522</t>
        </is>
      </c>
      <c r="C4694" t="inlineStr">
        <is>
          <t>SUP-04</t>
        </is>
      </c>
      <c r="D4694" t="inlineStr">
        <is>
          <t>FLEET</t>
        </is>
      </c>
      <c r="E4694" t="inlineStr">
        <is>
          <t>FLEET-08</t>
        </is>
      </c>
      <c r="F4694" s="17" t="n">
        <v>46274</v>
      </c>
      <c r="G4694" s="17" t="n">
        <v>46287</v>
      </c>
      <c r="H4694" s="18" t="n">
        <v>104</v>
      </c>
      <c r="I4694" s="19" t="n">
        <v>6.71</v>
      </c>
      <c r="J4694" s="19" t="n">
        <v>6.4</v>
      </c>
      <c r="K4694" s="20" t="n">
        <v>0</v>
      </c>
      <c r="L4694" s="20" t="n">
        <v>0</v>
      </c>
      <c r="M4694" s="18" t="n">
        <v>104</v>
      </c>
      <c r="N4694" s="18" t="n">
        <v>104</v>
      </c>
      <c r="O4694" s="18" t="n">
        <v>0</v>
      </c>
      <c r="P4694" s="17" t="n">
        <v>46283</v>
      </c>
      <c r="Q4694" s="17" t="n">
        <v>46283</v>
      </c>
      <c r="R4694" s="17" t="n">
        <v>46283</v>
      </c>
      <c r="S4694" s="19">
        <f>H4694*I4694</f>
        <v/>
      </c>
      <c r="T4694" s="19">
        <f>H4694*J4694</f>
        <v/>
      </c>
      <c r="U4694">
        <f>IF(AND(K4694=0,G4694&lt;=Assumptions!$C$6),1,0)</f>
        <v/>
      </c>
      <c r="V4694">
        <f>IF(U4694=1,IF(M4694&gt;0,IF(P4694&lt;=G4694+Assumptions!$C$7,1,0),0),0)</f>
        <v/>
      </c>
      <c r="W4694">
        <f>IF(AND(U4694=1,M4694&gt;=H4694*(1-Assumptions!$C$8)),1,0)</f>
        <v/>
      </c>
      <c r="X4694">
        <f>IF(AND(U4694=1,N4694&gt;=H4694*(1-Assumptions!$C$8)),1,0)</f>
        <v/>
      </c>
      <c r="Y4694">
        <f>IF(ISNUMBER(Q4694),1,0)</f>
        <v/>
      </c>
      <c r="Z4694">
        <f>IF(AND(K4694=0,L4694=0,Y4694=0),1,0)</f>
        <v/>
      </c>
      <c r="AA4694">
        <f>IF(AND(Z4694=1,G4694&lt;Assumptions!$C$6),1,0)</f>
        <v/>
      </c>
      <c r="AB4694">
        <f>IF(U4694=0,"",IF(Y4694=1,MAX(0,Q4694-G4694),IF(L4694=1,MAX(0,R4694-G4694),MAX(0,Assumptions!$C$6-G4694))))</f>
        <v/>
      </c>
      <c r="AC4694">
        <f>IF(Y4694=1,Q4694-F4694,"")</f>
        <v/>
      </c>
      <c r="AD4694">
        <f>IF(Y4694=1,AC4694^2,"")</f>
        <v/>
      </c>
      <c r="AE4694" s="19">
        <f>IF(Z4694=1,(H4694-M4694)*I4694,0)</f>
        <v/>
      </c>
      <c r="AF4694">
        <f>IF(G4694&lt;EDATE(Assumptions!$C$6,-12)+1,"prior_12m","last_12m")</f>
        <v/>
      </c>
      <c r="AG4694" s="21">
        <f>DATE(YEAR(G4694),MONTH(G4694),1)</f>
        <v/>
      </c>
    </row>
    <row r="4695">
      <c r="A4695" t="inlineStr">
        <is>
          <t>SPO-02523-1</t>
        </is>
      </c>
      <c r="B4695" t="inlineStr">
        <is>
          <t>SPO-02523</t>
        </is>
      </c>
      <c r="C4695" t="inlineStr">
        <is>
          <t>SUP-04</t>
        </is>
      </c>
      <c r="D4695" t="inlineStr">
        <is>
          <t>FLEET</t>
        </is>
      </c>
      <c r="E4695" t="inlineStr">
        <is>
          <t>FLEET-07</t>
        </is>
      </c>
      <c r="F4695" s="17" t="n">
        <v>46274</v>
      </c>
      <c r="G4695" s="17" t="n">
        <v>46287</v>
      </c>
      <c r="H4695" s="18" t="n">
        <v>16</v>
      </c>
      <c r="I4695" s="19" t="n">
        <v>120.31</v>
      </c>
      <c r="J4695" s="19" t="n">
        <v>118</v>
      </c>
      <c r="K4695" s="20" t="n">
        <v>0</v>
      </c>
      <c r="L4695" s="20" t="n">
        <v>0</v>
      </c>
      <c r="M4695" s="18" t="n">
        <v>16</v>
      </c>
      <c r="N4695" s="18" t="n">
        <v>16</v>
      </c>
      <c r="O4695" s="18" t="n">
        <v>3</v>
      </c>
      <c r="P4695" s="17" t="n">
        <v>46283</v>
      </c>
      <c r="Q4695" s="17" t="n">
        <v>46283</v>
      </c>
      <c r="R4695" s="17" t="n">
        <v>46283</v>
      </c>
      <c r="S4695" s="19">
        <f>H4695*I4695</f>
        <v/>
      </c>
      <c r="T4695" s="19">
        <f>H4695*J4695</f>
        <v/>
      </c>
      <c r="U4695">
        <f>IF(AND(K4695=0,G4695&lt;=Assumptions!$C$6),1,0)</f>
        <v/>
      </c>
      <c r="V4695">
        <f>IF(U4695=1,IF(M4695&gt;0,IF(P4695&lt;=G4695+Assumptions!$C$7,1,0),0),0)</f>
        <v/>
      </c>
      <c r="W4695">
        <f>IF(AND(U4695=1,M4695&gt;=H4695*(1-Assumptions!$C$8)),1,0)</f>
        <v/>
      </c>
      <c r="X4695">
        <f>IF(AND(U4695=1,N4695&gt;=H4695*(1-Assumptions!$C$8)),1,0)</f>
        <v/>
      </c>
      <c r="Y4695">
        <f>IF(ISNUMBER(Q4695),1,0)</f>
        <v/>
      </c>
      <c r="Z4695">
        <f>IF(AND(K4695=0,L4695=0,Y4695=0),1,0)</f>
        <v/>
      </c>
      <c r="AA4695">
        <f>IF(AND(Z4695=1,G4695&lt;Assumptions!$C$6),1,0)</f>
        <v/>
      </c>
      <c r="AB4695">
        <f>IF(U4695=0,"",IF(Y4695=1,MAX(0,Q4695-G4695),IF(L4695=1,MAX(0,R4695-G4695),MAX(0,Assumptions!$C$6-G4695))))</f>
        <v/>
      </c>
      <c r="AC4695">
        <f>IF(Y4695=1,Q4695-F4695,"")</f>
        <v/>
      </c>
      <c r="AD4695">
        <f>IF(Y4695=1,AC4695^2,"")</f>
        <v/>
      </c>
      <c r="AE4695" s="19">
        <f>IF(Z4695=1,(H4695-M4695)*I4695,0)</f>
        <v/>
      </c>
      <c r="AF4695">
        <f>IF(G4695&lt;EDATE(Assumptions!$C$6,-12)+1,"prior_12m","last_12m")</f>
        <v/>
      </c>
      <c r="AG4695" s="21">
        <f>DATE(YEAR(G4695),MONTH(G4695),1)</f>
        <v/>
      </c>
    </row>
    <row r="4696">
      <c r="A4696" t="inlineStr">
        <is>
          <t>SPO-02524-1</t>
        </is>
      </c>
      <c r="B4696" t="inlineStr">
        <is>
          <t>SPO-02524</t>
        </is>
      </c>
      <c r="C4696" t="inlineStr">
        <is>
          <t>SUP-14</t>
        </is>
      </c>
      <c r="D4696" t="inlineStr">
        <is>
          <t>FLEET</t>
        </is>
      </c>
      <c r="E4696" t="inlineStr">
        <is>
          <t>FLEET-03</t>
        </is>
      </c>
      <c r="F4696" s="17" t="n">
        <v>46275</v>
      </c>
      <c r="G4696" s="17" t="n">
        <v>46289</v>
      </c>
      <c r="H4696" s="18" t="n">
        <v>66</v>
      </c>
      <c r="I4696" s="19" t="n">
        <v>20.69</v>
      </c>
      <c r="J4696" s="19" t="n">
        <v>21</v>
      </c>
      <c r="K4696" s="20" t="n">
        <v>0</v>
      </c>
      <c r="L4696" s="20" t="n">
        <v>0</v>
      </c>
      <c r="M4696" s="18" t="n">
        <v>45</v>
      </c>
      <c r="N4696" s="18" t="n">
        <v>0</v>
      </c>
      <c r="O4696" s="18" t="n">
        <v>0</v>
      </c>
      <c r="P4696" s="17" t="n">
        <v>46290</v>
      </c>
      <c r="Q4696" s="17" t="n"/>
      <c r="R4696" s="17" t="n">
        <v>46290</v>
      </c>
      <c r="S4696" s="19">
        <f>H4696*I4696</f>
        <v/>
      </c>
      <c r="T4696" s="19">
        <f>H4696*J4696</f>
        <v/>
      </c>
      <c r="U4696">
        <f>IF(AND(K4696=0,G4696&lt;=Assumptions!$C$6),1,0)</f>
        <v/>
      </c>
      <c r="V4696">
        <f>IF(U4696=1,IF(M4696&gt;0,IF(P4696&lt;=G4696+Assumptions!$C$7,1,0),0),0)</f>
        <v/>
      </c>
      <c r="W4696">
        <f>IF(AND(U4696=1,M4696&gt;=H4696*(1-Assumptions!$C$8)),1,0)</f>
        <v/>
      </c>
      <c r="X4696">
        <f>IF(AND(U4696=1,N4696&gt;=H4696*(1-Assumptions!$C$8)),1,0)</f>
        <v/>
      </c>
      <c r="Y4696">
        <f>IF(ISNUMBER(Q4696),1,0)</f>
        <v/>
      </c>
      <c r="Z4696">
        <f>IF(AND(K4696=0,L4696=0,Y4696=0),1,0)</f>
        <v/>
      </c>
      <c r="AA4696">
        <f>IF(AND(Z4696=1,G4696&lt;Assumptions!$C$6),1,0)</f>
        <v/>
      </c>
      <c r="AB4696">
        <f>IF(U4696=0,"",IF(Y4696=1,MAX(0,Q4696-G4696),IF(L4696=1,MAX(0,R4696-G4696),MAX(0,Assumptions!$C$6-G4696))))</f>
        <v/>
      </c>
      <c r="AC4696">
        <f>IF(Y4696=1,Q4696-F4696,"")</f>
        <v/>
      </c>
      <c r="AD4696">
        <f>IF(Y4696=1,AC4696^2,"")</f>
        <v/>
      </c>
      <c r="AE4696" s="19">
        <f>IF(Z4696=1,(H4696-M4696)*I4696,0)</f>
        <v/>
      </c>
      <c r="AF4696">
        <f>IF(G4696&lt;EDATE(Assumptions!$C$6,-12)+1,"prior_12m","last_12m")</f>
        <v/>
      </c>
      <c r="AG4696" s="21">
        <f>DATE(YEAR(G4696),MONTH(G4696),1)</f>
        <v/>
      </c>
    </row>
    <row r="4697">
      <c r="A4697" t="inlineStr">
        <is>
          <t>SPO-02524-2</t>
        </is>
      </c>
      <c r="B4697" t="inlineStr">
        <is>
          <t>SPO-02524</t>
        </is>
      </c>
      <c r="C4697" t="inlineStr">
        <is>
          <t>SUP-14</t>
        </is>
      </c>
      <c r="D4697" t="inlineStr">
        <is>
          <t>FLEET</t>
        </is>
      </c>
      <c r="E4697" t="inlineStr">
        <is>
          <t>FLEET-02</t>
        </is>
      </c>
      <c r="F4697" s="17" t="n">
        <v>46275</v>
      </c>
      <c r="G4697" s="17" t="n">
        <v>46289</v>
      </c>
      <c r="H4697" s="18" t="n">
        <v>227</v>
      </c>
      <c r="I4697" s="19" t="n">
        <v>7.34</v>
      </c>
      <c r="J4697" s="19" t="n">
        <v>7.5</v>
      </c>
      <c r="K4697" s="20" t="n">
        <v>0</v>
      </c>
      <c r="L4697" s="20" t="n">
        <v>0</v>
      </c>
      <c r="M4697" s="18" t="n">
        <v>227</v>
      </c>
      <c r="N4697" s="18" t="n">
        <v>227</v>
      </c>
      <c r="O4697" s="18" t="n">
        <v>0</v>
      </c>
      <c r="P4697" s="17" t="n">
        <v>46286</v>
      </c>
      <c r="Q4697" s="17" t="n">
        <v>46286</v>
      </c>
      <c r="R4697" s="17" t="n">
        <v>46286</v>
      </c>
      <c r="S4697" s="19">
        <f>H4697*I4697</f>
        <v/>
      </c>
      <c r="T4697" s="19">
        <f>H4697*J4697</f>
        <v/>
      </c>
      <c r="U4697">
        <f>IF(AND(K4697=0,G4697&lt;=Assumptions!$C$6),1,0)</f>
        <v/>
      </c>
      <c r="V4697">
        <f>IF(U4697=1,IF(M4697&gt;0,IF(P4697&lt;=G4697+Assumptions!$C$7,1,0),0),0)</f>
        <v/>
      </c>
      <c r="W4697">
        <f>IF(AND(U4697=1,M4697&gt;=H4697*(1-Assumptions!$C$8)),1,0)</f>
        <v/>
      </c>
      <c r="X4697">
        <f>IF(AND(U4697=1,N4697&gt;=H4697*(1-Assumptions!$C$8)),1,0)</f>
        <v/>
      </c>
      <c r="Y4697">
        <f>IF(ISNUMBER(Q4697),1,0)</f>
        <v/>
      </c>
      <c r="Z4697">
        <f>IF(AND(K4697=0,L4697=0,Y4697=0),1,0)</f>
        <v/>
      </c>
      <c r="AA4697">
        <f>IF(AND(Z4697=1,G4697&lt;Assumptions!$C$6),1,0)</f>
        <v/>
      </c>
      <c r="AB4697">
        <f>IF(U4697=0,"",IF(Y4697=1,MAX(0,Q4697-G4697),IF(L4697=1,MAX(0,R4697-G4697),MAX(0,Assumptions!$C$6-G4697))))</f>
        <v/>
      </c>
      <c r="AC4697">
        <f>IF(Y4697=1,Q4697-F4697,"")</f>
        <v/>
      </c>
      <c r="AD4697">
        <f>IF(Y4697=1,AC4697^2,"")</f>
        <v/>
      </c>
      <c r="AE4697" s="19">
        <f>IF(Z4697=1,(H4697-M4697)*I4697,0)</f>
        <v/>
      </c>
      <c r="AF4697">
        <f>IF(G4697&lt;EDATE(Assumptions!$C$6,-12)+1,"prior_12m","last_12m")</f>
        <v/>
      </c>
      <c r="AG4697" s="21">
        <f>DATE(YEAR(G4697),MONTH(G4697),1)</f>
        <v/>
      </c>
    </row>
    <row r="4698">
      <c r="A4698" t="inlineStr">
        <is>
          <t>SPO-02525-1</t>
        </is>
      </c>
      <c r="B4698" t="inlineStr">
        <is>
          <t>SPO-02525</t>
        </is>
      </c>
      <c r="C4698" t="inlineStr">
        <is>
          <t>SUP-12</t>
        </is>
      </c>
      <c r="D4698" t="inlineStr">
        <is>
          <t>IT</t>
        </is>
      </c>
      <c r="E4698" t="inlineStr">
        <is>
          <t>IT-02</t>
        </is>
      </c>
      <c r="F4698" s="17" t="n">
        <v>46275</v>
      </c>
      <c r="G4698" s="17" t="n">
        <v>46285</v>
      </c>
      <c r="H4698" s="18" t="n">
        <v>11</v>
      </c>
      <c r="I4698" s="19" t="n">
        <v>180.68</v>
      </c>
      <c r="J4698" s="19" t="n">
        <v>162</v>
      </c>
      <c r="K4698" s="20" t="n">
        <v>0</v>
      </c>
      <c r="L4698" s="20" t="n">
        <v>0</v>
      </c>
      <c r="M4698" s="18" t="n">
        <v>11</v>
      </c>
      <c r="N4698" s="18" t="n">
        <v>11</v>
      </c>
      <c r="O4698" s="18" t="n">
        <v>0</v>
      </c>
      <c r="P4698" s="17" t="n">
        <v>46281</v>
      </c>
      <c r="Q4698" s="17" t="n">
        <v>46281</v>
      </c>
      <c r="R4698" s="17" t="n">
        <v>46281</v>
      </c>
      <c r="S4698" s="19">
        <f>H4698*I4698</f>
        <v/>
      </c>
      <c r="T4698" s="19">
        <f>H4698*J4698</f>
        <v/>
      </c>
      <c r="U4698">
        <f>IF(AND(K4698=0,G4698&lt;=Assumptions!$C$6),1,0)</f>
        <v/>
      </c>
      <c r="V4698">
        <f>IF(U4698=1,IF(M4698&gt;0,IF(P4698&lt;=G4698+Assumptions!$C$7,1,0),0),0)</f>
        <v/>
      </c>
      <c r="W4698">
        <f>IF(AND(U4698=1,M4698&gt;=H4698*(1-Assumptions!$C$8)),1,0)</f>
        <v/>
      </c>
      <c r="X4698">
        <f>IF(AND(U4698=1,N4698&gt;=H4698*(1-Assumptions!$C$8)),1,0)</f>
        <v/>
      </c>
      <c r="Y4698">
        <f>IF(ISNUMBER(Q4698),1,0)</f>
        <v/>
      </c>
      <c r="Z4698">
        <f>IF(AND(K4698=0,L4698=0,Y4698=0),1,0)</f>
        <v/>
      </c>
      <c r="AA4698">
        <f>IF(AND(Z4698=1,G4698&lt;Assumptions!$C$6),1,0)</f>
        <v/>
      </c>
      <c r="AB4698">
        <f>IF(U4698=0,"",IF(Y4698=1,MAX(0,Q4698-G4698),IF(L4698=1,MAX(0,R4698-G4698),MAX(0,Assumptions!$C$6-G4698))))</f>
        <v/>
      </c>
      <c r="AC4698">
        <f>IF(Y4698=1,Q4698-F4698,"")</f>
        <v/>
      </c>
      <c r="AD4698">
        <f>IF(Y4698=1,AC4698^2,"")</f>
        <v/>
      </c>
      <c r="AE4698" s="19">
        <f>IF(Z4698=1,(H4698-M4698)*I4698,0)</f>
        <v/>
      </c>
      <c r="AF4698">
        <f>IF(G4698&lt;EDATE(Assumptions!$C$6,-12)+1,"prior_12m","last_12m")</f>
        <v/>
      </c>
      <c r="AG4698" s="21">
        <f>DATE(YEAR(G4698),MONTH(G4698),1)</f>
        <v/>
      </c>
    </row>
    <row r="4699">
      <c r="A4699" t="inlineStr">
        <is>
          <t>SPO-02526-1</t>
        </is>
      </c>
      <c r="B4699" t="inlineStr">
        <is>
          <t>SPO-02526</t>
        </is>
      </c>
      <c r="C4699" t="inlineStr">
        <is>
          <t>SUP-02</t>
        </is>
      </c>
      <c r="D4699" t="inlineStr">
        <is>
          <t>ELEC</t>
        </is>
      </c>
      <c r="E4699" t="inlineStr">
        <is>
          <t>ELEC-04</t>
        </is>
      </c>
      <c r="F4699" s="17" t="n">
        <v>46275</v>
      </c>
      <c r="G4699" s="17" t="n">
        <v>46291</v>
      </c>
      <c r="H4699" s="18" t="n">
        <v>26</v>
      </c>
      <c r="I4699" s="19" t="n">
        <v>70</v>
      </c>
      <c r="J4699" s="19" t="n">
        <v>72</v>
      </c>
      <c r="K4699" s="20" t="n">
        <v>0</v>
      </c>
      <c r="L4699" s="20" t="n">
        <v>0</v>
      </c>
      <c r="M4699" s="18" t="n">
        <v>26</v>
      </c>
      <c r="N4699" s="18" t="n">
        <v>26</v>
      </c>
      <c r="O4699" s="18" t="n">
        <v>0</v>
      </c>
      <c r="P4699" s="17" t="n">
        <v>46288</v>
      </c>
      <c r="Q4699" s="17" t="n">
        <v>46288</v>
      </c>
      <c r="R4699" s="17" t="n">
        <v>46288</v>
      </c>
      <c r="S4699" s="19">
        <f>H4699*I4699</f>
        <v/>
      </c>
      <c r="T4699" s="19">
        <f>H4699*J4699</f>
        <v/>
      </c>
      <c r="U4699">
        <f>IF(AND(K4699=0,G4699&lt;=Assumptions!$C$6),1,0)</f>
        <v/>
      </c>
      <c r="V4699">
        <f>IF(U4699=1,IF(M4699&gt;0,IF(P4699&lt;=G4699+Assumptions!$C$7,1,0),0),0)</f>
        <v/>
      </c>
      <c r="W4699">
        <f>IF(AND(U4699=1,M4699&gt;=H4699*(1-Assumptions!$C$8)),1,0)</f>
        <v/>
      </c>
      <c r="X4699">
        <f>IF(AND(U4699=1,N4699&gt;=H4699*(1-Assumptions!$C$8)),1,0)</f>
        <v/>
      </c>
      <c r="Y4699">
        <f>IF(ISNUMBER(Q4699),1,0)</f>
        <v/>
      </c>
      <c r="Z4699">
        <f>IF(AND(K4699=0,L4699=0,Y4699=0),1,0)</f>
        <v/>
      </c>
      <c r="AA4699">
        <f>IF(AND(Z4699=1,G4699&lt;Assumptions!$C$6),1,0)</f>
        <v/>
      </c>
      <c r="AB4699">
        <f>IF(U4699=0,"",IF(Y4699=1,MAX(0,Q4699-G4699),IF(L4699=1,MAX(0,R4699-G4699),MAX(0,Assumptions!$C$6-G4699))))</f>
        <v/>
      </c>
      <c r="AC4699">
        <f>IF(Y4699=1,Q4699-F4699,"")</f>
        <v/>
      </c>
      <c r="AD4699">
        <f>IF(Y4699=1,AC4699^2,"")</f>
        <v/>
      </c>
      <c r="AE4699" s="19">
        <f>IF(Z4699=1,(H4699-M4699)*I4699,0)</f>
        <v/>
      </c>
      <c r="AF4699">
        <f>IF(G4699&lt;EDATE(Assumptions!$C$6,-12)+1,"prior_12m","last_12m")</f>
        <v/>
      </c>
      <c r="AG4699" s="21">
        <f>DATE(YEAR(G4699),MONTH(G4699),1)</f>
        <v/>
      </c>
    </row>
    <row r="4700">
      <c r="A4700" t="inlineStr">
        <is>
          <t>SPO-02526-2</t>
        </is>
      </c>
      <c r="B4700" t="inlineStr">
        <is>
          <t>SPO-02526</t>
        </is>
      </c>
      <c r="C4700" t="inlineStr">
        <is>
          <t>SUP-02</t>
        </is>
      </c>
      <c r="D4700" t="inlineStr">
        <is>
          <t>ELEC</t>
        </is>
      </c>
      <c r="E4700" t="inlineStr">
        <is>
          <t>ELEC-02</t>
        </is>
      </c>
      <c r="F4700" s="17" t="n">
        <v>46275</v>
      </c>
      <c r="G4700" s="17" t="n">
        <v>46291</v>
      </c>
      <c r="H4700" s="18" t="n">
        <v>544</v>
      </c>
      <c r="I4700" s="19" t="n">
        <v>4.3</v>
      </c>
      <c r="J4700" s="19" t="n">
        <v>4.2</v>
      </c>
      <c r="K4700" s="20" t="n">
        <v>0</v>
      </c>
      <c r="L4700" s="20" t="n">
        <v>0</v>
      </c>
      <c r="M4700" s="18" t="n">
        <v>544</v>
      </c>
      <c r="N4700" s="18" t="n">
        <v>544</v>
      </c>
      <c r="O4700" s="18" t="n">
        <v>0</v>
      </c>
      <c r="P4700" s="17" t="n">
        <v>46291</v>
      </c>
      <c r="Q4700" s="17" t="n">
        <v>46291</v>
      </c>
      <c r="R4700" s="17" t="n">
        <v>46291</v>
      </c>
      <c r="S4700" s="19">
        <f>H4700*I4700</f>
        <v/>
      </c>
      <c r="T4700" s="19">
        <f>H4700*J4700</f>
        <v/>
      </c>
      <c r="U4700">
        <f>IF(AND(K4700=0,G4700&lt;=Assumptions!$C$6),1,0)</f>
        <v/>
      </c>
      <c r="V4700">
        <f>IF(U4700=1,IF(M4700&gt;0,IF(P4700&lt;=G4700+Assumptions!$C$7,1,0),0),0)</f>
        <v/>
      </c>
      <c r="W4700">
        <f>IF(AND(U4700=1,M4700&gt;=H4700*(1-Assumptions!$C$8)),1,0)</f>
        <v/>
      </c>
      <c r="X4700">
        <f>IF(AND(U4700=1,N4700&gt;=H4700*(1-Assumptions!$C$8)),1,0)</f>
        <v/>
      </c>
      <c r="Y4700">
        <f>IF(ISNUMBER(Q4700),1,0)</f>
        <v/>
      </c>
      <c r="Z4700">
        <f>IF(AND(K4700=0,L4700=0,Y4700=0),1,0)</f>
        <v/>
      </c>
      <c r="AA4700">
        <f>IF(AND(Z4700=1,G4700&lt;Assumptions!$C$6),1,0)</f>
        <v/>
      </c>
      <c r="AB4700">
        <f>IF(U4700=0,"",IF(Y4700=1,MAX(0,Q4700-G4700),IF(L4700=1,MAX(0,R4700-G4700),MAX(0,Assumptions!$C$6-G4700))))</f>
        <v/>
      </c>
      <c r="AC4700">
        <f>IF(Y4700=1,Q4700-F4700,"")</f>
        <v/>
      </c>
      <c r="AD4700">
        <f>IF(Y4700=1,AC4700^2,"")</f>
        <v/>
      </c>
      <c r="AE4700" s="19">
        <f>IF(Z4700=1,(H4700-M4700)*I4700,0)</f>
        <v/>
      </c>
      <c r="AF4700">
        <f>IF(G4700&lt;EDATE(Assumptions!$C$6,-12)+1,"prior_12m","last_12m")</f>
        <v/>
      </c>
      <c r="AG4700" s="21">
        <f>DATE(YEAR(G4700),MONTH(G4700),1)</f>
        <v/>
      </c>
    </row>
    <row r="4701">
      <c r="A4701" t="inlineStr">
        <is>
          <t>SPO-02526-3</t>
        </is>
      </c>
      <c r="B4701" t="inlineStr">
        <is>
          <t>SPO-02526</t>
        </is>
      </c>
      <c r="C4701" t="inlineStr">
        <is>
          <t>SUP-02</t>
        </is>
      </c>
      <c r="D4701" t="inlineStr">
        <is>
          <t>ELEC</t>
        </is>
      </c>
      <c r="E4701" t="inlineStr">
        <is>
          <t>ELEC-08</t>
        </is>
      </c>
      <c r="F4701" s="17" t="n">
        <v>46275</v>
      </c>
      <c r="G4701" s="17" t="n">
        <v>46291</v>
      </c>
      <c r="H4701" s="18" t="n">
        <v>116</v>
      </c>
      <c r="I4701" s="19" t="n">
        <v>18.07</v>
      </c>
      <c r="J4701" s="19" t="n">
        <v>18</v>
      </c>
      <c r="K4701" s="20" t="n">
        <v>0</v>
      </c>
      <c r="L4701" s="20" t="n">
        <v>0</v>
      </c>
      <c r="M4701" s="18" t="n">
        <v>116</v>
      </c>
      <c r="N4701" s="18" t="n">
        <v>116</v>
      </c>
      <c r="O4701" s="18" t="n">
        <v>0</v>
      </c>
      <c r="P4701" s="17" t="n">
        <v>46289</v>
      </c>
      <c r="Q4701" s="17" t="n">
        <v>46289</v>
      </c>
      <c r="R4701" s="17" t="n">
        <v>46289</v>
      </c>
      <c r="S4701" s="19">
        <f>H4701*I4701</f>
        <v/>
      </c>
      <c r="T4701" s="19">
        <f>H4701*J4701</f>
        <v/>
      </c>
      <c r="U4701">
        <f>IF(AND(K4701=0,G4701&lt;=Assumptions!$C$6),1,0)</f>
        <v/>
      </c>
      <c r="V4701">
        <f>IF(U4701=1,IF(M4701&gt;0,IF(P4701&lt;=G4701+Assumptions!$C$7,1,0),0),0)</f>
        <v/>
      </c>
      <c r="W4701">
        <f>IF(AND(U4701=1,M4701&gt;=H4701*(1-Assumptions!$C$8)),1,0)</f>
        <v/>
      </c>
      <c r="X4701">
        <f>IF(AND(U4701=1,N4701&gt;=H4701*(1-Assumptions!$C$8)),1,0)</f>
        <v/>
      </c>
      <c r="Y4701">
        <f>IF(ISNUMBER(Q4701),1,0)</f>
        <v/>
      </c>
      <c r="Z4701">
        <f>IF(AND(K4701=0,L4701=0,Y4701=0),1,0)</f>
        <v/>
      </c>
      <c r="AA4701">
        <f>IF(AND(Z4701=1,G4701&lt;Assumptions!$C$6),1,0)</f>
        <v/>
      </c>
      <c r="AB4701">
        <f>IF(U4701=0,"",IF(Y4701=1,MAX(0,Q4701-G4701),IF(L4701=1,MAX(0,R4701-G4701),MAX(0,Assumptions!$C$6-G4701))))</f>
        <v/>
      </c>
      <c r="AC4701">
        <f>IF(Y4701=1,Q4701-F4701,"")</f>
        <v/>
      </c>
      <c r="AD4701">
        <f>IF(Y4701=1,AC4701^2,"")</f>
        <v/>
      </c>
      <c r="AE4701" s="19">
        <f>IF(Z4701=1,(H4701-M4701)*I4701,0)</f>
        <v/>
      </c>
      <c r="AF4701">
        <f>IF(G4701&lt;EDATE(Assumptions!$C$6,-12)+1,"prior_12m","last_12m")</f>
        <v/>
      </c>
      <c r="AG4701" s="21">
        <f>DATE(YEAR(G4701),MONTH(G4701),1)</f>
        <v/>
      </c>
    </row>
    <row r="4702">
      <c r="A4702" t="inlineStr">
        <is>
          <t>SPO-02527-1</t>
        </is>
      </c>
      <c r="B4702" t="inlineStr">
        <is>
          <t>SPO-02527</t>
        </is>
      </c>
      <c r="C4702" t="inlineStr">
        <is>
          <t>SUP-10</t>
        </is>
      </c>
      <c r="D4702" t="inlineStr">
        <is>
          <t>PPE</t>
        </is>
      </c>
      <c r="E4702" t="inlineStr">
        <is>
          <t>PPE-07</t>
        </is>
      </c>
      <c r="F4702" s="17" t="n">
        <v>46276</v>
      </c>
      <c r="G4702" s="17" t="n">
        <v>46289</v>
      </c>
      <c r="H4702" s="18" t="n">
        <v>165</v>
      </c>
      <c r="I4702" s="19" t="n">
        <v>30.43</v>
      </c>
      <c r="J4702" s="19" t="n">
        <v>31</v>
      </c>
      <c r="K4702" s="20" t="n">
        <v>0</v>
      </c>
      <c r="L4702" s="20" t="n">
        <v>0</v>
      </c>
      <c r="M4702" s="18" t="n">
        <v>165</v>
      </c>
      <c r="N4702" s="18" t="n">
        <v>165</v>
      </c>
      <c r="O4702" s="18" t="n">
        <v>0</v>
      </c>
      <c r="P4702" s="17" t="n">
        <v>46284</v>
      </c>
      <c r="Q4702" s="17" t="n">
        <v>46284</v>
      </c>
      <c r="R4702" s="17" t="n">
        <v>46284</v>
      </c>
      <c r="S4702" s="19">
        <f>H4702*I4702</f>
        <v/>
      </c>
      <c r="T4702" s="19">
        <f>H4702*J4702</f>
        <v/>
      </c>
      <c r="U4702">
        <f>IF(AND(K4702=0,G4702&lt;=Assumptions!$C$6),1,0)</f>
        <v/>
      </c>
      <c r="V4702">
        <f>IF(U4702=1,IF(M4702&gt;0,IF(P4702&lt;=G4702+Assumptions!$C$7,1,0),0),0)</f>
        <v/>
      </c>
      <c r="W4702">
        <f>IF(AND(U4702=1,M4702&gt;=H4702*(1-Assumptions!$C$8)),1,0)</f>
        <v/>
      </c>
      <c r="X4702">
        <f>IF(AND(U4702=1,N4702&gt;=H4702*(1-Assumptions!$C$8)),1,0)</f>
        <v/>
      </c>
      <c r="Y4702">
        <f>IF(ISNUMBER(Q4702),1,0)</f>
        <v/>
      </c>
      <c r="Z4702">
        <f>IF(AND(K4702=0,L4702=0,Y4702=0),1,0)</f>
        <v/>
      </c>
      <c r="AA4702">
        <f>IF(AND(Z4702=1,G4702&lt;Assumptions!$C$6),1,0)</f>
        <v/>
      </c>
      <c r="AB4702">
        <f>IF(U4702=0,"",IF(Y4702=1,MAX(0,Q4702-G4702),IF(L4702=1,MAX(0,R4702-G4702),MAX(0,Assumptions!$C$6-G4702))))</f>
        <v/>
      </c>
      <c r="AC4702">
        <f>IF(Y4702=1,Q4702-F4702,"")</f>
        <v/>
      </c>
      <c r="AD4702">
        <f>IF(Y4702=1,AC4702^2,"")</f>
        <v/>
      </c>
      <c r="AE4702" s="19">
        <f>IF(Z4702=1,(H4702-M4702)*I4702,0)</f>
        <v/>
      </c>
      <c r="AF4702">
        <f>IF(G4702&lt;EDATE(Assumptions!$C$6,-12)+1,"prior_12m","last_12m")</f>
        <v/>
      </c>
      <c r="AG4702" s="21">
        <f>DATE(YEAR(G4702),MONTH(G4702),1)</f>
        <v/>
      </c>
    </row>
    <row r="4703">
      <c r="A4703" t="inlineStr">
        <is>
          <t>SPO-02527-2</t>
        </is>
      </c>
      <c r="B4703" t="inlineStr">
        <is>
          <t>SPO-02527</t>
        </is>
      </c>
      <c r="C4703" t="inlineStr">
        <is>
          <t>SUP-10</t>
        </is>
      </c>
      <c r="D4703" t="inlineStr">
        <is>
          <t>PPE</t>
        </is>
      </c>
      <c r="E4703" t="inlineStr">
        <is>
          <t>PPE-02</t>
        </is>
      </c>
      <c r="F4703" s="17" t="n">
        <v>46276</v>
      </c>
      <c r="G4703" s="17" t="n">
        <v>46289</v>
      </c>
      <c r="H4703" s="18" t="n">
        <v>186</v>
      </c>
      <c r="I4703" s="19" t="n">
        <v>12.31</v>
      </c>
      <c r="J4703" s="19" t="n">
        <v>12.5</v>
      </c>
      <c r="K4703" s="20" t="n">
        <v>1</v>
      </c>
      <c r="L4703" s="20" t="n">
        <v>0</v>
      </c>
      <c r="M4703" s="18" t="n">
        <v>0</v>
      </c>
      <c r="N4703" s="18" t="n">
        <v>0</v>
      </c>
      <c r="O4703" s="18" t="n">
        <v>0</v>
      </c>
      <c r="P4703" s="17" t="n"/>
      <c r="Q4703" s="17" t="n"/>
      <c r="R4703" s="17" t="n"/>
      <c r="S4703" s="19">
        <f>H4703*I4703</f>
        <v/>
      </c>
      <c r="T4703" s="19">
        <f>H4703*J4703</f>
        <v/>
      </c>
      <c r="U4703">
        <f>IF(AND(K4703=0,G4703&lt;=Assumptions!$C$6),1,0)</f>
        <v/>
      </c>
      <c r="V4703">
        <f>IF(U4703=1,IF(M4703&gt;0,IF(P4703&lt;=G4703+Assumptions!$C$7,1,0),0),0)</f>
        <v/>
      </c>
      <c r="W4703">
        <f>IF(AND(U4703=1,M4703&gt;=H4703*(1-Assumptions!$C$8)),1,0)</f>
        <v/>
      </c>
      <c r="X4703">
        <f>IF(AND(U4703=1,N4703&gt;=H4703*(1-Assumptions!$C$8)),1,0)</f>
        <v/>
      </c>
      <c r="Y4703">
        <f>IF(ISNUMBER(Q4703),1,0)</f>
        <v/>
      </c>
      <c r="Z4703">
        <f>IF(AND(K4703=0,L4703=0,Y4703=0),1,0)</f>
        <v/>
      </c>
      <c r="AA4703">
        <f>IF(AND(Z4703=1,G4703&lt;Assumptions!$C$6),1,0)</f>
        <v/>
      </c>
      <c r="AB4703">
        <f>IF(U4703=0,"",IF(Y4703=1,MAX(0,Q4703-G4703),IF(L4703=1,MAX(0,R4703-G4703),MAX(0,Assumptions!$C$6-G4703))))</f>
        <v/>
      </c>
      <c r="AC4703">
        <f>IF(Y4703=1,Q4703-F4703,"")</f>
        <v/>
      </c>
      <c r="AD4703">
        <f>IF(Y4703=1,AC4703^2,"")</f>
        <v/>
      </c>
      <c r="AE4703" s="19">
        <f>IF(Z4703=1,(H4703-M4703)*I4703,0)</f>
        <v/>
      </c>
      <c r="AF4703">
        <f>IF(G4703&lt;EDATE(Assumptions!$C$6,-12)+1,"prior_12m","last_12m")</f>
        <v/>
      </c>
      <c r="AG4703" s="21">
        <f>DATE(YEAR(G4703),MONTH(G4703),1)</f>
        <v/>
      </c>
    </row>
    <row r="4704">
      <c r="A4704" t="inlineStr">
        <is>
          <t>SPO-02528-1</t>
        </is>
      </c>
      <c r="B4704" t="inlineStr">
        <is>
          <t>SPO-02528</t>
        </is>
      </c>
      <c r="C4704" t="inlineStr">
        <is>
          <t>SUP-05</t>
        </is>
      </c>
      <c r="D4704" t="inlineStr">
        <is>
          <t>FLEET</t>
        </is>
      </c>
      <c r="E4704" t="inlineStr">
        <is>
          <t>FLEET-07</t>
        </is>
      </c>
      <c r="F4704" s="17" t="n">
        <v>46277</v>
      </c>
      <c r="G4704" s="17" t="n">
        <v>46291</v>
      </c>
      <c r="H4704" s="18" t="n">
        <v>16</v>
      </c>
      <c r="I4704" s="19" t="n">
        <v>121.94</v>
      </c>
      <c r="J4704" s="19" t="n">
        <v>118</v>
      </c>
      <c r="K4704" s="20" t="n">
        <v>0</v>
      </c>
      <c r="L4704" s="20" t="n">
        <v>0</v>
      </c>
      <c r="M4704" s="18" t="n">
        <v>16</v>
      </c>
      <c r="N4704" s="18" t="n">
        <v>16</v>
      </c>
      <c r="O4704" s="18" t="n">
        <v>0</v>
      </c>
      <c r="P4704" s="17" t="n">
        <v>46287</v>
      </c>
      <c r="Q4704" s="17" t="n">
        <v>46287</v>
      </c>
      <c r="R4704" s="17" t="n">
        <v>46287</v>
      </c>
      <c r="S4704" s="19">
        <f>H4704*I4704</f>
        <v/>
      </c>
      <c r="T4704" s="19">
        <f>H4704*J4704</f>
        <v/>
      </c>
      <c r="U4704">
        <f>IF(AND(K4704=0,G4704&lt;=Assumptions!$C$6),1,0)</f>
        <v/>
      </c>
      <c r="V4704">
        <f>IF(U4704=1,IF(M4704&gt;0,IF(P4704&lt;=G4704+Assumptions!$C$7,1,0),0),0)</f>
        <v/>
      </c>
      <c r="W4704">
        <f>IF(AND(U4704=1,M4704&gt;=H4704*(1-Assumptions!$C$8)),1,0)</f>
        <v/>
      </c>
      <c r="X4704">
        <f>IF(AND(U4704=1,N4704&gt;=H4704*(1-Assumptions!$C$8)),1,0)</f>
        <v/>
      </c>
      <c r="Y4704">
        <f>IF(ISNUMBER(Q4704),1,0)</f>
        <v/>
      </c>
      <c r="Z4704">
        <f>IF(AND(K4704=0,L4704=0,Y4704=0),1,0)</f>
        <v/>
      </c>
      <c r="AA4704">
        <f>IF(AND(Z4704=1,G4704&lt;Assumptions!$C$6),1,0)</f>
        <v/>
      </c>
      <c r="AB4704">
        <f>IF(U4704=0,"",IF(Y4704=1,MAX(0,Q4704-G4704),IF(L4704=1,MAX(0,R4704-G4704),MAX(0,Assumptions!$C$6-G4704))))</f>
        <v/>
      </c>
      <c r="AC4704">
        <f>IF(Y4704=1,Q4704-F4704,"")</f>
        <v/>
      </c>
      <c r="AD4704">
        <f>IF(Y4704=1,AC4704^2,"")</f>
        <v/>
      </c>
      <c r="AE4704" s="19">
        <f>IF(Z4704=1,(H4704-M4704)*I4704,0)</f>
        <v/>
      </c>
      <c r="AF4704">
        <f>IF(G4704&lt;EDATE(Assumptions!$C$6,-12)+1,"prior_12m","last_12m")</f>
        <v/>
      </c>
      <c r="AG4704" s="21">
        <f>DATE(YEAR(G4704),MONTH(G4704),1)</f>
        <v/>
      </c>
    </row>
    <row r="4705">
      <c r="A4705" t="inlineStr">
        <is>
          <t>SPO-02529-1</t>
        </is>
      </c>
      <c r="B4705" t="inlineStr">
        <is>
          <t>SPO-02529</t>
        </is>
      </c>
      <c r="C4705" t="inlineStr">
        <is>
          <t>SUP-08</t>
        </is>
      </c>
      <c r="D4705" t="inlineStr">
        <is>
          <t>MRO</t>
        </is>
      </c>
      <c r="E4705" t="inlineStr">
        <is>
          <t>MRO-07</t>
        </is>
      </c>
      <c r="F4705" s="17" t="n">
        <v>46278</v>
      </c>
      <c r="G4705" s="17" t="n">
        <v>46289</v>
      </c>
      <c r="H4705" s="18" t="n">
        <v>189</v>
      </c>
      <c r="I4705" s="19" t="n">
        <v>14.05</v>
      </c>
      <c r="J4705" s="19" t="n">
        <v>14</v>
      </c>
      <c r="K4705" s="20" t="n">
        <v>0</v>
      </c>
      <c r="L4705" s="20" t="n">
        <v>0</v>
      </c>
      <c r="M4705" s="18" t="n">
        <v>189</v>
      </c>
      <c r="N4705" s="18" t="n">
        <v>189</v>
      </c>
      <c r="O4705" s="18" t="n">
        <v>0</v>
      </c>
      <c r="P4705" s="17" t="n">
        <v>46283</v>
      </c>
      <c r="Q4705" s="17" t="n">
        <v>46283</v>
      </c>
      <c r="R4705" s="17" t="n">
        <v>46283</v>
      </c>
      <c r="S4705" s="19">
        <f>H4705*I4705</f>
        <v/>
      </c>
      <c r="T4705" s="19">
        <f>H4705*J4705</f>
        <v/>
      </c>
      <c r="U4705">
        <f>IF(AND(K4705=0,G4705&lt;=Assumptions!$C$6),1,0)</f>
        <v/>
      </c>
      <c r="V4705">
        <f>IF(U4705=1,IF(M4705&gt;0,IF(P4705&lt;=G4705+Assumptions!$C$7,1,0),0),0)</f>
        <v/>
      </c>
      <c r="W4705">
        <f>IF(AND(U4705=1,M4705&gt;=H4705*(1-Assumptions!$C$8)),1,0)</f>
        <v/>
      </c>
      <c r="X4705">
        <f>IF(AND(U4705=1,N4705&gt;=H4705*(1-Assumptions!$C$8)),1,0)</f>
        <v/>
      </c>
      <c r="Y4705">
        <f>IF(ISNUMBER(Q4705),1,0)</f>
        <v/>
      </c>
      <c r="Z4705">
        <f>IF(AND(K4705=0,L4705=0,Y4705=0),1,0)</f>
        <v/>
      </c>
      <c r="AA4705">
        <f>IF(AND(Z4705=1,G4705&lt;Assumptions!$C$6),1,0)</f>
        <v/>
      </c>
      <c r="AB4705">
        <f>IF(U4705=0,"",IF(Y4705=1,MAX(0,Q4705-G4705),IF(L4705=1,MAX(0,R4705-G4705),MAX(0,Assumptions!$C$6-G4705))))</f>
        <v/>
      </c>
      <c r="AC4705">
        <f>IF(Y4705=1,Q4705-F4705,"")</f>
        <v/>
      </c>
      <c r="AD4705">
        <f>IF(Y4705=1,AC4705^2,"")</f>
        <v/>
      </c>
      <c r="AE4705" s="19">
        <f>IF(Z4705=1,(H4705-M4705)*I4705,0)</f>
        <v/>
      </c>
      <c r="AF4705">
        <f>IF(G4705&lt;EDATE(Assumptions!$C$6,-12)+1,"prior_12m","last_12m")</f>
        <v/>
      </c>
      <c r="AG4705" s="21">
        <f>DATE(YEAR(G4705),MONTH(G4705),1)</f>
        <v/>
      </c>
    </row>
    <row r="4706">
      <c r="A4706" t="inlineStr">
        <is>
          <t>SPO-02530-1</t>
        </is>
      </c>
      <c r="B4706" t="inlineStr">
        <is>
          <t>SPO-02530</t>
        </is>
      </c>
      <c r="C4706" t="inlineStr">
        <is>
          <t>SUP-08</t>
        </is>
      </c>
      <c r="D4706" t="inlineStr">
        <is>
          <t>PPE</t>
        </is>
      </c>
      <c r="E4706" t="inlineStr">
        <is>
          <t>PPE-07</t>
        </is>
      </c>
      <c r="F4706" s="17" t="n">
        <v>46278</v>
      </c>
      <c r="G4706" s="17" t="n">
        <v>46289</v>
      </c>
      <c r="H4706" s="18" t="n">
        <v>22</v>
      </c>
      <c r="I4706" s="19" t="n">
        <v>29.99</v>
      </c>
      <c r="J4706" s="19" t="n">
        <v>31</v>
      </c>
      <c r="K4706" s="20" t="n">
        <v>0</v>
      </c>
      <c r="L4706" s="20" t="n">
        <v>0</v>
      </c>
      <c r="M4706" s="18" t="n">
        <v>22</v>
      </c>
      <c r="N4706" s="18" t="n">
        <v>22</v>
      </c>
      <c r="O4706" s="18" t="n">
        <v>0</v>
      </c>
      <c r="P4706" s="17" t="n">
        <v>46285</v>
      </c>
      <c r="Q4706" s="17" t="n">
        <v>46285</v>
      </c>
      <c r="R4706" s="17" t="n">
        <v>46285</v>
      </c>
      <c r="S4706" s="19">
        <f>H4706*I4706</f>
        <v/>
      </c>
      <c r="T4706" s="19">
        <f>H4706*J4706</f>
        <v/>
      </c>
      <c r="U4706">
        <f>IF(AND(K4706=0,G4706&lt;=Assumptions!$C$6),1,0)</f>
        <v/>
      </c>
      <c r="V4706">
        <f>IF(U4706=1,IF(M4706&gt;0,IF(P4706&lt;=G4706+Assumptions!$C$7,1,0),0),0)</f>
        <v/>
      </c>
      <c r="W4706">
        <f>IF(AND(U4706=1,M4706&gt;=H4706*(1-Assumptions!$C$8)),1,0)</f>
        <v/>
      </c>
      <c r="X4706">
        <f>IF(AND(U4706=1,N4706&gt;=H4706*(1-Assumptions!$C$8)),1,0)</f>
        <v/>
      </c>
      <c r="Y4706">
        <f>IF(ISNUMBER(Q4706),1,0)</f>
        <v/>
      </c>
      <c r="Z4706">
        <f>IF(AND(K4706=0,L4706=0,Y4706=0),1,0)</f>
        <v/>
      </c>
      <c r="AA4706">
        <f>IF(AND(Z4706=1,G4706&lt;Assumptions!$C$6),1,0)</f>
        <v/>
      </c>
      <c r="AB4706">
        <f>IF(U4706=0,"",IF(Y4706=1,MAX(0,Q4706-G4706),IF(L4706=1,MAX(0,R4706-G4706),MAX(0,Assumptions!$C$6-G4706))))</f>
        <v/>
      </c>
      <c r="AC4706">
        <f>IF(Y4706=1,Q4706-F4706,"")</f>
        <v/>
      </c>
      <c r="AD4706">
        <f>IF(Y4706=1,AC4706^2,"")</f>
        <v/>
      </c>
      <c r="AE4706" s="19">
        <f>IF(Z4706=1,(H4706-M4706)*I4706,0)</f>
        <v/>
      </c>
      <c r="AF4706">
        <f>IF(G4706&lt;EDATE(Assumptions!$C$6,-12)+1,"prior_12m","last_12m")</f>
        <v/>
      </c>
      <c r="AG4706" s="21">
        <f>DATE(YEAR(G4706),MONTH(G4706),1)</f>
        <v/>
      </c>
    </row>
    <row r="4707">
      <c r="A4707" t="inlineStr">
        <is>
          <t>SPO-02530-2</t>
        </is>
      </c>
      <c r="B4707" t="inlineStr">
        <is>
          <t>SPO-02530</t>
        </is>
      </c>
      <c r="C4707" t="inlineStr">
        <is>
          <t>SUP-08</t>
        </is>
      </c>
      <c r="D4707" t="inlineStr">
        <is>
          <t>PPE</t>
        </is>
      </c>
      <c r="E4707" t="inlineStr">
        <is>
          <t>PPE-08</t>
        </is>
      </c>
      <c r="F4707" s="17" t="n">
        <v>46278</v>
      </c>
      <c r="G4707" s="17" t="n">
        <v>46289</v>
      </c>
      <c r="H4707" s="18" t="n">
        <v>9</v>
      </c>
      <c r="I4707" s="19" t="n">
        <v>62.67</v>
      </c>
      <c r="J4707" s="19" t="n">
        <v>64</v>
      </c>
      <c r="K4707" s="20" t="n">
        <v>0</v>
      </c>
      <c r="L4707" s="20" t="n">
        <v>0</v>
      </c>
      <c r="M4707" s="18" t="n">
        <v>9</v>
      </c>
      <c r="N4707" s="18" t="n">
        <v>9</v>
      </c>
      <c r="O4707" s="18" t="n">
        <v>0</v>
      </c>
      <c r="P4707" s="17" t="n">
        <v>46284</v>
      </c>
      <c r="Q4707" s="17" t="n">
        <v>46284</v>
      </c>
      <c r="R4707" s="17" t="n">
        <v>46284</v>
      </c>
      <c r="S4707" s="19">
        <f>H4707*I4707</f>
        <v/>
      </c>
      <c r="T4707" s="19">
        <f>H4707*J4707</f>
        <v/>
      </c>
      <c r="U4707">
        <f>IF(AND(K4707=0,G4707&lt;=Assumptions!$C$6),1,0)</f>
        <v/>
      </c>
      <c r="V4707">
        <f>IF(U4707=1,IF(M4707&gt;0,IF(P4707&lt;=G4707+Assumptions!$C$7,1,0),0),0)</f>
        <v/>
      </c>
      <c r="W4707">
        <f>IF(AND(U4707=1,M4707&gt;=H4707*(1-Assumptions!$C$8)),1,0)</f>
        <v/>
      </c>
      <c r="X4707">
        <f>IF(AND(U4707=1,N4707&gt;=H4707*(1-Assumptions!$C$8)),1,0)</f>
        <v/>
      </c>
      <c r="Y4707">
        <f>IF(ISNUMBER(Q4707),1,0)</f>
        <v/>
      </c>
      <c r="Z4707">
        <f>IF(AND(K4707=0,L4707=0,Y4707=0),1,0)</f>
        <v/>
      </c>
      <c r="AA4707">
        <f>IF(AND(Z4707=1,G4707&lt;Assumptions!$C$6),1,0)</f>
        <v/>
      </c>
      <c r="AB4707">
        <f>IF(U4707=0,"",IF(Y4707=1,MAX(0,Q4707-G4707),IF(L4707=1,MAX(0,R4707-G4707),MAX(0,Assumptions!$C$6-G4707))))</f>
        <v/>
      </c>
      <c r="AC4707">
        <f>IF(Y4707=1,Q4707-F4707,"")</f>
        <v/>
      </c>
      <c r="AD4707">
        <f>IF(Y4707=1,AC4707^2,"")</f>
        <v/>
      </c>
      <c r="AE4707" s="19">
        <f>IF(Z4707=1,(H4707-M4707)*I4707,0)</f>
        <v/>
      </c>
      <c r="AF4707">
        <f>IF(G4707&lt;EDATE(Assumptions!$C$6,-12)+1,"prior_12m","last_12m")</f>
        <v/>
      </c>
      <c r="AG4707" s="21">
        <f>DATE(YEAR(G4707),MONTH(G4707),1)</f>
        <v/>
      </c>
    </row>
    <row r="4708">
      <c r="A4708" t="inlineStr">
        <is>
          <t>SPO-02530-3</t>
        </is>
      </c>
      <c r="B4708" t="inlineStr">
        <is>
          <t>SPO-02530</t>
        </is>
      </c>
      <c r="C4708" t="inlineStr">
        <is>
          <t>SUP-08</t>
        </is>
      </c>
      <c r="D4708" t="inlineStr">
        <is>
          <t>PPE</t>
        </is>
      </c>
      <c r="E4708" t="inlineStr">
        <is>
          <t>PPE-01</t>
        </is>
      </c>
      <c r="F4708" s="17" t="n">
        <v>46278</v>
      </c>
      <c r="G4708" s="17" t="n">
        <v>46289</v>
      </c>
      <c r="H4708" s="18" t="n">
        <v>155</v>
      </c>
      <c r="I4708" s="19" t="n">
        <v>4.77</v>
      </c>
      <c r="J4708" s="19" t="n">
        <v>4.8</v>
      </c>
      <c r="K4708" s="20" t="n">
        <v>0</v>
      </c>
      <c r="L4708" s="20" t="n">
        <v>0</v>
      </c>
      <c r="M4708" s="18" t="n">
        <v>155</v>
      </c>
      <c r="N4708" s="18" t="n">
        <v>155</v>
      </c>
      <c r="O4708" s="18" t="n">
        <v>0</v>
      </c>
      <c r="P4708" s="17" t="n">
        <v>46283</v>
      </c>
      <c r="Q4708" s="17" t="n">
        <v>46283</v>
      </c>
      <c r="R4708" s="17" t="n">
        <v>46283</v>
      </c>
      <c r="S4708" s="19">
        <f>H4708*I4708</f>
        <v/>
      </c>
      <c r="T4708" s="19">
        <f>H4708*J4708</f>
        <v/>
      </c>
      <c r="U4708">
        <f>IF(AND(K4708=0,G4708&lt;=Assumptions!$C$6),1,0)</f>
        <v/>
      </c>
      <c r="V4708">
        <f>IF(U4708=1,IF(M4708&gt;0,IF(P4708&lt;=G4708+Assumptions!$C$7,1,0),0),0)</f>
        <v/>
      </c>
      <c r="W4708">
        <f>IF(AND(U4708=1,M4708&gt;=H4708*(1-Assumptions!$C$8)),1,0)</f>
        <v/>
      </c>
      <c r="X4708">
        <f>IF(AND(U4708=1,N4708&gt;=H4708*(1-Assumptions!$C$8)),1,0)</f>
        <v/>
      </c>
      <c r="Y4708">
        <f>IF(ISNUMBER(Q4708),1,0)</f>
        <v/>
      </c>
      <c r="Z4708">
        <f>IF(AND(K4708=0,L4708=0,Y4708=0),1,0)</f>
        <v/>
      </c>
      <c r="AA4708">
        <f>IF(AND(Z4708=1,G4708&lt;Assumptions!$C$6),1,0)</f>
        <v/>
      </c>
      <c r="AB4708">
        <f>IF(U4708=0,"",IF(Y4708=1,MAX(0,Q4708-G4708),IF(L4708=1,MAX(0,R4708-G4708),MAX(0,Assumptions!$C$6-G4708))))</f>
        <v/>
      </c>
      <c r="AC4708">
        <f>IF(Y4708=1,Q4708-F4708,"")</f>
        <v/>
      </c>
      <c r="AD4708">
        <f>IF(Y4708=1,AC4708^2,"")</f>
        <v/>
      </c>
      <c r="AE4708" s="19">
        <f>IF(Z4708=1,(H4708-M4708)*I4708,0)</f>
        <v/>
      </c>
      <c r="AF4708">
        <f>IF(G4708&lt;EDATE(Assumptions!$C$6,-12)+1,"prior_12m","last_12m")</f>
        <v/>
      </c>
      <c r="AG4708" s="21">
        <f>DATE(YEAR(G4708),MONTH(G4708),1)</f>
        <v/>
      </c>
    </row>
    <row r="4709">
      <c r="A4709" t="inlineStr">
        <is>
          <t>SPO-02530-4</t>
        </is>
      </c>
      <c r="B4709" t="inlineStr">
        <is>
          <t>SPO-02530</t>
        </is>
      </c>
      <c r="C4709" t="inlineStr">
        <is>
          <t>SUP-08</t>
        </is>
      </c>
      <c r="D4709" t="inlineStr">
        <is>
          <t>PPE</t>
        </is>
      </c>
      <c r="E4709" t="inlineStr">
        <is>
          <t>PPE-06</t>
        </is>
      </c>
      <c r="F4709" s="17" t="n">
        <v>46278</v>
      </c>
      <c r="G4709" s="17" t="n">
        <v>46289</v>
      </c>
      <c r="H4709" s="18" t="n">
        <v>10</v>
      </c>
      <c r="I4709" s="19" t="n">
        <v>111.65</v>
      </c>
      <c r="J4709" s="19" t="n">
        <v>115</v>
      </c>
      <c r="K4709" s="20" t="n">
        <v>0</v>
      </c>
      <c r="L4709" s="20" t="n">
        <v>0</v>
      </c>
      <c r="M4709" s="18" t="n">
        <v>10</v>
      </c>
      <c r="N4709" s="18" t="n">
        <v>10</v>
      </c>
      <c r="O4709" s="18" t="n">
        <v>0</v>
      </c>
      <c r="P4709" s="17" t="n">
        <v>46286</v>
      </c>
      <c r="Q4709" s="17" t="n">
        <v>46286</v>
      </c>
      <c r="R4709" s="17" t="n">
        <v>46286</v>
      </c>
      <c r="S4709" s="19">
        <f>H4709*I4709</f>
        <v/>
      </c>
      <c r="T4709" s="19">
        <f>H4709*J4709</f>
        <v/>
      </c>
      <c r="U4709">
        <f>IF(AND(K4709=0,G4709&lt;=Assumptions!$C$6),1,0)</f>
        <v/>
      </c>
      <c r="V4709">
        <f>IF(U4709=1,IF(M4709&gt;0,IF(P4709&lt;=G4709+Assumptions!$C$7,1,0),0),0)</f>
        <v/>
      </c>
      <c r="W4709">
        <f>IF(AND(U4709=1,M4709&gt;=H4709*(1-Assumptions!$C$8)),1,0)</f>
        <v/>
      </c>
      <c r="X4709">
        <f>IF(AND(U4709=1,N4709&gt;=H4709*(1-Assumptions!$C$8)),1,0)</f>
        <v/>
      </c>
      <c r="Y4709">
        <f>IF(ISNUMBER(Q4709),1,0)</f>
        <v/>
      </c>
      <c r="Z4709">
        <f>IF(AND(K4709=0,L4709=0,Y4709=0),1,0)</f>
        <v/>
      </c>
      <c r="AA4709">
        <f>IF(AND(Z4709=1,G4709&lt;Assumptions!$C$6),1,0)</f>
        <v/>
      </c>
      <c r="AB4709">
        <f>IF(U4709=0,"",IF(Y4709=1,MAX(0,Q4709-G4709),IF(L4709=1,MAX(0,R4709-G4709),MAX(0,Assumptions!$C$6-G4709))))</f>
        <v/>
      </c>
      <c r="AC4709">
        <f>IF(Y4709=1,Q4709-F4709,"")</f>
        <v/>
      </c>
      <c r="AD4709">
        <f>IF(Y4709=1,AC4709^2,"")</f>
        <v/>
      </c>
      <c r="AE4709" s="19">
        <f>IF(Z4709=1,(H4709-M4709)*I4709,0)</f>
        <v/>
      </c>
      <c r="AF4709">
        <f>IF(G4709&lt;EDATE(Assumptions!$C$6,-12)+1,"prior_12m","last_12m")</f>
        <v/>
      </c>
      <c r="AG4709" s="21">
        <f>DATE(YEAR(G4709),MONTH(G4709),1)</f>
        <v/>
      </c>
    </row>
    <row r="4710">
      <c r="A4710" t="inlineStr">
        <is>
          <t>SPO-02531-1</t>
        </is>
      </c>
      <c r="B4710" t="inlineStr">
        <is>
          <t>SPO-02531</t>
        </is>
      </c>
      <c r="C4710" t="inlineStr">
        <is>
          <t>SUP-06</t>
        </is>
      </c>
      <c r="D4710" t="inlineStr">
        <is>
          <t>MRO</t>
        </is>
      </c>
      <c r="E4710" t="inlineStr">
        <is>
          <t>MRO-07</t>
        </is>
      </c>
      <c r="F4710" s="17" t="n">
        <v>46278</v>
      </c>
      <c r="G4710" s="17" t="n">
        <v>46286</v>
      </c>
      <c r="H4710" s="18" t="n">
        <v>135</v>
      </c>
      <c r="I4710" s="19" t="n">
        <v>13.78</v>
      </c>
      <c r="J4710" s="19" t="n">
        <v>14</v>
      </c>
      <c r="K4710" s="20" t="n">
        <v>0</v>
      </c>
      <c r="L4710" s="20" t="n">
        <v>0</v>
      </c>
      <c r="M4710" s="18" t="n">
        <v>135</v>
      </c>
      <c r="N4710" s="18" t="n">
        <v>135</v>
      </c>
      <c r="O4710" s="18" t="n">
        <v>0</v>
      </c>
      <c r="P4710" s="17" t="n">
        <v>46284</v>
      </c>
      <c r="Q4710" s="17" t="n">
        <v>46284</v>
      </c>
      <c r="R4710" s="17" t="n">
        <v>46284</v>
      </c>
      <c r="S4710" s="19">
        <f>H4710*I4710</f>
        <v/>
      </c>
      <c r="T4710" s="19">
        <f>H4710*J4710</f>
        <v/>
      </c>
      <c r="U4710">
        <f>IF(AND(K4710=0,G4710&lt;=Assumptions!$C$6),1,0)</f>
        <v/>
      </c>
      <c r="V4710">
        <f>IF(U4710=1,IF(M4710&gt;0,IF(P4710&lt;=G4710+Assumptions!$C$7,1,0),0),0)</f>
        <v/>
      </c>
      <c r="W4710">
        <f>IF(AND(U4710=1,M4710&gt;=H4710*(1-Assumptions!$C$8)),1,0)</f>
        <v/>
      </c>
      <c r="X4710">
        <f>IF(AND(U4710=1,N4710&gt;=H4710*(1-Assumptions!$C$8)),1,0)</f>
        <v/>
      </c>
      <c r="Y4710">
        <f>IF(ISNUMBER(Q4710),1,0)</f>
        <v/>
      </c>
      <c r="Z4710">
        <f>IF(AND(K4710=0,L4710=0,Y4710=0),1,0)</f>
        <v/>
      </c>
      <c r="AA4710">
        <f>IF(AND(Z4710=1,G4710&lt;Assumptions!$C$6),1,0)</f>
        <v/>
      </c>
      <c r="AB4710">
        <f>IF(U4710=0,"",IF(Y4710=1,MAX(0,Q4710-G4710),IF(L4710=1,MAX(0,R4710-G4710),MAX(0,Assumptions!$C$6-G4710))))</f>
        <v/>
      </c>
      <c r="AC4710">
        <f>IF(Y4710=1,Q4710-F4710,"")</f>
        <v/>
      </c>
      <c r="AD4710">
        <f>IF(Y4710=1,AC4710^2,"")</f>
        <v/>
      </c>
      <c r="AE4710" s="19">
        <f>IF(Z4710=1,(H4710-M4710)*I4710,0)</f>
        <v/>
      </c>
      <c r="AF4710">
        <f>IF(G4710&lt;EDATE(Assumptions!$C$6,-12)+1,"prior_12m","last_12m")</f>
        <v/>
      </c>
      <c r="AG4710" s="21">
        <f>DATE(YEAR(G4710),MONTH(G4710),1)</f>
        <v/>
      </c>
    </row>
    <row r="4711">
      <c r="A4711" t="inlineStr">
        <is>
          <t>SPO-02531-2</t>
        </is>
      </c>
      <c r="B4711" t="inlineStr">
        <is>
          <t>SPO-02531</t>
        </is>
      </c>
      <c r="C4711" t="inlineStr">
        <is>
          <t>SUP-06</t>
        </is>
      </c>
      <c r="D4711" t="inlineStr">
        <is>
          <t>MRO</t>
        </is>
      </c>
      <c r="E4711" t="inlineStr">
        <is>
          <t>MRO-01</t>
        </is>
      </c>
      <c r="F4711" s="17" t="n">
        <v>46278</v>
      </c>
      <c r="G4711" s="17" t="n">
        <v>46286</v>
      </c>
      <c r="H4711" s="18" t="n">
        <v>33</v>
      </c>
      <c r="I4711" s="19" t="n">
        <v>52.79</v>
      </c>
      <c r="J4711" s="19" t="n">
        <v>52</v>
      </c>
      <c r="K4711" s="20" t="n">
        <v>0</v>
      </c>
      <c r="L4711" s="20" t="n">
        <v>0</v>
      </c>
      <c r="M4711" s="18" t="n">
        <v>33</v>
      </c>
      <c r="N4711" s="18" t="n">
        <v>33</v>
      </c>
      <c r="O4711" s="18" t="n">
        <v>0</v>
      </c>
      <c r="P4711" s="17" t="n">
        <v>46284</v>
      </c>
      <c r="Q4711" s="17" t="n">
        <v>46284</v>
      </c>
      <c r="R4711" s="17" t="n">
        <v>46284</v>
      </c>
      <c r="S4711" s="19">
        <f>H4711*I4711</f>
        <v/>
      </c>
      <c r="T4711" s="19">
        <f>H4711*J4711</f>
        <v/>
      </c>
      <c r="U4711">
        <f>IF(AND(K4711=0,G4711&lt;=Assumptions!$C$6),1,0)</f>
        <v/>
      </c>
      <c r="V4711">
        <f>IF(U4711=1,IF(M4711&gt;0,IF(P4711&lt;=G4711+Assumptions!$C$7,1,0),0),0)</f>
        <v/>
      </c>
      <c r="W4711">
        <f>IF(AND(U4711=1,M4711&gt;=H4711*(1-Assumptions!$C$8)),1,0)</f>
        <v/>
      </c>
      <c r="X4711">
        <f>IF(AND(U4711=1,N4711&gt;=H4711*(1-Assumptions!$C$8)),1,0)</f>
        <v/>
      </c>
      <c r="Y4711">
        <f>IF(ISNUMBER(Q4711),1,0)</f>
        <v/>
      </c>
      <c r="Z4711">
        <f>IF(AND(K4711=0,L4711=0,Y4711=0),1,0)</f>
        <v/>
      </c>
      <c r="AA4711">
        <f>IF(AND(Z4711=1,G4711&lt;Assumptions!$C$6),1,0)</f>
        <v/>
      </c>
      <c r="AB4711">
        <f>IF(U4711=0,"",IF(Y4711=1,MAX(0,Q4711-G4711),IF(L4711=1,MAX(0,R4711-G4711),MAX(0,Assumptions!$C$6-G4711))))</f>
        <v/>
      </c>
      <c r="AC4711">
        <f>IF(Y4711=1,Q4711-F4711,"")</f>
        <v/>
      </c>
      <c r="AD4711">
        <f>IF(Y4711=1,AC4711^2,"")</f>
        <v/>
      </c>
      <c r="AE4711" s="19">
        <f>IF(Z4711=1,(H4711-M4711)*I4711,0)</f>
        <v/>
      </c>
      <c r="AF4711">
        <f>IF(G4711&lt;EDATE(Assumptions!$C$6,-12)+1,"prior_12m","last_12m")</f>
        <v/>
      </c>
      <c r="AG4711" s="21">
        <f>DATE(YEAR(G4711),MONTH(G4711),1)</f>
        <v/>
      </c>
    </row>
    <row r="4712">
      <c r="A4712" t="inlineStr">
        <is>
          <t>SPO-02532-1</t>
        </is>
      </c>
      <c r="B4712" t="inlineStr">
        <is>
          <t>SPO-02532</t>
        </is>
      </c>
      <c r="C4712" t="inlineStr">
        <is>
          <t>SUP-10</t>
        </is>
      </c>
      <c r="D4712" t="inlineStr">
        <is>
          <t>PPE</t>
        </is>
      </c>
      <c r="E4712" t="inlineStr">
        <is>
          <t>PPE-01</t>
        </is>
      </c>
      <c r="F4712" s="17" t="n">
        <v>46278</v>
      </c>
      <c r="G4712" s="17" t="n">
        <v>46291</v>
      </c>
      <c r="H4712" s="18" t="n">
        <v>102</v>
      </c>
      <c r="I4712" s="19" t="n">
        <v>4.32</v>
      </c>
      <c r="J4712" s="19" t="n">
        <v>4.8</v>
      </c>
      <c r="K4712" s="20" t="n">
        <v>0</v>
      </c>
      <c r="L4712" s="20" t="n">
        <v>0</v>
      </c>
      <c r="M4712" s="18" t="n">
        <v>102</v>
      </c>
      <c r="N4712" s="18" t="n">
        <v>102</v>
      </c>
      <c r="O4712" s="18" t="n">
        <v>0</v>
      </c>
      <c r="P4712" s="17" t="n">
        <v>46289</v>
      </c>
      <c r="Q4712" s="17" t="n">
        <v>46289</v>
      </c>
      <c r="R4712" s="17" t="n">
        <v>46289</v>
      </c>
      <c r="S4712" s="19">
        <f>H4712*I4712</f>
        <v/>
      </c>
      <c r="T4712" s="19">
        <f>H4712*J4712</f>
        <v/>
      </c>
      <c r="U4712">
        <f>IF(AND(K4712=0,G4712&lt;=Assumptions!$C$6),1,0)</f>
        <v/>
      </c>
      <c r="V4712">
        <f>IF(U4712=1,IF(M4712&gt;0,IF(P4712&lt;=G4712+Assumptions!$C$7,1,0),0),0)</f>
        <v/>
      </c>
      <c r="W4712">
        <f>IF(AND(U4712=1,M4712&gt;=H4712*(1-Assumptions!$C$8)),1,0)</f>
        <v/>
      </c>
      <c r="X4712">
        <f>IF(AND(U4712=1,N4712&gt;=H4712*(1-Assumptions!$C$8)),1,0)</f>
        <v/>
      </c>
      <c r="Y4712">
        <f>IF(ISNUMBER(Q4712),1,0)</f>
        <v/>
      </c>
      <c r="Z4712">
        <f>IF(AND(K4712=0,L4712=0,Y4712=0),1,0)</f>
        <v/>
      </c>
      <c r="AA4712">
        <f>IF(AND(Z4712=1,G4712&lt;Assumptions!$C$6),1,0)</f>
        <v/>
      </c>
      <c r="AB4712">
        <f>IF(U4712=0,"",IF(Y4712=1,MAX(0,Q4712-G4712),IF(L4712=1,MAX(0,R4712-G4712),MAX(0,Assumptions!$C$6-G4712))))</f>
        <v/>
      </c>
      <c r="AC4712">
        <f>IF(Y4712=1,Q4712-F4712,"")</f>
        <v/>
      </c>
      <c r="AD4712">
        <f>IF(Y4712=1,AC4712^2,"")</f>
        <v/>
      </c>
      <c r="AE4712" s="19">
        <f>IF(Z4712=1,(H4712-M4712)*I4712,0)</f>
        <v/>
      </c>
      <c r="AF4712">
        <f>IF(G4712&lt;EDATE(Assumptions!$C$6,-12)+1,"prior_12m","last_12m")</f>
        <v/>
      </c>
      <c r="AG4712" s="21">
        <f>DATE(YEAR(G4712),MONTH(G4712),1)</f>
        <v/>
      </c>
    </row>
    <row r="4713">
      <c r="A4713" t="inlineStr">
        <is>
          <t>SPO-02533-1</t>
        </is>
      </c>
      <c r="B4713" t="inlineStr">
        <is>
          <t>SPO-02533</t>
        </is>
      </c>
      <c r="C4713" t="inlineStr">
        <is>
          <t>SUP-01</t>
        </is>
      </c>
      <c r="D4713" t="inlineStr">
        <is>
          <t>ELEC</t>
        </is>
      </c>
      <c r="E4713" t="inlineStr">
        <is>
          <t>ELEC-02</t>
        </is>
      </c>
      <c r="F4713" s="17" t="n">
        <v>46279</v>
      </c>
      <c r="G4713" s="17" t="n">
        <v>46297</v>
      </c>
      <c r="H4713" s="18" t="n">
        <v>436</v>
      </c>
      <c r="I4713" s="19" t="n">
        <v>4.46</v>
      </c>
      <c r="J4713" s="19" t="n">
        <v>4.2</v>
      </c>
      <c r="K4713" s="20" t="n">
        <v>0</v>
      </c>
      <c r="L4713" s="20" t="n">
        <v>0</v>
      </c>
      <c r="M4713" s="18" t="n">
        <v>436</v>
      </c>
      <c r="N4713" s="18" t="n">
        <v>436</v>
      </c>
      <c r="O4713" s="18" t="n">
        <v>0</v>
      </c>
      <c r="P4713" s="17" t="n">
        <v>46294</v>
      </c>
      <c r="Q4713" s="17" t="n">
        <v>46294</v>
      </c>
      <c r="R4713" s="17" t="n">
        <v>46294</v>
      </c>
      <c r="S4713" s="19">
        <f>H4713*I4713</f>
        <v/>
      </c>
      <c r="T4713" s="19">
        <f>H4713*J4713</f>
        <v/>
      </c>
      <c r="U4713">
        <f>IF(AND(K4713=0,G4713&lt;=Assumptions!$C$6),1,0)</f>
        <v/>
      </c>
      <c r="V4713">
        <f>IF(U4713=1,IF(M4713&gt;0,IF(P4713&lt;=G4713+Assumptions!$C$7,1,0),0),0)</f>
        <v/>
      </c>
      <c r="W4713">
        <f>IF(AND(U4713=1,M4713&gt;=H4713*(1-Assumptions!$C$8)),1,0)</f>
        <v/>
      </c>
      <c r="X4713">
        <f>IF(AND(U4713=1,N4713&gt;=H4713*(1-Assumptions!$C$8)),1,0)</f>
        <v/>
      </c>
      <c r="Y4713">
        <f>IF(ISNUMBER(Q4713),1,0)</f>
        <v/>
      </c>
      <c r="Z4713">
        <f>IF(AND(K4713=0,L4713=0,Y4713=0),1,0)</f>
        <v/>
      </c>
      <c r="AA4713">
        <f>IF(AND(Z4713=1,G4713&lt;Assumptions!$C$6),1,0)</f>
        <v/>
      </c>
      <c r="AB4713">
        <f>IF(U4713=0,"",IF(Y4713=1,MAX(0,Q4713-G4713),IF(L4713=1,MAX(0,R4713-G4713),MAX(0,Assumptions!$C$6-G4713))))</f>
        <v/>
      </c>
      <c r="AC4713">
        <f>IF(Y4713=1,Q4713-F4713,"")</f>
        <v/>
      </c>
      <c r="AD4713">
        <f>IF(Y4713=1,AC4713^2,"")</f>
        <v/>
      </c>
      <c r="AE4713" s="19">
        <f>IF(Z4713=1,(H4713-M4713)*I4713,0)</f>
        <v/>
      </c>
      <c r="AF4713">
        <f>IF(G4713&lt;EDATE(Assumptions!$C$6,-12)+1,"prior_12m","last_12m")</f>
        <v/>
      </c>
      <c r="AG4713" s="21">
        <f>DATE(YEAR(G4713),MONTH(G4713),1)</f>
        <v/>
      </c>
    </row>
    <row r="4714">
      <c r="A4714" t="inlineStr">
        <is>
          <t>SPO-02533-2</t>
        </is>
      </c>
      <c r="B4714" t="inlineStr">
        <is>
          <t>SPO-02533</t>
        </is>
      </c>
      <c r="C4714" t="inlineStr">
        <is>
          <t>SUP-01</t>
        </is>
      </c>
      <c r="D4714" t="inlineStr">
        <is>
          <t>ELEC</t>
        </is>
      </c>
      <c r="E4714" t="inlineStr">
        <is>
          <t>ELEC-07</t>
        </is>
      </c>
      <c r="F4714" s="17" t="n">
        <v>46279</v>
      </c>
      <c r="G4714" s="17" t="n">
        <v>46297</v>
      </c>
      <c r="H4714" s="18" t="n">
        <v>270</v>
      </c>
      <c r="I4714" s="19" t="n">
        <v>10.26</v>
      </c>
      <c r="J4714" s="19" t="n">
        <v>9.800000000000001</v>
      </c>
      <c r="K4714" s="20" t="n">
        <v>0</v>
      </c>
      <c r="L4714" s="20" t="n">
        <v>0</v>
      </c>
      <c r="M4714" s="18" t="n">
        <v>0</v>
      </c>
      <c r="N4714" s="18" t="n">
        <v>0</v>
      </c>
      <c r="O4714" s="18" t="n">
        <v>0</v>
      </c>
      <c r="P4714" s="17" t="n"/>
      <c r="Q4714" s="17" t="n"/>
      <c r="R4714" s="17" t="n"/>
      <c r="S4714" s="19">
        <f>H4714*I4714</f>
        <v/>
      </c>
      <c r="T4714" s="19">
        <f>H4714*J4714</f>
        <v/>
      </c>
      <c r="U4714">
        <f>IF(AND(K4714=0,G4714&lt;=Assumptions!$C$6),1,0)</f>
        <v/>
      </c>
      <c r="V4714">
        <f>IF(U4714=1,IF(M4714&gt;0,IF(P4714&lt;=G4714+Assumptions!$C$7,1,0),0),0)</f>
        <v/>
      </c>
      <c r="W4714">
        <f>IF(AND(U4714=1,M4714&gt;=H4714*(1-Assumptions!$C$8)),1,0)</f>
        <v/>
      </c>
      <c r="X4714">
        <f>IF(AND(U4714=1,N4714&gt;=H4714*(1-Assumptions!$C$8)),1,0)</f>
        <v/>
      </c>
      <c r="Y4714">
        <f>IF(ISNUMBER(Q4714),1,0)</f>
        <v/>
      </c>
      <c r="Z4714">
        <f>IF(AND(K4714=0,L4714=0,Y4714=0),1,0)</f>
        <v/>
      </c>
      <c r="AA4714">
        <f>IF(AND(Z4714=1,G4714&lt;Assumptions!$C$6),1,0)</f>
        <v/>
      </c>
      <c r="AB4714">
        <f>IF(U4714=0,"",IF(Y4714=1,MAX(0,Q4714-G4714),IF(L4714=1,MAX(0,R4714-G4714),MAX(0,Assumptions!$C$6-G4714))))</f>
        <v/>
      </c>
      <c r="AC4714">
        <f>IF(Y4714=1,Q4714-F4714,"")</f>
        <v/>
      </c>
      <c r="AD4714">
        <f>IF(Y4714=1,AC4714^2,"")</f>
        <v/>
      </c>
      <c r="AE4714" s="19">
        <f>IF(Z4714=1,(H4714-M4714)*I4714,0)</f>
        <v/>
      </c>
      <c r="AF4714">
        <f>IF(G4714&lt;EDATE(Assumptions!$C$6,-12)+1,"prior_12m","last_12m")</f>
        <v/>
      </c>
      <c r="AG4714" s="21">
        <f>DATE(YEAR(G4714),MONTH(G4714),1)</f>
        <v/>
      </c>
    </row>
    <row r="4715">
      <c r="A4715" t="inlineStr">
        <is>
          <t>SPO-02534-1</t>
        </is>
      </c>
      <c r="B4715" t="inlineStr">
        <is>
          <t>SPO-02534</t>
        </is>
      </c>
      <c r="C4715" t="inlineStr">
        <is>
          <t>SUP-11</t>
        </is>
      </c>
      <c r="D4715" t="inlineStr">
        <is>
          <t>PPE</t>
        </is>
      </c>
      <c r="E4715" t="inlineStr">
        <is>
          <t>PPE-02</t>
        </is>
      </c>
      <c r="F4715" s="17" t="n">
        <v>46279</v>
      </c>
      <c r="G4715" s="17" t="n">
        <v>46291</v>
      </c>
      <c r="H4715" s="18" t="n">
        <v>145</v>
      </c>
      <c r="I4715" s="19" t="n">
        <v>12.34</v>
      </c>
      <c r="J4715" s="19" t="n">
        <v>12.5</v>
      </c>
      <c r="K4715" s="20" t="n">
        <v>0</v>
      </c>
      <c r="L4715" s="20" t="n">
        <v>0</v>
      </c>
      <c r="M4715" s="18" t="n">
        <v>145</v>
      </c>
      <c r="N4715" s="18" t="n">
        <v>145</v>
      </c>
      <c r="O4715" s="18" t="n">
        <v>0</v>
      </c>
      <c r="P4715" s="17" t="n">
        <v>46291</v>
      </c>
      <c r="Q4715" s="17" t="n">
        <v>46291</v>
      </c>
      <c r="R4715" s="17" t="n">
        <v>46291</v>
      </c>
      <c r="S4715" s="19">
        <f>H4715*I4715</f>
        <v/>
      </c>
      <c r="T4715" s="19">
        <f>H4715*J4715</f>
        <v/>
      </c>
      <c r="U4715">
        <f>IF(AND(K4715=0,G4715&lt;=Assumptions!$C$6),1,0)</f>
        <v/>
      </c>
      <c r="V4715">
        <f>IF(U4715=1,IF(M4715&gt;0,IF(P4715&lt;=G4715+Assumptions!$C$7,1,0),0),0)</f>
        <v/>
      </c>
      <c r="W4715">
        <f>IF(AND(U4715=1,M4715&gt;=H4715*(1-Assumptions!$C$8)),1,0)</f>
        <v/>
      </c>
      <c r="X4715">
        <f>IF(AND(U4715=1,N4715&gt;=H4715*(1-Assumptions!$C$8)),1,0)</f>
        <v/>
      </c>
      <c r="Y4715">
        <f>IF(ISNUMBER(Q4715),1,0)</f>
        <v/>
      </c>
      <c r="Z4715">
        <f>IF(AND(K4715=0,L4715=0,Y4715=0),1,0)</f>
        <v/>
      </c>
      <c r="AA4715">
        <f>IF(AND(Z4715=1,G4715&lt;Assumptions!$C$6),1,0)</f>
        <v/>
      </c>
      <c r="AB4715">
        <f>IF(U4715=0,"",IF(Y4715=1,MAX(0,Q4715-G4715),IF(L4715=1,MAX(0,R4715-G4715),MAX(0,Assumptions!$C$6-G4715))))</f>
        <v/>
      </c>
      <c r="AC4715">
        <f>IF(Y4715=1,Q4715-F4715,"")</f>
        <v/>
      </c>
      <c r="AD4715">
        <f>IF(Y4715=1,AC4715^2,"")</f>
        <v/>
      </c>
      <c r="AE4715" s="19">
        <f>IF(Z4715=1,(H4715-M4715)*I4715,0)</f>
        <v/>
      </c>
      <c r="AF4715">
        <f>IF(G4715&lt;EDATE(Assumptions!$C$6,-12)+1,"prior_12m","last_12m")</f>
        <v/>
      </c>
      <c r="AG4715" s="21">
        <f>DATE(YEAR(G4715),MONTH(G4715),1)</f>
        <v/>
      </c>
    </row>
    <row r="4716">
      <c r="A4716" t="inlineStr">
        <is>
          <t>SPO-02534-2</t>
        </is>
      </c>
      <c r="B4716" t="inlineStr">
        <is>
          <t>SPO-02534</t>
        </is>
      </c>
      <c r="C4716" t="inlineStr">
        <is>
          <t>SUP-11</t>
        </is>
      </c>
      <c r="D4716" t="inlineStr">
        <is>
          <t>PPE</t>
        </is>
      </c>
      <c r="E4716" t="inlineStr">
        <is>
          <t>PPE-06</t>
        </is>
      </c>
      <c r="F4716" s="17" t="n">
        <v>46279</v>
      </c>
      <c r="G4716" s="17" t="n">
        <v>46291</v>
      </c>
      <c r="H4716" s="18" t="n">
        <v>11</v>
      </c>
      <c r="I4716" s="19" t="n">
        <v>115.77</v>
      </c>
      <c r="J4716" s="19" t="n">
        <v>115</v>
      </c>
      <c r="K4716" s="20" t="n">
        <v>0</v>
      </c>
      <c r="L4716" s="20" t="n">
        <v>0</v>
      </c>
      <c r="M4716" s="18" t="n">
        <v>11</v>
      </c>
      <c r="N4716" s="18" t="n">
        <v>11</v>
      </c>
      <c r="O4716" s="18" t="n">
        <v>0</v>
      </c>
      <c r="P4716" s="17" t="n">
        <v>46288</v>
      </c>
      <c r="Q4716" s="17" t="n">
        <v>46288</v>
      </c>
      <c r="R4716" s="17" t="n">
        <v>46288</v>
      </c>
      <c r="S4716" s="19">
        <f>H4716*I4716</f>
        <v/>
      </c>
      <c r="T4716" s="19">
        <f>H4716*J4716</f>
        <v/>
      </c>
      <c r="U4716">
        <f>IF(AND(K4716=0,G4716&lt;=Assumptions!$C$6),1,0)</f>
        <v/>
      </c>
      <c r="V4716">
        <f>IF(U4716=1,IF(M4716&gt;0,IF(P4716&lt;=G4716+Assumptions!$C$7,1,0),0),0)</f>
        <v/>
      </c>
      <c r="W4716">
        <f>IF(AND(U4716=1,M4716&gt;=H4716*(1-Assumptions!$C$8)),1,0)</f>
        <v/>
      </c>
      <c r="X4716">
        <f>IF(AND(U4716=1,N4716&gt;=H4716*(1-Assumptions!$C$8)),1,0)</f>
        <v/>
      </c>
      <c r="Y4716">
        <f>IF(ISNUMBER(Q4716),1,0)</f>
        <v/>
      </c>
      <c r="Z4716">
        <f>IF(AND(K4716=0,L4716=0,Y4716=0),1,0)</f>
        <v/>
      </c>
      <c r="AA4716">
        <f>IF(AND(Z4716=1,G4716&lt;Assumptions!$C$6),1,0)</f>
        <v/>
      </c>
      <c r="AB4716">
        <f>IF(U4716=0,"",IF(Y4716=1,MAX(0,Q4716-G4716),IF(L4716=1,MAX(0,R4716-G4716),MAX(0,Assumptions!$C$6-G4716))))</f>
        <v/>
      </c>
      <c r="AC4716">
        <f>IF(Y4716=1,Q4716-F4716,"")</f>
        <v/>
      </c>
      <c r="AD4716">
        <f>IF(Y4716=1,AC4716^2,"")</f>
        <v/>
      </c>
      <c r="AE4716" s="19">
        <f>IF(Z4716=1,(H4716-M4716)*I4716,0)</f>
        <v/>
      </c>
      <c r="AF4716">
        <f>IF(G4716&lt;EDATE(Assumptions!$C$6,-12)+1,"prior_12m","last_12m")</f>
        <v/>
      </c>
      <c r="AG4716" s="21">
        <f>DATE(YEAR(G4716),MONTH(G4716),1)</f>
        <v/>
      </c>
    </row>
    <row r="4717">
      <c r="A4717" t="inlineStr">
        <is>
          <t>SPO-02534-3</t>
        </is>
      </c>
      <c r="B4717" t="inlineStr">
        <is>
          <t>SPO-02534</t>
        </is>
      </c>
      <c r="C4717" t="inlineStr">
        <is>
          <t>SUP-11</t>
        </is>
      </c>
      <c r="D4717" t="inlineStr">
        <is>
          <t>PPE</t>
        </is>
      </c>
      <c r="E4717" t="inlineStr">
        <is>
          <t>PPE-03</t>
        </is>
      </c>
      <c r="F4717" s="17" t="n">
        <v>46279</v>
      </c>
      <c r="G4717" s="17" t="n">
        <v>46291</v>
      </c>
      <c r="H4717" s="18" t="n">
        <v>76</v>
      </c>
      <c r="I4717" s="19" t="n">
        <v>19.84</v>
      </c>
      <c r="J4717" s="19" t="n">
        <v>21</v>
      </c>
      <c r="K4717" s="20" t="n">
        <v>0</v>
      </c>
      <c r="L4717" s="20" t="n">
        <v>0</v>
      </c>
      <c r="M4717" s="18" t="n">
        <v>76</v>
      </c>
      <c r="N4717" s="18" t="n">
        <v>76</v>
      </c>
      <c r="O4717" s="18" t="n">
        <v>0</v>
      </c>
      <c r="P4717" s="17" t="n">
        <v>46290</v>
      </c>
      <c r="Q4717" s="17" t="n">
        <v>46290</v>
      </c>
      <c r="R4717" s="17" t="n">
        <v>46290</v>
      </c>
      <c r="S4717" s="19">
        <f>H4717*I4717</f>
        <v/>
      </c>
      <c r="T4717" s="19">
        <f>H4717*J4717</f>
        <v/>
      </c>
      <c r="U4717">
        <f>IF(AND(K4717=0,G4717&lt;=Assumptions!$C$6),1,0)</f>
        <v/>
      </c>
      <c r="V4717">
        <f>IF(U4717=1,IF(M4717&gt;0,IF(P4717&lt;=G4717+Assumptions!$C$7,1,0),0),0)</f>
        <v/>
      </c>
      <c r="W4717">
        <f>IF(AND(U4717=1,M4717&gt;=H4717*(1-Assumptions!$C$8)),1,0)</f>
        <v/>
      </c>
      <c r="X4717">
        <f>IF(AND(U4717=1,N4717&gt;=H4717*(1-Assumptions!$C$8)),1,0)</f>
        <v/>
      </c>
      <c r="Y4717">
        <f>IF(ISNUMBER(Q4717),1,0)</f>
        <v/>
      </c>
      <c r="Z4717">
        <f>IF(AND(K4717=0,L4717=0,Y4717=0),1,0)</f>
        <v/>
      </c>
      <c r="AA4717">
        <f>IF(AND(Z4717=1,G4717&lt;Assumptions!$C$6),1,0)</f>
        <v/>
      </c>
      <c r="AB4717">
        <f>IF(U4717=0,"",IF(Y4717=1,MAX(0,Q4717-G4717),IF(L4717=1,MAX(0,R4717-G4717),MAX(0,Assumptions!$C$6-G4717))))</f>
        <v/>
      </c>
      <c r="AC4717">
        <f>IF(Y4717=1,Q4717-F4717,"")</f>
        <v/>
      </c>
      <c r="AD4717">
        <f>IF(Y4717=1,AC4717^2,"")</f>
        <v/>
      </c>
      <c r="AE4717" s="19">
        <f>IF(Z4717=1,(H4717-M4717)*I4717,0)</f>
        <v/>
      </c>
      <c r="AF4717">
        <f>IF(G4717&lt;EDATE(Assumptions!$C$6,-12)+1,"prior_12m","last_12m")</f>
        <v/>
      </c>
      <c r="AG4717" s="21">
        <f>DATE(YEAR(G4717),MONTH(G4717),1)</f>
        <v/>
      </c>
    </row>
    <row r="4718">
      <c r="A4718" t="inlineStr">
        <is>
          <t>SPO-02535-1</t>
        </is>
      </c>
      <c r="B4718" t="inlineStr">
        <is>
          <t>SPO-02535</t>
        </is>
      </c>
      <c r="C4718" t="inlineStr">
        <is>
          <t>SUP-05</t>
        </is>
      </c>
      <c r="D4718" t="inlineStr">
        <is>
          <t>FLEET</t>
        </is>
      </c>
      <c r="E4718" t="inlineStr">
        <is>
          <t>FLEET-05</t>
        </is>
      </c>
      <c r="F4718" s="17" t="n">
        <v>46279</v>
      </c>
      <c r="G4718" s="17" t="n">
        <v>46293</v>
      </c>
      <c r="H4718" s="18" t="n">
        <v>5</v>
      </c>
      <c r="I4718" s="19" t="n">
        <v>175.69</v>
      </c>
      <c r="J4718" s="19" t="n">
        <v>168</v>
      </c>
      <c r="K4718" s="20" t="n">
        <v>0</v>
      </c>
      <c r="L4718" s="20" t="n">
        <v>0</v>
      </c>
      <c r="M4718" s="18" t="n">
        <v>5</v>
      </c>
      <c r="N4718" s="18" t="n">
        <v>5</v>
      </c>
      <c r="O4718" s="18" t="n">
        <v>0</v>
      </c>
      <c r="P4718" s="17" t="n">
        <v>46292</v>
      </c>
      <c r="Q4718" s="17" t="n">
        <v>46292</v>
      </c>
      <c r="R4718" s="17" t="n">
        <v>46292</v>
      </c>
      <c r="S4718" s="19">
        <f>H4718*I4718</f>
        <v/>
      </c>
      <c r="T4718" s="19">
        <f>H4718*J4718</f>
        <v/>
      </c>
      <c r="U4718">
        <f>IF(AND(K4718=0,G4718&lt;=Assumptions!$C$6),1,0)</f>
        <v/>
      </c>
      <c r="V4718">
        <f>IF(U4718=1,IF(M4718&gt;0,IF(P4718&lt;=G4718+Assumptions!$C$7,1,0),0),0)</f>
        <v/>
      </c>
      <c r="W4718">
        <f>IF(AND(U4718=1,M4718&gt;=H4718*(1-Assumptions!$C$8)),1,0)</f>
        <v/>
      </c>
      <c r="X4718">
        <f>IF(AND(U4718=1,N4718&gt;=H4718*(1-Assumptions!$C$8)),1,0)</f>
        <v/>
      </c>
      <c r="Y4718">
        <f>IF(ISNUMBER(Q4718),1,0)</f>
        <v/>
      </c>
      <c r="Z4718">
        <f>IF(AND(K4718=0,L4718=0,Y4718=0),1,0)</f>
        <v/>
      </c>
      <c r="AA4718">
        <f>IF(AND(Z4718=1,G4718&lt;Assumptions!$C$6),1,0)</f>
        <v/>
      </c>
      <c r="AB4718">
        <f>IF(U4718=0,"",IF(Y4718=1,MAX(0,Q4718-G4718),IF(L4718=1,MAX(0,R4718-G4718),MAX(0,Assumptions!$C$6-G4718))))</f>
        <v/>
      </c>
      <c r="AC4718">
        <f>IF(Y4718=1,Q4718-F4718,"")</f>
        <v/>
      </c>
      <c r="AD4718">
        <f>IF(Y4718=1,AC4718^2,"")</f>
        <v/>
      </c>
      <c r="AE4718" s="19">
        <f>IF(Z4718=1,(H4718-M4718)*I4718,0)</f>
        <v/>
      </c>
      <c r="AF4718">
        <f>IF(G4718&lt;EDATE(Assumptions!$C$6,-12)+1,"prior_12m","last_12m")</f>
        <v/>
      </c>
      <c r="AG4718" s="21">
        <f>DATE(YEAR(G4718),MONTH(G4718),1)</f>
        <v/>
      </c>
    </row>
    <row r="4719">
      <c r="A4719" t="inlineStr">
        <is>
          <t>SPO-02535-2</t>
        </is>
      </c>
      <c r="B4719" t="inlineStr">
        <is>
          <t>SPO-02535</t>
        </is>
      </c>
      <c r="C4719" t="inlineStr">
        <is>
          <t>SUP-05</t>
        </is>
      </c>
      <c r="D4719" t="inlineStr">
        <is>
          <t>FLEET</t>
        </is>
      </c>
      <c r="E4719" t="inlineStr">
        <is>
          <t>FLEET-07</t>
        </is>
      </c>
      <c r="F4719" s="17" t="n">
        <v>46279</v>
      </c>
      <c r="G4719" s="17" t="n">
        <v>46293</v>
      </c>
      <c r="H4719" s="18" t="n">
        <v>5</v>
      </c>
      <c r="I4719" s="19" t="n">
        <v>120.41</v>
      </c>
      <c r="J4719" s="19" t="n">
        <v>118</v>
      </c>
      <c r="K4719" s="20" t="n">
        <v>0</v>
      </c>
      <c r="L4719" s="20" t="n">
        <v>0</v>
      </c>
      <c r="M4719" s="18" t="n">
        <v>5</v>
      </c>
      <c r="N4719" s="18" t="n">
        <v>5</v>
      </c>
      <c r="O4719" s="18" t="n">
        <v>0</v>
      </c>
      <c r="P4719" s="17" t="n">
        <v>46290</v>
      </c>
      <c r="Q4719" s="17" t="n">
        <v>46290</v>
      </c>
      <c r="R4719" s="17" t="n">
        <v>46290</v>
      </c>
      <c r="S4719" s="19">
        <f>H4719*I4719</f>
        <v/>
      </c>
      <c r="T4719" s="19">
        <f>H4719*J4719</f>
        <v/>
      </c>
      <c r="U4719">
        <f>IF(AND(K4719=0,G4719&lt;=Assumptions!$C$6),1,0)</f>
        <v/>
      </c>
      <c r="V4719">
        <f>IF(U4719=1,IF(M4719&gt;0,IF(P4719&lt;=G4719+Assumptions!$C$7,1,0),0),0)</f>
        <v/>
      </c>
      <c r="W4719">
        <f>IF(AND(U4719=1,M4719&gt;=H4719*(1-Assumptions!$C$8)),1,0)</f>
        <v/>
      </c>
      <c r="X4719">
        <f>IF(AND(U4719=1,N4719&gt;=H4719*(1-Assumptions!$C$8)),1,0)</f>
        <v/>
      </c>
      <c r="Y4719">
        <f>IF(ISNUMBER(Q4719),1,0)</f>
        <v/>
      </c>
      <c r="Z4719">
        <f>IF(AND(K4719=0,L4719=0,Y4719=0),1,0)</f>
        <v/>
      </c>
      <c r="AA4719">
        <f>IF(AND(Z4719=1,G4719&lt;Assumptions!$C$6),1,0)</f>
        <v/>
      </c>
      <c r="AB4719">
        <f>IF(U4719=0,"",IF(Y4719=1,MAX(0,Q4719-G4719),IF(L4719=1,MAX(0,R4719-G4719),MAX(0,Assumptions!$C$6-G4719))))</f>
        <v/>
      </c>
      <c r="AC4719">
        <f>IF(Y4719=1,Q4719-F4719,"")</f>
        <v/>
      </c>
      <c r="AD4719">
        <f>IF(Y4719=1,AC4719^2,"")</f>
        <v/>
      </c>
      <c r="AE4719" s="19">
        <f>IF(Z4719=1,(H4719-M4719)*I4719,0)</f>
        <v/>
      </c>
      <c r="AF4719">
        <f>IF(G4719&lt;EDATE(Assumptions!$C$6,-12)+1,"prior_12m","last_12m")</f>
        <v/>
      </c>
      <c r="AG4719" s="21">
        <f>DATE(YEAR(G4719),MONTH(G4719),1)</f>
        <v/>
      </c>
    </row>
    <row r="4720">
      <c r="A4720" t="inlineStr">
        <is>
          <t>SPO-02536-1</t>
        </is>
      </c>
      <c r="B4720" t="inlineStr">
        <is>
          <t>SPO-02536</t>
        </is>
      </c>
      <c r="C4720" t="inlineStr">
        <is>
          <t>SUP-02</t>
        </is>
      </c>
      <c r="D4720" t="inlineStr">
        <is>
          <t>ELEC</t>
        </is>
      </c>
      <c r="E4720" t="inlineStr">
        <is>
          <t>ELEC-01</t>
        </is>
      </c>
      <c r="F4720" s="17" t="n">
        <v>46280</v>
      </c>
      <c r="G4720" s="17" t="n">
        <v>46296</v>
      </c>
      <c r="H4720" s="18" t="n">
        <v>94</v>
      </c>
      <c r="I4720" s="19" t="n">
        <v>39.67</v>
      </c>
      <c r="J4720" s="19" t="n">
        <v>38</v>
      </c>
      <c r="K4720" s="20" t="n">
        <v>0</v>
      </c>
      <c r="L4720" s="20" t="n">
        <v>0</v>
      </c>
      <c r="M4720" s="18" t="n">
        <v>94</v>
      </c>
      <c r="N4720" s="18" t="n">
        <v>94</v>
      </c>
      <c r="O4720" s="18" t="n">
        <v>0</v>
      </c>
      <c r="P4720" s="17" t="n">
        <v>46295</v>
      </c>
      <c r="Q4720" s="17" t="n">
        <v>46295</v>
      </c>
      <c r="R4720" s="17" t="n">
        <v>46295</v>
      </c>
      <c r="S4720" s="19">
        <f>H4720*I4720</f>
        <v/>
      </c>
      <c r="T4720" s="19">
        <f>H4720*J4720</f>
        <v/>
      </c>
      <c r="U4720">
        <f>IF(AND(K4720=0,G4720&lt;=Assumptions!$C$6),1,0)</f>
        <v/>
      </c>
      <c r="V4720">
        <f>IF(U4720=1,IF(M4720&gt;0,IF(P4720&lt;=G4720+Assumptions!$C$7,1,0),0),0)</f>
        <v/>
      </c>
      <c r="W4720">
        <f>IF(AND(U4720=1,M4720&gt;=H4720*(1-Assumptions!$C$8)),1,0)</f>
        <v/>
      </c>
      <c r="X4720">
        <f>IF(AND(U4720=1,N4720&gt;=H4720*(1-Assumptions!$C$8)),1,0)</f>
        <v/>
      </c>
      <c r="Y4720">
        <f>IF(ISNUMBER(Q4720),1,0)</f>
        <v/>
      </c>
      <c r="Z4720">
        <f>IF(AND(K4720=0,L4720=0,Y4720=0),1,0)</f>
        <v/>
      </c>
      <c r="AA4720">
        <f>IF(AND(Z4720=1,G4720&lt;Assumptions!$C$6),1,0)</f>
        <v/>
      </c>
      <c r="AB4720">
        <f>IF(U4720=0,"",IF(Y4720=1,MAX(0,Q4720-G4720),IF(L4720=1,MAX(0,R4720-G4720),MAX(0,Assumptions!$C$6-G4720))))</f>
        <v/>
      </c>
      <c r="AC4720">
        <f>IF(Y4720=1,Q4720-F4720,"")</f>
        <v/>
      </c>
      <c r="AD4720">
        <f>IF(Y4720=1,AC4720^2,"")</f>
        <v/>
      </c>
      <c r="AE4720" s="19">
        <f>IF(Z4720=1,(H4720-M4720)*I4720,0)</f>
        <v/>
      </c>
      <c r="AF4720">
        <f>IF(G4720&lt;EDATE(Assumptions!$C$6,-12)+1,"prior_12m","last_12m")</f>
        <v/>
      </c>
      <c r="AG4720" s="21">
        <f>DATE(YEAR(G4720),MONTH(G4720),1)</f>
        <v/>
      </c>
    </row>
    <row r="4721">
      <c r="A4721" t="inlineStr">
        <is>
          <t>SPO-02536-2</t>
        </is>
      </c>
      <c r="B4721" t="inlineStr">
        <is>
          <t>SPO-02536</t>
        </is>
      </c>
      <c r="C4721" t="inlineStr">
        <is>
          <t>SUP-02</t>
        </is>
      </c>
      <c r="D4721" t="inlineStr">
        <is>
          <t>ELEC</t>
        </is>
      </c>
      <c r="E4721" t="inlineStr">
        <is>
          <t>ELEC-07</t>
        </is>
      </c>
      <c r="F4721" s="17" t="n">
        <v>46280</v>
      </c>
      <c r="G4721" s="17" t="n">
        <v>46296</v>
      </c>
      <c r="H4721" s="18" t="n">
        <v>168</v>
      </c>
      <c r="I4721" s="19" t="n">
        <v>10.01</v>
      </c>
      <c r="J4721" s="19" t="n">
        <v>9.800000000000001</v>
      </c>
      <c r="K4721" s="20" t="n">
        <v>0</v>
      </c>
      <c r="L4721" s="20" t="n">
        <v>0</v>
      </c>
      <c r="M4721" s="18" t="n">
        <v>168</v>
      </c>
      <c r="N4721" s="18" t="n">
        <v>168</v>
      </c>
      <c r="O4721" s="18" t="n">
        <v>0</v>
      </c>
      <c r="P4721" s="17" t="n">
        <v>46292</v>
      </c>
      <c r="Q4721" s="17" t="n">
        <v>46292</v>
      </c>
      <c r="R4721" s="17" t="n">
        <v>46292</v>
      </c>
      <c r="S4721" s="19">
        <f>H4721*I4721</f>
        <v/>
      </c>
      <c r="T4721" s="19">
        <f>H4721*J4721</f>
        <v/>
      </c>
      <c r="U4721">
        <f>IF(AND(K4721=0,G4721&lt;=Assumptions!$C$6),1,0)</f>
        <v/>
      </c>
      <c r="V4721">
        <f>IF(U4721=1,IF(M4721&gt;0,IF(P4721&lt;=G4721+Assumptions!$C$7,1,0),0),0)</f>
        <v/>
      </c>
      <c r="W4721">
        <f>IF(AND(U4721=1,M4721&gt;=H4721*(1-Assumptions!$C$8)),1,0)</f>
        <v/>
      </c>
      <c r="X4721">
        <f>IF(AND(U4721=1,N4721&gt;=H4721*(1-Assumptions!$C$8)),1,0)</f>
        <v/>
      </c>
      <c r="Y4721">
        <f>IF(ISNUMBER(Q4721),1,0)</f>
        <v/>
      </c>
      <c r="Z4721">
        <f>IF(AND(K4721=0,L4721=0,Y4721=0),1,0)</f>
        <v/>
      </c>
      <c r="AA4721">
        <f>IF(AND(Z4721=1,G4721&lt;Assumptions!$C$6),1,0)</f>
        <v/>
      </c>
      <c r="AB4721">
        <f>IF(U4721=0,"",IF(Y4721=1,MAX(0,Q4721-G4721),IF(L4721=1,MAX(0,R4721-G4721),MAX(0,Assumptions!$C$6-G4721))))</f>
        <v/>
      </c>
      <c r="AC4721">
        <f>IF(Y4721=1,Q4721-F4721,"")</f>
        <v/>
      </c>
      <c r="AD4721">
        <f>IF(Y4721=1,AC4721^2,"")</f>
        <v/>
      </c>
      <c r="AE4721" s="19">
        <f>IF(Z4721=1,(H4721-M4721)*I4721,0)</f>
        <v/>
      </c>
      <c r="AF4721">
        <f>IF(G4721&lt;EDATE(Assumptions!$C$6,-12)+1,"prior_12m","last_12m")</f>
        <v/>
      </c>
      <c r="AG4721" s="21">
        <f>DATE(YEAR(G4721),MONTH(G4721),1)</f>
        <v/>
      </c>
    </row>
    <row r="4722">
      <c r="A4722" t="inlineStr">
        <is>
          <t>SPO-02536-3</t>
        </is>
      </c>
      <c r="B4722" t="inlineStr">
        <is>
          <t>SPO-02536</t>
        </is>
      </c>
      <c r="C4722" t="inlineStr">
        <is>
          <t>SUP-02</t>
        </is>
      </c>
      <c r="D4722" t="inlineStr">
        <is>
          <t>ELEC</t>
        </is>
      </c>
      <c r="E4722" t="inlineStr">
        <is>
          <t>ELEC-08</t>
        </is>
      </c>
      <c r="F4722" s="17" t="n">
        <v>46280</v>
      </c>
      <c r="G4722" s="17" t="n">
        <v>46296</v>
      </c>
      <c r="H4722" s="18" t="n">
        <v>88</v>
      </c>
      <c r="I4722" s="19" t="n">
        <v>18.58</v>
      </c>
      <c r="J4722" s="19" t="n">
        <v>18</v>
      </c>
      <c r="K4722" s="20" t="n">
        <v>0</v>
      </c>
      <c r="L4722" s="20" t="n">
        <v>0</v>
      </c>
      <c r="M4722" s="18" t="n">
        <v>88</v>
      </c>
      <c r="N4722" s="18" t="n">
        <v>88</v>
      </c>
      <c r="O4722" s="18" t="n">
        <v>0</v>
      </c>
      <c r="P4722" s="17" t="n">
        <v>46293</v>
      </c>
      <c r="Q4722" s="17" t="n">
        <v>46293</v>
      </c>
      <c r="R4722" s="17" t="n">
        <v>46293</v>
      </c>
      <c r="S4722" s="19">
        <f>H4722*I4722</f>
        <v/>
      </c>
      <c r="T4722" s="19">
        <f>H4722*J4722</f>
        <v/>
      </c>
      <c r="U4722">
        <f>IF(AND(K4722=0,G4722&lt;=Assumptions!$C$6),1,0)</f>
        <v/>
      </c>
      <c r="V4722">
        <f>IF(U4722=1,IF(M4722&gt;0,IF(P4722&lt;=G4722+Assumptions!$C$7,1,0),0),0)</f>
        <v/>
      </c>
      <c r="W4722">
        <f>IF(AND(U4722=1,M4722&gt;=H4722*(1-Assumptions!$C$8)),1,0)</f>
        <v/>
      </c>
      <c r="X4722">
        <f>IF(AND(U4722=1,N4722&gt;=H4722*(1-Assumptions!$C$8)),1,0)</f>
        <v/>
      </c>
      <c r="Y4722">
        <f>IF(ISNUMBER(Q4722),1,0)</f>
        <v/>
      </c>
      <c r="Z4722">
        <f>IF(AND(K4722=0,L4722=0,Y4722=0),1,0)</f>
        <v/>
      </c>
      <c r="AA4722">
        <f>IF(AND(Z4722=1,G4722&lt;Assumptions!$C$6),1,0)</f>
        <v/>
      </c>
      <c r="AB4722">
        <f>IF(U4722=0,"",IF(Y4722=1,MAX(0,Q4722-G4722),IF(L4722=1,MAX(0,R4722-G4722),MAX(0,Assumptions!$C$6-G4722))))</f>
        <v/>
      </c>
      <c r="AC4722">
        <f>IF(Y4722=1,Q4722-F4722,"")</f>
        <v/>
      </c>
      <c r="AD4722">
        <f>IF(Y4722=1,AC4722^2,"")</f>
        <v/>
      </c>
      <c r="AE4722" s="19">
        <f>IF(Z4722=1,(H4722-M4722)*I4722,0)</f>
        <v/>
      </c>
      <c r="AF4722">
        <f>IF(G4722&lt;EDATE(Assumptions!$C$6,-12)+1,"prior_12m","last_12m")</f>
        <v/>
      </c>
      <c r="AG4722" s="21">
        <f>DATE(YEAR(G4722),MONTH(G4722),1)</f>
        <v/>
      </c>
    </row>
    <row r="4723">
      <c r="A4723" t="inlineStr">
        <is>
          <t>SPO-02537-1</t>
        </is>
      </c>
      <c r="B4723" t="inlineStr">
        <is>
          <t>SPO-02537</t>
        </is>
      </c>
      <c r="C4723" t="inlineStr">
        <is>
          <t>SUP-01</t>
        </is>
      </c>
      <c r="D4723" t="inlineStr">
        <is>
          <t>ELEC</t>
        </is>
      </c>
      <c r="E4723" t="inlineStr">
        <is>
          <t>ELEC-07</t>
        </is>
      </c>
      <c r="F4723" s="17" t="n">
        <v>46280</v>
      </c>
      <c r="G4723" s="17" t="n">
        <v>46298</v>
      </c>
      <c r="H4723" s="18" t="n">
        <v>307</v>
      </c>
      <c r="I4723" s="19" t="n">
        <v>10.51</v>
      </c>
      <c r="J4723" s="19" t="n">
        <v>9.800000000000001</v>
      </c>
      <c r="K4723" s="20" t="n">
        <v>0</v>
      </c>
      <c r="L4723" s="20" t="n">
        <v>0</v>
      </c>
      <c r="M4723" s="18" t="n">
        <v>0</v>
      </c>
      <c r="N4723" s="18" t="n">
        <v>0</v>
      </c>
      <c r="O4723" s="18" t="n">
        <v>0</v>
      </c>
      <c r="P4723" s="17" t="n"/>
      <c r="Q4723" s="17" t="n"/>
      <c r="R4723" s="17" t="n"/>
      <c r="S4723" s="19">
        <f>H4723*I4723</f>
        <v/>
      </c>
      <c r="T4723" s="19">
        <f>H4723*J4723</f>
        <v/>
      </c>
      <c r="U4723">
        <f>IF(AND(K4723=0,G4723&lt;=Assumptions!$C$6),1,0)</f>
        <v/>
      </c>
      <c r="V4723">
        <f>IF(U4723=1,IF(M4723&gt;0,IF(P4723&lt;=G4723+Assumptions!$C$7,1,0),0),0)</f>
        <v/>
      </c>
      <c r="W4723">
        <f>IF(AND(U4723=1,M4723&gt;=H4723*(1-Assumptions!$C$8)),1,0)</f>
        <v/>
      </c>
      <c r="X4723">
        <f>IF(AND(U4723=1,N4723&gt;=H4723*(1-Assumptions!$C$8)),1,0)</f>
        <v/>
      </c>
      <c r="Y4723">
        <f>IF(ISNUMBER(Q4723),1,0)</f>
        <v/>
      </c>
      <c r="Z4723">
        <f>IF(AND(K4723=0,L4723=0,Y4723=0),1,0)</f>
        <v/>
      </c>
      <c r="AA4723">
        <f>IF(AND(Z4723=1,G4723&lt;Assumptions!$C$6),1,0)</f>
        <v/>
      </c>
      <c r="AB4723">
        <f>IF(U4723=0,"",IF(Y4723=1,MAX(0,Q4723-G4723),IF(L4723=1,MAX(0,R4723-G4723),MAX(0,Assumptions!$C$6-G4723))))</f>
        <v/>
      </c>
      <c r="AC4723">
        <f>IF(Y4723=1,Q4723-F4723,"")</f>
        <v/>
      </c>
      <c r="AD4723">
        <f>IF(Y4723=1,AC4723^2,"")</f>
        <v/>
      </c>
      <c r="AE4723" s="19">
        <f>IF(Z4723=1,(H4723-M4723)*I4723,0)</f>
        <v/>
      </c>
      <c r="AF4723">
        <f>IF(G4723&lt;EDATE(Assumptions!$C$6,-12)+1,"prior_12m","last_12m")</f>
        <v/>
      </c>
      <c r="AG4723" s="21">
        <f>DATE(YEAR(G4723),MONTH(G4723),1)</f>
        <v/>
      </c>
    </row>
    <row r="4724">
      <c r="A4724" t="inlineStr">
        <is>
          <t>SPO-02537-2</t>
        </is>
      </c>
      <c r="B4724" t="inlineStr">
        <is>
          <t>SPO-02537</t>
        </is>
      </c>
      <c r="C4724" t="inlineStr">
        <is>
          <t>SUP-01</t>
        </is>
      </c>
      <c r="D4724" t="inlineStr">
        <is>
          <t>ELEC</t>
        </is>
      </c>
      <c r="E4724" t="inlineStr">
        <is>
          <t>ELEC-04</t>
        </is>
      </c>
      <c r="F4724" s="17" t="n">
        <v>46280</v>
      </c>
      <c r="G4724" s="17" t="n">
        <v>46298</v>
      </c>
      <c r="H4724" s="18" t="n">
        <v>42</v>
      </c>
      <c r="I4724" s="19" t="n">
        <v>70.56</v>
      </c>
      <c r="J4724" s="19" t="n">
        <v>72</v>
      </c>
      <c r="K4724" s="20" t="n">
        <v>0</v>
      </c>
      <c r="L4724" s="20" t="n">
        <v>0</v>
      </c>
      <c r="M4724" s="18" t="n">
        <v>42</v>
      </c>
      <c r="N4724" s="18" t="n">
        <v>42</v>
      </c>
      <c r="O4724" s="18" t="n">
        <v>0</v>
      </c>
      <c r="P4724" s="17" t="n">
        <v>46292</v>
      </c>
      <c r="Q4724" s="17" t="n">
        <v>46292</v>
      </c>
      <c r="R4724" s="17" t="n">
        <v>46292</v>
      </c>
      <c r="S4724" s="19">
        <f>H4724*I4724</f>
        <v/>
      </c>
      <c r="T4724" s="19">
        <f>H4724*J4724</f>
        <v/>
      </c>
      <c r="U4724">
        <f>IF(AND(K4724=0,G4724&lt;=Assumptions!$C$6),1,0)</f>
        <v/>
      </c>
      <c r="V4724">
        <f>IF(U4724=1,IF(M4724&gt;0,IF(P4724&lt;=G4724+Assumptions!$C$7,1,0),0),0)</f>
        <v/>
      </c>
      <c r="W4724">
        <f>IF(AND(U4724=1,M4724&gt;=H4724*(1-Assumptions!$C$8)),1,0)</f>
        <v/>
      </c>
      <c r="X4724">
        <f>IF(AND(U4724=1,N4724&gt;=H4724*(1-Assumptions!$C$8)),1,0)</f>
        <v/>
      </c>
      <c r="Y4724">
        <f>IF(ISNUMBER(Q4724),1,0)</f>
        <v/>
      </c>
      <c r="Z4724">
        <f>IF(AND(K4724=0,L4724=0,Y4724=0),1,0)</f>
        <v/>
      </c>
      <c r="AA4724">
        <f>IF(AND(Z4724=1,G4724&lt;Assumptions!$C$6),1,0)</f>
        <v/>
      </c>
      <c r="AB4724">
        <f>IF(U4724=0,"",IF(Y4724=1,MAX(0,Q4724-G4724),IF(L4724=1,MAX(0,R4724-G4724),MAX(0,Assumptions!$C$6-G4724))))</f>
        <v/>
      </c>
      <c r="AC4724">
        <f>IF(Y4724=1,Q4724-F4724,"")</f>
        <v/>
      </c>
      <c r="AD4724">
        <f>IF(Y4724=1,AC4724^2,"")</f>
        <v/>
      </c>
      <c r="AE4724" s="19">
        <f>IF(Z4724=1,(H4724-M4724)*I4724,0)</f>
        <v/>
      </c>
      <c r="AF4724">
        <f>IF(G4724&lt;EDATE(Assumptions!$C$6,-12)+1,"prior_12m","last_12m")</f>
        <v/>
      </c>
      <c r="AG4724" s="21">
        <f>DATE(YEAR(G4724),MONTH(G4724),1)</f>
        <v/>
      </c>
    </row>
    <row r="4725">
      <c r="A4725" t="inlineStr">
        <is>
          <t>SPO-02538-1</t>
        </is>
      </c>
      <c r="B4725" t="inlineStr">
        <is>
          <t>SPO-02538</t>
        </is>
      </c>
      <c r="C4725" t="inlineStr">
        <is>
          <t>SUP-12</t>
        </is>
      </c>
      <c r="D4725" t="inlineStr">
        <is>
          <t>IT</t>
        </is>
      </c>
      <c r="E4725" t="inlineStr">
        <is>
          <t>IT-02</t>
        </is>
      </c>
      <c r="F4725" s="17" t="n">
        <v>46280</v>
      </c>
      <c r="G4725" s="17" t="n">
        <v>46290</v>
      </c>
      <c r="H4725" s="18" t="n">
        <v>4</v>
      </c>
      <c r="I4725" s="19" t="n">
        <v>184.66</v>
      </c>
      <c r="J4725" s="19" t="n">
        <v>162</v>
      </c>
      <c r="K4725" s="20" t="n">
        <v>0</v>
      </c>
      <c r="L4725" s="20" t="n">
        <v>0</v>
      </c>
      <c r="M4725" s="18" t="n">
        <v>4</v>
      </c>
      <c r="N4725" s="18" t="n">
        <v>4</v>
      </c>
      <c r="O4725" s="18" t="n">
        <v>0</v>
      </c>
      <c r="P4725" s="17" t="n">
        <v>46290</v>
      </c>
      <c r="Q4725" s="17" t="n">
        <v>46290</v>
      </c>
      <c r="R4725" s="17" t="n">
        <v>46290</v>
      </c>
      <c r="S4725" s="19">
        <f>H4725*I4725</f>
        <v/>
      </c>
      <c r="T4725" s="19">
        <f>H4725*J4725</f>
        <v/>
      </c>
      <c r="U4725">
        <f>IF(AND(K4725=0,G4725&lt;=Assumptions!$C$6),1,0)</f>
        <v/>
      </c>
      <c r="V4725">
        <f>IF(U4725=1,IF(M4725&gt;0,IF(P4725&lt;=G4725+Assumptions!$C$7,1,0),0),0)</f>
        <v/>
      </c>
      <c r="W4725">
        <f>IF(AND(U4725=1,M4725&gt;=H4725*(1-Assumptions!$C$8)),1,0)</f>
        <v/>
      </c>
      <c r="X4725">
        <f>IF(AND(U4725=1,N4725&gt;=H4725*(1-Assumptions!$C$8)),1,0)</f>
        <v/>
      </c>
      <c r="Y4725">
        <f>IF(ISNUMBER(Q4725),1,0)</f>
        <v/>
      </c>
      <c r="Z4725">
        <f>IF(AND(K4725=0,L4725=0,Y4725=0),1,0)</f>
        <v/>
      </c>
      <c r="AA4725">
        <f>IF(AND(Z4725=1,G4725&lt;Assumptions!$C$6),1,0)</f>
        <v/>
      </c>
      <c r="AB4725">
        <f>IF(U4725=0,"",IF(Y4725=1,MAX(0,Q4725-G4725),IF(L4725=1,MAX(0,R4725-G4725),MAX(0,Assumptions!$C$6-G4725))))</f>
        <v/>
      </c>
      <c r="AC4725">
        <f>IF(Y4725=1,Q4725-F4725,"")</f>
        <v/>
      </c>
      <c r="AD4725">
        <f>IF(Y4725=1,AC4725^2,"")</f>
        <v/>
      </c>
      <c r="AE4725" s="19">
        <f>IF(Z4725=1,(H4725-M4725)*I4725,0)</f>
        <v/>
      </c>
      <c r="AF4725">
        <f>IF(G4725&lt;EDATE(Assumptions!$C$6,-12)+1,"prior_12m","last_12m")</f>
        <v/>
      </c>
      <c r="AG4725" s="21">
        <f>DATE(YEAR(G4725),MONTH(G4725),1)</f>
        <v/>
      </c>
    </row>
    <row r="4726">
      <c r="A4726" t="inlineStr">
        <is>
          <t>SPO-02538-2</t>
        </is>
      </c>
      <c r="B4726" t="inlineStr">
        <is>
          <t>SPO-02538</t>
        </is>
      </c>
      <c r="C4726" t="inlineStr">
        <is>
          <t>SUP-12</t>
        </is>
      </c>
      <c r="D4726" t="inlineStr">
        <is>
          <t>IT</t>
        </is>
      </c>
      <c r="E4726" t="inlineStr">
        <is>
          <t>IT-06</t>
        </is>
      </c>
      <c r="F4726" s="17" t="n">
        <v>46280</v>
      </c>
      <c r="G4726" s="17" t="n">
        <v>46290</v>
      </c>
      <c r="H4726" s="18" t="n">
        <v>9</v>
      </c>
      <c r="I4726" s="19" t="n">
        <v>99.95</v>
      </c>
      <c r="J4726" s="19" t="n">
        <v>89</v>
      </c>
      <c r="K4726" s="20" t="n">
        <v>0</v>
      </c>
      <c r="L4726" s="20" t="n">
        <v>0</v>
      </c>
      <c r="M4726" s="18" t="n">
        <v>9</v>
      </c>
      <c r="N4726" s="18" t="n">
        <v>9</v>
      </c>
      <c r="O4726" s="18" t="n">
        <v>0</v>
      </c>
      <c r="P4726" s="17" t="n">
        <v>46286</v>
      </c>
      <c r="Q4726" s="17" t="n">
        <v>46286</v>
      </c>
      <c r="R4726" s="17" t="n">
        <v>46286</v>
      </c>
      <c r="S4726" s="19">
        <f>H4726*I4726</f>
        <v/>
      </c>
      <c r="T4726" s="19">
        <f>H4726*J4726</f>
        <v/>
      </c>
      <c r="U4726">
        <f>IF(AND(K4726=0,G4726&lt;=Assumptions!$C$6),1,0)</f>
        <v/>
      </c>
      <c r="V4726">
        <f>IF(U4726=1,IF(M4726&gt;0,IF(P4726&lt;=G4726+Assumptions!$C$7,1,0),0),0)</f>
        <v/>
      </c>
      <c r="W4726">
        <f>IF(AND(U4726=1,M4726&gt;=H4726*(1-Assumptions!$C$8)),1,0)</f>
        <v/>
      </c>
      <c r="X4726">
        <f>IF(AND(U4726=1,N4726&gt;=H4726*(1-Assumptions!$C$8)),1,0)</f>
        <v/>
      </c>
      <c r="Y4726">
        <f>IF(ISNUMBER(Q4726),1,0)</f>
        <v/>
      </c>
      <c r="Z4726">
        <f>IF(AND(K4726=0,L4726=0,Y4726=0),1,0)</f>
        <v/>
      </c>
      <c r="AA4726">
        <f>IF(AND(Z4726=1,G4726&lt;Assumptions!$C$6),1,0)</f>
        <v/>
      </c>
      <c r="AB4726">
        <f>IF(U4726=0,"",IF(Y4726=1,MAX(0,Q4726-G4726),IF(L4726=1,MAX(0,R4726-G4726),MAX(0,Assumptions!$C$6-G4726))))</f>
        <v/>
      </c>
      <c r="AC4726">
        <f>IF(Y4726=1,Q4726-F4726,"")</f>
        <v/>
      </c>
      <c r="AD4726">
        <f>IF(Y4726=1,AC4726^2,"")</f>
        <v/>
      </c>
      <c r="AE4726" s="19">
        <f>IF(Z4726=1,(H4726-M4726)*I4726,0)</f>
        <v/>
      </c>
      <c r="AF4726">
        <f>IF(G4726&lt;EDATE(Assumptions!$C$6,-12)+1,"prior_12m","last_12m")</f>
        <v/>
      </c>
      <c r="AG4726" s="21">
        <f>DATE(YEAR(G4726),MONTH(G4726),1)</f>
        <v/>
      </c>
    </row>
    <row r="4727">
      <c r="A4727" t="inlineStr">
        <is>
          <t>SPO-02538-3</t>
        </is>
      </c>
      <c r="B4727" t="inlineStr">
        <is>
          <t>SPO-02538</t>
        </is>
      </c>
      <c r="C4727" t="inlineStr">
        <is>
          <t>SUP-12</t>
        </is>
      </c>
      <c r="D4727" t="inlineStr">
        <is>
          <t>IT</t>
        </is>
      </c>
      <c r="E4727" t="inlineStr">
        <is>
          <t>IT-08</t>
        </is>
      </c>
      <c r="F4727" s="17" t="n">
        <v>46280</v>
      </c>
      <c r="G4727" s="17" t="n">
        <v>46290</v>
      </c>
      <c r="H4727" s="18" t="n">
        <v>5</v>
      </c>
      <c r="I4727" s="19" t="n">
        <v>277.95</v>
      </c>
      <c r="J4727" s="19" t="n">
        <v>245</v>
      </c>
      <c r="K4727" s="20" t="n">
        <v>0</v>
      </c>
      <c r="L4727" s="20" t="n">
        <v>0</v>
      </c>
      <c r="M4727" s="18" t="n">
        <v>5</v>
      </c>
      <c r="N4727" s="18" t="n">
        <v>5</v>
      </c>
      <c r="O4727" s="18" t="n">
        <v>0</v>
      </c>
      <c r="P4727" s="17" t="n">
        <v>46288</v>
      </c>
      <c r="Q4727" s="17" t="n">
        <v>46288</v>
      </c>
      <c r="R4727" s="17" t="n">
        <v>46288</v>
      </c>
      <c r="S4727" s="19">
        <f>H4727*I4727</f>
        <v/>
      </c>
      <c r="T4727" s="19">
        <f>H4727*J4727</f>
        <v/>
      </c>
      <c r="U4727">
        <f>IF(AND(K4727=0,G4727&lt;=Assumptions!$C$6),1,0)</f>
        <v/>
      </c>
      <c r="V4727">
        <f>IF(U4727=1,IF(M4727&gt;0,IF(P4727&lt;=G4727+Assumptions!$C$7,1,0),0),0)</f>
        <v/>
      </c>
      <c r="W4727">
        <f>IF(AND(U4727=1,M4727&gt;=H4727*(1-Assumptions!$C$8)),1,0)</f>
        <v/>
      </c>
      <c r="X4727">
        <f>IF(AND(U4727=1,N4727&gt;=H4727*(1-Assumptions!$C$8)),1,0)</f>
        <v/>
      </c>
      <c r="Y4727">
        <f>IF(ISNUMBER(Q4727),1,0)</f>
        <v/>
      </c>
      <c r="Z4727">
        <f>IF(AND(K4727=0,L4727=0,Y4727=0),1,0)</f>
        <v/>
      </c>
      <c r="AA4727">
        <f>IF(AND(Z4727=1,G4727&lt;Assumptions!$C$6),1,0)</f>
        <v/>
      </c>
      <c r="AB4727">
        <f>IF(U4727=0,"",IF(Y4727=1,MAX(0,Q4727-G4727),IF(L4727=1,MAX(0,R4727-G4727),MAX(0,Assumptions!$C$6-G4727))))</f>
        <v/>
      </c>
      <c r="AC4727">
        <f>IF(Y4727=1,Q4727-F4727,"")</f>
        <v/>
      </c>
      <c r="AD4727">
        <f>IF(Y4727=1,AC4727^2,"")</f>
        <v/>
      </c>
      <c r="AE4727" s="19">
        <f>IF(Z4727=1,(H4727-M4727)*I4727,0)</f>
        <v/>
      </c>
      <c r="AF4727">
        <f>IF(G4727&lt;EDATE(Assumptions!$C$6,-12)+1,"prior_12m","last_12m")</f>
        <v/>
      </c>
      <c r="AG4727" s="21">
        <f>DATE(YEAR(G4727),MONTH(G4727),1)</f>
        <v/>
      </c>
    </row>
    <row r="4728">
      <c r="A4728" t="inlineStr">
        <is>
          <t>SPO-02539-1</t>
        </is>
      </c>
      <c r="B4728" t="inlineStr">
        <is>
          <t>SPO-02539</t>
        </is>
      </c>
      <c r="C4728" t="inlineStr">
        <is>
          <t>SUP-11</t>
        </is>
      </c>
      <c r="D4728" t="inlineStr">
        <is>
          <t>PPE</t>
        </is>
      </c>
      <c r="E4728" t="inlineStr">
        <is>
          <t>PPE-01</t>
        </is>
      </c>
      <c r="F4728" s="17" t="n">
        <v>46280</v>
      </c>
      <c r="G4728" s="17" t="n">
        <v>46292</v>
      </c>
      <c r="H4728" s="18" t="n">
        <v>341</v>
      </c>
      <c r="I4728" s="19" t="n">
        <v>5.09</v>
      </c>
      <c r="J4728" s="19" t="n">
        <v>4.8</v>
      </c>
      <c r="K4728" s="20" t="n">
        <v>0</v>
      </c>
      <c r="L4728" s="20" t="n">
        <v>0</v>
      </c>
      <c r="M4728" s="18" t="n">
        <v>341</v>
      </c>
      <c r="N4728" s="18" t="n">
        <v>341</v>
      </c>
      <c r="O4728" s="18" t="n">
        <v>0</v>
      </c>
      <c r="P4728" s="17" t="n">
        <v>46289</v>
      </c>
      <c r="Q4728" s="17" t="n">
        <v>46289</v>
      </c>
      <c r="R4728" s="17" t="n">
        <v>46289</v>
      </c>
      <c r="S4728" s="19">
        <f>H4728*I4728</f>
        <v/>
      </c>
      <c r="T4728" s="19">
        <f>H4728*J4728</f>
        <v/>
      </c>
      <c r="U4728">
        <f>IF(AND(K4728=0,G4728&lt;=Assumptions!$C$6),1,0)</f>
        <v/>
      </c>
      <c r="V4728">
        <f>IF(U4728=1,IF(M4728&gt;0,IF(P4728&lt;=G4728+Assumptions!$C$7,1,0),0),0)</f>
        <v/>
      </c>
      <c r="W4728">
        <f>IF(AND(U4728=1,M4728&gt;=H4728*(1-Assumptions!$C$8)),1,0)</f>
        <v/>
      </c>
      <c r="X4728">
        <f>IF(AND(U4728=1,N4728&gt;=H4728*(1-Assumptions!$C$8)),1,0)</f>
        <v/>
      </c>
      <c r="Y4728">
        <f>IF(ISNUMBER(Q4728),1,0)</f>
        <v/>
      </c>
      <c r="Z4728">
        <f>IF(AND(K4728=0,L4728=0,Y4728=0),1,0)</f>
        <v/>
      </c>
      <c r="AA4728">
        <f>IF(AND(Z4728=1,G4728&lt;Assumptions!$C$6),1,0)</f>
        <v/>
      </c>
      <c r="AB4728">
        <f>IF(U4728=0,"",IF(Y4728=1,MAX(0,Q4728-G4728),IF(L4728=1,MAX(0,R4728-G4728),MAX(0,Assumptions!$C$6-G4728))))</f>
        <v/>
      </c>
      <c r="AC4728">
        <f>IF(Y4728=1,Q4728-F4728,"")</f>
        <v/>
      </c>
      <c r="AD4728">
        <f>IF(Y4728=1,AC4728^2,"")</f>
        <v/>
      </c>
      <c r="AE4728" s="19">
        <f>IF(Z4728=1,(H4728-M4728)*I4728,0)</f>
        <v/>
      </c>
      <c r="AF4728">
        <f>IF(G4728&lt;EDATE(Assumptions!$C$6,-12)+1,"prior_12m","last_12m")</f>
        <v/>
      </c>
      <c r="AG4728" s="21">
        <f>DATE(YEAR(G4728),MONTH(G4728),1)</f>
        <v/>
      </c>
    </row>
    <row r="4729">
      <c r="A4729" t="inlineStr">
        <is>
          <t>SPO-02539-2</t>
        </is>
      </c>
      <c r="B4729" t="inlineStr">
        <is>
          <t>SPO-02539</t>
        </is>
      </c>
      <c r="C4729" t="inlineStr">
        <is>
          <t>SUP-11</t>
        </is>
      </c>
      <c r="D4729" t="inlineStr">
        <is>
          <t>PPE</t>
        </is>
      </c>
      <c r="E4729" t="inlineStr">
        <is>
          <t>PPE-06</t>
        </is>
      </c>
      <c r="F4729" s="17" t="n">
        <v>46280</v>
      </c>
      <c r="G4729" s="17" t="n">
        <v>46292</v>
      </c>
      <c r="H4729" s="18" t="n">
        <v>16</v>
      </c>
      <c r="I4729" s="19" t="n">
        <v>110.49</v>
      </c>
      <c r="J4729" s="19" t="n">
        <v>115</v>
      </c>
      <c r="K4729" s="20" t="n">
        <v>0</v>
      </c>
      <c r="L4729" s="20" t="n">
        <v>0</v>
      </c>
      <c r="M4729" s="18" t="n">
        <v>16</v>
      </c>
      <c r="N4729" s="18" t="n">
        <v>16</v>
      </c>
      <c r="O4729" s="18" t="n">
        <v>0</v>
      </c>
      <c r="P4729" s="17" t="n">
        <v>46292</v>
      </c>
      <c r="Q4729" s="17" t="n">
        <v>46292</v>
      </c>
      <c r="R4729" s="17" t="n">
        <v>46292</v>
      </c>
      <c r="S4729" s="19">
        <f>H4729*I4729</f>
        <v/>
      </c>
      <c r="T4729" s="19">
        <f>H4729*J4729</f>
        <v/>
      </c>
      <c r="U4729">
        <f>IF(AND(K4729=0,G4729&lt;=Assumptions!$C$6),1,0)</f>
        <v/>
      </c>
      <c r="V4729">
        <f>IF(U4729=1,IF(M4729&gt;0,IF(P4729&lt;=G4729+Assumptions!$C$7,1,0),0),0)</f>
        <v/>
      </c>
      <c r="W4729">
        <f>IF(AND(U4729=1,M4729&gt;=H4729*(1-Assumptions!$C$8)),1,0)</f>
        <v/>
      </c>
      <c r="X4729">
        <f>IF(AND(U4729=1,N4729&gt;=H4729*(1-Assumptions!$C$8)),1,0)</f>
        <v/>
      </c>
      <c r="Y4729">
        <f>IF(ISNUMBER(Q4729),1,0)</f>
        <v/>
      </c>
      <c r="Z4729">
        <f>IF(AND(K4729=0,L4729=0,Y4729=0),1,0)</f>
        <v/>
      </c>
      <c r="AA4729">
        <f>IF(AND(Z4729=1,G4729&lt;Assumptions!$C$6),1,0)</f>
        <v/>
      </c>
      <c r="AB4729">
        <f>IF(U4729=0,"",IF(Y4729=1,MAX(0,Q4729-G4729),IF(L4729=1,MAX(0,R4729-G4729),MAX(0,Assumptions!$C$6-G4729))))</f>
        <v/>
      </c>
      <c r="AC4729">
        <f>IF(Y4729=1,Q4729-F4729,"")</f>
        <v/>
      </c>
      <c r="AD4729">
        <f>IF(Y4729=1,AC4729^2,"")</f>
        <v/>
      </c>
      <c r="AE4729" s="19">
        <f>IF(Z4729=1,(H4729-M4729)*I4729,0)</f>
        <v/>
      </c>
      <c r="AF4729">
        <f>IF(G4729&lt;EDATE(Assumptions!$C$6,-12)+1,"prior_12m","last_12m")</f>
        <v/>
      </c>
      <c r="AG4729" s="21">
        <f>DATE(YEAR(G4729),MONTH(G4729),1)</f>
        <v/>
      </c>
    </row>
    <row r="4730">
      <c r="A4730" t="inlineStr">
        <is>
          <t>SPO-02540-1</t>
        </is>
      </c>
      <c r="B4730" t="inlineStr">
        <is>
          <t>SPO-02540</t>
        </is>
      </c>
      <c r="C4730" t="inlineStr">
        <is>
          <t>SUP-12</t>
        </is>
      </c>
      <c r="D4730" t="inlineStr">
        <is>
          <t>IT</t>
        </is>
      </c>
      <c r="E4730" t="inlineStr">
        <is>
          <t>IT-07</t>
        </is>
      </c>
      <c r="F4730" s="17" t="n">
        <v>46280</v>
      </c>
      <c r="G4730" s="17" t="n">
        <v>46290</v>
      </c>
      <c r="H4730" s="18" t="n">
        <v>13</v>
      </c>
      <c r="I4730" s="19" t="n">
        <v>81.77</v>
      </c>
      <c r="J4730" s="19" t="n">
        <v>74</v>
      </c>
      <c r="K4730" s="20" t="n">
        <v>0</v>
      </c>
      <c r="L4730" s="20" t="n">
        <v>0</v>
      </c>
      <c r="M4730" s="18" t="n">
        <v>13</v>
      </c>
      <c r="N4730" s="18" t="n">
        <v>0</v>
      </c>
      <c r="O4730" s="18" t="n">
        <v>0</v>
      </c>
      <c r="P4730" s="17" t="n">
        <v>46292</v>
      </c>
      <c r="Q4730" s="17" t="n">
        <v>46292</v>
      </c>
      <c r="R4730" s="17" t="n">
        <v>46292</v>
      </c>
      <c r="S4730" s="19">
        <f>H4730*I4730</f>
        <v/>
      </c>
      <c r="T4730" s="19">
        <f>H4730*J4730</f>
        <v/>
      </c>
      <c r="U4730">
        <f>IF(AND(K4730=0,G4730&lt;=Assumptions!$C$6),1,0)</f>
        <v/>
      </c>
      <c r="V4730">
        <f>IF(U4730=1,IF(M4730&gt;0,IF(P4730&lt;=G4730+Assumptions!$C$7,1,0),0),0)</f>
        <v/>
      </c>
      <c r="W4730">
        <f>IF(AND(U4730=1,M4730&gt;=H4730*(1-Assumptions!$C$8)),1,0)</f>
        <v/>
      </c>
      <c r="X4730">
        <f>IF(AND(U4730=1,N4730&gt;=H4730*(1-Assumptions!$C$8)),1,0)</f>
        <v/>
      </c>
      <c r="Y4730">
        <f>IF(ISNUMBER(Q4730),1,0)</f>
        <v/>
      </c>
      <c r="Z4730">
        <f>IF(AND(K4730=0,L4730=0,Y4730=0),1,0)</f>
        <v/>
      </c>
      <c r="AA4730">
        <f>IF(AND(Z4730=1,G4730&lt;Assumptions!$C$6),1,0)</f>
        <v/>
      </c>
      <c r="AB4730">
        <f>IF(U4730=0,"",IF(Y4730=1,MAX(0,Q4730-G4730),IF(L4730=1,MAX(0,R4730-G4730),MAX(0,Assumptions!$C$6-G4730))))</f>
        <v/>
      </c>
      <c r="AC4730">
        <f>IF(Y4730=1,Q4730-F4730,"")</f>
        <v/>
      </c>
      <c r="AD4730">
        <f>IF(Y4730=1,AC4730^2,"")</f>
        <v/>
      </c>
      <c r="AE4730" s="19">
        <f>IF(Z4730=1,(H4730-M4730)*I4730,0)</f>
        <v/>
      </c>
      <c r="AF4730">
        <f>IF(G4730&lt;EDATE(Assumptions!$C$6,-12)+1,"prior_12m","last_12m")</f>
        <v/>
      </c>
      <c r="AG4730" s="21">
        <f>DATE(YEAR(G4730),MONTH(G4730),1)</f>
        <v/>
      </c>
    </row>
    <row r="4731">
      <c r="A4731" t="inlineStr">
        <is>
          <t>SPO-02540-2</t>
        </is>
      </c>
      <c r="B4731" t="inlineStr">
        <is>
          <t>SPO-02540</t>
        </is>
      </c>
      <c r="C4731" t="inlineStr">
        <is>
          <t>SUP-12</t>
        </is>
      </c>
      <c r="D4731" t="inlineStr">
        <is>
          <t>IT</t>
        </is>
      </c>
      <c r="E4731" t="inlineStr">
        <is>
          <t>IT-02</t>
        </is>
      </c>
      <c r="F4731" s="17" t="n">
        <v>46280</v>
      </c>
      <c r="G4731" s="17" t="n">
        <v>46290</v>
      </c>
      <c r="H4731" s="18" t="n">
        <v>10</v>
      </c>
      <c r="I4731" s="19" t="n">
        <v>183.99</v>
      </c>
      <c r="J4731" s="19" t="n">
        <v>162</v>
      </c>
      <c r="K4731" s="20" t="n">
        <v>0</v>
      </c>
      <c r="L4731" s="20" t="n">
        <v>0</v>
      </c>
      <c r="M4731" s="18" t="n">
        <v>10</v>
      </c>
      <c r="N4731" s="18" t="n">
        <v>10</v>
      </c>
      <c r="O4731" s="18" t="n">
        <v>0</v>
      </c>
      <c r="P4731" s="17" t="n">
        <v>46286</v>
      </c>
      <c r="Q4731" s="17" t="n">
        <v>46286</v>
      </c>
      <c r="R4731" s="17" t="n">
        <v>46286</v>
      </c>
      <c r="S4731" s="19">
        <f>H4731*I4731</f>
        <v/>
      </c>
      <c r="T4731" s="19">
        <f>H4731*J4731</f>
        <v/>
      </c>
      <c r="U4731">
        <f>IF(AND(K4731=0,G4731&lt;=Assumptions!$C$6),1,0)</f>
        <v/>
      </c>
      <c r="V4731">
        <f>IF(U4731=1,IF(M4731&gt;0,IF(P4731&lt;=G4731+Assumptions!$C$7,1,0),0),0)</f>
        <v/>
      </c>
      <c r="W4731">
        <f>IF(AND(U4731=1,M4731&gt;=H4731*(1-Assumptions!$C$8)),1,0)</f>
        <v/>
      </c>
      <c r="X4731">
        <f>IF(AND(U4731=1,N4731&gt;=H4731*(1-Assumptions!$C$8)),1,0)</f>
        <v/>
      </c>
      <c r="Y4731">
        <f>IF(ISNUMBER(Q4731),1,0)</f>
        <v/>
      </c>
      <c r="Z4731">
        <f>IF(AND(K4731=0,L4731=0,Y4731=0),1,0)</f>
        <v/>
      </c>
      <c r="AA4731">
        <f>IF(AND(Z4731=1,G4731&lt;Assumptions!$C$6),1,0)</f>
        <v/>
      </c>
      <c r="AB4731">
        <f>IF(U4731=0,"",IF(Y4731=1,MAX(0,Q4731-G4731),IF(L4731=1,MAX(0,R4731-G4731),MAX(0,Assumptions!$C$6-G4731))))</f>
        <v/>
      </c>
      <c r="AC4731">
        <f>IF(Y4731=1,Q4731-F4731,"")</f>
        <v/>
      </c>
      <c r="AD4731">
        <f>IF(Y4731=1,AC4731^2,"")</f>
        <v/>
      </c>
      <c r="AE4731" s="19">
        <f>IF(Z4731=1,(H4731-M4731)*I4731,0)</f>
        <v/>
      </c>
      <c r="AF4731">
        <f>IF(G4731&lt;EDATE(Assumptions!$C$6,-12)+1,"prior_12m","last_12m")</f>
        <v/>
      </c>
      <c r="AG4731" s="21">
        <f>DATE(YEAR(G4731),MONTH(G4731),1)</f>
        <v/>
      </c>
    </row>
    <row r="4732">
      <c r="A4732" t="inlineStr">
        <is>
          <t>SPO-02541-1</t>
        </is>
      </c>
      <c r="B4732" t="inlineStr">
        <is>
          <t>SPO-02541</t>
        </is>
      </c>
      <c r="C4732" t="inlineStr">
        <is>
          <t>SUP-07</t>
        </is>
      </c>
      <c r="D4732" t="inlineStr">
        <is>
          <t>MRO</t>
        </is>
      </c>
      <c r="E4732" t="inlineStr">
        <is>
          <t>MRO-04</t>
        </is>
      </c>
      <c r="F4732" s="17" t="n">
        <v>46281</v>
      </c>
      <c r="G4732" s="17" t="n">
        <v>46291</v>
      </c>
      <c r="H4732" s="18" t="n">
        <v>8</v>
      </c>
      <c r="I4732" s="19" t="n">
        <v>55.52</v>
      </c>
      <c r="J4732" s="19" t="n">
        <v>58</v>
      </c>
      <c r="K4732" s="20" t="n">
        <v>0</v>
      </c>
      <c r="L4732" s="20" t="n">
        <v>0</v>
      </c>
      <c r="M4732" s="18" t="n">
        <v>8</v>
      </c>
      <c r="N4732" s="18" t="n">
        <v>8</v>
      </c>
      <c r="O4732" s="18" t="n">
        <v>0</v>
      </c>
      <c r="P4732" s="17" t="n">
        <v>46283</v>
      </c>
      <c r="Q4732" s="17" t="n">
        <v>46283</v>
      </c>
      <c r="R4732" s="17" t="n">
        <v>46283</v>
      </c>
      <c r="S4732" s="19">
        <f>H4732*I4732</f>
        <v/>
      </c>
      <c r="T4732" s="19">
        <f>H4732*J4732</f>
        <v/>
      </c>
      <c r="U4732">
        <f>IF(AND(K4732=0,G4732&lt;=Assumptions!$C$6),1,0)</f>
        <v/>
      </c>
      <c r="V4732">
        <f>IF(U4732=1,IF(M4732&gt;0,IF(P4732&lt;=G4732+Assumptions!$C$7,1,0),0),0)</f>
        <v/>
      </c>
      <c r="W4732">
        <f>IF(AND(U4732=1,M4732&gt;=H4732*(1-Assumptions!$C$8)),1,0)</f>
        <v/>
      </c>
      <c r="X4732">
        <f>IF(AND(U4732=1,N4732&gt;=H4732*(1-Assumptions!$C$8)),1,0)</f>
        <v/>
      </c>
      <c r="Y4732">
        <f>IF(ISNUMBER(Q4732),1,0)</f>
        <v/>
      </c>
      <c r="Z4732">
        <f>IF(AND(K4732=0,L4732=0,Y4732=0),1,0)</f>
        <v/>
      </c>
      <c r="AA4732">
        <f>IF(AND(Z4732=1,G4732&lt;Assumptions!$C$6),1,0)</f>
        <v/>
      </c>
      <c r="AB4732">
        <f>IF(U4732=0,"",IF(Y4732=1,MAX(0,Q4732-G4732),IF(L4732=1,MAX(0,R4732-G4732),MAX(0,Assumptions!$C$6-G4732))))</f>
        <v/>
      </c>
      <c r="AC4732">
        <f>IF(Y4732=1,Q4732-F4732,"")</f>
        <v/>
      </c>
      <c r="AD4732">
        <f>IF(Y4732=1,AC4732^2,"")</f>
        <v/>
      </c>
      <c r="AE4732" s="19">
        <f>IF(Z4732=1,(H4732-M4732)*I4732,0)</f>
        <v/>
      </c>
      <c r="AF4732">
        <f>IF(G4732&lt;EDATE(Assumptions!$C$6,-12)+1,"prior_12m","last_12m")</f>
        <v/>
      </c>
      <c r="AG4732" s="21">
        <f>DATE(YEAR(G4732),MONTH(G4732),1)</f>
        <v/>
      </c>
    </row>
    <row r="4733">
      <c r="A4733" t="inlineStr">
        <is>
          <t>SPO-02541-2</t>
        </is>
      </c>
      <c r="B4733" t="inlineStr">
        <is>
          <t>SPO-02541</t>
        </is>
      </c>
      <c r="C4733" t="inlineStr">
        <is>
          <t>SUP-07</t>
        </is>
      </c>
      <c r="D4733" t="inlineStr">
        <is>
          <t>MRO</t>
        </is>
      </c>
      <c r="E4733" t="inlineStr">
        <is>
          <t>MRO-08</t>
        </is>
      </c>
      <c r="F4733" s="17" t="n">
        <v>46281</v>
      </c>
      <c r="G4733" s="17" t="n">
        <v>46291</v>
      </c>
      <c r="H4733" s="18" t="n">
        <v>169</v>
      </c>
      <c r="I4733" s="19" t="n">
        <v>7.47</v>
      </c>
      <c r="J4733" s="19" t="n">
        <v>7.2</v>
      </c>
      <c r="K4733" s="20" t="n">
        <v>1</v>
      </c>
      <c r="L4733" s="20" t="n">
        <v>0</v>
      </c>
      <c r="M4733" s="18" t="n">
        <v>0</v>
      </c>
      <c r="N4733" s="18" t="n">
        <v>0</v>
      </c>
      <c r="O4733" s="18" t="n">
        <v>0</v>
      </c>
      <c r="P4733" s="17" t="n"/>
      <c r="Q4733" s="17" t="n"/>
      <c r="R4733" s="17" t="n"/>
      <c r="S4733" s="19">
        <f>H4733*I4733</f>
        <v/>
      </c>
      <c r="T4733" s="19">
        <f>H4733*J4733</f>
        <v/>
      </c>
      <c r="U4733">
        <f>IF(AND(K4733=0,G4733&lt;=Assumptions!$C$6),1,0)</f>
        <v/>
      </c>
      <c r="V4733">
        <f>IF(U4733=1,IF(M4733&gt;0,IF(P4733&lt;=G4733+Assumptions!$C$7,1,0),0),0)</f>
        <v/>
      </c>
      <c r="W4733">
        <f>IF(AND(U4733=1,M4733&gt;=H4733*(1-Assumptions!$C$8)),1,0)</f>
        <v/>
      </c>
      <c r="X4733">
        <f>IF(AND(U4733=1,N4733&gt;=H4733*(1-Assumptions!$C$8)),1,0)</f>
        <v/>
      </c>
      <c r="Y4733">
        <f>IF(ISNUMBER(Q4733),1,0)</f>
        <v/>
      </c>
      <c r="Z4733">
        <f>IF(AND(K4733=0,L4733=0,Y4733=0),1,0)</f>
        <v/>
      </c>
      <c r="AA4733">
        <f>IF(AND(Z4733=1,G4733&lt;Assumptions!$C$6),1,0)</f>
        <v/>
      </c>
      <c r="AB4733">
        <f>IF(U4733=0,"",IF(Y4733=1,MAX(0,Q4733-G4733),IF(L4733=1,MAX(0,R4733-G4733),MAX(0,Assumptions!$C$6-G4733))))</f>
        <v/>
      </c>
      <c r="AC4733">
        <f>IF(Y4733=1,Q4733-F4733,"")</f>
        <v/>
      </c>
      <c r="AD4733">
        <f>IF(Y4733=1,AC4733^2,"")</f>
        <v/>
      </c>
      <c r="AE4733" s="19">
        <f>IF(Z4733=1,(H4733-M4733)*I4733,0)</f>
        <v/>
      </c>
      <c r="AF4733">
        <f>IF(G4733&lt;EDATE(Assumptions!$C$6,-12)+1,"prior_12m","last_12m")</f>
        <v/>
      </c>
      <c r="AG4733" s="21">
        <f>DATE(YEAR(G4733),MONTH(G4733),1)</f>
        <v/>
      </c>
    </row>
    <row r="4734">
      <c r="A4734" t="inlineStr">
        <is>
          <t>SPO-02542-1</t>
        </is>
      </c>
      <c r="B4734" t="inlineStr">
        <is>
          <t>SPO-02542</t>
        </is>
      </c>
      <c r="C4734" t="inlineStr">
        <is>
          <t>SUP-12</t>
        </is>
      </c>
      <c r="D4734" t="inlineStr">
        <is>
          <t>IT</t>
        </is>
      </c>
      <c r="E4734" t="inlineStr">
        <is>
          <t>IT-04</t>
        </is>
      </c>
      <c r="F4734" s="17" t="n">
        <v>46281</v>
      </c>
      <c r="G4734" s="17" t="n">
        <v>46291</v>
      </c>
      <c r="H4734" s="18" t="n">
        <v>213</v>
      </c>
      <c r="I4734" s="19" t="n">
        <v>13.97</v>
      </c>
      <c r="J4734" s="19" t="n">
        <v>12</v>
      </c>
      <c r="K4734" s="20" t="n">
        <v>0</v>
      </c>
      <c r="L4734" s="20" t="n">
        <v>0</v>
      </c>
      <c r="M4734" s="18" t="n">
        <v>213</v>
      </c>
      <c r="N4734" s="18" t="n">
        <v>213</v>
      </c>
      <c r="O4734" s="18" t="n">
        <v>0</v>
      </c>
      <c r="P4734" s="17" t="n">
        <v>46291</v>
      </c>
      <c r="Q4734" s="17" t="n">
        <v>46291</v>
      </c>
      <c r="R4734" s="17" t="n">
        <v>46291</v>
      </c>
      <c r="S4734" s="19">
        <f>H4734*I4734</f>
        <v/>
      </c>
      <c r="T4734" s="19">
        <f>H4734*J4734</f>
        <v/>
      </c>
      <c r="U4734">
        <f>IF(AND(K4734=0,G4734&lt;=Assumptions!$C$6),1,0)</f>
        <v/>
      </c>
      <c r="V4734">
        <f>IF(U4734=1,IF(M4734&gt;0,IF(P4734&lt;=G4734+Assumptions!$C$7,1,0),0),0)</f>
        <v/>
      </c>
      <c r="W4734">
        <f>IF(AND(U4734=1,M4734&gt;=H4734*(1-Assumptions!$C$8)),1,0)</f>
        <v/>
      </c>
      <c r="X4734">
        <f>IF(AND(U4734=1,N4734&gt;=H4734*(1-Assumptions!$C$8)),1,0)</f>
        <v/>
      </c>
      <c r="Y4734">
        <f>IF(ISNUMBER(Q4734),1,0)</f>
        <v/>
      </c>
      <c r="Z4734">
        <f>IF(AND(K4734=0,L4734=0,Y4734=0),1,0)</f>
        <v/>
      </c>
      <c r="AA4734">
        <f>IF(AND(Z4734=1,G4734&lt;Assumptions!$C$6),1,0)</f>
        <v/>
      </c>
      <c r="AB4734">
        <f>IF(U4734=0,"",IF(Y4734=1,MAX(0,Q4734-G4734),IF(L4734=1,MAX(0,R4734-G4734),MAX(0,Assumptions!$C$6-G4734))))</f>
        <v/>
      </c>
      <c r="AC4734">
        <f>IF(Y4734=1,Q4734-F4734,"")</f>
        <v/>
      </c>
      <c r="AD4734">
        <f>IF(Y4734=1,AC4734^2,"")</f>
        <v/>
      </c>
      <c r="AE4734" s="19">
        <f>IF(Z4734=1,(H4734-M4734)*I4734,0)</f>
        <v/>
      </c>
      <c r="AF4734">
        <f>IF(G4734&lt;EDATE(Assumptions!$C$6,-12)+1,"prior_12m","last_12m")</f>
        <v/>
      </c>
      <c r="AG4734" s="21">
        <f>DATE(YEAR(G4734),MONTH(G4734),1)</f>
        <v/>
      </c>
    </row>
    <row r="4735">
      <c r="A4735" t="inlineStr">
        <is>
          <t>SPO-02542-2</t>
        </is>
      </c>
      <c r="B4735" t="inlineStr">
        <is>
          <t>SPO-02542</t>
        </is>
      </c>
      <c r="C4735" t="inlineStr">
        <is>
          <t>SUP-12</t>
        </is>
      </c>
      <c r="D4735" t="inlineStr">
        <is>
          <t>IT</t>
        </is>
      </c>
      <c r="E4735" t="inlineStr">
        <is>
          <t>IT-03</t>
        </is>
      </c>
      <c r="F4735" s="17" t="n">
        <v>46281</v>
      </c>
      <c r="G4735" s="17" t="n">
        <v>46291</v>
      </c>
      <c r="H4735" s="18" t="n">
        <v>166</v>
      </c>
      <c r="I4735" s="19" t="n">
        <v>44.92</v>
      </c>
      <c r="J4735" s="19" t="n">
        <v>38</v>
      </c>
      <c r="K4735" s="20" t="n">
        <v>0</v>
      </c>
      <c r="L4735" s="20" t="n">
        <v>0</v>
      </c>
      <c r="M4735" s="18" t="n">
        <v>166</v>
      </c>
      <c r="N4735" s="18" t="n">
        <v>166</v>
      </c>
      <c r="O4735" s="18" t="n">
        <v>0</v>
      </c>
      <c r="P4735" s="17" t="n">
        <v>46288</v>
      </c>
      <c r="Q4735" s="17" t="n">
        <v>46288</v>
      </c>
      <c r="R4735" s="17" t="n">
        <v>46288</v>
      </c>
      <c r="S4735" s="19">
        <f>H4735*I4735</f>
        <v/>
      </c>
      <c r="T4735" s="19">
        <f>H4735*J4735</f>
        <v/>
      </c>
      <c r="U4735">
        <f>IF(AND(K4735=0,G4735&lt;=Assumptions!$C$6),1,0)</f>
        <v/>
      </c>
      <c r="V4735">
        <f>IF(U4735=1,IF(M4735&gt;0,IF(P4735&lt;=G4735+Assumptions!$C$7,1,0),0),0)</f>
        <v/>
      </c>
      <c r="W4735">
        <f>IF(AND(U4735=1,M4735&gt;=H4735*(1-Assumptions!$C$8)),1,0)</f>
        <v/>
      </c>
      <c r="X4735">
        <f>IF(AND(U4735=1,N4735&gt;=H4735*(1-Assumptions!$C$8)),1,0)</f>
        <v/>
      </c>
      <c r="Y4735">
        <f>IF(ISNUMBER(Q4735),1,0)</f>
        <v/>
      </c>
      <c r="Z4735">
        <f>IF(AND(K4735=0,L4735=0,Y4735=0),1,0)</f>
        <v/>
      </c>
      <c r="AA4735">
        <f>IF(AND(Z4735=1,G4735&lt;Assumptions!$C$6),1,0)</f>
        <v/>
      </c>
      <c r="AB4735">
        <f>IF(U4735=0,"",IF(Y4735=1,MAX(0,Q4735-G4735),IF(L4735=1,MAX(0,R4735-G4735),MAX(0,Assumptions!$C$6-G4735))))</f>
        <v/>
      </c>
      <c r="AC4735">
        <f>IF(Y4735=1,Q4735-F4735,"")</f>
        <v/>
      </c>
      <c r="AD4735">
        <f>IF(Y4735=1,AC4735^2,"")</f>
        <v/>
      </c>
      <c r="AE4735" s="19">
        <f>IF(Z4735=1,(H4735-M4735)*I4735,0)</f>
        <v/>
      </c>
      <c r="AF4735">
        <f>IF(G4735&lt;EDATE(Assumptions!$C$6,-12)+1,"prior_12m","last_12m")</f>
        <v/>
      </c>
      <c r="AG4735" s="21">
        <f>DATE(YEAR(G4735),MONTH(G4735),1)</f>
        <v/>
      </c>
    </row>
    <row r="4736">
      <c r="A4736" t="inlineStr">
        <is>
          <t>SPO-02543-1</t>
        </is>
      </c>
      <c r="B4736" t="inlineStr">
        <is>
          <t>SPO-02543</t>
        </is>
      </c>
      <c r="C4736" t="inlineStr">
        <is>
          <t>SUP-01</t>
        </is>
      </c>
      <c r="D4736" t="inlineStr">
        <is>
          <t>ELEC</t>
        </is>
      </c>
      <c r="E4736" t="inlineStr">
        <is>
          <t>ELEC-06</t>
        </is>
      </c>
      <c r="F4736" s="17" t="n">
        <v>46281</v>
      </c>
      <c r="G4736" s="17" t="n">
        <v>46299</v>
      </c>
      <c r="H4736" s="18" t="n">
        <v>6</v>
      </c>
      <c r="I4736" s="19" t="n">
        <v>148.97</v>
      </c>
      <c r="J4736" s="19" t="n">
        <v>145</v>
      </c>
      <c r="K4736" s="20" t="n">
        <v>0</v>
      </c>
      <c r="L4736" s="20" t="n">
        <v>0</v>
      </c>
      <c r="M4736" s="18" t="n">
        <v>0</v>
      </c>
      <c r="N4736" s="18" t="n">
        <v>0</v>
      </c>
      <c r="O4736" s="18" t="n">
        <v>0</v>
      </c>
      <c r="P4736" s="17" t="n"/>
      <c r="Q4736" s="17" t="n"/>
      <c r="R4736" s="17" t="n"/>
      <c r="S4736" s="19">
        <f>H4736*I4736</f>
        <v/>
      </c>
      <c r="T4736" s="19">
        <f>H4736*J4736</f>
        <v/>
      </c>
      <c r="U4736">
        <f>IF(AND(K4736=0,G4736&lt;=Assumptions!$C$6),1,0)</f>
        <v/>
      </c>
      <c r="V4736">
        <f>IF(U4736=1,IF(M4736&gt;0,IF(P4736&lt;=G4736+Assumptions!$C$7,1,0),0),0)</f>
        <v/>
      </c>
      <c r="W4736">
        <f>IF(AND(U4736=1,M4736&gt;=H4736*(1-Assumptions!$C$8)),1,0)</f>
        <v/>
      </c>
      <c r="X4736">
        <f>IF(AND(U4736=1,N4736&gt;=H4736*(1-Assumptions!$C$8)),1,0)</f>
        <v/>
      </c>
      <c r="Y4736">
        <f>IF(ISNUMBER(Q4736),1,0)</f>
        <v/>
      </c>
      <c r="Z4736">
        <f>IF(AND(K4736=0,L4736=0,Y4736=0),1,0)</f>
        <v/>
      </c>
      <c r="AA4736">
        <f>IF(AND(Z4736=1,G4736&lt;Assumptions!$C$6),1,0)</f>
        <v/>
      </c>
      <c r="AB4736">
        <f>IF(U4736=0,"",IF(Y4736=1,MAX(0,Q4736-G4736),IF(L4736=1,MAX(0,R4736-G4736),MAX(0,Assumptions!$C$6-G4736))))</f>
        <v/>
      </c>
      <c r="AC4736">
        <f>IF(Y4736=1,Q4736-F4736,"")</f>
        <v/>
      </c>
      <c r="AD4736">
        <f>IF(Y4736=1,AC4736^2,"")</f>
        <v/>
      </c>
      <c r="AE4736" s="19">
        <f>IF(Z4736=1,(H4736-M4736)*I4736,0)</f>
        <v/>
      </c>
      <c r="AF4736">
        <f>IF(G4736&lt;EDATE(Assumptions!$C$6,-12)+1,"prior_12m","last_12m")</f>
        <v/>
      </c>
      <c r="AG4736" s="21">
        <f>DATE(YEAR(G4736),MONTH(G4736),1)</f>
        <v/>
      </c>
    </row>
    <row r="4737">
      <c r="A4737" t="inlineStr">
        <is>
          <t>SPO-02544-1</t>
        </is>
      </c>
      <c r="B4737" t="inlineStr">
        <is>
          <t>SPO-02544</t>
        </is>
      </c>
      <c r="C4737" t="inlineStr">
        <is>
          <t>SUP-06</t>
        </is>
      </c>
      <c r="D4737" t="inlineStr">
        <is>
          <t>MRO</t>
        </is>
      </c>
      <c r="E4737" t="inlineStr">
        <is>
          <t>MRO-06</t>
        </is>
      </c>
      <c r="F4737" s="17" t="n">
        <v>46281</v>
      </c>
      <c r="G4737" s="17" t="n">
        <v>46289</v>
      </c>
      <c r="H4737" s="18" t="n">
        <v>114</v>
      </c>
      <c r="I4737" s="19" t="n">
        <v>6.02</v>
      </c>
      <c r="J4737" s="19" t="n">
        <v>6.1</v>
      </c>
      <c r="K4737" s="20" t="n">
        <v>0</v>
      </c>
      <c r="L4737" s="20" t="n">
        <v>0</v>
      </c>
      <c r="M4737" s="18" t="n">
        <v>114</v>
      </c>
      <c r="N4737" s="18" t="n">
        <v>114</v>
      </c>
      <c r="O4737" s="18" t="n">
        <v>0</v>
      </c>
      <c r="P4737" s="17" t="n">
        <v>46286</v>
      </c>
      <c r="Q4737" s="17" t="n">
        <v>46286</v>
      </c>
      <c r="R4737" s="17" t="n">
        <v>46286</v>
      </c>
      <c r="S4737" s="19">
        <f>H4737*I4737</f>
        <v/>
      </c>
      <c r="T4737" s="19">
        <f>H4737*J4737</f>
        <v/>
      </c>
      <c r="U4737">
        <f>IF(AND(K4737=0,G4737&lt;=Assumptions!$C$6),1,0)</f>
        <v/>
      </c>
      <c r="V4737">
        <f>IF(U4737=1,IF(M4737&gt;0,IF(P4737&lt;=G4737+Assumptions!$C$7,1,0),0),0)</f>
        <v/>
      </c>
      <c r="W4737">
        <f>IF(AND(U4737=1,M4737&gt;=H4737*(1-Assumptions!$C$8)),1,0)</f>
        <v/>
      </c>
      <c r="X4737">
        <f>IF(AND(U4737=1,N4737&gt;=H4737*(1-Assumptions!$C$8)),1,0)</f>
        <v/>
      </c>
      <c r="Y4737">
        <f>IF(ISNUMBER(Q4737),1,0)</f>
        <v/>
      </c>
      <c r="Z4737">
        <f>IF(AND(K4737=0,L4737=0,Y4737=0),1,0)</f>
        <v/>
      </c>
      <c r="AA4737">
        <f>IF(AND(Z4737=1,G4737&lt;Assumptions!$C$6),1,0)</f>
        <v/>
      </c>
      <c r="AB4737">
        <f>IF(U4737=0,"",IF(Y4737=1,MAX(0,Q4737-G4737),IF(L4737=1,MAX(0,R4737-G4737),MAX(0,Assumptions!$C$6-G4737))))</f>
        <v/>
      </c>
      <c r="AC4737">
        <f>IF(Y4737=1,Q4737-F4737,"")</f>
        <v/>
      </c>
      <c r="AD4737">
        <f>IF(Y4737=1,AC4737^2,"")</f>
        <v/>
      </c>
      <c r="AE4737" s="19">
        <f>IF(Z4737=1,(H4737-M4737)*I4737,0)</f>
        <v/>
      </c>
      <c r="AF4737">
        <f>IF(G4737&lt;EDATE(Assumptions!$C$6,-12)+1,"prior_12m","last_12m")</f>
        <v/>
      </c>
      <c r="AG4737" s="21">
        <f>DATE(YEAR(G4737),MONTH(G4737),1)</f>
        <v/>
      </c>
    </row>
    <row r="4738">
      <c r="A4738" t="inlineStr">
        <is>
          <t>SPO-02544-2</t>
        </is>
      </c>
      <c r="B4738" t="inlineStr">
        <is>
          <t>SPO-02544</t>
        </is>
      </c>
      <c r="C4738" t="inlineStr">
        <is>
          <t>SUP-06</t>
        </is>
      </c>
      <c r="D4738" t="inlineStr">
        <is>
          <t>MRO</t>
        </is>
      </c>
      <c r="E4738" t="inlineStr">
        <is>
          <t>MRO-07</t>
        </is>
      </c>
      <c r="F4738" s="17" t="n">
        <v>46281</v>
      </c>
      <c r="G4738" s="17" t="n">
        <v>46289</v>
      </c>
      <c r="H4738" s="18" t="n">
        <v>117</v>
      </c>
      <c r="I4738" s="19" t="n">
        <v>13.26</v>
      </c>
      <c r="J4738" s="19" t="n">
        <v>14</v>
      </c>
      <c r="K4738" s="20" t="n">
        <v>0</v>
      </c>
      <c r="L4738" s="20" t="n">
        <v>0</v>
      </c>
      <c r="M4738" s="18" t="n">
        <v>117</v>
      </c>
      <c r="N4738" s="18" t="n">
        <v>117</v>
      </c>
      <c r="O4738" s="18" t="n">
        <v>0</v>
      </c>
      <c r="P4738" s="17" t="n">
        <v>46287</v>
      </c>
      <c r="Q4738" s="17" t="n">
        <v>46287</v>
      </c>
      <c r="R4738" s="17" t="n">
        <v>46287</v>
      </c>
      <c r="S4738" s="19">
        <f>H4738*I4738</f>
        <v/>
      </c>
      <c r="T4738" s="19">
        <f>H4738*J4738</f>
        <v/>
      </c>
      <c r="U4738">
        <f>IF(AND(K4738=0,G4738&lt;=Assumptions!$C$6),1,0)</f>
        <v/>
      </c>
      <c r="V4738">
        <f>IF(U4738=1,IF(M4738&gt;0,IF(P4738&lt;=G4738+Assumptions!$C$7,1,0),0),0)</f>
        <v/>
      </c>
      <c r="W4738">
        <f>IF(AND(U4738=1,M4738&gt;=H4738*(1-Assumptions!$C$8)),1,0)</f>
        <v/>
      </c>
      <c r="X4738">
        <f>IF(AND(U4738=1,N4738&gt;=H4738*(1-Assumptions!$C$8)),1,0)</f>
        <v/>
      </c>
      <c r="Y4738">
        <f>IF(ISNUMBER(Q4738),1,0)</f>
        <v/>
      </c>
      <c r="Z4738">
        <f>IF(AND(K4738=0,L4738=0,Y4738=0),1,0)</f>
        <v/>
      </c>
      <c r="AA4738">
        <f>IF(AND(Z4738=1,G4738&lt;Assumptions!$C$6),1,0)</f>
        <v/>
      </c>
      <c r="AB4738">
        <f>IF(U4738=0,"",IF(Y4738=1,MAX(0,Q4738-G4738),IF(L4738=1,MAX(0,R4738-G4738),MAX(0,Assumptions!$C$6-G4738))))</f>
        <v/>
      </c>
      <c r="AC4738">
        <f>IF(Y4738=1,Q4738-F4738,"")</f>
        <v/>
      </c>
      <c r="AD4738">
        <f>IF(Y4738=1,AC4738^2,"")</f>
        <v/>
      </c>
      <c r="AE4738" s="19">
        <f>IF(Z4738=1,(H4738-M4738)*I4738,0)</f>
        <v/>
      </c>
      <c r="AF4738">
        <f>IF(G4738&lt;EDATE(Assumptions!$C$6,-12)+1,"prior_12m","last_12m")</f>
        <v/>
      </c>
      <c r="AG4738" s="21">
        <f>DATE(YEAR(G4738),MONTH(G4738),1)</f>
        <v/>
      </c>
    </row>
    <row r="4739">
      <c r="A4739" t="inlineStr">
        <is>
          <t>SPO-02545-1</t>
        </is>
      </c>
      <c r="B4739" t="inlineStr">
        <is>
          <t>SPO-02545</t>
        </is>
      </c>
      <c r="C4739" t="inlineStr">
        <is>
          <t>SUP-01</t>
        </is>
      </c>
      <c r="D4739" t="inlineStr">
        <is>
          <t>ELEC</t>
        </is>
      </c>
      <c r="E4739" t="inlineStr">
        <is>
          <t>ELEC-05</t>
        </is>
      </c>
      <c r="F4739" s="17" t="n">
        <v>46282</v>
      </c>
      <c r="G4739" s="17" t="n">
        <v>46300</v>
      </c>
      <c r="H4739" s="18" t="n">
        <v>182</v>
      </c>
      <c r="I4739" s="19" t="n">
        <v>11.48</v>
      </c>
      <c r="J4739" s="19" t="n">
        <v>11.5</v>
      </c>
      <c r="K4739" s="20" t="n">
        <v>0</v>
      </c>
      <c r="L4739" s="20" t="n">
        <v>0</v>
      </c>
      <c r="M4739" s="18" t="n">
        <v>182</v>
      </c>
      <c r="N4739" s="18" t="n">
        <v>182</v>
      </c>
      <c r="O4739" s="18" t="n">
        <v>0</v>
      </c>
      <c r="P4739" s="17" t="n">
        <v>46291</v>
      </c>
      <c r="Q4739" s="17" t="n">
        <v>46291</v>
      </c>
      <c r="R4739" s="17" t="n">
        <v>46291</v>
      </c>
      <c r="S4739" s="19">
        <f>H4739*I4739</f>
        <v/>
      </c>
      <c r="T4739" s="19">
        <f>H4739*J4739</f>
        <v/>
      </c>
      <c r="U4739">
        <f>IF(AND(K4739=0,G4739&lt;=Assumptions!$C$6),1,0)</f>
        <v/>
      </c>
      <c r="V4739">
        <f>IF(U4739=1,IF(M4739&gt;0,IF(P4739&lt;=G4739+Assumptions!$C$7,1,0),0),0)</f>
        <v/>
      </c>
      <c r="W4739">
        <f>IF(AND(U4739=1,M4739&gt;=H4739*(1-Assumptions!$C$8)),1,0)</f>
        <v/>
      </c>
      <c r="X4739">
        <f>IF(AND(U4739=1,N4739&gt;=H4739*(1-Assumptions!$C$8)),1,0)</f>
        <v/>
      </c>
      <c r="Y4739">
        <f>IF(ISNUMBER(Q4739),1,0)</f>
        <v/>
      </c>
      <c r="Z4739">
        <f>IF(AND(K4739=0,L4739=0,Y4739=0),1,0)</f>
        <v/>
      </c>
      <c r="AA4739">
        <f>IF(AND(Z4739=1,G4739&lt;Assumptions!$C$6),1,0)</f>
        <v/>
      </c>
      <c r="AB4739">
        <f>IF(U4739=0,"",IF(Y4739=1,MAX(0,Q4739-G4739),IF(L4739=1,MAX(0,R4739-G4739),MAX(0,Assumptions!$C$6-G4739))))</f>
        <v/>
      </c>
      <c r="AC4739">
        <f>IF(Y4739=1,Q4739-F4739,"")</f>
        <v/>
      </c>
      <c r="AD4739">
        <f>IF(Y4739=1,AC4739^2,"")</f>
        <v/>
      </c>
      <c r="AE4739" s="19">
        <f>IF(Z4739=1,(H4739-M4739)*I4739,0)</f>
        <v/>
      </c>
      <c r="AF4739">
        <f>IF(G4739&lt;EDATE(Assumptions!$C$6,-12)+1,"prior_12m","last_12m")</f>
        <v/>
      </c>
      <c r="AG4739" s="21">
        <f>DATE(YEAR(G4739),MONTH(G4739),1)</f>
        <v/>
      </c>
    </row>
    <row r="4740">
      <c r="A4740" t="inlineStr">
        <is>
          <t>SPO-02545-2</t>
        </is>
      </c>
      <c r="B4740" t="inlineStr">
        <is>
          <t>SPO-02545</t>
        </is>
      </c>
      <c r="C4740" t="inlineStr">
        <is>
          <t>SUP-01</t>
        </is>
      </c>
      <c r="D4740" t="inlineStr">
        <is>
          <t>ELEC</t>
        </is>
      </c>
      <c r="E4740" t="inlineStr">
        <is>
          <t>ELEC-01</t>
        </is>
      </c>
      <c r="F4740" s="17" t="n">
        <v>46282</v>
      </c>
      <c r="G4740" s="17" t="n">
        <v>46300</v>
      </c>
      <c r="H4740" s="18" t="n">
        <v>67</v>
      </c>
      <c r="I4740" s="19" t="n">
        <v>39.27</v>
      </c>
      <c r="J4740" s="19" t="n">
        <v>38</v>
      </c>
      <c r="K4740" s="20" t="n">
        <v>0</v>
      </c>
      <c r="L4740" s="20" t="n">
        <v>0</v>
      </c>
      <c r="M4740" s="18" t="n">
        <v>0</v>
      </c>
      <c r="N4740" s="18" t="n">
        <v>0</v>
      </c>
      <c r="O4740" s="18" t="n">
        <v>0</v>
      </c>
      <c r="P4740" s="17" t="n"/>
      <c r="Q4740" s="17" t="n"/>
      <c r="R4740" s="17" t="n"/>
      <c r="S4740" s="19">
        <f>H4740*I4740</f>
        <v/>
      </c>
      <c r="T4740" s="19">
        <f>H4740*J4740</f>
        <v/>
      </c>
      <c r="U4740">
        <f>IF(AND(K4740=0,G4740&lt;=Assumptions!$C$6),1,0)</f>
        <v/>
      </c>
      <c r="V4740">
        <f>IF(U4740=1,IF(M4740&gt;0,IF(P4740&lt;=G4740+Assumptions!$C$7,1,0),0),0)</f>
        <v/>
      </c>
      <c r="W4740">
        <f>IF(AND(U4740=1,M4740&gt;=H4740*(1-Assumptions!$C$8)),1,0)</f>
        <v/>
      </c>
      <c r="X4740">
        <f>IF(AND(U4740=1,N4740&gt;=H4740*(1-Assumptions!$C$8)),1,0)</f>
        <v/>
      </c>
      <c r="Y4740">
        <f>IF(ISNUMBER(Q4740),1,0)</f>
        <v/>
      </c>
      <c r="Z4740">
        <f>IF(AND(K4740=0,L4740=0,Y4740=0),1,0)</f>
        <v/>
      </c>
      <c r="AA4740">
        <f>IF(AND(Z4740=1,G4740&lt;Assumptions!$C$6),1,0)</f>
        <v/>
      </c>
      <c r="AB4740">
        <f>IF(U4740=0,"",IF(Y4740=1,MAX(0,Q4740-G4740),IF(L4740=1,MAX(0,R4740-G4740),MAX(0,Assumptions!$C$6-G4740))))</f>
        <v/>
      </c>
      <c r="AC4740">
        <f>IF(Y4740=1,Q4740-F4740,"")</f>
        <v/>
      </c>
      <c r="AD4740">
        <f>IF(Y4740=1,AC4740^2,"")</f>
        <v/>
      </c>
      <c r="AE4740" s="19">
        <f>IF(Z4740=1,(H4740-M4740)*I4740,0)</f>
        <v/>
      </c>
      <c r="AF4740">
        <f>IF(G4740&lt;EDATE(Assumptions!$C$6,-12)+1,"prior_12m","last_12m")</f>
        <v/>
      </c>
      <c r="AG4740" s="21">
        <f>DATE(YEAR(G4740),MONTH(G4740),1)</f>
        <v/>
      </c>
    </row>
    <row r="4741">
      <c r="A4741" t="inlineStr">
        <is>
          <t>SPO-02546-1</t>
        </is>
      </c>
      <c r="B4741" t="inlineStr">
        <is>
          <t>SPO-02546</t>
        </is>
      </c>
      <c r="C4741" t="inlineStr">
        <is>
          <t>SUP-09</t>
        </is>
      </c>
      <c r="D4741" t="inlineStr">
        <is>
          <t>CHEM</t>
        </is>
      </c>
      <c r="E4741" t="inlineStr">
        <is>
          <t>CHEM-03</t>
        </is>
      </c>
      <c r="F4741" s="17" t="n">
        <v>46282</v>
      </c>
      <c r="G4741" s="17" t="n">
        <v>46296</v>
      </c>
      <c r="H4741" s="18" t="n">
        <v>5</v>
      </c>
      <c r="I4741" s="19" t="n">
        <v>267.51</v>
      </c>
      <c r="J4741" s="19" t="n">
        <v>265</v>
      </c>
      <c r="K4741" s="20" t="n">
        <v>0</v>
      </c>
      <c r="L4741" s="20" t="n">
        <v>0</v>
      </c>
      <c r="M4741" s="18" t="n">
        <v>5</v>
      </c>
      <c r="N4741" s="18" t="n">
        <v>5</v>
      </c>
      <c r="O4741" s="18" t="n">
        <v>0</v>
      </c>
      <c r="P4741" s="17" t="n">
        <v>46293</v>
      </c>
      <c r="Q4741" s="17" t="n">
        <v>46293</v>
      </c>
      <c r="R4741" s="17" t="n">
        <v>46293</v>
      </c>
      <c r="S4741" s="19">
        <f>H4741*I4741</f>
        <v/>
      </c>
      <c r="T4741" s="19">
        <f>H4741*J4741</f>
        <v/>
      </c>
      <c r="U4741">
        <f>IF(AND(K4741=0,G4741&lt;=Assumptions!$C$6),1,0)</f>
        <v/>
      </c>
      <c r="V4741">
        <f>IF(U4741=1,IF(M4741&gt;0,IF(P4741&lt;=G4741+Assumptions!$C$7,1,0),0),0)</f>
        <v/>
      </c>
      <c r="W4741">
        <f>IF(AND(U4741=1,M4741&gt;=H4741*(1-Assumptions!$C$8)),1,0)</f>
        <v/>
      </c>
      <c r="X4741">
        <f>IF(AND(U4741=1,N4741&gt;=H4741*(1-Assumptions!$C$8)),1,0)</f>
        <v/>
      </c>
      <c r="Y4741">
        <f>IF(ISNUMBER(Q4741),1,0)</f>
        <v/>
      </c>
      <c r="Z4741">
        <f>IF(AND(K4741=0,L4741=0,Y4741=0),1,0)</f>
        <v/>
      </c>
      <c r="AA4741">
        <f>IF(AND(Z4741=1,G4741&lt;Assumptions!$C$6),1,0)</f>
        <v/>
      </c>
      <c r="AB4741">
        <f>IF(U4741=0,"",IF(Y4741=1,MAX(0,Q4741-G4741),IF(L4741=1,MAX(0,R4741-G4741),MAX(0,Assumptions!$C$6-G4741))))</f>
        <v/>
      </c>
      <c r="AC4741">
        <f>IF(Y4741=1,Q4741-F4741,"")</f>
        <v/>
      </c>
      <c r="AD4741">
        <f>IF(Y4741=1,AC4741^2,"")</f>
        <v/>
      </c>
      <c r="AE4741" s="19">
        <f>IF(Z4741=1,(H4741-M4741)*I4741,0)</f>
        <v/>
      </c>
      <c r="AF4741">
        <f>IF(G4741&lt;EDATE(Assumptions!$C$6,-12)+1,"prior_12m","last_12m")</f>
        <v/>
      </c>
      <c r="AG4741" s="21">
        <f>DATE(YEAR(G4741),MONTH(G4741),1)</f>
        <v/>
      </c>
    </row>
    <row r="4742">
      <c r="A4742" t="inlineStr">
        <is>
          <t>SPO-02547-1</t>
        </is>
      </c>
      <c r="B4742" t="inlineStr">
        <is>
          <t>SPO-02547</t>
        </is>
      </c>
      <c r="C4742" t="inlineStr">
        <is>
          <t>SUP-11</t>
        </is>
      </c>
      <c r="D4742" t="inlineStr">
        <is>
          <t>PPE</t>
        </is>
      </c>
      <c r="E4742" t="inlineStr">
        <is>
          <t>PPE-05</t>
        </is>
      </c>
      <c r="F4742" s="17" t="n">
        <v>46282</v>
      </c>
      <c r="G4742" s="17" t="n">
        <v>46294</v>
      </c>
      <c r="H4742" s="18" t="n">
        <v>55</v>
      </c>
      <c r="I4742" s="19" t="n">
        <v>10.91</v>
      </c>
      <c r="J4742" s="19" t="n">
        <v>11</v>
      </c>
      <c r="K4742" s="20" t="n">
        <v>0</v>
      </c>
      <c r="L4742" s="20" t="n">
        <v>0</v>
      </c>
      <c r="M4742" s="18" t="n">
        <v>55</v>
      </c>
      <c r="N4742" s="18" t="n">
        <v>55</v>
      </c>
      <c r="O4742" s="18" t="n">
        <v>0</v>
      </c>
      <c r="P4742" s="17" t="n">
        <v>46293</v>
      </c>
      <c r="Q4742" s="17" t="n">
        <v>46293</v>
      </c>
      <c r="R4742" s="17" t="n">
        <v>46293</v>
      </c>
      <c r="S4742" s="19">
        <f>H4742*I4742</f>
        <v/>
      </c>
      <c r="T4742" s="19">
        <f>H4742*J4742</f>
        <v/>
      </c>
      <c r="U4742">
        <f>IF(AND(K4742=0,G4742&lt;=Assumptions!$C$6),1,0)</f>
        <v/>
      </c>
      <c r="V4742">
        <f>IF(U4742=1,IF(M4742&gt;0,IF(P4742&lt;=G4742+Assumptions!$C$7,1,0),0),0)</f>
        <v/>
      </c>
      <c r="W4742">
        <f>IF(AND(U4742=1,M4742&gt;=H4742*(1-Assumptions!$C$8)),1,0)</f>
        <v/>
      </c>
      <c r="X4742">
        <f>IF(AND(U4742=1,N4742&gt;=H4742*(1-Assumptions!$C$8)),1,0)</f>
        <v/>
      </c>
      <c r="Y4742">
        <f>IF(ISNUMBER(Q4742),1,0)</f>
        <v/>
      </c>
      <c r="Z4742">
        <f>IF(AND(K4742=0,L4742=0,Y4742=0),1,0)</f>
        <v/>
      </c>
      <c r="AA4742">
        <f>IF(AND(Z4742=1,G4742&lt;Assumptions!$C$6),1,0)</f>
        <v/>
      </c>
      <c r="AB4742">
        <f>IF(U4742=0,"",IF(Y4742=1,MAX(0,Q4742-G4742),IF(L4742=1,MAX(0,R4742-G4742),MAX(0,Assumptions!$C$6-G4742))))</f>
        <v/>
      </c>
      <c r="AC4742">
        <f>IF(Y4742=1,Q4742-F4742,"")</f>
        <v/>
      </c>
      <c r="AD4742">
        <f>IF(Y4742=1,AC4742^2,"")</f>
        <v/>
      </c>
      <c r="AE4742" s="19">
        <f>IF(Z4742=1,(H4742-M4742)*I4742,0)</f>
        <v/>
      </c>
      <c r="AF4742">
        <f>IF(G4742&lt;EDATE(Assumptions!$C$6,-12)+1,"prior_12m","last_12m")</f>
        <v/>
      </c>
      <c r="AG4742" s="21">
        <f>DATE(YEAR(G4742),MONTH(G4742),1)</f>
        <v/>
      </c>
    </row>
    <row r="4743">
      <c r="A4743" t="inlineStr">
        <is>
          <t>SPO-02547-2</t>
        </is>
      </c>
      <c r="B4743" t="inlineStr">
        <is>
          <t>SPO-02547</t>
        </is>
      </c>
      <c r="C4743" t="inlineStr">
        <is>
          <t>SUP-11</t>
        </is>
      </c>
      <c r="D4743" t="inlineStr">
        <is>
          <t>PPE</t>
        </is>
      </c>
      <c r="E4743" t="inlineStr">
        <is>
          <t>PPE-02</t>
        </is>
      </c>
      <c r="F4743" s="17" t="n">
        <v>46282</v>
      </c>
      <c r="G4743" s="17" t="n">
        <v>46294</v>
      </c>
      <c r="H4743" s="18" t="n">
        <v>74</v>
      </c>
      <c r="I4743" s="19" t="n">
        <v>12.78</v>
      </c>
      <c r="J4743" s="19" t="n">
        <v>12.5</v>
      </c>
      <c r="K4743" s="20" t="n">
        <v>0</v>
      </c>
      <c r="L4743" s="20" t="n">
        <v>0</v>
      </c>
      <c r="M4743" s="18" t="n">
        <v>74</v>
      </c>
      <c r="N4743" s="18" t="n">
        <v>74</v>
      </c>
      <c r="O4743" s="18" t="n">
        <v>0</v>
      </c>
      <c r="P4743" s="17" t="n">
        <v>46291</v>
      </c>
      <c r="Q4743" s="17" t="n">
        <v>46291</v>
      </c>
      <c r="R4743" s="17" t="n">
        <v>46291</v>
      </c>
      <c r="S4743" s="19">
        <f>H4743*I4743</f>
        <v/>
      </c>
      <c r="T4743" s="19">
        <f>H4743*J4743</f>
        <v/>
      </c>
      <c r="U4743">
        <f>IF(AND(K4743=0,G4743&lt;=Assumptions!$C$6),1,0)</f>
        <v/>
      </c>
      <c r="V4743">
        <f>IF(U4743=1,IF(M4743&gt;0,IF(P4743&lt;=G4743+Assumptions!$C$7,1,0),0),0)</f>
        <v/>
      </c>
      <c r="W4743">
        <f>IF(AND(U4743=1,M4743&gt;=H4743*(1-Assumptions!$C$8)),1,0)</f>
        <v/>
      </c>
      <c r="X4743">
        <f>IF(AND(U4743=1,N4743&gt;=H4743*(1-Assumptions!$C$8)),1,0)</f>
        <v/>
      </c>
      <c r="Y4743">
        <f>IF(ISNUMBER(Q4743),1,0)</f>
        <v/>
      </c>
      <c r="Z4743">
        <f>IF(AND(K4743=0,L4743=0,Y4743=0),1,0)</f>
        <v/>
      </c>
      <c r="AA4743">
        <f>IF(AND(Z4743=1,G4743&lt;Assumptions!$C$6),1,0)</f>
        <v/>
      </c>
      <c r="AB4743">
        <f>IF(U4743=0,"",IF(Y4743=1,MAX(0,Q4743-G4743),IF(L4743=1,MAX(0,R4743-G4743),MAX(0,Assumptions!$C$6-G4743))))</f>
        <v/>
      </c>
      <c r="AC4743">
        <f>IF(Y4743=1,Q4743-F4743,"")</f>
        <v/>
      </c>
      <c r="AD4743">
        <f>IF(Y4743=1,AC4743^2,"")</f>
        <v/>
      </c>
      <c r="AE4743" s="19">
        <f>IF(Z4743=1,(H4743-M4743)*I4743,0)</f>
        <v/>
      </c>
      <c r="AF4743">
        <f>IF(G4743&lt;EDATE(Assumptions!$C$6,-12)+1,"prior_12m","last_12m")</f>
        <v/>
      </c>
      <c r="AG4743" s="21">
        <f>DATE(YEAR(G4743),MONTH(G4743),1)</f>
        <v/>
      </c>
    </row>
    <row r="4744">
      <c r="A4744" t="inlineStr">
        <is>
          <t>SPO-02548-1</t>
        </is>
      </c>
      <c r="B4744" t="inlineStr">
        <is>
          <t>SPO-02548</t>
        </is>
      </c>
      <c r="C4744" t="inlineStr">
        <is>
          <t>SUP-10</t>
        </is>
      </c>
      <c r="D4744" t="inlineStr">
        <is>
          <t>PPE</t>
        </is>
      </c>
      <c r="E4744" t="inlineStr">
        <is>
          <t>PPE-06</t>
        </is>
      </c>
      <c r="F4744" s="17" t="n">
        <v>46283</v>
      </c>
      <c r="G4744" s="17" t="n">
        <v>46296</v>
      </c>
      <c r="H4744" s="18" t="n">
        <v>32</v>
      </c>
      <c r="I4744" s="19" t="n">
        <v>106.32</v>
      </c>
      <c r="J4744" s="19" t="n">
        <v>115</v>
      </c>
      <c r="K4744" s="20" t="n">
        <v>0</v>
      </c>
      <c r="L4744" s="20" t="n">
        <v>0</v>
      </c>
      <c r="M4744" s="18" t="n">
        <v>0</v>
      </c>
      <c r="N4744" s="18" t="n">
        <v>0</v>
      </c>
      <c r="O4744" s="18" t="n">
        <v>0</v>
      </c>
      <c r="P4744" s="17" t="n"/>
      <c r="Q4744" s="17" t="n"/>
      <c r="R4744" s="17" t="n"/>
      <c r="S4744" s="19">
        <f>H4744*I4744</f>
        <v/>
      </c>
      <c r="T4744" s="19">
        <f>H4744*J4744</f>
        <v/>
      </c>
      <c r="U4744">
        <f>IF(AND(K4744=0,G4744&lt;=Assumptions!$C$6),1,0)</f>
        <v/>
      </c>
      <c r="V4744">
        <f>IF(U4744=1,IF(M4744&gt;0,IF(P4744&lt;=G4744+Assumptions!$C$7,1,0),0),0)</f>
        <v/>
      </c>
      <c r="W4744">
        <f>IF(AND(U4744=1,M4744&gt;=H4744*(1-Assumptions!$C$8)),1,0)</f>
        <v/>
      </c>
      <c r="X4744">
        <f>IF(AND(U4744=1,N4744&gt;=H4744*(1-Assumptions!$C$8)),1,0)</f>
        <v/>
      </c>
      <c r="Y4744">
        <f>IF(ISNUMBER(Q4744),1,0)</f>
        <v/>
      </c>
      <c r="Z4744">
        <f>IF(AND(K4744=0,L4744=0,Y4744=0),1,0)</f>
        <v/>
      </c>
      <c r="AA4744">
        <f>IF(AND(Z4744=1,G4744&lt;Assumptions!$C$6),1,0)</f>
        <v/>
      </c>
      <c r="AB4744">
        <f>IF(U4744=0,"",IF(Y4744=1,MAX(0,Q4744-G4744),IF(L4744=1,MAX(0,R4744-G4744),MAX(0,Assumptions!$C$6-G4744))))</f>
        <v/>
      </c>
      <c r="AC4744">
        <f>IF(Y4744=1,Q4744-F4744,"")</f>
        <v/>
      </c>
      <c r="AD4744">
        <f>IF(Y4744=1,AC4744^2,"")</f>
        <v/>
      </c>
      <c r="AE4744" s="19">
        <f>IF(Z4744=1,(H4744-M4744)*I4744,0)</f>
        <v/>
      </c>
      <c r="AF4744">
        <f>IF(G4744&lt;EDATE(Assumptions!$C$6,-12)+1,"prior_12m","last_12m")</f>
        <v/>
      </c>
      <c r="AG4744" s="21">
        <f>DATE(YEAR(G4744),MONTH(G4744),1)</f>
        <v/>
      </c>
    </row>
    <row r="4745">
      <c r="A4745" t="inlineStr">
        <is>
          <t>SPO-02548-2</t>
        </is>
      </c>
      <c r="B4745" t="inlineStr">
        <is>
          <t>SPO-02548</t>
        </is>
      </c>
      <c r="C4745" t="inlineStr">
        <is>
          <t>SUP-10</t>
        </is>
      </c>
      <c r="D4745" t="inlineStr">
        <is>
          <t>PPE</t>
        </is>
      </c>
      <c r="E4745" t="inlineStr">
        <is>
          <t>PPE-01</t>
        </is>
      </c>
      <c r="F4745" s="17" t="n">
        <v>46283</v>
      </c>
      <c r="G4745" s="17" t="n">
        <v>46296</v>
      </c>
      <c r="H4745" s="18" t="n">
        <v>276</v>
      </c>
      <c r="I4745" s="19" t="n">
        <v>4.71</v>
      </c>
      <c r="J4745" s="19" t="n">
        <v>4.8</v>
      </c>
      <c r="K4745" s="20" t="n">
        <v>0</v>
      </c>
      <c r="L4745" s="20" t="n">
        <v>0</v>
      </c>
      <c r="M4745" s="18" t="n">
        <v>276</v>
      </c>
      <c r="N4745" s="18" t="n">
        <v>276</v>
      </c>
      <c r="O4745" s="18" t="n">
        <v>0</v>
      </c>
      <c r="P4745" s="17" t="n">
        <v>46294</v>
      </c>
      <c r="Q4745" s="17" t="n">
        <v>46294</v>
      </c>
      <c r="R4745" s="17" t="n">
        <v>46294</v>
      </c>
      <c r="S4745" s="19">
        <f>H4745*I4745</f>
        <v/>
      </c>
      <c r="T4745" s="19">
        <f>H4745*J4745</f>
        <v/>
      </c>
      <c r="U4745">
        <f>IF(AND(K4745=0,G4745&lt;=Assumptions!$C$6),1,0)</f>
        <v/>
      </c>
      <c r="V4745">
        <f>IF(U4745=1,IF(M4745&gt;0,IF(P4745&lt;=G4745+Assumptions!$C$7,1,0),0),0)</f>
        <v/>
      </c>
      <c r="W4745">
        <f>IF(AND(U4745=1,M4745&gt;=H4745*(1-Assumptions!$C$8)),1,0)</f>
        <v/>
      </c>
      <c r="X4745">
        <f>IF(AND(U4745=1,N4745&gt;=H4745*(1-Assumptions!$C$8)),1,0)</f>
        <v/>
      </c>
      <c r="Y4745">
        <f>IF(ISNUMBER(Q4745),1,0)</f>
        <v/>
      </c>
      <c r="Z4745">
        <f>IF(AND(K4745=0,L4745=0,Y4745=0),1,0)</f>
        <v/>
      </c>
      <c r="AA4745">
        <f>IF(AND(Z4745=1,G4745&lt;Assumptions!$C$6),1,0)</f>
        <v/>
      </c>
      <c r="AB4745">
        <f>IF(U4745=0,"",IF(Y4745=1,MAX(0,Q4745-G4745),IF(L4745=1,MAX(0,R4745-G4745),MAX(0,Assumptions!$C$6-G4745))))</f>
        <v/>
      </c>
      <c r="AC4745">
        <f>IF(Y4745=1,Q4745-F4745,"")</f>
        <v/>
      </c>
      <c r="AD4745">
        <f>IF(Y4745=1,AC4745^2,"")</f>
        <v/>
      </c>
      <c r="AE4745" s="19">
        <f>IF(Z4745=1,(H4745-M4745)*I4745,0)</f>
        <v/>
      </c>
      <c r="AF4745">
        <f>IF(G4745&lt;EDATE(Assumptions!$C$6,-12)+1,"prior_12m","last_12m")</f>
        <v/>
      </c>
      <c r="AG4745" s="21">
        <f>DATE(YEAR(G4745),MONTH(G4745),1)</f>
        <v/>
      </c>
    </row>
    <row r="4746">
      <c r="A4746" t="inlineStr">
        <is>
          <t>SPO-02549-1</t>
        </is>
      </c>
      <c r="B4746" t="inlineStr">
        <is>
          <t>SPO-02549</t>
        </is>
      </c>
      <c r="C4746" t="inlineStr">
        <is>
          <t>SUP-12</t>
        </is>
      </c>
      <c r="D4746" t="inlineStr">
        <is>
          <t>IT</t>
        </is>
      </c>
      <c r="E4746" t="inlineStr">
        <is>
          <t>IT-04</t>
        </is>
      </c>
      <c r="F4746" s="17" t="n">
        <v>46283</v>
      </c>
      <c r="G4746" s="17" t="n">
        <v>46293</v>
      </c>
      <c r="H4746" s="18" t="n">
        <v>69</v>
      </c>
      <c r="I4746" s="19" t="n">
        <v>14.48</v>
      </c>
      <c r="J4746" s="19" t="n">
        <v>12</v>
      </c>
      <c r="K4746" s="20" t="n">
        <v>0</v>
      </c>
      <c r="L4746" s="20" t="n">
        <v>0</v>
      </c>
      <c r="M4746" s="18" t="n">
        <v>69</v>
      </c>
      <c r="N4746" s="18" t="n">
        <v>69</v>
      </c>
      <c r="O4746" s="18" t="n">
        <v>0</v>
      </c>
      <c r="P4746" s="17" t="n">
        <v>46291</v>
      </c>
      <c r="Q4746" s="17" t="n">
        <v>46291</v>
      </c>
      <c r="R4746" s="17" t="n">
        <v>46291</v>
      </c>
      <c r="S4746" s="19">
        <f>H4746*I4746</f>
        <v/>
      </c>
      <c r="T4746" s="19">
        <f>H4746*J4746</f>
        <v/>
      </c>
      <c r="U4746">
        <f>IF(AND(K4746=0,G4746&lt;=Assumptions!$C$6),1,0)</f>
        <v/>
      </c>
      <c r="V4746">
        <f>IF(U4746=1,IF(M4746&gt;0,IF(P4746&lt;=G4746+Assumptions!$C$7,1,0),0),0)</f>
        <v/>
      </c>
      <c r="W4746">
        <f>IF(AND(U4746=1,M4746&gt;=H4746*(1-Assumptions!$C$8)),1,0)</f>
        <v/>
      </c>
      <c r="X4746">
        <f>IF(AND(U4746=1,N4746&gt;=H4746*(1-Assumptions!$C$8)),1,0)</f>
        <v/>
      </c>
      <c r="Y4746">
        <f>IF(ISNUMBER(Q4746),1,0)</f>
        <v/>
      </c>
      <c r="Z4746">
        <f>IF(AND(K4746=0,L4746=0,Y4746=0),1,0)</f>
        <v/>
      </c>
      <c r="AA4746">
        <f>IF(AND(Z4746=1,G4746&lt;Assumptions!$C$6),1,0)</f>
        <v/>
      </c>
      <c r="AB4746">
        <f>IF(U4746=0,"",IF(Y4746=1,MAX(0,Q4746-G4746),IF(L4746=1,MAX(0,R4746-G4746),MAX(0,Assumptions!$C$6-G4746))))</f>
        <v/>
      </c>
      <c r="AC4746">
        <f>IF(Y4746=1,Q4746-F4746,"")</f>
        <v/>
      </c>
      <c r="AD4746">
        <f>IF(Y4746=1,AC4746^2,"")</f>
        <v/>
      </c>
      <c r="AE4746" s="19">
        <f>IF(Z4746=1,(H4746-M4746)*I4746,0)</f>
        <v/>
      </c>
      <c r="AF4746">
        <f>IF(G4746&lt;EDATE(Assumptions!$C$6,-12)+1,"prior_12m","last_12m")</f>
        <v/>
      </c>
      <c r="AG4746" s="21">
        <f>DATE(YEAR(G4746),MONTH(G4746),1)</f>
        <v/>
      </c>
    </row>
    <row r="4747">
      <c r="A4747" t="inlineStr">
        <is>
          <t>SPO-02550-1</t>
        </is>
      </c>
      <c r="B4747" t="inlineStr">
        <is>
          <t>SPO-02550</t>
        </is>
      </c>
      <c r="C4747" t="inlineStr">
        <is>
          <t>SUP-12</t>
        </is>
      </c>
      <c r="D4747" t="inlineStr">
        <is>
          <t>IT</t>
        </is>
      </c>
      <c r="E4747" t="inlineStr">
        <is>
          <t>IT-08</t>
        </is>
      </c>
      <c r="F4747" s="17" t="n">
        <v>46283</v>
      </c>
      <c r="G4747" s="17" t="n">
        <v>46293</v>
      </c>
      <c r="H4747" s="18" t="n">
        <v>12</v>
      </c>
      <c r="I4747" s="19" t="n">
        <v>291.63</v>
      </c>
      <c r="J4747" s="19" t="n">
        <v>245</v>
      </c>
      <c r="K4747" s="20" t="n">
        <v>0</v>
      </c>
      <c r="L4747" s="20" t="n">
        <v>0</v>
      </c>
      <c r="M4747" s="18" t="n">
        <v>12</v>
      </c>
      <c r="N4747" s="18" t="n">
        <v>12</v>
      </c>
      <c r="O4747" s="18" t="n">
        <v>0</v>
      </c>
      <c r="P4747" s="17" t="n">
        <v>46289</v>
      </c>
      <c r="Q4747" s="17" t="n">
        <v>46289</v>
      </c>
      <c r="R4747" s="17" t="n">
        <v>46289</v>
      </c>
      <c r="S4747" s="19">
        <f>H4747*I4747</f>
        <v/>
      </c>
      <c r="T4747" s="19">
        <f>H4747*J4747</f>
        <v/>
      </c>
      <c r="U4747">
        <f>IF(AND(K4747=0,G4747&lt;=Assumptions!$C$6),1,0)</f>
        <v/>
      </c>
      <c r="V4747">
        <f>IF(U4747=1,IF(M4747&gt;0,IF(P4747&lt;=G4747+Assumptions!$C$7,1,0),0),0)</f>
        <v/>
      </c>
      <c r="W4747">
        <f>IF(AND(U4747=1,M4747&gt;=H4747*(1-Assumptions!$C$8)),1,0)</f>
        <v/>
      </c>
      <c r="X4747">
        <f>IF(AND(U4747=1,N4747&gt;=H4747*(1-Assumptions!$C$8)),1,0)</f>
        <v/>
      </c>
      <c r="Y4747">
        <f>IF(ISNUMBER(Q4747),1,0)</f>
        <v/>
      </c>
      <c r="Z4747">
        <f>IF(AND(K4747=0,L4747=0,Y4747=0),1,0)</f>
        <v/>
      </c>
      <c r="AA4747">
        <f>IF(AND(Z4747=1,G4747&lt;Assumptions!$C$6),1,0)</f>
        <v/>
      </c>
      <c r="AB4747">
        <f>IF(U4747=0,"",IF(Y4747=1,MAX(0,Q4747-G4747),IF(L4747=1,MAX(0,R4747-G4747),MAX(0,Assumptions!$C$6-G4747))))</f>
        <v/>
      </c>
      <c r="AC4747">
        <f>IF(Y4747=1,Q4747-F4747,"")</f>
        <v/>
      </c>
      <c r="AD4747">
        <f>IF(Y4747=1,AC4747^2,"")</f>
        <v/>
      </c>
      <c r="AE4747" s="19">
        <f>IF(Z4747=1,(H4747-M4747)*I4747,0)</f>
        <v/>
      </c>
      <c r="AF4747">
        <f>IF(G4747&lt;EDATE(Assumptions!$C$6,-12)+1,"prior_12m","last_12m")</f>
        <v/>
      </c>
      <c r="AG4747" s="21">
        <f>DATE(YEAR(G4747),MONTH(G4747),1)</f>
        <v/>
      </c>
    </row>
    <row r="4748">
      <c r="A4748" t="inlineStr">
        <is>
          <t>SPO-02550-2</t>
        </is>
      </c>
      <c r="B4748" t="inlineStr">
        <is>
          <t>SPO-02550</t>
        </is>
      </c>
      <c r="C4748" t="inlineStr">
        <is>
          <t>SUP-12</t>
        </is>
      </c>
      <c r="D4748" t="inlineStr">
        <is>
          <t>IT</t>
        </is>
      </c>
      <c r="E4748" t="inlineStr">
        <is>
          <t>IT-01</t>
        </is>
      </c>
      <c r="F4748" s="17" t="n">
        <v>46283</v>
      </c>
      <c r="G4748" s="17" t="n">
        <v>46293</v>
      </c>
      <c r="H4748" s="18" t="n">
        <v>7</v>
      </c>
      <c r="I4748" s="19" t="n">
        <v>215.05</v>
      </c>
      <c r="J4748" s="19" t="n">
        <v>189</v>
      </c>
      <c r="K4748" s="20" t="n">
        <v>0</v>
      </c>
      <c r="L4748" s="20" t="n">
        <v>0</v>
      </c>
      <c r="M4748" s="18" t="n">
        <v>7</v>
      </c>
      <c r="N4748" s="18" t="n">
        <v>7</v>
      </c>
      <c r="O4748" s="18" t="n">
        <v>0</v>
      </c>
      <c r="P4748" s="17" t="n">
        <v>46291</v>
      </c>
      <c r="Q4748" s="17" t="n">
        <v>46291</v>
      </c>
      <c r="R4748" s="17" t="n">
        <v>46291</v>
      </c>
      <c r="S4748" s="19">
        <f>H4748*I4748</f>
        <v/>
      </c>
      <c r="T4748" s="19">
        <f>H4748*J4748</f>
        <v/>
      </c>
      <c r="U4748">
        <f>IF(AND(K4748=0,G4748&lt;=Assumptions!$C$6),1,0)</f>
        <v/>
      </c>
      <c r="V4748">
        <f>IF(U4748=1,IF(M4748&gt;0,IF(P4748&lt;=G4748+Assumptions!$C$7,1,0),0),0)</f>
        <v/>
      </c>
      <c r="W4748">
        <f>IF(AND(U4748=1,M4748&gt;=H4748*(1-Assumptions!$C$8)),1,0)</f>
        <v/>
      </c>
      <c r="X4748">
        <f>IF(AND(U4748=1,N4748&gt;=H4748*(1-Assumptions!$C$8)),1,0)</f>
        <v/>
      </c>
      <c r="Y4748">
        <f>IF(ISNUMBER(Q4748),1,0)</f>
        <v/>
      </c>
      <c r="Z4748">
        <f>IF(AND(K4748=0,L4748=0,Y4748=0),1,0)</f>
        <v/>
      </c>
      <c r="AA4748">
        <f>IF(AND(Z4748=1,G4748&lt;Assumptions!$C$6),1,0)</f>
        <v/>
      </c>
      <c r="AB4748">
        <f>IF(U4748=0,"",IF(Y4748=1,MAX(0,Q4748-G4748),IF(L4748=1,MAX(0,R4748-G4748),MAX(0,Assumptions!$C$6-G4748))))</f>
        <v/>
      </c>
      <c r="AC4748">
        <f>IF(Y4748=1,Q4748-F4748,"")</f>
        <v/>
      </c>
      <c r="AD4748">
        <f>IF(Y4748=1,AC4748^2,"")</f>
        <v/>
      </c>
      <c r="AE4748" s="19">
        <f>IF(Z4748=1,(H4748-M4748)*I4748,0)</f>
        <v/>
      </c>
      <c r="AF4748">
        <f>IF(G4748&lt;EDATE(Assumptions!$C$6,-12)+1,"prior_12m","last_12m")</f>
        <v/>
      </c>
      <c r="AG4748" s="21">
        <f>DATE(YEAR(G4748),MONTH(G4748),1)</f>
        <v/>
      </c>
    </row>
    <row r="4749">
      <c r="A4749" t="inlineStr">
        <is>
          <t>SPO-02551-1</t>
        </is>
      </c>
      <c r="B4749" t="inlineStr">
        <is>
          <t>SPO-02551</t>
        </is>
      </c>
      <c r="C4749" t="inlineStr">
        <is>
          <t>SUP-02</t>
        </is>
      </c>
      <c r="D4749" t="inlineStr">
        <is>
          <t>ELEC</t>
        </is>
      </c>
      <c r="E4749" t="inlineStr">
        <is>
          <t>ELEC-08</t>
        </is>
      </c>
      <c r="F4749" s="17" t="n">
        <v>46283</v>
      </c>
      <c r="G4749" s="17" t="n">
        <v>46299</v>
      </c>
      <c r="H4749" s="18" t="n">
        <v>65</v>
      </c>
      <c r="I4749" s="19" t="n">
        <v>18.34</v>
      </c>
      <c r="J4749" s="19" t="n">
        <v>18</v>
      </c>
      <c r="K4749" s="20" t="n">
        <v>0</v>
      </c>
      <c r="L4749" s="20" t="n">
        <v>0</v>
      </c>
      <c r="M4749" s="18" t="n">
        <v>0</v>
      </c>
      <c r="N4749" s="18" t="n">
        <v>0</v>
      </c>
      <c r="O4749" s="18" t="n">
        <v>0</v>
      </c>
      <c r="P4749" s="17" t="n"/>
      <c r="Q4749" s="17" t="n"/>
      <c r="R4749" s="17" t="n"/>
      <c r="S4749" s="19">
        <f>H4749*I4749</f>
        <v/>
      </c>
      <c r="T4749" s="19">
        <f>H4749*J4749</f>
        <v/>
      </c>
      <c r="U4749">
        <f>IF(AND(K4749=0,G4749&lt;=Assumptions!$C$6),1,0)</f>
        <v/>
      </c>
      <c r="V4749">
        <f>IF(U4749=1,IF(M4749&gt;0,IF(P4749&lt;=G4749+Assumptions!$C$7,1,0),0),0)</f>
        <v/>
      </c>
      <c r="W4749">
        <f>IF(AND(U4749=1,M4749&gt;=H4749*(1-Assumptions!$C$8)),1,0)</f>
        <v/>
      </c>
      <c r="X4749">
        <f>IF(AND(U4749=1,N4749&gt;=H4749*(1-Assumptions!$C$8)),1,0)</f>
        <v/>
      </c>
      <c r="Y4749">
        <f>IF(ISNUMBER(Q4749),1,0)</f>
        <v/>
      </c>
      <c r="Z4749">
        <f>IF(AND(K4749=0,L4749=0,Y4749=0),1,0)</f>
        <v/>
      </c>
      <c r="AA4749">
        <f>IF(AND(Z4749=1,G4749&lt;Assumptions!$C$6),1,0)</f>
        <v/>
      </c>
      <c r="AB4749">
        <f>IF(U4749=0,"",IF(Y4749=1,MAX(0,Q4749-G4749),IF(L4749=1,MAX(0,R4749-G4749),MAX(0,Assumptions!$C$6-G4749))))</f>
        <v/>
      </c>
      <c r="AC4749">
        <f>IF(Y4749=1,Q4749-F4749,"")</f>
        <v/>
      </c>
      <c r="AD4749">
        <f>IF(Y4749=1,AC4749^2,"")</f>
        <v/>
      </c>
      <c r="AE4749" s="19">
        <f>IF(Z4749=1,(H4749-M4749)*I4749,0)</f>
        <v/>
      </c>
      <c r="AF4749">
        <f>IF(G4749&lt;EDATE(Assumptions!$C$6,-12)+1,"prior_12m","last_12m")</f>
        <v/>
      </c>
      <c r="AG4749" s="21">
        <f>DATE(YEAR(G4749),MONTH(G4749),1)</f>
        <v/>
      </c>
    </row>
    <row r="4750">
      <c r="A4750" t="inlineStr">
        <is>
          <t>SPO-02551-2</t>
        </is>
      </c>
      <c r="B4750" t="inlineStr">
        <is>
          <t>SPO-02551</t>
        </is>
      </c>
      <c r="C4750" t="inlineStr">
        <is>
          <t>SUP-02</t>
        </is>
      </c>
      <c r="D4750" t="inlineStr">
        <is>
          <t>ELEC</t>
        </is>
      </c>
      <c r="E4750" t="inlineStr">
        <is>
          <t>ELEC-01</t>
        </is>
      </c>
      <c r="F4750" s="17" t="n">
        <v>46283</v>
      </c>
      <c r="G4750" s="17" t="n">
        <v>46299</v>
      </c>
      <c r="H4750" s="18" t="n">
        <v>59</v>
      </c>
      <c r="I4750" s="19" t="n">
        <v>38.08</v>
      </c>
      <c r="J4750" s="19" t="n">
        <v>38</v>
      </c>
      <c r="K4750" s="20" t="n">
        <v>0</v>
      </c>
      <c r="L4750" s="20" t="n">
        <v>0</v>
      </c>
      <c r="M4750" s="18" t="n">
        <v>0</v>
      </c>
      <c r="N4750" s="18" t="n">
        <v>0</v>
      </c>
      <c r="O4750" s="18" t="n">
        <v>0</v>
      </c>
      <c r="P4750" s="17" t="n"/>
      <c r="Q4750" s="17" t="n"/>
      <c r="R4750" s="17" t="n"/>
      <c r="S4750" s="19">
        <f>H4750*I4750</f>
        <v/>
      </c>
      <c r="T4750" s="19">
        <f>H4750*J4750</f>
        <v/>
      </c>
      <c r="U4750">
        <f>IF(AND(K4750=0,G4750&lt;=Assumptions!$C$6),1,0)</f>
        <v/>
      </c>
      <c r="V4750">
        <f>IF(U4750=1,IF(M4750&gt;0,IF(P4750&lt;=G4750+Assumptions!$C$7,1,0),0),0)</f>
        <v/>
      </c>
      <c r="W4750">
        <f>IF(AND(U4750=1,M4750&gt;=H4750*(1-Assumptions!$C$8)),1,0)</f>
        <v/>
      </c>
      <c r="X4750">
        <f>IF(AND(U4750=1,N4750&gt;=H4750*(1-Assumptions!$C$8)),1,0)</f>
        <v/>
      </c>
      <c r="Y4750">
        <f>IF(ISNUMBER(Q4750),1,0)</f>
        <v/>
      </c>
      <c r="Z4750">
        <f>IF(AND(K4750=0,L4750=0,Y4750=0),1,0)</f>
        <v/>
      </c>
      <c r="AA4750">
        <f>IF(AND(Z4750=1,G4750&lt;Assumptions!$C$6),1,0)</f>
        <v/>
      </c>
      <c r="AB4750">
        <f>IF(U4750=0,"",IF(Y4750=1,MAX(0,Q4750-G4750),IF(L4750=1,MAX(0,R4750-G4750),MAX(0,Assumptions!$C$6-G4750))))</f>
        <v/>
      </c>
      <c r="AC4750">
        <f>IF(Y4750=1,Q4750-F4750,"")</f>
        <v/>
      </c>
      <c r="AD4750">
        <f>IF(Y4750=1,AC4750^2,"")</f>
        <v/>
      </c>
      <c r="AE4750" s="19">
        <f>IF(Z4750=1,(H4750-M4750)*I4750,0)</f>
        <v/>
      </c>
      <c r="AF4750">
        <f>IF(G4750&lt;EDATE(Assumptions!$C$6,-12)+1,"prior_12m","last_12m")</f>
        <v/>
      </c>
      <c r="AG4750" s="21">
        <f>DATE(YEAR(G4750),MONTH(G4750),1)</f>
        <v/>
      </c>
    </row>
    <row r="4751">
      <c r="A4751" t="inlineStr">
        <is>
          <t>SPO-02552-1</t>
        </is>
      </c>
      <c r="B4751" t="inlineStr">
        <is>
          <t>SPO-02552</t>
        </is>
      </c>
      <c r="C4751" t="inlineStr">
        <is>
          <t>SUP-01</t>
        </is>
      </c>
      <c r="D4751" t="inlineStr">
        <is>
          <t>ELEC</t>
        </is>
      </c>
      <c r="E4751" t="inlineStr">
        <is>
          <t>ELEC-07</t>
        </is>
      </c>
      <c r="F4751" s="17" t="n">
        <v>46284</v>
      </c>
      <c r="G4751" s="17" t="n">
        <v>46302</v>
      </c>
      <c r="H4751" s="18" t="n">
        <v>268</v>
      </c>
      <c r="I4751" s="19" t="n">
        <v>9.81</v>
      </c>
      <c r="J4751" s="19" t="n">
        <v>9.800000000000001</v>
      </c>
      <c r="K4751" s="20" t="n">
        <v>0</v>
      </c>
      <c r="L4751" s="20" t="n">
        <v>0</v>
      </c>
      <c r="M4751" s="18" t="n">
        <v>0</v>
      </c>
      <c r="N4751" s="18" t="n">
        <v>0</v>
      </c>
      <c r="O4751" s="18" t="n">
        <v>0</v>
      </c>
      <c r="P4751" s="17" t="n"/>
      <c r="Q4751" s="17" t="n"/>
      <c r="R4751" s="17" t="n"/>
      <c r="S4751" s="19">
        <f>H4751*I4751</f>
        <v/>
      </c>
      <c r="T4751" s="19">
        <f>H4751*J4751</f>
        <v/>
      </c>
      <c r="U4751">
        <f>IF(AND(K4751=0,G4751&lt;=Assumptions!$C$6),1,0)</f>
        <v/>
      </c>
      <c r="V4751">
        <f>IF(U4751=1,IF(M4751&gt;0,IF(P4751&lt;=G4751+Assumptions!$C$7,1,0),0),0)</f>
        <v/>
      </c>
      <c r="W4751">
        <f>IF(AND(U4751=1,M4751&gt;=H4751*(1-Assumptions!$C$8)),1,0)</f>
        <v/>
      </c>
      <c r="X4751">
        <f>IF(AND(U4751=1,N4751&gt;=H4751*(1-Assumptions!$C$8)),1,0)</f>
        <v/>
      </c>
      <c r="Y4751">
        <f>IF(ISNUMBER(Q4751),1,0)</f>
        <v/>
      </c>
      <c r="Z4751">
        <f>IF(AND(K4751=0,L4751=0,Y4751=0),1,0)</f>
        <v/>
      </c>
      <c r="AA4751">
        <f>IF(AND(Z4751=1,G4751&lt;Assumptions!$C$6),1,0)</f>
        <v/>
      </c>
      <c r="AB4751">
        <f>IF(U4751=0,"",IF(Y4751=1,MAX(0,Q4751-G4751),IF(L4751=1,MAX(0,R4751-G4751),MAX(0,Assumptions!$C$6-G4751))))</f>
        <v/>
      </c>
      <c r="AC4751">
        <f>IF(Y4751=1,Q4751-F4751,"")</f>
        <v/>
      </c>
      <c r="AD4751">
        <f>IF(Y4751=1,AC4751^2,"")</f>
        <v/>
      </c>
      <c r="AE4751" s="19">
        <f>IF(Z4751=1,(H4751-M4751)*I4751,0)</f>
        <v/>
      </c>
      <c r="AF4751">
        <f>IF(G4751&lt;EDATE(Assumptions!$C$6,-12)+1,"prior_12m","last_12m")</f>
        <v/>
      </c>
      <c r="AG4751" s="21">
        <f>DATE(YEAR(G4751),MONTH(G4751),1)</f>
        <v/>
      </c>
    </row>
    <row r="4752">
      <c r="A4752" t="inlineStr">
        <is>
          <t>SPO-02552-2</t>
        </is>
      </c>
      <c r="B4752" t="inlineStr">
        <is>
          <t>SPO-02552</t>
        </is>
      </c>
      <c r="C4752" t="inlineStr">
        <is>
          <t>SUP-01</t>
        </is>
      </c>
      <c r="D4752" t="inlineStr">
        <is>
          <t>ELEC</t>
        </is>
      </c>
      <c r="E4752" t="inlineStr">
        <is>
          <t>ELEC-06</t>
        </is>
      </c>
      <c r="F4752" s="17" t="n">
        <v>46284</v>
      </c>
      <c r="G4752" s="17" t="n">
        <v>46302</v>
      </c>
      <c r="H4752" s="18" t="n">
        <v>21</v>
      </c>
      <c r="I4752" s="19" t="n">
        <v>154.5</v>
      </c>
      <c r="J4752" s="19" t="n">
        <v>145</v>
      </c>
      <c r="K4752" s="20" t="n">
        <v>0</v>
      </c>
      <c r="L4752" s="20" t="n">
        <v>0</v>
      </c>
      <c r="M4752" s="18" t="n">
        <v>0</v>
      </c>
      <c r="N4752" s="18" t="n">
        <v>0</v>
      </c>
      <c r="O4752" s="18" t="n">
        <v>0</v>
      </c>
      <c r="P4752" s="17" t="n"/>
      <c r="Q4752" s="17" t="n"/>
      <c r="R4752" s="17" t="n"/>
      <c r="S4752" s="19">
        <f>H4752*I4752</f>
        <v/>
      </c>
      <c r="T4752" s="19">
        <f>H4752*J4752</f>
        <v/>
      </c>
      <c r="U4752">
        <f>IF(AND(K4752=0,G4752&lt;=Assumptions!$C$6),1,0)</f>
        <v/>
      </c>
      <c r="V4752">
        <f>IF(U4752=1,IF(M4752&gt;0,IF(P4752&lt;=G4752+Assumptions!$C$7,1,0),0),0)</f>
        <v/>
      </c>
      <c r="W4752">
        <f>IF(AND(U4752=1,M4752&gt;=H4752*(1-Assumptions!$C$8)),1,0)</f>
        <v/>
      </c>
      <c r="X4752">
        <f>IF(AND(U4752=1,N4752&gt;=H4752*(1-Assumptions!$C$8)),1,0)</f>
        <v/>
      </c>
      <c r="Y4752">
        <f>IF(ISNUMBER(Q4752),1,0)</f>
        <v/>
      </c>
      <c r="Z4752">
        <f>IF(AND(K4752=0,L4752=0,Y4752=0),1,0)</f>
        <v/>
      </c>
      <c r="AA4752">
        <f>IF(AND(Z4752=1,G4752&lt;Assumptions!$C$6),1,0)</f>
        <v/>
      </c>
      <c r="AB4752">
        <f>IF(U4752=0,"",IF(Y4752=1,MAX(0,Q4752-G4752),IF(L4752=1,MAX(0,R4752-G4752),MAX(0,Assumptions!$C$6-G4752))))</f>
        <v/>
      </c>
      <c r="AC4752">
        <f>IF(Y4752=1,Q4752-F4752,"")</f>
        <v/>
      </c>
      <c r="AD4752">
        <f>IF(Y4752=1,AC4752^2,"")</f>
        <v/>
      </c>
      <c r="AE4752" s="19">
        <f>IF(Z4752=1,(H4752-M4752)*I4752,0)</f>
        <v/>
      </c>
      <c r="AF4752">
        <f>IF(G4752&lt;EDATE(Assumptions!$C$6,-12)+1,"prior_12m","last_12m")</f>
        <v/>
      </c>
      <c r="AG4752" s="21">
        <f>DATE(YEAR(G4752),MONTH(G4752),1)</f>
        <v/>
      </c>
    </row>
    <row r="4753">
      <c r="A4753" t="inlineStr">
        <is>
          <t>SPO-02552-3</t>
        </is>
      </c>
      <c r="B4753" t="inlineStr">
        <is>
          <t>SPO-02552</t>
        </is>
      </c>
      <c r="C4753" t="inlineStr">
        <is>
          <t>SUP-01</t>
        </is>
      </c>
      <c r="D4753" t="inlineStr">
        <is>
          <t>ELEC</t>
        </is>
      </c>
      <c r="E4753" t="inlineStr">
        <is>
          <t>ELEC-01</t>
        </is>
      </c>
      <c r="F4753" s="17" t="n">
        <v>46284</v>
      </c>
      <c r="G4753" s="17" t="n">
        <v>46302</v>
      </c>
      <c r="H4753" s="18" t="n">
        <v>66</v>
      </c>
      <c r="I4753" s="19" t="n">
        <v>36.69</v>
      </c>
      <c r="J4753" s="19" t="n">
        <v>38</v>
      </c>
      <c r="K4753" s="20" t="n">
        <v>0</v>
      </c>
      <c r="L4753" s="20" t="n">
        <v>0</v>
      </c>
      <c r="M4753" s="18" t="n">
        <v>0</v>
      </c>
      <c r="N4753" s="18" t="n">
        <v>0</v>
      </c>
      <c r="O4753" s="18" t="n">
        <v>0</v>
      </c>
      <c r="P4753" s="17" t="n"/>
      <c r="Q4753" s="17" t="n"/>
      <c r="R4753" s="17" t="n"/>
      <c r="S4753" s="19">
        <f>H4753*I4753</f>
        <v/>
      </c>
      <c r="T4753" s="19">
        <f>H4753*J4753</f>
        <v/>
      </c>
      <c r="U4753">
        <f>IF(AND(K4753=0,G4753&lt;=Assumptions!$C$6),1,0)</f>
        <v/>
      </c>
      <c r="V4753">
        <f>IF(U4753=1,IF(M4753&gt;0,IF(P4753&lt;=G4753+Assumptions!$C$7,1,0),0),0)</f>
        <v/>
      </c>
      <c r="W4753">
        <f>IF(AND(U4753=1,M4753&gt;=H4753*(1-Assumptions!$C$8)),1,0)</f>
        <v/>
      </c>
      <c r="X4753">
        <f>IF(AND(U4753=1,N4753&gt;=H4753*(1-Assumptions!$C$8)),1,0)</f>
        <v/>
      </c>
      <c r="Y4753">
        <f>IF(ISNUMBER(Q4753),1,0)</f>
        <v/>
      </c>
      <c r="Z4753">
        <f>IF(AND(K4753=0,L4753=0,Y4753=0),1,0)</f>
        <v/>
      </c>
      <c r="AA4753">
        <f>IF(AND(Z4753=1,G4753&lt;Assumptions!$C$6),1,0)</f>
        <v/>
      </c>
      <c r="AB4753">
        <f>IF(U4753=0,"",IF(Y4753=1,MAX(0,Q4753-G4753),IF(L4753=1,MAX(0,R4753-G4753),MAX(0,Assumptions!$C$6-G4753))))</f>
        <v/>
      </c>
      <c r="AC4753">
        <f>IF(Y4753=1,Q4753-F4753,"")</f>
        <v/>
      </c>
      <c r="AD4753">
        <f>IF(Y4753=1,AC4753^2,"")</f>
        <v/>
      </c>
      <c r="AE4753" s="19">
        <f>IF(Z4753=1,(H4753-M4753)*I4753,0)</f>
        <v/>
      </c>
      <c r="AF4753">
        <f>IF(G4753&lt;EDATE(Assumptions!$C$6,-12)+1,"prior_12m","last_12m")</f>
        <v/>
      </c>
      <c r="AG4753" s="21">
        <f>DATE(YEAR(G4753),MONTH(G4753),1)</f>
        <v/>
      </c>
    </row>
    <row r="4754">
      <c r="A4754" t="inlineStr">
        <is>
          <t>SPO-02553-1</t>
        </is>
      </c>
      <c r="B4754" t="inlineStr">
        <is>
          <t>SPO-02553</t>
        </is>
      </c>
      <c r="C4754" t="inlineStr">
        <is>
          <t>SUP-01</t>
        </is>
      </c>
      <c r="D4754" t="inlineStr">
        <is>
          <t>ELEC</t>
        </is>
      </c>
      <c r="E4754" t="inlineStr">
        <is>
          <t>ELEC-01</t>
        </is>
      </c>
      <c r="F4754" s="17" t="n">
        <v>46284</v>
      </c>
      <c r="G4754" s="17" t="n">
        <v>46302</v>
      </c>
      <c r="H4754" s="18" t="n">
        <v>36</v>
      </c>
      <c r="I4754" s="19" t="n">
        <v>37.59</v>
      </c>
      <c r="J4754" s="19" t="n">
        <v>38</v>
      </c>
      <c r="K4754" s="20" t="n">
        <v>0</v>
      </c>
      <c r="L4754" s="20" t="n">
        <v>0</v>
      </c>
      <c r="M4754" s="18" t="n">
        <v>0</v>
      </c>
      <c r="N4754" s="18" t="n">
        <v>0</v>
      </c>
      <c r="O4754" s="18" t="n">
        <v>0</v>
      </c>
      <c r="P4754" s="17" t="n"/>
      <c r="Q4754" s="17" t="n"/>
      <c r="R4754" s="17" t="n"/>
      <c r="S4754" s="19">
        <f>H4754*I4754</f>
        <v/>
      </c>
      <c r="T4754" s="19">
        <f>H4754*J4754</f>
        <v/>
      </c>
      <c r="U4754">
        <f>IF(AND(K4754=0,G4754&lt;=Assumptions!$C$6),1,0)</f>
        <v/>
      </c>
      <c r="V4754">
        <f>IF(U4754=1,IF(M4754&gt;0,IF(P4754&lt;=G4754+Assumptions!$C$7,1,0),0),0)</f>
        <v/>
      </c>
      <c r="W4754">
        <f>IF(AND(U4754=1,M4754&gt;=H4754*(1-Assumptions!$C$8)),1,0)</f>
        <v/>
      </c>
      <c r="X4754">
        <f>IF(AND(U4754=1,N4754&gt;=H4754*(1-Assumptions!$C$8)),1,0)</f>
        <v/>
      </c>
      <c r="Y4754">
        <f>IF(ISNUMBER(Q4754),1,0)</f>
        <v/>
      </c>
      <c r="Z4754">
        <f>IF(AND(K4754=0,L4754=0,Y4754=0),1,0)</f>
        <v/>
      </c>
      <c r="AA4754">
        <f>IF(AND(Z4754=1,G4754&lt;Assumptions!$C$6),1,0)</f>
        <v/>
      </c>
      <c r="AB4754">
        <f>IF(U4754=0,"",IF(Y4754=1,MAX(0,Q4754-G4754),IF(L4754=1,MAX(0,R4754-G4754),MAX(0,Assumptions!$C$6-G4754))))</f>
        <v/>
      </c>
      <c r="AC4754">
        <f>IF(Y4754=1,Q4754-F4754,"")</f>
        <v/>
      </c>
      <c r="AD4754">
        <f>IF(Y4754=1,AC4754^2,"")</f>
        <v/>
      </c>
      <c r="AE4754" s="19">
        <f>IF(Z4754=1,(H4754-M4754)*I4754,0)</f>
        <v/>
      </c>
      <c r="AF4754">
        <f>IF(G4754&lt;EDATE(Assumptions!$C$6,-12)+1,"prior_12m","last_12m")</f>
        <v/>
      </c>
      <c r="AG4754" s="21">
        <f>DATE(YEAR(G4754),MONTH(G4754),1)</f>
        <v/>
      </c>
    </row>
    <row r="4755">
      <c r="A4755" t="inlineStr">
        <is>
          <t>SPO-02554-1</t>
        </is>
      </c>
      <c r="B4755" t="inlineStr">
        <is>
          <t>SPO-02554</t>
        </is>
      </c>
      <c r="C4755" t="inlineStr">
        <is>
          <t>SUP-06</t>
        </is>
      </c>
      <c r="D4755" t="inlineStr">
        <is>
          <t>MRO</t>
        </is>
      </c>
      <c r="E4755" t="inlineStr">
        <is>
          <t>MRO-01</t>
        </is>
      </c>
      <c r="F4755" s="17" t="n">
        <v>46284</v>
      </c>
      <c r="G4755" s="17" t="n">
        <v>46292</v>
      </c>
      <c r="H4755" s="18" t="n">
        <v>113</v>
      </c>
      <c r="I4755" s="19" t="n">
        <v>54.77</v>
      </c>
      <c r="J4755" s="19" t="n">
        <v>52</v>
      </c>
      <c r="K4755" s="20" t="n">
        <v>0</v>
      </c>
      <c r="L4755" s="20" t="n">
        <v>0</v>
      </c>
      <c r="M4755" s="18" t="n">
        <v>113</v>
      </c>
      <c r="N4755" s="18" t="n">
        <v>113</v>
      </c>
      <c r="O4755" s="18" t="n">
        <v>0</v>
      </c>
      <c r="P4755" s="17" t="n">
        <v>46291</v>
      </c>
      <c r="Q4755" s="17" t="n">
        <v>46291</v>
      </c>
      <c r="R4755" s="17" t="n">
        <v>46291</v>
      </c>
      <c r="S4755" s="19">
        <f>H4755*I4755</f>
        <v/>
      </c>
      <c r="T4755" s="19">
        <f>H4755*J4755</f>
        <v/>
      </c>
      <c r="U4755">
        <f>IF(AND(K4755=0,G4755&lt;=Assumptions!$C$6),1,0)</f>
        <v/>
      </c>
      <c r="V4755">
        <f>IF(U4755=1,IF(M4755&gt;0,IF(P4755&lt;=G4755+Assumptions!$C$7,1,0),0),0)</f>
        <v/>
      </c>
      <c r="W4755">
        <f>IF(AND(U4755=1,M4755&gt;=H4755*(1-Assumptions!$C$8)),1,0)</f>
        <v/>
      </c>
      <c r="X4755">
        <f>IF(AND(U4755=1,N4755&gt;=H4755*(1-Assumptions!$C$8)),1,0)</f>
        <v/>
      </c>
      <c r="Y4755">
        <f>IF(ISNUMBER(Q4755),1,0)</f>
        <v/>
      </c>
      <c r="Z4755">
        <f>IF(AND(K4755=0,L4755=0,Y4755=0),1,0)</f>
        <v/>
      </c>
      <c r="AA4755">
        <f>IF(AND(Z4755=1,G4755&lt;Assumptions!$C$6),1,0)</f>
        <v/>
      </c>
      <c r="AB4755">
        <f>IF(U4755=0,"",IF(Y4755=1,MAX(0,Q4755-G4755),IF(L4755=1,MAX(0,R4755-G4755),MAX(0,Assumptions!$C$6-G4755))))</f>
        <v/>
      </c>
      <c r="AC4755">
        <f>IF(Y4755=1,Q4755-F4755,"")</f>
        <v/>
      </c>
      <c r="AD4755">
        <f>IF(Y4755=1,AC4755^2,"")</f>
        <v/>
      </c>
      <c r="AE4755" s="19">
        <f>IF(Z4755=1,(H4755-M4755)*I4755,0)</f>
        <v/>
      </c>
      <c r="AF4755">
        <f>IF(G4755&lt;EDATE(Assumptions!$C$6,-12)+1,"prior_12m","last_12m")</f>
        <v/>
      </c>
      <c r="AG4755" s="21">
        <f>DATE(YEAR(G4755),MONTH(G4755),1)</f>
        <v/>
      </c>
    </row>
    <row r="4756">
      <c r="A4756" t="inlineStr">
        <is>
          <t>SPO-02555-1</t>
        </is>
      </c>
      <c r="B4756" t="inlineStr">
        <is>
          <t>SPO-02555</t>
        </is>
      </c>
      <c r="C4756" t="inlineStr">
        <is>
          <t>SUP-12</t>
        </is>
      </c>
      <c r="D4756" t="inlineStr">
        <is>
          <t>IT</t>
        </is>
      </c>
      <c r="E4756" t="inlineStr">
        <is>
          <t>IT-06</t>
        </is>
      </c>
      <c r="F4756" s="17" t="n">
        <v>46284</v>
      </c>
      <c r="G4756" s="17" t="n">
        <v>46294</v>
      </c>
      <c r="H4756" s="18" t="n">
        <v>24</v>
      </c>
      <c r="I4756" s="19" t="n">
        <v>103.38</v>
      </c>
      <c r="J4756" s="19" t="n">
        <v>89</v>
      </c>
      <c r="K4756" s="20" t="n">
        <v>0</v>
      </c>
      <c r="L4756" s="20" t="n">
        <v>0</v>
      </c>
      <c r="M4756" s="18" t="n">
        <v>24</v>
      </c>
      <c r="N4756" s="18" t="n">
        <v>0</v>
      </c>
      <c r="O4756" s="18" t="n">
        <v>0</v>
      </c>
      <c r="P4756" s="17" t="n">
        <v>46295</v>
      </c>
      <c r="Q4756" s="17" t="n">
        <v>46295</v>
      </c>
      <c r="R4756" s="17" t="n">
        <v>46295</v>
      </c>
      <c r="S4756" s="19">
        <f>H4756*I4756</f>
        <v/>
      </c>
      <c r="T4756" s="19">
        <f>H4756*J4756</f>
        <v/>
      </c>
      <c r="U4756">
        <f>IF(AND(K4756=0,G4756&lt;=Assumptions!$C$6),1,0)</f>
        <v/>
      </c>
      <c r="V4756">
        <f>IF(U4756=1,IF(M4756&gt;0,IF(P4756&lt;=G4756+Assumptions!$C$7,1,0),0),0)</f>
        <v/>
      </c>
      <c r="W4756">
        <f>IF(AND(U4756=1,M4756&gt;=H4756*(1-Assumptions!$C$8)),1,0)</f>
        <v/>
      </c>
      <c r="X4756">
        <f>IF(AND(U4756=1,N4756&gt;=H4756*(1-Assumptions!$C$8)),1,0)</f>
        <v/>
      </c>
      <c r="Y4756">
        <f>IF(ISNUMBER(Q4756),1,0)</f>
        <v/>
      </c>
      <c r="Z4756">
        <f>IF(AND(K4756=0,L4756=0,Y4756=0),1,0)</f>
        <v/>
      </c>
      <c r="AA4756">
        <f>IF(AND(Z4756=1,G4756&lt;Assumptions!$C$6),1,0)</f>
        <v/>
      </c>
      <c r="AB4756">
        <f>IF(U4756=0,"",IF(Y4756=1,MAX(0,Q4756-G4756),IF(L4756=1,MAX(0,R4756-G4756),MAX(0,Assumptions!$C$6-G4756))))</f>
        <v/>
      </c>
      <c r="AC4756">
        <f>IF(Y4756=1,Q4756-F4756,"")</f>
        <v/>
      </c>
      <c r="AD4756">
        <f>IF(Y4756=1,AC4756^2,"")</f>
        <v/>
      </c>
      <c r="AE4756" s="19">
        <f>IF(Z4756=1,(H4756-M4756)*I4756,0)</f>
        <v/>
      </c>
      <c r="AF4756">
        <f>IF(G4756&lt;EDATE(Assumptions!$C$6,-12)+1,"prior_12m","last_12m")</f>
        <v/>
      </c>
      <c r="AG4756" s="21">
        <f>DATE(YEAR(G4756),MONTH(G4756),1)</f>
        <v/>
      </c>
    </row>
    <row r="4757">
      <c r="A4757" t="inlineStr">
        <is>
          <t>SPO-02556-1</t>
        </is>
      </c>
      <c r="B4757" t="inlineStr">
        <is>
          <t>SPO-02556</t>
        </is>
      </c>
      <c r="C4757" t="inlineStr">
        <is>
          <t>SUP-07</t>
        </is>
      </c>
      <c r="D4757" t="inlineStr">
        <is>
          <t>MRO</t>
        </is>
      </c>
      <c r="E4757" t="inlineStr">
        <is>
          <t>MRO-04</t>
        </is>
      </c>
      <c r="F4757" s="17" t="n">
        <v>46284</v>
      </c>
      <c r="G4757" s="17" t="n">
        <v>46294</v>
      </c>
      <c r="H4757" s="18" t="n">
        <v>32</v>
      </c>
      <c r="I4757" s="19" t="n">
        <v>58.23</v>
      </c>
      <c r="J4757" s="19" t="n">
        <v>58</v>
      </c>
      <c r="K4757" s="20" t="n">
        <v>0</v>
      </c>
      <c r="L4757" s="20" t="n">
        <v>0</v>
      </c>
      <c r="M4757" s="18" t="n">
        <v>32</v>
      </c>
      <c r="N4757" s="18" t="n">
        <v>32</v>
      </c>
      <c r="O4757" s="18" t="n">
        <v>0</v>
      </c>
      <c r="P4757" s="17" t="n">
        <v>46294</v>
      </c>
      <c r="Q4757" s="17" t="n">
        <v>46294</v>
      </c>
      <c r="R4757" s="17" t="n">
        <v>46294</v>
      </c>
      <c r="S4757" s="19">
        <f>H4757*I4757</f>
        <v/>
      </c>
      <c r="T4757" s="19">
        <f>H4757*J4757</f>
        <v/>
      </c>
      <c r="U4757">
        <f>IF(AND(K4757=0,G4757&lt;=Assumptions!$C$6),1,0)</f>
        <v/>
      </c>
      <c r="V4757">
        <f>IF(U4757=1,IF(M4757&gt;0,IF(P4757&lt;=G4757+Assumptions!$C$7,1,0),0),0)</f>
        <v/>
      </c>
      <c r="W4757">
        <f>IF(AND(U4757=1,M4757&gt;=H4757*(1-Assumptions!$C$8)),1,0)</f>
        <v/>
      </c>
      <c r="X4757">
        <f>IF(AND(U4757=1,N4757&gt;=H4757*(1-Assumptions!$C$8)),1,0)</f>
        <v/>
      </c>
      <c r="Y4757">
        <f>IF(ISNUMBER(Q4757),1,0)</f>
        <v/>
      </c>
      <c r="Z4757">
        <f>IF(AND(K4757=0,L4757=0,Y4757=0),1,0)</f>
        <v/>
      </c>
      <c r="AA4757">
        <f>IF(AND(Z4757=1,G4757&lt;Assumptions!$C$6),1,0)</f>
        <v/>
      </c>
      <c r="AB4757">
        <f>IF(U4757=0,"",IF(Y4757=1,MAX(0,Q4757-G4757),IF(L4757=1,MAX(0,R4757-G4757),MAX(0,Assumptions!$C$6-G4757))))</f>
        <v/>
      </c>
      <c r="AC4757">
        <f>IF(Y4757=1,Q4757-F4757,"")</f>
        <v/>
      </c>
      <c r="AD4757">
        <f>IF(Y4757=1,AC4757^2,"")</f>
        <v/>
      </c>
      <c r="AE4757" s="19">
        <f>IF(Z4757=1,(H4757-M4757)*I4757,0)</f>
        <v/>
      </c>
      <c r="AF4757">
        <f>IF(G4757&lt;EDATE(Assumptions!$C$6,-12)+1,"prior_12m","last_12m")</f>
        <v/>
      </c>
      <c r="AG4757" s="21">
        <f>DATE(YEAR(G4757),MONTH(G4757),1)</f>
        <v/>
      </c>
    </row>
    <row r="4758">
      <c r="A4758" t="inlineStr">
        <is>
          <t>SPO-02556-2</t>
        </is>
      </c>
      <c r="B4758" t="inlineStr">
        <is>
          <t>SPO-02556</t>
        </is>
      </c>
      <c r="C4758" t="inlineStr">
        <is>
          <t>SUP-07</t>
        </is>
      </c>
      <c r="D4758" t="inlineStr">
        <is>
          <t>MRO</t>
        </is>
      </c>
      <c r="E4758" t="inlineStr">
        <is>
          <t>MRO-03</t>
        </is>
      </c>
      <c r="F4758" s="17" t="n">
        <v>46284</v>
      </c>
      <c r="G4758" s="17" t="n">
        <v>46294</v>
      </c>
      <c r="H4758" s="18" t="n">
        <v>134</v>
      </c>
      <c r="I4758" s="19" t="n">
        <v>9.449999999999999</v>
      </c>
      <c r="J4758" s="19" t="n">
        <v>8.9</v>
      </c>
      <c r="K4758" s="20" t="n">
        <v>0</v>
      </c>
      <c r="L4758" s="20" t="n">
        <v>0</v>
      </c>
      <c r="M4758" s="18" t="n">
        <v>134</v>
      </c>
      <c r="N4758" s="18" t="n">
        <v>134</v>
      </c>
      <c r="O4758" s="18" t="n">
        <v>0</v>
      </c>
      <c r="P4758" s="17" t="n">
        <v>46291</v>
      </c>
      <c r="Q4758" s="17" t="n">
        <v>46291</v>
      </c>
      <c r="R4758" s="17" t="n">
        <v>46291</v>
      </c>
      <c r="S4758" s="19">
        <f>H4758*I4758</f>
        <v/>
      </c>
      <c r="T4758" s="19">
        <f>H4758*J4758</f>
        <v/>
      </c>
      <c r="U4758">
        <f>IF(AND(K4758=0,G4758&lt;=Assumptions!$C$6),1,0)</f>
        <v/>
      </c>
      <c r="V4758">
        <f>IF(U4758=1,IF(M4758&gt;0,IF(P4758&lt;=G4758+Assumptions!$C$7,1,0),0),0)</f>
        <v/>
      </c>
      <c r="W4758">
        <f>IF(AND(U4758=1,M4758&gt;=H4758*(1-Assumptions!$C$8)),1,0)</f>
        <v/>
      </c>
      <c r="X4758">
        <f>IF(AND(U4758=1,N4758&gt;=H4758*(1-Assumptions!$C$8)),1,0)</f>
        <v/>
      </c>
      <c r="Y4758">
        <f>IF(ISNUMBER(Q4758),1,0)</f>
        <v/>
      </c>
      <c r="Z4758">
        <f>IF(AND(K4758=0,L4758=0,Y4758=0),1,0)</f>
        <v/>
      </c>
      <c r="AA4758">
        <f>IF(AND(Z4758=1,G4758&lt;Assumptions!$C$6),1,0)</f>
        <v/>
      </c>
      <c r="AB4758">
        <f>IF(U4758=0,"",IF(Y4758=1,MAX(0,Q4758-G4758),IF(L4758=1,MAX(0,R4758-G4758),MAX(0,Assumptions!$C$6-G4758))))</f>
        <v/>
      </c>
      <c r="AC4758">
        <f>IF(Y4758=1,Q4758-F4758,"")</f>
        <v/>
      </c>
      <c r="AD4758">
        <f>IF(Y4758=1,AC4758^2,"")</f>
        <v/>
      </c>
      <c r="AE4758" s="19">
        <f>IF(Z4758=1,(H4758-M4758)*I4758,0)</f>
        <v/>
      </c>
      <c r="AF4758">
        <f>IF(G4758&lt;EDATE(Assumptions!$C$6,-12)+1,"prior_12m","last_12m")</f>
        <v/>
      </c>
      <c r="AG4758" s="21">
        <f>DATE(YEAR(G4758),MONTH(G4758),1)</f>
        <v/>
      </c>
    </row>
    <row r="4759">
      <c r="A4759" t="inlineStr">
        <is>
          <t>SPO-02557-1</t>
        </is>
      </c>
      <c r="B4759" t="inlineStr">
        <is>
          <t>SPO-02557</t>
        </is>
      </c>
      <c r="C4759" t="inlineStr">
        <is>
          <t>SUP-02</t>
        </is>
      </c>
      <c r="D4759" t="inlineStr">
        <is>
          <t>ELEC</t>
        </is>
      </c>
      <c r="E4759" t="inlineStr">
        <is>
          <t>ELEC-02</t>
        </is>
      </c>
      <c r="F4759" s="17" t="n">
        <v>46284</v>
      </c>
      <c r="G4759" s="17" t="n">
        <v>46300</v>
      </c>
      <c r="H4759" s="18" t="n">
        <v>546</v>
      </c>
      <c r="I4759" s="19" t="n">
        <v>4.37</v>
      </c>
      <c r="J4759" s="19" t="n">
        <v>4.2</v>
      </c>
      <c r="K4759" s="20" t="n">
        <v>0</v>
      </c>
      <c r="L4759" s="20" t="n">
        <v>0</v>
      </c>
      <c r="M4759" s="18" t="n">
        <v>0</v>
      </c>
      <c r="N4759" s="18" t="n">
        <v>0</v>
      </c>
      <c r="O4759" s="18" t="n">
        <v>0</v>
      </c>
      <c r="P4759" s="17" t="n"/>
      <c r="Q4759" s="17" t="n"/>
      <c r="R4759" s="17" t="n"/>
      <c r="S4759" s="19">
        <f>H4759*I4759</f>
        <v/>
      </c>
      <c r="T4759" s="19">
        <f>H4759*J4759</f>
        <v/>
      </c>
      <c r="U4759">
        <f>IF(AND(K4759=0,G4759&lt;=Assumptions!$C$6),1,0)</f>
        <v/>
      </c>
      <c r="V4759">
        <f>IF(U4759=1,IF(M4759&gt;0,IF(P4759&lt;=G4759+Assumptions!$C$7,1,0),0),0)</f>
        <v/>
      </c>
      <c r="W4759">
        <f>IF(AND(U4759=1,M4759&gt;=H4759*(1-Assumptions!$C$8)),1,0)</f>
        <v/>
      </c>
      <c r="X4759">
        <f>IF(AND(U4759=1,N4759&gt;=H4759*(1-Assumptions!$C$8)),1,0)</f>
        <v/>
      </c>
      <c r="Y4759">
        <f>IF(ISNUMBER(Q4759),1,0)</f>
        <v/>
      </c>
      <c r="Z4759">
        <f>IF(AND(K4759=0,L4759=0,Y4759=0),1,0)</f>
        <v/>
      </c>
      <c r="AA4759">
        <f>IF(AND(Z4759=1,G4759&lt;Assumptions!$C$6),1,0)</f>
        <v/>
      </c>
      <c r="AB4759">
        <f>IF(U4759=0,"",IF(Y4759=1,MAX(0,Q4759-G4759),IF(L4759=1,MAX(0,R4759-G4759),MAX(0,Assumptions!$C$6-G4759))))</f>
        <v/>
      </c>
      <c r="AC4759">
        <f>IF(Y4759=1,Q4759-F4759,"")</f>
        <v/>
      </c>
      <c r="AD4759">
        <f>IF(Y4759=1,AC4759^2,"")</f>
        <v/>
      </c>
      <c r="AE4759" s="19">
        <f>IF(Z4759=1,(H4759-M4759)*I4759,0)</f>
        <v/>
      </c>
      <c r="AF4759">
        <f>IF(G4759&lt;EDATE(Assumptions!$C$6,-12)+1,"prior_12m","last_12m")</f>
        <v/>
      </c>
      <c r="AG4759" s="21">
        <f>DATE(YEAR(G4759),MONTH(G4759),1)</f>
        <v/>
      </c>
    </row>
    <row r="4760">
      <c r="A4760" t="inlineStr">
        <is>
          <t>SPO-02557-2</t>
        </is>
      </c>
      <c r="B4760" t="inlineStr">
        <is>
          <t>SPO-02557</t>
        </is>
      </c>
      <c r="C4760" t="inlineStr">
        <is>
          <t>SUP-02</t>
        </is>
      </c>
      <c r="D4760" t="inlineStr">
        <is>
          <t>ELEC</t>
        </is>
      </c>
      <c r="E4760" t="inlineStr">
        <is>
          <t>ELEC-08</t>
        </is>
      </c>
      <c r="F4760" s="17" t="n">
        <v>46284</v>
      </c>
      <c r="G4760" s="17" t="n">
        <v>46300</v>
      </c>
      <c r="H4760" s="18" t="n">
        <v>129</v>
      </c>
      <c r="I4760" s="19" t="n">
        <v>18.5</v>
      </c>
      <c r="J4760" s="19" t="n">
        <v>18</v>
      </c>
      <c r="K4760" s="20" t="n">
        <v>0</v>
      </c>
      <c r="L4760" s="20" t="n">
        <v>0</v>
      </c>
      <c r="M4760" s="18" t="n">
        <v>0</v>
      </c>
      <c r="N4760" s="18" t="n">
        <v>0</v>
      </c>
      <c r="O4760" s="18" t="n">
        <v>0</v>
      </c>
      <c r="P4760" s="17" t="n"/>
      <c r="Q4760" s="17" t="n"/>
      <c r="R4760" s="17" t="n"/>
      <c r="S4760" s="19">
        <f>H4760*I4760</f>
        <v/>
      </c>
      <c r="T4760" s="19">
        <f>H4760*J4760</f>
        <v/>
      </c>
      <c r="U4760">
        <f>IF(AND(K4760=0,G4760&lt;=Assumptions!$C$6),1,0)</f>
        <v/>
      </c>
      <c r="V4760">
        <f>IF(U4760=1,IF(M4760&gt;0,IF(P4760&lt;=G4760+Assumptions!$C$7,1,0),0),0)</f>
        <v/>
      </c>
      <c r="W4760">
        <f>IF(AND(U4760=1,M4760&gt;=H4760*(1-Assumptions!$C$8)),1,0)</f>
        <v/>
      </c>
      <c r="X4760">
        <f>IF(AND(U4760=1,N4760&gt;=H4760*(1-Assumptions!$C$8)),1,0)</f>
        <v/>
      </c>
      <c r="Y4760">
        <f>IF(ISNUMBER(Q4760),1,0)</f>
        <v/>
      </c>
      <c r="Z4760">
        <f>IF(AND(K4760=0,L4760=0,Y4760=0),1,0)</f>
        <v/>
      </c>
      <c r="AA4760">
        <f>IF(AND(Z4760=1,G4760&lt;Assumptions!$C$6),1,0)</f>
        <v/>
      </c>
      <c r="AB4760">
        <f>IF(U4760=0,"",IF(Y4760=1,MAX(0,Q4760-G4760),IF(L4760=1,MAX(0,R4760-G4760),MAX(0,Assumptions!$C$6-G4760))))</f>
        <v/>
      </c>
      <c r="AC4760">
        <f>IF(Y4760=1,Q4760-F4760,"")</f>
        <v/>
      </c>
      <c r="AD4760">
        <f>IF(Y4760=1,AC4760^2,"")</f>
        <v/>
      </c>
      <c r="AE4760" s="19">
        <f>IF(Z4760=1,(H4760-M4760)*I4760,0)</f>
        <v/>
      </c>
      <c r="AF4760">
        <f>IF(G4760&lt;EDATE(Assumptions!$C$6,-12)+1,"prior_12m","last_12m")</f>
        <v/>
      </c>
      <c r="AG4760" s="21">
        <f>DATE(YEAR(G4760),MONTH(G4760),1)</f>
        <v/>
      </c>
    </row>
    <row r="4761">
      <c r="A4761" t="inlineStr">
        <is>
          <t>SPO-02558-1</t>
        </is>
      </c>
      <c r="B4761" t="inlineStr">
        <is>
          <t>SPO-02558</t>
        </is>
      </c>
      <c r="C4761" t="inlineStr">
        <is>
          <t>SUP-10</t>
        </is>
      </c>
      <c r="D4761" t="inlineStr">
        <is>
          <t>PPE</t>
        </is>
      </c>
      <c r="E4761" t="inlineStr">
        <is>
          <t>PPE-07</t>
        </is>
      </c>
      <c r="F4761" s="17" t="n">
        <v>46285</v>
      </c>
      <c r="G4761" s="17" t="n">
        <v>46298</v>
      </c>
      <c r="H4761" s="18" t="n">
        <v>48</v>
      </c>
      <c r="I4761" s="19" t="n">
        <v>29.45</v>
      </c>
      <c r="J4761" s="19" t="n">
        <v>31</v>
      </c>
      <c r="K4761" s="20" t="n">
        <v>0</v>
      </c>
      <c r="L4761" s="20" t="n">
        <v>0</v>
      </c>
      <c r="M4761" s="18" t="n">
        <v>48</v>
      </c>
      <c r="N4761" s="18" t="n">
        <v>48</v>
      </c>
      <c r="O4761" s="18" t="n">
        <v>0</v>
      </c>
      <c r="P4761" s="17" t="n">
        <v>46292</v>
      </c>
      <c r="Q4761" s="17" t="n">
        <v>46292</v>
      </c>
      <c r="R4761" s="17" t="n">
        <v>46292</v>
      </c>
      <c r="S4761" s="19">
        <f>H4761*I4761</f>
        <v/>
      </c>
      <c r="T4761" s="19">
        <f>H4761*J4761</f>
        <v/>
      </c>
      <c r="U4761">
        <f>IF(AND(K4761=0,G4761&lt;=Assumptions!$C$6),1,0)</f>
        <v/>
      </c>
      <c r="V4761">
        <f>IF(U4761=1,IF(M4761&gt;0,IF(P4761&lt;=G4761+Assumptions!$C$7,1,0),0),0)</f>
        <v/>
      </c>
      <c r="W4761">
        <f>IF(AND(U4761=1,M4761&gt;=H4761*(1-Assumptions!$C$8)),1,0)</f>
        <v/>
      </c>
      <c r="X4761">
        <f>IF(AND(U4761=1,N4761&gt;=H4761*(1-Assumptions!$C$8)),1,0)</f>
        <v/>
      </c>
      <c r="Y4761">
        <f>IF(ISNUMBER(Q4761),1,0)</f>
        <v/>
      </c>
      <c r="Z4761">
        <f>IF(AND(K4761=0,L4761=0,Y4761=0),1,0)</f>
        <v/>
      </c>
      <c r="AA4761">
        <f>IF(AND(Z4761=1,G4761&lt;Assumptions!$C$6),1,0)</f>
        <v/>
      </c>
      <c r="AB4761">
        <f>IF(U4761=0,"",IF(Y4761=1,MAX(0,Q4761-G4761),IF(L4761=1,MAX(0,R4761-G4761),MAX(0,Assumptions!$C$6-G4761))))</f>
        <v/>
      </c>
      <c r="AC4761">
        <f>IF(Y4761=1,Q4761-F4761,"")</f>
        <v/>
      </c>
      <c r="AD4761">
        <f>IF(Y4761=1,AC4761^2,"")</f>
        <v/>
      </c>
      <c r="AE4761" s="19">
        <f>IF(Z4761=1,(H4761-M4761)*I4761,0)</f>
        <v/>
      </c>
      <c r="AF4761">
        <f>IF(G4761&lt;EDATE(Assumptions!$C$6,-12)+1,"prior_12m","last_12m")</f>
        <v/>
      </c>
      <c r="AG4761" s="21">
        <f>DATE(YEAR(G4761),MONTH(G4761),1)</f>
        <v/>
      </c>
    </row>
    <row r="4762">
      <c r="A4762" t="inlineStr">
        <is>
          <t>SPO-02558-2</t>
        </is>
      </c>
      <c r="B4762" t="inlineStr">
        <is>
          <t>SPO-02558</t>
        </is>
      </c>
      <c r="C4762" t="inlineStr">
        <is>
          <t>SUP-10</t>
        </is>
      </c>
      <c r="D4762" t="inlineStr">
        <is>
          <t>PPE</t>
        </is>
      </c>
      <c r="E4762" t="inlineStr">
        <is>
          <t>PPE-05</t>
        </is>
      </c>
      <c r="F4762" s="17" t="n">
        <v>46285</v>
      </c>
      <c r="G4762" s="17" t="n">
        <v>46298</v>
      </c>
      <c r="H4762" s="18" t="n">
        <v>151</v>
      </c>
      <c r="I4762" s="19" t="n">
        <v>10.7</v>
      </c>
      <c r="J4762" s="19" t="n">
        <v>11</v>
      </c>
      <c r="K4762" s="20" t="n">
        <v>0</v>
      </c>
      <c r="L4762" s="20" t="n">
        <v>0</v>
      </c>
      <c r="M4762" s="18" t="n">
        <v>0</v>
      </c>
      <c r="N4762" s="18" t="n">
        <v>0</v>
      </c>
      <c r="O4762" s="18" t="n">
        <v>0</v>
      </c>
      <c r="P4762" s="17" t="n"/>
      <c r="Q4762" s="17" t="n"/>
      <c r="R4762" s="17" t="n"/>
      <c r="S4762" s="19">
        <f>H4762*I4762</f>
        <v/>
      </c>
      <c r="T4762" s="19">
        <f>H4762*J4762</f>
        <v/>
      </c>
      <c r="U4762">
        <f>IF(AND(K4762=0,G4762&lt;=Assumptions!$C$6),1,0)</f>
        <v/>
      </c>
      <c r="V4762">
        <f>IF(U4762=1,IF(M4762&gt;0,IF(P4762&lt;=G4762+Assumptions!$C$7,1,0),0),0)</f>
        <v/>
      </c>
      <c r="W4762">
        <f>IF(AND(U4762=1,M4762&gt;=H4762*(1-Assumptions!$C$8)),1,0)</f>
        <v/>
      </c>
      <c r="X4762">
        <f>IF(AND(U4762=1,N4762&gt;=H4762*(1-Assumptions!$C$8)),1,0)</f>
        <v/>
      </c>
      <c r="Y4762">
        <f>IF(ISNUMBER(Q4762),1,0)</f>
        <v/>
      </c>
      <c r="Z4762">
        <f>IF(AND(K4762=0,L4762=0,Y4762=0),1,0)</f>
        <v/>
      </c>
      <c r="AA4762">
        <f>IF(AND(Z4762=1,G4762&lt;Assumptions!$C$6),1,0)</f>
        <v/>
      </c>
      <c r="AB4762">
        <f>IF(U4762=0,"",IF(Y4762=1,MAX(0,Q4762-G4762),IF(L4762=1,MAX(0,R4762-G4762),MAX(0,Assumptions!$C$6-G4762))))</f>
        <v/>
      </c>
      <c r="AC4762">
        <f>IF(Y4762=1,Q4762-F4762,"")</f>
        <v/>
      </c>
      <c r="AD4762">
        <f>IF(Y4762=1,AC4762^2,"")</f>
        <v/>
      </c>
      <c r="AE4762" s="19">
        <f>IF(Z4762=1,(H4762-M4762)*I4762,0)</f>
        <v/>
      </c>
      <c r="AF4762">
        <f>IF(G4762&lt;EDATE(Assumptions!$C$6,-12)+1,"prior_12m","last_12m")</f>
        <v/>
      </c>
      <c r="AG4762" s="21">
        <f>DATE(YEAR(G4762),MONTH(G4762),1)</f>
        <v/>
      </c>
    </row>
    <row r="4763">
      <c r="A4763" t="inlineStr">
        <is>
          <t>SPO-02559-1</t>
        </is>
      </c>
      <c r="B4763" t="inlineStr">
        <is>
          <t>SPO-02559</t>
        </is>
      </c>
      <c r="C4763" t="inlineStr">
        <is>
          <t>SUP-09</t>
        </is>
      </c>
      <c r="D4763" t="inlineStr">
        <is>
          <t>CHEM</t>
        </is>
      </c>
      <c r="E4763" t="inlineStr">
        <is>
          <t>CHEM-06</t>
        </is>
      </c>
      <c r="F4763" s="17" t="n">
        <v>46285</v>
      </c>
      <c r="G4763" s="17" t="n">
        <v>46299</v>
      </c>
      <c r="H4763" s="18" t="n">
        <v>4</v>
      </c>
      <c r="I4763" s="19" t="n">
        <v>375.25</v>
      </c>
      <c r="J4763" s="19" t="n">
        <v>380</v>
      </c>
      <c r="K4763" s="20" t="n">
        <v>0</v>
      </c>
      <c r="L4763" s="20" t="n">
        <v>0</v>
      </c>
      <c r="M4763" s="18" t="n">
        <v>0</v>
      </c>
      <c r="N4763" s="18" t="n">
        <v>0</v>
      </c>
      <c r="O4763" s="18" t="n">
        <v>0</v>
      </c>
      <c r="P4763" s="17" t="n"/>
      <c r="Q4763" s="17" t="n"/>
      <c r="R4763" s="17" t="n"/>
      <c r="S4763" s="19">
        <f>H4763*I4763</f>
        <v/>
      </c>
      <c r="T4763" s="19">
        <f>H4763*J4763</f>
        <v/>
      </c>
      <c r="U4763">
        <f>IF(AND(K4763=0,G4763&lt;=Assumptions!$C$6),1,0)</f>
        <v/>
      </c>
      <c r="V4763">
        <f>IF(U4763=1,IF(M4763&gt;0,IF(P4763&lt;=G4763+Assumptions!$C$7,1,0),0),0)</f>
        <v/>
      </c>
      <c r="W4763">
        <f>IF(AND(U4763=1,M4763&gt;=H4763*(1-Assumptions!$C$8)),1,0)</f>
        <v/>
      </c>
      <c r="X4763">
        <f>IF(AND(U4763=1,N4763&gt;=H4763*(1-Assumptions!$C$8)),1,0)</f>
        <v/>
      </c>
      <c r="Y4763">
        <f>IF(ISNUMBER(Q4763),1,0)</f>
        <v/>
      </c>
      <c r="Z4763">
        <f>IF(AND(K4763=0,L4763=0,Y4763=0),1,0)</f>
        <v/>
      </c>
      <c r="AA4763">
        <f>IF(AND(Z4763=1,G4763&lt;Assumptions!$C$6),1,0)</f>
        <v/>
      </c>
      <c r="AB4763">
        <f>IF(U4763=0,"",IF(Y4763=1,MAX(0,Q4763-G4763),IF(L4763=1,MAX(0,R4763-G4763),MAX(0,Assumptions!$C$6-G4763))))</f>
        <v/>
      </c>
      <c r="AC4763">
        <f>IF(Y4763=1,Q4763-F4763,"")</f>
        <v/>
      </c>
      <c r="AD4763">
        <f>IF(Y4763=1,AC4763^2,"")</f>
        <v/>
      </c>
      <c r="AE4763" s="19">
        <f>IF(Z4763=1,(H4763-M4763)*I4763,0)</f>
        <v/>
      </c>
      <c r="AF4763">
        <f>IF(G4763&lt;EDATE(Assumptions!$C$6,-12)+1,"prior_12m","last_12m")</f>
        <v/>
      </c>
      <c r="AG4763" s="21">
        <f>DATE(YEAR(G4763),MONTH(G4763),1)</f>
        <v/>
      </c>
    </row>
    <row r="4764">
      <c r="A4764" t="inlineStr">
        <is>
          <t>SPO-02559-2</t>
        </is>
      </c>
      <c r="B4764" t="inlineStr">
        <is>
          <t>SPO-02559</t>
        </is>
      </c>
      <c r="C4764" t="inlineStr">
        <is>
          <t>SUP-09</t>
        </is>
      </c>
      <c r="D4764" t="inlineStr">
        <is>
          <t>CHEM</t>
        </is>
      </c>
      <c r="E4764" t="inlineStr">
        <is>
          <t>CHEM-01</t>
        </is>
      </c>
      <c r="F4764" s="17" t="n">
        <v>46285</v>
      </c>
      <c r="G4764" s="17" t="n">
        <v>46299</v>
      </c>
      <c r="H4764" s="18" t="n">
        <v>1</v>
      </c>
      <c r="I4764" s="19" t="n">
        <v>703.54</v>
      </c>
      <c r="J4764" s="19" t="n">
        <v>640</v>
      </c>
      <c r="K4764" s="20" t="n">
        <v>0</v>
      </c>
      <c r="L4764" s="20" t="n">
        <v>0</v>
      </c>
      <c r="M4764" s="18" t="n">
        <v>0</v>
      </c>
      <c r="N4764" s="18" t="n">
        <v>0</v>
      </c>
      <c r="O4764" s="18" t="n">
        <v>0</v>
      </c>
      <c r="P4764" s="17" t="n"/>
      <c r="Q4764" s="17" t="n"/>
      <c r="R4764" s="17" t="n"/>
      <c r="S4764" s="19">
        <f>H4764*I4764</f>
        <v/>
      </c>
      <c r="T4764" s="19">
        <f>H4764*J4764</f>
        <v/>
      </c>
      <c r="U4764">
        <f>IF(AND(K4764=0,G4764&lt;=Assumptions!$C$6),1,0)</f>
        <v/>
      </c>
      <c r="V4764">
        <f>IF(U4764=1,IF(M4764&gt;0,IF(P4764&lt;=G4764+Assumptions!$C$7,1,0),0),0)</f>
        <v/>
      </c>
      <c r="W4764">
        <f>IF(AND(U4764=1,M4764&gt;=H4764*(1-Assumptions!$C$8)),1,0)</f>
        <v/>
      </c>
      <c r="X4764">
        <f>IF(AND(U4764=1,N4764&gt;=H4764*(1-Assumptions!$C$8)),1,0)</f>
        <v/>
      </c>
      <c r="Y4764">
        <f>IF(ISNUMBER(Q4764),1,0)</f>
        <v/>
      </c>
      <c r="Z4764">
        <f>IF(AND(K4764=0,L4764=0,Y4764=0),1,0)</f>
        <v/>
      </c>
      <c r="AA4764">
        <f>IF(AND(Z4764=1,G4764&lt;Assumptions!$C$6),1,0)</f>
        <v/>
      </c>
      <c r="AB4764">
        <f>IF(U4764=0,"",IF(Y4764=1,MAX(0,Q4764-G4764),IF(L4764=1,MAX(0,R4764-G4764),MAX(0,Assumptions!$C$6-G4764))))</f>
        <v/>
      </c>
      <c r="AC4764">
        <f>IF(Y4764=1,Q4764-F4764,"")</f>
        <v/>
      </c>
      <c r="AD4764">
        <f>IF(Y4764=1,AC4764^2,"")</f>
        <v/>
      </c>
      <c r="AE4764" s="19">
        <f>IF(Z4764=1,(H4764-M4764)*I4764,0)</f>
        <v/>
      </c>
      <c r="AF4764">
        <f>IF(G4764&lt;EDATE(Assumptions!$C$6,-12)+1,"prior_12m","last_12m")</f>
        <v/>
      </c>
      <c r="AG4764" s="21">
        <f>DATE(YEAR(G4764),MONTH(G4764),1)</f>
        <v/>
      </c>
    </row>
    <row r="4765">
      <c r="A4765" t="inlineStr">
        <is>
          <t>SPO-02559-3</t>
        </is>
      </c>
      <c r="B4765" t="inlineStr">
        <is>
          <t>SPO-02559</t>
        </is>
      </c>
      <c r="C4765" t="inlineStr">
        <is>
          <t>SUP-09</t>
        </is>
      </c>
      <c r="D4765" t="inlineStr">
        <is>
          <t>CHEM</t>
        </is>
      </c>
      <c r="E4765" t="inlineStr">
        <is>
          <t>CHEM-03</t>
        </is>
      </c>
      <c r="F4765" s="17" t="n">
        <v>46285</v>
      </c>
      <c r="G4765" s="17" t="n">
        <v>46299</v>
      </c>
      <c r="H4765" s="18" t="n">
        <v>4</v>
      </c>
      <c r="I4765" s="19" t="n">
        <v>268.11</v>
      </c>
      <c r="J4765" s="19" t="n">
        <v>265</v>
      </c>
      <c r="K4765" s="20" t="n">
        <v>0</v>
      </c>
      <c r="L4765" s="20" t="n">
        <v>0</v>
      </c>
      <c r="M4765" s="18" t="n">
        <v>0</v>
      </c>
      <c r="N4765" s="18" t="n">
        <v>0</v>
      </c>
      <c r="O4765" s="18" t="n">
        <v>0</v>
      </c>
      <c r="P4765" s="17" t="n"/>
      <c r="Q4765" s="17" t="n"/>
      <c r="R4765" s="17" t="n"/>
      <c r="S4765" s="19">
        <f>H4765*I4765</f>
        <v/>
      </c>
      <c r="T4765" s="19">
        <f>H4765*J4765</f>
        <v/>
      </c>
      <c r="U4765">
        <f>IF(AND(K4765=0,G4765&lt;=Assumptions!$C$6),1,0)</f>
        <v/>
      </c>
      <c r="V4765">
        <f>IF(U4765=1,IF(M4765&gt;0,IF(P4765&lt;=G4765+Assumptions!$C$7,1,0),0),0)</f>
        <v/>
      </c>
      <c r="W4765">
        <f>IF(AND(U4765=1,M4765&gt;=H4765*(1-Assumptions!$C$8)),1,0)</f>
        <v/>
      </c>
      <c r="X4765">
        <f>IF(AND(U4765=1,N4765&gt;=H4765*(1-Assumptions!$C$8)),1,0)</f>
        <v/>
      </c>
      <c r="Y4765">
        <f>IF(ISNUMBER(Q4765),1,0)</f>
        <v/>
      </c>
      <c r="Z4765">
        <f>IF(AND(K4765=0,L4765=0,Y4765=0),1,0)</f>
        <v/>
      </c>
      <c r="AA4765">
        <f>IF(AND(Z4765=1,G4765&lt;Assumptions!$C$6),1,0)</f>
        <v/>
      </c>
      <c r="AB4765">
        <f>IF(U4765=0,"",IF(Y4765=1,MAX(0,Q4765-G4765),IF(L4765=1,MAX(0,R4765-G4765),MAX(0,Assumptions!$C$6-G4765))))</f>
        <v/>
      </c>
      <c r="AC4765">
        <f>IF(Y4765=1,Q4765-F4765,"")</f>
        <v/>
      </c>
      <c r="AD4765">
        <f>IF(Y4765=1,AC4765^2,"")</f>
        <v/>
      </c>
      <c r="AE4765" s="19">
        <f>IF(Z4765=1,(H4765-M4765)*I4765,0)</f>
        <v/>
      </c>
      <c r="AF4765">
        <f>IF(G4765&lt;EDATE(Assumptions!$C$6,-12)+1,"prior_12m","last_12m")</f>
        <v/>
      </c>
      <c r="AG4765" s="21">
        <f>DATE(YEAR(G4765),MONTH(G4765),1)</f>
        <v/>
      </c>
    </row>
    <row r="4766">
      <c r="A4766" t="inlineStr">
        <is>
          <t>SPO-02559-4</t>
        </is>
      </c>
      <c r="B4766" t="inlineStr">
        <is>
          <t>SPO-02559</t>
        </is>
      </c>
      <c r="C4766" t="inlineStr">
        <is>
          <t>SUP-09</t>
        </is>
      </c>
      <c r="D4766" t="inlineStr">
        <is>
          <t>CHEM</t>
        </is>
      </c>
      <c r="E4766" t="inlineStr">
        <is>
          <t>CHEM-05</t>
        </is>
      </c>
      <c r="F4766" s="17" t="n">
        <v>46285</v>
      </c>
      <c r="G4766" s="17" t="n">
        <v>46299</v>
      </c>
      <c r="H4766" s="18" t="n">
        <v>1</v>
      </c>
      <c r="I4766" s="19" t="n">
        <v>918.73</v>
      </c>
      <c r="J4766" s="19" t="n">
        <v>930</v>
      </c>
      <c r="K4766" s="20" t="n">
        <v>0</v>
      </c>
      <c r="L4766" s="20" t="n">
        <v>0</v>
      </c>
      <c r="M4766" s="18" t="n">
        <v>0</v>
      </c>
      <c r="N4766" s="18" t="n">
        <v>0</v>
      </c>
      <c r="O4766" s="18" t="n">
        <v>0</v>
      </c>
      <c r="P4766" s="17" t="n"/>
      <c r="Q4766" s="17" t="n"/>
      <c r="R4766" s="17" t="n"/>
      <c r="S4766" s="19">
        <f>H4766*I4766</f>
        <v/>
      </c>
      <c r="T4766" s="19">
        <f>H4766*J4766</f>
        <v/>
      </c>
      <c r="U4766">
        <f>IF(AND(K4766=0,G4766&lt;=Assumptions!$C$6),1,0)</f>
        <v/>
      </c>
      <c r="V4766">
        <f>IF(U4766=1,IF(M4766&gt;0,IF(P4766&lt;=G4766+Assumptions!$C$7,1,0),0),0)</f>
        <v/>
      </c>
      <c r="W4766">
        <f>IF(AND(U4766=1,M4766&gt;=H4766*(1-Assumptions!$C$8)),1,0)</f>
        <v/>
      </c>
      <c r="X4766">
        <f>IF(AND(U4766=1,N4766&gt;=H4766*(1-Assumptions!$C$8)),1,0)</f>
        <v/>
      </c>
      <c r="Y4766">
        <f>IF(ISNUMBER(Q4766),1,0)</f>
        <v/>
      </c>
      <c r="Z4766">
        <f>IF(AND(K4766=0,L4766=0,Y4766=0),1,0)</f>
        <v/>
      </c>
      <c r="AA4766">
        <f>IF(AND(Z4766=1,G4766&lt;Assumptions!$C$6),1,0)</f>
        <v/>
      </c>
      <c r="AB4766">
        <f>IF(U4766=0,"",IF(Y4766=1,MAX(0,Q4766-G4766),IF(L4766=1,MAX(0,R4766-G4766),MAX(0,Assumptions!$C$6-G4766))))</f>
        <v/>
      </c>
      <c r="AC4766">
        <f>IF(Y4766=1,Q4766-F4766,"")</f>
        <v/>
      </c>
      <c r="AD4766">
        <f>IF(Y4766=1,AC4766^2,"")</f>
        <v/>
      </c>
      <c r="AE4766" s="19">
        <f>IF(Z4766=1,(H4766-M4766)*I4766,0)</f>
        <v/>
      </c>
      <c r="AF4766">
        <f>IF(G4766&lt;EDATE(Assumptions!$C$6,-12)+1,"prior_12m","last_12m")</f>
        <v/>
      </c>
      <c r="AG4766" s="21">
        <f>DATE(YEAR(G4766),MONTH(G4766),1)</f>
        <v/>
      </c>
    </row>
    <row r="4767">
      <c r="A4767" t="inlineStr">
        <is>
          <t>SPO-02560-1</t>
        </is>
      </c>
      <c r="B4767" t="inlineStr">
        <is>
          <t>SPO-02560</t>
        </is>
      </c>
      <c r="C4767" t="inlineStr">
        <is>
          <t>SUP-11</t>
        </is>
      </c>
      <c r="D4767" t="inlineStr">
        <is>
          <t>PPE</t>
        </is>
      </c>
      <c r="E4767" t="inlineStr">
        <is>
          <t>PPE-01</t>
        </is>
      </c>
      <c r="F4767" s="17" t="n">
        <v>46285</v>
      </c>
      <c r="G4767" s="17" t="n">
        <v>46297</v>
      </c>
      <c r="H4767" s="18" t="n">
        <v>195</v>
      </c>
      <c r="I4767" s="19" t="n">
        <v>4.98</v>
      </c>
      <c r="J4767" s="19" t="n">
        <v>4.8</v>
      </c>
      <c r="K4767" s="20" t="n">
        <v>0</v>
      </c>
      <c r="L4767" s="20" t="n">
        <v>0</v>
      </c>
      <c r="M4767" s="18" t="n">
        <v>195</v>
      </c>
      <c r="N4767" s="18" t="n">
        <v>195</v>
      </c>
      <c r="O4767" s="18" t="n">
        <v>0</v>
      </c>
      <c r="P4767" s="17" t="n">
        <v>46292</v>
      </c>
      <c r="Q4767" s="17" t="n">
        <v>46292</v>
      </c>
      <c r="R4767" s="17" t="n">
        <v>46292</v>
      </c>
      <c r="S4767" s="19">
        <f>H4767*I4767</f>
        <v/>
      </c>
      <c r="T4767" s="19">
        <f>H4767*J4767</f>
        <v/>
      </c>
      <c r="U4767">
        <f>IF(AND(K4767=0,G4767&lt;=Assumptions!$C$6),1,0)</f>
        <v/>
      </c>
      <c r="V4767">
        <f>IF(U4767=1,IF(M4767&gt;0,IF(P4767&lt;=G4767+Assumptions!$C$7,1,0),0),0)</f>
        <v/>
      </c>
      <c r="W4767">
        <f>IF(AND(U4767=1,M4767&gt;=H4767*(1-Assumptions!$C$8)),1,0)</f>
        <v/>
      </c>
      <c r="X4767">
        <f>IF(AND(U4767=1,N4767&gt;=H4767*(1-Assumptions!$C$8)),1,0)</f>
        <v/>
      </c>
      <c r="Y4767">
        <f>IF(ISNUMBER(Q4767),1,0)</f>
        <v/>
      </c>
      <c r="Z4767">
        <f>IF(AND(K4767=0,L4767=0,Y4767=0),1,0)</f>
        <v/>
      </c>
      <c r="AA4767">
        <f>IF(AND(Z4767=1,G4767&lt;Assumptions!$C$6),1,0)</f>
        <v/>
      </c>
      <c r="AB4767">
        <f>IF(U4767=0,"",IF(Y4767=1,MAX(0,Q4767-G4767),IF(L4767=1,MAX(0,R4767-G4767),MAX(0,Assumptions!$C$6-G4767))))</f>
        <v/>
      </c>
      <c r="AC4767">
        <f>IF(Y4767=1,Q4767-F4767,"")</f>
        <v/>
      </c>
      <c r="AD4767">
        <f>IF(Y4767=1,AC4767^2,"")</f>
        <v/>
      </c>
      <c r="AE4767" s="19">
        <f>IF(Z4767=1,(H4767-M4767)*I4767,0)</f>
        <v/>
      </c>
      <c r="AF4767">
        <f>IF(G4767&lt;EDATE(Assumptions!$C$6,-12)+1,"prior_12m","last_12m")</f>
        <v/>
      </c>
      <c r="AG4767" s="21">
        <f>DATE(YEAR(G4767),MONTH(G4767),1)</f>
        <v/>
      </c>
    </row>
    <row r="4768">
      <c r="A4768" t="inlineStr">
        <is>
          <t>SPO-02561-1</t>
        </is>
      </c>
      <c r="B4768" t="inlineStr">
        <is>
          <t>SPO-02561</t>
        </is>
      </c>
      <c r="C4768" t="inlineStr">
        <is>
          <t>SUP-01</t>
        </is>
      </c>
      <c r="D4768" t="inlineStr">
        <is>
          <t>ELEC</t>
        </is>
      </c>
      <c r="E4768" t="inlineStr">
        <is>
          <t>ELEC-08</t>
        </is>
      </c>
      <c r="F4768" s="17" t="n">
        <v>46285</v>
      </c>
      <c r="G4768" s="17" t="n">
        <v>46303</v>
      </c>
      <c r="H4768" s="18" t="n">
        <v>71</v>
      </c>
      <c r="I4768" s="19" t="n">
        <v>18.52</v>
      </c>
      <c r="J4768" s="19" t="n">
        <v>18</v>
      </c>
      <c r="K4768" s="20" t="n">
        <v>0</v>
      </c>
      <c r="L4768" s="20" t="n">
        <v>0</v>
      </c>
      <c r="M4768" s="18" t="n">
        <v>0</v>
      </c>
      <c r="N4768" s="18" t="n">
        <v>0</v>
      </c>
      <c r="O4768" s="18" t="n">
        <v>0</v>
      </c>
      <c r="P4768" s="17" t="n"/>
      <c r="Q4768" s="17" t="n"/>
      <c r="R4768" s="17" t="n"/>
      <c r="S4768" s="19">
        <f>H4768*I4768</f>
        <v/>
      </c>
      <c r="T4768" s="19">
        <f>H4768*J4768</f>
        <v/>
      </c>
      <c r="U4768">
        <f>IF(AND(K4768=0,G4768&lt;=Assumptions!$C$6),1,0)</f>
        <v/>
      </c>
      <c r="V4768">
        <f>IF(U4768=1,IF(M4768&gt;0,IF(P4768&lt;=G4768+Assumptions!$C$7,1,0),0),0)</f>
        <v/>
      </c>
      <c r="W4768">
        <f>IF(AND(U4768=1,M4768&gt;=H4768*(1-Assumptions!$C$8)),1,0)</f>
        <v/>
      </c>
      <c r="X4768">
        <f>IF(AND(U4768=1,N4768&gt;=H4768*(1-Assumptions!$C$8)),1,0)</f>
        <v/>
      </c>
      <c r="Y4768">
        <f>IF(ISNUMBER(Q4768),1,0)</f>
        <v/>
      </c>
      <c r="Z4768">
        <f>IF(AND(K4768=0,L4768=0,Y4768=0),1,0)</f>
        <v/>
      </c>
      <c r="AA4768">
        <f>IF(AND(Z4768=1,G4768&lt;Assumptions!$C$6),1,0)</f>
        <v/>
      </c>
      <c r="AB4768">
        <f>IF(U4768=0,"",IF(Y4768=1,MAX(0,Q4768-G4768),IF(L4768=1,MAX(0,R4768-G4768),MAX(0,Assumptions!$C$6-G4768))))</f>
        <v/>
      </c>
      <c r="AC4768">
        <f>IF(Y4768=1,Q4768-F4768,"")</f>
        <v/>
      </c>
      <c r="AD4768">
        <f>IF(Y4768=1,AC4768^2,"")</f>
        <v/>
      </c>
      <c r="AE4768" s="19">
        <f>IF(Z4768=1,(H4768-M4768)*I4768,0)</f>
        <v/>
      </c>
      <c r="AF4768">
        <f>IF(G4768&lt;EDATE(Assumptions!$C$6,-12)+1,"prior_12m","last_12m")</f>
        <v/>
      </c>
      <c r="AG4768" s="21">
        <f>DATE(YEAR(G4768),MONTH(G4768),1)</f>
        <v/>
      </c>
    </row>
    <row r="4769">
      <c r="A4769" t="inlineStr">
        <is>
          <t>SPO-02562-1</t>
        </is>
      </c>
      <c r="B4769" t="inlineStr">
        <is>
          <t>SPO-02562</t>
        </is>
      </c>
      <c r="C4769" t="inlineStr">
        <is>
          <t>SUP-02</t>
        </is>
      </c>
      <c r="D4769" t="inlineStr">
        <is>
          <t>ELEC</t>
        </is>
      </c>
      <c r="E4769" t="inlineStr">
        <is>
          <t>ELEC-05</t>
        </is>
      </c>
      <c r="F4769" s="17" t="n">
        <v>46286</v>
      </c>
      <c r="G4769" s="17" t="n">
        <v>46302</v>
      </c>
      <c r="H4769" s="18" t="n">
        <v>55</v>
      </c>
      <c r="I4769" s="19" t="n">
        <v>11.65</v>
      </c>
      <c r="J4769" s="19" t="n">
        <v>11.5</v>
      </c>
      <c r="K4769" s="20" t="n">
        <v>0</v>
      </c>
      <c r="L4769" s="20" t="n">
        <v>0</v>
      </c>
      <c r="M4769" s="18" t="n">
        <v>0</v>
      </c>
      <c r="N4769" s="18" t="n">
        <v>0</v>
      </c>
      <c r="O4769" s="18" t="n">
        <v>0</v>
      </c>
      <c r="P4769" s="17" t="n"/>
      <c r="Q4769" s="17" t="n"/>
      <c r="R4769" s="17" t="n"/>
      <c r="S4769" s="19">
        <f>H4769*I4769</f>
        <v/>
      </c>
      <c r="T4769" s="19">
        <f>H4769*J4769</f>
        <v/>
      </c>
      <c r="U4769">
        <f>IF(AND(K4769=0,G4769&lt;=Assumptions!$C$6),1,0)</f>
        <v/>
      </c>
      <c r="V4769">
        <f>IF(U4769=1,IF(M4769&gt;0,IF(P4769&lt;=G4769+Assumptions!$C$7,1,0),0),0)</f>
        <v/>
      </c>
      <c r="W4769">
        <f>IF(AND(U4769=1,M4769&gt;=H4769*(1-Assumptions!$C$8)),1,0)</f>
        <v/>
      </c>
      <c r="X4769">
        <f>IF(AND(U4769=1,N4769&gt;=H4769*(1-Assumptions!$C$8)),1,0)</f>
        <v/>
      </c>
      <c r="Y4769">
        <f>IF(ISNUMBER(Q4769),1,0)</f>
        <v/>
      </c>
      <c r="Z4769">
        <f>IF(AND(K4769=0,L4769=0,Y4769=0),1,0)</f>
        <v/>
      </c>
      <c r="AA4769">
        <f>IF(AND(Z4769=1,G4769&lt;Assumptions!$C$6),1,0)</f>
        <v/>
      </c>
      <c r="AB4769">
        <f>IF(U4769=0,"",IF(Y4769=1,MAX(0,Q4769-G4769),IF(L4769=1,MAX(0,R4769-G4769),MAX(0,Assumptions!$C$6-G4769))))</f>
        <v/>
      </c>
      <c r="AC4769">
        <f>IF(Y4769=1,Q4769-F4769,"")</f>
        <v/>
      </c>
      <c r="AD4769">
        <f>IF(Y4769=1,AC4769^2,"")</f>
        <v/>
      </c>
      <c r="AE4769" s="19">
        <f>IF(Z4769=1,(H4769-M4769)*I4769,0)</f>
        <v/>
      </c>
      <c r="AF4769">
        <f>IF(G4769&lt;EDATE(Assumptions!$C$6,-12)+1,"prior_12m","last_12m")</f>
        <v/>
      </c>
      <c r="AG4769" s="21">
        <f>DATE(YEAR(G4769),MONTH(G4769),1)</f>
        <v/>
      </c>
    </row>
    <row r="4770">
      <c r="A4770" t="inlineStr">
        <is>
          <t>SPO-02563-1</t>
        </is>
      </c>
      <c r="B4770" t="inlineStr">
        <is>
          <t>SPO-02563</t>
        </is>
      </c>
      <c r="C4770" t="inlineStr">
        <is>
          <t>SUP-12</t>
        </is>
      </c>
      <c r="D4770" t="inlineStr">
        <is>
          <t>IT</t>
        </is>
      </c>
      <c r="E4770" t="inlineStr">
        <is>
          <t>IT-02</t>
        </is>
      </c>
      <c r="F4770" s="17" t="n">
        <v>46287</v>
      </c>
      <c r="G4770" s="17" t="n">
        <v>46297</v>
      </c>
      <c r="H4770" s="18" t="n">
        <v>18</v>
      </c>
      <c r="I4770" s="19" t="n">
        <v>187.89</v>
      </c>
      <c r="J4770" s="19" t="n">
        <v>162</v>
      </c>
      <c r="K4770" s="20" t="n">
        <v>0</v>
      </c>
      <c r="L4770" s="20" t="n">
        <v>0</v>
      </c>
      <c r="M4770" s="18" t="n">
        <v>10</v>
      </c>
      <c r="N4770" s="18" t="n">
        <v>10</v>
      </c>
      <c r="O4770" s="18" t="n">
        <v>0</v>
      </c>
      <c r="P4770" s="17" t="n">
        <v>46289</v>
      </c>
      <c r="Q4770" s="17" t="n"/>
      <c r="R4770" s="17" t="n">
        <v>46289</v>
      </c>
      <c r="S4770" s="19">
        <f>H4770*I4770</f>
        <v/>
      </c>
      <c r="T4770" s="19">
        <f>H4770*J4770</f>
        <v/>
      </c>
      <c r="U4770">
        <f>IF(AND(K4770=0,G4770&lt;=Assumptions!$C$6),1,0)</f>
        <v/>
      </c>
      <c r="V4770">
        <f>IF(U4770=1,IF(M4770&gt;0,IF(P4770&lt;=G4770+Assumptions!$C$7,1,0),0),0)</f>
        <v/>
      </c>
      <c r="W4770">
        <f>IF(AND(U4770=1,M4770&gt;=H4770*(1-Assumptions!$C$8)),1,0)</f>
        <v/>
      </c>
      <c r="X4770">
        <f>IF(AND(U4770=1,N4770&gt;=H4770*(1-Assumptions!$C$8)),1,0)</f>
        <v/>
      </c>
      <c r="Y4770">
        <f>IF(ISNUMBER(Q4770),1,0)</f>
        <v/>
      </c>
      <c r="Z4770">
        <f>IF(AND(K4770=0,L4770=0,Y4770=0),1,0)</f>
        <v/>
      </c>
      <c r="AA4770">
        <f>IF(AND(Z4770=1,G4770&lt;Assumptions!$C$6),1,0)</f>
        <v/>
      </c>
      <c r="AB4770">
        <f>IF(U4770=0,"",IF(Y4770=1,MAX(0,Q4770-G4770),IF(L4770=1,MAX(0,R4770-G4770),MAX(0,Assumptions!$C$6-G4770))))</f>
        <v/>
      </c>
      <c r="AC4770">
        <f>IF(Y4770=1,Q4770-F4770,"")</f>
        <v/>
      </c>
      <c r="AD4770">
        <f>IF(Y4770=1,AC4770^2,"")</f>
        <v/>
      </c>
      <c r="AE4770" s="19">
        <f>IF(Z4770=1,(H4770-M4770)*I4770,0)</f>
        <v/>
      </c>
      <c r="AF4770">
        <f>IF(G4770&lt;EDATE(Assumptions!$C$6,-12)+1,"prior_12m","last_12m")</f>
        <v/>
      </c>
      <c r="AG4770" s="21">
        <f>DATE(YEAR(G4770),MONTH(G4770),1)</f>
        <v/>
      </c>
    </row>
    <row r="4771">
      <c r="A4771" t="inlineStr">
        <is>
          <t>SPO-02563-2</t>
        </is>
      </c>
      <c r="B4771" t="inlineStr">
        <is>
          <t>SPO-02563</t>
        </is>
      </c>
      <c r="C4771" t="inlineStr">
        <is>
          <t>SUP-12</t>
        </is>
      </c>
      <c r="D4771" t="inlineStr">
        <is>
          <t>IT</t>
        </is>
      </c>
      <c r="E4771" t="inlineStr">
        <is>
          <t>IT-05</t>
        </is>
      </c>
      <c r="F4771" s="17" t="n">
        <v>46287</v>
      </c>
      <c r="G4771" s="17" t="n">
        <v>46297</v>
      </c>
      <c r="H4771" s="18" t="n">
        <v>2</v>
      </c>
      <c r="I4771" s="19" t="n">
        <v>734.6799999999999</v>
      </c>
      <c r="J4771" s="19" t="n">
        <v>640</v>
      </c>
      <c r="K4771" s="20" t="n">
        <v>0</v>
      </c>
      <c r="L4771" s="20" t="n">
        <v>0</v>
      </c>
      <c r="M4771" s="18" t="n">
        <v>2</v>
      </c>
      <c r="N4771" s="18" t="n">
        <v>2</v>
      </c>
      <c r="O4771" s="18" t="n">
        <v>0</v>
      </c>
      <c r="P4771" s="17" t="n">
        <v>46292</v>
      </c>
      <c r="Q4771" s="17" t="n">
        <v>46292</v>
      </c>
      <c r="R4771" s="17" t="n">
        <v>46292</v>
      </c>
      <c r="S4771" s="19">
        <f>H4771*I4771</f>
        <v/>
      </c>
      <c r="T4771" s="19">
        <f>H4771*J4771</f>
        <v/>
      </c>
      <c r="U4771">
        <f>IF(AND(K4771=0,G4771&lt;=Assumptions!$C$6),1,0)</f>
        <v/>
      </c>
      <c r="V4771">
        <f>IF(U4771=1,IF(M4771&gt;0,IF(P4771&lt;=G4771+Assumptions!$C$7,1,0),0),0)</f>
        <v/>
      </c>
      <c r="W4771">
        <f>IF(AND(U4771=1,M4771&gt;=H4771*(1-Assumptions!$C$8)),1,0)</f>
        <v/>
      </c>
      <c r="X4771">
        <f>IF(AND(U4771=1,N4771&gt;=H4771*(1-Assumptions!$C$8)),1,0)</f>
        <v/>
      </c>
      <c r="Y4771">
        <f>IF(ISNUMBER(Q4771),1,0)</f>
        <v/>
      </c>
      <c r="Z4771">
        <f>IF(AND(K4771=0,L4771=0,Y4771=0),1,0)</f>
        <v/>
      </c>
      <c r="AA4771">
        <f>IF(AND(Z4771=1,G4771&lt;Assumptions!$C$6),1,0)</f>
        <v/>
      </c>
      <c r="AB4771">
        <f>IF(U4771=0,"",IF(Y4771=1,MAX(0,Q4771-G4771),IF(L4771=1,MAX(0,R4771-G4771),MAX(0,Assumptions!$C$6-G4771))))</f>
        <v/>
      </c>
      <c r="AC4771">
        <f>IF(Y4771=1,Q4771-F4771,"")</f>
        <v/>
      </c>
      <c r="AD4771">
        <f>IF(Y4771=1,AC4771^2,"")</f>
        <v/>
      </c>
      <c r="AE4771" s="19">
        <f>IF(Z4771=1,(H4771-M4771)*I4771,0)</f>
        <v/>
      </c>
      <c r="AF4771">
        <f>IF(G4771&lt;EDATE(Assumptions!$C$6,-12)+1,"prior_12m","last_12m")</f>
        <v/>
      </c>
      <c r="AG4771" s="21">
        <f>DATE(YEAR(G4771),MONTH(G4771),1)</f>
        <v/>
      </c>
    </row>
    <row r="4772">
      <c r="A4772" t="inlineStr">
        <is>
          <t>SPO-02564-1</t>
        </is>
      </c>
      <c r="B4772" t="inlineStr">
        <is>
          <t>SPO-02564</t>
        </is>
      </c>
      <c r="C4772" t="inlineStr">
        <is>
          <t>SUP-01</t>
        </is>
      </c>
      <c r="D4772" t="inlineStr">
        <is>
          <t>ELEC</t>
        </is>
      </c>
      <c r="E4772" t="inlineStr">
        <is>
          <t>ELEC-05</t>
        </is>
      </c>
      <c r="F4772" s="17" t="n">
        <v>46288</v>
      </c>
      <c r="G4772" s="17" t="n">
        <v>46306</v>
      </c>
      <c r="H4772" s="18" t="n">
        <v>115</v>
      </c>
      <c r="I4772" s="19" t="n">
        <v>11.14</v>
      </c>
      <c r="J4772" s="19" t="n">
        <v>11.5</v>
      </c>
      <c r="K4772" s="20" t="n">
        <v>0</v>
      </c>
      <c r="L4772" s="20" t="n">
        <v>0</v>
      </c>
      <c r="M4772" s="18" t="n">
        <v>0</v>
      </c>
      <c r="N4772" s="18" t="n">
        <v>0</v>
      </c>
      <c r="O4772" s="18" t="n">
        <v>0</v>
      </c>
      <c r="P4772" s="17" t="n"/>
      <c r="Q4772" s="17" t="n"/>
      <c r="R4772" s="17" t="n"/>
      <c r="S4772" s="19">
        <f>H4772*I4772</f>
        <v/>
      </c>
      <c r="T4772" s="19">
        <f>H4772*J4772</f>
        <v/>
      </c>
      <c r="U4772">
        <f>IF(AND(K4772=0,G4772&lt;=Assumptions!$C$6),1,0)</f>
        <v/>
      </c>
      <c r="V4772">
        <f>IF(U4772=1,IF(M4772&gt;0,IF(P4772&lt;=G4772+Assumptions!$C$7,1,0),0),0)</f>
        <v/>
      </c>
      <c r="W4772">
        <f>IF(AND(U4772=1,M4772&gt;=H4772*(1-Assumptions!$C$8)),1,0)</f>
        <v/>
      </c>
      <c r="X4772">
        <f>IF(AND(U4772=1,N4772&gt;=H4772*(1-Assumptions!$C$8)),1,0)</f>
        <v/>
      </c>
      <c r="Y4772">
        <f>IF(ISNUMBER(Q4772),1,0)</f>
        <v/>
      </c>
      <c r="Z4772">
        <f>IF(AND(K4772=0,L4772=0,Y4772=0),1,0)</f>
        <v/>
      </c>
      <c r="AA4772">
        <f>IF(AND(Z4772=1,G4772&lt;Assumptions!$C$6),1,0)</f>
        <v/>
      </c>
      <c r="AB4772">
        <f>IF(U4772=0,"",IF(Y4772=1,MAX(0,Q4772-G4772),IF(L4772=1,MAX(0,R4772-G4772),MAX(0,Assumptions!$C$6-G4772))))</f>
        <v/>
      </c>
      <c r="AC4772">
        <f>IF(Y4772=1,Q4772-F4772,"")</f>
        <v/>
      </c>
      <c r="AD4772">
        <f>IF(Y4772=1,AC4772^2,"")</f>
        <v/>
      </c>
      <c r="AE4772" s="19">
        <f>IF(Z4772=1,(H4772-M4772)*I4772,0)</f>
        <v/>
      </c>
      <c r="AF4772">
        <f>IF(G4772&lt;EDATE(Assumptions!$C$6,-12)+1,"prior_12m","last_12m")</f>
        <v/>
      </c>
      <c r="AG4772" s="21">
        <f>DATE(YEAR(G4772),MONTH(G4772),1)</f>
        <v/>
      </c>
    </row>
    <row r="4773">
      <c r="A4773" t="inlineStr">
        <is>
          <t>SPO-02565-1</t>
        </is>
      </c>
      <c r="B4773" t="inlineStr">
        <is>
          <t>SPO-02565</t>
        </is>
      </c>
      <c r="C4773" t="inlineStr">
        <is>
          <t>SUP-01</t>
        </is>
      </c>
      <c r="D4773" t="inlineStr">
        <is>
          <t>ELEC</t>
        </is>
      </c>
      <c r="E4773" t="inlineStr">
        <is>
          <t>ELEC-08</t>
        </is>
      </c>
      <c r="F4773" s="17" t="n">
        <v>46288</v>
      </c>
      <c r="G4773" s="17" t="n">
        <v>46306</v>
      </c>
      <c r="H4773" s="18" t="n">
        <v>34</v>
      </c>
      <c r="I4773" s="19" t="n">
        <v>17.9</v>
      </c>
      <c r="J4773" s="19" t="n">
        <v>18</v>
      </c>
      <c r="K4773" s="20" t="n">
        <v>0</v>
      </c>
      <c r="L4773" s="20" t="n">
        <v>0</v>
      </c>
      <c r="M4773" s="18" t="n">
        <v>0</v>
      </c>
      <c r="N4773" s="18" t="n">
        <v>0</v>
      </c>
      <c r="O4773" s="18" t="n">
        <v>0</v>
      </c>
      <c r="P4773" s="17" t="n"/>
      <c r="Q4773" s="17" t="n"/>
      <c r="R4773" s="17" t="n"/>
      <c r="S4773" s="19">
        <f>H4773*I4773</f>
        <v/>
      </c>
      <c r="T4773" s="19">
        <f>H4773*J4773</f>
        <v/>
      </c>
      <c r="U4773">
        <f>IF(AND(K4773=0,G4773&lt;=Assumptions!$C$6),1,0)</f>
        <v/>
      </c>
      <c r="V4773">
        <f>IF(U4773=1,IF(M4773&gt;0,IF(P4773&lt;=G4773+Assumptions!$C$7,1,0),0),0)</f>
        <v/>
      </c>
      <c r="W4773">
        <f>IF(AND(U4773=1,M4773&gt;=H4773*(1-Assumptions!$C$8)),1,0)</f>
        <v/>
      </c>
      <c r="X4773">
        <f>IF(AND(U4773=1,N4773&gt;=H4773*(1-Assumptions!$C$8)),1,0)</f>
        <v/>
      </c>
      <c r="Y4773">
        <f>IF(ISNUMBER(Q4773),1,0)</f>
        <v/>
      </c>
      <c r="Z4773">
        <f>IF(AND(K4773=0,L4773=0,Y4773=0),1,0)</f>
        <v/>
      </c>
      <c r="AA4773">
        <f>IF(AND(Z4773=1,G4773&lt;Assumptions!$C$6),1,0)</f>
        <v/>
      </c>
      <c r="AB4773">
        <f>IF(U4773=0,"",IF(Y4773=1,MAX(0,Q4773-G4773),IF(L4773=1,MAX(0,R4773-G4773),MAX(0,Assumptions!$C$6-G4773))))</f>
        <v/>
      </c>
      <c r="AC4773">
        <f>IF(Y4773=1,Q4773-F4773,"")</f>
        <v/>
      </c>
      <c r="AD4773">
        <f>IF(Y4773=1,AC4773^2,"")</f>
        <v/>
      </c>
      <c r="AE4773" s="19">
        <f>IF(Z4773=1,(H4773-M4773)*I4773,0)</f>
        <v/>
      </c>
      <c r="AF4773">
        <f>IF(G4773&lt;EDATE(Assumptions!$C$6,-12)+1,"prior_12m","last_12m")</f>
        <v/>
      </c>
      <c r="AG4773" s="21">
        <f>DATE(YEAR(G4773),MONTH(G4773),1)</f>
        <v/>
      </c>
    </row>
    <row r="4774">
      <c r="A4774" t="inlineStr">
        <is>
          <t>SPO-02565-2</t>
        </is>
      </c>
      <c r="B4774" t="inlineStr">
        <is>
          <t>SPO-02565</t>
        </is>
      </c>
      <c r="C4774" t="inlineStr">
        <is>
          <t>SUP-01</t>
        </is>
      </c>
      <c r="D4774" t="inlineStr">
        <is>
          <t>ELEC</t>
        </is>
      </c>
      <c r="E4774" t="inlineStr">
        <is>
          <t>ELEC-07</t>
        </is>
      </c>
      <c r="F4774" s="17" t="n">
        <v>46288</v>
      </c>
      <c r="G4774" s="17" t="n">
        <v>46306</v>
      </c>
      <c r="H4774" s="18" t="n">
        <v>226</v>
      </c>
      <c r="I4774" s="19" t="n">
        <v>9.93</v>
      </c>
      <c r="J4774" s="19" t="n">
        <v>9.800000000000001</v>
      </c>
      <c r="K4774" s="20" t="n">
        <v>0</v>
      </c>
      <c r="L4774" s="20" t="n">
        <v>0</v>
      </c>
      <c r="M4774" s="18" t="n">
        <v>226</v>
      </c>
      <c r="N4774" s="18" t="n">
        <v>226</v>
      </c>
      <c r="O4774" s="18" t="n">
        <v>0</v>
      </c>
      <c r="P4774" s="17" t="n">
        <v>46291</v>
      </c>
      <c r="Q4774" s="17" t="n">
        <v>46291</v>
      </c>
      <c r="R4774" s="17" t="n">
        <v>46291</v>
      </c>
      <c r="S4774" s="19">
        <f>H4774*I4774</f>
        <v/>
      </c>
      <c r="T4774" s="19">
        <f>H4774*J4774</f>
        <v/>
      </c>
      <c r="U4774">
        <f>IF(AND(K4774=0,G4774&lt;=Assumptions!$C$6),1,0)</f>
        <v/>
      </c>
      <c r="V4774">
        <f>IF(U4774=1,IF(M4774&gt;0,IF(P4774&lt;=G4774+Assumptions!$C$7,1,0),0),0)</f>
        <v/>
      </c>
      <c r="W4774">
        <f>IF(AND(U4774=1,M4774&gt;=H4774*(1-Assumptions!$C$8)),1,0)</f>
        <v/>
      </c>
      <c r="X4774">
        <f>IF(AND(U4774=1,N4774&gt;=H4774*(1-Assumptions!$C$8)),1,0)</f>
        <v/>
      </c>
      <c r="Y4774">
        <f>IF(ISNUMBER(Q4774),1,0)</f>
        <v/>
      </c>
      <c r="Z4774">
        <f>IF(AND(K4774=0,L4774=0,Y4774=0),1,0)</f>
        <v/>
      </c>
      <c r="AA4774">
        <f>IF(AND(Z4774=1,G4774&lt;Assumptions!$C$6),1,0)</f>
        <v/>
      </c>
      <c r="AB4774">
        <f>IF(U4774=0,"",IF(Y4774=1,MAX(0,Q4774-G4774),IF(L4774=1,MAX(0,R4774-G4774),MAX(0,Assumptions!$C$6-G4774))))</f>
        <v/>
      </c>
      <c r="AC4774">
        <f>IF(Y4774=1,Q4774-F4774,"")</f>
        <v/>
      </c>
      <c r="AD4774">
        <f>IF(Y4774=1,AC4774^2,"")</f>
        <v/>
      </c>
      <c r="AE4774" s="19">
        <f>IF(Z4774=1,(H4774-M4774)*I4774,0)</f>
        <v/>
      </c>
      <c r="AF4774">
        <f>IF(G4774&lt;EDATE(Assumptions!$C$6,-12)+1,"prior_12m","last_12m")</f>
        <v/>
      </c>
      <c r="AG4774" s="21">
        <f>DATE(YEAR(G4774),MONTH(G4774),1)</f>
        <v/>
      </c>
    </row>
    <row r="4775">
      <c r="A4775" t="inlineStr">
        <is>
          <t>SPO-02566-1</t>
        </is>
      </c>
      <c r="B4775" t="inlineStr">
        <is>
          <t>SPO-02566</t>
        </is>
      </c>
      <c r="C4775" t="inlineStr">
        <is>
          <t>SUP-04</t>
        </is>
      </c>
      <c r="D4775" t="inlineStr">
        <is>
          <t>FLEET</t>
        </is>
      </c>
      <c r="E4775" t="inlineStr">
        <is>
          <t>FLEET-01</t>
        </is>
      </c>
      <c r="F4775" s="17" t="n">
        <v>46288</v>
      </c>
      <c r="G4775" s="17" t="n">
        <v>46301</v>
      </c>
      <c r="H4775" s="18" t="n">
        <v>25</v>
      </c>
      <c r="I4775" s="19" t="n">
        <v>65.13</v>
      </c>
      <c r="J4775" s="19" t="n">
        <v>64</v>
      </c>
      <c r="K4775" s="20" t="n">
        <v>0</v>
      </c>
      <c r="L4775" s="20" t="n">
        <v>0</v>
      </c>
      <c r="M4775" s="18" t="n">
        <v>0</v>
      </c>
      <c r="N4775" s="18" t="n">
        <v>0</v>
      </c>
      <c r="O4775" s="18" t="n">
        <v>0</v>
      </c>
      <c r="P4775" s="17" t="n"/>
      <c r="Q4775" s="17" t="n"/>
      <c r="R4775" s="17" t="n"/>
      <c r="S4775" s="19">
        <f>H4775*I4775</f>
        <v/>
      </c>
      <c r="T4775" s="19">
        <f>H4775*J4775</f>
        <v/>
      </c>
      <c r="U4775">
        <f>IF(AND(K4775=0,G4775&lt;=Assumptions!$C$6),1,0)</f>
        <v/>
      </c>
      <c r="V4775">
        <f>IF(U4775=1,IF(M4775&gt;0,IF(P4775&lt;=G4775+Assumptions!$C$7,1,0),0),0)</f>
        <v/>
      </c>
      <c r="W4775">
        <f>IF(AND(U4775=1,M4775&gt;=H4775*(1-Assumptions!$C$8)),1,0)</f>
        <v/>
      </c>
      <c r="X4775">
        <f>IF(AND(U4775=1,N4775&gt;=H4775*(1-Assumptions!$C$8)),1,0)</f>
        <v/>
      </c>
      <c r="Y4775">
        <f>IF(ISNUMBER(Q4775),1,0)</f>
        <v/>
      </c>
      <c r="Z4775">
        <f>IF(AND(K4775=0,L4775=0,Y4775=0),1,0)</f>
        <v/>
      </c>
      <c r="AA4775">
        <f>IF(AND(Z4775=1,G4775&lt;Assumptions!$C$6),1,0)</f>
        <v/>
      </c>
      <c r="AB4775">
        <f>IF(U4775=0,"",IF(Y4775=1,MAX(0,Q4775-G4775),IF(L4775=1,MAX(0,R4775-G4775),MAX(0,Assumptions!$C$6-G4775))))</f>
        <v/>
      </c>
      <c r="AC4775">
        <f>IF(Y4775=1,Q4775-F4775,"")</f>
        <v/>
      </c>
      <c r="AD4775">
        <f>IF(Y4775=1,AC4775^2,"")</f>
        <v/>
      </c>
      <c r="AE4775" s="19">
        <f>IF(Z4775=1,(H4775-M4775)*I4775,0)</f>
        <v/>
      </c>
      <c r="AF4775">
        <f>IF(G4775&lt;EDATE(Assumptions!$C$6,-12)+1,"prior_12m","last_12m")</f>
        <v/>
      </c>
      <c r="AG4775" s="21">
        <f>DATE(YEAR(G4775),MONTH(G4775),1)</f>
        <v/>
      </c>
    </row>
    <row r="4776">
      <c r="A4776" t="inlineStr">
        <is>
          <t>SPO-02566-2</t>
        </is>
      </c>
      <c r="B4776" t="inlineStr">
        <is>
          <t>SPO-02566</t>
        </is>
      </c>
      <c r="C4776" t="inlineStr">
        <is>
          <t>SUP-04</t>
        </is>
      </c>
      <c r="D4776" t="inlineStr">
        <is>
          <t>FLEET</t>
        </is>
      </c>
      <c r="E4776" t="inlineStr">
        <is>
          <t>FLEET-03</t>
        </is>
      </c>
      <c r="F4776" s="17" t="n">
        <v>46288</v>
      </c>
      <c r="G4776" s="17" t="n">
        <v>46301</v>
      </c>
      <c r="H4776" s="18" t="n">
        <v>54</v>
      </c>
      <c r="I4776" s="19" t="n">
        <v>20.87</v>
      </c>
      <c r="J4776" s="19" t="n">
        <v>21</v>
      </c>
      <c r="K4776" s="20" t="n">
        <v>0</v>
      </c>
      <c r="L4776" s="20" t="n">
        <v>0</v>
      </c>
      <c r="M4776" s="18" t="n">
        <v>30</v>
      </c>
      <c r="N4776" s="18" t="n">
        <v>30</v>
      </c>
      <c r="O4776" s="18" t="n">
        <v>0</v>
      </c>
      <c r="P4776" s="17" t="n">
        <v>46295</v>
      </c>
      <c r="Q4776" s="17" t="n"/>
      <c r="R4776" s="17" t="n">
        <v>46295</v>
      </c>
      <c r="S4776" s="19">
        <f>H4776*I4776</f>
        <v/>
      </c>
      <c r="T4776" s="19">
        <f>H4776*J4776</f>
        <v/>
      </c>
      <c r="U4776">
        <f>IF(AND(K4776=0,G4776&lt;=Assumptions!$C$6),1,0)</f>
        <v/>
      </c>
      <c r="V4776">
        <f>IF(U4776=1,IF(M4776&gt;0,IF(P4776&lt;=G4776+Assumptions!$C$7,1,0),0),0)</f>
        <v/>
      </c>
      <c r="W4776">
        <f>IF(AND(U4776=1,M4776&gt;=H4776*(1-Assumptions!$C$8)),1,0)</f>
        <v/>
      </c>
      <c r="X4776">
        <f>IF(AND(U4776=1,N4776&gt;=H4776*(1-Assumptions!$C$8)),1,0)</f>
        <v/>
      </c>
      <c r="Y4776">
        <f>IF(ISNUMBER(Q4776),1,0)</f>
        <v/>
      </c>
      <c r="Z4776">
        <f>IF(AND(K4776=0,L4776=0,Y4776=0),1,0)</f>
        <v/>
      </c>
      <c r="AA4776">
        <f>IF(AND(Z4776=1,G4776&lt;Assumptions!$C$6),1,0)</f>
        <v/>
      </c>
      <c r="AB4776">
        <f>IF(U4776=0,"",IF(Y4776=1,MAX(0,Q4776-G4776),IF(L4776=1,MAX(0,R4776-G4776),MAX(0,Assumptions!$C$6-G4776))))</f>
        <v/>
      </c>
      <c r="AC4776">
        <f>IF(Y4776=1,Q4776-F4776,"")</f>
        <v/>
      </c>
      <c r="AD4776">
        <f>IF(Y4776=1,AC4776^2,"")</f>
        <v/>
      </c>
      <c r="AE4776" s="19">
        <f>IF(Z4776=1,(H4776-M4776)*I4776,0)</f>
        <v/>
      </c>
      <c r="AF4776">
        <f>IF(G4776&lt;EDATE(Assumptions!$C$6,-12)+1,"prior_12m","last_12m")</f>
        <v/>
      </c>
      <c r="AG4776" s="21">
        <f>DATE(YEAR(G4776),MONTH(G4776),1)</f>
        <v/>
      </c>
    </row>
    <row r="4777">
      <c r="A4777" t="inlineStr">
        <is>
          <t>SPO-02566-3</t>
        </is>
      </c>
      <c r="B4777" t="inlineStr">
        <is>
          <t>SPO-02566</t>
        </is>
      </c>
      <c r="C4777" t="inlineStr">
        <is>
          <t>SUP-04</t>
        </is>
      </c>
      <c r="D4777" t="inlineStr">
        <is>
          <t>FLEET</t>
        </is>
      </c>
      <c r="E4777" t="inlineStr">
        <is>
          <t>FLEET-07</t>
        </is>
      </c>
      <c r="F4777" s="17" t="n">
        <v>46288</v>
      </c>
      <c r="G4777" s="17" t="n">
        <v>46301</v>
      </c>
      <c r="H4777" s="18" t="n">
        <v>22</v>
      </c>
      <c r="I4777" s="19" t="n">
        <v>113.22</v>
      </c>
      <c r="J4777" s="19" t="n">
        <v>118</v>
      </c>
      <c r="K4777" s="20" t="n">
        <v>0</v>
      </c>
      <c r="L4777" s="20" t="n">
        <v>0</v>
      </c>
      <c r="M4777" s="18" t="n">
        <v>0</v>
      </c>
      <c r="N4777" s="18" t="n">
        <v>0</v>
      </c>
      <c r="O4777" s="18" t="n">
        <v>0</v>
      </c>
      <c r="P4777" s="17" t="n"/>
      <c r="Q4777" s="17" t="n"/>
      <c r="R4777" s="17" t="n"/>
      <c r="S4777" s="19">
        <f>H4777*I4777</f>
        <v/>
      </c>
      <c r="T4777" s="19">
        <f>H4777*J4777</f>
        <v/>
      </c>
      <c r="U4777">
        <f>IF(AND(K4777=0,G4777&lt;=Assumptions!$C$6),1,0)</f>
        <v/>
      </c>
      <c r="V4777">
        <f>IF(U4777=1,IF(M4777&gt;0,IF(P4777&lt;=G4777+Assumptions!$C$7,1,0),0),0)</f>
        <v/>
      </c>
      <c r="W4777">
        <f>IF(AND(U4777=1,M4777&gt;=H4777*(1-Assumptions!$C$8)),1,0)</f>
        <v/>
      </c>
      <c r="X4777">
        <f>IF(AND(U4777=1,N4777&gt;=H4777*(1-Assumptions!$C$8)),1,0)</f>
        <v/>
      </c>
      <c r="Y4777">
        <f>IF(ISNUMBER(Q4777),1,0)</f>
        <v/>
      </c>
      <c r="Z4777">
        <f>IF(AND(K4777=0,L4777=0,Y4777=0),1,0)</f>
        <v/>
      </c>
      <c r="AA4777">
        <f>IF(AND(Z4777=1,G4777&lt;Assumptions!$C$6),1,0)</f>
        <v/>
      </c>
      <c r="AB4777">
        <f>IF(U4777=0,"",IF(Y4777=1,MAX(0,Q4777-G4777),IF(L4777=1,MAX(0,R4777-G4777),MAX(0,Assumptions!$C$6-G4777))))</f>
        <v/>
      </c>
      <c r="AC4777">
        <f>IF(Y4777=1,Q4777-F4777,"")</f>
        <v/>
      </c>
      <c r="AD4777">
        <f>IF(Y4777=1,AC4777^2,"")</f>
        <v/>
      </c>
      <c r="AE4777" s="19">
        <f>IF(Z4777=1,(H4777-M4777)*I4777,0)</f>
        <v/>
      </c>
      <c r="AF4777">
        <f>IF(G4777&lt;EDATE(Assumptions!$C$6,-12)+1,"prior_12m","last_12m")</f>
        <v/>
      </c>
      <c r="AG4777" s="21">
        <f>DATE(YEAR(G4777),MONTH(G4777),1)</f>
        <v/>
      </c>
    </row>
    <row r="4778">
      <c r="A4778" t="inlineStr">
        <is>
          <t>SPO-02567-1</t>
        </is>
      </c>
      <c r="B4778" t="inlineStr">
        <is>
          <t>SPO-02567</t>
        </is>
      </c>
      <c r="C4778" t="inlineStr">
        <is>
          <t>SUP-04</t>
        </is>
      </c>
      <c r="D4778" t="inlineStr">
        <is>
          <t>FLEET</t>
        </is>
      </c>
      <c r="E4778" t="inlineStr">
        <is>
          <t>FLEET-01</t>
        </is>
      </c>
      <c r="F4778" s="17" t="n">
        <v>46288</v>
      </c>
      <c r="G4778" s="17" t="n">
        <v>46301</v>
      </c>
      <c r="H4778" s="18" t="n">
        <v>27</v>
      </c>
      <c r="I4778" s="19" t="n">
        <v>65.23</v>
      </c>
      <c r="J4778" s="19" t="n">
        <v>64</v>
      </c>
      <c r="K4778" s="20" t="n">
        <v>0</v>
      </c>
      <c r="L4778" s="20" t="n">
        <v>0</v>
      </c>
      <c r="M4778" s="18" t="n">
        <v>27</v>
      </c>
      <c r="N4778" s="18" t="n">
        <v>27</v>
      </c>
      <c r="O4778" s="18" t="n">
        <v>0</v>
      </c>
      <c r="P4778" s="17" t="n">
        <v>46289</v>
      </c>
      <c r="Q4778" s="17" t="n">
        <v>46289</v>
      </c>
      <c r="R4778" s="17" t="n">
        <v>46289</v>
      </c>
      <c r="S4778" s="19">
        <f>H4778*I4778</f>
        <v/>
      </c>
      <c r="T4778" s="19">
        <f>H4778*J4778</f>
        <v/>
      </c>
      <c r="U4778">
        <f>IF(AND(K4778=0,G4778&lt;=Assumptions!$C$6),1,0)</f>
        <v/>
      </c>
      <c r="V4778">
        <f>IF(U4778=1,IF(M4778&gt;0,IF(P4778&lt;=G4778+Assumptions!$C$7,1,0),0),0)</f>
        <v/>
      </c>
      <c r="W4778">
        <f>IF(AND(U4778=1,M4778&gt;=H4778*(1-Assumptions!$C$8)),1,0)</f>
        <v/>
      </c>
      <c r="X4778">
        <f>IF(AND(U4778=1,N4778&gt;=H4778*(1-Assumptions!$C$8)),1,0)</f>
        <v/>
      </c>
      <c r="Y4778">
        <f>IF(ISNUMBER(Q4778),1,0)</f>
        <v/>
      </c>
      <c r="Z4778">
        <f>IF(AND(K4778=0,L4778=0,Y4778=0),1,0)</f>
        <v/>
      </c>
      <c r="AA4778">
        <f>IF(AND(Z4778=1,G4778&lt;Assumptions!$C$6),1,0)</f>
        <v/>
      </c>
      <c r="AB4778">
        <f>IF(U4778=0,"",IF(Y4778=1,MAX(0,Q4778-G4778),IF(L4778=1,MAX(0,R4778-G4778),MAX(0,Assumptions!$C$6-G4778))))</f>
        <v/>
      </c>
      <c r="AC4778">
        <f>IF(Y4778=1,Q4778-F4778,"")</f>
        <v/>
      </c>
      <c r="AD4778">
        <f>IF(Y4778=1,AC4778^2,"")</f>
        <v/>
      </c>
      <c r="AE4778" s="19">
        <f>IF(Z4778=1,(H4778-M4778)*I4778,0)</f>
        <v/>
      </c>
      <c r="AF4778">
        <f>IF(G4778&lt;EDATE(Assumptions!$C$6,-12)+1,"prior_12m","last_12m")</f>
        <v/>
      </c>
      <c r="AG4778" s="21">
        <f>DATE(YEAR(G4778),MONTH(G4778),1)</f>
        <v/>
      </c>
    </row>
    <row r="4779">
      <c r="A4779" t="inlineStr">
        <is>
          <t>SPO-02568-1</t>
        </is>
      </c>
      <c r="B4779" t="inlineStr">
        <is>
          <t>SPO-02568</t>
        </is>
      </c>
      <c r="C4779" t="inlineStr">
        <is>
          <t>SUP-14</t>
        </is>
      </c>
      <c r="D4779" t="inlineStr">
        <is>
          <t>FLEET</t>
        </is>
      </c>
      <c r="E4779" t="inlineStr">
        <is>
          <t>FLEET-01</t>
        </is>
      </c>
      <c r="F4779" s="17" t="n">
        <v>46290</v>
      </c>
      <c r="G4779" s="17" t="n">
        <v>46304</v>
      </c>
      <c r="H4779" s="18" t="n">
        <v>66</v>
      </c>
      <c r="I4779" s="19" t="n">
        <v>63.69</v>
      </c>
      <c r="J4779" s="19" t="n">
        <v>64</v>
      </c>
      <c r="K4779" s="20" t="n">
        <v>0</v>
      </c>
      <c r="L4779" s="20" t="n">
        <v>0</v>
      </c>
      <c r="M4779" s="18" t="n">
        <v>0</v>
      </c>
      <c r="N4779" s="18" t="n">
        <v>0</v>
      </c>
      <c r="O4779" s="18" t="n">
        <v>0</v>
      </c>
      <c r="P4779" s="17" t="n"/>
      <c r="Q4779" s="17" t="n"/>
      <c r="R4779" s="17" t="n"/>
      <c r="S4779" s="19">
        <f>H4779*I4779</f>
        <v/>
      </c>
      <c r="T4779" s="19">
        <f>H4779*J4779</f>
        <v/>
      </c>
      <c r="U4779">
        <f>IF(AND(K4779=0,G4779&lt;=Assumptions!$C$6),1,0)</f>
        <v/>
      </c>
      <c r="V4779">
        <f>IF(U4779=1,IF(M4779&gt;0,IF(P4779&lt;=G4779+Assumptions!$C$7,1,0),0),0)</f>
        <v/>
      </c>
      <c r="W4779">
        <f>IF(AND(U4779=1,M4779&gt;=H4779*(1-Assumptions!$C$8)),1,0)</f>
        <v/>
      </c>
      <c r="X4779">
        <f>IF(AND(U4779=1,N4779&gt;=H4779*(1-Assumptions!$C$8)),1,0)</f>
        <v/>
      </c>
      <c r="Y4779">
        <f>IF(ISNUMBER(Q4779),1,0)</f>
        <v/>
      </c>
      <c r="Z4779">
        <f>IF(AND(K4779=0,L4779=0,Y4779=0),1,0)</f>
        <v/>
      </c>
      <c r="AA4779">
        <f>IF(AND(Z4779=1,G4779&lt;Assumptions!$C$6),1,0)</f>
        <v/>
      </c>
      <c r="AB4779">
        <f>IF(U4779=0,"",IF(Y4779=1,MAX(0,Q4779-G4779),IF(L4779=1,MAX(0,R4779-G4779),MAX(0,Assumptions!$C$6-G4779))))</f>
        <v/>
      </c>
      <c r="AC4779">
        <f>IF(Y4779=1,Q4779-F4779,"")</f>
        <v/>
      </c>
      <c r="AD4779">
        <f>IF(Y4779=1,AC4779^2,"")</f>
        <v/>
      </c>
      <c r="AE4779" s="19">
        <f>IF(Z4779=1,(H4779-M4779)*I4779,0)</f>
        <v/>
      </c>
      <c r="AF4779">
        <f>IF(G4779&lt;EDATE(Assumptions!$C$6,-12)+1,"prior_12m","last_12m")</f>
        <v/>
      </c>
      <c r="AG4779" s="21">
        <f>DATE(YEAR(G4779),MONTH(G4779),1)</f>
        <v/>
      </c>
    </row>
    <row r="4780">
      <c r="A4780" t="inlineStr">
        <is>
          <t>SPO-02568-2</t>
        </is>
      </c>
      <c r="B4780" t="inlineStr">
        <is>
          <t>SPO-02568</t>
        </is>
      </c>
      <c r="C4780" t="inlineStr">
        <is>
          <t>SUP-14</t>
        </is>
      </c>
      <c r="D4780" t="inlineStr">
        <is>
          <t>FLEET</t>
        </is>
      </c>
      <c r="E4780" t="inlineStr">
        <is>
          <t>FLEET-08</t>
        </is>
      </c>
      <c r="F4780" s="17" t="n">
        <v>46290</v>
      </c>
      <c r="G4780" s="17" t="n">
        <v>46304</v>
      </c>
      <c r="H4780" s="18" t="n">
        <v>314</v>
      </c>
      <c r="I4780" s="19" t="n">
        <v>6.69</v>
      </c>
      <c r="J4780" s="19" t="n">
        <v>6.4</v>
      </c>
      <c r="K4780" s="20" t="n">
        <v>0</v>
      </c>
      <c r="L4780" s="20" t="n">
        <v>0</v>
      </c>
      <c r="M4780" s="18" t="n">
        <v>0</v>
      </c>
      <c r="N4780" s="18" t="n">
        <v>0</v>
      </c>
      <c r="O4780" s="18" t="n">
        <v>0</v>
      </c>
      <c r="P4780" s="17" t="n"/>
      <c r="Q4780" s="17" t="n"/>
      <c r="R4780" s="17" t="n"/>
      <c r="S4780" s="19">
        <f>H4780*I4780</f>
        <v/>
      </c>
      <c r="T4780" s="19">
        <f>H4780*J4780</f>
        <v/>
      </c>
      <c r="U4780">
        <f>IF(AND(K4780=0,G4780&lt;=Assumptions!$C$6),1,0)</f>
        <v/>
      </c>
      <c r="V4780">
        <f>IF(U4780=1,IF(M4780&gt;0,IF(P4780&lt;=G4780+Assumptions!$C$7,1,0),0),0)</f>
        <v/>
      </c>
      <c r="W4780">
        <f>IF(AND(U4780=1,M4780&gt;=H4780*(1-Assumptions!$C$8)),1,0)</f>
        <v/>
      </c>
      <c r="X4780">
        <f>IF(AND(U4780=1,N4780&gt;=H4780*(1-Assumptions!$C$8)),1,0)</f>
        <v/>
      </c>
      <c r="Y4780">
        <f>IF(ISNUMBER(Q4780),1,0)</f>
        <v/>
      </c>
      <c r="Z4780">
        <f>IF(AND(K4780=0,L4780=0,Y4780=0),1,0)</f>
        <v/>
      </c>
      <c r="AA4780">
        <f>IF(AND(Z4780=1,G4780&lt;Assumptions!$C$6),1,0)</f>
        <v/>
      </c>
      <c r="AB4780">
        <f>IF(U4780=0,"",IF(Y4780=1,MAX(0,Q4780-G4780),IF(L4780=1,MAX(0,R4780-G4780),MAX(0,Assumptions!$C$6-G4780))))</f>
        <v/>
      </c>
      <c r="AC4780">
        <f>IF(Y4780=1,Q4780-F4780,"")</f>
        <v/>
      </c>
      <c r="AD4780">
        <f>IF(Y4780=1,AC4780^2,"")</f>
        <v/>
      </c>
      <c r="AE4780" s="19">
        <f>IF(Z4780=1,(H4780-M4780)*I4780,0)</f>
        <v/>
      </c>
      <c r="AF4780">
        <f>IF(G4780&lt;EDATE(Assumptions!$C$6,-12)+1,"prior_12m","last_12m")</f>
        <v/>
      </c>
      <c r="AG4780" s="21">
        <f>DATE(YEAR(G4780),MONTH(G4780),1)</f>
        <v/>
      </c>
    </row>
    <row r="4781">
      <c r="A4781" t="inlineStr">
        <is>
          <t>SPO-02569-1</t>
        </is>
      </c>
      <c r="B4781" t="inlineStr">
        <is>
          <t>SPO-02569</t>
        </is>
      </c>
      <c r="C4781" t="inlineStr">
        <is>
          <t>SUP-08</t>
        </is>
      </c>
      <c r="D4781" t="inlineStr">
        <is>
          <t>PPE</t>
        </is>
      </c>
      <c r="E4781" t="inlineStr">
        <is>
          <t>PPE-04</t>
        </is>
      </c>
      <c r="F4781" s="17" t="n">
        <v>46290</v>
      </c>
      <c r="G4781" s="17" t="n">
        <v>46301</v>
      </c>
      <c r="H4781" s="18" t="n">
        <v>48</v>
      </c>
      <c r="I4781" s="19" t="n">
        <v>25.67</v>
      </c>
      <c r="J4781" s="19" t="n">
        <v>26</v>
      </c>
      <c r="K4781" s="20" t="n">
        <v>0</v>
      </c>
      <c r="L4781" s="20" t="n">
        <v>0</v>
      </c>
      <c r="M4781" s="18" t="n">
        <v>0</v>
      </c>
      <c r="N4781" s="18" t="n">
        <v>0</v>
      </c>
      <c r="O4781" s="18" t="n">
        <v>0</v>
      </c>
      <c r="P4781" s="17" t="n"/>
      <c r="Q4781" s="17" t="n"/>
      <c r="R4781" s="17" t="n"/>
      <c r="S4781" s="19">
        <f>H4781*I4781</f>
        <v/>
      </c>
      <c r="T4781" s="19">
        <f>H4781*J4781</f>
        <v/>
      </c>
      <c r="U4781">
        <f>IF(AND(K4781=0,G4781&lt;=Assumptions!$C$6),1,0)</f>
        <v/>
      </c>
      <c r="V4781">
        <f>IF(U4781=1,IF(M4781&gt;0,IF(P4781&lt;=G4781+Assumptions!$C$7,1,0),0),0)</f>
        <v/>
      </c>
      <c r="W4781">
        <f>IF(AND(U4781=1,M4781&gt;=H4781*(1-Assumptions!$C$8)),1,0)</f>
        <v/>
      </c>
      <c r="X4781">
        <f>IF(AND(U4781=1,N4781&gt;=H4781*(1-Assumptions!$C$8)),1,0)</f>
        <v/>
      </c>
      <c r="Y4781">
        <f>IF(ISNUMBER(Q4781),1,0)</f>
        <v/>
      </c>
      <c r="Z4781">
        <f>IF(AND(K4781=0,L4781=0,Y4781=0),1,0)</f>
        <v/>
      </c>
      <c r="AA4781">
        <f>IF(AND(Z4781=1,G4781&lt;Assumptions!$C$6),1,0)</f>
        <v/>
      </c>
      <c r="AB4781">
        <f>IF(U4781=0,"",IF(Y4781=1,MAX(0,Q4781-G4781),IF(L4781=1,MAX(0,R4781-G4781),MAX(0,Assumptions!$C$6-G4781))))</f>
        <v/>
      </c>
      <c r="AC4781">
        <f>IF(Y4781=1,Q4781-F4781,"")</f>
        <v/>
      </c>
      <c r="AD4781">
        <f>IF(Y4781=1,AC4781^2,"")</f>
        <v/>
      </c>
      <c r="AE4781" s="19">
        <f>IF(Z4781=1,(H4781-M4781)*I4781,0)</f>
        <v/>
      </c>
      <c r="AF4781">
        <f>IF(G4781&lt;EDATE(Assumptions!$C$6,-12)+1,"prior_12m","last_12m")</f>
        <v/>
      </c>
      <c r="AG4781" s="21">
        <f>DATE(YEAR(G4781),MONTH(G4781),1)</f>
        <v/>
      </c>
    </row>
    <row r="4782">
      <c r="A4782" t="inlineStr">
        <is>
          <t>SPO-02569-2</t>
        </is>
      </c>
      <c r="B4782" t="inlineStr">
        <is>
          <t>SPO-02569</t>
        </is>
      </c>
      <c r="C4782" t="inlineStr">
        <is>
          <t>SUP-08</t>
        </is>
      </c>
      <c r="D4782" t="inlineStr">
        <is>
          <t>PPE</t>
        </is>
      </c>
      <c r="E4782" t="inlineStr">
        <is>
          <t>PPE-03</t>
        </is>
      </c>
      <c r="F4782" s="17" t="n">
        <v>46290</v>
      </c>
      <c r="G4782" s="17" t="n">
        <v>46301</v>
      </c>
      <c r="H4782" s="18" t="n">
        <v>141</v>
      </c>
      <c r="I4782" s="19" t="n">
        <v>20.41</v>
      </c>
      <c r="J4782" s="19" t="n">
        <v>21</v>
      </c>
      <c r="K4782" s="20" t="n">
        <v>0</v>
      </c>
      <c r="L4782" s="20" t="n">
        <v>0</v>
      </c>
      <c r="M4782" s="18" t="n">
        <v>0</v>
      </c>
      <c r="N4782" s="18" t="n">
        <v>0</v>
      </c>
      <c r="O4782" s="18" t="n">
        <v>0</v>
      </c>
      <c r="P4782" s="17" t="n"/>
      <c r="Q4782" s="17" t="n"/>
      <c r="R4782" s="17" t="n"/>
      <c r="S4782" s="19">
        <f>H4782*I4782</f>
        <v/>
      </c>
      <c r="T4782" s="19">
        <f>H4782*J4782</f>
        <v/>
      </c>
      <c r="U4782">
        <f>IF(AND(K4782=0,G4782&lt;=Assumptions!$C$6),1,0)</f>
        <v/>
      </c>
      <c r="V4782">
        <f>IF(U4782=1,IF(M4782&gt;0,IF(P4782&lt;=G4782+Assumptions!$C$7,1,0),0),0)</f>
        <v/>
      </c>
      <c r="W4782">
        <f>IF(AND(U4782=1,M4782&gt;=H4782*(1-Assumptions!$C$8)),1,0)</f>
        <v/>
      </c>
      <c r="X4782">
        <f>IF(AND(U4782=1,N4782&gt;=H4782*(1-Assumptions!$C$8)),1,0)</f>
        <v/>
      </c>
      <c r="Y4782">
        <f>IF(ISNUMBER(Q4782),1,0)</f>
        <v/>
      </c>
      <c r="Z4782">
        <f>IF(AND(K4782=0,L4782=0,Y4782=0),1,0)</f>
        <v/>
      </c>
      <c r="AA4782">
        <f>IF(AND(Z4782=1,G4782&lt;Assumptions!$C$6),1,0)</f>
        <v/>
      </c>
      <c r="AB4782">
        <f>IF(U4782=0,"",IF(Y4782=1,MAX(0,Q4782-G4782),IF(L4782=1,MAX(0,R4782-G4782),MAX(0,Assumptions!$C$6-G4782))))</f>
        <v/>
      </c>
      <c r="AC4782">
        <f>IF(Y4782=1,Q4782-F4782,"")</f>
        <v/>
      </c>
      <c r="AD4782">
        <f>IF(Y4782=1,AC4782^2,"")</f>
        <v/>
      </c>
      <c r="AE4782" s="19">
        <f>IF(Z4782=1,(H4782-M4782)*I4782,0)</f>
        <v/>
      </c>
      <c r="AF4782">
        <f>IF(G4782&lt;EDATE(Assumptions!$C$6,-12)+1,"prior_12m","last_12m")</f>
        <v/>
      </c>
      <c r="AG4782" s="21">
        <f>DATE(YEAR(G4782),MONTH(G4782),1)</f>
        <v/>
      </c>
    </row>
    <row r="4783">
      <c r="A4783" t="inlineStr">
        <is>
          <t>SPO-02569-3</t>
        </is>
      </c>
      <c r="B4783" t="inlineStr">
        <is>
          <t>SPO-02569</t>
        </is>
      </c>
      <c r="C4783" t="inlineStr">
        <is>
          <t>SUP-08</t>
        </is>
      </c>
      <c r="D4783" t="inlineStr">
        <is>
          <t>PPE</t>
        </is>
      </c>
      <c r="E4783" t="inlineStr">
        <is>
          <t>PPE-07</t>
        </is>
      </c>
      <c r="F4783" s="17" t="n">
        <v>46290</v>
      </c>
      <c r="G4783" s="17" t="n">
        <v>46301</v>
      </c>
      <c r="H4783" s="18" t="n">
        <v>94</v>
      </c>
      <c r="I4783" s="19" t="n">
        <v>30.78</v>
      </c>
      <c r="J4783" s="19" t="n">
        <v>31</v>
      </c>
      <c r="K4783" s="20" t="n">
        <v>0</v>
      </c>
      <c r="L4783" s="20" t="n">
        <v>0</v>
      </c>
      <c r="M4783" s="18" t="n">
        <v>0</v>
      </c>
      <c r="N4783" s="18" t="n">
        <v>0</v>
      </c>
      <c r="O4783" s="18" t="n">
        <v>0</v>
      </c>
      <c r="P4783" s="17" t="n"/>
      <c r="Q4783" s="17" t="n"/>
      <c r="R4783" s="17" t="n"/>
      <c r="S4783" s="19">
        <f>H4783*I4783</f>
        <v/>
      </c>
      <c r="T4783" s="19">
        <f>H4783*J4783</f>
        <v/>
      </c>
      <c r="U4783">
        <f>IF(AND(K4783=0,G4783&lt;=Assumptions!$C$6),1,0)</f>
        <v/>
      </c>
      <c r="V4783">
        <f>IF(U4783=1,IF(M4783&gt;0,IF(P4783&lt;=G4783+Assumptions!$C$7,1,0),0),0)</f>
        <v/>
      </c>
      <c r="W4783">
        <f>IF(AND(U4783=1,M4783&gt;=H4783*(1-Assumptions!$C$8)),1,0)</f>
        <v/>
      </c>
      <c r="X4783">
        <f>IF(AND(U4783=1,N4783&gt;=H4783*(1-Assumptions!$C$8)),1,0)</f>
        <v/>
      </c>
      <c r="Y4783">
        <f>IF(ISNUMBER(Q4783),1,0)</f>
        <v/>
      </c>
      <c r="Z4783">
        <f>IF(AND(K4783=0,L4783=0,Y4783=0),1,0)</f>
        <v/>
      </c>
      <c r="AA4783">
        <f>IF(AND(Z4783=1,G4783&lt;Assumptions!$C$6),1,0)</f>
        <v/>
      </c>
      <c r="AB4783">
        <f>IF(U4783=0,"",IF(Y4783=1,MAX(0,Q4783-G4783),IF(L4783=1,MAX(0,R4783-G4783),MAX(0,Assumptions!$C$6-G4783))))</f>
        <v/>
      </c>
      <c r="AC4783">
        <f>IF(Y4783=1,Q4783-F4783,"")</f>
        <v/>
      </c>
      <c r="AD4783">
        <f>IF(Y4783=1,AC4783^2,"")</f>
        <v/>
      </c>
      <c r="AE4783" s="19">
        <f>IF(Z4783=1,(H4783-M4783)*I4783,0)</f>
        <v/>
      </c>
      <c r="AF4783">
        <f>IF(G4783&lt;EDATE(Assumptions!$C$6,-12)+1,"prior_12m","last_12m")</f>
        <v/>
      </c>
      <c r="AG4783" s="21">
        <f>DATE(YEAR(G4783),MONTH(G4783),1)</f>
        <v/>
      </c>
    </row>
    <row r="4784">
      <c r="A4784" t="inlineStr">
        <is>
          <t>SPO-02569-4</t>
        </is>
      </c>
      <c r="B4784" t="inlineStr">
        <is>
          <t>SPO-02569</t>
        </is>
      </c>
      <c r="C4784" t="inlineStr">
        <is>
          <t>SUP-08</t>
        </is>
      </c>
      <c r="D4784" t="inlineStr">
        <is>
          <t>PPE</t>
        </is>
      </c>
      <c r="E4784" t="inlineStr">
        <is>
          <t>PPE-01</t>
        </is>
      </c>
      <c r="F4784" s="17" t="n">
        <v>46290</v>
      </c>
      <c r="G4784" s="17" t="n">
        <v>46301</v>
      </c>
      <c r="H4784" s="18" t="n">
        <v>373</v>
      </c>
      <c r="I4784" s="19" t="n">
        <v>4.68</v>
      </c>
      <c r="J4784" s="19" t="n">
        <v>4.8</v>
      </c>
      <c r="K4784" s="20" t="n">
        <v>0</v>
      </c>
      <c r="L4784" s="20" t="n">
        <v>0</v>
      </c>
      <c r="M4784" s="18" t="n">
        <v>0</v>
      </c>
      <c r="N4784" s="18" t="n">
        <v>0</v>
      </c>
      <c r="O4784" s="18" t="n">
        <v>0</v>
      </c>
      <c r="P4784" s="17" t="n"/>
      <c r="Q4784" s="17" t="n"/>
      <c r="R4784" s="17" t="n"/>
      <c r="S4784" s="19">
        <f>H4784*I4784</f>
        <v/>
      </c>
      <c r="T4784" s="19">
        <f>H4784*J4784</f>
        <v/>
      </c>
      <c r="U4784">
        <f>IF(AND(K4784=0,G4784&lt;=Assumptions!$C$6),1,0)</f>
        <v/>
      </c>
      <c r="V4784">
        <f>IF(U4784=1,IF(M4784&gt;0,IF(P4784&lt;=G4784+Assumptions!$C$7,1,0),0),0)</f>
        <v/>
      </c>
      <c r="W4784">
        <f>IF(AND(U4784=1,M4784&gt;=H4784*(1-Assumptions!$C$8)),1,0)</f>
        <v/>
      </c>
      <c r="X4784">
        <f>IF(AND(U4784=1,N4784&gt;=H4784*(1-Assumptions!$C$8)),1,0)</f>
        <v/>
      </c>
      <c r="Y4784">
        <f>IF(ISNUMBER(Q4784),1,0)</f>
        <v/>
      </c>
      <c r="Z4784">
        <f>IF(AND(K4784=0,L4784=0,Y4784=0),1,0)</f>
        <v/>
      </c>
      <c r="AA4784">
        <f>IF(AND(Z4784=1,G4784&lt;Assumptions!$C$6),1,0)</f>
        <v/>
      </c>
      <c r="AB4784">
        <f>IF(U4784=0,"",IF(Y4784=1,MAX(0,Q4784-G4784),IF(L4784=1,MAX(0,R4784-G4784),MAX(0,Assumptions!$C$6-G4784))))</f>
        <v/>
      </c>
      <c r="AC4784">
        <f>IF(Y4784=1,Q4784-F4784,"")</f>
        <v/>
      </c>
      <c r="AD4784">
        <f>IF(Y4784=1,AC4784^2,"")</f>
        <v/>
      </c>
      <c r="AE4784" s="19">
        <f>IF(Z4784=1,(H4784-M4784)*I4784,0)</f>
        <v/>
      </c>
      <c r="AF4784">
        <f>IF(G4784&lt;EDATE(Assumptions!$C$6,-12)+1,"prior_12m","last_12m")</f>
        <v/>
      </c>
      <c r="AG4784" s="21">
        <f>DATE(YEAR(G4784),MONTH(G4784),1)</f>
        <v/>
      </c>
    </row>
    <row r="4785">
      <c r="A4785" t="inlineStr">
        <is>
          <t>SPO-02570-1</t>
        </is>
      </c>
      <c r="B4785" t="inlineStr">
        <is>
          <t>SPO-02570</t>
        </is>
      </c>
      <c r="C4785" t="inlineStr">
        <is>
          <t>SUP-01</t>
        </is>
      </c>
      <c r="D4785" t="inlineStr">
        <is>
          <t>ELEC</t>
        </is>
      </c>
      <c r="E4785" t="inlineStr">
        <is>
          <t>ELEC-02</t>
        </is>
      </c>
      <c r="F4785" s="17" t="n">
        <v>46290</v>
      </c>
      <c r="G4785" s="17" t="n">
        <v>46308</v>
      </c>
      <c r="H4785" s="18" t="n">
        <v>552</v>
      </c>
      <c r="I4785" s="19" t="n">
        <v>4.52</v>
      </c>
      <c r="J4785" s="19" t="n">
        <v>4.2</v>
      </c>
      <c r="K4785" s="20" t="n">
        <v>0</v>
      </c>
      <c r="L4785" s="20" t="n">
        <v>0</v>
      </c>
      <c r="M4785" s="18" t="n">
        <v>0</v>
      </c>
      <c r="N4785" s="18" t="n">
        <v>0</v>
      </c>
      <c r="O4785" s="18" t="n">
        <v>0</v>
      </c>
      <c r="P4785" s="17" t="n"/>
      <c r="Q4785" s="17" t="n"/>
      <c r="R4785" s="17" t="n"/>
      <c r="S4785" s="19">
        <f>H4785*I4785</f>
        <v/>
      </c>
      <c r="T4785" s="19">
        <f>H4785*J4785</f>
        <v/>
      </c>
      <c r="U4785">
        <f>IF(AND(K4785=0,G4785&lt;=Assumptions!$C$6),1,0)</f>
        <v/>
      </c>
      <c r="V4785">
        <f>IF(U4785=1,IF(M4785&gt;0,IF(P4785&lt;=G4785+Assumptions!$C$7,1,0),0),0)</f>
        <v/>
      </c>
      <c r="W4785">
        <f>IF(AND(U4785=1,M4785&gt;=H4785*(1-Assumptions!$C$8)),1,0)</f>
        <v/>
      </c>
      <c r="X4785">
        <f>IF(AND(U4785=1,N4785&gt;=H4785*(1-Assumptions!$C$8)),1,0)</f>
        <v/>
      </c>
      <c r="Y4785">
        <f>IF(ISNUMBER(Q4785),1,0)</f>
        <v/>
      </c>
      <c r="Z4785">
        <f>IF(AND(K4785=0,L4785=0,Y4785=0),1,0)</f>
        <v/>
      </c>
      <c r="AA4785">
        <f>IF(AND(Z4785=1,G4785&lt;Assumptions!$C$6),1,0)</f>
        <v/>
      </c>
      <c r="AB4785">
        <f>IF(U4785=0,"",IF(Y4785=1,MAX(0,Q4785-G4785),IF(L4785=1,MAX(0,R4785-G4785),MAX(0,Assumptions!$C$6-G4785))))</f>
        <v/>
      </c>
      <c r="AC4785">
        <f>IF(Y4785=1,Q4785-F4785,"")</f>
        <v/>
      </c>
      <c r="AD4785">
        <f>IF(Y4785=1,AC4785^2,"")</f>
        <v/>
      </c>
      <c r="AE4785" s="19">
        <f>IF(Z4785=1,(H4785-M4785)*I4785,0)</f>
        <v/>
      </c>
      <c r="AF4785">
        <f>IF(G4785&lt;EDATE(Assumptions!$C$6,-12)+1,"prior_12m","last_12m")</f>
        <v/>
      </c>
      <c r="AG4785" s="21">
        <f>DATE(YEAR(G4785),MONTH(G4785),1)</f>
        <v/>
      </c>
    </row>
    <row r="4786">
      <c r="A4786" t="inlineStr">
        <is>
          <t>SPO-02570-2</t>
        </is>
      </c>
      <c r="B4786" t="inlineStr">
        <is>
          <t>SPO-02570</t>
        </is>
      </c>
      <c r="C4786" t="inlineStr">
        <is>
          <t>SUP-01</t>
        </is>
      </c>
      <c r="D4786" t="inlineStr">
        <is>
          <t>ELEC</t>
        </is>
      </c>
      <c r="E4786" t="inlineStr">
        <is>
          <t>ELEC-06</t>
        </is>
      </c>
      <c r="F4786" s="17" t="n">
        <v>46290</v>
      </c>
      <c r="G4786" s="17" t="n">
        <v>46308</v>
      </c>
      <c r="H4786" s="18" t="n">
        <v>21</v>
      </c>
      <c r="I4786" s="19" t="n">
        <v>143.13</v>
      </c>
      <c r="J4786" s="19" t="n">
        <v>145</v>
      </c>
      <c r="K4786" s="20" t="n">
        <v>0</v>
      </c>
      <c r="L4786" s="20" t="n">
        <v>0</v>
      </c>
      <c r="M4786" s="18" t="n">
        <v>0</v>
      </c>
      <c r="N4786" s="18" t="n">
        <v>0</v>
      </c>
      <c r="O4786" s="18" t="n">
        <v>0</v>
      </c>
      <c r="P4786" s="17" t="n"/>
      <c r="Q4786" s="17" t="n"/>
      <c r="R4786" s="17" t="n"/>
      <c r="S4786" s="19">
        <f>H4786*I4786</f>
        <v/>
      </c>
      <c r="T4786" s="19">
        <f>H4786*J4786</f>
        <v/>
      </c>
      <c r="U4786">
        <f>IF(AND(K4786=0,G4786&lt;=Assumptions!$C$6),1,0)</f>
        <v/>
      </c>
      <c r="V4786">
        <f>IF(U4786=1,IF(M4786&gt;0,IF(P4786&lt;=G4786+Assumptions!$C$7,1,0),0),0)</f>
        <v/>
      </c>
      <c r="W4786">
        <f>IF(AND(U4786=1,M4786&gt;=H4786*(1-Assumptions!$C$8)),1,0)</f>
        <v/>
      </c>
      <c r="X4786">
        <f>IF(AND(U4786=1,N4786&gt;=H4786*(1-Assumptions!$C$8)),1,0)</f>
        <v/>
      </c>
      <c r="Y4786">
        <f>IF(ISNUMBER(Q4786),1,0)</f>
        <v/>
      </c>
      <c r="Z4786">
        <f>IF(AND(K4786=0,L4786=0,Y4786=0),1,0)</f>
        <v/>
      </c>
      <c r="AA4786">
        <f>IF(AND(Z4786=1,G4786&lt;Assumptions!$C$6),1,0)</f>
        <v/>
      </c>
      <c r="AB4786">
        <f>IF(U4786=0,"",IF(Y4786=1,MAX(0,Q4786-G4786),IF(L4786=1,MAX(0,R4786-G4786),MAX(0,Assumptions!$C$6-G4786))))</f>
        <v/>
      </c>
      <c r="AC4786">
        <f>IF(Y4786=1,Q4786-F4786,"")</f>
        <v/>
      </c>
      <c r="AD4786">
        <f>IF(Y4786=1,AC4786^2,"")</f>
        <v/>
      </c>
      <c r="AE4786" s="19">
        <f>IF(Z4786=1,(H4786-M4786)*I4786,0)</f>
        <v/>
      </c>
      <c r="AF4786">
        <f>IF(G4786&lt;EDATE(Assumptions!$C$6,-12)+1,"prior_12m","last_12m")</f>
        <v/>
      </c>
      <c r="AG4786" s="21">
        <f>DATE(YEAR(G4786),MONTH(G4786),1)</f>
        <v/>
      </c>
    </row>
    <row r="4787">
      <c r="A4787" t="inlineStr">
        <is>
          <t>SPO-02570-3</t>
        </is>
      </c>
      <c r="B4787" t="inlineStr">
        <is>
          <t>SPO-02570</t>
        </is>
      </c>
      <c r="C4787" t="inlineStr">
        <is>
          <t>SUP-01</t>
        </is>
      </c>
      <c r="D4787" t="inlineStr">
        <is>
          <t>ELEC</t>
        </is>
      </c>
      <c r="E4787" t="inlineStr">
        <is>
          <t>ELEC-03</t>
        </is>
      </c>
      <c r="F4787" s="17" t="n">
        <v>46290</v>
      </c>
      <c r="G4787" s="17" t="n">
        <v>46308</v>
      </c>
      <c r="H4787" s="18" t="n">
        <v>22</v>
      </c>
      <c r="I4787" s="19" t="n">
        <v>99.66</v>
      </c>
      <c r="J4787" s="19" t="n">
        <v>96</v>
      </c>
      <c r="K4787" s="20" t="n">
        <v>0</v>
      </c>
      <c r="L4787" s="20" t="n">
        <v>0</v>
      </c>
      <c r="M4787" s="18" t="n">
        <v>0</v>
      </c>
      <c r="N4787" s="18" t="n">
        <v>0</v>
      </c>
      <c r="O4787" s="18" t="n">
        <v>0</v>
      </c>
      <c r="P4787" s="17" t="n"/>
      <c r="Q4787" s="17" t="n"/>
      <c r="R4787" s="17" t="n"/>
      <c r="S4787" s="19">
        <f>H4787*I4787</f>
        <v/>
      </c>
      <c r="T4787" s="19">
        <f>H4787*J4787</f>
        <v/>
      </c>
      <c r="U4787">
        <f>IF(AND(K4787=0,G4787&lt;=Assumptions!$C$6),1,0)</f>
        <v/>
      </c>
      <c r="V4787">
        <f>IF(U4787=1,IF(M4787&gt;0,IF(P4787&lt;=G4787+Assumptions!$C$7,1,0),0),0)</f>
        <v/>
      </c>
      <c r="W4787">
        <f>IF(AND(U4787=1,M4787&gt;=H4787*(1-Assumptions!$C$8)),1,0)</f>
        <v/>
      </c>
      <c r="X4787">
        <f>IF(AND(U4787=1,N4787&gt;=H4787*(1-Assumptions!$C$8)),1,0)</f>
        <v/>
      </c>
      <c r="Y4787">
        <f>IF(ISNUMBER(Q4787),1,0)</f>
        <v/>
      </c>
      <c r="Z4787">
        <f>IF(AND(K4787=0,L4787=0,Y4787=0),1,0)</f>
        <v/>
      </c>
      <c r="AA4787">
        <f>IF(AND(Z4787=1,G4787&lt;Assumptions!$C$6),1,0)</f>
        <v/>
      </c>
      <c r="AB4787">
        <f>IF(U4787=0,"",IF(Y4787=1,MAX(0,Q4787-G4787),IF(L4787=1,MAX(0,R4787-G4787),MAX(0,Assumptions!$C$6-G4787))))</f>
        <v/>
      </c>
      <c r="AC4787">
        <f>IF(Y4787=1,Q4787-F4787,"")</f>
        <v/>
      </c>
      <c r="AD4787">
        <f>IF(Y4787=1,AC4787^2,"")</f>
        <v/>
      </c>
      <c r="AE4787" s="19">
        <f>IF(Z4787=1,(H4787-M4787)*I4787,0)</f>
        <v/>
      </c>
      <c r="AF4787">
        <f>IF(G4787&lt;EDATE(Assumptions!$C$6,-12)+1,"prior_12m","last_12m")</f>
        <v/>
      </c>
      <c r="AG4787" s="21">
        <f>DATE(YEAR(G4787),MONTH(G4787),1)</f>
        <v/>
      </c>
    </row>
    <row r="4788">
      <c r="A4788" t="inlineStr">
        <is>
          <t>SPO-02571-1</t>
        </is>
      </c>
      <c r="B4788" t="inlineStr">
        <is>
          <t>SPO-02571</t>
        </is>
      </c>
      <c r="C4788" t="inlineStr">
        <is>
          <t>SUP-06</t>
        </is>
      </c>
      <c r="D4788" t="inlineStr">
        <is>
          <t>MRO</t>
        </is>
      </c>
      <c r="E4788" t="inlineStr">
        <is>
          <t>MRO-01</t>
        </is>
      </c>
      <c r="F4788" s="17" t="n">
        <v>46290</v>
      </c>
      <c r="G4788" s="17" t="n">
        <v>46298</v>
      </c>
      <c r="H4788" s="18" t="n">
        <v>19</v>
      </c>
      <c r="I4788" s="19" t="n">
        <v>49.45</v>
      </c>
      <c r="J4788" s="19" t="n">
        <v>52</v>
      </c>
      <c r="K4788" s="20" t="n">
        <v>0</v>
      </c>
      <c r="L4788" s="20" t="n">
        <v>0</v>
      </c>
      <c r="M4788" s="18" t="n">
        <v>0</v>
      </c>
      <c r="N4788" s="18" t="n">
        <v>0</v>
      </c>
      <c r="O4788" s="18" t="n">
        <v>0</v>
      </c>
      <c r="P4788" s="17" t="n"/>
      <c r="Q4788" s="17" t="n"/>
      <c r="R4788" s="17" t="n"/>
      <c r="S4788" s="19">
        <f>H4788*I4788</f>
        <v/>
      </c>
      <c r="T4788" s="19">
        <f>H4788*J4788</f>
        <v/>
      </c>
      <c r="U4788">
        <f>IF(AND(K4788=0,G4788&lt;=Assumptions!$C$6),1,0)</f>
        <v/>
      </c>
      <c r="V4788">
        <f>IF(U4788=1,IF(M4788&gt;0,IF(P4788&lt;=G4788+Assumptions!$C$7,1,0),0),0)</f>
        <v/>
      </c>
      <c r="W4788">
        <f>IF(AND(U4788=1,M4788&gt;=H4788*(1-Assumptions!$C$8)),1,0)</f>
        <v/>
      </c>
      <c r="X4788">
        <f>IF(AND(U4788=1,N4788&gt;=H4788*(1-Assumptions!$C$8)),1,0)</f>
        <v/>
      </c>
      <c r="Y4788">
        <f>IF(ISNUMBER(Q4788),1,0)</f>
        <v/>
      </c>
      <c r="Z4788">
        <f>IF(AND(K4788=0,L4788=0,Y4788=0),1,0)</f>
        <v/>
      </c>
      <c r="AA4788">
        <f>IF(AND(Z4788=1,G4788&lt;Assumptions!$C$6),1,0)</f>
        <v/>
      </c>
      <c r="AB4788">
        <f>IF(U4788=0,"",IF(Y4788=1,MAX(0,Q4788-G4788),IF(L4788=1,MAX(0,R4788-G4788),MAX(0,Assumptions!$C$6-G4788))))</f>
        <v/>
      </c>
      <c r="AC4788">
        <f>IF(Y4788=1,Q4788-F4788,"")</f>
        <v/>
      </c>
      <c r="AD4788">
        <f>IF(Y4788=1,AC4788^2,"")</f>
        <v/>
      </c>
      <c r="AE4788" s="19">
        <f>IF(Z4788=1,(H4788-M4788)*I4788,0)</f>
        <v/>
      </c>
      <c r="AF4788">
        <f>IF(G4788&lt;EDATE(Assumptions!$C$6,-12)+1,"prior_12m","last_12m")</f>
        <v/>
      </c>
      <c r="AG4788" s="21">
        <f>DATE(YEAR(G4788),MONTH(G4788),1)</f>
        <v/>
      </c>
    </row>
    <row r="4789">
      <c r="A4789" t="inlineStr">
        <is>
          <t>SPO-02572-1</t>
        </is>
      </c>
      <c r="B4789" t="inlineStr">
        <is>
          <t>SPO-02572</t>
        </is>
      </c>
      <c r="C4789" t="inlineStr">
        <is>
          <t>SUP-05</t>
        </is>
      </c>
      <c r="D4789" t="inlineStr">
        <is>
          <t>FLEET</t>
        </is>
      </c>
      <c r="E4789" t="inlineStr">
        <is>
          <t>FLEET-08</t>
        </is>
      </c>
      <c r="F4789" s="17" t="n">
        <v>46290</v>
      </c>
      <c r="G4789" s="17" t="n">
        <v>46304</v>
      </c>
      <c r="H4789" s="18" t="n">
        <v>141</v>
      </c>
      <c r="I4789" s="19" t="n">
        <v>6.48</v>
      </c>
      <c r="J4789" s="19" t="n">
        <v>6.4</v>
      </c>
      <c r="K4789" s="20" t="n">
        <v>0</v>
      </c>
      <c r="L4789" s="20" t="n">
        <v>0</v>
      </c>
      <c r="M4789" s="18" t="n">
        <v>0</v>
      </c>
      <c r="N4789" s="18" t="n">
        <v>0</v>
      </c>
      <c r="O4789" s="18" t="n">
        <v>0</v>
      </c>
      <c r="P4789" s="17" t="n"/>
      <c r="Q4789" s="17" t="n"/>
      <c r="R4789" s="17" t="n"/>
      <c r="S4789" s="19">
        <f>H4789*I4789</f>
        <v/>
      </c>
      <c r="T4789" s="19">
        <f>H4789*J4789</f>
        <v/>
      </c>
      <c r="U4789">
        <f>IF(AND(K4789=0,G4789&lt;=Assumptions!$C$6),1,0)</f>
        <v/>
      </c>
      <c r="V4789">
        <f>IF(U4789=1,IF(M4789&gt;0,IF(P4789&lt;=G4789+Assumptions!$C$7,1,0),0),0)</f>
        <v/>
      </c>
      <c r="W4789">
        <f>IF(AND(U4789=1,M4789&gt;=H4789*(1-Assumptions!$C$8)),1,0)</f>
        <v/>
      </c>
      <c r="X4789">
        <f>IF(AND(U4789=1,N4789&gt;=H4789*(1-Assumptions!$C$8)),1,0)</f>
        <v/>
      </c>
      <c r="Y4789">
        <f>IF(ISNUMBER(Q4789),1,0)</f>
        <v/>
      </c>
      <c r="Z4789">
        <f>IF(AND(K4789=0,L4789=0,Y4789=0),1,0)</f>
        <v/>
      </c>
      <c r="AA4789">
        <f>IF(AND(Z4789=1,G4789&lt;Assumptions!$C$6),1,0)</f>
        <v/>
      </c>
      <c r="AB4789">
        <f>IF(U4789=0,"",IF(Y4789=1,MAX(0,Q4789-G4789),IF(L4789=1,MAX(0,R4789-G4789),MAX(0,Assumptions!$C$6-G4789))))</f>
        <v/>
      </c>
      <c r="AC4789">
        <f>IF(Y4789=1,Q4789-F4789,"")</f>
        <v/>
      </c>
      <c r="AD4789">
        <f>IF(Y4789=1,AC4789^2,"")</f>
        <v/>
      </c>
      <c r="AE4789" s="19">
        <f>IF(Z4789=1,(H4789-M4789)*I4789,0)</f>
        <v/>
      </c>
      <c r="AF4789">
        <f>IF(G4789&lt;EDATE(Assumptions!$C$6,-12)+1,"prior_12m","last_12m")</f>
        <v/>
      </c>
      <c r="AG4789" s="21">
        <f>DATE(YEAR(G4789),MONTH(G4789),1)</f>
        <v/>
      </c>
    </row>
    <row r="4790">
      <c r="A4790" t="inlineStr">
        <is>
          <t>SPO-02573-1</t>
        </is>
      </c>
      <c r="B4790" t="inlineStr">
        <is>
          <t>SPO-02573</t>
        </is>
      </c>
      <c r="C4790" t="inlineStr">
        <is>
          <t>SUP-01</t>
        </is>
      </c>
      <c r="D4790" t="inlineStr">
        <is>
          <t>ELEC</t>
        </is>
      </c>
      <c r="E4790" t="inlineStr">
        <is>
          <t>ELEC-01</t>
        </is>
      </c>
      <c r="F4790" s="17" t="n">
        <v>46290</v>
      </c>
      <c r="G4790" s="17" t="n">
        <v>46308</v>
      </c>
      <c r="H4790" s="18" t="n">
        <v>52</v>
      </c>
      <c r="I4790" s="19" t="n">
        <v>38.77</v>
      </c>
      <c r="J4790" s="19" t="n">
        <v>38</v>
      </c>
      <c r="K4790" s="20" t="n">
        <v>0</v>
      </c>
      <c r="L4790" s="20" t="n">
        <v>0</v>
      </c>
      <c r="M4790" s="18" t="n">
        <v>0</v>
      </c>
      <c r="N4790" s="18" t="n">
        <v>0</v>
      </c>
      <c r="O4790" s="18" t="n">
        <v>0</v>
      </c>
      <c r="P4790" s="17" t="n"/>
      <c r="Q4790" s="17" t="n"/>
      <c r="R4790" s="17" t="n"/>
      <c r="S4790" s="19">
        <f>H4790*I4790</f>
        <v/>
      </c>
      <c r="T4790" s="19">
        <f>H4790*J4790</f>
        <v/>
      </c>
      <c r="U4790">
        <f>IF(AND(K4790=0,G4790&lt;=Assumptions!$C$6),1,0)</f>
        <v/>
      </c>
      <c r="V4790">
        <f>IF(U4790=1,IF(M4790&gt;0,IF(P4790&lt;=G4790+Assumptions!$C$7,1,0),0),0)</f>
        <v/>
      </c>
      <c r="W4790">
        <f>IF(AND(U4790=1,M4790&gt;=H4790*(1-Assumptions!$C$8)),1,0)</f>
        <v/>
      </c>
      <c r="X4790">
        <f>IF(AND(U4790=1,N4790&gt;=H4790*(1-Assumptions!$C$8)),1,0)</f>
        <v/>
      </c>
      <c r="Y4790">
        <f>IF(ISNUMBER(Q4790),1,0)</f>
        <v/>
      </c>
      <c r="Z4790">
        <f>IF(AND(K4790=0,L4790=0,Y4790=0),1,0)</f>
        <v/>
      </c>
      <c r="AA4790">
        <f>IF(AND(Z4790=1,G4790&lt;Assumptions!$C$6),1,0)</f>
        <v/>
      </c>
      <c r="AB4790">
        <f>IF(U4790=0,"",IF(Y4790=1,MAX(0,Q4790-G4790),IF(L4790=1,MAX(0,R4790-G4790),MAX(0,Assumptions!$C$6-G4790))))</f>
        <v/>
      </c>
      <c r="AC4790">
        <f>IF(Y4790=1,Q4790-F4790,"")</f>
        <v/>
      </c>
      <c r="AD4790">
        <f>IF(Y4790=1,AC4790^2,"")</f>
        <v/>
      </c>
      <c r="AE4790" s="19">
        <f>IF(Z4790=1,(H4790-M4790)*I4790,0)</f>
        <v/>
      </c>
      <c r="AF4790">
        <f>IF(G4790&lt;EDATE(Assumptions!$C$6,-12)+1,"prior_12m","last_12m")</f>
        <v/>
      </c>
      <c r="AG4790" s="21">
        <f>DATE(YEAR(G4790),MONTH(G4790),1)</f>
        <v/>
      </c>
    </row>
    <row r="4791">
      <c r="A4791" t="inlineStr">
        <is>
          <t>SPO-02573-2</t>
        </is>
      </c>
      <c r="B4791" t="inlineStr">
        <is>
          <t>SPO-02573</t>
        </is>
      </c>
      <c r="C4791" t="inlineStr">
        <is>
          <t>SUP-01</t>
        </is>
      </c>
      <c r="D4791" t="inlineStr">
        <is>
          <t>ELEC</t>
        </is>
      </c>
      <c r="E4791" t="inlineStr">
        <is>
          <t>ELEC-07</t>
        </is>
      </c>
      <c r="F4791" s="17" t="n">
        <v>46290</v>
      </c>
      <c r="G4791" s="17" t="n">
        <v>46308</v>
      </c>
      <c r="H4791" s="18" t="n">
        <v>545</v>
      </c>
      <c r="I4791" s="19" t="n">
        <v>9.460000000000001</v>
      </c>
      <c r="J4791" s="19" t="n">
        <v>9.800000000000001</v>
      </c>
      <c r="K4791" s="20" t="n">
        <v>1</v>
      </c>
      <c r="L4791" s="20" t="n">
        <v>0</v>
      </c>
      <c r="M4791" s="18" t="n">
        <v>0</v>
      </c>
      <c r="N4791" s="18" t="n">
        <v>0</v>
      </c>
      <c r="O4791" s="18" t="n">
        <v>0</v>
      </c>
      <c r="P4791" s="17" t="n"/>
      <c r="Q4791" s="17" t="n"/>
      <c r="R4791" s="17" t="n"/>
      <c r="S4791" s="19">
        <f>H4791*I4791</f>
        <v/>
      </c>
      <c r="T4791" s="19">
        <f>H4791*J4791</f>
        <v/>
      </c>
      <c r="U4791">
        <f>IF(AND(K4791=0,G4791&lt;=Assumptions!$C$6),1,0)</f>
        <v/>
      </c>
      <c r="V4791">
        <f>IF(U4791=1,IF(M4791&gt;0,IF(P4791&lt;=G4791+Assumptions!$C$7,1,0),0),0)</f>
        <v/>
      </c>
      <c r="W4791">
        <f>IF(AND(U4791=1,M4791&gt;=H4791*(1-Assumptions!$C$8)),1,0)</f>
        <v/>
      </c>
      <c r="X4791">
        <f>IF(AND(U4791=1,N4791&gt;=H4791*(1-Assumptions!$C$8)),1,0)</f>
        <v/>
      </c>
      <c r="Y4791">
        <f>IF(ISNUMBER(Q4791),1,0)</f>
        <v/>
      </c>
      <c r="Z4791">
        <f>IF(AND(K4791=0,L4791=0,Y4791=0),1,0)</f>
        <v/>
      </c>
      <c r="AA4791">
        <f>IF(AND(Z4791=1,G4791&lt;Assumptions!$C$6),1,0)</f>
        <v/>
      </c>
      <c r="AB4791">
        <f>IF(U4791=0,"",IF(Y4791=1,MAX(0,Q4791-G4791),IF(L4791=1,MAX(0,R4791-G4791),MAX(0,Assumptions!$C$6-G4791))))</f>
        <v/>
      </c>
      <c r="AC4791">
        <f>IF(Y4791=1,Q4791-F4791,"")</f>
        <v/>
      </c>
      <c r="AD4791">
        <f>IF(Y4791=1,AC4791^2,"")</f>
        <v/>
      </c>
      <c r="AE4791" s="19">
        <f>IF(Z4791=1,(H4791-M4791)*I4791,0)</f>
        <v/>
      </c>
      <c r="AF4791">
        <f>IF(G4791&lt;EDATE(Assumptions!$C$6,-12)+1,"prior_12m","last_12m")</f>
        <v/>
      </c>
      <c r="AG4791" s="21">
        <f>DATE(YEAR(G4791),MONTH(G4791),1)</f>
        <v/>
      </c>
    </row>
    <row r="4792">
      <c r="A4792" t="inlineStr">
        <is>
          <t>SPO-02574-1</t>
        </is>
      </c>
      <c r="B4792" t="inlineStr">
        <is>
          <t>SPO-02574</t>
        </is>
      </c>
      <c r="C4792" t="inlineStr">
        <is>
          <t>SUP-01</t>
        </is>
      </c>
      <c r="D4792" t="inlineStr">
        <is>
          <t>ELEC</t>
        </is>
      </c>
      <c r="E4792" t="inlineStr">
        <is>
          <t>ELEC-01</t>
        </is>
      </c>
      <c r="F4792" s="17" t="n">
        <v>46290</v>
      </c>
      <c r="G4792" s="17" t="n">
        <v>46308</v>
      </c>
      <c r="H4792" s="18" t="n">
        <v>78</v>
      </c>
      <c r="I4792" s="19" t="n">
        <v>36.83</v>
      </c>
      <c r="J4792" s="19" t="n">
        <v>38</v>
      </c>
      <c r="K4792" s="20" t="n">
        <v>0</v>
      </c>
      <c r="L4792" s="20" t="n">
        <v>0</v>
      </c>
      <c r="M4792" s="18" t="n">
        <v>0</v>
      </c>
      <c r="N4792" s="18" t="n">
        <v>0</v>
      </c>
      <c r="O4792" s="18" t="n">
        <v>0</v>
      </c>
      <c r="P4792" s="17" t="n"/>
      <c r="Q4792" s="17" t="n"/>
      <c r="R4792" s="17" t="n"/>
      <c r="S4792" s="19">
        <f>H4792*I4792</f>
        <v/>
      </c>
      <c r="T4792" s="19">
        <f>H4792*J4792</f>
        <v/>
      </c>
      <c r="U4792">
        <f>IF(AND(K4792=0,G4792&lt;=Assumptions!$C$6),1,0)</f>
        <v/>
      </c>
      <c r="V4792">
        <f>IF(U4792=1,IF(M4792&gt;0,IF(P4792&lt;=G4792+Assumptions!$C$7,1,0),0),0)</f>
        <v/>
      </c>
      <c r="W4792">
        <f>IF(AND(U4792=1,M4792&gt;=H4792*(1-Assumptions!$C$8)),1,0)</f>
        <v/>
      </c>
      <c r="X4792">
        <f>IF(AND(U4792=1,N4792&gt;=H4792*(1-Assumptions!$C$8)),1,0)</f>
        <v/>
      </c>
      <c r="Y4792">
        <f>IF(ISNUMBER(Q4792),1,0)</f>
        <v/>
      </c>
      <c r="Z4792">
        <f>IF(AND(K4792=0,L4792=0,Y4792=0),1,0)</f>
        <v/>
      </c>
      <c r="AA4792">
        <f>IF(AND(Z4792=1,G4792&lt;Assumptions!$C$6),1,0)</f>
        <v/>
      </c>
      <c r="AB4792">
        <f>IF(U4792=0,"",IF(Y4792=1,MAX(0,Q4792-G4792),IF(L4792=1,MAX(0,R4792-G4792),MAX(0,Assumptions!$C$6-G4792))))</f>
        <v/>
      </c>
      <c r="AC4792">
        <f>IF(Y4792=1,Q4792-F4792,"")</f>
        <v/>
      </c>
      <c r="AD4792">
        <f>IF(Y4792=1,AC4792^2,"")</f>
        <v/>
      </c>
      <c r="AE4792" s="19">
        <f>IF(Z4792=1,(H4792-M4792)*I4792,0)</f>
        <v/>
      </c>
      <c r="AF4792">
        <f>IF(G4792&lt;EDATE(Assumptions!$C$6,-12)+1,"prior_12m","last_12m")</f>
        <v/>
      </c>
      <c r="AG4792" s="21">
        <f>DATE(YEAR(G4792),MONTH(G4792),1)</f>
        <v/>
      </c>
    </row>
    <row r="4793">
      <c r="A4793" t="inlineStr">
        <is>
          <t>SPO-02575-1</t>
        </is>
      </c>
      <c r="B4793" t="inlineStr">
        <is>
          <t>SPO-02575</t>
        </is>
      </c>
      <c r="C4793" t="inlineStr">
        <is>
          <t>SUP-14</t>
        </is>
      </c>
      <c r="D4793" t="inlineStr">
        <is>
          <t>FLEET</t>
        </is>
      </c>
      <c r="E4793" t="inlineStr">
        <is>
          <t>FLEET-08</t>
        </is>
      </c>
      <c r="F4793" s="17" t="n">
        <v>46290</v>
      </c>
      <c r="G4793" s="17" t="n">
        <v>46304</v>
      </c>
      <c r="H4793" s="18" t="n">
        <v>337</v>
      </c>
      <c r="I4793" s="19" t="n">
        <v>6.44</v>
      </c>
      <c r="J4793" s="19" t="n">
        <v>6.4</v>
      </c>
      <c r="K4793" s="20" t="n">
        <v>0</v>
      </c>
      <c r="L4793" s="20" t="n">
        <v>0</v>
      </c>
      <c r="M4793" s="18" t="n">
        <v>0</v>
      </c>
      <c r="N4793" s="18" t="n">
        <v>0</v>
      </c>
      <c r="O4793" s="18" t="n">
        <v>0</v>
      </c>
      <c r="P4793" s="17" t="n"/>
      <c r="Q4793" s="17" t="n"/>
      <c r="R4793" s="17" t="n"/>
      <c r="S4793" s="19">
        <f>H4793*I4793</f>
        <v/>
      </c>
      <c r="T4793" s="19">
        <f>H4793*J4793</f>
        <v/>
      </c>
      <c r="U4793">
        <f>IF(AND(K4793=0,G4793&lt;=Assumptions!$C$6),1,0)</f>
        <v/>
      </c>
      <c r="V4793">
        <f>IF(U4793=1,IF(M4793&gt;0,IF(P4793&lt;=G4793+Assumptions!$C$7,1,0),0),0)</f>
        <v/>
      </c>
      <c r="W4793">
        <f>IF(AND(U4793=1,M4793&gt;=H4793*(1-Assumptions!$C$8)),1,0)</f>
        <v/>
      </c>
      <c r="X4793">
        <f>IF(AND(U4793=1,N4793&gt;=H4793*(1-Assumptions!$C$8)),1,0)</f>
        <v/>
      </c>
      <c r="Y4793">
        <f>IF(ISNUMBER(Q4793),1,0)</f>
        <v/>
      </c>
      <c r="Z4793">
        <f>IF(AND(K4793=0,L4793=0,Y4793=0),1,0)</f>
        <v/>
      </c>
      <c r="AA4793">
        <f>IF(AND(Z4793=1,G4793&lt;Assumptions!$C$6),1,0)</f>
        <v/>
      </c>
      <c r="AB4793">
        <f>IF(U4793=0,"",IF(Y4793=1,MAX(0,Q4793-G4793),IF(L4793=1,MAX(0,R4793-G4793),MAX(0,Assumptions!$C$6-G4793))))</f>
        <v/>
      </c>
      <c r="AC4793">
        <f>IF(Y4793=1,Q4793-F4793,"")</f>
        <v/>
      </c>
      <c r="AD4793">
        <f>IF(Y4793=1,AC4793^2,"")</f>
        <v/>
      </c>
      <c r="AE4793" s="19">
        <f>IF(Z4793=1,(H4793-M4793)*I4793,0)</f>
        <v/>
      </c>
      <c r="AF4793">
        <f>IF(G4793&lt;EDATE(Assumptions!$C$6,-12)+1,"prior_12m","last_12m")</f>
        <v/>
      </c>
      <c r="AG4793" s="21">
        <f>DATE(YEAR(G4793),MONTH(G4793),1)</f>
        <v/>
      </c>
    </row>
    <row r="4794">
      <c r="A4794" t="inlineStr">
        <is>
          <t>SPO-02575-2</t>
        </is>
      </c>
      <c r="B4794" t="inlineStr">
        <is>
          <t>SPO-02575</t>
        </is>
      </c>
      <c r="C4794" t="inlineStr">
        <is>
          <t>SUP-14</t>
        </is>
      </c>
      <c r="D4794" t="inlineStr">
        <is>
          <t>FLEET</t>
        </is>
      </c>
      <c r="E4794" t="inlineStr">
        <is>
          <t>FLEET-03</t>
        </is>
      </c>
      <c r="F4794" s="17" t="n">
        <v>46290</v>
      </c>
      <c r="G4794" s="17" t="n">
        <v>46304</v>
      </c>
      <c r="H4794" s="18" t="n">
        <v>90</v>
      </c>
      <c r="I4794" s="19" t="n">
        <v>21.04</v>
      </c>
      <c r="J4794" s="19" t="n">
        <v>21</v>
      </c>
      <c r="K4794" s="20" t="n">
        <v>0</v>
      </c>
      <c r="L4794" s="20" t="n">
        <v>0</v>
      </c>
      <c r="M4794" s="18" t="n">
        <v>0</v>
      </c>
      <c r="N4794" s="18" t="n">
        <v>0</v>
      </c>
      <c r="O4794" s="18" t="n">
        <v>0</v>
      </c>
      <c r="P4794" s="17" t="n"/>
      <c r="Q4794" s="17" t="n"/>
      <c r="R4794" s="17" t="n"/>
      <c r="S4794" s="19">
        <f>H4794*I4794</f>
        <v/>
      </c>
      <c r="T4794" s="19">
        <f>H4794*J4794</f>
        <v/>
      </c>
      <c r="U4794">
        <f>IF(AND(K4794=0,G4794&lt;=Assumptions!$C$6),1,0)</f>
        <v/>
      </c>
      <c r="V4794">
        <f>IF(U4794=1,IF(M4794&gt;0,IF(P4794&lt;=G4794+Assumptions!$C$7,1,0),0),0)</f>
        <v/>
      </c>
      <c r="W4794">
        <f>IF(AND(U4794=1,M4794&gt;=H4794*(1-Assumptions!$C$8)),1,0)</f>
        <v/>
      </c>
      <c r="X4794">
        <f>IF(AND(U4794=1,N4794&gt;=H4794*(1-Assumptions!$C$8)),1,0)</f>
        <v/>
      </c>
      <c r="Y4794">
        <f>IF(ISNUMBER(Q4794),1,0)</f>
        <v/>
      </c>
      <c r="Z4794">
        <f>IF(AND(K4794=0,L4794=0,Y4794=0),1,0)</f>
        <v/>
      </c>
      <c r="AA4794">
        <f>IF(AND(Z4794=1,G4794&lt;Assumptions!$C$6),1,0)</f>
        <v/>
      </c>
      <c r="AB4794">
        <f>IF(U4794=0,"",IF(Y4794=1,MAX(0,Q4794-G4794),IF(L4794=1,MAX(0,R4794-G4794),MAX(0,Assumptions!$C$6-G4794))))</f>
        <v/>
      </c>
      <c r="AC4794">
        <f>IF(Y4794=1,Q4794-F4794,"")</f>
        <v/>
      </c>
      <c r="AD4794">
        <f>IF(Y4794=1,AC4794^2,"")</f>
        <v/>
      </c>
      <c r="AE4794" s="19">
        <f>IF(Z4794=1,(H4794-M4794)*I4794,0)</f>
        <v/>
      </c>
      <c r="AF4794">
        <f>IF(G4794&lt;EDATE(Assumptions!$C$6,-12)+1,"prior_12m","last_12m")</f>
        <v/>
      </c>
      <c r="AG4794" s="21">
        <f>DATE(YEAR(G4794),MONTH(G4794),1)</f>
        <v/>
      </c>
    </row>
    <row r="4795">
      <c r="A4795" t="inlineStr">
        <is>
          <t>SPO-02576-1</t>
        </is>
      </c>
      <c r="B4795" t="inlineStr">
        <is>
          <t>SPO-02576</t>
        </is>
      </c>
      <c r="C4795" t="inlineStr">
        <is>
          <t>SUP-02</t>
        </is>
      </c>
      <c r="D4795" t="inlineStr">
        <is>
          <t>ELEC</t>
        </is>
      </c>
      <c r="E4795" t="inlineStr">
        <is>
          <t>ELEC-03</t>
        </is>
      </c>
      <c r="F4795" s="17" t="n">
        <v>46291</v>
      </c>
      <c r="G4795" s="17" t="n">
        <v>46307</v>
      </c>
      <c r="H4795" s="18" t="n">
        <v>19</v>
      </c>
      <c r="I4795" s="19" t="n">
        <v>97.56999999999999</v>
      </c>
      <c r="J4795" s="19" t="n">
        <v>96</v>
      </c>
      <c r="K4795" s="20" t="n">
        <v>0</v>
      </c>
      <c r="L4795" s="20" t="n">
        <v>0</v>
      </c>
      <c r="M4795" s="18" t="n">
        <v>0</v>
      </c>
      <c r="N4795" s="18" t="n">
        <v>0</v>
      </c>
      <c r="O4795" s="18" t="n">
        <v>0</v>
      </c>
      <c r="P4795" s="17" t="n"/>
      <c r="Q4795" s="17" t="n"/>
      <c r="R4795" s="17" t="n"/>
      <c r="S4795" s="19">
        <f>H4795*I4795</f>
        <v/>
      </c>
      <c r="T4795" s="19">
        <f>H4795*J4795</f>
        <v/>
      </c>
      <c r="U4795">
        <f>IF(AND(K4795=0,G4795&lt;=Assumptions!$C$6),1,0)</f>
        <v/>
      </c>
      <c r="V4795">
        <f>IF(U4795=1,IF(M4795&gt;0,IF(P4795&lt;=G4795+Assumptions!$C$7,1,0),0),0)</f>
        <v/>
      </c>
      <c r="W4795">
        <f>IF(AND(U4795=1,M4795&gt;=H4795*(1-Assumptions!$C$8)),1,0)</f>
        <v/>
      </c>
      <c r="X4795">
        <f>IF(AND(U4795=1,N4795&gt;=H4795*(1-Assumptions!$C$8)),1,0)</f>
        <v/>
      </c>
      <c r="Y4795">
        <f>IF(ISNUMBER(Q4795),1,0)</f>
        <v/>
      </c>
      <c r="Z4795">
        <f>IF(AND(K4795=0,L4795=0,Y4795=0),1,0)</f>
        <v/>
      </c>
      <c r="AA4795">
        <f>IF(AND(Z4795=1,G4795&lt;Assumptions!$C$6),1,0)</f>
        <v/>
      </c>
      <c r="AB4795">
        <f>IF(U4795=0,"",IF(Y4795=1,MAX(0,Q4795-G4795),IF(L4795=1,MAX(0,R4795-G4795),MAX(0,Assumptions!$C$6-G4795))))</f>
        <v/>
      </c>
      <c r="AC4795">
        <f>IF(Y4795=1,Q4795-F4795,"")</f>
        <v/>
      </c>
      <c r="AD4795">
        <f>IF(Y4795=1,AC4795^2,"")</f>
        <v/>
      </c>
      <c r="AE4795" s="19">
        <f>IF(Z4795=1,(H4795-M4795)*I4795,0)</f>
        <v/>
      </c>
      <c r="AF4795">
        <f>IF(G4795&lt;EDATE(Assumptions!$C$6,-12)+1,"prior_12m","last_12m")</f>
        <v/>
      </c>
      <c r="AG4795" s="21">
        <f>DATE(YEAR(G4795),MONTH(G4795),1)</f>
        <v/>
      </c>
    </row>
    <row r="4796">
      <c r="A4796" t="inlineStr">
        <is>
          <t>SPO-02577-1</t>
        </is>
      </c>
      <c r="B4796" t="inlineStr">
        <is>
          <t>SPO-02577</t>
        </is>
      </c>
      <c r="C4796" t="inlineStr">
        <is>
          <t>SUP-14</t>
        </is>
      </c>
      <c r="D4796" t="inlineStr">
        <is>
          <t>FLEET</t>
        </is>
      </c>
      <c r="E4796" t="inlineStr">
        <is>
          <t>FLEET-08</t>
        </is>
      </c>
      <c r="F4796" s="17" t="n">
        <v>46291</v>
      </c>
      <c r="G4796" s="17" t="n">
        <v>46305</v>
      </c>
      <c r="H4796" s="18" t="n">
        <v>199</v>
      </c>
      <c r="I4796" s="19" t="n">
        <v>6.28</v>
      </c>
      <c r="J4796" s="19" t="n">
        <v>6.4</v>
      </c>
      <c r="K4796" s="20" t="n">
        <v>1</v>
      </c>
      <c r="L4796" s="20" t="n">
        <v>0</v>
      </c>
      <c r="M4796" s="18" t="n">
        <v>0</v>
      </c>
      <c r="N4796" s="18" t="n">
        <v>0</v>
      </c>
      <c r="O4796" s="18" t="n">
        <v>0</v>
      </c>
      <c r="P4796" s="17" t="n"/>
      <c r="Q4796" s="17" t="n"/>
      <c r="R4796" s="17" t="n"/>
      <c r="S4796" s="19">
        <f>H4796*I4796</f>
        <v/>
      </c>
      <c r="T4796" s="19">
        <f>H4796*J4796</f>
        <v/>
      </c>
      <c r="U4796">
        <f>IF(AND(K4796=0,G4796&lt;=Assumptions!$C$6),1,0)</f>
        <v/>
      </c>
      <c r="V4796">
        <f>IF(U4796=1,IF(M4796&gt;0,IF(P4796&lt;=G4796+Assumptions!$C$7,1,0),0),0)</f>
        <v/>
      </c>
      <c r="W4796">
        <f>IF(AND(U4796=1,M4796&gt;=H4796*(1-Assumptions!$C$8)),1,0)</f>
        <v/>
      </c>
      <c r="X4796">
        <f>IF(AND(U4796=1,N4796&gt;=H4796*(1-Assumptions!$C$8)),1,0)</f>
        <v/>
      </c>
      <c r="Y4796">
        <f>IF(ISNUMBER(Q4796),1,0)</f>
        <v/>
      </c>
      <c r="Z4796">
        <f>IF(AND(K4796=0,L4796=0,Y4796=0),1,0)</f>
        <v/>
      </c>
      <c r="AA4796">
        <f>IF(AND(Z4796=1,G4796&lt;Assumptions!$C$6),1,0)</f>
        <v/>
      </c>
      <c r="AB4796">
        <f>IF(U4796=0,"",IF(Y4796=1,MAX(0,Q4796-G4796),IF(L4796=1,MAX(0,R4796-G4796),MAX(0,Assumptions!$C$6-G4796))))</f>
        <v/>
      </c>
      <c r="AC4796">
        <f>IF(Y4796=1,Q4796-F4796,"")</f>
        <v/>
      </c>
      <c r="AD4796">
        <f>IF(Y4796=1,AC4796^2,"")</f>
        <v/>
      </c>
      <c r="AE4796" s="19">
        <f>IF(Z4796=1,(H4796-M4796)*I4796,0)</f>
        <v/>
      </c>
      <c r="AF4796">
        <f>IF(G4796&lt;EDATE(Assumptions!$C$6,-12)+1,"prior_12m","last_12m")</f>
        <v/>
      </c>
      <c r="AG4796" s="21">
        <f>DATE(YEAR(G4796),MONTH(G4796),1)</f>
        <v/>
      </c>
    </row>
    <row r="4797">
      <c r="A4797" t="inlineStr">
        <is>
          <t>SPO-02577-2</t>
        </is>
      </c>
      <c r="B4797" t="inlineStr">
        <is>
          <t>SPO-02577</t>
        </is>
      </c>
      <c r="C4797" t="inlineStr">
        <is>
          <t>SUP-14</t>
        </is>
      </c>
      <c r="D4797" t="inlineStr">
        <is>
          <t>FLEET</t>
        </is>
      </c>
      <c r="E4797" t="inlineStr">
        <is>
          <t>FLEET-05</t>
        </is>
      </c>
      <c r="F4797" s="17" t="n">
        <v>46291</v>
      </c>
      <c r="G4797" s="17" t="n">
        <v>46305</v>
      </c>
      <c r="H4797" s="18" t="n">
        <v>15</v>
      </c>
      <c r="I4797" s="19" t="n">
        <v>164.22</v>
      </c>
      <c r="J4797" s="19" t="n">
        <v>168</v>
      </c>
      <c r="K4797" s="20" t="n">
        <v>0</v>
      </c>
      <c r="L4797" s="20" t="n">
        <v>0</v>
      </c>
      <c r="M4797" s="18" t="n">
        <v>0</v>
      </c>
      <c r="N4797" s="18" t="n">
        <v>0</v>
      </c>
      <c r="O4797" s="18" t="n">
        <v>0</v>
      </c>
      <c r="P4797" s="17" t="n"/>
      <c r="Q4797" s="17" t="n"/>
      <c r="R4797" s="17" t="n"/>
      <c r="S4797" s="19">
        <f>H4797*I4797</f>
        <v/>
      </c>
      <c r="T4797" s="19">
        <f>H4797*J4797</f>
        <v/>
      </c>
      <c r="U4797">
        <f>IF(AND(K4797=0,G4797&lt;=Assumptions!$C$6),1,0)</f>
        <v/>
      </c>
      <c r="V4797">
        <f>IF(U4797=1,IF(M4797&gt;0,IF(P4797&lt;=G4797+Assumptions!$C$7,1,0),0),0)</f>
        <v/>
      </c>
      <c r="W4797">
        <f>IF(AND(U4797=1,M4797&gt;=H4797*(1-Assumptions!$C$8)),1,0)</f>
        <v/>
      </c>
      <c r="X4797">
        <f>IF(AND(U4797=1,N4797&gt;=H4797*(1-Assumptions!$C$8)),1,0)</f>
        <v/>
      </c>
      <c r="Y4797">
        <f>IF(ISNUMBER(Q4797),1,0)</f>
        <v/>
      </c>
      <c r="Z4797">
        <f>IF(AND(K4797=0,L4797=0,Y4797=0),1,0)</f>
        <v/>
      </c>
      <c r="AA4797">
        <f>IF(AND(Z4797=1,G4797&lt;Assumptions!$C$6),1,0)</f>
        <v/>
      </c>
      <c r="AB4797">
        <f>IF(U4797=0,"",IF(Y4797=1,MAX(0,Q4797-G4797),IF(L4797=1,MAX(0,R4797-G4797),MAX(0,Assumptions!$C$6-G4797))))</f>
        <v/>
      </c>
      <c r="AC4797">
        <f>IF(Y4797=1,Q4797-F4797,"")</f>
        <v/>
      </c>
      <c r="AD4797">
        <f>IF(Y4797=1,AC4797^2,"")</f>
        <v/>
      </c>
      <c r="AE4797" s="19">
        <f>IF(Z4797=1,(H4797-M4797)*I4797,0)</f>
        <v/>
      </c>
      <c r="AF4797">
        <f>IF(G4797&lt;EDATE(Assumptions!$C$6,-12)+1,"prior_12m","last_12m")</f>
        <v/>
      </c>
      <c r="AG4797" s="21">
        <f>DATE(YEAR(G4797),MONTH(G4797),1)</f>
        <v/>
      </c>
    </row>
    <row r="4798">
      <c r="A4798" t="inlineStr">
        <is>
          <t>SPO-02578-1</t>
        </is>
      </c>
      <c r="B4798" t="inlineStr">
        <is>
          <t>SPO-02578</t>
        </is>
      </c>
      <c r="C4798" t="inlineStr">
        <is>
          <t>SUP-09</t>
        </is>
      </c>
      <c r="D4798" t="inlineStr">
        <is>
          <t>CHEM</t>
        </is>
      </c>
      <c r="E4798" t="inlineStr">
        <is>
          <t>CHEM-04</t>
        </is>
      </c>
      <c r="F4798" s="17" t="n">
        <v>46291</v>
      </c>
      <c r="G4798" s="17" t="n">
        <v>46305</v>
      </c>
      <c r="H4798" s="18" t="n">
        <v>1</v>
      </c>
      <c r="I4798" s="19" t="n">
        <v>877.9400000000001</v>
      </c>
      <c r="J4798" s="19" t="n">
        <v>820</v>
      </c>
      <c r="K4798" s="20" t="n">
        <v>0</v>
      </c>
      <c r="L4798" s="20" t="n">
        <v>0</v>
      </c>
      <c r="M4798" s="18" t="n">
        <v>0</v>
      </c>
      <c r="N4798" s="18" t="n">
        <v>0</v>
      </c>
      <c r="O4798" s="18" t="n">
        <v>0</v>
      </c>
      <c r="P4798" s="17" t="n"/>
      <c r="Q4798" s="17" t="n"/>
      <c r="R4798" s="17" t="n"/>
      <c r="S4798" s="19">
        <f>H4798*I4798</f>
        <v/>
      </c>
      <c r="T4798" s="19">
        <f>H4798*J4798</f>
        <v/>
      </c>
      <c r="U4798">
        <f>IF(AND(K4798=0,G4798&lt;=Assumptions!$C$6),1,0)</f>
        <v/>
      </c>
      <c r="V4798">
        <f>IF(U4798=1,IF(M4798&gt;0,IF(P4798&lt;=G4798+Assumptions!$C$7,1,0),0),0)</f>
        <v/>
      </c>
      <c r="W4798">
        <f>IF(AND(U4798=1,M4798&gt;=H4798*(1-Assumptions!$C$8)),1,0)</f>
        <v/>
      </c>
      <c r="X4798">
        <f>IF(AND(U4798=1,N4798&gt;=H4798*(1-Assumptions!$C$8)),1,0)</f>
        <v/>
      </c>
      <c r="Y4798">
        <f>IF(ISNUMBER(Q4798),1,0)</f>
        <v/>
      </c>
      <c r="Z4798">
        <f>IF(AND(K4798=0,L4798=0,Y4798=0),1,0)</f>
        <v/>
      </c>
      <c r="AA4798">
        <f>IF(AND(Z4798=1,G4798&lt;Assumptions!$C$6),1,0)</f>
        <v/>
      </c>
      <c r="AB4798">
        <f>IF(U4798=0,"",IF(Y4798=1,MAX(0,Q4798-G4798),IF(L4798=1,MAX(0,R4798-G4798),MAX(0,Assumptions!$C$6-G4798))))</f>
        <v/>
      </c>
      <c r="AC4798">
        <f>IF(Y4798=1,Q4798-F4798,"")</f>
        <v/>
      </c>
      <c r="AD4798">
        <f>IF(Y4798=1,AC4798^2,"")</f>
        <v/>
      </c>
      <c r="AE4798" s="19">
        <f>IF(Z4798=1,(H4798-M4798)*I4798,0)</f>
        <v/>
      </c>
      <c r="AF4798">
        <f>IF(G4798&lt;EDATE(Assumptions!$C$6,-12)+1,"prior_12m","last_12m")</f>
        <v/>
      </c>
      <c r="AG4798" s="21">
        <f>DATE(YEAR(G4798),MONTH(G4798),1)</f>
        <v/>
      </c>
    </row>
    <row r="4799">
      <c r="A4799" t="inlineStr">
        <is>
          <t>SPO-02578-2</t>
        </is>
      </c>
      <c r="B4799" t="inlineStr">
        <is>
          <t>SPO-02578</t>
        </is>
      </c>
      <c r="C4799" t="inlineStr">
        <is>
          <t>SUP-09</t>
        </is>
      </c>
      <c r="D4799" t="inlineStr">
        <is>
          <t>CHEM</t>
        </is>
      </c>
      <c r="E4799" t="inlineStr">
        <is>
          <t>CHEM-02</t>
        </is>
      </c>
      <c r="F4799" s="17" t="n">
        <v>46291</v>
      </c>
      <c r="G4799" s="17" t="n">
        <v>46305</v>
      </c>
      <c r="H4799" s="18" t="n">
        <v>4</v>
      </c>
      <c r="I4799" s="19" t="n">
        <v>426.8</v>
      </c>
      <c r="J4799" s="19" t="n">
        <v>410</v>
      </c>
      <c r="K4799" s="20" t="n">
        <v>0</v>
      </c>
      <c r="L4799" s="20" t="n">
        <v>0</v>
      </c>
      <c r="M4799" s="18" t="n">
        <v>0</v>
      </c>
      <c r="N4799" s="18" t="n">
        <v>0</v>
      </c>
      <c r="O4799" s="18" t="n">
        <v>0</v>
      </c>
      <c r="P4799" s="17" t="n"/>
      <c r="Q4799" s="17" t="n"/>
      <c r="R4799" s="17" t="n"/>
      <c r="S4799" s="19">
        <f>H4799*I4799</f>
        <v/>
      </c>
      <c r="T4799" s="19">
        <f>H4799*J4799</f>
        <v/>
      </c>
      <c r="U4799">
        <f>IF(AND(K4799=0,G4799&lt;=Assumptions!$C$6),1,0)</f>
        <v/>
      </c>
      <c r="V4799">
        <f>IF(U4799=1,IF(M4799&gt;0,IF(P4799&lt;=G4799+Assumptions!$C$7,1,0),0),0)</f>
        <v/>
      </c>
      <c r="W4799">
        <f>IF(AND(U4799=1,M4799&gt;=H4799*(1-Assumptions!$C$8)),1,0)</f>
        <v/>
      </c>
      <c r="X4799">
        <f>IF(AND(U4799=1,N4799&gt;=H4799*(1-Assumptions!$C$8)),1,0)</f>
        <v/>
      </c>
      <c r="Y4799">
        <f>IF(ISNUMBER(Q4799),1,0)</f>
        <v/>
      </c>
      <c r="Z4799">
        <f>IF(AND(K4799=0,L4799=0,Y4799=0),1,0)</f>
        <v/>
      </c>
      <c r="AA4799">
        <f>IF(AND(Z4799=1,G4799&lt;Assumptions!$C$6),1,0)</f>
        <v/>
      </c>
      <c r="AB4799">
        <f>IF(U4799=0,"",IF(Y4799=1,MAX(0,Q4799-G4799),IF(L4799=1,MAX(0,R4799-G4799),MAX(0,Assumptions!$C$6-G4799))))</f>
        <v/>
      </c>
      <c r="AC4799">
        <f>IF(Y4799=1,Q4799-F4799,"")</f>
        <v/>
      </c>
      <c r="AD4799">
        <f>IF(Y4799=1,AC4799^2,"")</f>
        <v/>
      </c>
      <c r="AE4799" s="19">
        <f>IF(Z4799=1,(H4799-M4799)*I4799,0)</f>
        <v/>
      </c>
      <c r="AF4799">
        <f>IF(G4799&lt;EDATE(Assumptions!$C$6,-12)+1,"prior_12m","last_12m")</f>
        <v/>
      </c>
      <c r="AG4799" s="21">
        <f>DATE(YEAR(G4799),MONTH(G4799),1)</f>
        <v/>
      </c>
    </row>
    <row r="4800">
      <c r="A4800" t="inlineStr">
        <is>
          <t>SPO-02578-3</t>
        </is>
      </c>
      <c r="B4800" t="inlineStr">
        <is>
          <t>SPO-02578</t>
        </is>
      </c>
      <c r="C4800" t="inlineStr">
        <is>
          <t>SUP-09</t>
        </is>
      </c>
      <c r="D4800" t="inlineStr">
        <is>
          <t>CHEM</t>
        </is>
      </c>
      <c r="E4800" t="inlineStr">
        <is>
          <t>CHEM-03</t>
        </is>
      </c>
      <c r="F4800" s="17" t="n">
        <v>46291</v>
      </c>
      <c r="G4800" s="17" t="n">
        <v>46305</v>
      </c>
      <c r="H4800" s="18" t="n">
        <v>3</v>
      </c>
      <c r="I4800" s="19" t="n">
        <v>271.1</v>
      </c>
      <c r="J4800" s="19" t="n">
        <v>265</v>
      </c>
      <c r="K4800" s="20" t="n">
        <v>0</v>
      </c>
      <c r="L4800" s="20" t="n">
        <v>0</v>
      </c>
      <c r="M4800" s="18" t="n">
        <v>0</v>
      </c>
      <c r="N4800" s="18" t="n">
        <v>0</v>
      </c>
      <c r="O4800" s="18" t="n">
        <v>0</v>
      </c>
      <c r="P4800" s="17" t="n"/>
      <c r="Q4800" s="17" t="n"/>
      <c r="R4800" s="17" t="n"/>
      <c r="S4800" s="19">
        <f>H4800*I4800</f>
        <v/>
      </c>
      <c r="T4800" s="19">
        <f>H4800*J4800</f>
        <v/>
      </c>
      <c r="U4800">
        <f>IF(AND(K4800=0,G4800&lt;=Assumptions!$C$6),1,0)</f>
        <v/>
      </c>
      <c r="V4800">
        <f>IF(U4800=1,IF(M4800&gt;0,IF(P4800&lt;=G4800+Assumptions!$C$7,1,0),0),0)</f>
        <v/>
      </c>
      <c r="W4800">
        <f>IF(AND(U4800=1,M4800&gt;=H4800*(1-Assumptions!$C$8)),1,0)</f>
        <v/>
      </c>
      <c r="X4800">
        <f>IF(AND(U4800=1,N4800&gt;=H4800*(1-Assumptions!$C$8)),1,0)</f>
        <v/>
      </c>
      <c r="Y4800">
        <f>IF(ISNUMBER(Q4800),1,0)</f>
        <v/>
      </c>
      <c r="Z4800">
        <f>IF(AND(K4800=0,L4800=0,Y4800=0),1,0)</f>
        <v/>
      </c>
      <c r="AA4800">
        <f>IF(AND(Z4800=1,G4800&lt;Assumptions!$C$6),1,0)</f>
        <v/>
      </c>
      <c r="AB4800">
        <f>IF(U4800=0,"",IF(Y4800=1,MAX(0,Q4800-G4800),IF(L4800=1,MAX(0,R4800-G4800),MAX(0,Assumptions!$C$6-G4800))))</f>
        <v/>
      </c>
      <c r="AC4800">
        <f>IF(Y4800=1,Q4800-F4800,"")</f>
        <v/>
      </c>
      <c r="AD4800">
        <f>IF(Y4800=1,AC4800^2,"")</f>
        <v/>
      </c>
      <c r="AE4800" s="19">
        <f>IF(Z4800=1,(H4800-M4800)*I4800,0)</f>
        <v/>
      </c>
      <c r="AF4800">
        <f>IF(G4800&lt;EDATE(Assumptions!$C$6,-12)+1,"prior_12m","last_12m")</f>
        <v/>
      </c>
      <c r="AG4800" s="21">
        <f>DATE(YEAR(G4800),MONTH(G4800),1)</f>
        <v/>
      </c>
    </row>
    <row r="4801">
      <c r="A4801" t="inlineStr">
        <is>
          <t>SPO-02579-1</t>
        </is>
      </c>
      <c r="B4801" t="inlineStr">
        <is>
          <t>SPO-02579</t>
        </is>
      </c>
      <c r="C4801" t="inlineStr">
        <is>
          <t>SUP-01</t>
        </is>
      </c>
      <c r="D4801" t="inlineStr">
        <is>
          <t>ELEC</t>
        </is>
      </c>
      <c r="E4801" t="inlineStr">
        <is>
          <t>ELEC-05</t>
        </is>
      </c>
      <c r="F4801" s="17" t="n">
        <v>46291</v>
      </c>
      <c r="G4801" s="17" t="n">
        <v>46309</v>
      </c>
      <c r="H4801" s="18" t="n">
        <v>330</v>
      </c>
      <c r="I4801" s="19" t="n">
        <v>11.38</v>
      </c>
      <c r="J4801" s="19" t="n">
        <v>11.5</v>
      </c>
      <c r="K4801" s="20" t="n">
        <v>0</v>
      </c>
      <c r="L4801" s="20" t="n">
        <v>0</v>
      </c>
      <c r="M4801" s="18" t="n">
        <v>0</v>
      </c>
      <c r="N4801" s="18" t="n">
        <v>0</v>
      </c>
      <c r="O4801" s="18" t="n">
        <v>0</v>
      </c>
      <c r="P4801" s="17" t="n"/>
      <c r="Q4801" s="17" t="n"/>
      <c r="R4801" s="17" t="n"/>
      <c r="S4801" s="19">
        <f>H4801*I4801</f>
        <v/>
      </c>
      <c r="T4801" s="19">
        <f>H4801*J4801</f>
        <v/>
      </c>
      <c r="U4801">
        <f>IF(AND(K4801=0,G4801&lt;=Assumptions!$C$6),1,0)</f>
        <v/>
      </c>
      <c r="V4801">
        <f>IF(U4801=1,IF(M4801&gt;0,IF(P4801&lt;=G4801+Assumptions!$C$7,1,0),0),0)</f>
        <v/>
      </c>
      <c r="W4801">
        <f>IF(AND(U4801=1,M4801&gt;=H4801*(1-Assumptions!$C$8)),1,0)</f>
        <v/>
      </c>
      <c r="X4801">
        <f>IF(AND(U4801=1,N4801&gt;=H4801*(1-Assumptions!$C$8)),1,0)</f>
        <v/>
      </c>
      <c r="Y4801">
        <f>IF(ISNUMBER(Q4801),1,0)</f>
        <v/>
      </c>
      <c r="Z4801">
        <f>IF(AND(K4801=0,L4801=0,Y4801=0),1,0)</f>
        <v/>
      </c>
      <c r="AA4801">
        <f>IF(AND(Z4801=1,G4801&lt;Assumptions!$C$6),1,0)</f>
        <v/>
      </c>
      <c r="AB4801">
        <f>IF(U4801=0,"",IF(Y4801=1,MAX(0,Q4801-G4801),IF(L4801=1,MAX(0,R4801-G4801),MAX(0,Assumptions!$C$6-G4801))))</f>
        <v/>
      </c>
      <c r="AC4801">
        <f>IF(Y4801=1,Q4801-F4801,"")</f>
        <v/>
      </c>
      <c r="AD4801">
        <f>IF(Y4801=1,AC4801^2,"")</f>
        <v/>
      </c>
      <c r="AE4801" s="19">
        <f>IF(Z4801=1,(H4801-M4801)*I4801,0)</f>
        <v/>
      </c>
      <c r="AF4801">
        <f>IF(G4801&lt;EDATE(Assumptions!$C$6,-12)+1,"prior_12m","last_12m")</f>
        <v/>
      </c>
      <c r="AG4801" s="21">
        <f>DATE(YEAR(G4801),MONTH(G4801),1)</f>
        <v/>
      </c>
    </row>
    <row r="4802">
      <c r="A4802" t="inlineStr">
        <is>
          <t>SPO-02580-1</t>
        </is>
      </c>
      <c r="B4802" t="inlineStr">
        <is>
          <t>SPO-02580</t>
        </is>
      </c>
      <c r="C4802" t="inlineStr">
        <is>
          <t>SUP-04</t>
        </is>
      </c>
      <c r="D4802" t="inlineStr">
        <is>
          <t>FLEET</t>
        </is>
      </c>
      <c r="E4802" t="inlineStr">
        <is>
          <t>FLEET-06</t>
        </is>
      </c>
      <c r="F4802" s="17" t="n">
        <v>46291</v>
      </c>
      <c r="G4802" s="17" t="n">
        <v>46304</v>
      </c>
      <c r="H4802" s="18" t="n">
        <v>31</v>
      </c>
      <c r="I4802" s="19" t="n">
        <v>34.8</v>
      </c>
      <c r="J4802" s="19" t="n">
        <v>33</v>
      </c>
      <c r="K4802" s="20" t="n">
        <v>0</v>
      </c>
      <c r="L4802" s="20" t="n">
        <v>0</v>
      </c>
      <c r="M4802" s="18" t="n">
        <v>0</v>
      </c>
      <c r="N4802" s="18" t="n">
        <v>0</v>
      </c>
      <c r="O4802" s="18" t="n">
        <v>0</v>
      </c>
      <c r="P4802" s="17" t="n"/>
      <c r="Q4802" s="17" t="n"/>
      <c r="R4802" s="17" t="n"/>
      <c r="S4802" s="19">
        <f>H4802*I4802</f>
        <v/>
      </c>
      <c r="T4802" s="19">
        <f>H4802*J4802</f>
        <v/>
      </c>
      <c r="U4802">
        <f>IF(AND(K4802=0,G4802&lt;=Assumptions!$C$6),1,0)</f>
        <v/>
      </c>
      <c r="V4802">
        <f>IF(U4802=1,IF(M4802&gt;0,IF(P4802&lt;=G4802+Assumptions!$C$7,1,0),0),0)</f>
        <v/>
      </c>
      <c r="W4802">
        <f>IF(AND(U4802=1,M4802&gt;=H4802*(1-Assumptions!$C$8)),1,0)</f>
        <v/>
      </c>
      <c r="X4802">
        <f>IF(AND(U4802=1,N4802&gt;=H4802*(1-Assumptions!$C$8)),1,0)</f>
        <v/>
      </c>
      <c r="Y4802">
        <f>IF(ISNUMBER(Q4802),1,0)</f>
        <v/>
      </c>
      <c r="Z4802">
        <f>IF(AND(K4802=0,L4802=0,Y4802=0),1,0)</f>
        <v/>
      </c>
      <c r="AA4802">
        <f>IF(AND(Z4802=1,G4802&lt;Assumptions!$C$6),1,0)</f>
        <v/>
      </c>
      <c r="AB4802">
        <f>IF(U4802=0,"",IF(Y4802=1,MAX(0,Q4802-G4802),IF(L4802=1,MAX(0,R4802-G4802),MAX(0,Assumptions!$C$6-G4802))))</f>
        <v/>
      </c>
      <c r="AC4802">
        <f>IF(Y4802=1,Q4802-F4802,"")</f>
        <v/>
      </c>
      <c r="AD4802">
        <f>IF(Y4802=1,AC4802^2,"")</f>
        <v/>
      </c>
      <c r="AE4802" s="19">
        <f>IF(Z4802=1,(H4802-M4802)*I4802,0)</f>
        <v/>
      </c>
      <c r="AF4802">
        <f>IF(G4802&lt;EDATE(Assumptions!$C$6,-12)+1,"prior_12m","last_12m")</f>
        <v/>
      </c>
      <c r="AG4802" s="21">
        <f>DATE(YEAR(G4802),MONTH(G4802),1)</f>
        <v/>
      </c>
    </row>
    <row r="4803">
      <c r="A4803" t="inlineStr">
        <is>
          <t>SPO-02581-1</t>
        </is>
      </c>
      <c r="B4803" t="inlineStr">
        <is>
          <t>SPO-02581</t>
        </is>
      </c>
      <c r="C4803" t="inlineStr">
        <is>
          <t>SUP-14</t>
        </is>
      </c>
      <c r="D4803" t="inlineStr">
        <is>
          <t>FLEET</t>
        </is>
      </c>
      <c r="E4803" t="inlineStr">
        <is>
          <t>FLEET-05</t>
        </is>
      </c>
      <c r="F4803" s="17" t="n">
        <v>46291</v>
      </c>
      <c r="G4803" s="17" t="n">
        <v>46305</v>
      </c>
      <c r="H4803" s="18" t="n">
        <v>6</v>
      </c>
      <c r="I4803" s="19" t="n">
        <v>168.85</v>
      </c>
      <c r="J4803" s="19" t="n">
        <v>168</v>
      </c>
      <c r="K4803" s="20" t="n">
        <v>0</v>
      </c>
      <c r="L4803" s="20" t="n">
        <v>0</v>
      </c>
      <c r="M4803" s="18" t="n">
        <v>0</v>
      </c>
      <c r="N4803" s="18" t="n">
        <v>0</v>
      </c>
      <c r="O4803" s="18" t="n">
        <v>0</v>
      </c>
      <c r="P4803" s="17" t="n"/>
      <c r="Q4803" s="17" t="n"/>
      <c r="R4803" s="17" t="n"/>
      <c r="S4803" s="19">
        <f>H4803*I4803</f>
        <v/>
      </c>
      <c r="T4803" s="19">
        <f>H4803*J4803</f>
        <v/>
      </c>
      <c r="U4803">
        <f>IF(AND(K4803=0,G4803&lt;=Assumptions!$C$6),1,0)</f>
        <v/>
      </c>
      <c r="V4803">
        <f>IF(U4803=1,IF(M4803&gt;0,IF(P4803&lt;=G4803+Assumptions!$C$7,1,0),0),0)</f>
        <v/>
      </c>
      <c r="W4803">
        <f>IF(AND(U4803=1,M4803&gt;=H4803*(1-Assumptions!$C$8)),1,0)</f>
        <v/>
      </c>
      <c r="X4803">
        <f>IF(AND(U4803=1,N4803&gt;=H4803*(1-Assumptions!$C$8)),1,0)</f>
        <v/>
      </c>
      <c r="Y4803">
        <f>IF(ISNUMBER(Q4803),1,0)</f>
        <v/>
      </c>
      <c r="Z4803">
        <f>IF(AND(K4803=0,L4803=0,Y4803=0),1,0)</f>
        <v/>
      </c>
      <c r="AA4803">
        <f>IF(AND(Z4803=1,G4803&lt;Assumptions!$C$6),1,0)</f>
        <v/>
      </c>
      <c r="AB4803">
        <f>IF(U4803=0,"",IF(Y4803=1,MAX(0,Q4803-G4803),IF(L4803=1,MAX(0,R4803-G4803),MAX(0,Assumptions!$C$6-G4803))))</f>
        <v/>
      </c>
      <c r="AC4803">
        <f>IF(Y4803=1,Q4803-F4803,"")</f>
        <v/>
      </c>
      <c r="AD4803">
        <f>IF(Y4803=1,AC4803^2,"")</f>
        <v/>
      </c>
      <c r="AE4803" s="19">
        <f>IF(Z4803=1,(H4803-M4803)*I4803,0)</f>
        <v/>
      </c>
      <c r="AF4803">
        <f>IF(G4803&lt;EDATE(Assumptions!$C$6,-12)+1,"prior_12m","last_12m")</f>
        <v/>
      </c>
      <c r="AG4803" s="21">
        <f>DATE(YEAR(G4803),MONTH(G4803),1)</f>
        <v/>
      </c>
    </row>
    <row r="4804">
      <c r="A4804" t="inlineStr">
        <is>
          <t>SPO-02581-2</t>
        </is>
      </c>
      <c r="B4804" t="inlineStr">
        <is>
          <t>SPO-02581</t>
        </is>
      </c>
      <c r="C4804" t="inlineStr">
        <is>
          <t>SUP-14</t>
        </is>
      </c>
      <c r="D4804" t="inlineStr">
        <is>
          <t>FLEET</t>
        </is>
      </c>
      <c r="E4804" t="inlineStr">
        <is>
          <t>FLEET-03</t>
        </is>
      </c>
      <c r="F4804" s="17" t="n">
        <v>46291</v>
      </c>
      <c r="G4804" s="17" t="n">
        <v>46305</v>
      </c>
      <c r="H4804" s="18" t="n">
        <v>44</v>
      </c>
      <c r="I4804" s="19" t="n">
        <v>20.71</v>
      </c>
      <c r="J4804" s="19" t="n">
        <v>21</v>
      </c>
      <c r="K4804" s="20" t="n">
        <v>0</v>
      </c>
      <c r="L4804" s="20" t="n">
        <v>0</v>
      </c>
      <c r="M4804" s="18" t="n">
        <v>0</v>
      </c>
      <c r="N4804" s="18" t="n">
        <v>0</v>
      </c>
      <c r="O4804" s="18" t="n">
        <v>0</v>
      </c>
      <c r="P4804" s="17" t="n"/>
      <c r="Q4804" s="17" t="n"/>
      <c r="R4804" s="17" t="n"/>
      <c r="S4804" s="19">
        <f>H4804*I4804</f>
        <v/>
      </c>
      <c r="T4804" s="19">
        <f>H4804*J4804</f>
        <v/>
      </c>
      <c r="U4804">
        <f>IF(AND(K4804=0,G4804&lt;=Assumptions!$C$6),1,0)</f>
        <v/>
      </c>
      <c r="V4804">
        <f>IF(U4804=1,IF(M4804&gt;0,IF(P4804&lt;=G4804+Assumptions!$C$7,1,0),0),0)</f>
        <v/>
      </c>
      <c r="W4804">
        <f>IF(AND(U4804=1,M4804&gt;=H4804*(1-Assumptions!$C$8)),1,0)</f>
        <v/>
      </c>
      <c r="X4804">
        <f>IF(AND(U4804=1,N4804&gt;=H4804*(1-Assumptions!$C$8)),1,0)</f>
        <v/>
      </c>
      <c r="Y4804">
        <f>IF(ISNUMBER(Q4804),1,0)</f>
        <v/>
      </c>
      <c r="Z4804">
        <f>IF(AND(K4804=0,L4804=0,Y4804=0),1,0)</f>
        <v/>
      </c>
      <c r="AA4804">
        <f>IF(AND(Z4804=1,G4804&lt;Assumptions!$C$6),1,0)</f>
        <v/>
      </c>
      <c r="AB4804">
        <f>IF(U4804=0,"",IF(Y4804=1,MAX(0,Q4804-G4804),IF(L4804=1,MAX(0,R4804-G4804),MAX(0,Assumptions!$C$6-G4804))))</f>
        <v/>
      </c>
      <c r="AC4804">
        <f>IF(Y4804=1,Q4804-F4804,"")</f>
        <v/>
      </c>
      <c r="AD4804">
        <f>IF(Y4804=1,AC4804^2,"")</f>
        <v/>
      </c>
      <c r="AE4804" s="19">
        <f>IF(Z4804=1,(H4804-M4804)*I4804,0)</f>
        <v/>
      </c>
      <c r="AF4804">
        <f>IF(G4804&lt;EDATE(Assumptions!$C$6,-12)+1,"prior_12m","last_12m")</f>
        <v/>
      </c>
      <c r="AG4804" s="21">
        <f>DATE(YEAR(G4804),MONTH(G4804),1)</f>
        <v/>
      </c>
    </row>
    <row r="4805">
      <c r="A4805" t="inlineStr">
        <is>
          <t>SPO-02582-1</t>
        </is>
      </c>
      <c r="B4805" t="inlineStr">
        <is>
          <t>SPO-02582</t>
        </is>
      </c>
      <c r="C4805" t="inlineStr">
        <is>
          <t>SUP-06</t>
        </is>
      </c>
      <c r="D4805" t="inlineStr">
        <is>
          <t>MRO</t>
        </is>
      </c>
      <c r="E4805" t="inlineStr">
        <is>
          <t>MRO-07</t>
        </is>
      </c>
      <c r="F4805" s="17" t="n">
        <v>46291</v>
      </c>
      <c r="G4805" s="17" t="n">
        <v>46299</v>
      </c>
      <c r="H4805" s="18" t="n">
        <v>85</v>
      </c>
      <c r="I4805" s="19" t="n">
        <v>14.74</v>
      </c>
      <c r="J4805" s="19" t="n">
        <v>14</v>
      </c>
      <c r="K4805" s="20" t="n">
        <v>0</v>
      </c>
      <c r="L4805" s="20" t="n">
        <v>0</v>
      </c>
      <c r="M4805" s="18" t="n">
        <v>0</v>
      </c>
      <c r="N4805" s="18" t="n">
        <v>0</v>
      </c>
      <c r="O4805" s="18" t="n">
        <v>0</v>
      </c>
      <c r="P4805" s="17" t="n"/>
      <c r="Q4805" s="17" t="n"/>
      <c r="R4805" s="17" t="n"/>
      <c r="S4805" s="19">
        <f>H4805*I4805</f>
        <v/>
      </c>
      <c r="T4805" s="19">
        <f>H4805*J4805</f>
        <v/>
      </c>
      <c r="U4805">
        <f>IF(AND(K4805=0,G4805&lt;=Assumptions!$C$6),1,0)</f>
        <v/>
      </c>
      <c r="V4805">
        <f>IF(U4805=1,IF(M4805&gt;0,IF(P4805&lt;=G4805+Assumptions!$C$7,1,0),0),0)</f>
        <v/>
      </c>
      <c r="W4805">
        <f>IF(AND(U4805=1,M4805&gt;=H4805*(1-Assumptions!$C$8)),1,0)</f>
        <v/>
      </c>
      <c r="X4805">
        <f>IF(AND(U4805=1,N4805&gt;=H4805*(1-Assumptions!$C$8)),1,0)</f>
        <v/>
      </c>
      <c r="Y4805">
        <f>IF(ISNUMBER(Q4805),1,0)</f>
        <v/>
      </c>
      <c r="Z4805">
        <f>IF(AND(K4805=0,L4805=0,Y4805=0),1,0)</f>
        <v/>
      </c>
      <c r="AA4805">
        <f>IF(AND(Z4805=1,G4805&lt;Assumptions!$C$6),1,0)</f>
        <v/>
      </c>
      <c r="AB4805">
        <f>IF(U4805=0,"",IF(Y4805=1,MAX(0,Q4805-G4805),IF(L4805=1,MAX(0,R4805-G4805),MAX(0,Assumptions!$C$6-G4805))))</f>
        <v/>
      </c>
      <c r="AC4805">
        <f>IF(Y4805=1,Q4805-F4805,"")</f>
        <v/>
      </c>
      <c r="AD4805">
        <f>IF(Y4805=1,AC4805^2,"")</f>
        <v/>
      </c>
      <c r="AE4805" s="19">
        <f>IF(Z4805=1,(H4805-M4805)*I4805,0)</f>
        <v/>
      </c>
      <c r="AF4805">
        <f>IF(G4805&lt;EDATE(Assumptions!$C$6,-12)+1,"prior_12m","last_12m")</f>
        <v/>
      </c>
      <c r="AG4805" s="21">
        <f>DATE(YEAR(G4805),MONTH(G4805),1)</f>
        <v/>
      </c>
    </row>
    <row r="4806">
      <c r="A4806" t="inlineStr">
        <is>
          <t>SPO-02582-2</t>
        </is>
      </c>
      <c r="B4806" t="inlineStr">
        <is>
          <t>SPO-02582</t>
        </is>
      </c>
      <c r="C4806" t="inlineStr">
        <is>
          <t>SUP-06</t>
        </is>
      </c>
      <c r="D4806" t="inlineStr">
        <is>
          <t>MRO</t>
        </is>
      </c>
      <c r="E4806" t="inlineStr">
        <is>
          <t>MRO-03</t>
        </is>
      </c>
      <c r="F4806" s="17" t="n">
        <v>46291</v>
      </c>
      <c r="G4806" s="17" t="n">
        <v>46299</v>
      </c>
      <c r="H4806" s="18" t="n">
        <v>372</v>
      </c>
      <c r="I4806" s="19" t="n">
        <v>8.75</v>
      </c>
      <c r="J4806" s="19" t="n">
        <v>8.9</v>
      </c>
      <c r="K4806" s="20" t="n">
        <v>0</v>
      </c>
      <c r="L4806" s="20" t="n">
        <v>0</v>
      </c>
      <c r="M4806" s="18" t="n">
        <v>0</v>
      </c>
      <c r="N4806" s="18" t="n">
        <v>0</v>
      </c>
      <c r="O4806" s="18" t="n">
        <v>0</v>
      </c>
      <c r="P4806" s="17" t="n"/>
      <c r="Q4806" s="17" t="n"/>
      <c r="R4806" s="17" t="n"/>
      <c r="S4806" s="19">
        <f>H4806*I4806</f>
        <v/>
      </c>
      <c r="T4806" s="19">
        <f>H4806*J4806</f>
        <v/>
      </c>
      <c r="U4806">
        <f>IF(AND(K4806=0,G4806&lt;=Assumptions!$C$6),1,0)</f>
        <v/>
      </c>
      <c r="V4806">
        <f>IF(U4806=1,IF(M4806&gt;0,IF(P4806&lt;=G4806+Assumptions!$C$7,1,0),0),0)</f>
        <v/>
      </c>
      <c r="W4806">
        <f>IF(AND(U4806=1,M4806&gt;=H4806*(1-Assumptions!$C$8)),1,0)</f>
        <v/>
      </c>
      <c r="X4806">
        <f>IF(AND(U4806=1,N4806&gt;=H4806*(1-Assumptions!$C$8)),1,0)</f>
        <v/>
      </c>
      <c r="Y4806">
        <f>IF(ISNUMBER(Q4806),1,0)</f>
        <v/>
      </c>
      <c r="Z4806">
        <f>IF(AND(K4806=0,L4806=0,Y4806=0),1,0)</f>
        <v/>
      </c>
      <c r="AA4806">
        <f>IF(AND(Z4806=1,G4806&lt;Assumptions!$C$6),1,0)</f>
        <v/>
      </c>
      <c r="AB4806">
        <f>IF(U4806=0,"",IF(Y4806=1,MAX(0,Q4806-G4806),IF(L4806=1,MAX(0,R4806-G4806),MAX(0,Assumptions!$C$6-G4806))))</f>
        <v/>
      </c>
      <c r="AC4806">
        <f>IF(Y4806=1,Q4806-F4806,"")</f>
        <v/>
      </c>
      <c r="AD4806">
        <f>IF(Y4806=1,AC4806^2,"")</f>
        <v/>
      </c>
      <c r="AE4806" s="19">
        <f>IF(Z4806=1,(H4806-M4806)*I4806,0)</f>
        <v/>
      </c>
      <c r="AF4806">
        <f>IF(G4806&lt;EDATE(Assumptions!$C$6,-12)+1,"prior_12m","last_12m")</f>
        <v/>
      </c>
      <c r="AG4806" s="21">
        <f>DATE(YEAR(G4806),MONTH(G4806),1)</f>
        <v/>
      </c>
    </row>
    <row r="4807">
      <c r="A4807" t="inlineStr">
        <is>
          <t>SPO-02583-1</t>
        </is>
      </c>
      <c r="B4807" t="inlineStr">
        <is>
          <t>SPO-02583</t>
        </is>
      </c>
      <c r="C4807" t="inlineStr">
        <is>
          <t>SUP-05</t>
        </is>
      </c>
      <c r="D4807" t="inlineStr">
        <is>
          <t>FLEET</t>
        </is>
      </c>
      <c r="E4807" t="inlineStr">
        <is>
          <t>FLEET-04</t>
        </is>
      </c>
      <c r="F4807" s="17" t="n">
        <v>46291</v>
      </c>
      <c r="G4807" s="17" t="n">
        <v>46305</v>
      </c>
      <c r="H4807" s="18" t="n">
        <v>105</v>
      </c>
      <c r="I4807" s="19" t="n">
        <v>9.619999999999999</v>
      </c>
      <c r="J4807" s="19" t="n">
        <v>9</v>
      </c>
      <c r="K4807" s="20" t="n">
        <v>0</v>
      </c>
      <c r="L4807" s="20" t="n">
        <v>0</v>
      </c>
      <c r="M4807" s="18" t="n">
        <v>0</v>
      </c>
      <c r="N4807" s="18" t="n">
        <v>0</v>
      </c>
      <c r="O4807" s="18" t="n">
        <v>0</v>
      </c>
      <c r="P4807" s="17" t="n"/>
      <c r="Q4807" s="17" t="n"/>
      <c r="R4807" s="17" t="n"/>
      <c r="S4807" s="19">
        <f>H4807*I4807</f>
        <v/>
      </c>
      <c r="T4807" s="19">
        <f>H4807*J4807</f>
        <v/>
      </c>
      <c r="U4807">
        <f>IF(AND(K4807=0,G4807&lt;=Assumptions!$C$6),1,0)</f>
        <v/>
      </c>
      <c r="V4807">
        <f>IF(U4807=1,IF(M4807&gt;0,IF(P4807&lt;=G4807+Assumptions!$C$7,1,0),0),0)</f>
        <v/>
      </c>
      <c r="W4807">
        <f>IF(AND(U4807=1,M4807&gt;=H4807*(1-Assumptions!$C$8)),1,0)</f>
        <v/>
      </c>
      <c r="X4807">
        <f>IF(AND(U4807=1,N4807&gt;=H4807*(1-Assumptions!$C$8)),1,0)</f>
        <v/>
      </c>
      <c r="Y4807">
        <f>IF(ISNUMBER(Q4807),1,0)</f>
        <v/>
      </c>
      <c r="Z4807">
        <f>IF(AND(K4807=0,L4807=0,Y4807=0),1,0)</f>
        <v/>
      </c>
      <c r="AA4807">
        <f>IF(AND(Z4807=1,G4807&lt;Assumptions!$C$6),1,0)</f>
        <v/>
      </c>
      <c r="AB4807">
        <f>IF(U4807=0,"",IF(Y4807=1,MAX(0,Q4807-G4807),IF(L4807=1,MAX(0,R4807-G4807),MAX(0,Assumptions!$C$6-G4807))))</f>
        <v/>
      </c>
      <c r="AC4807">
        <f>IF(Y4807=1,Q4807-F4807,"")</f>
        <v/>
      </c>
      <c r="AD4807">
        <f>IF(Y4807=1,AC4807^2,"")</f>
        <v/>
      </c>
      <c r="AE4807" s="19">
        <f>IF(Z4807=1,(H4807-M4807)*I4807,0)</f>
        <v/>
      </c>
      <c r="AF4807">
        <f>IF(G4807&lt;EDATE(Assumptions!$C$6,-12)+1,"prior_12m","last_12m")</f>
        <v/>
      </c>
      <c r="AG4807" s="21">
        <f>DATE(YEAR(G4807),MONTH(G4807),1)</f>
        <v/>
      </c>
    </row>
    <row r="4808">
      <c r="A4808" t="inlineStr">
        <is>
          <t>SPO-02584-1</t>
        </is>
      </c>
      <c r="B4808" t="inlineStr">
        <is>
          <t>SPO-02584</t>
        </is>
      </c>
      <c r="C4808" t="inlineStr">
        <is>
          <t>SUP-08</t>
        </is>
      </c>
      <c r="D4808" t="inlineStr">
        <is>
          <t>MRO</t>
        </is>
      </c>
      <c r="E4808" t="inlineStr">
        <is>
          <t>MRO-01</t>
        </is>
      </c>
      <c r="F4808" s="17" t="n">
        <v>46292</v>
      </c>
      <c r="G4808" s="17" t="n">
        <v>46303</v>
      </c>
      <c r="H4808" s="18" t="n">
        <v>58</v>
      </c>
      <c r="I4808" s="19" t="n">
        <v>50.17</v>
      </c>
      <c r="J4808" s="19" t="n">
        <v>52</v>
      </c>
      <c r="K4808" s="20" t="n">
        <v>0</v>
      </c>
      <c r="L4808" s="20" t="n">
        <v>0</v>
      </c>
      <c r="M4808" s="18" t="n">
        <v>0</v>
      </c>
      <c r="N4808" s="18" t="n">
        <v>0</v>
      </c>
      <c r="O4808" s="18" t="n">
        <v>0</v>
      </c>
      <c r="P4808" s="17" t="n"/>
      <c r="Q4808" s="17" t="n"/>
      <c r="R4808" s="17" t="n"/>
      <c r="S4808" s="19">
        <f>H4808*I4808</f>
        <v/>
      </c>
      <c r="T4808" s="19">
        <f>H4808*J4808</f>
        <v/>
      </c>
      <c r="U4808">
        <f>IF(AND(K4808=0,G4808&lt;=Assumptions!$C$6),1,0)</f>
        <v/>
      </c>
      <c r="V4808">
        <f>IF(U4808=1,IF(M4808&gt;0,IF(P4808&lt;=G4808+Assumptions!$C$7,1,0),0),0)</f>
        <v/>
      </c>
      <c r="W4808">
        <f>IF(AND(U4808=1,M4808&gt;=H4808*(1-Assumptions!$C$8)),1,0)</f>
        <v/>
      </c>
      <c r="X4808">
        <f>IF(AND(U4808=1,N4808&gt;=H4808*(1-Assumptions!$C$8)),1,0)</f>
        <v/>
      </c>
      <c r="Y4808">
        <f>IF(ISNUMBER(Q4808),1,0)</f>
        <v/>
      </c>
      <c r="Z4808">
        <f>IF(AND(K4808=0,L4808=0,Y4808=0),1,0)</f>
        <v/>
      </c>
      <c r="AA4808">
        <f>IF(AND(Z4808=1,G4808&lt;Assumptions!$C$6),1,0)</f>
        <v/>
      </c>
      <c r="AB4808">
        <f>IF(U4808=0,"",IF(Y4808=1,MAX(0,Q4808-G4808),IF(L4808=1,MAX(0,R4808-G4808),MAX(0,Assumptions!$C$6-G4808))))</f>
        <v/>
      </c>
      <c r="AC4808">
        <f>IF(Y4808=1,Q4808-F4808,"")</f>
        <v/>
      </c>
      <c r="AD4808">
        <f>IF(Y4808=1,AC4808^2,"")</f>
        <v/>
      </c>
      <c r="AE4808" s="19">
        <f>IF(Z4808=1,(H4808-M4808)*I4808,0)</f>
        <v/>
      </c>
      <c r="AF4808">
        <f>IF(G4808&lt;EDATE(Assumptions!$C$6,-12)+1,"prior_12m","last_12m")</f>
        <v/>
      </c>
      <c r="AG4808" s="21">
        <f>DATE(YEAR(G4808),MONTH(G4808),1)</f>
        <v/>
      </c>
    </row>
    <row r="4809">
      <c r="A4809" t="inlineStr">
        <is>
          <t>SPO-02584-2</t>
        </is>
      </c>
      <c r="B4809" t="inlineStr">
        <is>
          <t>SPO-02584</t>
        </is>
      </c>
      <c r="C4809" t="inlineStr">
        <is>
          <t>SUP-08</t>
        </is>
      </c>
      <c r="D4809" t="inlineStr">
        <is>
          <t>MRO</t>
        </is>
      </c>
      <c r="E4809" t="inlineStr">
        <is>
          <t>MRO-07</t>
        </is>
      </c>
      <c r="F4809" s="17" t="n">
        <v>46292</v>
      </c>
      <c r="G4809" s="17" t="n">
        <v>46303</v>
      </c>
      <c r="H4809" s="18" t="n">
        <v>116</v>
      </c>
      <c r="I4809" s="19" t="n">
        <v>13.84</v>
      </c>
      <c r="J4809" s="19" t="n">
        <v>14</v>
      </c>
      <c r="K4809" s="20" t="n">
        <v>0</v>
      </c>
      <c r="L4809" s="20" t="n">
        <v>0</v>
      </c>
      <c r="M4809" s="18" t="n">
        <v>0</v>
      </c>
      <c r="N4809" s="18" t="n">
        <v>0</v>
      </c>
      <c r="O4809" s="18" t="n">
        <v>0</v>
      </c>
      <c r="P4809" s="17" t="n"/>
      <c r="Q4809" s="17" t="n"/>
      <c r="R4809" s="17" t="n"/>
      <c r="S4809" s="19">
        <f>H4809*I4809</f>
        <v/>
      </c>
      <c r="T4809" s="19">
        <f>H4809*J4809</f>
        <v/>
      </c>
      <c r="U4809">
        <f>IF(AND(K4809=0,G4809&lt;=Assumptions!$C$6),1,0)</f>
        <v/>
      </c>
      <c r="V4809">
        <f>IF(U4809=1,IF(M4809&gt;0,IF(P4809&lt;=G4809+Assumptions!$C$7,1,0),0),0)</f>
        <v/>
      </c>
      <c r="W4809">
        <f>IF(AND(U4809=1,M4809&gt;=H4809*(1-Assumptions!$C$8)),1,0)</f>
        <v/>
      </c>
      <c r="X4809">
        <f>IF(AND(U4809=1,N4809&gt;=H4809*(1-Assumptions!$C$8)),1,0)</f>
        <v/>
      </c>
      <c r="Y4809">
        <f>IF(ISNUMBER(Q4809),1,0)</f>
        <v/>
      </c>
      <c r="Z4809">
        <f>IF(AND(K4809=0,L4809=0,Y4809=0),1,0)</f>
        <v/>
      </c>
      <c r="AA4809">
        <f>IF(AND(Z4809=1,G4809&lt;Assumptions!$C$6),1,0)</f>
        <v/>
      </c>
      <c r="AB4809">
        <f>IF(U4809=0,"",IF(Y4809=1,MAX(0,Q4809-G4809),IF(L4809=1,MAX(0,R4809-G4809),MAX(0,Assumptions!$C$6-G4809))))</f>
        <v/>
      </c>
      <c r="AC4809">
        <f>IF(Y4809=1,Q4809-F4809,"")</f>
        <v/>
      </c>
      <c r="AD4809">
        <f>IF(Y4809=1,AC4809^2,"")</f>
        <v/>
      </c>
      <c r="AE4809" s="19">
        <f>IF(Z4809=1,(H4809-M4809)*I4809,0)</f>
        <v/>
      </c>
      <c r="AF4809">
        <f>IF(G4809&lt;EDATE(Assumptions!$C$6,-12)+1,"prior_12m","last_12m")</f>
        <v/>
      </c>
      <c r="AG4809" s="21">
        <f>DATE(YEAR(G4809),MONTH(G4809),1)</f>
        <v/>
      </c>
    </row>
    <row r="4810">
      <c r="A4810" t="inlineStr">
        <is>
          <t>SPO-02585-1</t>
        </is>
      </c>
      <c r="B4810" t="inlineStr">
        <is>
          <t>SPO-02585</t>
        </is>
      </c>
      <c r="C4810" t="inlineStr">
        <is>
          <t>SUP-01</t>
        </is>
      </c>
      <c r="D4810" t="inlineStr">
        <is>
          <t>ELEC</t>
        </is>
      </c>
      <c r="E4810" t="inlineStr">
        <is>
          <t>ELEC-07</t>
        </is>
      </c>
      <c r="F4810" s="17" t="n">
        <v>46292</v>
      </c>
      <c r="G4810" s="17" t="n">
        <v>46310</v>
      </c>
      <c r="H4810" s="18" t="n">
        <v>254</v>
      </c>
      <c r="I4810" s="19" t="n">
        <v>10</v>
      </c>
      <c r="J4810" s="19" t="n">
        <v>9.800000000000001</v>
      </c>
      <c r="K4810" s="20" t="n">
        <v>0</v>
      </c>
      <c r="L4810" s="20" t="n">
        <v>0</v>
      </c>
      <c r="M4810" s="18" t="n">
        <v>0</v>
      </c>
      <c r="N4810" s="18" t="n">
        <v>0</v>
      </c>
      <c r="O4810" s="18" t="n">
        <v>0</v>
      </c>
      <c r="P4810" s="17" t="n"/>
      <c r="Q4810" s="17" t="n"/>
      <c r="R4810" s="17" t="n"/>
      <c r="S4810" s="19">
        <f>H4810*I4810</f>
        <v/>
      </c>
      <c r="T4810" s="19">
        <f>H4810*J4810</f>
        <v/>
      </c>
      <c r="U4810">
        <f>IF(AND(K4810=0,G4810&lt;=Assumptions!$C$6),1,0)</f>
        <v/>
      </c>
      <c r="V4810">
        <f>IF(U4810=1,IF(M4810&gt;0,IF(P4810&lt;=G4810+Assumptions!$C$7,1,0),0),0)</f>
        <v/>
      </c>
      <c r="W4810">
        <f>IF(AND(U4810=1,M4810&gt;=H4810*(1-Assumptions!$C$8)),1,0)</f>
        <v/>
      </c>
      <c r="X4810">
        <f>IF(AND(U4810=1,N4810&gt;=H4810*(1-Assumptions!$C$8)),1,0)</f>
        <v/>
      </c>
      <c r="Y4810">
        <f>IF(ISNUMBER(Q4810),1,0)</f>
        <v/>
      </c>
      <c r="Z4810">
        <f>IF(AND(K4810=0,L4810=0,Y4810=0),1,0)</f>
        <v/>
      </c>
      <c r="AA4810">
        <f>IF(AND(Z4810=1,G4810&lt;Assumptions!$C$6),1,0)</f>
        <v/>
      </c>
      <c r="AB4810">
        <f>IF(U4810=0,"",IF(Y4810=1,MAX(0,Q4810-G4810),IF(L4810=1,MAX(0,R4810-G4810),MAX(0,Assumptions!$C$6-G4810))))</f>
        <v/>
      </c>
      <c r="AC4810">
        <f>IF(Y4810=1,Q4810-F4810,"")</f>
        <v/>
      </c>
      <c r="AD4810">
        <f>IF(Y4810=1,AC4810^2,"")</f>
        <v/>
      </c>
      <c r="AE4810" s="19">
        <f>IF(Z4810=1,(H4810-M4810)*I4810,0)</f>
        <v/>
      </c>
      <c r="AF4810">
        <f>IF(G4810&lt;EDATE(Assumptions!$C$6,-12)+1,"prior_12m","last_12m")</f>
        <v/>
      </c>
      <c r="AG4810" s="21">
        <f>DATE(YEAR(G4810),MONTH(G4810),1)</f>
        <v/>
      </c>
    </row>
    <row r="4811">
      <c r="A4811" t="inlineStr">
        <is>
          <t>SPO-02586-1</t>
        </is>
      </c>
      <c r="B4811" t="inlineStr">
        <is>
          <t>SPO-02586</t>
        </is>
      </c>
      <c r="C4811" t="inlineStr">
        <is>
          <t>SUP-02</t>
        </is>
      </c>
      <c r="D4811" t="inlineStr">
        <is>
          <t>ELEC</t>
        </is>
      </c>
      <c r="E4811" t="inlineStr">
        <is>
          <t>ELEC-08</t>
        </is>
      </c>
      <c r="F4811" s="17" t="n">
        <v>46292</v>
      </c>
      <c r="G4811" s="17" t="n">
        <v>46308</v>
      </c>
      <c r="H4811" s="18" t="n">
        <v>66</v>
      </c>
      <c r="I4811" s="19" t="n">
        <v>18.28</v>
      </c>
      <c r="J4811" s="19" t="n">
        <v>18</v>
      </c>
      <c r="K4811" s="20" t="n">
        <v>0</v>
      </c>
      <c r="L4811" s="20" t="n">
        <v>0</v>
      </c>
      <c r="M4811" s="18" t="n">
        <v>0</v>
      </c>
      <c r="N4811" s="18" t="n">
        <v>0</v>
      </c>
      <c r="O4811" s="18" t="n">
        <v>0</v>
      </c>
      <c r="P4811" s="17" t="n"/>
      <c r="Q4811" s="17" t="n"/>
      <c r="R4811" s="17" t="n"/>
      <c r="S4811" s="19">
        <f>H4811*I4811</f>
        <v/>
      </c>
      <c r="T4811" s="19">
        <f>H4811*J4811</f>
        <v/>
      </c>
      <c r="U4811">
        <f>IF(AND(K4811=0,G4811&lt;=Assumptions!$C$6),1,0)</f>
        <v/>
      </c>
      <c r="V4811">
        <f>IF(U4811=1,IF(M4811&gt;0,IF(P4811&lt;=G4811+Assumptions!$C$7,1,0),0),0)</f>
        <v/>
      </c>
      <c r="W4811">
        <f>IF(AND(U4811=1,M4811&gt;=H4811*(1-Assumptions!$C$8)),1,0)</f>
        <v/>
      </c>
      <c r="X4811">
        <f>IF(AND(U4811=1,N4811&gt;=H4811*(1-Assumptions!$C$8)),1,0)</f>
        <v/>
      </c>
      <c r="Y4811">
        <f>IF(ISNUMBER(Q4811),1,0)</f>
        <v/>
      </c>
      <c r="Z4811">
        <f>IF(AND(K4811=0,L4811=0,Y4811=0),1,0)</f>
        <v/>
      </c>
      <c r="AA4811">
        <f>IF(AND(Z4811=1,G4811&lt;Assumptions!$C$6),1,0)</f>
        <v/>
      </c>
      <c r="AB4811">
        <f>IF(U4811=0,"",IF(Y4811=1,MAX(0,Q4811-G4811),IF(L4811=1,MAX(0,R4811-G4811),MAX(0,Assumptions!$C$6-G4811))))</f>
        <v/>
      </c>
      <c r="AC4811">
        <f>IF(Y4811=1,Q4811-F4811,"")</f>
        <v/>
      </c>
      <c r="AD4811">
        <f>IF(Y4811=1,AC4811^2,"")</f>
        <v/>
      </c>
      <c r="AE4811" s="19">
        <f>IF(Z4811=1,(H4811-M4811)*I4811,0)</f>
        <v/>
      </c>
      <c r="AF4811">
        <f>IF(G4811&lt;EDATE(Assumptions!$C$6,-12)+1,"prior_12m","last_12m")</f>
        <v/>
      </c>
      <c r="AG4811" s="21">
        <f>DATE(YEAR(G4811),MONTH(G4811),1)</f>
        <v/>
      </c>
    </row>
    <row r="4812">
      <c r="A4812" t="inlineStr">
        <is>
          <t>SPO-02586-2</t>
        </is>
      </c>
      <c r="B4812" t="inlineStr">
        <is>
          <t>SPO-02586</t>
        </is>
      </c>
      <c r="C4812" t="inlineStr">
        <is>
          <t>SUP-02</t>
        </is>
      </c>
      <c r="D4812" t="inlineStr">
        <is>
          <t>ELEC</t>
        </is>
      </c>
      <c r="E4812" t="inlineStr">
        <is>
          <t>ELEC-02</t>
        </is>
      </c>
      <c r="F4812" s="17" t="n">
        <v>46292</v>
      </c>
      <c r="G4812" s="17" t="n">
        <v>46308</v>
      </c>
      <c r="H4812" s="18" t="n">
        <v>838</v>
      </c>
      <c r="I4812" s="19" t="n">
        <v>4.33</v>
      </c>
      <c r="J4812" s="19" t="n">
        <v>4.2</v>
      </c>
      <c r="K4812" s="20" t="n">
        <v>0</v>
      </c>
      <c r="L4812" s="20" t="n">
        <v>0</v>
      </c>
      <c r="M4812" s="18" t="n">
        <v>0</v>
      </c>
      <c r="N4812" s="18" t="n">
        <v>0</v>
      </c>
      <c r="O4812" s="18" t="n">
        <v>0</v>
      </c>
      <c r="P4812" s="17" t="n"/>
      <c r="Q4812" s="17" t="n"/>
      <c r="R4812" s="17" t="n"/>
      <c r="S4812" s="19">
        <f>H4812*I4812</f>
        <v/>
      </c>
      <c r="T4812" s="19">
        <f>H4812*J4812</f>
        <v/>
      </c>
      <c r="U4812">
        <f>IF(AND(K4812=0,G4812&lt;=Assumptions!$C$6),1,0)</f>
        <v/>
      </c>
      <c r="V4812">
        <f>IF(U4812=1,IF(M4812&gt;0,IF(P4812&lt;=G4812+Assumptions!$C$7,1,0),0),0)</f>
        <v/>
      </c>
      <c r="W4812">
        <f>IF(AND(U4812=1,M4812&gt;=H4812*(1-Assumptions!$C$8)),1,0)</f>
        <v/>
      </c>
      <c r="X4812">
        <f>IF(AND(U4812=1,N4812&gt;=H4812*(1-Assumptions!$C$8)),1,0)</f>
        <v/>
      </c>
      <c r="Y4812">
        <f>IF(ISNUMBER(Q4812),1,0)</f>
        <v/>
      </c>
      <c r="Z4812">
        <f>IF(AND(K4812=0,L4812=0,Y4812=0),1,0)</f>
        <v/>
      </c>
      <c r="AA4812">
        <f>IF(AND(Z4812=1,G4812&lt;Assumptions!$C$6),1,0)</f>
        <v/>
      </c>
      <c r="AB4812">
        <f>IF(U4812=0,"",IF(Y4812=1,MAX(0,Q4812-G4812),IF(L4812=1,MAX(0,R4812-G4812),MAX(0,Assumptions!$C$6-G4812))))</f>
        <v/>
      </c>
      <c r="AC4812">
        <f>IF(Y4812=1,Q4812-F4812,"")</f>
        <v/>
      </c>
      <c r="AD4812">
        <f>IF(Y4812=1,AC4812^2,"")</f>
        <v/>
      </c>
      <c r="AE4812" s="19">
        <f>IF(Z4812=1,(H4812-M4812)*I4812,0)</f>
        <v/>
      </c>
      <c r="AF4812">
        <f>IF(G4812&lt;EDATE(Assumptions!$C$6,-12)+1,"prior_12m","last_12m")</f>
        <v/>
      </c>
      <c r="AG4812" s="21">
        <f>DATE(YEAR(G4812),MONTH(G4812),1)</f>
        <v/>
      </c>
    </row>
    <row r="4813">
      <c r="A4813" t="inlineStr">
        <is>
          <t>SPO-02587-1</t>
        </is>
      </c>
      <c r="B4813" t="inlineStr">
        <is>
          <t>SPO-02587</t>
        </is>
      </c>
      <c r="C4813" t="inlineStr">
        <is>
          <t>SUP-01</t>
        </is>
      </c>
      <c r="D4813" t="inlineStr">
        <is>
          <t>ELEC</t>
        </is>
      </c>
      <c r="E4813" t="inlineStr">
        <is>
          <t>ELEC-04</t>
        </is>
      </c>
      <c r="F4813" s="17" t="n">
        <v>46292</v>
      </c>
      <c r="G4813" s="17" t="n">
        <v>46310</v>
      </c>
      <c r="H4813" s="18" t="n">
        <v>25</v>
      </c>
      <c r="I4813" s="19" t="n">
        <v>69.23999999999999</v>
      </c>
      <c r="J4813" s="19" t="n">
        <v>72</v>
      </c>
      <c r="K4813" s="20" t="n">
        <v>0</v>
      </c>
      <c r="L4813" s="20" t="n">
        <v>0</v>
      </c>
      <c r="M4813" s="18" t="n">
        <v>0</v>
      </c>
      <c r="N4813" s="18" t="n">
        <v>0</v>
      </c>
      <c r="O4813" s="18" t="n">
        <v>0</v>
      </c>
      <c r="P4813" s="17" t="n"/>
      <c r="Q4813" s="17" t="n"/>
      <c r="R4813" s="17" t="n"/>
      <c r="S4813" s="19">
        <f>H4813*I4813</f>
        <v/>
      </c>
      <c r="T4813" s="19">
        <f>H4813*J4813</f>
        <v/>
      </c>
      <c r="U4813">
        <f>IF(AND(K4813=0,G4813&lt;=Assumptions!$C$6),1,0)</f>
        <v/>
      </c>
      <c r="V4813">
        <f>IF(U4813=1,IF(M4813&gt;0,IF(P4813&lt;=G4813+Assumptions!$C$7,1,0),0),0)</f>
        <v/>
      </c>
      <c r="W4813">
        <f>IF(AND(U4813=1,M4813&gt;=H4813*(1-Assumptions!$C$8)),1,0)</f>
        <v/>
      </c>
      <c r="X4813">
        <f>IF(AND(U4813=1,N4813&gt;=H4813*(1-Assumptions!$C$8)),1,0)</f>
        <v/>
      </c>
      <c r="Y4813">
        <f>IF(ISNUMBER(Q4813),1,0)</f>
        <v/>
      </c>
      <c r="Z4813">
        <f>IF(AND(K4813=0,L4813=0,Y4813=0),1,0)</f>
        <v/>
      </c>
      <c r="AA4813">
        <f>IF(AND(Z4813=1,G4813&lt;Assumptions!$C$6),1,0)</f>
        <v/>
      </c>
      <c r="AB4813">
        <f>IF(U4813=0,"",IF(Y4813=1,MAX(0,Q4813-G4813),IF(L4813=1,MAX(0,R4813-G4813),MAX(0,Assumptions!$C$6-G4813))))</f>
        <v/>
      </c>
      <c r="AC4813">
        <f>IF(Y4813=1,Q4813-F4813,"")</f>
        <v/>
      </c>
      <c r="AD4813">
        <f>IF(Y4813=1,AC4813^2,"")</f>
        <v/>
      </c>
      <c r="AE4813" s="19">
        <f>IF(Z4813=1,(H4813-M4813)*I4813,0)</f>
        <v/>
      </c>
      <c r="AF4813">
        <f>IF(G4813&lt;EDATE(Assumptions!$C$6,-12)+1,"prior_12m","last_12m")</f>
        <v/>
      </c>
      <c r="AG4813" s="21">
        <f>DATE(YEAR(G4813),MONTH(G4813),1)</f>
        <v/>
      </c>
    </row>
    <row r="4814">
      <c r="A4814" t="inlineStr">
        <is>
          <t>SPO-02588-1</t>
        </is>
      </c>
      <c r="B4814" t="inlineStr">
        <is>
          <t>SPO-02588</t>
        </is>
      </c>
      <c r="C4814" t="inlineStr">
        <is>
          <t>SUP-01</t>
        </is>
      </c>
      <c r="D4814" t="inlineStr">
        <is>
          <t>ELEC</t>
        </is>
      </c>
      <c r="E4814" t="inlineStr">
        <is>
          <t>ELEC-03</t>
        </is>
      </c>
      <c r="F4814" s="17" t="n">
        <v>46292</v>
      </c>
      <c r="G4814" s="17" t="n">
        <v>46310</v>
      </c>
      <c r="H4814" s="18" t="n">
        <v>14</v>
      </c>
      <c r="I4814" s="19" t="n">
        <v>99.39</v>
      </c>
      <c r="J4814" s="19" t="n">
        <v>96</v>
      </c>
      <c r="K4814" s="20" t="n">
        <v>0</v>
      </c>
      <c r="L4814" s="20" t="n">
        <v>0</v>
      </c>
      <c r="M4814" s="18" t="n">
        <v>0</v>
      </c>
      <c r="N4814" s="18" t="n">
        <v>0</v>
      </c>
      <c r="O4814" s="18" t="n">
        <v>0</v>
      </c>
      <c r="P4814" s="17" t="n"/>
      <c r="Q4814" s="17" t="n"/>
      <c r="R4814" s="17" t="n"/>
      <c r="S4814" s="19">
        <f>H4814*I4814</f>
        <v/>
      </c>
      <c r="T4814" s="19">
        <f>H4814*J4814</f>
        <v/>
      </c>
      <c r="U4814">
        <f>IF(AND(K4814=0,G4814&lt;=Assumptions!$C$6),1,0)</f>
        <v/>
      </c>
      <c r="V4814">
        <f>IF(U4814=1,IF(M4814&gt;0,IF(P4814&lt;=G4814+Assumptions!$C$7,1,0),0),0)</f>
        <v/>
      </c>
      <c r="W4814">
        <f>IF(AND(U4814=1,M4814&gt;=H4814*(1-Assumptions!$C$8)),1,0)</f>
        <v/>
      </c>
      <c r="X4814">
        <f>IF(AND(U4814=1,N4814&gt;=H4814*(1-Assumptions!$C$8)),1,0)</f>
        <v/>
      </c>
      <c r="Y4814">
        <f>IF(ISNUMBER(Q4814),1,0)</f>
        <v/>
      </c>
      <c r="Z4814">
        <f>IF(AND(K4814=0,L4814=0,Y4814=0),1,0)</f>
        <v/>
      </c>
      <c r="AA4814">
        <f>IF(AND(Z4814=1,G4814&lt;Assumptions!$C$6),1,0)</f>
        <v/>
      </c>
      <c r="AB4814">
        <f>IF(U4814=0,"",IF(Y4814=1,MAX(0,Q4814-G4814),IF(L4814=1,MAX(0,R4814-G4814),MAX(0,Assumptions!$C$6-G4814))))</f>
        <v/>
      </c>
      <c r="AC4814">
        <f>IF(Y4814=1,Q4814-F4814,"")</f>
        <v/>
      </c>
      <c r="AD4814">
        <f>IF(Y4814=1,AC4814^2,"")</f>
        <v/>
      </c>
      <c r="AE4814" s="19">
        <f>IF(Z4814=1,(H4814-M4814)*I4814,0)</f>
        <v/>
      </c>
      <c r="AF4814">
        <f>IF(G4814&lt;EDATE(Assumptions!$C$6,-12)+1,"prior_12m","last_12m")</f>
        <v/>
      </c>
      <c r="AG4814" s="21">
        <f>DATE(YEAR(G4814),MONTH(G4814),1)</f>
        <v/>
      </c>
    </row>
    <row r="4815">
      <c r="A4815" t="inlineStr">
        <is>
          <t>SPO-02589-1</t>
        </is>
      </c>
      <c r="B4815" t="inlineStr">
        <is>
          <t>SPO-02589</t>
        </is>
      </c>
      <c r="C4815" t="inlineStr">
        <is>
          <t>SUP-08</t>
        </is>
      </c>
      <c r="D4815" t="inlineStr">
        <is>
          <t>PPE</t>
        </is>
      </c>
      <c r="E4815" t="inlineStr">
        <is>
          <t>PPE-03</t>
        </is>
      </c>
      <c r="F4815" s="17" t="n">
        <v>46293</v>
      </c>
      <c r="G4815" s="17" t="n">
        <v>46304</v>
      </c>
      <c r="H4815" s="18" t="n">
        <v>68</v>
      </c>
      <c r="I4815" s="19" t="n">
        <v>19.14</v>
      </c>
      <c r="J4815" s="19" t="n">
        <v>21</v>
      </c>
      <c r="K4815" s="20" t="n">
        <v>0</v>
      </c>
      <c r="L4815" s="20" t="n">
        <v>0</v>
      </c>
      <c r="M4815" s="18" t="n">
        <v>0</v>
      </c>
      <c r="N4815" s="18" t="n">
        <v>0</v>
      </c>
      <c r="O4815" s="18" t="n">
        <v>0</v>
      </c>
      <c r="P4815" s="17" t="n"/>
      <c r="Q4815" s="17" t="n"/>
      <c r="R4815" s="17" t="n"/>
      <c r="S4815" s="19">
        <f>H4815*I4815</f>
        <v/>
      </c>
      <c r="T4815" s="19">
        <f>H4815*J4815</f>
        <v/>
      </c>
      <c r="U4815">
        <f>IF(AND(K4815=0,G4815&lt;=Assumptions!$C$6),1,0)</f>
        <v/>
      </c>
      <c r="V4815">
        <f>IF(U4815=1,IF(M4815&gt;0,IF(P4815&lt;=G4815+Assumptions!$C$7,1,0),0),0)</f>
        <v/>
      </c>
      <c r="W4815">
        <f>IF(AND(U4815=1,M4815&gt;=H4815*(1-Assumptions!$C$8)),1,0)</f>
        <v/>
      </c>
      <c r="X4815">
        <f>IF(AND(U4815=1,N4815&gt;=H4815*(1-Assumptions!$C$8)),1,0)</f>
        <v/>
      </c>
      <c r="Y4815">
        <f>IF(ISNUMBER(Q4815),1,0)</f>
        <v/>
      </c>
      <c r="Z4815">
        <f>IF(AND(K4815=0,L4815=0,Y4815=0),1,0)</f>
        <v/>
      </c>
      <c r="AA4815">
        <f>IF(AND(Z4815=1,G4815&lt;Assumptions!$C$6),1,0)</f>
        <v/>
      </c>
      <c r="AB4815">
        <f>IF(U4815=0,"",IF(Y4815=1,MAX(0,Q4815-G4815),IF(L4815=1,MAX(0,R4815-G4815),MAX(0,Assumptions!$C$6-G4815))))</f>
        <v/>
      </c>
      <c r="AC4815">
        <f>IF(Y4815=1,Q4815-F4815,"")</f>
        <v/>
      </c>
      <c r="AD4815">
        <f>IF(Y4815=1,AC4815^2,"")</f>
        <v/>
      </c>
      <c r="AE4815" s="19">
        <f>IF(Z4815=1,(H4815-M4815)*I4815,0)</f>
        <v/>
      </c>
      <c r="AF4815">
        <f>IF(G4815&lt;EDATE(Assumptions!$C$6,-12)+1,"prior_12m","last_12m")</f>
        <v/>
      </c>
      <c r="AG4815" s="21">
        <f>DATE(YEAR(G4815),MONTH(G4815),1)</f>
        <v/>
      </c>
    </row>
    <row r="4816">
      <c r="A4816" t="inlineStr">
        <is>
          <t>SPO-02589-2</t>
        </is>
      </c>
      <c r="B4816" t="inlineStr">
        <is>
          <t>SPO-02589</t>
        </is>
      </c>
      <c r="C4816" t="inlineStr">
        <is>
          <t>SUP-08</t>
        </is>
      </c>
      <c r="D4816" t="inlineStr">
        <is>
          <t>PPE</t>
        </is>
      </c>
      <c r="E4816" t="inlineStr">
        <is>
          <t>PPE-07</t>
        </is>
      </c>
      <c r="F4816" s="17" t="n">
        <v>46293</v>
      </c>
      <c r="G4816" s="17" t="n">
        <v>46304</v>
      </c>
      <c r="H4816" s="18" t="n">
        <v>73</v>
      </c>
      <c r="I4816" s="19" t="n">
        <v>31.44</v>
      </c>
      <c r="J4816" s="19" t="n">
        <v>31</v>
      </c>
      <c r="K4816" s="20" t="n">
        <v>0</v>
      </c>
      <c r="L4816" s="20" t="n">
        <v>0</v>
      </c>
      <c r="M4816" s="18" t="n">
        <v>0</v>
      </c>
      <c r="N4816" s="18" t="n">
        <v>0</v>
      </c>
      <c r="O4816" s="18" t="n">
        <v>0</v>
      </c>
      <c r="P4816" s="17" t="n"/>
      <c r="Q4816" s="17" t="n"/>
      <c r="R4816" s="17" t="n"/>
      <c r="S4816" s="19">
        <f>H4816*I4816</f>
        <v/>
      </c>
      <c r="T4816" s="19">
        <f>H4816*J4816</f>
        <v/>
      </c>
      <c r="U4816">
        <f>IF(AND(K4816=0,G4816&lt;=Assumptions!$C$6),1,0)</f>
        <v/>
      </c>
      <c r="V4816">
        <f>IF(U4816=1,IF(M4816&gt;0,IF(P4816&lt;=G4816+Assumptions!$C$7,1,0),0),0)</f>
        <v/>
      </c>
      <c r="W4816">
        <f>IF(AND(U4816=1,M4816&gt;=H4816*(1-Assumptions!$C$8)),1,0)</f>
        <v/>
      </c>
      <c r="X4816">
        <f>IF(AND(U4816=1,N4816&gt;=H4816*(1-Assumptions!$C$8)),1,0)</f>
        <v/>
      </c>
      <c r="Y4816">
        <f>IF(ISNUMBER(Q4816),1,0)</f>
        <v/>
      </c>
      <c r="Z4816">
        <f>IF(AND(K4816=0,L4816=0,Y4816=0),1,0)</f>
        <v/>
      </c>
      <c r="AA4816">
        <f>IF(AND(Z4816=1,G4816&lt;Assumptions!$C$6),1,0)</f>
        <v/>
      </c>
      <c r="AB4816">
        <f>IF(U4816=0,"",IF(Y4816=1,MAX(0,Q4816-G4816),IF(L4816=1,MAX(0,R4816-G4816),MAX(0,Assumptions!$C$6-G4816))))</f>
        <v/>
      </c>
      <c r="AC4816">
        <f>IF(Y4816=1,Q4816-F4816,"")</f>
        <v/>
      </c>
      <c r="AD4816">
        <f>IF(Y4816=1,AC4816^2,"")</f>
        <v/>
      </c>
      <c r="AE4816" s="19">
        <f>IF(Z4816=1,(H4816-M4816)*I4816,0)</f>
        <v/>
      </c>
      <c r="AF4816">
        <f>IF(G4816&lt;EDATE(Assumptions!$C$6,-12)+1,"prior_12m","last_12m")</f>
        <v/>
      </c>
      <c r="AG4816" s="21">
        <f>DATE(YEAR(G4816),MONTH(G4816),1)</f>
        <v/>
      </c>
    </row>
    <row r="4817">
      <c r="A4817" t="inlineStr">
        <is>
          <t>SPO-02590-1</t>
        </is>
      </c>
      <c r="B4817" t="inlineStr">
        <is>
          <t>SPO-02590</t>
        </is>
      </c>
      <c r="C4817" t="inlineStr">
        <is>
          <t>SUP-07</t>
        </is>
      </c>
      <c r="D4817" t="inlineStr">
        <is>
          <t>MRO</t>
        </is>
      </c>
      <c r="E4817" t="inlineStr">
        <is>
          <t>MRO-07</t>
        </is>
      </c>
      <c r="F4817" s="17" t="n">
        <v>46293</v>
      </c>
      <c r="G4817" s="17" t="n">
        <v>46303</v>
      </c>
      <c r="H4817" s="18" t="n">
        <v>161</v>
      </c>
      <c r="I4817" s="19" t="n">
        <v>13.36</v>
      </c>
      <c r="J4817" s="19" t="n">
        <v>14</v>
      </c>
      <c r="K4817" s="20" t="n">
        <v>0</v>
      </c>
      <c r="L4817" s="20" t="n">
        <v>0</v>
      </c>
      <c r="M4817" s="18" t="n">
        <v>0</v>
      </c>
      <c r="N4817" s="18" t="n">
        <v>0</v>
      </c>
      <c r="O4817" s="18" t="n">
        <v>0</v>
      </c>
      <c r="P4817" s="17" t="n"/>
      <c r="Q4817" s="17" t="n"/>
      <c r="R4817" s="17" t="n"/>
      <c r="S4817" s="19">
        <f>H4817*I4817</f>
        <v/>
      </c>
      <c r="T4817" s="19">
        <f>H4817*J4817</f>
        <v/>
      </c>
      <c r="U4817">
        <f>IF(AND(K4817=0,G4817&lt;=Assumptions!$C$6),1,0)</f>
        <v/>
      </c>
      <c r="V4817">
        <f>IF(U4817=1,IF(M4817&gt;0,IF(P4817&lt;=G4817+Assumptions!$C$7,1,0),0),0)</f>
        <v/>
      </c>
      <c r="W4817">
        <f>IF(AND(U4817=1,M4817&gt;=H4817*(1-Assumptions!$C$8)),1,0)</f>
        <v/>
      </c>
      <c r="X4817">
        <f>IF(AND(U4817=1,N4817&gt;=H4817*(1-Assumptions!$C$8)),1,0)</f>
        <v/>
      </c>
      <c r="Y4817">
        <f>IF(ISNUMBER(Q4817),1,0)</f>
        <v/>
      </c>
      <c r="Z4817">
        <f>IF(AND(K4817=0,L4817=0,Y4817=0),1,0)</f>
        <v/>
      </c>
      <c r="AA4817">
        <f>IF(AND(Z4817=1,G4817&lt;Assumptions!$C$6),1,0)</f>
        <v/>
      </c>
      <c r="AB4817">
        <f>IF(U4817=0,"",IF(Y4817=1,MAX(0,Q4817-G4817),IF(L4817=1,MAX(0,R4817-G4817),MAX(0,Assumptions!$C$6-G4817))))</f>
        <v/>
      </c>
      <c r="AC4817">
        <f>IF(Y4817=1,Q4817-F4817,"")</f>
        <v/>
      </c>
      <c r="AD4817">
        <f>IF(Y4817=1,AC4817^2,"")</f>
        <v/>
      </c>
      <c r="AE4817" s="19">
        <f>IF(Z4817=1,(H4817-M4817)*I4817,0)</f>
        <v/>
      </c>
      <c r="AF4817">
        <f>IF(G4817&lt;EDATE(Assumptions!$C$6,-12)+1,"prior_12m","last_12m")</f>
        <v/>
      </c>
      <c r="AG4817" s="21">
        <f>DATE(YEAR(G4817),MONTH(G4817),1)</f>
        <v/>
      </c>
    </row>
    <row r="4818">
      <c r="A4818" t="inlineStr">
        <is>
          <t>SPO-02591-1</t>
        </is>
      </c>
      <c r="B4818" t="inlineStr">
        <is>
          <t>SPO-02591</t>
        </is>
      </c>
      <c r="C4818" t="inlineStr">
        <is>
          <t>SUP-12</t>
        </is>
      </c>
      <c r="D4818" t="inlineStr">
        <is>
          <t>IT</t>
        </is>
      </c>
      <c r="E4818" t="inlineStr">
        <is>
          <t>IT-05</t>
        </is>
      </c>
      <c r="F4818" s="17" t="n">
        <v>46293</v>
      </c>
      <c r="G4818" s="17" t="n">
        <v>46303</v>
      </c>
      <c r="H4818" s="18" t="n">
        <v>4</v>
      </c>
      <c r="I4818" s="19" t="n">
        <v>669.98</v>
      </c>
      <c r="J4818" s="19" t="n">
        <v>640</v>
      </c>
      <c r="K4818" s="20" t="n">
        <v>0</v>
      </c>
      <c r="L4818" s="20" t="n">
        <v>0</v>
      </c>
      <c r="M4818" s="18" t="n">
        <v>0</v>
      </c>
      <c r="N4818" s="18" t="n">
        <v>0</v>
      </c>
      <c r="O4818" s="18" t="n">
        <v>0</v>
      </c>
      <c r="P4818" s="17" t="n"/>
      <c r="Q4818" s="17" t="n"/>
      <c r="R4818" s="17" t="n"/>
      <c r="S4818" s="19">
        <f>H4818*I4818</f>
        <v/>
      </c>
      <c r="T4818" s="19">
        <f>H4818*J4818</f>
        <v/>
      </c>
      <c r="U4818">
        <f>IF(AND(K4818=0,G4818&lt;=Assumptions!$C$6),1,0)</f>
        <v/>
      </c>
      <c r="V4818">
        <f>IF(U4818=1,IF(M4818&gt;0,IF(P4818&lt;=G4818+Assumptions!$C$7,1,0),0),0)</f>
        <v/>
      </c>
      <c r="W4818">
        <f>IF(AND(U4818=1,M4818&gt;=H4818*(1-Assumptions!$C$8)),1,0)</f>
        <v/>
      </c>
      <c r="X4818">
        <f>IF(AND(U4818=1,N4818&gt;=H4818*(1-Assumptions!$C$8)),1,0)</f>
        <v/>
      </c>
      <c r="Y4818">
        <f>IF(ISNUMBER(Q4818),1,0)</f>
        <v/>
      </c>
      <c r="Z4818">
        <f>IF(AND(K4818=0,L4818=0,Y4818=0),1,0)</f>
        <v/>
      </c>
      <c r="AA4818">
        <f>IF(AND(Z4818=1,G4818&lt;Assumptions!$C$6),1,0)</f>
        <v/>
      </c>
      <c r="AB4818">
        <f>IF(U4818=0,"",IF(Y4818=1,MAX(0,Q4818-G4818),IF(L4818=1,MAX(0,R4818-G4818),MAX(0,Assumptions!$C$6-G4818))))</f>
        <v/>
      </c>
      <c r="AC4818">
        <f>IF(Y4818=1,Q4818-F4818,"")</f>
        <v/>
      </c>
      <c r="AD4818">
        <f>IF(Y4818=1,AC4818^2,"")</f>
        <v/>
      </c>
      <c r="AE4818" s="19">
        <f>IF(Z4818=1,(H4818-M4818)*I4818,0)</f>
        <v/>
      </c>
      <c r="AF4818">
        <f>IF(G4818&lt;EDATE(Assumptions!$C$6,-12)+1,"prior_12m","last_12m")</f>
        <v/>
      </c>
      <c r="AG4818" s="21">
        <f>DATE(YEAR(G4818),MONTH(G4818),1)</f>
        <v/>
      </c>
    </row>
    <row r="4819">
      <c r="A4819" t="inlineStr">
        <is>
          <t>SPO-02591-2</t>
        </is>
      </c>
      <c r="B4819" t="inlineStr">
        <is>
          <t>SPO-02591</t>
        </is>
      </c>
      <c r="C4819" t="inlineStr">
        <is>
          <t>SUP-12</t>
        </is>
      </c>
      <c r="D4819" t="inlineStr">
        <is>
          <t>IT</t>
        </is>
      </c>
      <c r="E4819" t="inlineStr">
        <is>
          <t>IT-03</t>
        </is>
      </c>
      <c r="F4819" s="17" t="n">
        <v>46293</v>
      </c>
      <c r="G4819" s="17" t="n">
        <v>46303</v>
      </c>
      <c r="H4819" s="18" t="n">
        <v>28</v>
      </c>
      <c r="I4819" s="19" t="n">
        <v>43.25</v>
      </c>
      <c r="J4819" s="19" t="n">
        <v>38</v>
      </c>
      <c r="K4819" s="20" t="n">
        <v>0</v>
      </c>
      <c r="L4819" s="20" t="n">
        <v>0</v>
      </c>
      <c r="M4819" s="18" t="n">
        <v>0</v>
      </c>
      <c r="N4819" s="18" t="n">
        <v>0</v>
      </c>
      <c r="O4819" s="18" t="n">
        <v>0</v>
      </c>
      <c r="P4819" s="17" t="n"/>
      <c r="Q4819" s="17" t="n"/>
      <c r="R4819" s="17" t="n"/>
      <c r="S4819" s="19">
        <f>H4819*I4819</f>
        <v/>
      </c>
      <c r="T4819" s="19">
        <f>H4819*J4819</f>
        <v/>
      </c>
      <c r="U4819">
        <f>IF(AND(K4819=0,G4819&lt;=Assumptions!$C$6),1,0)</f>
        <v/>
      </c>
      <c r="V4819">
        <f>IF(U4819=1,IF(M4819&gt;0,IF(P4819&lt;=G4819+Assumptions!$C$7,1,0),0),0)</f>
        <v/>
      </c>
      <c r="W4819">
        <f>IF(AND(U4819=1,M4819&gt;=H4819*(1-Assumptions!$C$8)),1,0)</f>
        <v/>
      </c>
      <c r="X4819">
        <f>IF(AND(U4819=1,N4819&gt;=H4819*(1-Assumptions!$C$8)),1,0)</f>
        <v/>
      </c>
      <c r="Y4819">
        <f>IF(ISNUMBER(Q4819),1,0)</f>
        <v/>
      </c>
      <c r="Z4819">
        <f>IF(AND(K4819=0,L4819=0,Y4819=0),1,0)</f>
        <v/>
      </c>
      <c r="AA4819">
        <f>IF(AND(Z4819=1,G4819&lt;Assumptions!$C$6),1,0)</f>
        <v/>
      </c>
      <c r="AB4819">
        <f>IF(U4819=0,"",IF(Y4819=1,MAX(0,Q4819-G4819),IF(L4819=1,MAX(0,R4819-G4819),MAX(0,Assumptions!$C$6-G4819))))</f>
        <v/>
      </c>
      <c r="AC4819">
        <f>IF(Y4819=1,Q4819-F4819,"")</f>
        <v/>
      </c>
      <c r="AD4819">
        <f>IF(Y4819=1,AC4819^2,"")</f>
        <v/>
      </c>
      <c r="AE4819" s="19">
        <f>IF(Z4819=1,(H4819-M4819)*I4819,0)</f>
        <v/>
      </c>
      <c r="AF4819">
        <f>IF(G4819&lt;EDATE(Assumptions!$C$6,-12)+1,"prior_12m","last_12m")</f>
        <v/>
      </c>
      <c r="AG4819" s="21">
        <f>DATE(YEAR(G4819),MONTH(G4819),1)</f>
        <v/>
      </c>
    </row>
    <row r="4820">
      <c r="A4820" t="inlineStr">
        <is>
          <t>SPO-02592-1</t>
        </is>
      </c>
      <c r="B4820" t="inlineStr">
        <is>
          <t>SPO-02592</t>
        </is>
      </c>
      <c r="C4820" t="inlineStr">
        <is>
          <t>SUP-05</t>
        </is>
      </c>
      <c r="D4820" t="inlineStr">
        <is>
          <t>FLEET</t>
        </is>
      </c>
      <c r="E4820" t="inlineStr">
        <is>
          <t>FLEET-06</t>
        </is>
      </c>
      <c r="F4820" s="17" t="n">
        <v>46294</v>
      </c>
      <c r="G4820" s="17" t="n">
        <v>46308</v>
      </c>
      <c r="H4820" s="18" t="n">
        <v>45</v>
      </c>
      <c r="I4820" s="19" t="n">
        <v>34.52</v>
      </c>
      <c r="J4820" s="19" t="n">
        <v>33</v>
      </c>
      <c r="K4820" s="20" t="n">
        <v>0</v>
      </c>
      <c r="L4820" s="20" t="n">
        <v>0</v>
      </c>
      <c r="M4820" s="18" t="n">
        <v>0</v>
      </c>
      <c r="N4820" s="18" t="n">
        <v>0</v>
      </c>
      <c r="O4820" s="18" t="n">
        <v>0</v>
      </c>
      <c r="P4820" s="17" t="n"/>
      <c r="Q4820" s="17" t="n"/>
      <c r="R4820" s="17" t="n"/>
      <c r="S4820" s="19">
        <f>H4820*I4820</f>
        <v/>
      </c>
      <c r="T4820" s="19">
        <f>H4820*J4820</f>
        <v/>
      </c>
      <c r="U4820">
        <f>IF(AND(K4820=0,G4820&lt;=Assumptions!$C$6),1,0)</f>
        <v/>
      </c>
      <c r="V4820">
        <f>IF(U4820=1,IF(M4820&gt;0,IF(P4820&lt;=G4820+Assumptions!$C$7,1,0),0),0)</f>
        <v/>
      </c>
      <c r="W4820">
        <f>IF(AND(U4820=1,M4820&gt;=H4820*(1-Assumptions!$C$8)),1,0)</f>
        <v/>
      </c>
      <c r="X4820">
        <f>IF(AND(U4820=1,N4820&gt;=H4820*(1-Assumptions!$C$8)),1,0)</f>
        <v/>
      </c>
      <c r="Y4820">
        <f>IF(ISNUMBER(Q4820),1,0)</f>
        <v/>
      </c>
      <c r="Z4820">
        <f>IF(AND(K4820=0,L4820=0,Y4820=0),1,0)</f>
        <v/>
      </c>
      <c r="AA4820">
        <f>IF(AND(Z4820=1,G4820&lt;Assumptions!$C$6),1,0)</f>
        <v/>
      </c>
      <c r="AB4820">
        <f>IF(U4820=0,"",IF(Y4820=1,MAX(0,Q4820-G4820),IF(L4820=1,MAX(0,R4820-G4820),MAX(0,Assumptions!$C$6-G4820))))</f>
        <v/>
      </c>
      <c r="AC4820">
        <f>IF(Y4820=1,Q4820-F4820,"")</f>
        <v/>
      </c>
      <c r="AD4820">
        <f>IF(Y4820=1,AC4820^2,"")</f>
        <v/>
      </c>
      <c r="AE4820" s="19">
        <f>IF(Z4820=1,(H4820-M4820)*I4820,0)</f>
        <v/>
      </c>
      <c r="AF4820">
        <f>IF(G4820&lt;EDATE(Assumptions!$C$6,-12)+1,"prior_12m","last_12m")</f>
        <v/>
      </c>
      <c r="AG4820" s="21">
        <f>DATE(YEAR(G4820),MONTH(G4820),1)</f>
        <v/>
      </c>
    </row>
    <row r="4821">
      <c r="A4821" t="inlineStr">
        <is>
          <t>SPO-02592-2</t>
        </is>
      </c>
      <c r="B4821" t="inlineStr">
        <is>
          <t>SPO-02592</t>
        </is>
      </c>
      <c r="C4821" t="inlineStr">
        <is>
          <t>SUP-05</t>
        </is>
      </c>
      <c r="D4821" t="inlineStr">
        <is>
          <t>FLEET</t>
        </is>
      </c>
      <c r="E4821" t="inlineStr">
        <is>
          <t>FLEET-07</t>
        </is>
      </c>
      <c r="F4821" s="17" t="n">
        <v>46294</v>
      </c>
      <c r="G4821" s="17" t="n">
        <v>46308</v>
      </c>
      <c r="H4821" s="18" t="n">
        <v>7</v>
      </c>
      <c r="I4821" s="19" t="n">
        <v>122.67</v>
      </c>
      <c r="J4821" s="19" t="n">
        <v>118</v>
      </c>
      <c r="K4821" s="20" t="n">
        <v>0</v>
      </c>
      <c r="L4821" s="20" t="n">
        <v>0</v>
      </c>
      <c r="M4821" s="18" t="n">
        <v>0</v>
      </c>
      <c r="N4821" s="18" t="n">
        <v>0</v>
      </c>
      <c r="O4821" s="18" t="n">
        <v>0</v>
      </c>
      <c r="P4821" s="17" t="n"/>
      <c r="Q4821" s="17" t="n"/>
      <c r="R4821" s="17" t="n"/>
      <c r="S4821" s="19">
        <f>H4821*I4821</f>
        <v/>
      </c>
      <c r="T4821" s="19">
        <f>H4821*J4821</f>
        <v/>
      </c>
      <c r="U4821">
        <f>IF(AND(K4821=0,G4821&lt;=Assumptions!$C$6),1,0)</f>
        <v/>
      </c>
      <c r="V4821">
        <f>IF(U4821=1,IF(M4821&gt;0,IF(P4821&lt;=G4821+Assumptions!$C$7,1,0),0),0)</f>
        <v/>
      </c>
      <c r="W4821">
        <f>IF(AND(U4821=1,M4821&gt;=H4821*(1-Assumptions!$C$8)),1,0)</f>
        <v/>
      </c>
      <c r="X4821">
        <f>IF(AND(U4821=1,N4821&gt;=H4821*(1-Assumptions!$C$8)),1,0)</f>
        <v/>
      </c>
      <c r="Y4821">
        <f>IF(ISNUMBER(Q4821),1,0)</f>
        <v/>
      </c>
      <c r="Z4821">
        <f>IF(AND(K4821=0,L4821=0,Y4821=0),1,0)</f>
        <v/>
      </c>
      <c r="AA4821">
        <f>IF(AND(Z4821=1,G4821&lt;Assumptions!$C$6),1,0)</f>
        <v/>
      </c>
      <c r="AB4821">
        <f>IF(U4821=0,"",IF(Y4821=1,MAX(0,Q4821-G4821),IF(L4821=1,MAX(0,R4821-G4821),MAX(0,Assumptions!$C$6-G4821))))</f>
        <v/>
      </c>
      <c r="AC4821">
        <f>IF(Y4821=1,Q4821-F4821,"")</f>
        <v/>
      </c>
      <c r="AD4821">
        <f>IF(Y4821=1,AC4821^2,"")</f>
        <v/>
      </c>
      <c r="AE4821" s="19">
        <f>IF(Z4821=1,(H4821-M4821)*I4821,0)</f>
        <v/>
      </c>
      <c r="AF4821">
        <f>IF(G4821&lt;EDATE(Assumptions!$C$6,-12)+1,"prior_12m","last_12m")</f>
        <v/>
      </c>
      <c r="AG4821" s="21">
        <f>DATE(YEAR(G4821),MONTH(G4821),1)</f>
        <v/>
      </c>
    </row>
    <row r="4822">
      <c r="A4822" t="inlineStr">
        <is>
          <t>SPO-02592-3</t>
        </is>
      </c>
      <c r="B4822" t="inlineStr">
        <is>
          <t>SPO-02592</t>
        </is>
      </c>
      <c r="C4822" t="inlineStr">
        <is>
          <t>SUP-05</t>
        </is>
      </c>
      <c r="D4822" t="inlineStr">
        <is>
          <t>FLEET</t>
        </is>
      </c>
      <c r="E4822" t="inlineStr">
        <is>
          <t>FLEET-04</t>
        </is>
      </c>
      <c r="F4822" s="17" t="n">
        <v>46294</v>
      </c>
      <c r="G4822" s="17" t="n">
        <v>46308</v>
      </c>
      <c r="H4822" s="18" t="n">
        <v>246</v>
      </c>
      <c r="I4822" s="19" t="n">
        <v>9.109999999999999</v>
      </c>
      <c r="J4822" s="19" t="n">
        <v>9</v>
      </c>
      <c r="K4822" s="20" t="n">
        <v>0</v>
      </c>
      <c r="L4822" s="20" t="n">
        <v>0</v>
      </c>
      <c r="M4822" s="18" t="n">
        <v>0</v>
      </c>
      <c r="N4822" s="18" t="n">
        <v>0</v>
      </c>
      <c r="O4822" s="18" t="n">
        <v>0</v>
      </c>
      <c r="P4822" s="17" t="n"/>
      <c r="Q4822" s="17" t="n"/>
      <c r="R4822" s="17" t="n"/>
      <c r="S4822" s="19">
        <f>H4822*I4822</f>
        <v/>
      </c>
      <c r="T4822" s="19">
        <f>H4822*J4822</f>
        <v/>
      </c>
      <c r="U4822">
        <f>IF(AND(K4822=0,G4822&lt;=Assumptions!$C$6),1,0)</f>
        <v/>
      </c>
      <c r="V4822">
        <f>IF(U4822=1,IF(M4822&gt;0,IF(P4822&lt;=G4822+Assumptions!$C$7,1,0),0),0)</f>
        <v/>
      </c>
      <c r="W4822">
        <f>IF(AND(U4822=1,M4822&gt;=H4822*(1-Assumptions!$C$8)),1,0)</f>
        <v/>
      </c>
      <c r="X4822">
        <f>IF(AND(U4822=1,N4822&gt;=H4822*(1-Assumptions!$C$8)),1,0)</f>
        <v/>
      </c>
      <c r="Y4822">
        <f>IF(ISNUMBER(Q4822),1,0)</f>
        <v/>
      </c>
      <c r="Z4822">
        <f>IF(AND(K4822=0,L4822=0,Y4822=0),1,0)</f>
        <v/>
      </c>
      <c r="AA4822">
        <f>IF(AND(Z4822=1,G4822&lt;Assumptions!$C$6),1,0)</f>
        <v/>
      </c>
      <c r="AB4822">
        <f>IF(U4822=0,"",IF(Y4822=1,MAX(0,Q4822-G4822),IF(L4822=1,MAX(0,R4822-G4822),MAX(0,Assumptions!$C$6-G4822))))</f>
        <v/>
      </c>
      <c r="AC4822">
        <f>IF(Y4822=1,Q4822-F4822,"")</f>
        <v/>
      </c>
      <c r="AD4822">
        <f>IF(Y4822=1,AC4822^2,"")</f>
        <v/>
      </c>
      <c r="AE4822" s="19">
        <f>IF(Z4822=1,(H4822-M4822)*I4822,0)</f>
        <v/>
      </c>
      <c r="AF4822">
        <f>IF(G4822&lt;EDATE(Assumptions!$C$6,-12)+1,"prior_12m","last_12m")</f>
        <v/>
      </c>
      <c r="AG4822" s="21">
        <f>DATE(YEAR(G4822),MONTH(G4822),1)</f>
        <v/>
      </c>
    </row>
    <row r="4823">
      <c r="A4823" t="inlineStr">
        <is>
          <t>SPO-02593-1</t>
        </is>
      </c>
      <c r="B4823" t="inlineStr">
        <is>
          <t>SPO-02593</t>
        </is>
      </c>
      <c r="C4823" t="inlineStr">
        <is>
          <t>SUP-07</t>
        </is>
      </c>
      <c r="D4823" t="inlineStr">
        <is>
          <t>MRO</t>
        </is>
      </c>
      <c r="E4823" t="inlineStr">
        <is>
          <t>MRO-08</t>
        </is>
      </c>
      <c r="F4823" s="17" t="n">
        <v>46294</v>
      </c>
      <c r="G4823" s="17" t="n">
        <v>46304</v>
      </c>
      <c r="H4823" s="18" t="n">
        <v>339</v>
      </c>
      <c r="I4823" s="19" t="n">
        <v>7.52</v>
      </c>
      <c r="J4823" s="19" t="n">
        <v>7.2</v>
      </c>
      <c r="K4823" s="20" t="n">
        <v>0</v>
      </c>
      <c r="L4823" s="20" t="n">
        <v>0</v>
      </c>
      <c r="M4823" s="18" t="n">
        <v>0</v>
      </c>
      <c r="N4823" s="18" t="n">
        <v>0</v>
      </c>
      <c r="O4823" s="18" t="n">
        <v>0</v>
      </c>
      <c r="P4823" s="17" t="n"/>
      <c r="Q4823" s="17" t="n"/>
      <c r="R4823" s="17" t="n"/>
      <c r="S4823" s="19">
        <f>H4823*I4823</f>
        <v/>
      </c>
      <c r="T4823" s="19">
        <f>H4823*J4823</f>
        <v/>
      </c>
      <c r="U4823">
        <f>IF(AND(K4823=0,G4823&lt;=Assumptions!$C$6),1,0)</f>
        <v/>
      </c>
      <c r="V4823">
        <f>IF(U4823=1,IF(M4823&gt;0,IF(P4823&lt;=G4823+Assumptions!$C$7,1,0),0),0)</f>
        <v/>
      </c>
      <c r="W4823">
        <f>IF(AND(U4823=1,M4823&gt;=H4823*(1-Assumptions!$C$8)),1,0)</f>
        <v/>
      </c>
      <c r="X4823">
        <f>IF(AND(U4823=1,N4823&gt;=H4823*(1-Assumptions!$C$8)),1,0)</f>
        <v/>
      </c>
      <c r="Y4823">
        <f>IF(ISNUMBER(Q4823),1,0)</f>
        <v/>
      </c>
      <c r="Z4823">
        <f>IF(AND(K4823=0,L4823=0,Y4823=0),1,0)</f>
        <v/>
      </c>
      <c r="AA4823">
        <f>IF(AND(Z4823=1,G4823&lt;Assumptions!$C$6),1,0)</f>
        <v/>
      </c>
      <c r="AB4823">
        <f>IF(U4823=0,"",IF(Y4823=1,MAX(0,Q4823-G4823),IF(L4823=1,MAX(0,R4823-G4823),MAX(0,Assumptions!$C$6-G4823))))</f>
        <v/>
      </c>
      <c r="AC4823">
        <f>IF(Y4823=1,Q4823-F4823,"")</f>
        <v/>
      </c>
      <c r="AD4823">
        <f>IF(Y4823=1,AC4823^2,"")</f>
        <v/>
      </c>
      <c r="AE4823" s="19">
        <f>IF(Z4823=1,(H4823-M4823)*I4823,0)</f>
        <v/>
      </c>
      <c r="AF4823">
        <f>IF(G4823&lt;EDATE(Assumptions!$C$6,-12)+1,"prior_12m","last_12m")</f>
        <v/>
      </c>
      <c r="AG4823" s="21">
        <f>DATE(YEAR(G4823),MONTH(G4823),1)</f>
        <v/>
      </c>
    </row>
    <row r="4824">
      <c r="A4824" t="inlineStr">
        <is>
          <t>SPO-02593-2</t>
        </is>
      </c>
      <c r="B4824" t="inlineStr">
        <is>
          <t>SPO-02593</t>
        </is>
      </c>
      <c r="C4824" t="inlineStr">
        <is>
          <t>SUP-07</t>
        </is>
      </c>
      <c r="D4824" t="inlineStr">
        <is>
          <t>MRO</t>
        </is>
      </c>
      <c r="E4824" t="inlineStr">
        <is>
          <t>MRO-04</t>
        </is>
      </c>
      <c r="F4824" s="17" t="n">
        <v>46294</v>
      </c>
      <c r="G4824" s="17" t="n">
        <v>46304</v>
      </c>
      <c r="H4824" s="18" t="n">
        <v>17</v>
      </c>
      <c r="I4824" s="19" t="n">
        <v>58.06</v>
      </c>
      <c r="J4824" s="19" t="n">
        <v>58</v>
      </c>
      <c r="K4824" s="20" t="n">
        <v>0</v>
      </c>
      <c r="L4824" s="20" t="n">
        <v>0</v>
      </c>
      <c r="M4824" s="18" t="n">
        <v>0</v>
      </c>
      <c r="N4824" s="18" t="n">
        <v>0</v>
      </c>
      <c r="O4824" s="18" t="n">
        <v>0</v>
      </c>
      <c r="P4824" s="17" t="n"/>
      <c r="Q4824" s="17" t="n"/>
      <c r="R4824" s="17" t="n"/>
      <c r="S4824" s="19">
        <f>H4824*I4824</f>
        <v/>
      </c>
      <c r="T4824" s="19">
        <f>H4824*J4824</f>
        <v/>
      </c>
      <c r="U4824">
        <f>IF(AND(K4824=0,G4824&lt;=Assumptions!$C$6),1,0)</f>
        <v/>
      </c>
      <c r="V4824">
        <f>IF(U4824=1,IF(M4824&gt;0,IF(P4824&lt;=G4824+Assumptions!$C$7,1,0),0),0)</f>
        <v/>
      </c>
      <c r="W4824">
        <f>IF(AND(U4824=1,M4824&gt;=H4824*(1-Assumptions!$C$8)),1,0)</f>
        <v/>
      </c>
      <c r="X4824">
        <f>IF(AND(U4824=1,N4824&gt;=H4824*(1-Assumptions!$C$8)),1,0)</f>
        <v/>
      </c>
      <c r="Y4824">
        <f>IF(ISNUMBER(Q4824),1,0)</f>
        <v/>
      </c>
      <c r="Z4824">
        <f>IF(AND(K4824=0,L4824=0,Y4824=0),1,0)</f>
        <v/>
      </c>
      <c r="AA4824">
        <f>IF(AND(Z4824=1,G4824&lt;Assumptions!$C$6),1,0)</f>
        <v/>
      </c>
      <c r="AB4824">
        <f>IF(U4824=0,"",IF(Y4824=1,MAX(0,Q4824-G4824),IF(L4824=1,MAX(0,R4824-G4824),MAX(0,Assumptions!$C$6-G4824))))</f>
        <v/>
      </c>
      <c r="AC4824">
        <f>IF(Y4824=1,Q4824-F4824,"")</f>
        <v/>
      </c>
      <c r="AD4824">
        <f>IF(Y4824=1,AC4824^2,"")</f>
        <v/>
      </c>
      <c r="AE4824" s="19">
        <f>IF(Z4824=1,(H4824-M4824)*I4824,0)</f>
        <v/>
      </c>
      <c r="AF4824">
        <f>IF(G4824&lt;EDATE(Assumptions!$C$6,-12)+1,"prior_12m","last_12m")</f>
        <v/>
      </c>
      <c r="AG4824" s="21">
        <f>DATE(YEAR(G4824),MONTH(G4824),1)</f>
        <v/>
      </c>
    </row>
    <row r="4825">
      <c r="A4825" t="inlineStr">
        <is>
          <t>SPO-02594-1</t>
        </is>
      </c>
      <c r="B4825" t="inlineStr">
        <is>
          <t>SPO-02594</t>
        </is>
      </c>
      <c r="C4825" t="inlineStr">
        <is>
          <t>SUP-01</t>
        </is>
      </c>
      <c r="D4825" t="inlineStr">
        <is>
          <t>ELEC</t>
        </is>
      </c>
      <c r="E4825" t="inlineStr">
        <is>
          <t>ELEC-08</t>
        </is>
      </c>
      <c r="F4825" s="17" t="n">
        <v>46295</v>
      </c>
      <c r="G4825" s="17" t="n">
        <v>46313</v>
      </c>
      <c r="H4825" s="18" t="n">
        <v>129</v>
      </c>
      <c r="I4825" s="19" t="n">
        <v>18.22</v>
      </c>
      <c r="J4825" s="19" t="n">
        <v>18</v>
      </c>
      <c r="K4825" s="20" t="n">
        <v>0</v>
      </c>
      <c r="L4825" s="20" t="n">
        <v>0</v>
      </c>
      <c r="M4825" s="18" t="n">
        <v>0</v>
      </c>
      <c r="N4825" s="18" t="n">
        <v>0</v>
      </c>
      <c r="O4825" s="18" t="n">
        <v>0</v>
      </c>
      <c r="P4825" s="17" t="n"/>
      <c r="Q4825" s="17" t="n"/>
      <c r="R4825" s="17" t="n"/>
      <c r="S4825" s="19">
        <f>H4825*I4825</f>
        <v/>
      </c>
      <c r="T4825" s="19">
        <f>H4825*J4825</f>
        <v/>
      </c>
      <c r="U4825">
        <f>IF(AND(K4825=0,G4825&lt;=Assumptions!$C$6),1,0)</f>
        <v/>
      </c>
      <c r="V4825">
        <f>IF(U4825=1,IF(M4825&gt;0,IF(P4825&lt;=G4825+Assumptions!$C$7,1,0),0),0)</f>
        <v/>
      </c>
      <c r="W4825">
        <f>IF(AND(U4825=1,M4825&gt;=H4825*(1-Assumptions!$C$8)),1,0)</f>
        <v/>
      </c>
      <c r="X4825">
        <f>IF(AND(U4825=1,N4825&gt;=H4825*(1-Assumptions!$C$8)),1,0)</f>
        <v/>
      </c>
      <c r="Y4825">
        <f>IF(ISNUMBER(Q4825),1,0)</f>
        <v/>
      </c>
      <c r="Z4825">
        <f>IF(AND(K4825=0,L4825=0,Y4825=0),1,0)</f>
        <v/>
      </c>
      <c r="AA4825">
        <f>IF(AND(Z4825=1,G4825&lt;Assumptions!$C$6),1,0)</f>
        <v/>
      </c>
      <c r="AB4825">
        <f>IF(U4825=0,"",IF(Y4825=1,MAX(0,Q4825-G4825),IF(L4825=1,MAX(0,R4825-G4825),MAX(0,Assumptions!$C$6-G4825))))</f>
        <v/>
      </c>
      <c r="AC4825">
        <f>IF(Y4825=1,Q4825-F4825,"")</f>
        <v/>
      </c>
      <c r="AD4825">
        <f>IF(Y4825=1,AC4825^2,"")</f>
        <v/>
      </c>
      <c r="AE4825" s="19">
        <f>IF(Z4825=1,(H4825-M4825)*I4825,0)</f>
        <v/>
      </c>
      <c r="AF4825">
        <f>IF(G4825&lt;EDATE(Assumptions!$C$6,-12)+1,"prior_12m","last_12m")</f>
        <v/>
      </c>
      <c r="AG4825" s="21">
        <f>DATE(YEAR(G4825),MONTH(G4825),1)</f>
        <v/>
      </c>
    </row>
    <row r="4826">
      <c r="A4826" t="inlineStr">
        <is>
          <t>SPO-02594-2</t>
        </is>
      </c>
      <c r="B4826" t="inlineStr">
        <is>
          <t>SPO-02594</t>
        </is>
      </c>
      <c r="C4826" t="inlineStr">
        <is>
          <t>SUP-01</t>
        </is>
      </c>
      <c r="D4826" t="inlineStr">
        <is>
          <t>ELEC</t>
        </is>
      </c>
      <c r="E4826" t="inlineStr">
        <is>
          <t>ELEC-03</t>
        </is>
      </c>
      <c r="F4826" s="17" t="n">
        <v>46295</v>
      </c>
      <c r="G4826" s="17" t="n">
        <v>46313</v>
      </c>
      <c r="H4826" s="18" t="n">
        <v>16</v>
      </c>
      <c r="I4826" s="19" t="n">
        <v>97.02</v>
      </c>
      <c r="J4826" s="19" t="n">
        <v>96</v>
      </c>
      <c r="K4826" s="20" t="n">
        <v>0</v>
      </c>
      <c r="L4826" s="20" t="n">
        <v>0</v>
      </c>
      <c r="M4826" s="18" t="n">
        <v>0</v>
      </c>
      <c r="N4826" s="18" t="n">
        <v>0</v>
      </c>
      <c r="O4826" s="18" t="n">
        <v>0</v>
      </c>
      <c r="P4826" s="17" t="n"/>
      <c r="Q4826" s="17" t="n"/>
      <c r="R4826" s="17" t="n"/>
      <c r="S4826" s="19">
        <f>H4826*I4826</f>
        <v/>
      </c>
      <c r="T4826" s="19">
        <f>H4826*J4826</f>
        <v/>
      </c>
      <c r="U4826">
        <f>IF(AND(K4826=0,G4826&lt;=Assumptions!$C$6),1,0)</f>
        <v/>
      </c>
      <c r="V4826">
        <f>IF(U4826=1,IF(M4826&gt;0,IF(P4826&lt;=G4826+Assumptions!$C$7,1,0),0),0)</f>
        <v/>
      </c>
      <c r="W4826">
        <f>IF(AND(U4826=1,M4826&gt;=H4826*(1-Assumptions!$C$8)),1,0)</f>
        <v/>
      </c>
      <c r="X4826">
        <f>IF(AND(U4826=1,N4826&gt;=H4826*(1-Assumptions!$C$8)),1,0)</f>
        <v/>
      </c>
      <c r="Y4826">
        <f>IF(ISNUMBER(Q4826),1,0)</f>
        <v/>
      </c>
      <c r="Z4826">
        <f>IF(AND(K4826=0,L4826=0,Y4826=0),1,0)</f>
        <v/>
      </c>
      <c r="AA4826">
        <f>IF(AND(Z4826=1,G4826&lt;Assumptions!$C$6),1,0)</f>
        <v/>
      </c>
      <c r="AB4826">
        <f>IF(U4826=0,"",IF(Y4826=1,MAX(0,Q4826-G4826),IF(L4826=1,MAX(0,R4826-G4826),MAX(0,Assumptions!$C$6-G4826))))</f>
        <v/>
      </c>
      <c r="AC4826">
        <f>IF(Y4826=1,Q4826-F4826,"")</f>
        <v/>
      </c>
      <c r="AD4826">
        <f>IF(Y4826=1,AC4826^2,"")</f>
        <v/>
      </c>
      <c r="AE4826" s="19">
        <f>IF(Z4826=1,(H4826-M4826)*I4826,0)</f>
        <v/>
      </c>
      <c r="AF4826">
        <f>IF(G4826&lt;EDATE(Assumptions!$C$6,-12)+1,"prior_12m","last_12m")</f>
        <v/>
      </c>
      <c r="AG4826" s="21">
        <f>DATE(YEAR(G4826),MONTH(G4826),1)</f>
        <v/>
      </c>
    </row>
    <row r="4827">
      <c r="A4827" t="inlineStr">
        <is>
          <t>SPO-02594-3</t>
        </is>
      </c>
      <c r="B4827" t="inlineStr">
        <is>
          <t>SPO-02594</t>
        </is>
      </c>
      <c r="C4827" t="inlineStr">
        <is>
          <t>SUP-01</t>
        </is>
      </c>
      <c r="D4827" t="inlineStr">
        <is>
          <t>ELEC</t>
        </is>
      </c>
      <c r="E4827" t="inlineStr">
        <is>
          <t>ELEC-07</t>
        </is>
      </c>
      <c r="F4827" s="17" t="n">
        <v>46295</v>
      </c>
      <c r="G4827" s="17" t="n">
        <v>46313</v>
      </c>
      <c r="H4827" s="18" t="n">
        <v>419</v>
      </c>
      <c r="I4827" s="19" t="n">
        <v>10.14</v>
      </c>
      <c r="J4827" s="19" t="n">
        <v>9.800000000000001</v>
      </c>
      <c r="K4827" s="20" t="n">
        <v>0</v>
      </c>
      <c r="L4827" s="20" t="n">
        <v>0</v>
      </c>
      <c r="M4827" s="18" t="n">
        <v>0</v>
      </c>
      <c r="N4827" s="18" t="n">
        <v>0</v>
      </c>
      <c r="O4827" s="18" t="n">
        <v>0</v>
      </c>
      <c r="P4827" s="17" t="n"/>
      <c r="Q4827" s="17" t="n"/>
      <c r="R4827" s="17" t="n"/>
      <c r="S4827" s="19">
        <f>H4827*I4827</f>
        <v/>
      </c>
      <c r="T4827" s="19">
        <f>H4827*J4827</f>
        <v/>
      </c>
      <c r="U4827">
        <f>IF(AND(K4827=0,G4827&lt;=Assumptions!$C$6),1,0)</f>
        <v/>
      </c>
      <c r="V4827">
        <f>IF(U4827=1,IF(M4827&gt;0,IF(P4827&lt;=G4827+Assumptions!$C$7,1,0),0),0)</f>
        <v/>
      </c>
      <c r="W4827">
        <f>IF(AND(U4827=1,M4827&gt;=H4827*(1-Assumptions!$C$8)),1,0)</f>
        <v/>
      </c>
      <c r="X4827">
        <f>IF(AND(U4827=1,N4827&gt;=H4827*(1-Assumptions!$C$8)),1,0)</f>
        <v/>
      </c>
      <c r="Y4827">
        <f>IF(ISNUMBER(Q4827),1,0)</f>
        <v/>
      </c>
      <c r="Z4827">
        <f>IF(AND(K4827=0,L4827=0,Y4827=0),1,0)</f>
        <v/>
      </c>
      <c r="AA4827">
        <f>IF(AND(Z4827=1,G4827&lt;Assumptions!$C$6),1,0)</f>
        <v/>
      </c>
      <c r="AB4827">
        <f>IF(U4827=0,"",IF(Y4827=1,MAX(0,Q4827-G4827),IF(L4827=1,MAX(0,R4827-G4827),MAX(0,Assumptions!$C$6-G4827))))</f>
        <v/>
      </c>
      <c r="AC4827">
        <f>IF(Y4827=1,Q4827-F4827,"")</f>
        <v/>
      </c>
      <c r="AD4827">
        <f>IF(Y4827=1,AC4827^2,"")</f>
        <v/>
      </c>
      <c r="AE4827" s="19">
        <f>IF(Z4827=1,(H4827-M4827)*I4827,0)</f>
        <v/>
      </c>
      <c r="AF4827">
        <f>IF(G4827&lt;EDATE(Assumptions!$C$6,-12)+1,"prior_12m","last_12m")</f>
        <v/>
      </c>
      <c r="AG4827" s="21">
        <f>DATE(YEAR(G4827),MONTH(G4827),1)</f>
        <v/>
      </c>
    </row>
    <row r="4828">
      <c r="A4828" t="inlineStr">
        <is>
          <t>SPO-02595-1</t>
        </is>
      </c>
      <c r="B4828" t="inlineStr">
        <is>
          <t>SPO-02595</t>
        </is>
      </c>
      <c r="C4828" t="inlineStr">
        <is>
          <t>SUP-01</t>
        </is>
      </c>
      <c r="D4828" t="inlineStr">
        <is>
          <t>ELEC</t>
        </is>
      </c>
      <c r="E4828" t="inlineStr">
        <is>
          <t>ELEC-04</t>
        </is>
      </c>
      <c r="F4828" s="17" t="n">
        <v>46295</v>
      </c>
      <c r="G4828" s="17" t="n">
        <v>46313</v>
      </c>
      <c r="H4828" s="18" t="n">
        <v>36</v>
      </c>
      <c r="I4828" s="19" t="n">
        <v>72.40000000000001</v>
      </c>
      <c r="J4828" s="19" t="n">
        <v>72</v>
      </c>
      <c r="K4828" s="20" t="n">
        <v>0</v>
      </c>
      <c r="L4828" s="20" t="n">
        <v>0</v>
      </c>
      <c r="M4828" s="18" t="n">
        <v>0</v>
      </c>
      <c r="N4828" s="18" t="n">
        <v>0</v>
      </c>
      <c r="O4828" s="18" t="n">
        <v>0</v>
      </c>
      <c r="P4828" s="17" t="n"/>
      <c r="Q4828" s="17" t="n"/>
      <c r="R4828" s="17" t="n"/>
      <c r="S4828" s="19">
        <f>H4828*I4828</f>
        <v/>
      </c>
      <c r="T4828" s="19">
        <f>H4828*J4828</f>
        <v/>
      </c>
      <c r="U4828">
        <f>IF(AND(K4828=0,G4828&lt;=Assumptions!$C$6),1,0)</f>
        <v/>
      </c>
      <c r="V4828">
        <f>IF(U4828=1,IF(M4828&gt;0,IF(P4828&lt;=G4828+Assumptions!$C$7,1,0),0),0)</f>
        <v/>
      </c>
      <c r="W4828">
        <f>IF(AND(U4828=1,M4828&gt;=H4828*(1-Assumptions!$C$8)),1,0)</f>
        <v/>
      </c>
      <c r="X4828">
        <f>IF(AND(U4828=1,N4828&gt;=H4828*(1-Assumptions!$C$8)),1,0)</f>
        <v/>
      </c>
      <c r="Y4828">
        <f>IF(ISNUMBER(Q4828),1,0)</f>
        <v/>
      </c>
      <c r="Z4828">
        <f>IF(AND(K4828=0,L4828=0,Y4828=0),1,0)</f>
        <v/>
      </c>
      <c r="AA4828">
        <f>IF(AND(Z4828=1,G4828&lt;Assumptions!$C$6),1,0)</f>
        <v/>
      </c>
      <c r="AB4828">
        <f>IF(U4828=0,"",IF(Y4828=1,MAX(0,Q4828-G4828),IF(L4828=1,MAX(0,R4828-G4828),MAX(0,Assumptions!$C$6-G4828))))</f>
        <v/>
      </c>
      <c r="AC4828">
        <f>IF(Y4828=1,Q4828-F4828,"")</f>
        <v/>
      </c>
      <c r="AD4828">
        <f>IF(Y4828=1,AC4828^2,"")</f>
        <v/>
      </c>
      <c r="AE4828" s="19">
        <f>IF(Z4828=1,(H4828-M4828)*I4828,0)</f>
        <v/>
      </c>
      <c r="AF4828">
        <f>IF(G4828&lt;EDATE(Assumptions!$C$6,-12)+1,"prior_12m","last_12m")</f>
        <v/>
      </c>
      <c r="AG4828" s="21">
        <f>DATE(YEAR(G4828),MONTH(G4828),1)</f>
        <v/>
      </c>
    </row>
    <row r="4829">
      <c r="A4829" t="inlineStr">
        <is>
          <t>SPO-02596-1</t>
        </is>
      </c>
      <c r="B4829" t="inlineStr">
        <is>
          <t>SPO-02596</t>
        </is>
      </c>
      <c r="C4829" t="inlineStr">
        <is>
          <t>SUP-04</t>
        </is>
      </c>
      <c r="D4829" t="inlineStr">
        <is>
          <t>FLEET</t>
        </is>
      </c>
      <c r="E4829" t="inlineStr">
        <is>
          <t>FLEET-04</t>
        </is>
      </c>
      <c r="F4829" s="17" t="n">
        <v>46295</v>
      </c>
      <c r="G4829" s="17" t="n">
        <v>46308</v>
      </c>
      <c r="H4829" s="18" t="n">
        <v>119</v>
      </c>
      <c r="I4829" s="19" t="n">
        <v>8.800000000000001</v>
      </c>
      <c r="J4829" s="19" t="n">
        <v>9</v>
      </c>
      <c r="K4829" s="20" t="n">
        <v>0</v>
      </c>
      <c r="L4829" s="20" t="n">
        <v>0</v>
      </c>
      <c r="M4829" s="18" t="n">
        <v>0</v>
      </c>
      <c r="N4829" s="18" t="n">
        <v>0</v>
      </c>
      <c r="O4829" s="18" t="n">
        <v>0</v>
      </c>
      <c r="P4829" s="17" t="n"/>
      <c r="Q4829" s="17" t="n"/>
      <c r="R4829" s="17" t="n"/>
      <c r="S4829" s="19">
        <f>H4829*I4829</f>
        <v/>
      </c>
      <c r="T4829" s="19">
        <f>H4829*J4829</f>
        <v/>
      </c>
      <c r="U4829">
        <f>IF(AND(K4829=0,G4829&lt;=Assumptions!$C$6),1,0)</f>
        <v/>
      </c>
      <c r="V4829">
        <f>IF(U4829=1,IF(M4829&gt;0,IF(P4829&lt;=G4829+Assumptions!$C$7,1,0),0),0)</f>
        <v/>
      </c>
      <c r="W4829">
        <f>IF(AND(U4829=1,M4829&gt;=H4829*(1-Assumptions!$C$8)),1,0)</f>
        <v/>
      </c>
      <c r="X4829">
        <f>IF(AND(U4829=1,N4829&gt;=H4829*(1-Assumptions!$C$8)),1,0)</f>
        <v/>
      </c>
      <c r="Y4829">
        <f>IF(ISNUMBER(Q4829),1,0)</f>
        <v/>
      </c>
      <c r="Z4829">
        <f>IF(AND(K4829=0,L4829=0,Y4829=0),1,0)</f>
        <v/>
      </c>
      <c r="AA4829">
        <f>IF(AND(Z4829=1,G4829&lt;Assumptions!$C$6),1,0)</f>
        <v/>
      </c>
      <c r="AB4829">
        <f>IF(U4829=0,"",IF(Y4829=1,MAX(0,Q4829-G4829),IF(L4829=1,MAX(0,R4829-G4829),MAX(0,Assumptions!$C$6-G4829))))</f>
        <v/>
      </c>
      <c r="AC4829">
        <f>IF(Y4829=1,Q4829-F4829,"")</f>
        <v/>
      </c>
      <c r="AD4829">
        <f>IF(Y4829=1,AC4829^2,"")</f>
        <v/>
      </c>
      <c r="AE4829" s="19">
        <f>IF(Z4829=1,(H4829-M4829)*I4829,0)</f>
        <v/>
      </c>
      <c r="AF4829">
        <f>IF(G4829&lt;EDATE(Assumptions!$C$6,-12)+1,"prior_12m","last_12m")</f>
        <v/>
      </c>
      <c r="AG4829" s="21">
        <f>DATE(YEAR(G4829),MONTH(G4829),1)</f>
        <v/>
      </c>
    </row>
    <row r="4830">
      <c r="A4830" t="inlineStr">
        <is>
          <t>SPO-02596-2</t>
        </is>
      </c>
      <c r="B4830" t="inlineStr">
        <is>
          <t>SPO-02596</t>
        </is>
      </c>
      <c r="C4830" t="inlineStr">
        <is>
          <t>SUP-04</t>
        </is>
      </c>
      <c r="D4830" t="inlineStr">
        <is>
          <t>FLEET</t>
        </is>
      </c>
      <c r="E4830" t="inlineStr">
        <is>
          <t>FLEET-02</t>
        </is>
      </c>
      <c r="F4830" s="17" t="n">
        <v>46295</v>
      </c>
      <c r="G4830" s="17" t="n">
        <v>46308</v>
      </c>
      <c r="H4830" s="18" t="n">
        <v>121</v>
      </c>
      <c r="I4830" s="19" t="n">
        <v>7.38</v>
      </c>
      <c r="J4830" s="19" t="n">
        <v>7.5</v>
      </c>
      <c r="K4830" s="20" t="n">
        <v>0</v>
      </c>
      <c r="L4830" s="20" t="n">
        <v>0</v>
      </c>
      <c r="M4830" s="18" t="n">
        <v>0</v>
      </c>
      <c r="N4830" s="18" t="n">
        <v>0</v>
      </c>
      <c r="O4830" s="18" t="n">
        <v>0</v>
      </c>
      <c r="P4830" s="17" t="n"/>
      <c r="Q4830" s="17" t="n"/>
      <c r="R4830" s="17" t="n"/>
      <c r="S4830" s="19">
        <f>H4830*I4830</f>
        <v/>
      </c>
      <c r="T4830" s="19">
        <f>H4830*J4830</f>
        <v/>
      </c>
      <c r="U4830">
        <f>IF(AND(K4830=0,G4830&lt;=Assumptions!$C$6),1,0)</f>
        <v/>
      </c>
      <c r="V4830">
        <f>IF(U4830=1,IF(M4830&gt;0,IF(P4830&lt;=G4830+Assumptions!$C$7,1,0),0),0)</f>
        <v/>
      </c>
      <c r="W4830">
        <f>IF(AND(U4830=1,M4830&gt;=H4830*(1-Assumptions!$C$8)),1,0)</f>
        <v/>
      </c>
      <c r="X4830">
        <f>IF(AND(U4830=1,N4830&gt;=H4830*(1-Assumptions!$C$8)),1,0)</f>
        <v/>
      </c>
      <c r="Y4830">
        <f>IF(ISNUMBER(Q4830),1,0)</f>
        <v/>
      </c>
      <c r="Z4830">
        <f>IF(AND(K4830=0,L4830=0,Y4830=0),1,0)</f>
        <v/>
      </c>
      <c r="AA4830">
        <f>IF(AND(Z4830=1,G4830&lt;Assumptions!$C$6),1,0)</f>
        <v/>
      </c>
      <c r="AB4830">
        <f>IF(U4830=0,"",IF(Y4830=1,MAX(0,Q4830-G4830),IF(L4830=1,MAX(0,R4830-G4830),MAX(0,Assumptions!$C$6-G4830))))</f>
        <v/>
      </c>
      <c r="AC4830">
        <f>IF(Y4830=1,Q4830-F4830,"")</f>
        <v/>
      </c>
      <c r="AD4830">
        <f>IF(Y4830=1,AC4830^2,"")</f>
        <v/>
      </c>
      <c r="AE4830" s="19">
        <f>IF(Z4830=1,(H4830-M4830)*I4830,0)</f>
        <v/>
      </c>
      <c r="AF4830">
        <f>IF(G4830&lt;EDATE(Assumptions!$C$6,-12)+1,"prior_12m","last_12m")</f>
        <v/>
      </c>
      <c r="AG4830" s="21">
        <f>DATE(YEAR(G4830),MONTH(G4830),1)</f>
        <v/>
      </c>
    </row>
    <row r="4831">
      <c r="A4831" t="inlineStr">
        <is>
          <t>SPO-02597-1</t>
        </is>
      </c>
      <c r="B4831" t="inlineStr">
        <is>
          <t>SPO-02597</t>
        </is>
      </c>
      <c r="C4831" t="inlineStr">
        <is>
          <t>SUP-12</t>
        </is>
      </c>
      <c r="D4831" t="inlineStr">
        <is>
          <t>IT</t>
        </is>
      </c>
      <c r="E4831" t="inlineStr">
        <is>
          <t>IT-01</t>
        </is>
      </c>
      <c r="F4831" s="17" t="n">
        <v>46295</v>
      </c>
      <c r="G4831" s="17" t="n">
        <v>46305</v>
      </c>
      <c r="H4831" s="18" t="n">
        <v>16</v>
      </c>
      <c r="I4831" s="19" t="n">
        <v>209.89</v>
      </c>
      <c r="J4831" s="19" t="n">
        <v>189</v>
      </c>
      <c r="K4831" s="20" t="n">
        <v>0</v>
      </c>
      <c r="L4831" s="20" t="n">
        <v>0</v>
      </c>
      <c r="M4831" s="18" t="n">
        <v>0</v>
      </c>
      <c r="N4831" s="18" t="n">
        <v>0</v>
      </c>
      <c r="O4831" s="18" t="n">
        <v>0</v>
      </c>
      <c r="P4831" s="17" t="n"/>
      <c r="Q4831" s="17" t="n"/>
      <c r="R4831" s="17" t="n"/>
      <c r="S4831" s="19">
        <f>H4831*I4831</f>
        <v/>
      </c>
      <c r="T4831" s="19">
        <f>H4831*J4831</f>
        <v/>
      </c>
      <c r="U4831">
        <f>IF(AND(K4831=0,G4831&lt;=Assumptions!$C$6),1,0)</f>
        <v/>
      </c>
      <c r="V4831">
        <f>IF(U4831=1,IF(M4831&gt;0,IF(P4831&lt;=G4831+Assumptions!$C$7,1,0),0),0)</f>
        <v/>
      </c>
      <c r="W4831">
        <f>IF(AND(U4831=1,M4831&gt;=H4831*(1-Assumptions!$C$8)),1,0)</f>
        <v/>
      </c>
      <c r="X4831">
        <f>IF(AND(U4831=1,N4831&gt;=H4831*(1-Assumptions!$C$8)),1,0)</f>
        <v/>
      </c>
      <c r="Y4831">
        <f>IF(ISNUMBER(Q4831),1,0)</f>
        <v/>
      </c>
      <c r="Z4831">
        <f>IF(AND(K4831=0,L4831=0,Y4831=0),1,0)</f>
        <v/>
      </c>
      <c r="AA4831">
        <f>IF(AND(Z4831=1,G4831&lt;Assumptions!$C$6),1,0)</f>
        <v/>
      </c>
      <c r="AB4831">
        <f>IF(U4831=0,"",IF(Y4831=1,MAX(0,Q4831-G4831),IF(L4831=1,MAX(0,R4831-G4831),MAX(0,Assumptions!$C$6-G4831))))</f>
        <v/>
      </c>
      <c r="AC4831">
        <f>IF(Y4831=1,Q4831-F4831,"")</f>
        <v/>
      </c>
      <c r="AD4831">
        <f>IF(Y4831=1,AC4831^2,"")</f>
        <v/>
      </c>
      <c r="AE4831" s="19">
        <f>IF(Z4831=1,(H4831-M4831)*I4831,0)</f>
        <v/>
      </c>
      <c r="AF4831">
        <f>IF(G4831&lt;EDATE(Assumptions!$C$6,-12)+1,"prior_12m","last_12m")</f>
        <v/>
      </c>
      <c r="AG4831" s="21">
        <f>DATE(YEAR(G4831),MONTH(G4831),1)</f>
        <v/>
      </c>
    </row>
    <row r="4832">
      <c r="A4832" t="inlineStr">
        <is>
          <t>SPO-02597-2</t>
        </is>
      </c>
      <c r="B4832" t="inlineStr">
        <is>
          <t>SPO-02597</t>
        </is>
      </c>
      <c r="C4832" t="inlineStr">
        <is>
          <t>SUP-12</t>
        </is>
      </c>
      <c r="D4832" t="inlineStr">
        <is>
          <t>IT</t>
        </is>
      </c>
      <c r="E4832" t="inlineStr">
        <is>
          <t>IT-03</t>
        </is>
      </c>
      <c r="F4832" s="17" t="n">
        <v>46295</v>
      </c>
      <c r="G4832" s="17" t="n">
        <v>46305</v>
      </c>
      <c r="H4832" s="18" t="n">
        <v>38</v>
      </c>
      <c r="I4832" s="19" t="n">
        <v>43.72</v>
      </c>
      <c r="J4832" s="19" t="n">
        <v>38</v>
      </c>
      <c r="K4832" s="20" t="n">
        <v>0</v>
      </c>
      <c r="L4832" s="20" t="n">
        <v>0</v>
      </c>
      <c r="M4832" s="18" t="n">
        <v>0</v>
      </c>
      <c r="N4832" s="18" t="n">
        <v>0</v>
      </c>
      <c r="O4832" s="18" t="n">
        <v>0</v>
      </c>
      <c r="P4832" s="17" t="n"/>
      <c r="Q4832" s="17" t="n"/>
      <c r="R4832" s="17" t="n"/>
      <c r="S4832" s="19">
        <f>H4832*I4832</f>
        <v/>
      </c>
      <c r="T4832" s="19">
        <f>H4832*J4832</f>
        <v/>
      </c>
      <c r="U4832">
        <f>IF(AND(K4832=0,G4832&lt;=Assumptions!$C$6),1,0)</f>
        <v/>
      </c>
      <c r="V4832">
        <f>IF(U4832=1,IF(M4832&gt;0,IF(P4832&lt;=G4832+Assumptions!$C$7,1,0),0),0)</f>
        <v/>
      </c>
      <c r="W4832">
        <f>IF(AND(U4832=1,M4832&gt;=H4832*(1-Assumptions!$C$8)),1,0)</f>
        <v/>
      </c>
      <c r="X4832">
        <f>IF(AND(U4832=1,N4832&gt;=H4832*(1-Assumptions!$C$8)),1,0)</f>
        <v/>
      </c>
      <c r="Y4832">
        <f>IF(ISNUMBER(Q4832),1,0)</f>
        <v/>
      </c>
      <c r="Z4832">
        <f>IF(AND(K4832=0,L4832=0,Y4832=0),1,0)</f>
        <v/>
      </c>
      <c r="AA4832">
        <f>IF(AND(Z4832=1,G4832&lt;Assumptions!$C$6),1,0)</f>
        <v/>
      </c>
      <c r="AB4832">
        <f>IF(U4832=0,"",IF(Y4832=1,MAX(0,Q4832-G4832),IF(L4832=1,MAX(0,R4832-G4832),MAX(0,Assumptions!$C$6-G4832))))</f>
        <v/>
      </c>
      <c r="AC4832">
        <f>IF(Y4832=1,Q4832-F4832,"")</f>
        <v/>
      </c>
      <c r="AD4832">
        <f>IF(Y4832=1,AC4832^2,"")</f>
        <v/>
      </c>
      <c r="AE4832" s="19">
        <f>IF(Z4832=1,(H4832-M4832)*I4832,0)</f>
        <v/>
      </c>
      <c r="AF4832">
        <f>IF(G4832&lt;EDATE(Assumptions!$C$6,-12)+1,"prior_12m","last_12m")</f>
        <v/>
      </c>
      <c r="AG4832" s="21">
        <f>DATE(YEAR(G4832),MONTH(G4832),1)</f>
        <v/>
      </c>
    </row>
    <row r="4833">
      <c r="A4833" t="inlineStr">
        <is>
          <t>SPO-02597-3</t>
        </is>
      </c>
      <c r="B4833" t="inlineStr">
        <is>
          <t>SPO-02597</t>
        </is>
      </c>
      <c r="C4833" t="inlineStr">
        <is>
          <t>SUP-12</t>
        </is>
      </c>
      <c r="D4833" t="inlineStr">
        <is>
          <t>IT</t>
        </is>
      </c>
      <c r="E4833" t="inlineStr">
        <is>
          <t>IT-07</t>
        </is>
      </c>
      <c r="F4833" s="17" t="n">
        <v>46295</v>
      </c>
      <c r="G4833" s="17" t="n">
        <v>46305</v>
      </c>
      <c r="H4833" s="18" t="n">
        <v>17</v>
      </c>
      <c r="I4833" s="19" t="n">
        <v>81.55</v>
      </c>
      <c r="J4833" s="19" t="n">
        <v>74</v>
      </c>
      <c r="K4833" s="20" t="n">
        <v>0</v>
      </c>
      <c r="L4833" s="20" t="n">
        <v>0</v>
      </c>
      <c r="M4833" s="18" t="n">
        <v>0</v>
      </c>
      <c r="N4833" s="18" t="n">
        <v>0</v>
      </c>
      <c r="O4833" s="18" t="n">
        <v>0</v>
      </c>
      <c r="P4833" s="17" t="n"/>
      <c r="Q4833" s="17" t="n"/>
      <c r="R4833" s="17" t="n"/>
      <c r="S4833" s="19">
        <f>H4833*I4833</f>
        <v/>
      </c>
      <c r="T4833" s="19">
        <f>H4833*J4833</f>
        <v/>
      </c>
      <c r="U4833">
        <f>IF(AND(K4833=0,G4833&lt;=Assumptions!$C$6),1,0)</f>
        <v/>
      </c>
      <c r="V4833">
        <f>IF(U4833=1,IF(M4833&gt;0,IF(P4833&lt;=G4833+Assumptions!$C$7,1,0),0),0)</f>
        <v/>
      </c>
      <c r="W4833">
        <f>IF(AND(U4833=1,M4833&gt;=H4833*(1-Assumptions!$C$8)),1,0)</f>
        <v/>
      </c>
      <c r="X4833">
        <f>IF(AND(U4833=1,N4833&gt;=H4833*(1-Assumptions!$C$8)),1,0)</f>
        <v/>
      </c>
      <c r="Y4833">
        <f>IF(ISNUMBER(Q4833),1,0)</f>
        <v/>
      </c>
      <c r="Z4833">
        <f>IF(AND(K4833=0,L4833=0,Y4833=0),1,0)</f>
        <v/>
      </c>
      <c r="AA4833">
        <f>IF(AND(Z4833=1,G4833&lt;Assumptions!$C$6),1,0)</f>
        <v/>
      </c>
      <c r="AB4833">
        <f>IF(U4833=0,"",IF(Y4833=1,MAX(0,Q4833-G4833),IF(L4833=1,MAX(0,R4833-G4833),MAX(0,Assumptions!$C$6-G4833))))</f>
        <v/>
      </c>
      <c r="AC4833">
        <f>IF(Y4833=1,Q4833-F4833,"")</f>
        <v/>
      </c>
      <c r="AD4833">
        <f>IF(Y4833=1,AC4833^2,"")</f>
        <v/>
      </c>
      <c r="AE4833" s="19">
        <f>IF(Z4833=1,(H4833-M4833)*I4833,0)</f>
        <v/>
      </c>
      <c r="AF4833">
        <f>IF(G4833&lt;EDATE(Assumptions!$C$6,-12)+1,"prior_12m","last_12m")</f>
        <v/>
      </c>
      <c r="AG4833" s="21">
        <f>DATE(YEAR(G4833),MONTH(G4833),1)</f>
        <v/>
      </c>
    </row>
    <row r="4834">
      <c r="A4834" t="inlineStr">
        <is>
          <t>SPO-02597-4</t>
        </is>
      </c>
      <c r="B4834" t="inlineStr">
        <is>
          <t>SPO-02597</t>
        </is>
      </c>
      <c r="C4834" t="inlineStr">
        <is>
          <t>SUP-12</t>
        </is>
      </c>
      <c r="D4834" t="inlineStr">
        <is>
          <t>IT</t>
        </is>
      </c>
      <c r="E4834" t="inlineStr">
        <is>
          <t>IT-04</t>
        </is>
      </c>
      <c r="F4834" s="17" t="n">
        <v>46295</v>
      </c>
      <c r="G4834" s="17" t="n">
        <v>46305</v>
      </c>
      <c r="H4834" s="18" t="n">
        <v>95</v>
      </c>
      <c r="I4834" s="19" t="n">
        <v>14.33</v>
      </c>
      <c r="J4834" s="19" t="n">
        <v>12</v>
      </c>
      <c r="K4834" s="20" t="n">
        <v>0</v>
      </c>
      <c r="L4834" s="20" t="n">
        <v>0</v>
      </c>
      <c r="M4834" s="18" t="n">
        <v>0</v>
      </c>
      <c r="N4834" s="18" t="n">
        <v>0</v>
      </c>
      <c r="O4834" s="18" t="n">
        <v>0</v>
      </c>
      <c r="P4834" s="17" t="n"/>
      <c r="Q4834" s="17" t="n"/>
      <c r="R4834" s="17" t="n"/>
      <c r="S4834" s="19">
        <f>H4834*I4834</f>
        <v/>
      </c>
      <c r="T4834" s="19">
        <f>H4834*J4834</f>
        <v/>
      </c>
      <c r="U4834">
        <f>IF(AND(K4834=0,G4834&lt;=Assumptions!$C$6),1,0)</f>
        <v/>
      </c>
      <c r="V4834">
        <f>IF(U4834=1,IF(M4834&gt;0,IF(P4834&lt;=G4834+Assumptions!$C$7,1,0),0),0)</f>
        <v/>
      </c>
      <c r="W4834">
        <f>IF(AND(U4834=1,M4834&gt;=H4834*(1-Assumptions!$C$8)),1,0)</f>
        <v/>
      </c>
      <c r="X4834">
        <f>IF(AND(U4834=1,N4834&gt;=H4834*(1-Assumptions!$C$8)),1,0)</f>
        <v/>
      </c>
      <c r="Y4834">
        <f>IF(ISNUMBER(Q4834),1,0)</f>
        <v/>
      </c>
      <c r="Z4834">
        <f>IF(AND(K4834=0,L4834=0,Y4834=0),1,0)</f>
        <v/>
      </c>
      <c r="AA4834">
        <f>IF(AND(Z4834=1,G4834&lt;Assumptions!$C$6),1,0)</f>
        <v/>
      </c>
      <c r="AB4834">
        <f>IF(U4834=0,"",IF(Y4834=1,MAX(0,Q4834-G4834),IF(L4834=1,MAX(0,R4834-G4834),MAX(0,Assumptions!$C$6-G4834))))</f>
        <v/>
      </c>
      <c r="AC4834">
        <f>IF(Y4834=1,Q4834-F4834,"")</f>
        <v/>
      </c>
      <c r="AD4834">
        <f>IF(Y4834=1,AC4834^2,"")</f>
        <v/>
      </c>
      <c r="AE4834" s="19">
        <f>IF(Z4834=1,(H4834-M4834)*I4834,0)</f>
        <v/>
      </c>
      <c r="AF4834">
        <f>IF(G4834&lt;EDATE(Assumptions!$C$6,-12)+1,"prior_12m","last_12m")</f>
        <v/>
      </c>
      <c r="AG4834" s="21">
        <f>DATE(YEAR(G4834),MONTH(G4834),1)</f>
        <v/>
      </c>
    </row>
    <row r="4835">
      <c r="A4835" t="inlineStr">
        <is>
          <t>SPO-02598-1</t>
        </is>
      </c>
      <c r="B4835" t="inlineStr">
        <is>
          <t>SPO-02598</t>
        </is>
      </c>
      <c r="C4835" t="inlineStr">
        <is>
          <t>SUP-12</t>
        </is>
      </c>
      <c r="D4835" t="inlineStr">
        <is>
          <t>IT</t>
        </is>
      </c>
      <c r="E4835" t="inlineStr">
        <is>
          <t>IT-05</t>
        </is>
      </c>
      <c r="F4835" s="17" t="n">
        <v>46295</v>
      </c>
      <c r="G4835" s="17" t="n">
        <v>46305</v>
      </c>
      <c r="H4835" s="18" t="n">
        <v>5</v>
      </c>
      <c r="I4835" s="19" t="n">
        <v>689.63</v>
      </c>
      <c r="J4835" s="19" t="n">
        <v>640</v>
      </c>
      <c r="K4835" s="20" t="n">
        <v>0</v>
      </c>
      <c r="L4835" s="20" t="n">
        <v>0</v>
      </c>
      <c r="M4835" s="18" t="n">
        <v>0</v>
      </c>
      <c r="N4835" s="18" t="n">
        <v>0</v>
      </c>
      <c r="O4835" s="18" t="n">
        <v>0</v>
      </c>
      <c r="P4835" s="17" t="n"/>
      <c r="Q4835" s="17" t="n"/>
      <c r="R4835" s="17" t="n"/>
      <c r="S4835" s="19">
        <f>H4835*I4835</f>
        <v/>
      </c>
      <c r="T4835" s="19">
        <f>H4835*J4835</f>
        <v/>
      </c>
      <c r="U4835">
        <f>IF(AND(K4835=0,G4835&lt;=Assumptions!$C$6),1,0)</f>
        <v/>
      </c>
      <c r="V4835">
        <f>IF(U4835=1,IF(M4835&gt;0,IF(P4835&lt;=G4835+Assumptions!$C$7,1,0),0),0)</f>
        <v/>
      </c>
      <c r="W4835">
        <f>IF(AND(U4835=1,M4835&gt;=H4835*(1-Assumptions!$C$8)),1,0)</f>
        <v/>
      </c>
      <c r="X4835">
        <f>IF(AND(U4835=1,N4835&gt;=H4835*(1-Assumptions!$C$8)),1,0)</f>
        <v/>
      </c>
      <c r="Y4835">
        <f>IF(ISNUMBER(Q4835),1,0)</f>
        <v/>
      </c>
      <c r="Z4835">
        <f>IF(AND(K4835=0,L4835=0,Y4835=0),1,0)</f>
        <v/>
      </c>
      <c r="AA4835">
        <f>IF(AND(Z4835=1,G4835&lt;Assumptions!$C$6),1,0)</f>
        <v/>
      </c>
      <c r="AB4835">
        <f>IF(U4835=0,"",IF(Y4835=1,MAX(0,Q4835-G4835),IF(L4835=1,MAX(0,R4835-G4835),MAX(0,Assumptions!$C$6-G4835))))</f>
        <v/>
      </c>
      <c r="AC4835">
        <f>IF(Y4835=1,Q4835-F4835,"")</f>
        <v/>
      </c>
      <c r="AD4835">
        <f>IF(Y4835=1,AC4835^2,"")</f>
        <v/>
      </c>
      <c r="AE4835" s="19">
        <f>IF(Z4835=1,(H4835-M4835)*I4835,0)</f>
        <v/>
      </c>
      <c r="AF4835">
        <f>IF(G4835&lt;EDATE(Assumptions!$C$6,-12)+1,"prior_12m","last_12m")</f>
        <v/>
      </c>
      <c r="AG4835" s="21">
        <f>DATE(YEAR(G4835),MONTH(G4835),1)</f>
        <v/>
      </c>
    </row>
    <row r="4836">
      <c r="A4836" t="inlineStr">
        <is>
          <t>SPO-02599-1</t>
        </is>
      </c>
      <c r="B4836" t="inlineStr">
        <is>
          <t>SPO-02599</t>
        </is>
      </c>
      <c r="C4836" t="inlineStr">
        <is>
          <t>SUP-10</t>
        </is>
      </c>
      <c r="D4836" t="inlineStr">
        <is>
          <t>PPE</t>
        </is>
      </c>
      <c r="E4836" t="inlineStr">
        <is>
          <t>PPE-03</t>
        </is>
      </c>
      <c r="F4836" s="17" t="n">
        <v>46295</v>
      </c>
      <c r="G4836" s="17" t="n">
        <v>46308</v>
      </c>
      <c r="H4836" s="18" t="n">
        <v>43</v>
      </c>
      <c r="I4836" s="19" t="n">
        <v>20.51</v>
      </c>
      <c r="J4836" s="19" t="n">
        <v>21</v>
      </c>
      <c r="K4836" s="20" t="n">
        <v>0</v>
      </c>
      <c r="L4836" s="20" t="n">
        <v>0</v>
      </c>
      <c r="M4836" s="18" t="n">
        <v>0</v>
      </c>
      <c r="N4836" s="18" t="n">
        <v>0</v>
      </c>
      <c r="O4836" s="18" t="n">
        <v>0</v>
      </c>
      <c r="P4836" s="17" t="n"/>
      <c r="Q4836" s="17" t="n"/>
      <c r="R4836" s="17" t="n"/>
      <c r="S4836" s="19">
        <f>H4836*I4836</f>
        <v/>
      </c>
      <c r="T4836" s="19">
        <f>H4836*J4836</f>
        <v/>
      </c>
      <c r="U4836">
        <f>IF(AND(K4836=0,G4836&lt;=Assumptions!$C$6),1,0)</f>
        <v/>
      </c>
      <c r="V4836">
        <f>IF(U4836=1,IF(M4836&gt;0,IF(P4836&lt;=G4836+Assumptions!$C$7,1,0),0),0)</f>
        <v/>
      </c>
      <c r="W4836">
        <f>IF(AND(U4836=1,M4836&gt;=H4836*(1-Assumptions!$C$8)),1,0)</f>
        <v/>
      </c>
      <c r="X4836">
        <f>IF(AND(U4836=1,N4836&gt;=H4836*(1-Assumptions!$C$8)),1,0)</f>
        <v/>
      </c>
      <c r="Y4836">
        <f>IF(ISNUMBER(Q4836),1,0)</f>
        <v/>
      </c>
      <c r="Z4836">
        <f>IF(AND(K4836=0,L4836=0,Y4836=0),1,0)</f>
        <v/>
      </c>
      <c r="AA4836">
        <f>IF(AND(Z4836=1,G4836&lt;Assumptions!$C$6),1,0)</f>
        <v/>
      </c>
      <c r="AB4836">
        <f>IF(U4836=0,"",IF(Y4836=1,MAX(0,Q4836-G4836),IF(L4836=1,MAX(0,R4836-G4836),MAX(0,Assumptions!$C$6-G4836))))</f>
        <v/>
      </c>
      <c r="AC4836">
        <f>IF(Y4836=1,Q4836-F4836,"")</f>
        <v/>
      </c>
      <c r="AD4836">
        <f>IF(Y4836=1,AC4836^2,"")</f>
        <v/>
      </c>
      <c r="AE4836" s="19">
        <f>IF(Z4836=1,(H4836-M4836)*I4836,0)</f>
        <v/>
      </c>
      <c r="AF4836">
        <f>IF(G4836&lt;EDATE(Assumptions!$C$6,-12)+1,"prior_12m","last_12m")</f>
        <v/>
      </c>
      <c r="AG4836" s="21">
        <f>DATE(YEAR(G4836),MONTH(G4836),1)</f>
        <v/>
      </c>
    </row>
    <row r="4837">
      <c r="A4837" t="inlineStr">
        <is>
          <t>SPO-02600-1</t>
        </is>
      </c>
      <c r="B4837" t="inlineStr">
        <is>
          <t>SPO-02600</t>
        </is>
      </c>
      <c r="C4837" t="inlineStr">
        <is>
          <t>SUP-05</t>
        </is>
      </c>
      <c r="D4837" t="inlineStr">
        <is>
          <t>FLEET</t>
        </is>
      </c>
      <c r="E4837" t="inlineStr">
        <is>
          <t>FLEET-05</t>
        </is>
      </c>
      <c r="F4837" s="17" t="n">
        <v>46295</v>
      </c>
      <c r="G4837" s="17" t="n">
        <v>46309</v>
      </c>
      <c r="H4837" s="18" t="n">
        <v>9</v>
      </c>
      <c r="I4837" s="19" t="n">
        <v>163.23</v>
      </c>
      <c r="J4837" s="19" t="n">
        <v>168</v>
      </c>
      <c r="K4837" s="20" t="n">
        <v>0</v>
      </c>
      <c r="L4837" s="20" t="n">
        <v>0</v>
      </c>
      <c r="M4837" s="18" t="n">
        <v>0</v>
      </c>
      <c r="N4837" s="18" t="n">
        <v>0</v>
      </c>
      <c r="O4837" s="18" t="n">
        <v>0</v>
      </c>
      <c r="P4837" s="17" t="n"/>
      <c r="Q4837" s="17" t="n"/>
      <c r="R4837" s="17" t="n"/>
      <c r="S4837" s="19">
        <f>H4837*I4837</f>
        <v/>
      </c>
      <c r="T4837" s="19">
        <f>H4837*J4837</f>
        <v/>
      </c>
      <c r="U4837">
        <f>IF(AND(K4837=0,G4837&lt;=Assumptions!$C$6),1,0)</f>
        <v/>
      </c>
      <c r="V4837">
        <f>IF(U4837=1,IF(M4837&gt;0,IF(P4837&lt;=G4837+Assumptions!$C$7,1,0),0),0)</f>
        <v/>
      </c>
      <c r="W4837">
        <f>IF(AND(U4837=1,M4837&gt;=H4837*(1-Assumptions!$C$8)),1,0)</f>
        <v/>
      </c>
      <c r="X4837">
        <f>IF(AND(U4837=1,N4837&gt;=H4837*(1-Assumptions!$C$8)),1,0)</f>
        <v/>
      </c>
      <c r="Y4837">
        <f>IF(ISNUMBER(Q4837),1,0)</f>
        <v/>
      </c>
      <c r="Z4837">
        <f>IF(AND(K4837=0,L4837=0,Y4837=0),1,0)</f>
        <v/>
      </c>
      <c r="AA4837">
        <f>IF(AND(Z4837=1,G4837&lt;Assumptions!$C$6),1,0)</f>
        <v/>
      </c>
      <c r="AB4837">
        <f>IF(U4837=0,"",IF(Y4837=1,MAX(0,Q4837-G4837),IF(L4837=1,MAX(0,R4837-G4837),MAX(0,Assumptions!$C$6-G4837))))</f>
        <v/>
      </c>
      <c r="AC4837">
        <f>IF(Y4837=1,Q4837-F4837,"")</f>
        <v/>
      </c>
      <c r="AD4837">
        <f>IF(Y4837=1,AC4837^2,"")</f>
        <v/>
      </c>
      <c r="AE4837" s="19">
        <f>IF(Z4837=1,(H4837-M4837)*I4837,0)</f>
        <v/>
      </c>
      <c r="AF4837">
        <f>IF(G4837&lt;EDATE(Assumptions!$C$6,-12)+1,"prior_12m","last_12m")</f>
        <v/>
      </c>
      <c r="AG4837" s="21">
        <f>DATE(YEAR(G4837),MONTH(G4837),1)</f>
        <v/>
      </c>
    </row>
    <row r="4838">
      <c r="A4838" t="inlineStr">
        <is>
          <t>SPO-02600-2</t>
        </is>
      </c>
      <c r="B4838" t="inlineStr">
        <is>
          <t>SPO-02600</t>
        </is>
      </c>
      <c r="C4838" t="inlineStr">
        <is>
          <t>SUP-05</t>
        </is>
      </c>
      <c r="D4838" t="inlineStr">
        <is>
          <t>FLEET</t>
        </is>
      </c>
      <c r="E4838" t="inlineStr">
        <is>
          <t>FLEET-04</t>
        </is>
      </c>
      <c r="F4838" s="17" t="n">
        <v>46295</v>
      </c>
      <c r="G4838" s="17" t="n">
        <v>46309</v>
      </c>
      <c r="H4838" s="18" t="n">
        <v>93</v>
      </c>
      <c r="I4838" s="19" t="n">
        <v>9.02</v>
      </c>
      <c r="J4838" s="19" t="n">
        <v>9</v>
      </c>
      <c r="K4838" s="20" t="n">
        <v>0</v>
      </c>
      <c r="L4838" s="20" t="n">
        <v>0</v>
      </c>
      <c r="M4838" s="18" t="n">
        <v>0</v>
      </c>
      <c r="N4838" s="18" t="n">
        <v>0</v>
      </c>
      <c r="O4838" s="18" t="n">
        <v>0</v>
      </c>
      <c r="P4838" s="17" t="n"/>
      <c r="Q4838" s="17" t="n"/>
      <c r="R4838" s="17" t="n"/>
      <c r="S4838" s="19">
        <f>H4838*I4838</f>
        <v/>
      </c>
      <c r="T4838" s="19">
        <f>H4838*J4838</f>
        <v/>
      </c>
      <c r="U4838">
        <f>IF(AND(K4838=0,G4838&lt;=Assumptions!$C$6),1,0)</f>
        <v/>
      </c>
      <c r="V4838">
        <f>IF(U4838=1,IF(M4838&gt;0,IF(P4838&lt;=G4838+Assumptions!$C$7,1,0),0),0)</f>
        <v/>
      </c>
      <c r="W4838">
        <f>IF(AND(U4838=1,M4838&gt;=H4838*(1-Assumptions!$C$8)),1,0)</f>
        <v/>
      </c>
      <c r="X4838">
        <f>IF(AND(U4838=1,N4838&gt;=H4838*(1-Assumptions!$C$8)),1,0)</f>
        <v/>
      </c>
      <c r="Y4838">
        <f>IF(ISNUMBER(Q4838),1,0)</f>
        <v/>
      </c>
      <c r="Z4838">
        <f>IF(AND(K4838=0,L4838=0,Y4838=0),1,0)</f>
        <v/>
      </c>
      <c r="AA4838">
        <f>IF(AND(Z4838=1,G4838&lt;Assumptions!$C$6),1,0)</f>
        <v/>
      </c>
      <c r="AB4838">
        <f>IF(U4838=0,"",IF(Y4838=1,MAX(0,Q4838-G4838),IF(L4838=1,MAX(0,R4838-G4838),MAX(0,Assumptions!$C$6-G4838))))</f>
        <v/>
      </c>
      <c r="AC4838">
        <f>IF(Y4838=1,Q4838-F4838,"")</f>
        <v/>
      </c>
      <c r="AD4838">
        <f>IF(Y4838=1,AC4838^2,"")</f>
        <v/>
      </c>
      <c r="AE4838" s="19">
        <f>IF(Z4838=1,(H4838-M4838)*I4838,0)</f>
        <v/>
      </c>
      <c r="AF4838">
        <f>IF(G4838&lt;EDATE(Assumptions!$C$6,-12)+1,"prior_12m","last_12m")</f>
        <v/>
      </c>
      <c r="AG4838" s="21">
        <f>DATE(YEAR(G4838),MONTH(G4838),1)</f>
        <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18"/>
  <sheetViews>
    <sheetView showGridLines="0" workbookViewId="0">
      <selection activeCell="A1" sqref="A1"/>
    </sheetView>
  </sheetViews>
  <sheetFormatPr baseColWidth="8" defaultRowHeight="15"/>
  <cols>
    <col width="12" customWidth="1" min="1" max="1"/>
    <col width="26" customWidth="1" min="2" max="2"/>
    <col width="18" customWidth="1" min="3" max="3"/>
    <col width="18" customWidth="1" min="4" max="4"/>
    <col width="80" customWidth="1" min="5" max="5"/>
  </cols>
  <sheetData>
    <row r="1">
      <c r="A1" s="1" t="inlineStr">
        <is>
          <t>Synthetic supplier master</t>
        </is>
      </c>
    </row>
    <row r="2">
      <c r="A2" s="2" t="inlineStr">
        <is>
          <t>SYNTHETIC DEMONSTRATION DATA - not real suppliers or real performance</t>
        </is>
      </c>
    </row>
    <row r="4">
      <c r="A4" s="8" t="inlineStr">
        <is>
          <t>supplier_id</t>
        </is>
      </c>
      <c r="B4" s="8" t="inlineStr">
        <is>
          <t>supplier_name</t>
        </is>
      </c>
      <c r="C4" s="8" t="inlineStr">
        <is>
          <t>primary_category_id</t>
        </is>
      </c>
      <c r="D4" s="8" t="inlineStr">
        <is>
          <t>categories_served</t>
        </is>
      </c>
      <c r="E4" s="8" t="inlineStr">
        <is>
          <t>design_note</t>
        </is>
      </c>
    </row>
    <row r="5">
      <c r="A5" t="inlineStr">
        <is>
          <t>SUP-01</t>
        </is>
      </c>
      <c r="B5" t="inlineStr">
        <is>
          <t>Synthetic Supplier 01</t>
        </is>
      </c>
      <c r="C5" t="inlineStr">
        <is>
          <t>ELEC</t>
        </is>
      </c>
      <c r="D5" t="inlineStr">
        <is>
          <t>ELEC</t>
        </is>
      </c>
      <c r="E5" t="inlineStr">
        <is>
          <t>Largest electrical supplier; delivery deteriorates in year 2</t>
        </is>
      </c>
    </row>
    <row r="6">
      <c r="A6" t="inlineStr">
        <is>
          <t>SUP-02</t>
        </is>
      </c>
      <c r="B6" t="inlineStr">
        <is>
          <t>Synthetic Supplier 02</t>
        </is>
      </c>
      <c r="C6" t="inlineStr">
        <is>
          <t>ELEC</t>
        </is>
      </c>
      <c r="D6" t="inlineStr">
        <is>
          <t>ELEC</t>
        </is>
      </c>
      <c r="E6" t="inlineStr">
        <is>
          <t>Reliable electrical alternative with spare share</t>
        </is>
      </c>
    </row>
    <row r="7">
      <c r="A7" t="inlineStr">
        <is>
          <t>SUP-03</t>
        </is>
      </c>
      <c r="B7" t="inlineStr">
        <is>
          <t>Synthetic Supplier 03</t>
        </is>
      </c>
      <c r="C7" t="inlineStr">
        <is>
          <t>ELEC</t>
        </is>
      </c>
      <c r="D7" t="inlineStr">
        <is>
          <t>ELEC</t>
        </is>
      </c>
      <c r="E7" t="inlineStr">
        <is>
          <t>Very few orders: tests the insufficient-evidence rule</t>
        </is>
      </c>
    </row>
    <row r="8">
      <c r="A8" t="inlineStr">
        <is>
          <t>SUP-04</t>
        </is>
      </c>
      <c r="B8" t="inlineStr">
        <is>
          <t>Synthetic Supplier 04</t>
        </is>
      </c>
      <c r="C8" t="inlineStr">
        <is>
          <t>FLEET</t>
        </is>
      </c>
      <c r="D8" t="inlineStr">
        <is>
          <t>FLEET</t>
        </is>
      </c>
      <c r="E8" t="inlineStr">
        <is>
          <t>Chronically late fleet supplier with unstable lead times</t>
        </is>
      </c>
    </row>
    <row r="9">
      <c r="A9" t="inlineStr">
        <is>
          <t>SUP-05</t>
        </is>
      </c>
      <c r="B9" t="inlineStr">
        <is>
          <t>Synthetic Supplier 05</t>
        </is>
      </c>
      <c r="C9" t="inlineStr">
        <is>
          <t>FLEET</t>
        </is>
      </c>
      <c r="D9" t="inlineStr">
        <is>
          <t>FLEET</t>
        </is>
      </c>
      <c r="E9" t="inlineStr">
        <is>
          <t>Reliable fleet supplier</t>
        </is>
      </c>
    </row>
    <row r="10">
      <c r="A10" t="inlineStr">
        <is>
          <t>SUP-06</t>
        </is>
      </c>
      <c r="B10" t="inlineStr">
        <is>
          <t>Synthetic Supplier 06</t>
        </is>
      </c>
      <c r="C10" t="inlineStr">
        <is>
          <t>MRO</t>
        </is>
      </c>
      <c r="D10" t="inlineStr">
        <is>
          <t>MRO</t>
        </is>
      </c>
      <c r="E10" t="inlineStr">
        <is>
          <t>Excellent MRO supplier holding a large category share</t>
        </is>
      </c>
    </row>
    <row r="11">
      <c r="A11" t="inlineStr">
        <is>
          <t>SUP-07</t>
        </is>
      </c>
      <c r="B11" t="inlineStr">
        <is>
          <t>Synthetic Supplier 07</t>
        </is>
      </c>
      <c r="C11" t="inlineStr">
        <is>
          <t>MRO</t>
        </is>
      </c>
      <c r="D11" t="inlineStr">
        <is>
          <t>MRO</t>
        </is>
      </c>
      <c r="E11" t="inlineStr">
        <is>
          <t>Frequent split and short shipments</t>
        </is>
      </c>
    </row>
    <row r="12">
      <c r="A12" t="inlineStr">
        <is>
          <t>SUP-08</t>
        </is>
      </c>
      <c r="B12" t="inlineStr">
        <is>
          <t>Synthetic Supplier 08</t>
        </is>
      </c>
      <c r="C12" t="inlineStr">
        <is>
          <t>MRO</t>
        </is>
      </c>
      <c r="D12" t="inlineStr">
        <is>
          <t>MRO, PPE</t>
        </is>
      </c>
      <c r="E12" t="inlineStr">
        <is>
          <t>Generalist serving MRO and PPE</t>
        </is>
      </c>
    </row>
    <row r="13">
      <c r="A13" t="inlineStr">
        <is>
          <t>SUP-09</t>
        </is>
      </c>
      <c r="B13" t="inlineStr">
        <is>
          <t>Synthetic Supplier 09</t>
        </is>
      </c>
      <c r="C13" t="inlineStr">
        <is>
          <t>CHEM</t>
        </is>
      </c>
      <c r="D13" t="inlineStr">
        <is>
          <t>CHEM</t>
        </is>
      </c>
      <c r="E13" t="inlineStr">
        <is>
          <t>Sole source for water treatment chemicals: good performance, high dependency</t>
        </is>
      </c>
    </row>
    <row r="14">
      <c r="A14" t="inlineStr">
        <is>
          <t>SUP-10</t>
        </is>
      </c>
      <c r="B14" t="inlineStr">
        <is>
          <t>Synthetic Supplier 10</t>
        </is>
      </c>
      <c r="C14" t="inlineStr">
        <is>
          <t>PPE</t>
        </is>
      </c>
      <c r="D14" t="inlineStr">
        <is>
          <t>PPE</t>
        </is>
      </c>
      <c r="E14" t="inlineStr">
        <is>
          <t>Low price but recurring quality rejections</t>
        </is>
      </c>
    </row>
    <row r="15">
      <c r="A15" t="inlineStr">
        <is>
          <t>SUP-11</t>
        </is>
      </c>
      <c r="B15" t="inlineStr">
        <is>
          <t>Synthetic Supplier 11</t>
        </is>
      </c>
      <c r="C15" t="inlineStr">
        <is>
          <t>PPE</t>
        </is>
      </c>
      <c r="D15" t="inlineStr">
        <is>
          <t>PPE</t>
        </is>
      </c>
      <c r="E15" t="inlineStr">
        <is>
          <t>Reliable PPE supplier</t>
        </is>
      </c>
    </row>
    <row r="16">
      <c r="A16" t="inlineStr">
        <is>
          <t>SUP-12</t>
        </is>
      </c>
      <c r="B16" t="inlineStr">
        <is>
          <t>Synthetic Supplier 12</t>
        </is>
      </c>
      <c r="C16" t="inlineStr">
        <is>
          <t>IT</t>
        </is>
      </c>
      <c r="D16" t="inlineStr">
        <is>
          <t>IT</t>
        </is>
      </c>
      <c r="E16" t="inlineStr">
        <is>
          <t>Paid prices drift well above contract</t>
        </is>
      </c>
    </row>
    <row r="17">
      <c r="A17" t="inlineStr">
        <is>
          <t>SUP-13</t>
        </is>
      </c>
      <c r="B17" t="inlineStr">
        <is>
          <t>Synthetic Supplier 13</t>
        </is>
      </c>
      <c r="C17" t="inlineStr">
        <is>
          <t>IT</t>
        </is>
      </c>
      <c r="D17" t="inlineStr">
        <is>
          <t>IT</t>
        </is>
      </c>
      <c r="E17" t="inlineStr">
        <is>
          <t>Good IT supplier with a small, provisional sample</t>
        </is>
      </c>
    </row>
    <row r="18">
      <c r="A18" t="inlineStr">
        <is>
          <t>SUP-14</t>
        </is>
      </c>
      <c r="B18" t="inlineStr">
        <is>
          <t>Synthetic Supplier 14</t>
        </is>
      </c>
      <c r="C18" t="inlineStr">
        <is>
          <t>FLEET</t>
        </is>
      </c>
      <c r="D18" t="inlineStr">
        <is>
          <t>FLEET</t>
        </is>
      </c>
      <c r="E18" t="inlineStr">
        <is>
          <t>Mid-performing fleet supplier with occasional quality issues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1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s>
  <sheetData>
    <row r="1">
      <c r="A1" s="1" t="inlineStr">
        <is>
          <t>Supplier delivery, quality and spend summary</t>
        </is>
      </c>
    </row>
    <row r="2">
      <c r="A2" s="2" t="inlineStr">
        <is>
          <t>SYNTHETIC DEMONSTRATION DATA - not real suppliers or real performance. Every metric is a live formula over Syn_Lines.</t>
        </is>
      </c>
    </row>
    <row r="3">
      <c r="A3" s="22" t="inlineStr">
        <is>
          <t>Measured per PO line. Only due lines (not cancelled, promised on/before the as-of date) enter delivery rates; unreceived due lines count as late.</t>
        </is>
      </c>
    </row>
    <row r="4" ht="45" customHeight="1">
      <c r="A4" s="8" t="inlineStr">
        <is>
          <t>Supplier ID</t>
        </is>
      </c>
      <c r="B4" s="16" t="inlineStr">
        <is>
          <t>Due lines</t>
        </is>
      </c>
      <c r="C4" s="16" t="inlineStr">
        <is>
          <t>OTIF lines</t>
        </is>
      </c>
      <c r="D4" s="16" t="inlineStr">
        <is>
          <t>OTIF rate</t>
        </is>
      </c>
      <c r="E4" s="16" t="inlineStr">
        <is>
          <t>On-time rate</t>
        </is>
      </c>
      <c r="F4" s="16" t="inlineStr">
        <is>
          <t>In-full rate</t>
        </is>
      </c>
      <c r="G4" s="16" t="inlineStr">
        <is>
          <t>Late lines</t>
        </is>
      </c>
      <c r="H4" s="16" t="inlineStr">
        <is>
          <t>Avg days late (all due lines)</t>
        </is>
      </c>
      <c r="I4" s="16" t="inlineStr">
        <is>
          <t>Completed lines</t>
        </is>
      </c>
      <c r="J4" s="16" t="inlineStr">
        <is>
          <t>Avg lead time (days)</t>
        </is>
      </c>
      <c r="K4" s="16" t="inlineStr">
        <is>
          <t>Lead-time SD (days)</t>
        </is>
      </c>
      <c r="L4" s="16" t="inlineStr">
        <is>
          <t>Received qty</t>
        </is>
      </c>
      <c r="M4" s="16" t="inlineStr">
        <is>
          <t>Rejected qty</t>
        </is>
      </c>
      <c r="N4" s="16" t="inlineStr">
        <is>
          <t>Reject rate</t>
        </is>
      </c>
      <c r="O4" s="16" t="inlineStr">
        <is>
          <t>Spend (ordered value)</t>
        </is>
      </c>
      <c r="P4" s="16" t="inlineStr">
        <is>
          <t>Value at contract price</t>
        </is>
      </c>
      <c r="Q4" s="16" t="inlineStr">
        <is>
          <t>PPV vs contract</t>
        </is>
      </c>
      <c r="R4" s="16" t="inlineStr">
        <is>
          <t>Share of total spend</t>
        </is>
      </c>
      <c r="S4" s="16" t="inlineStr">
        <is>
          <t>Open lines</t>
        </is>
      </c>
      <c r="T4" s="16" t="inlineStr">
        <is>
          <t>Overdue lines</t>
        </is>
      </c>
      <c r="U4" s="16" t="inlineStr">
        <is>
          <t>Overdue open value</t>
        </is>
      </c>
      <c r="V4" s="16" t="inlineStr">
        <is>
          <t>Due lines prior 12m</t>
        </is>
      </c>
      <c r="W4" s="16" t="inlineStr">
        <is>
          <t>OTIF prior 12m</t>
        </is>
      </c>
      <c r="X4" s="16" t="inlineStr">
        <is>
          <t>Due lines last 12m</t>
        </is>
      </c>
      <c r="Y4" s="16" t="inlineStr">
        <is>
          <t>OTIF last 12m</t>
        </is>
      </c>
      <c r="Z4" s="16" t="inlineStr">
        <is>
          <t>OTIF change (pts)</t>
        </is>
      </c>
      <c r="AA4" s="16" t="inlineStr">
        <is>
          <t>Lines closed short</t>
        </is>
      </c>
    </row>
    <row r="5">
      <c r="A5" s="3" t="inlineStr">
        <is>
          <t>SUP-01</t>
        </is>
      </c>
      <c r="B5" s="18">
        <f>COUNTIFS(Syn_Lines!$C$2:$C$4838,$A5,Syn_Lines!$U$2:$U$4838,1)</f>
        <v/>
      </c>
      <c r="C5" s="18">
        <f>COUNTIFS(Syn_Lines!$C$2:$C$4838,$A5,Syn_Lines!$X$2:$X$4838,1)</f>
        <v/>
      </c>
      <c r="D5" s="15">
        <f>IF(B5&gt;0,C5/B5,"")</f>
        <v/>
      </c>
      <c r="E5" s="15">
        <f>IF(B5&gt;0,COUNTIFS(Syn_Lines!$C$2:$C$4838,$A5,Syn_Lines!$V$2:$V$4838,1)/B5,"")</f>
        <v/>
      </c>
      <c r="F5" s="15">
        <f>IF(B5&gt;0,COUNTIFS(Syn_Lines!$C$2:$C$4838,$A5,Syn_Lines!$W$2:$W$4838,1)/B5,"")</f>
        <v/>
      </c>
      <c r="G5" s="18">
        <f>COUNTIFS(Syn_Lines!$C$2:$C$4838,$A5,Syn_Lines!$U$2:$U$4838,1,Syn_Lines!$AB$2:$AB$4838,"&gt;0")</f>
        <v/>
      </c>
      <c r="H5" s="23">
        <f>IF(B5&gt;0,AVERAGEIFS(Syn_Lines!$AB$2:$AB$4838,Syn_Lines!$C$2:$C$4838,$A5,Syn_Lines!$U$2:$U$4838,1),"")</f>
        <v/>
      </c>
      <c r="I5" s="18">
        <f>COUNTIFS(Syn_Lines!$C$2:$C$4838,$A5,Syn_Lines!$Y$2:$Y$4838,1)</f>
        <v/>
      </c>
      <c r="J5" s="23">
        <f>IF(I5&gt;0,AVERAGEIFS(Syn_Lines!$AC$2:$AC$4838,Syn_Lines!$C$2:$C$4838,$A5,Syn_Lines!$Y$2:$Y$4838,1),"")</f>
        <v/>
      </c>
      <c r="K5" s="23">
        <f>IF(I5&gt;1,SQRT(MAX(0,(SUMIFS(Syn_Lines!$AD$2:$AD$4838,Syn_Lines!$C$2:$C$4838,$A5,Syn_Lines!$Y$2:$Y$4838,1)-I5*J5^2)/(I5-1))),"")</f>
        <v/>
      </c>
      <c r="L5" s="18">
        <f>SUMIFS(Syn_Lines!$M$2:$M$4838,Syn_Lines!$C$2:$C$4838,$A5,Syn_Lines!$K$2:$K$4838,0)</f>
        <v/>
      </c>
      <c r="M5" s="18">
        <f>SUMIFS(Syn_Lines!$O$2:$O$4838,Syn_Lines!$C$2:$C$4838,$A5,Syn_Lines!$K$2:$K$4838,0)</f>
        <v/>
      </c>
      <c r="N5" s="24">
        <f>IF(L5&gt;0,M5/L5,"")</f>
        <v/>
      </c>
      <c r="O5" s="25">
        <f>SUMIFS(Syn_Lines!$S$2:$S$4838,Syn_Lines!$C$2:$C$4838,$A5,Syn_Lines!$K$2:$K$4838,0)</f>
        <v/>
      </c>
      <c r="P5" s="25">
        <f>SUMIFS(Syn_Lines!$T$2:$T$4838,Syn_Lines!$C$2:$C$4838,$A5,Syn_Lines!$K$2:$K$4838,0)</f>
        <v/>
      </c>
      <c r="Q5" s="15">
        <f>IF(P5&gt;0,O5/P5-1,"")</f>
        <v/>
      </c>
      <c r="R5" s="15">
        <f>O5/SUM($O$5:$O$18)</f>
        <v/>
      </c>
      <c r="S5" s="18">
        <f>COUNTIFS(Syn_Lines!$C$2:$C$4838,$A5,Syn_Lines!$Z$2:$Z$4838,1)</f>
        <v/>
      </c>
      <c r="T5" s="18">
        <f>COUNTIFS(Syn_Lines!$C$2:$C$4838,$A5,Syn_Lines!$AA$2:$AA$4838,1)</f>
        <v/>
      </c>
      <c r="U5" s="25">
        <f>SUMIFS(Syn_Lines!$AE$2:$AE$4838,Syn_Lines!$C$2:$C$4838,$A5,Syn_Lines!$AA$2:$AA$4838,1)</f>
        <v/>
      </c>
      <c r="V5" s="18">
        <f>COUNTIFS(Syn_Lines!$C$2:$C$4838,$A5,Syn_Lines!$U$2:$U$4838,1,Syn_Lines!$AF$2:$AF$4838,"prior_12m")</f>
        <v/>
      </c>
      <c r="W5" s="15">
        <f>IF(V5&gt;0,COUNTIFS(Syn_Lines!$C$2:$C$4838,$A5,Syn_Lines!$X$2:$X$4838,1,Syn_Lines!$AF$2:$AF$4838,"prior_12m")/V5,"")</f>
        <v/>
      </c>
      <c r="X5" s="18">
        <f>COUNTIFS(Syn_Lines!$C$2:$C$4838,$A5,Syn_Lines!$U$2:$U$4838,1,Syn_Lines!$AF$2:$AF$4838,"last_12m")</f>
        <v/>
      </c>
      <c r="Y5" s="15">
        <f>IF(X5&gt;0,COUNTIFS(Syn_Lines!$C$2:$C$4838,$A5,Syn_Lines!$X$2:$X$4838,1,Syn_Lines!$AF$2:$AF$4838,"last_12m")/X5,"")</f>
        <v/>
      </c>
      <c r="Z5" s="15">
        <f>IF(OR(W5="",Y5=""),"",Y5-W5)</f>
        <v/>
      </c>
      <c r="AA5" s="18">
        <f>COUNTIFS(Syn_Lines!$C$2:$C$4838,$A5,Syn_Lines!$L$2:$L$4838,1)</f>
        <v/>
      </c>
    </row>
    <row r="6">
      <c r="A6" s="3" t="inlineStr">
        <is>
          <t>SUP-02</t>
        </is>
      </c>
      <c r="B6" s="18">
        <f>COUNTIFS(Syn_Lines!$C$2:$C$4838,$A6,Syn_Lines!$U$2:$U$4838,1)</f>
        <v/>
      </c>
      <c r="C6" s="18">
        <f>COUNTIFS(Syn_Lines!$C$2:$C$4838,$A6,Syn_Lines!$X$2:$X$4838,1)</f>
        <v/>
      </c>
      <c r="D6" s="15">
        <f>IF(B6&gt;0,C6/B6,"")</f>
        <v/>
      </c>
      <c r="E6" s="15">
        <f>IF(B6&gt;0,COUNTIFS(Syn_Lines!$C$2:$C$4838,$A6,Syn_Lines!$V$2:$V$4838,1)/B6,"")</f>
        <v/>
      </c>
      <c r="F6" s="15">
        <f>IF(B6&gt;0,COUNTIFS(Syn_Lines!$C$2:$C$4838,$A6,Syn_Lines!$W$2:$W$4838,1)/B6,"")</f>
        <v/>
      </c>
      <c r="G6" s="18">
        <f>COUNTIFS(Syn_Lines!$C$2:$C$4838,$A6,Syn_Lines!$U$2:$U$4838,1,Syn_Lines!$AB$2:$AB$4838,"&gt;0")</f>
        <v/>
      </c>
      <c r="H6" s="23">
        <f>IF(B6&gt;0,AVERAGEIFS(Syn_Lines!$AB$2:$AB$4838,Syn_Lines!$C$2:$C$4838,$A6,Syn_Lines!$U$2:$U$4838,1),"")</f>
        <v/>
      </c>
      <c r="I6" s="18">
        <f>COUNTIFS(Syn_Lines!$C$2:$C$4838,$A6,Syn_Lines!$Y$2:$Y$4838,1)</f>
        <v/>
      </c>
      <c r="J6" s="23">
        <f>IF(I6&gt;0,AVERAGEIFS(Syn_Lines!$AC$2:$AC$4838,Syn_Lines!$C$2:$C$4838,$A6,Syn_Lines!$Y$2:$Y$4838,1),"")</f>
        <v/>
      </c>
      <c r="K6" s="23">
        <f>IF(I6&gt;1,SQRT(MAX(0,(SUMIFS(Syn_Lines!$AD$2:$AD$4838,Syn_Lines!$C$2:$C$4838,$A6,Syn_Lines!$Y$2:$Y$4838,1)-I6*J6^2)/(I6-1))),"")</f>
        <v/>
      </c>
      <c r="L6" s="18">
        <f>SUMIFS(Syn_Lines!$M$2:$M$4838,Syn_Lines!$C$2:$C$4838,$A6,Syn_Lines!$K$2:$K$4838,0)</f>
        <v/>
      </c>
      <c r="M6" s="18">
        <f>SUMIFS(Syn_Lines!$O$2:$O$4838,Syn_Lines!$C$2:$C$4838,$A6,Syn_Lines!$K$2:$K$4838,0)</f>
        <v/>
      </c>
      <c r="N6" s="24">
        <f>IF(L6&gt;0,M6/L6,"")</f>
        <v/>
      </c>
      <c r="O6" s="25">
        <f>SUMIFS(Syn_Lines!$S$2:$S$4838,Syn_Lines!$C$2:$C$4838,$A6,Syn_Lines!$K$2:$K$4838,0)</f>
        <v/>
      </c>
      <c r="P6" s="25">
        <f>SUMIFS(Syn_Lines!$T$2:$T$4838,Syn_Lines!$C$2:$C$4838,$A6,Syn_Lines!$K$2:$K$4838,0)</f>
        <v/>
      </c>
      <c r="Q6" s="15">
        <f>IF(P6&gt;0,O6/P6-1,"")</f>
        <v/>
      </c>
      <c r="R6" s="15">
        <f>O6/SUM($O$5:$O$18)</f>
        <v/>
      </c>
      <c r="S6" s="18">
        <f>COUNTIFS(Syn_Lines!$C$2:$C$4838,$A6,Syn_Lines!$Z$2:$Z$4838,1)</f>
        <v/>
      </c>
      <c r="T6" s="18">
        <f>COUNTIFS(Syn_Lines!$C$2:$C$4838,$A6,Syn_Lines!$AA$2:$AA$4838,1)</f>
        <v/>
      </c>
      <c r="U6" s="25">
        <f>SUMIFS(Syn_Lines!$AE$2:$AE$4838,Syn_Lines!$C$2:$C$4838,$A6,Syn_Lines!$AA$2:$AA$4838,1)</f>
        <v/>
      </c>
      <c r="V6" s="18">
        <f>COUNTIFS(Syn_Lines!$C$2:$C$4838,$A6,Syn_Lines!$U$2:$U$4838,1,Syn_Lines!$AF$2:$AF$4838,"prior_12m")</f>
        <v/>
      </c>
      <c r="W6" s="15">
        <f>IF(V6&gt;0,COUNTIFS(Syn_Lines!$C$2:$C$4838,$A6,Syn_Lines!$X$2:$X$4838,1,Syn_Lines!$AF$2:$AF$4838,"prior_12m")/V6,"")</f>
        <v/>
      </c>
      <c r="X6" s="18">
        <f>COUNTIFS(Syn_Lines!$C$2:$C$4838,$A6,Syn_Lines!$U$2:$U$4838,1,Syn_Lines!$AF$2:$AF$4838,"last_12m")</f>
        <v/>
      </c>
      <c r="Y6" s="15">
        <f>IF(X6&gt;0,COUNTIFS(Syn_Lines!$C$2:$C$4838,$A6,Syn_Lines!$X$2:$X$4838,1,Syn_Lines!$AF$2:$AF$4838,"last_12m")/X6,"")</f>
        <v/>
      </c>
      <c r="Z6" s="15">
        <f>IF(OR(W6="",Y6=""),"",Y6-W6)</f>
        <v/>
      </c>
      <c r="AA6" s="18">
        <f>COUNTIFS(Syn_Lines!$C$2:$C$4838,$A6,Syn_Lines!$L$2:$L$4838,1)</f>
        <v/>
      </c>
    </row>
    <row r="7">
      <c r="A7" s="3" t="inlineStr">
        <is>
          <t>SUP-03</t>
        </is>
      </c>
      <c r="B7" s="18">
        <f>COUNTIFS(Syn_Lines!$C$2:$C$4838,$A7,Syn_Lines!$U$2:$U$4838,1)</f>
        <v/>
      </c>
      <c r="C7" s="18">
        <f>COUNTIFS(Syn_Lines!$C$2:$C$4838,$A7,Syn_Lines!$X$2:$X$4838,1)</f>
        <v/>
      </c>
      <c r="D7" s="15">
        <f>IF(B7&gt;0,C7/B7,"")</f>
        <v/>
      </c>
      <c r="E7" s="15">
        <f>IF(B7&gt;0,COUNTIFS(Syn_Lines!$C$2:$C$4838,$A7,Syn_Lines!$V$2:$V$4838,1)/B7,"")</f>
        <v/>
      </c>
      <c r="F7" s="15">
        <f>IF(B7&gt;0,COUNTIFS(Syn_Lines!$C$2:$C$4838,$A7,Syn_Lines!$W$2:$W$4838,1)/B7,"")</f>
        <v/>
      </c>
      <c r="G7" s="18">
        <f>COUNTIFS(Syn_Lines!$C$2:$C$4838,$A7,Syn_Lines!$U$2:$U$4838,1,Syn_Lines!$AB$2:$AB$4838,"&gt;0")</f>
        <v/>
      </c>
      <c r="H7" s="23">
        <f>IF(B7&gt;0,AVERAGEIFS(Syn_Lines!$AB$2:$AB$4838,Syn_Lines!$C$2:$C$4838,$A7,Syn_Lines!$U$2:$U$4838,1),"")</f>
        <v/>
      </c>
      <c r="I7" s="18">
        <f>COUNTIFS(Syn_Lines!$C$2:$C$4838,$A7,Syn_Lines!$Y$2:$Y$4838,1)</f>
        <v/>
      </c>
      <c r="J7" s="23">
        <f>IF(I7&gt;0,AVERAGEIFS(Syn_Lines!$AC$2:$AC$4838,Syn_Lines!$C$2:$C$4838,$A7,Syn_Lines!$Y$2:$Y$4838,1),"")</f>
        <v/>
      </c>
      <c r="K7" s="23">
        <f>IF(I7&gt;1,SQRT(MAX(0,(SUMIFS(Syn_Lines!$AD$2:$AD$4838,Syn_Lines!$C$2:$C$4838,$A7,Syn_Lines!$Y$2:$Y$4838,1)-I7*J7^2)/(I7-1))),"")</f>
        <v/>
      </c>
      <c r="L7" s="18">
        <f>SUMIFS(Syn_Lines!$M$2:$M$4838,Syn_Lines!$C$2:$C$4838,$A7,Syn_Lines!$K$2:$K$4838,0)</f>
        <v/>
      </c>
      <c r="M7" s="18">
        <f>SUMIFS(Syn_Lines!$O$2:$O$4838,Syn_Lines!$C$2:$C$4838,$A7,Syn_Lines!$K$2:$K$4838,0)</f>
        <v/>
      </c>
      <c r="N7" s="24">
        <f>IF(L7&gt;0,M7/L7,"")</f>
        <v/>
      </c>
      <c r="O7" s="25">
        <f>SUMIFS(Syn_Lines!$S$2:$S$4838,Syn_Lines!$C$2:$C$4838,$A7,Syn_Lines!$K$2:$K$4838,0)</f>
        <v/>
      </c>
      <c r="P7" s="25">
        <f>SUMIFS(Syn_Lines!$T$2:$T$4838,Syn_Lines!$C$2:$C$4838,$A7,Syn_Lines!$K$2:$K$4838,0)</f>
        <v/>
      </c>
      <c r="Q7" s="15">
        <f>IF(P7&gt;0,O7/P7-1,"")</f>
        <v/>
      </c>
      <c r="R7" s="15">
        <f>O7/SUM($O$5:$O$18)</f>
        <v/>
      </c>
      <c r="S7" s="18">
        <f>COUNTIFS(Syn_Lines!$C$2:$C$4838,$A7,Syn_Lines!$Z$2:$Z$4838,1)</f>
        <v/>
      </c>
      <c r="T7" s="18">
        <f>COUNTIFS(Syn_Lines!$C$2:$C$4838,$A7,Syn_Lines!$AA$2:$AA$4838,1)</f>
        <v/>
      </c>
      <c r="U7" s="25">
        <f>SUMIFS(Syn_Lines!$AE$2:$AE$4838,Syn_Lines!$C$2:$C$4838,$A7,Syn_Lines!$AA$2:$AA$4838,1)</f>
        <v/>
      </c>
      <c r="V7" s="18">
        <f>COUNTIFS(Syn_Lines!$C$2:$C$4838,$A7,Syn_Lines!$U$2:$U$4838,1,Syn_Lines!$AF$2:$AF$4838,"prior_12m")</f>
        <v/>
      </c>
      <c r="W7" s="15">
        <f>IF(V7&gt;0,COUNTIFS(Syn_Lines!$C$2:$C$4838,$A7,Syn_Lines!$X$2:$X$4838,1,Syn_Lines!$AF$2:$AF$4838,"prior_12m")/V7,"")</f>
        <v/>
      </c>
      <c r="X7" s="18">
        <f>COUNTIFS(Syn_Lines!$C$2:$C$4838,$A7,Syn_Lines!$U$2:$U$4838,1,Syn_Lines!$AF$2:$AF$4838,"last_12m")</f>
        <v/>
      </c>
      <c r="Y7" s="15">
        <f>IF(X7&gt;0,COUNTIFS(Syn_Lines!$C$2:$C$4838,$A7,Syn_Lines!$X$2:$X$4838,1,Syn_Lines!$AF$2:$AF$4838,"last_12m")/X7,"")</f>
        <v/>
      </c>
      <c r="Z7" s="15">
        <f>IF(OR(W7="",Y7=""),"",Y7-W7)</f>
        <v/>
      </c>
      <c r="AA7" s="18">
        <f>COUNTIFS(Syn_Lines!$C$2:$C$4838,$A7,Syn_Lines!$L$2:$L$4838,1)</f>
        <v/>
      </c>
    </row>
    <row r="8">
      <c r="A8" s="3" t="inlineStr">
        <is>
          <t>SUP-04</t>
        </is>
      </c>
      <c r="B8" s="18">
        <f>COUNTIFS(Syn_Lines!$C$2:$C$4838,$A8,Syn_Lines!$U$2:$U$4838,1)</f>
        <v/>
      </c>
      <c r="C8" s="18">
        <f>COUNTIFS(Syn_Lines!$C$2:$C$4838,$A8,Syn_Lines!$X$2:$X$4838,1)</f>
        <v/>
      </c>
      <c r="D8" s="15">
        <f>IF(B8&gt;0,C8/B8,"")</f>
        <v/>
      </c>
      <c r="E8" s="15">
        <f>IF(B8&gt;0,COUNTIFS(Syn_Lines!$C$2:$C$4838,$A8,Syn_Lines!$V$2:$V$4838,1)/B8,"")</f>
        <v/>
      </c>
      <c r="F8" s="15">
        <f>IF(B8&gt;0,COUNTIFS(Syn_Lines!$C$2:$C$4838,$A8,Syn_Lines!$W$2:$W$4838,1)/B8,"")</f>
        <v/>
      </c>
      <c r="G8" s="18">
        <f>COUNTIFS(Syn_Lines!$C$2:$C$4838,$A8,Syn_Lines!$U$2:$U$4838,1,Syn_Lines!$AB$2:$AB$4838,"&gt;0")</f>
        <v/>
      </c>
      <c r="H8" s="23">
        <f>IF(B8&gt;0,AVERAGEIFS(Syn_Lines!$AB$2:$AB$4838,Syn_Lines!$C$2:$C$4838,$A8,Syn_Lines!$U$2:$U$4838,1),"")</f>
        <v/>
      </c>
      <c r="I8" s="18">
        <f>COUNTIFS(Syn_Lines!$C$2:$C$4838,$A8,Syn_Lines!$Y$2:$Y$4838,1)</f>
        <v/>
      </c>
      <c r="J8" s="23">
        <f>IF(I8&gt;0,AVERAGEIFS(Syn_Lines!$AC$2:$AC$4838,Syn_Lines!$C$2:$C$4838,$A8,Syn_Lines!$Y$2:$Y$4838,1),"")</f>
        <v/>
      </c>
      <c r="K8" s="23">
        <f>IF(I8&gt;1,SQRT(MAX(0,(SUMIFS(Syn_Lines!$AD$2:$AD$4838,Syn_Lines!$C$2:$C$4838,$A8,Syn_Lines!$Y$2:$Y$4838,1)-I8*J8^2)/(I8-1))),"")</f>
        <v/>
      </c>
      <c r="L8" s="18">
        <f>SUMIFS(Syn_Lines!$M$2:$M$4838,Syn_Lines!$C$2:$C$4838,$A8,Syn_Lines!$K$2:$K$4838,0)</f>
        <v/>
      </c>
      <c r="M8" s="18">
        <f>SUMIFS(Syn_Lines!$O$2:$O$4838,Syn_Lines!$C$2:$C$4838,$A8,Syn_Lines!$K$2:$K$4838,0)</f>
        <v/>
      </c>
      <c r="N8" s="24">
        <f>IF(L8&gt;0,M8/L8,"")</f>
        <v/>
      </c>
      <c r="O8" s="25">
        <f>SUMIFS(Syn_Lines!$S$2:$S$4838,Syn_Lines!$C$2:$C$4838,$A8,Syn_Lines!$K$2:$K$4838,0)</f>
        <v/>
      </c>
      <c r="P8" s="25">
        <f>SUMIFS(Syn_Lines!$T$2:$T$4838,Syn_Lines!$C$2:$C$4838,$A8,Syn_Lines!$K$2:$K$4838,0)</f>
        <v/>
      </c>
      <c r="Q8" s="15">
        <f>IF(P8&gt;0,O8/P8-1,"")</f>
        <v/>
      </c>
      <c r="R8" s="15">
        <f>O8/SUM($O$5:$O$18)</f>
        <v/>
      </c>
      <c r="S8" s="18">
        <f>COUNTIFS(Syn_Lines!$C$2:$C$4838,$A8,Syn_Lines!$Z$2:$Z$4838,1)</f>
        <v/>
      </c>
      <c r="T8" s="18">
        <f>COUNTIFS(Syn_Lines!$C$2:$C$4838,$A8,Syn_Lines!$AA$2:$AA$4838,1)</f>
        <v/>
      </c>
      <c r="U8" s="25">
        <f>SUMIFS(Syn_Lines!$AE$2:$AE$4838,Syn_Lines!$C$2:$C$4838,$A8,Syn_Lines!$AA$2:$AA$4838,1)</f>
        <v/>
      </c>
      <c r="V8" s="18">
        <f>COUNTIFS(Syn_Lines!$C$2:$C$4838,$A8,Syn_Lines!$U$2:$U$4838,1,Syn_Lines!$AF$2:$AF$4838,"prior_12m")</f>
        <v/>
      </c>
      <c r="W8" s="15">
        <f>IF(V8&gt;0,COUNTIFS(Syn_Lines!$C$2:$C$4838,$A8,Syn_Lines!$X$2:$X$4838,1,Syn_Lines!$AF$2:$AF$4838,"prior_12m")/V8,"")</f>
        <v/>
      </c>
      <c r="X8" s="18">
        <f>COUNTIFS(Syn_Lines!$C$2:$C$4838,$A8,Syn_Lines!$U$2:$U$4838,1,Syn_Lines!$AF$2:$AF$4838,"last_12m")</f>
        <v/>
      </c>
      <c r="Y8" s="15">
        <f>IF(X8&gt;0,COUNTIFS(Syn_Lines!$C$2:$C$4838,$A8,Syn_Lines!$X$2:$X$4838,1,Syn_Lines!$AF$2:$AF$4838,"last_12m")/X8,"")</f>
        <v/>
      </c>
      <c r="Z8" s="15">
        <f>IF(OR(W8="",Y8=""),"",Y8-W8)</f>
        <v/>
      </c>
      <c r="AA8" s="18">
        <f>COUNTIFS(Syn_Lines!$C$2:$C$4838,$A8,Syn_Lines!$L$2:$L$4838,1)</f>
        <v/>
      </c>
    </row>
    <row r="9">
      <c r="A9" s="3" t="inlineStr">
        <is>
          <t>SUP-05</t>
        </is>
      </c>
      <c r="B9" s="18">
        <f>COUNTIFS(Syn_Lines!$C$2:$C$4838,$A9,Syn_Lines!$U$2:$U$4838,1)</f>
        <v/>
      </c>
      <c r="C9" s="18">
        <f>COUNTIFS(Syn_Lines!$C$2:$C$4838,$A9,Syn_Lines!$X$2:$X$4838,1)</f>
        <v/>
      </c>
      <c r="D9" s="15">
        <f>IF(B9&gt;0,C9/B9,"")</f>
        <v/>
      </c>
      <c r="E9" s="15">
        <f>IF(B9&gt;0,COUNTIFS(Syn_Lines!$C$2:$C$4838,$A9,Syn_Lines!$V$2:$V$4838,1)/B9,"")</f>
        <v/>
      </c>
      <c r="F9" s="15">
        <f>IF(B9&gt;0,COUNTIFS(Syn_Lines!$C$2:$C$4838,$A9,Syn_Lines!$W$2:$W$4838,1)/B9,"")</f>
        <v/>
      </c>
      <c r="G9" s="18">
        <f>COUNTIFS(Syn_Lines!$C$2:$C$4838,$A9,Syn_Lines!$U$2:$U$4838,1,Syn_Lines!$AB$2:$AB$4838,"&gt;0")</f>
        <v/>
      </c>
      <c r="H9" s="23">
        <f>IF(B9&gt;0,AVERAGEIFS(Syn_Lines!$AB$2:$AB$4838,Syn_Lines!$C$2:$C$4838,$A9,Syn_Lines!$U$2:$U$4838,1),"")</f>
        <v/>
      </c>
      <c r="I9" s="18">
        <f>COUNTIFS(Syn_Lines!$C$2:$C$4838,$A9,Syn_Lines!$Y$2:$Y$4838,1)</f>
        <v/>
      </c>
      <c r="J9" s="23">
        <f>IF(I9&gt;0,AVERAGEIFS(Syn_Lines!$AC$2:$AC$4838,Syn_Lines!$C$2:$C$4838,$A9,Syn_Lines!$Y$2:$Y$4838,1),"")</f>
        <v/>
      </c>
      <c r="K9" s="23">
        <f>IF(I9&gt;1,SQRT(MAX(0,(SUMIFS(Syn_Lines!$AD$2:$AD$4838,Syn_Lines!$C$2:$C$4838,$A9,Syn_Lines!$Y$2:$Y$4838,1)-I9*J9^2)/(I9-1))),"")</f>
        <v/>
      </c>
      <c r="L9" s="18">
        <f>SUMIFS(Syn_Lines!$M$2:$M$4838,Syn_Lines!$C$2:$C$4838,$A9,Syn_Lines!$K$2:$K$4838,0)</f>
        <v/>
      </c>
      <c r="M9" s="18">
        <f>SUMIFS(Syn_Lines!$O$2:$O$4838,Syn_Lines!$C$2:$C$4838,$A9,Syn_Lines!$K$2:$K$4838,0)</f>
        <v/>
      </c>
      <c r="N9" s="24">
        <f>IF(L9&gt;0,M9/L9,"")</f>
        <v/>
      </c>
      <c r="O9" s="25">
        <f>SUMIFS(Syn_Lines!$S$2:$S$4838,Syn_Lines!$C$2:$C$4838,$A9,Syn_Lines!$K$2:$K$4838,0)</f>
        <v/>
      </c>
      <c r="P9" s="25">
        <f>SUMIFS(Syn_Lines!$T$2:$T$4838,Syn_Lines!$C$2:$C$4838,$A9,Syn_Lines!$K$2:$K$4838,0)</f>
        <v/>
      </c>
      <c r="Q9" s="15">
        <f>IF(P9&gt;0,O9/P9-1,"")</f>
        <v/>
      </c>
      <c r="R9" s="15">
        <f>O9/SUM($O$5:$O$18)</f>
        <v/>
      </c>
      <c r="S9" s="18">
        <f>COUNTIFS(Syn_Lines!$C$2:$C$4838,$A9,Syn_Lines!$Z$2:$Z$4838,1)</f>
        <v/>
      </c>
      <c r="T9" s="18">
        <f>COUNTIFS(Syn_Lines!$C$2:$C$4838,$A9,Syn_Lines!$AA$2:$AA$4838,1)</f>
        <v/>
      </c>
      <c r="U9" s="25">
        <f>SUMIFS(Syn_Lines!$AE$2:$AE$4838,Syn_Lines!$C$2:$C$4838,$A9,Syn_Lines!$AA$2:$AA$4838,1)</f>
        <v/>
      </c>
      <c r="V9" s="18">
        <f>COUNTIFS(Syn_Lines!$C$2:$C$4838,$A9,Syn_Lines!$U$2:$U$4838,1,Syn_Lines!$AF$2:$AF$4838,"prior_12m")</f>
        <v/>
      </c>
      <c r="W9" s="15">
        <f>IF(V9&gt;0,COUNTIFS(Syn_Lines!$C$2:$C$4838,$A9,Syn_Lines!$X$2:$X$4838,1,Syn_Lines!$AF$2:$AF$4838,"prior_12m")/V9,"")</f>
        <v/>
      </c>
      <c r="X9" s="18">
        <f>COUNTIFS(Syn_Lines!$C$2:$C$4838,$A9,Syn_Lines!$U$2:$U$4838,1,Syn_Lines!$AF$2:$AF$4838,"last_12m")</f>
        <v/>
      </c>
      <c r="Y9" s="15">
        <f>IF(X9&gt;0,COUNTIFS(Syn_Lines!$C$2:$C$4838,$A9,Syn_Lines!$X$2:$X$4838,1,Syn_Lines!$AF$2:$AF$4838,"last_12m")/X9,"")</f>
        <v/>
      </c>
      <c r="Z9" s="15">
        <f>IF(OR(W9="",Y9=""),"",Y9-W9)</f>
        <v/>
      </c>
      <c r="AA9" s="18">
        <f>COUNTIFS(Syn_Lines!$C$2:$C$4838,$A9,Syn_Lines!$L$2:$L$4838,1)</f>
        <v/>
      </c>
    </row>
    <row r="10">
      <c r="A10" s="3" t="inlineStr">
        <is>
          <t>SUP-06</t>
        </is>
      </c>
      <c r="B10" s="18">
        <f>COUNTIFS(Syn_Lines!$C$2:$C$4838,$A10,Syn_Lines!$U$2:$U$4838,1)</f>
        <v/>
      </c>
      <c r="C10" s="18">
        <f>COUNTIFS(Syn_Lines!$C$2:$C$4838,$A10,Syn_Lines!$X$2:$X$4838,1)</f>
        <v/>
      </c>
      <c r="D10" s="15">
        <f>IF(B10&gt;0,C10/B10,"")</f>
        <v/>
      </c>
      <c r="E10" s="15">
        <f>IF(B10&gt;0,COUNTIFS(Syn_Lines!$C$2:$C$4838,$A10,Syn_Lines!$V$2:$V$4838,1)/B10,"")</f>
        <v/>
      </c>
      <c r="F10" s="15">
        <f>IF(B10&gt;0,COUNTIFS(Syn_Lines!$C$2:$C$4838,$A10,Syn_Lines!$W$2:$W$4838,1)/B10,"")</f>
        <v/>
      </c>
      <c r="G10" s="18">
        <f>COUNTIFS(Syn_Lines!$C$2:$C$4838,$A10,Syn_Lines!$U$2:$U$4838,1,Syn_Lines!$AB$2:$AB$4838,"&gt;0")</f>
        <v/>
      </c>
      <c r="H10" s="23">
        <f>IF(B10&gt;0,AVERAGEIFS(Syn_Lines!$AB$2:$AB$4838,Syn_Lines!$C$2:$C$4838,$A10,Syn_Lines!$U$2:$U$4838,1),"")</f>
        <v/>
      </c>
      <c r="I10" s="18">
        <f>COUNTIFS(Syn_Lines!$C$2:$C$4838,$A10,Syn_Lines!$Y$2:$Y$4838,1)</f>
        <v/>
      </c>
      <c r="J10" s="23">
        <f>IF(I10&gt;0,AVERAGEIFS(Syn_Lines!$AC$2:$AC$4838,Syn_Lines!$C$2:$C$4838,$A10,Syn_Lines!$Y$2:$Y$4838,1),"")</f>
        <v/>
      </c>
      <c r="K10" s="23">
        <f>IF(I10&gt;1,SQRT(MAX(0,(SUMIFS(Syn_Lines!$AD$2:$AD$4838,Syn_Lines!$C$2:$C$4838,$A10,Syn_Lines!$Y$2:$Y$4838,1)-I10*J10^2)/(I10-1))),"")</f>
        <v/>
      </c>
      <c r="L10" s="18">
        <f>SUMIFS(Syn_Lines!$M$2:$M$4838,Syn_Lines!$C$2:$C$4838,$A10,Syn_Lines!$K$2:$K$4838,0)</f>
        <v/>
      </c>
      <c r="M10" s="18">
        <f>SUMIFS(Syn_Lines!$O$2:$O$4838,Syn_Lines!$C$2:$C$4838,$A10,Syn_Lines!$K$2:$K$4838,0)</f>
        <v/>
      </c>
      <c r="N10" s="24">
        <f>IF(L10&gt;0,M10/L10,"")</f>
        <v/>
      </c>
      <c r="O10" s="25">
        <f>SUMIFS(Syn_Lines!$S$2:$S$4838,Syn_Lines!$C$2:$C$4838,$A10,Syn_Lines!$K$2:$K$4838,0)</f>
        <v/>
      </c>
      <c r="P10" s="25">
        <f>SUMIFS(Syn_Lines!$T$2:$T$4838,Syn_Lines!$C$2:$C$4838,$A10,Syn_Lines!$K$2:$K$4838,0)</f>
        <v/>
      </c>
      <c r="Q10" s="15">
        <f>IF(P10&gt;0,O10/P10-1,"")</f>
        <v/>
      </c>
      <c r="R10" s="15">
        <f>O10/SUM($O$5:$O$18)</f>
        <v/>
      </c>
      <c r="S10" s="18">
        <f>COUNTIFS(Syn_Lines!$C$2:$C$4838,$A10,Syn_Lines!$Z$2:$Z$4838,1)</f>
        <v/>
      </c>
      <c r="T10" s="18">
        <f>COUNTIFS(Syn_Lines!$C$2:$C$4838,$A10,Syn_Lines!$AA$2:$AA$4838,1)</f>
        <v/>
      </c>
      <c r="U10" s="25">
        <f>SUMIFS(Syn_Lines!$AE$2:$AE$4838,Syn_Lines!$C$2:$C$4838,$A10,Syn_Lines!$AA$2:$AA$4838,1)</f>
        <v/>
      </c>
      <c r="V10" s="18">
        <f>COUNTIFS(Syn_Lines!$C$2:$C$4838,$A10,Syn_Lines!$U$2:$U$4838,1,Syn_Lines!$AF$2:$AF$4838,"prior_12m")</f>
        <v/>
      </c>
      <c r="W10" s="15">
        <f>IF(V10&gt;0,COUNTIFS(Syn_Lines!$C$2:$C$4838,$A10,Syn_Lines!$X$2:$X$4838,1,Syn_Lines!$AF$2:$AF$4838,"prior_12m")/V10,"")</f>
        <v/>
      </c>
      <c r="X10" s="18">
        <f>COUNTIFS(Syn_Lines!$C$2:$C$4838,$A10,Syn_Lines!$U$2:$U$4838,1,Syn_Lines!$AF$2:$AF$4838,"last_12m")</f>
        <v/>
      </c>
      <c r="Y10" s="15">
        <f>IF(X10&gt;0,COUNTIFS(Syn_Lines!$C$2:$C$4838,$A10,Syn_Lines!$X$2:$X$4838,1,Syn_Lines!$AF$2:$AF$4838,"last_12m")/X10,"")</f>
        <v/>
      </c>
      <c r="Z10" s="15">
        <f>IF(OR(W10="",Y10=""),"",Y10-W10)</f>
        <v/>
      </c>
      <c r="AA10" s="18">
        <f>COUNTIFS(Syn_Lines!$C$2:$C$4838,$A10,Syn_Lines!$L$2:$L$4838,1)</f>
        <v/>
      </c>
    </row>
    <row r="11">
      <c r="A11" s="3" t="inlineStr">
        <is>
          <t>SUP-07</t>
        </is>
      </c>
      <c r="B11" s="18">
        <f>COUNTIFS(Syn_Lines!$C$2:$C$4838,$A11,Syn_Lines!$U$2:$U$4838,1)</f>
        <v/>
      </c>
      <c r="C11" s="18">
        <f>COUNTIFS(Syn_Lines!$C$2:$C$4838,$A11,Syn_Lines!$X$2:$X$4838,1)</f>
        <v/>
      </c>
      <c r="D11" s="15">
        <f>IF(B11&gt;0,C11/B11,"")</f>
        <v/>
      </c>
      <c r="E11" s="15">
        <f>IF(B11&gt;0,COUNTIFS(Syn_Lines!$C$2:$C$4838,$A11,Syn_Lines!$V$2:$V$4838,1)/B11,"")</f>
        <v/>
      </c>
      <c r="F11" s="15">
        <f>IF(B11&gt;0,COUNTIFS(Syn_Lines!$C$2:$C$4838,$A11,Syn_Lines!$W$2:$W$4838,1)/B11,"")</f>
        <v/>
      </c>
      <c r="G11" s="18">
        <f>COUNTIFS(Syn_Lines!$C$2:$C$4838,$A11,Syn_Lines!$U$2:$U$4838,1,Syn_Lines!$AB$2:$AB$4838,"&gt;0")</f>
        <v/>
      </c>
      <c r="H11" s="23">
        <f>IF(B11&gt;0,AVERAGEIFS(Syn_Lines!$AB$2:$AB$4838,Syn_Lines!$C$2:$C$4838,$A11,Syn_Lines!$U$2:$U$4838,1),"")</f>
        <v/>
      </c>
      <c r="I11" s="18">
        <f>COUNTIFS(Syn_Lines!$C$2:$C$4838,$A11,Syn_Lines!$Y$2:$Y$4838,1)</f>
        <v/>
      </c>
      <c r="J11" s="23">
        <f>IF(I11&gt;0,AVERAGEIFS(Syn_Lines!$AC$2:$AC$4838,Syn_Lines!$C$2:$C$4838,$A11,Syn_Lines!$Y$2:$Y$4838,1),"")</f>
        <v/>
      </c>
      <c r="K11" s="23">
        <f>IF(I11&gt;1,SQRT(MAX(0,(SUMIFS(Syn_Lines!$AD$2:$AD$4838,Syn_Lines!$C$2:$C$4838,$A11,Syn_Lines!$Y$2:$Y$4838,1)-I11*J11^2)/(I11-1))),"")</f>
        <v/>
      </c>
      <c r="L11" s="18">
        <f>SUMIFS(Syn_Lines!$M$2:$M$4838,Syn_Lines!$C$2:$C$4838,$A11,Syn_Lines!$K$2:$K$4838,0)</f>
        <v/>
      </c>
      <c r="M11" s="18">
        <f>SUMIFS(Syn_Lines!$O$2:$O$4838,Syn_Lines!$C$2:$C$4838,$A11,Syn_Lines!$K$2:$K$4838,0)</f>
        <v/>
      </c>
      <c r="N11" s="24">
        <f>IF(L11&gt;0,M11/L11,"")</f>
        <v/>
      </c>
      <c r="O11" s="25">
        <f>SUMIFS(Syn_Lines!$S$2:$S$4838,Syn_Lines!$C$2:$C$4838,$A11,Syn_Lines!$K$2:$K$4838,0)</f>
        <v/>
      </c>
      <c r="P11" s="25">
        <f>SUMIFS(Syn_Lines!$T$2:$T$4838,Syn_Lines!$C$2:$C$4838,$A11,Syn_Lines!$K$2:$K$4838,0)</f>
        <v/>
      </c>
      <c r="Q11" s="15">
        <f>IF(P11&gt;0,O11/P11-1,"")</f>
        <v/>
      </c>
      <c r="R11" s="15">
        <f>O11/SUM($O$5:$O$18)</f>
        <v/>
      </c>
      <c r="S11" s="18">
        <f>COUNTIFS(Syn_Lines!$C$2:$C$4838,$A11,Syn_Lines!$Z$2:$Z$4838,1)</f>
        <v/>
      </c>
      <c r="T11" s="18">
        <f>COUNTIFS(Syn_Lines!$C$2:$C$4838,$A11,Syn_Lines!$AA$2:$AA$4838,1)</f>
        <v/>
      </c>
      <c r="U11" s="25">
        <f>SUMIFS(Syn_Lines!$AE$2:$AE$4838,Syn_Lines!$C$2:$C$4838,$A11,Syn_Lines!$AA$2:$AA$4838,1)</f>
        <v/>
      </c>
      <c r="V11" s="18">
        <f>COUNTIFS(Syn_Lines!$C$2:$C$4838,$A11,Syn_Lines!$U$2:$U$4838,1,Syn_Lines!$AF$2:$AF$4838,"prior_12m")</f>
        <v/>
      </c>
      <c r="W11" s="15">
        <f>IF(V11&gt;0,COUNTIFS(Syn_Lines!$C$2:$C$4838,$A11,Syn_Lines!$X$2:$X$4838,1,Syn_Lines!$AF$2:$AF$4838,"prior_12m")/V11,"")</f>
        <v/>
      </c>
      <c r="X11" s="18">
        <f>COUNTIFS(Syn_Lines!$C$2:$C$4838,$A11,Syn_Lines!$U$2:$U$4838,1,Syn_Lines!$AF$2:$AF$4838,"last_12m")</f>
        <v/>
      </c>
      <c r="Y11" s="15">
        <f>IF(X11&gt;0,COUNTIFS(Syn_Lines!$C$2:$C$4838,$A11,Syn_Lines!$X$2:$X$4838,1,Syn_Lines!$AF$2:$AF$4838,"last_12m")/X11,"")</f>
        <v/>
      </c>
      <c r="Z11" s="15">
        <f>IF(OR(W11="",Y11=""),"",Y11-W11)</f>
        <v/>
      </c>
      <c r="AA11" s="18">
        <f>COUNTIFS(Syn_Lines!$C$2:$C$4838,$A11,Syn_Lines!$L$2:$L$4838,1)</f>
        <v/>
      </c>
    </row>
    <row r="12">
      <c r="A12" s="3" t="inlineStr">
        <is>
          <t>SUP-08</t>
        </is>
      </c>
      <c r="B12" s="18">
        <f>COUNTIFS(Syn_Lines!$C$2:$C$4838,$A12,Syn_Lines!$U$2:$U$4838,1)</f>
        <v/>
      </c>
      <c r="C12" s="18">
        <f>COUNTIFS(Syn_Lines!$C$2:$C$4838,$A12,Syn_Lines!$X$2:$X$4838,1)</f>
        <v/>
      </c>
      <c r="D12" s="15">
        <f>IF(B12&gt;0,C12/B12,"")</f>
        <v/>
      </c>
      <c r="E12" s="15">
        <f>IF(B12&gt;0,COUNTIFS(Syn_Lines!$C$2:$C$4838,$A12,Syn_Lines!$V$2:$V$4838,1)/B12,"")</f>
        <v/>
      </c>
      <c r="F12" s="15">
        <f>IF(B12&gt;0,COUNTIFS(Syn_Lines!$C$2:$C$4838,$A12,Syn_Lines!$W$2:$W$4838,1)/B12,"")</f>
        <v/>
      </c>
      <c r="G12" s="18">
        <f>COUNTIFS(Syn_Lines!$C$2:$C$4838,$A12,Syn_Lines!$U$2:$U$4838,1,Syn_Lines!$AB$2:$AB$4838,"&gt;0")</f>
        <v/>
      </c>
      <c r="H12" s="23">
        <f>IF(B12&gt;0,AVERAGEIFS(Syn_Lines!$AB$2:$AB$4838,Syn_Lines!$C$2:$C$4838,$A12,Syn_Lines!$U$2:$U$4838,1),"")</f>
        <v/>
      </c>
      <c r="I12" s="18">
        <f>COUNTIFS(Syn_Lines!$C$2:$C$4838,$A12,Syn_Lines!$Y$2:$Y$4838,1)</f>
        <v/>
      </c>
      <c r="J12" s="23">
        <f>IF(I12&gt;0,AVERAGEIFS(Syn_Lines!$AC$2:$AC$4838,Syn_Lines!$C$2:$C$4838,$A12,Syn_Lines!$Y$2:$Y$4838,1),"")</f>
        <v/>
      </c>
      <c r="K12" s="23">
        <f>IF(I12&gt;1,SQRT(MAX(0,(SUMIFS(Syn_Lines!$AD$2:$AD$4838,Syn_Lines!$C$2:$C$4838,$A12,Syn_Lines!$Y$2:$Y$4838,1)-I12*J12^2)/(I12-1))),"")</f>
        <v/>
      </c>
      <c r="L12" s="18">
        <f>SUMIFS(Syn_Lines!$M$2:$M$4838,Syn_Lines!$C$2:$C$4838,$A12,Syn_Lines!$K$2:$K$4838,0)</f>
        <v/>
      </c>
      <c r="M12" s="18">
        <f>SUMIFS(Syn_Lines!$O$2:$O$4838,Syn_Lines!$C$2:$C$4838,$A12,Syn_Lines!$K$2:$K$4838,0)</f>
        <v/>
      </c>
      <c r="N12" s="24">
        <f>IF(L12&gt;0,M12/L12,"")</f>
        <v/>
      </c>
      <c r="O12" s="25">
        <f>SUMIFS(Syn_Lines!$S$2:$S$4838,Syn_Lines!$C$2:$C$4838,$A12,Syn_Lines!$K$2:$K$4838,0)</f>
        <v/>
      </c>
      <c r="P12" s="25">
        <f>SUMIFS(Syn_Lines!$T$2:$T$4838,Syn_Lines!$C$2:$C$4838,$A12,Syn_Lines!$K$2:$K$4838,0)</f>
        <v/>
      </c>
      <c r="Q12" s="15">
        <f>IF(P12&gt;0,O12/P12-1,"")</f>
        <v/>
      </c>
      <c r="R12" s="15">
        <f>O12/SUM($O$5:$O$18)</f>
        <v/>
      </c>
      <c r="S12" s="18">
        <f>COUNTIFS(Syn_Lines!$C$2:$C$4838,$A12,Syn_Lines!$Z$2:$Z$4838,1)</f>
        <v/>
      </c>
      <c r="T12" s="18">
        <f>COUNTIFS(Syn_Lines!$C$2:$C$4838,$A12,Syn_Lines!$AA$2:$AA$4838,1)</f>
        <v/>
      </c>
      <c r="U12" s="25">
        <f>SUMIFS(Syn_Lines!$AE$2:$AE$4838,Syn_Lines!$C$2:$C$4838,$A12,Syn_Lines!$AA$2:$AA$4838,1)</f>
        <v/>
      </c>
      <c r="V12" s="18">
        <f>COUNTIFS(Syn_Lines!$C$2:$C$4838,$A12,Syn_Lines!$U$2:$U$4838,1,Syn_Lines!$AF$2:$AF$4838,"prior_12m")</f>
        <v/>
      </c>
      <c r="W12" s="15">
        <f>IF(V12&gt;0,COUNTIFS(Syn_Lines!$C$2:$C$4838,$A12,Syn_Lines!$X$2:$X$4838,1,Syn_Lines!$AF$2:$AF$4838,"prior_12m")/V12,"")</f>
        <v/>
      </c>
      <c r="X12" s="18">
        <f>COUNTIFS(Syn_Lines!$C$2:$C$4838,$A12,Syn_Lines!$U$2:$U$4838,1,Syn_Lines!$AF$2:$AF$4838,"last_12m")</f>
        <v/>
      </c>
      <c r="Y12" s="15">
        <f>IF(X12&gt;0,COUNTIFS(Syn_Lines!$C$2:$C$4838,$A12,Syn_Lines!$X$2:$X$4838,1,Syn_Lines!$AF$2:$AF$4838,"last_12m")/X12,"")</f>
        <v/>
      </c>
      <c r="Z12" s="15">
        <f>IF(OR(W12="",Y12=""),"",Y12-W12)</f>
        <v/>
      </c>
      <c r="AA12" s="18">
        <f>COUNTIFS(Syn_Lines!$C$2:$C$4838,$A12,Syn_Lines!$L$2:$L$4838,1)</f>
        <v/>
      </c>
    </row>
    <row r="13">
      <c r="A13" s="3" t="inlineStr">
        <is>
          <t>SUP-09</t>
        </is>
      </c>
      <c r="B13" s="18">
        <f>COUNTIFS(Syn_Lines!$C$2:$C$4838,$A13,Syn_Lines!$U$2:$U$4838,1)</f>
        <v/>
      </c>
      <c r="C13" s="18">
        <f>COUNTIFS(Syn_Lines!$C$2:$C$4838,$A13,Syn_Lines!$X$2:$X$4838,1)</f>
        <v/>
      </c>
      <c r="D13" s="15">
        <f>IF(B13&gt;0,C13/B13,"")</f>
        <v/>
      </c>
      <c r="E13" s="15">
        <f>IF(B13&gt;0,COUNTIFS(Syn_Lines!$C$2:$C$4838,$A13,Syn_Lines!$V$2:$V$4838,1)/B13,"")</f>
        <v/>
      </c>
      <c r="F13" s="15">
        <f>IF(B13&gt;0,COUNTIFS(Syn_Lines!$C$2:$C$4838,$A13,Syn_Lines!$W$2:$W$4838,1)/B13,"")</f>
        <v/>
      </c>
      <c r="G13" s="18">
        <f>COUNTIFS(Syn_Lines!$C$2:$C$4838,$A13,Syn_Lines!$U$2:$U$4838,1,Syn_Lines!$AB$2:$AB$4838,"&gt;0")</f>
        <v/>
      </c>
      <c r="H13" s="23">
        <f>IF(B13&gt;0,AVERAGEIFS(Syn_Lines!$AB$2:$AB$4838,Syn_Lines!$C$2:$C$4838,$A13,Syn_Lines!$U$2:$U$4838,1),"")</f>
        <v/>
      </c>
      <c r="I13" s="18">
        <f>COUNTIFS(Syn_Lines!$C$2:$C$4838,$A13,Syn_Lines!$Y$2:$Y$4838,1)</f>
        <v/>
      </c>
      <c r="J13" s="23">
        <f>IF(I13&gt;0,AVERAGEIFS(Syn_Lines!$AC$2:$AC$4838,Syn_Lines!$C$2:$C$4838,$A13,Syn_Lines!$Y$2:$Y$4838,1),"")</f>
        <v/>
      </c>
      <c r="K13" s="23">
        <f>IF(I13&gt;1,SQRT(MAX(0,(SUMIFS(Syn_Lines!$AD$2:$AD$4838,Syn_Lines!$C$2:$C$4838,$A13,Syn_Lines!$Y$2:$Y$4838,1)-I13*J13^2)/(I13-1))),"")</f>
        <v/>
      </c>
      <c r="L13" s="18">
        <f>SUMIFS(Syn_Lines!$M$2:$M$4838,Syn_Lines!$C$2:$C$4838,$A13,Syn_Lines!$K$2:$K$4838,0)</f>
        <v/>
      </c>
      <c r="M13" s="18">
        <f>SUMIFS(Syn_Lines!$O$2:$O$4838,Syn_Lines!$C$2:$C$4838,$A13,Syn_Lines!$K$2:$K$4838,0)</f>
        <v/>
      </c>
      <c r="N13" s="24">
        <f>IF(L13&gt;0,M13/L13,"")</f>
        <v/>
      </c>
      <c r="O13" s="25">
        <f>SUMIFS(Syn_Lines!$S$2:$S$4838,Syn_Lines!$C$2:$C$4838,$A13,Syn_Lines!$K$2:$K$4838,0)</f>
        <v/>
      </c>
      <c r="P13" s="25">
        <f>SUMIFS(Syn_Lines!$T$2:$T$4838,Syn_Lines!$C$2:$C$4838,$A13,Syn_Lines!$K$2:$K$4838,0)</f>
        <v/>
      </c>
      <c r="Q13" s="15">
        <f>IF(P13&gt;0,O13/P13-1,"")</f>
        <v/>
      </c>
      <c r="R13" s="15">
        <f>O13/SUM($O$5:$O$18)</f>
        <v/>
      </c>
      <c r="S13" s="18">
        <f>COUNTIFS(Syn_Lines!$C$2:$C$4838,$A13,Syn_Lines!$Z$2:$Z$4838,1)</f>
        <v/>
      </c>
      <c r="T13" s="18">
        <f>COUNTIFS(Syn_Lines!$C$2:$C$4838,$A13,Syn_Lines!$AA$2:$AA$4838,1)</f>
        <v/>
      </c>
      <c r="U13" s="25">
        <f>SUMIFS(Syn_Lines!$AE$2:$AE$4838,Syn_Lines!$C$2:$C$4838,$A13,Syn_Lines!$AA$2:$AA$4838,1)</f>
        <v/>
      </c>
      <c r="V13" s="18">
        <f>COUNTIFS(Syn_Lines!$C$2:$C$4838,$A13,Syn_Lines!$U$2:$U$4838,1,Syn_Lines!$AF$2:$AF$4838,"prior_12m")</f>
        <v/>
      </c>
      <c r="W13" s="15">
        <f>IF(V13&gt;0,COUNTIFS(Syn_Lines!$C$2:$C$4838,$A13,Syn_Lines!$X$2:$X$4838,1,Syn_Lines!$AF$2:$AF$4838,"prior_12m")/V13,"")</f>
        <v/>
      </c>
      <c r="X13" s="18">
        <f>COUNTIFS(Syn_Lines!$C$2:$C$4838,$A13,Syn_Lines!$U$2:$U$4838,1,Syn_Lines!$AF$2:$AF$4838,"last_12m")</f>
        <v/>
      </c>
      <c r="Y13" s="15">
        <f>IF(X13&gt;0,COUNTIFS(Syn_Lines!$C$2:$C$4838,$A13,Syn_Lines!$X$2:$X$4838,1,Syn_Lines!$AF$2:$AF$4838,"last_12m")/X13,"")</f>
        <v/>
      </c>
      <c r="Z13" s="15">
        <f>IF(OR(W13="",Y13=""),"",Y13-W13)</f>
        <v/>
      </c>
      <c r="AA13" s="18">
        <f>COUNTIFS(Syn_Lines!$C$2:$C$4838,$A13,Syn_Lines!$L$2:$L$4838,1)</f>
        <v/>
      </c>
    </row>
    <row r="14">
      <c r="A14" s="3" t="inlineStr">
        <is>
          <t>SUP-10</t>
        </is>
      </c>
      <c r="B14" s="18">
        <f>COUNTIFS(Syn_Lines!$C$2:$C$4838,$A14,Syn_Lines!$U$2:$U$4838,1)</f>
        <v/>
      </c>
      <c r="C14" s="18">
        <f>COUNTIFS(Syn_Lines!$C$2:$C$4838,$A14,Syn_Lines!$X$2:$X$4838,1)</f>
        <v/>
      </c>
      <c r="D14" s="15">
        <f>IF(B14&gt;0,C14/B14,"")</f>
        <v/>
      </c>
      <c r="E14" s="15">
        <f>IF(B14&gt;0,COUNTIFS(Syn_Lines!$C$2:$C$4838,$A14,Syn_Lines!$V$2:$V$4838,1)/B14,"")</f>
        <v/>
      </c>
      <c r="F14" s="15">
        <f>IF(B14&gt;0,COUNTIFS(Syn_Lines!$C$2:$C$4838,$A14,Syn_Lines!$W$2:$W$4838,1)/B14,"")</f>
        <v/>
      </c>
      <c r="G14" s="18">
        <f>COUNTIFS(Syn_Lines!$C$2:$C$4838,$A14,Syn_Lines!$U$2:$U$4838,1,Syn_Lines!$AB$2:$AB$4838,"&gt;0")</f>
        <v/>
      </c>
      <c r="H14" s="23">
        <f>IF(B14&gt;0,AVERAGEIFS(Syn_Lines!$AB$2:$AB$4838,Syn_Lines!$C$2:$C$4838,$A14,Syn_Lines!$U$2:$U$4838,1),"")</f>
        <v/>
      </c>
      <c r="I14" s="18">
        <f>COUNTIFS(Syn_Lines!$C$2:$C$4838,$A14,Syn_Lines!$Y$2:$Y$4838,1)</f>
        <v/>
      </c>
      <c r="J14" s="23">
        <f>IF(I14&gt;0,AVERAGEIFS(Syn_Lines!$AC$2:$AC$4838,Syn_Lines!$C$2:$C$4838,$A14,Syn_Lines!$Y$2:$Y$4838,1),"")</f>
        <v/>
      </c>
      <c r="K14" s="23">
        <f>IF(I14&gt;1,SQRT(MAX(0,(SUMIFS(Syn_Lines!$AD$2:$AD$4838,Syn_Lines!$C$2:$C$4838,$A14,Syn_Lines!$Y$2:$Y$4838,1)-I14*J14^2)/(I14-1))),"")</f>
        <v/>
      </c>
      <c r="L14" s="18">
        <f>SUMIFS(Syn_Lines!$M$2:$M$4838,Syn_Lines!$C$2:$C$4838,$A14,Syn_Lines!$K$2:$K$4838,0)</f>
        <v/>
      </c>
      <c r="M14" s="18">
        <f>SUMIFS(Syn_Lines!$O$2:$O$4838,Syn_Lines!$C$2:$C$4838,$A14,Syn_Lines!$K$2:$K$4838,0)</f>
        <v/>
      </c>
      <c r="N14" s="24">
        <f>IF(L14&gt;0,M14/L14,"")</f>
        <v/>
      </c>
      <c r="O14" s="25">
        <f>SUMIFS(Syn_Lines!$S$2:$S$4838,Syn_Lines!$C$2:$C$4838,$A14,Syn_Lines!$K$2:$K$4838,0)</f>
        <v/>
      </c>
      <c r="P14" s="25">
        <f>SUMIFS(Syn_Lines!$T$2:$T$4838,Syn_Lines!$C$2:$C$4838,$A14,Syn_Lines!$K$2:$K$4838,0)</f>
        <v/>
      </c>
      <c r="Q14" s="15">
        <f>IF(P14&gt;0,O14/P14-1,"")</f>
        <v/>
      </c>
      <c r="R14" s="15">
        <f>O14/SUM($O$5:$O$18)</f>
        <v/>
      </c>
      <c r="S14" s="18">
        <f>COUNTIFS(Syn_Lines!$C$2:$C$4838,$A14,Syn_Lines!$Z$2:$Z$4838,1)</f>
        <v/>
      </c>
      <c r="T14" s="18">
        <f>COUNTIFS(Syn_Lines!$C$2:$C$4838,$A14,Syn_Lines!$AA$2:$AA$4838,1)</f>
        <v/>
      </c>
      <c r="U14" s="25">
        <f>SUMIFS(Syn_Lines!$AE$2:$AE$4838,Syn_Lines!$C$2:$C$4838,$A14,Syn_Lines!$AA$2:$AA$4838,1)</f>
        <v/>
      </c>
      <c r="V14" s="18">
        <f>COUNTIFS(Syn_Lines!$C$2:$C$4838,$A14,Syn_Lines!$U$2:$U$4838,1,Syn_Lines!$AF$2:$AF$4838,"prior_12m")</f>
        <v/>
      </c>
      <c r="W14" s="15">
        <f>IF(V14&gt;0,COUNTIFS(Syn_Lines!$C$2:$C$4838,$A14,Syn_Lines!$X$2:$X$4838,1,Syn_Lines!$AF$2:$AF$4838,"prior_12m")/V14,"")</f>
        <v/>
      </c>
      <c r="X14" s="18">
        <f>COUNTIFS(Syn_Lines!$C$2:$C$4838,$A14,Syn_Lines!$U$2:$U$4838,1,Syn_Lines!$AF$2:$AF$4838,"last_12m")</f>
        <v/>
      </c>
      <c r="Y14" s="15">
        <f>IF(X14&gt;0,COUNTIFS(Syn_Lines!$C$2:$C$4838,$A14,Syn_Lines!$X$2:$X$4838,1,Syn_Lines!$AF$2:$AF$4838,"last_12m")/X14,"")</f>
        <v/>
      </c>
      <c r="Z14" s="15">
        <f>IF(OR(W14="",Y14=""),"",Y14-W14)</f>
        <v/>
      </c>
      <c r="AA14" s="18">
        <f>COUNTIFS(Syn_Lines!$C$2:$C$4838,$A14,Syn_Lines!$L$2:$L$4838,1)</f>
        <v/>
      </c>
    </row>
    <row r="15">
      <c r="A15" s="3" t="inlineStr">
        <is>
          <t>SUP-11</t>
        </is>
      </c>
      <c r="B15" s="18">
        <f>COUNTIFS(Syn_Lines!$C$2:$C$4838,$A15,Syn_Lines!$U$2:$U$4838,1)</f>
        <v/>
      </c>
      <c r="C15" s="18">
        <f>COUNTIFS(Syn_Lines!$C$2:$C$4838,$A15,Syn_Lines!$X$2:$X$4838,1)</f>
        <v/>
      </c>
      <c r="D15" s="15">
        <f>IF(B15&gt;0,C15/B15,"")</f>
        <v/>
      </c>
      <c r="E15" s="15">
        <f>IF(B15&gt;0,COUNTIFS(Syn_Lines!$C$2:$C$4838,$A15,Syn_Lines!$V$2:$V$4838,1)/B15,"")</f>
        <v/>
      </c>
      <c r="F15" s="15">
        <f>IF(B15&gt;0,COUNTIFS(Syn_Lines!$C$2:$C$4838,$A15,Syn_Lines!$W$2:$W$4838,1)/B15,"")</f>
        <v/>
      </c>
      <c r="G15" s="18">
        <f>COUNTIFS(Syn_Lines!$C$2:$C$4838,$A15,Syn_Lines!$U$2:$U$4838,1,Syn_Lines!$AB$2:$AB$4838,"&gt;0")</f>
        <v/>
      </c>
      <c r="H15" s="23">
        <f>IF(B15&gt;0,AVERAGEIFS(Syn_Lines!$AB$2:$AB$4838,Syn_Lines!$C$2:$C$4838,$A15,Syn_Lines!$U$2:$U$4838,1),"")</f>
        <v/>
      </c>
      <c r="I15" s="18">
        <f>COUNTIFS(Syn_Lines!$C$2:$C$4838,$A15,Syn_Lines!$Y$2:$Y$4838,1)</f>
        <v/>
      </c>
      <c r="J15" s="23">
        <f>IF(I15&gt;0,AVERAGEIFS(Syn_Lines!$AC$2:$AC$4838,Syn_Lines!$C$2:$C$4838,$A15,Syn_Lines!$Y$2:$Y$4838,1),"")</f>
        <v/>
      </c>
      <c r="K15" s="23">
        <f>IF(I15&gt;1,SQRT(MAX(0,(SUMIFS(Syn_Lines!$AD$2:$AD$4838,Syn_Lines!$C$2:$C$4838,$A15,Syn_Lines!$Y$2:$Y$4838,1)-I15*J15^2)/(I15-1))),"")</f>
        <v/>
      </c>
      <c r="L15" s="18">
        <f>SUMIFS(Syn_Lines!$M$2:$M$4838,Syn_Lines!$C$2:$C$4838,$A15,Syn_Lines!$K$2:$K$4838,0)</f>
        <v/>
      </c>
      <c r="M15" s="18">
        <f>SUMIFS(Syn_Lines!$O$2:$O$4838,Syn_Lines!$C$2:$C$4838,$A15,Syn_Lines!$K$2:$K$4838,0)</f>
        <v/>
      </c>
      <c r="N15" s="24">
        <f>IF(L15&gt;0,M15/L15,"")</f>
        <v/>
      </c>
      <c r="O15" s="25">
        <f>SUMIFS(Syn_Lines!$S$2:$S$4838,Syn_Lines!$C$2:$C$4838,$A15,Syn_Lines!$K$2:$K$4838,0)</f>
        <v/>
      </c>
      <c r="P15" s="25">
        <f>SUMIFS(Syn_Lines!$T$2:$T$4838,Syn_Lines!$C$2:$C$4838,$A15,Syn_Lines!$K$2:$K$4838,0)</f>
        <v/>
      </c>
      <c r="Q15" s="15">
        <f>IF(P15&gt;0,O15/P15-1,"")</f>
        <v/>
      </c>
      <c r="R15" s="15">
        <f>O15/SUM($O$5:$O$18)</f>
        <v/>
      </c>
      <c r="S15" s="18">
        <f>COUNTIFS(Syn_Lines!$C$2:$C$4838,$A15,Syn_Lines!$Z$2:$Z$4838,1)</f>
        <v/>
      </c>
      <c r="T15" s="18">
        <f>COUNTIFS(Syn_Lines!$C$2:$C$4838,$A15,Syn_Lines!$AA$2:$AA$4838,1)</f>
        <v/>
      </c>
      <c r="U15" s="25">
        <f>SUMIFS(Syn_Lines!$AE$2:$AE$4838,Syn_Lines!$C$2:$C$4838,$A15,Syn_Lines!$AA$2:$AA$4838,1)</f>
        <v/>
      </c>
      <c r="V15" s="18">
        <f>COUNTIFS(Syn_Lines!$C$2:$C$4838,$A15,Syn_Lines!$U$2:$U$4838,1,Syn_Lines!$AF$2:$AF$4838,"prior_12m")</f>
        <v/>
      </c>
      <c r="W15" s="15">
        <f>IF(V15&gt;0,COUNTIFS(Syn_Lines!$C$2:$C$4838,$A15,Syn_Lines!$X$2:$X$4838,1,Syn_Lines!$AF$2:$AF$4838,"prior_12m")/V15,"")</f>
        <v/>
      </c>
      <c r="X15" s="18">
        <f>COUNTIFS(Syn_Lines!$C$2:$C$4838,$A15,Syn_Lines!$U$2:$U$4838,1,Syn_Lines!$AF$2:$AF$4838,"last_12m")</f>
        <v/>
      </c>
      <c r="Y15" s="15">
        <f>IF(X15&gt;0,COUNTIFS(Syn_Lines!$C$2:$C$4838,$A15,Syn_Lines!$X$2:$X$4838,1,Syn_Lines!$AF$2:$AF$4838,"last_12m")/X15,"")</f>
        <v/>
      </c>
      <c r="Z15" s="15">
        <f>IF(OR(W15="",Y15=""),"",Y15-W15)</f>
        <v/>
      </c>
      <c r="AA15" s="18">
        <f>COUNTIFS(Syn_Lines!$C$2:$C$4838,$A15,Syn_Lines!$L$2:$L$4838,1)</f>
        <v/>
      </c>
    </row>
    <row r="16">
      <c r="A16" s="3" t="inlineStr">
        <is>
          <t>SUP-12</t>
        </is>
      </c>
      <c r="B16" s="18">
        <f>COUNTIFS(Syn_Lines!$C$2:$C$4838,$A16,Syn_Lines!$U$2:$U$4838,1)</f>
        <v/>
      </c>
      <c r="C16" s="18">
        <f>COUNTIFS(Syn_Lines!$C$2:$C$4838,$A16,Syn_Lines!$X$2:$X$4838,1)</f>
        <v/>
      </c>
      <c r="D16" s="15">
        <f>IF(B16&gt;0,C16/B16,"")</f>
        <v/>
      </c>
      <c r="E16" s="15">
        <f>IF(B16&gt;0,COUNTIFS(Syn_Lines!$C$2:$C$4838,$A16,Syn_Lines!$V$2:$V$4838,1)/B16,"")</f>
        <v/>
      </c>
      <c r="F16" s="15">
        <f>IF(B16&gt;0,COUNTIFS(Syn_Lines!$C$2:$C$4838,$A16,Syn_Lines!$W$2:$W$4838,1)/B16,"")</f>
        <v/>
      </c>
      <c r="G16" s="18">
        <f>COUNTIFS(Syn_Lines!$C$2:$C$4838,$A16,Syn_Lines!$U$2:$U$4838,1,Syn_Lines!$AB$2:$AB$4838,"&gt;0")</f>
        <v/>
      </c>
      <c r="H16" s="23">
        <f>IF(B16&gt;0,AVERAGEIFS(Syn_Lines!$AB$2:$AB$4838,Syn_Lines!$C$2:$C$4838,$A16,Syn_Lines!$U$2:$U$4838,1),"")</f>
        <v/>
      </c>
      <c r="I16" s="18">
        <f>COUNTIFS(Syn_Lines!$C$2:$C$4838,$A16,Syn_Lines!$Y$2:$Y$4838,1)</f>
        <v/>
      </c>
      <c r="J16" s="23">
        <f>IF(I16&gt;0,AVERAGEIFS(Syn_Lines!$AC$2:$AC$4838,Syn_Lines!$C$2:$C$4838,$A16,Syn_Lines!$Y$2:$Y$4838,1),"")</f>
        <v/>
      </c>
      <c r="K16" s="23">
        <f>IF(I16&gt;1,SQRT(MAX(0,(SUMIFS(Syn_Lines!$AD$2:$AD$4838,Syn_Lines!$C$2:$C$4838,$A16,Syn_Lines!$Y$2:$Y$4838,1)-I16*J16^2)/(I16-1))),"")</f>
        <v/>
      </c>
      <c r="L16" s="18">
        <f>SUMIFS(Syn_Lines!$M$2:$M$4838,Syn_Lines!$C$2:$C$4838,$A16,Syn_Lines!$K$2:$K$4838,0)</f>
        <v/>
      </c>
      <c r="M16" s="18">
        <f>SUMIFS(Syn_Lines!$O$2:$O$4838,Syn_Lines!$C$2:$C$4838,$A16,Syn_Lines!$K$2:$K$4838,0)</f>
        <v/>
      </c>
      <c r="N16" s="24">
        <f>IF(L16&gt;0,M16/L16,"")</f>
        <v/>
      </c>
      <c r="O16" s="25">
        <f>SUMIFS(Syn_Lines!$S$2:$S$4838,Syn_Lines!$C$2:$C$4838,$A16,Syn_Lines!$K$2:$K$4838,0)</f>
        <v/>
      </c>
      <c r="P16" s="25">
        <f>SUMIFS(Syn_Lines!$T$2:$T$4838,Syn_Lines!$C$2:$C$4838,$A16,Syn_Lines!$K$2:$K$4838,0)</f>
        <v/>
      </c>
      <c r="Q16" s="15">
        <f>IF(P16&gt;0,O16/P16-1,"")</f>
        <v/>
      </c>
      <c r="R16" s="15">
        <f>O16/SUM($O$5:$O$18)</f>
        <v/>
      </c>
      <c r="S16" s="18">
        <f>COUNTIFS(Syn_Lines!$C$2:$C$4838,$A16,Syn_Lines!$Z$2:$Z$4838,1)</f>
        <v/>
      </c>
      <c r="T16" s="18">
        <f>COUNTIFS(Syn_Lines!$C$2:$C$4838,$A16,Syn_Lines!$AA$2:$AA$4838,1)</f>
        <v/>
      </c>
      <c r="U16" s="25">
        <f>SUMIFS(Syn_Lines!$AE$2:$AE$4838,Syn_Lines!$C$2:$C$4838,$A16,Syn_Lines!$AA$2:$AA$4838,1)</f>
        <v/>
      </c>
      <c r="V16" s="18">
        <f>COUNTIFS(Syn_Lines!$C$2:$C$4838,$A16,Syn_Lines!$U$2:$U$4838,1,Syn_Lines!$AF$2:$AF$4838,"prior_12m")</f>
        <v/>
      </c>
      <c r="W16" s="15">
        <f>IF(V16&gt;0,COUNTIFS(Syn_Lines!$C$2:$C$4838,$A16,Syn_Lines!$X$2:$X$4838,1,Syn_Lines!$AF$2:$AF$4838,"prior_12m")/V16,"")</f>
        <v/>
      </c>
      <c r="X16" s="18">
        <f>COUNTIFS(Syn_Lines!$C$2:$C$4838,$A16,Syn_Lines!$U$2:$U$4838,1,Syn_Lines!$AF$2:$AF$4838,"last_12m")</f>
        <v/>
      </c>
      <c r="Y16" s="15">
        <f>IF(X16&gt;0,COUNTIFS(Syn_Lines!$C$2:$C$4838,$A16,Syn_Lines!$X$2:$X$4838,1,Syn_Lines!$AF$2:$AF$4838,"last_12m")/X16,"")</f>
        <v/>
      </c>
      <c r="Z16" s="15">
        <f>IF(OR(W16="",Y16=""),"",Y16-W16)</f>
        <v/>
      </c>
      <c r="AA16" s="18">
        <f>COUNTIFS(Syn_Lines!$C$2:$C$4838,$A16,Syn_Lines!$L$2:$L$4838,1)</f>
        <v/>
      </c>
    </row>
    <row r="17">
      <c r="A17" s="3" t="inlineStr">
        <is>
          <t>SUP-13</t>
        </is>
      </c>
      <c r="B17" s="18">
        <f>COUNTIFS(Syn_Lines!$C$2:$C$4838,$A17,Syn_Lines!$U$2:$U$4838,1)</f>
        <v/>
      </c>
      <c r="C17" s="18">
        <f>COUNTIFS(Syn_Lines!$C$2:$C$4838,$A17,Syn_Lines!$X$2:$X$4838,1)</f>
        <v/>
      </c>
      <c r="D17" s="15">
        <f>IF(B17&gt;0,C17/B17,"")</f>
        <v/>
      </c>
      <c r="E17" s="15">
        <f>IF(B17&gt;0,COUNTIFS(Syn_Lines!$C$2:$C$4838,$A17,Syn_Lines!$V$2:$V$4838,1)/B17,"")</f>
        <v/>
      </c>
      <c r="F17" s="15">
        <f>IF(B17&gt;0,COUNTIFS(Syn_Lines!$C$2:$C$4838,$A17,Syn_Lines!$W$2:$W$4838,1)/B17,"")</f>
        <v/>
      </c>
      <c r="G17" s="18">
        <f>COUNTIFS(Syn_Lines!$C$2:$C$4838,$A17,Syn_Lines!$U$2:$U$4838,1,Syn_Lines!$AB$2:$AB$4838,"&gt;0")</f>
        <v/>
      </c>
      <c r="H17" s="23">
        <f>IF(B17&gt;0,AVERAGEIFS(Syn_Lines!$AB$2:$AB$4838,Syn_Lines!$C$2:$C$4838,$A17,Syn_Lines!$U$2:$U$4838,1),"")</f>
        <v/>
      </c>
      <c r="I17" s="18">
        <f>COUNTIFS(Syn_Lines!$C$2:$C$4838,$A17,Syn_Lines!$Y$2:$Y$4838,1)</f>
        <v/>
      </c>
      <c r="J17" s="23">
        <f>IF(I17&gt;0,AVERAGEIFS(Syn_Lines!$AC$2:$AC$4838,Syn_Lines!$C$2:$C$4838,$A17,Syn_Lines!$Y$2:$Y$4838,1),"")</f>
        <v/>
      </c>
      <c r="K17" s="23">
        <f>IF(I17&gt;1,SQRT(MAX(0,(SUMIFS(Syn_Lines!$AD$2:$AD$4838,Syn_Lines!$C$2:$C$4838,$A17,Syn_Lines!$Y$2:$Y$4838,1)-I17*J17^2)/(I17-1))),"")</f>
        <v/>
      </c>
      <c r="L17" s="18">
        <f>SUMIFS(Syn_Lines!$M$2:$M$4838,Syn_Lines!$C$2:$C$4838,$A17,Syn_Lines!$K$2:$K$4838,0)</f>
        <v/>
      </c>
      <c r="M17" s="18">
        <f>SUMIFS(Syn_Lines!$O$2:$O$4838,Syn_Lines!$C$2:$C$4838,$A17,Syn_Lines!$K$2:$K$4838,0)</f>
        <v/>
      </c>
      <c r="N17" s="24">
        <f>IF(L17&gt;0,M17/L17,"")</f>
        <v/>
      </c>
      <c r="O17" s="25">
        <f>SUMIFS(Syn_Lines!$S$2:$S$4838,Syn_Lines!$C$2:$C$4838,$A17,Syn_Lines!$K$2:$K$4838,0)</f>
        <v/>
      </c>
      <c r="P17" s="25">
        <f>SUMIFS(Syn_Lines!$T$2:$T$4838,Syn_Lines!$C$2:$C$4838,$A17,Syn_Lines!$K$2:$K$4838,0)</f>
        <v/>
      </c>
      <c r="Q17" s="15">
        <f>IF(P17&gt;0,O17/P17-1,"")</f>
        <v/>
      </c>
      <c r="R17" s="15">
        <f>O17/SUM($O$5:$O$18)</f>
        <v/>
      </c>
      <c r="S17" s="18">
        <f>COUNTIFS(Syn_Lines!$C$2:$C$4838,$A17,Syn_Lines!$Z$2:$Z$4838,1)</f>
        <v/>
      </c>
      <c r="T17" s="18">
        <f>COUNTIFS(Syn_Lines!$C$2:$C$4838,$A17,Syn_Lines!$AA$2:$AA$4838,1)</f>
        <v/>
      </c>
      <c r="U17" s="25">
        <f>SUMIFS(Syn_Lines!$AE$2:$AE$4838,Syn_Lines!$C$2:$C$4838,$A17,Syn_Lines!$AA$2:$AA$4838,1)</f>
        <v/>
      </c>
      <c r="V17" s="18">
        <f>COUNTIFS(Syn_Lines!$C$2:$C$4838,$A17,Syn_Lines!$U$2:$U$4838,1,Syn_Lines!$AF$2:$AF$4838,"prior_12m")</f>
        <v/>
      </c>
      <c r="W17" s="15">
        <f>IF(V17&gt;0,COUNTIFS(Syn_Lines!$C$2:$C$4838,$A17,Syn_Lines!$X$2:$X$4838,1,Syn_Lines!$AF$2:$AF$4838,"prior_12m")/V17,"")</f>
        <v/>
      </c>
      <c r="X17" s="18">
        <f>COUNTIFS(Syn_Lines!$C$2:$C$4838,$A17,Syn_Lines!$U$2:$U$4838,1,Syn_Lines!$AF$2:$AF$4838,"last_12m")</f>
        <v/>
      </c>
      <c r="Y17" s="15">
        <f>IF(X17&gt;0,COUNTIFS(Syn_Lines!$C$2:$C$4838,$A17,Syn_Lines!$X$2:$X$4838,1,Syn_Lines!$AF$2:$AF$4838,"last_12m")/X17,"")</f>
        <v/>
      </c>
      <c r="Z17" s="15">
        <f>IF(OR(W17="",Y17=""),"",Y17-W17)</f>
        <v/>
      </c>
      <c r="AA17" s="18">
        <f>COUNTIFS(Syn_Lines!$C$2:$C$4838,$A17,Syn_Lines!$L$2:$L$4838,1)</f>
        <v/>
      </c>
    </row>
    <row r="18">
      <c r="A18" s="3" t="inlineStr">
        <is>
          <t>SUP-14</t>
        </is>
      </c>
      <c r="B18" s="18">
        <f>COUNTIFS(Syn_Lines!$C$2:$C$4838,$A18,Syn_Lines!$U$2:$U$4838,1)</f>
        <v/>
      </c>
      <c r="C18" s="18">
        <f>COUNTIFS(Syn_Lines!$C$2:$C$4838,$A18,Syn_Lines!$X$2:$X$4838,1)</f>
        <v/>
      </c>
      <c r="D18" s="15">
        <f>IF(B18&gt;0,C18/B18,"")</f>
        <v/>
      </c>
      <c r="E18" s="15">
        <f>IF(B18&gt;0,COUNTIFS(Syn_Lines!$C$2:$C$4838,$A18,Syn_Lines!$V$2:$V$4838,1)/B18,"")</f>
        <v/>
      </c>
      <c r="F18" s="15">
        <f>IF(B18&gt;0,COUNTIFS(Syn_Lines!$C$2:$C$4838,$A18,Syn_Lines!$W$2:$W$4838,1)/B18,"")</f>
        <v/>
      </c>
      <c r="G18" s="18">
        <f>COUNTIFS(Syn_Lines!$C$2:$C$4838,$A18,Syn_Lines!$U$2:$U$4838,1,Syn_Lines!$AB$2:$AB$4838,"&gt;0")</f>
        <v/>
      </c>
      <c r="H18" s="23">
        <f>IF(B18&gt;0,AVERAGEIFS(Syn_Lines!$AB$2:$AB$4838,Syn_Lines!$C$2:$C$4838,$A18,Syn_Lines!$U$2:$U$4838,1),"")</f>
        <v/>
      </c>
      <c r="I18" s="18">
        <f>COUNTIFS(Syn_Lines!$C$2:$C$4838,$A18,Syn_Lines!$Y$2:$Y$4838,1)</f>
        <v/>
      </c>
      <c r="J18" s="23">
        <f>IF(I18&gt;0,AVERAGEIFS(Syn_Lines!$AC$2:$AC$4838,Syn_Lines!$C$2:$C$4838,$A18,Syn_Lines!$Y$2:$Y$4838,1),"")</f>
        <v/>
      </c>
      <c r="K18" s="23">
        <f>IF(I18&gt;1,SQRT(MAX(0,(SUMIFS(Syn_Lines!$AD$2:$AD$4838,Syn_Lines!$C$2:$C$4838,$A18,Syn_Lines!$Y$2:$Y$4838,1)-I18*J18^2)/(I18-1))),"")</f>
        <v/>
      </c>
      <c r="L18" s="18">
        <f>SUMIFS(Syn_Lines!$M$2:$M$4838,Syn_Lines!$C$2:$C$4838,$A18,Syn_Lines!$K$2:$K$4838,0)</f>
        <v/>
      </c>
      <c r="M18" s="18">
        <f>SUMIFS(Syn_Lines!$O$2:$O$4838,Syn_Lines!$C$2:$C$4838,$A18,Syn_Lines!$K$2:$K$4838,0)</f>
        <v/>
      </c>
      <c r="N18" s="24">
        <f>IF(L18&gt;0,M18/L18,"")</f>
        <v/>
      </c>
      <c r="O18" s="25">
        <f>SUMIFS(Syn_Lines!$S$2:$S$4838,Syn_Lines!$C$2:$C$4838,$A18,Syn_Lines!$K$2:$K$4838,0)</f>
        <v/>
      </c>
      <c r="P18" s="25">
        <f>SUMIFS(Syn_Lines!$T$2:$T$4838,Syn_Lines!$C$2:$C$4838,$A18,Syn_Lines!$K$2:$K$4838,0)</f>
        <v/>
      </c>
      <c r="Q18" s="15">
        <f>IF(P18&gt;0,O18/P18-1,"")</f>
        <v/>
      </c>
      <c r="R18" s="15">
        <f>O18/SUM($O$5:$O$18)</f>
        <v/>
      </c>
      <c r="S18" s="18">
        <f>COUNTIFS(Syn_Lines!$C$2:$C$4838,$A18,Syn_Lines!$Z$2:$Z$4838,1)</f>
        <v/>
      </c>
      <c r="T18" s="18">
        <f>COUNTIFS(Syn_Lines!$C$2:$C$4838,$A18,Syn_Lines!$AA$2:$AA$4838,1)</f>
        <v/>
      </c>
      <c r="U18" s="25">
        <f>SUMIFS(Syn_Lines!$AE$2:$AE$4838,Syn_Lines!$C$2:$C$4838,$A18,Syn_Lines!$AA$2:$AA$4838,1)</f>
        <v/>
      </c>
      <c r="V18" s="18">
        <f>COUNTIFS(Syn_Lines!$C$2:$C$4838,$A18,Syn_Lines!$U$2:$U$4838,1,Syn_Lines!$AF$2:$AF$4838,"prior_12m")</f>
        <v/>
      </c>
      <c r="W18" s="15">
        <f>IF(V18&gt;0,COUNTIFS(Syn_Lines!$C$2:$C$4838,$A18,Syn_Lines!$X$2:$X$4838,1,Syn_Lines!$AF$2:$AF$4838,"prior_12m")/V18,"")</f>
        <v/>
      </c>
      <c r="X18" s="18">
        <f>COUNTIFS(Syn_Lines!$C$2:$C$4838,$A18,Syn_Lines!$U$2:$U$4838,1,Syn_Lines!$AF$2:$AF$4838,"last_12m")</f>
        <v/>
      </c>
      <c r="Y18" s="15">
        <f>IF(X18&gt;0,COUNTIFS(Syn_Lines!$C$2:$C$4838,$A18,Syn_Lines!$X$2:$X$4838,1,Syn_Lines!$AF$2:$AF$4838,"last_12m")/X18,"")</f>
        <v/>
      </c>
      <c r="Z18" s="15">
        <f>IF(OR(W18="",Y18=""),"",Y18-W18)</f>
        <v/>
      </c>
      <c r="AA18" s="18">
        <f>COUNTIFS(Syn_Lines!$C$2:$C$4838,$A18,Syn_Lines!$L$2:$L$4838,1)</f>
        <v/>
      </c>
    </row>
    <row r="19">
      <c r="A19" s="3" t="inlineStr">
        <is>
          <t>All suppliers</t>
        </is>
      </c>
      <c r="B19" s="26">
        <f>SUM(B5:B18)</f>
        <v/>
      </c>
      <c r="C19" s="26">
        <f>SUM(C5:C18)</f>
        <v/>
      </c>
      <c r="D19" s="15">
        <f>C19/B19</f>
        <v/>
      </c>
      <c r="G19" s="26">
        <f>SUM(G5:G18)</f>
        <v/>
      </c>
      <c r="I19" s="26">
        <f>SUM(I5:I18)</f>
        <v/>
      </c>
      <c r="L19" s="26">
        <f>SUM(L5:L18)</f>
        <v/>
      </c>
      <c r="M19" s="26">
        <f>SUM(M5:M18)</f>
        <v/>
      </c>
      <c r="N19" s="24">
        <f>M19/L19</f>
        <v/>
      </c>
      <c r="O19" s="27">
        <f>SUM(O5:O18)</f>
        <v/>
      </c>
      <c r="P19" s="27">
        <f>SUM(P5:P18)</f>
        <v/>
      </c>
      <c r="S19" s="26">
        <f>SUM(S5:S18)</f>
        <v/>
      </c>
      <c r="T19" s="26">
        <f>SUM(T5:T18)</f>
        <v/>
      </c>
      <c r="U19" s="27">
        <f>SUM(U5:U18)</f>
        <v/>
      </c>
      <c r="AA19" s="26">
        <f>SUM(AA5:AA18)</f>
        <v/>
      </c>
    </row>
  </sheetData>
  <conditionalFormatting sqref="D5:D18">
    <cfRule type="colorScale" priority="1">
      <colorScale>
        <cfvo type="num" val="0.6"/>
        <cfvo type="num" val="0.85"/>
        <cfvo type="num" val="1"/>
        <color rgb="00F8D7DA"/>
        <color rgb="00FFFFFF"/>
        <color rgb="00D1F2EB"/>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0"/>
  <sheetViews>
    <sheetView showGridLines="0" workbookViewId="0">
      <selection activeCell="A1" sqref="A1"/>
    </sheetView>
  </sheetViews>
  <sheetFormatPr baseColWidth="8" defaultRowHeight="15"/>
  <cols>
    <col width="2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s>
  <sheetData>
    <row r="1">
      <c r="A1" s="1" t="inlineStr">
        <is>
          <t>Supplier dependency by category (spend share)</t>
        </is>
      </c>
    </row>
    <row r="2">
      <c r="A2" s="2" t="inlineStr">
        <is>
          <t>SYNTHETIC DEMONSTRATION DATA - not real suppliers or real performance</t>
        </is>
      </c>
    </row>
    <row r="4" ht="40" customHeight="1">
      <c r="A4" s="8" t="inlineStr">
        <is>
          <t>Supplier ID</t>
        </is>
      </c>
      <c r="B4" s="16" t="inlineStr">
        <is>
          <t>Spend: ELEC</t>
        </is>
      </c>
      <c r="C4" s="16" t="inlineStr">
        <is>
          <t>Spend: FLEET</t>
        </is>
      </c>
      <c r="D4" s="16" t="inlineStr">
        <is>
          <t>Spend: MRO</t>
        </is>
      </c>
      <c r="E4" s="16" t="inlineStr">
        <is>
          <t>Spend: PPE</t>
        </is>
      </c>
      <c r="F4" s="16" t="inlineStr">
        <is>
          <t>Spend: CHEM</t>
        </is>
      </c>
      <c r="G4" s="16" t="inlineStr">
        <is>
          <t>Spend: IT</t>
        </is>
      </c>
      <c r="I4" s="16" t="inlineStr">
        <is>
          <t>Share: ELEC</t>
        </is>
      </c>
      <c r="J4" s="16" t="inlineStr">
        <is>
          <t>Share: FLEET</t>
        </is>
      </c>
      <c r="K4" s="16" t="inlineStr">
        <is>
          <t>Share: MRO</t>
        </is>
      </c>
      <c r="L4" s="16" t="inlineStr">
        <is>
          <t>Share: PPE</t>
        </is>
      </c>
      <c r="M4" s="16" t="inlineStr">
        <is>
          <t>Share: CHEM</t>
        </is>
      </c>
      <c r="N4" s="16" t="inlineStr">
        <is>
          <t>Share: IT</t>
        </is>
      </c>
      <c r="O4" s="16" t="inlineStr">
        <is>
          <t>Max category share</t>
        </is>
      </c>
      <c r="P4" s="16" t="inlineStr">
        <is>
          <t>Main category</t>
        </is>
      </c>
      <c r="Q4" s="16" t="inlineStr">
        <is>
          <t>Suppliers in main category</t>
        </is>
      </c>
      <c r="R4" s="16" t="inlineStr">
        <is>
          <t>Share of total spend</t>
        </is>
      </c>
      <c r="S4" s="16" t="inlineStr">
        <is>
          <t>Dependency risk</t>
        </is>
      </c>
    </row>
    <row r="5">
      <c r="A5" s="3" t="inlineStr">
        <is>
          <t>SUP-01</t>
        </is>
      </c>
      <c r="B5" s="25">
        <f>SUMIFS(Syn_Lines!$S$2:$S$4838,Syn_Lines!$C$2:$C$4838,$A5,Syn_Lines!$D$2:$D$4838,"ELEC",Syn_Lines!$K$2:$K$4838,0)</f>
        <v/>
      </c>
      <c r="C5" s="25">
        <f>SUMIFS(Syn_Lines!$S$2:$S$4838,Syn_Lines!$C$2:$C$4838,$A5,Syn_Lines!$D$2:$D$4838,"FLEET",Syn_Lines!$K$2:$K$4838,0)</f>
        <v/>
      </c>
      <c r="D5" s="25">
        <f>SUMIFS(Syn_Lines!$S$2:$S$4838,Syn_Lines!$C$2:$C$4838,$A5,Syn_Lines!$D$2:$D$4838,"MRO",Syn_Lines!$K$2:$K$4838,0)</f>
        <v/>
      </c>
      <c r="E5" s="25">
        <f>SUMIFS(Syn_Lines!$S$2:$S$4838,Syn_Lines!$C$2:$C$4838,$A5,Syn_Lines!$D$2:$D$4838,"PPE",Syn_Lines!$K$2:$K$4838,0)</f>
        <v/>
      </c>
      <c r="F5" s="25">
        <f>SUMIFS(Syn_Lines!$S$2:$S$4838,Syn_Lines!$C$2:$C$4838,$A5,Syn_Lines!$D$2:$D$4838,"CHEM",Syn_Lines!$K$2:$K$4838,0)</f>
        <v/>
      </c>
      <c r="G5" s="25">
        <f>SUMIFS(Syn_Lines!$S$2:$S$4838,Syn_Lines!$C$2:$C$4838,$A5,Syn_Lines!$D$2:$D$4838,"IT",Syn_Lines!$K$2:$K$4838,0)</f>
        <v/>
      </c>
      <c r="I5" s="15">
        <f>IF(B$19&gt;0,B5/B$19,0)</f>
        <v/>
      </c>
      <c r="J5" s="15">
        <f>IF(C$19&gt;0,C5/C$19,0)</f>
        <v/>
      </c>
      <c r="K5" s="15">
        <f>IF(D$19&gt;0,D5/D$19,0)</f>
        <v/>
      </c>
      <c r="L5" s="15">
        <f>IF(E$19&gt;0,E5/E$19,0)</f>
        <v/>
      </c>
      <c r="M5" s="15">
        <f>IF(F$19&gt;0,F5/F$19,0)</f>
        <v/>
      </c>
      <c r="N5" s="15">
        <f>IF(G$19&gt;0,G5/G$19,0)</f>
        <v/>
      </c>
      <c r="O5" s="15">
        <f>MAX(I5:N5)</f>
        <v/>
      </c>
      <c r="P5">
        <f>MID(INDEX($I$4:$N$4,MATCH(O5,I5:N5,0)),8,10)</f>
        <v/>
      </c>
      <c r="Q5">
        <f>INDEX($B$20:$G$20,MATCH(O5,I5:N5,0))</f>
        <v/>
      </c>
      <c r="R5" s="15">
        <f>Supplier_Summary!R5</f>
        <v/>
      </c>
      <c r="S5">
        <f>IF(OR(Q5=1,O5&gt;=Assumptions!$C$38,R5&gt;=Assumptions!$C$39),"High",IF(OR(O5&gt;=Assumptions!$C$40,R5&gt;=Assumptions!$C$41),"Medium","Low"))</f>
        <v/>
      </c>
    </row>
    <row r="6">
      <c r="A6" s="3" t="inlineStr">
        <is>
          <t>SUP-02</t>
        </is>
      </c>
      <c r="B6" s="25">
        <f>SUMIFS(Syn_Lines!$S$2:$S$4838,Syn_Lines!$C$2:$C$4838,$A6,Syn_Lines!$D$2:$D$4838,"ELEC",Syn_Lines!$K$2:$K$4838,0)</f>
        <v/>
      </c>
      <c r="C6" s="25">
        <f>SUMIFS(Syn_Lines!$S$2:$S$4838,Syn_Lines!$C$2:$C$4838,$A6,Syn_Lines!$D$2:$D$4838,"FLEET",Syn_Lines!$K$2:$K$4838,0)</f>
        <v/>
      </c>
      <c r="D6" s="25">
        <f>SUMIFS(Syn_Lines!$S$2:$S$4838,Syn_Lines!$C$2:$C$4838,$A6,Syn_Lines!$D$2:$D$4838,"MRO",Syn_Lines!$K$2:$K$4838,0)</f>
        <v/>
      </c>
      <c r="E6" s="25">
        <f>SUMIFS(Syn_Lines!$S$2:$S$4838,Syn_Lines!$C$2:$C$4838,$A6,Syn_Lines!$D$2:$D$4838,"PPE",Syn_Lines!$K$2:$K$4838,0)</f>
        <v/>
      </c>
      <c r="F6" s="25">
        <f>SUMIFS(Syn_Lines!$S$2:$S$4838,Syn_Lines!$C$2:$C$4838,$A6,Syn_Lines!$D$2:$D$4838,"CHEM",Syn_Lines!$K$2:$K$4838,0)</f>
        <v/>
      </c>
      <c r="G6" s="25">
        <f>SUMIFS(Syn_Lines!$S$2:$S$4838,Syn_Lines!$C$2:$C$4838,$A6,Syn_Lines!$D$2:$D$4838,"IT",Syn_Lines!$K$2:$K$4838,0)</f>
        <v/>
      </c>
      <c r="I6" s="15">
        <f>IF(B$19&gt;0,B6/B$19,0)</f>
        <v/>
      </c>
      <c r="J6" s="15">
        <f>IF(C$19&gt;0,C6/C$19,0)</f>
        <v/>
      </c>
      <c r="K6" s="15">
        <f>IF(D$19&gt;0,D6/D$19,0)</f>
        <v/>
      </c>
      <c r="L6" s="15">
        <f>IF(E$19&gt;0,E6/E$19,0)</f>
        <v/>
      </c>
      <c r="M6" s="15">
        <f>IF(F$19&gt;0,F6/F$19,0)</f>
        <v/>
      </c>
      <c r="N6" s="15">
        <f>IF(G$19&gt;0,G6/G$19,0)</f>
        <v/>
      </c>
      <c r="O6" s="15">
        <f>MAX(I6:N6)</f>
        <v/>
      </c>
      <c r="P6">
        <f>MID(INDEX($I$4:$N$4,MATCH(O6,I6:N6,0)),8,10)</f>
        <v/>
      </c>
      <c r="Q6">
        <f>INDEX($B$20:$G$20,MATCH(O6,I6:N6,0))</f>
        <v/>
      </c>
      <c r="R6" s="15">
        <f>Supplier_Summary!R6</f>
        <v/>
      </c>
      <c r="S6">
        <f>IF(OR(Q6=1,O6&gt;=Assumptions!$C$38,R6&gt;=Assumptions!$C$39),"High",IF(OR(O6&gt;=Assumptions!$C$40,R6&gt;=Assumptions!$C$41),"Medium","Low"))</f>
        <v/>
      </c>
    </row>
    <row r="7">
      <c r="A7" s="3" t="inlineStr">
        <is>
          <t>SUP-03</t>
        </is>
      </c>
      <c r="B7" s="25">
        <f>SUMIFS(Syn_Lines!$S$2:$S$4838,Syn_Lines!$C$2:$C$4838,$A7,Syn_Lines!$D$2:$D$4838,"ELEC",Syn_Lines!$K$2:$K$4838,0)</f>
        <v/>
      </c>
      <c r="C7" s="25">
        <f>SUMIFS(Syn_Lines!$S$2:$S$4838,Syn_Lines!$C$2:$C$4838,$A7,Syn_Lines!$D$2:$D$4838,"FLEET",Syn_Lines!$K$2:$K$4838,0)</f>
        <v/>
      </c>
      <c r="D7" s="25">
        <f>SUMIFS(Syn_Lines!$S$2:$S$4838,Syn_Lines!$C$2:$C$4838,$A7,Syn_Lines!$D$2:$D$4838,"MRO",Syn_Lines!$K$2:$K$4838,0)</f>
        <v/>
      </c>
      <c r="E7" s="25">
        <f>SUMIFS(Syn_Lines!$S$2:$S$4838,Syn_Lines!$C$2:$C$4838,$A7,Syn_Lines!$D$2:$D$4838,"PPE",Syn_Lines!$K$2:$K$4838,0)</f>
        <v/>
      </c>
      <c r="F7" s="25">
        <f>SUMIFS(Syn_Lines!$S$2:$S$4838,Syn_Lines!$C$2:$C$4838,$A7,Syn_Lines!$D$2:$D$4838,"CHEM",Syn_Lines!$K$2:$K$4838,0)</f>
        <v/>
      </c>
      <c r="G7" s="25">
        <f>SUMIFS(Syn_Lines!$S$2:$S$4838,Syn_Lines!$C$2:$C$4838,$A7,Syn_Lines!$D$2:$D$4838,"IT",Syn_Lines!$K$2:$K$4838,0)</f>
        <v/>
      </c>
      <c r="I7" s="15">
        <f>IF(B$19&gt;0,B7/B$19,0)</f>
        <v/>
      </c>
      <c r="J7" s="15">
        <f>IF(C$19&gt;0,C7/C$19,0)</f>
        <v/>
      </c>
      <c r="K7" s="15">
        <f>IF(D$19&gt;0,D7/D$19,0)</f>
        <v/>
      </c>
      <c r="L7" s="15">
        <f>IF(E$19&gt;0,E7/E$19,0)</f>
        <v/>
      </c>
      <c r="M7" s="15">
        <f>IF(F$19&gt;0,F7/F$19,0)</f>
        <v/>
      </c>
      <c r="N7" s="15">
        <f>IF(G$19&gt;0,G7/G$19,0)</f>
        <v/>
      </c>
      <c r="O7" s="15">
        <f>MAX(I7:N7)</f>
        <v/>
      </c>
      <c r="P7">
        <f>MID(INDEX($I$4:$N$4,MATCH(O7,I7:N7,0)),8,10)</f>
        <v/>
      </c>
      <c r="Q7">
        <f>INDEX($B$20:$G$20,MATCH(O7,I7:N7,0))</f>
        <v/>
      </c>
      <c r="R7" s="15">
        <f>Supplier_Summary!R7</f>
        <v/>
      </c>
      <c r="S7">
        <f>IF(OR(Q7=1,O7&gt;=Assumptions!$C$38,R7&gt;=Assumptions!$C$39),"High",IF(OR(O7&gt;=Assumptions!$C$40,R7&gt;=Assumptions!$C$41),"Medium","Low"))</f>
        <v/>
      </c>
    </row>
    <row r="8">
      <c r="A8" s="3" t="inlineStr">
        <is>
          <t>SUP-04</t>
        </is>
      </c>
      <c r="B8" s="25">
        <f>SUMIFS(Syn_Lines!$S$2:$S$4838,Syn_Lines!$C$2:$C$4838,$A8,Syn_Lines!$D$2:$D$4838,"ELEC",Syn_Lines!$K$2:$K$4838,0)</f>
        <v/>
      </c>
      <c r="C8" s="25">
        <f>SUMIFS(Syn_Lines!$S$2:$S$4838,Syn_Lines!$C$2:$C$4838,$A8,Syn_Lines!$D$2:$D$4838,"FLEET",Syn_Lines!$K$2:$K$4838,0)</f>
        <v/>
      </c>
      <c r="D8" s="25">
        <f>SUMIFS(Syn_Lines!$S$2:$S$4838,Syn_Lines!$C$2:$C$4838,$A8,Syn_Lines!$D$2:$D$4838,"MRO",Syn_Lines!$K$2:$K$4838,0)</f>
        <v/>
      </c>
      <c r="E8" s="25">
        <f>SUMIFS(Syn_Lines!$S$2:$S$4838,Syn_Lines!$C$2:$C$4838,$A8,Syn_Lines!$D$2:$D$4838,"PPE",Syn_Lines!$K$2:$K$4838,0)</f>
        <v/>
      </c>
      <c r="F8" s="25">
        <f>SUMIFS(Syn_Lines!$S$2:$S$4838,Syn_Lines!$C$2:$C$4838,$A8,Syn_Lines!$D$2:$D$4838,"CHEM",Syn_Lines!$K$2:$K$4838,0)</f>
        <v/>
      </c>
      <c r="G8" s="25">
        <f>SUMIFS(Syn_Lines!$S$2:$S$4838,Syn_Lines!$C$2:$C$4838,$A8,Syn_Lines!$D$2:$D$4838,"IT",Syn_Lines!$K$2:$K$4838,0)</f>
        <v/>
      </c>
      <c r="I8" s="15">
        <f>IF(B$19&gt;0,B8/B$19,0)</f>
        <v/>
      </c>
      <c r="J8" s="15">
        <f>IF(C$19&gt;0,C8/C$19,0)</f>
        <v/>
      </c>
      <c r="K8" s="15">
        <f>IF(D$19&gt;0,D8/D$19,0)</f>
        <v/>
      </c>
      <c r="L8" s="15">
        <f>IF(E$19&gt;0,E8/E$19,0)</f>
        <v/>
      </c>
      <c r="M8" s="15">
        <f>IF(F$19&gt;0,F8/F$19,0)</f>
        <v/>
      </c>
      <c r="N8" s="15">
        <f>IF(G$19&gt;0,G8/G$19,0)</f>
        <v/>
      </c>
      <c r="O8" s="15">
        <f>MAX(I8:N8)</f>
        <v/>
      </c>
      <c r="P8">
        <f>MID(INDEX($I$4:$N$4,MATCH(O8,I8:N8,0)),8,10)</f>
        <v/>
      </c>
      <c r="Q8">
        <f>INDEX($B$20:$G$20,MATCH(O8,I8:N8,0))</f>
        <v/>
      </c>
      <c r="R8" s="15">
        <f>Supplier_Summary!R8</f>
        <v/>
      </c>
      <c r="S8">
        <f>IF(OR(Q8=1,O8&gt;=Assumptions!$C$38,R8&gt;=Assumptions!$C$39),"High",IF(OR(O8&gt;=Assumptions!$C$40,R8&gt;=Assumptions!$C$41),"Medium","Low"))</f>
        <v/>
      </c>
    </row>
    <row r="9">
      <c r="A9" s="3" t="inlineStr">
        <is>
          <t>SUP-05</t>
        </is>
      </c>
      <c r="B9" s="25">
        <f>SUMIFS(Syn_Lines!$S$2:$S$4838,Syn_Lines!$C$2:$C$4838,$A9,Syn_Lines!$D$2:$D$4838,"ELEC",Syn_Lines!$K$2:$K$4838,0)</f>
        <v/>
      </c>
      <c r="C9" s="25">
        <f>SUMIFS(Syn_Lines!$S$2:$S$4838,Syn_Lines!$C$2:$C$4838,$A9,Syn_Lines!$D$2:$D$4838,"FLEET",Syn_Lines!$K$2:$K$4838,0)</f>
        <v/>
      </c>
      <c r="D9" s="25">
        <f>SUMIFS(Syn_Lines!$S$2:$S$4838,Syn_Lines!$C$2:$C$4838,$A9,Syn_Lines!$D$2:$D$4838,"MRO",Syn_Lines!$K$2:$K$4838,0)</f>
        <v/>
      </c>
      <c r="E9" s="25">
        <f>SUMIFS(Syn_Lines!$S$2:$S$4838,Syn_Lines!$C$2:$C$4838,$A9,Syn_Lines!$D$2:$D$4838,"PPE",Syn_Lines!$K$2:$K$4838,0)</f>
        <v/>
      </c>
      <c r="F9" s="25">
        <f>SUMIFS(Syn_Lines!$S$2:$S$4838,Syn_Lines!$C$2:$C$4838,$A9,Syn_Lines!$D$2:$D$4838,"CHEM",Syn_Lines!$K$2:$K$4838,0)</f>
        <v/>
      </c>
      <c r="G9" s="25">
        <f>SUMIFS(Syn_Lines!$S$2:$S$4838,Syn_Lines!$C$2:$C$4838,$A9,Syn_Lines!$D$2:$D$4838,"IT",Syn_Lines!$K$2:$K$4838,0)</f>
        <v/>
      </c>
      <c r="I9" s="15">
        <f>IF(B$19&gt;0,B9/B$19,0)</f>
        <v/>
      </c>
      <c r="J9" s="15">
        <f>IF(C$19&gt;0,C9/C$19,0)</f>
        <v/>
      </c>
      <c r="K9" s="15">
        <f>IF(D$19&gt;0,D9/D$19,0)</f>
        <v/>
      </c>
      <c r="L9" s="15">
        <f>IF(E$19&gt;0,E9/E$19,0)</f>
        <v/>
      </c>
      <c r="M9" s="15">
        <f>IF(F$19&gt;0,F9/F$19,0)</f>
        <v/>
      </c>
      <c r="N9" s="15">
        <f>IF(G$19&gt;0,G9/G$19,0)</f>
        <v/>
      </c>
      <c r="O9" s="15">
        <f>MAX(I9:N9)</f>
        <v/>
      </c>
      <c r="P9">
        <f>MID(INDEX($I$4:$N$4,MATCH(O9,I9:N9,0)),8,10)</f>
        <v/>
      </c>
      <c r="Q9">
        <f>INDEX($B$20:$G$20,MATCH(O9,I9:N9,0))</f>
        <v/>
      </c>
      <c r="R9" s="15">
        <f>Supplier_Summary!R9</f>
        <v/>
      </c>
      <c r="S9">
        <f>IF(OR(Q9=1,O9&gt;=Assumptions!$C$38,R9&gt;=Assumptions!$C$39),"High",IF(OR(O9&gt;=Assumptions!$C$40,R9&gt;=Assumptions!$C$41),"Medium","Low"))</f>
        <v/>
      </c>
    </row>
    <row r="10">
      <c r="A10" s="3" t="inlineStr">
        <is>
          <t>SUP-06</t>
        </is>
      </c>
      <c r="B10" s="25">
        <f>SUMIFS(Syn_Lines!$S$2:$S$4838,Syn_Lines!$C$2:$C$4838,$A10,Syn_Lines!$D$2:$D$4838,"ELEC",Syn_Lines!$K$2:$K$4838,0)</f>
        <v/>
      </c>
      <c r="C10" s="25">
        <f>SUMIFS(Syn_Lines!$S$2:$S$4838,Syn_Lines!$C$2:$C$4838,$A10,Syn_Lines!$D$2:$D$4838,"FLEET",Syn_Lines!$K$2:$K$4838,0)</f>
        <v/>
      </c>
      <c r="D10" s="25">
        <f>SUMIFS(Syn_Lines!$S$2:$S$4838,Syn_Lines!$C$2:$C$4838,$A10,Syn_Lines!$D$2:$D$4838,"MRO",Syn_Lines!$K$2:$K$4838,0)</f>
        <v/>
      </c>
      <c r="E10" s="25">
        <f>SUMIFS(Syn_Lines!$S$2:$S$4838,Syn_Lines!$C$2:$C$4838,$A10,Syn_Lines!$D$2:$D$4838,"PPE",Syn_Lines!$K$2:$K$4838,0)</f>
        <v/>
      </c>
      <c r="F10" s="25">
        <f>SUMIFS(Syn_Lines!$S$2:$S$4838,Syn_Lines!$C$2:$C$4838,$A10,Syn_Lines!$D$2:$D$4838,"CHEM",Syn_Lines!$K$2:$K$4838,0)</f>
        <v/>
      </c>
      <c r="G10" s="25">
        <f>SUMIFS(Syn_Lines!$S$2:$S$4838,Syn_Lines!$C$2:$C$4838,$A10,Syn_Lines!$D$2:$D$4838,"IT",Syn_Lines!$K$2:$K$4838,0)</f>
        <v/>
      </c>
      <c r="I10" s="15">
        <f>IF(B$19&gt;0,B10/B$19,0)</f>
        <v/>
      </c>
      <c r="J10" s="15">
        <f>IF(C$19&gt;0,C10/C$19,0)</f>
        <v/>
      </c>
      <c r="K10" s="15">
        <f>IF(D$19&gt;0,D10/D$19,0)</f>
        <v/>
      </c>
      <c r="L10" s="15">
        <f>IF(E$19&gt;0,E10/E$19,0)</f>
        <v/>
      </c>
      <c r="M10" s="15">
        <f>IF(F$19&gt;0,F10/F$19,0)</f>
        <v/>
      </c>
      <c r="N10" s="15">
        <f>IF(G$19&gt;0,G10/G$19,0)</f>
        <v/>
      </c>
      <c r="O10" s="15">
        <f>MAX(I10:N10)</f>
        <v/>
      </c>
      <c r="P10">
        <f>MID(INDEX($I$4:$N$4,MATCH(O10,I10:N10,0)),8,10)</f>
        <v/>
      </c>
      <c r="Q10">
        <f>INDEX($B$20:$G$20,MATCH(O10,I10:N10,0))</f>
        <v/>
      </c>
      <c r="R10" s="15">
        <f>Supplier_Summary!R10</f>
        <v/>
      </c>
      <c r="S10">
        <f>IF(OR(Q10=1,O10&gt;=Assumptions!$C$38,R10&gt;=Assumptions!$C$39),"High",IF(OR(O10&gt;=Assumptions!$C$40,R10&gt;=Assumptions!$C$41),"Medium","Low"))</f>
        <v/>
      </c>
    </row>
    <row r="11">
      <c r="A11" s="3" t="inlineStr">
        <is>
          <t>SUP-07</t>
        </is>
      </c>
      <c r="B11" s="25">
        <f>SUMIFS(Syn_Lines!$S$2:$S$4838,Syn_Lines!$C$2:$C$4838,$A11,Syn_Lines!$D$2:$D$4838,"ELEC",Syn_Lines!$K$2:$K$4838,0)</f>
        <v/>
      </c>
      <c r="C11" s="25">
        <f>SUMIFS(Syn_Lines!$S$2:$S$4838,Syn_Lines!$C$2:$C$4838,$A11,Syn_Lines!$D$2:$D$4838,"FLEET",Syn_Lines!$K$2:$K$4838,0)</f>
        <v/>
      </c>
      <c r="D11" s="25">
        <f>SUMIFS(Syn_Lines!$S$2:$S$4838,Syn_Lines!$C$2:$C$4838,$A11,Syn_Lines!$D$2:$D$4838,"MRO",Syn_Lines!$K$2:$K$4838,0)</f>
        <v/>
      </c>
      <c r="E11" s="25">
        <f>SUMIFS(Syn_Lines!$S$2:$S$4838,Syn_Lines!$C$2:$C$4838,$A11,Syn_Lines!$D$2:$D$4838,"PPE",Syn_Lines!$K$2:$K$4838,0)</f>
        <v/>
      </c>
      <c r="F11" s="25">
        <f>SUMIFS(Syn_Lines!$S$2:$S$4838,Syn_Lines!$C$2:$C$4838,$A11,Syn_Lines!$D$2:$D$4838,"CHEM",Syn_Lines!$K$2:$K$4838,0)</f>
        <v/>
      </c>
      <c r="G11" s="25">
        <f>SUMIFS(Syn_Lines!$S$2:$S$4838,Syn_Lines!$C$2:$C$4838,$A11,Syn_Lines!$D$2:$D$4838,"IT",Syn_Lines!$K$2:$K$4838,0)</f>
        <v/>
      </c>
      <c r="I11" s="15">
        <f>IF(B$19&gt;0,B11/B$19,0)</f>
        <v/>
      </c>
      <c r="J11" s="15">
        <f>IF(C$19&gt;0,C11/C$19,0)</f>
        <v/>
      </c>
      <c r="K11" s="15">
        <f>IF(D$19&gt;0,D11/D$19,0)</f>
        <v/>
      </c>
      <c r="L11" s="15">
        <f>IF(E$19&gt;0,E11/E$19,0)</f>
        <v/>
      </c>
      <c r="M11" s="15">
        <f>IF(F$19&gt;0,F11/F$19,0)</f>
        <v/>
      </c>
      <c r="N11" s="15">
        <f>IF(G$19&gt;0,G11/G$19,0)</f>
        <v/>
      </c>
      <c r="O11" s="15">
        <f>MAX(I11:N11)</f>
        <v/>
      </c>
      <c r="P11">
        <f>MID(INDEX($I$4:$N$4,MATCH(O11,I11:N11,0)),8,10)</f>
        <v/>
      </c>
      <c r="Q11">
        <f>INDEX($B$20:$G$20,MATCH(O11,I11:N11,0))</f>
        <v/>
      </c>
      <c r="R11" s="15">
        <f>Supplier_Summary!R11</f>
        <v/>
      </c>
      <c r="S11">
        <f>IF(OR(Q11=1,O11&gt;=Assumptions!$C$38,R11&gt;=Assumptions!$C$39),"High",IF(OR(O11&gt;=Assumptions!$C$40,R11&gt;=Assumptions!$C$41),"Medium","Low"))</f>
        <v/>
      </c>
    </row>
    <row r="12">
      <c r="A12" s="3" t="inlineStr">
        <is>
          <t>SUP-08</t>
        </is>
      </c>
      <c r="B12" s="25">
        <f>SUMIFS(Syn_Lines!$S$2:$S$4838,Syn_Lines!$C$2:$C$4838,$A12,Syn_Lines!$D$2:$D$4838,"ELEC",Syn_Lines!$K$2:$K$4838,0)</f>
        <v/>
      </c>
      <c r="C12" s="25">
        <f>SUMIFS(Syn_Lines!$S$2:$S$4838,Syn_Lines!$C$2:$C$4838,$A12,Syn_Lines!$D$2:$D$4838,"FLEET",Syn_Lines!$K$2:$K$4838,0)</f>
        <v/>
      </c>
      <c r="D12" s="25">
        <f>SUMIFS(Syn_Lines!$S$2:$S$4838,Syn_Lines!$C$2:$C$4838,$A12,Syn_Lines!$D$2:$D$4838,"MRO",Syn_Lines!$K$2:$K$4838,0)</f>
        <v/>
      </c>
      <c r="E12" s="25">
        <f>SUMIFS(Syn_Lines!$S$2:$S$4838,Syn_Lines!$C$2:$C$4838,$A12,Syn_Lines!$D$2:$D$4838,"PPE",Syn_Lines!$K$2:$K$4838,0)</f>
        <v/>
      </c>
      <c r="F12" s="25">
        <f>SUMIFS(Syn_Lines!$S$2:$S$4838,Syn_Lines!$C$2:$C$4838,$A12,Syn_Lines!$D$2:$D$4838,"CHEM",Syn_Lines!$K$2:$K$4838,0)</f>
        <v/>
      </c>
      <c r="G12" s="25">
        <f>SUMIFS(Syn_Lines!$S$2:$S$4838,Syn_Lines!$C$2:$C$4838,$A12,Syn_Lines!$D$2:$D$4838,"IT",Syn_Lines!$K$2:$K$4838,0)</f>
        <v/>
      </c>
      <c r="I12" s="15">
        <f>IF(B$19&gt;0,B12/B$19,0)</f>
        <v/>
      </c>
      <c r="J12" s="15">
        <f>IF(C$19&gt;0,C12/C$19,0)</f>
        <v/>
      </c>
      <c r="K12" s="15">
        <f>IF(D$19&gt;0,D12/D$19,0)</f>
        <v/>
      </c>
      <c r="L12" s="15">
        <f>IF(E$19&gt;0,E12/E$19,0)</f>
        <v/>
      </c>
      <c r="M12" s="15">
        <f>IF(F$19&gt;0,F12/F$19,0)</f>
        <v/>
      </c>
      <c r="N12" s="15">
        <f>IF(G$19&gt;0,G12/G$19,0)</f>
        <v/>
      </c>
      <c r="O12" s="15">
        <f>MAX(I12:N12)</f>
        <v/>
      </c>
      <c r="P12">
        <f>MID(INDEX($I$4:$N$4,MATCH(O12,I12:N12,0)),8,10)</f>
        <v/>
      </c>
      <c r="Q12">
        <f>INDEX($B$20:$G$20,MATCH(O12,I12:N12,0))</f>
        <v/>
      </c>
      <c r="R12" s="15">
        <f>Supplier_Summary!R12</f>
        <v/>
      </c>
      <c r="S12">
        <f>IF(OR(Q12=1,O12&gt;=Assumptions!$C$38,R12&gt;=Assumptions!$C$39),"High",IF(OR(O12&gt;=Assumptions!$C$40,R12&gt;=Assumptions!$C$41),"Medium","Low"))</f>
        <v/>
      </c>
    </row>
    <row r="13">
      <c r="A13" s="3" t="inlineStr">
        <is>
          <t>SUP-09</t>
        </is>
      </c>
      <c r="B13" s="25">
        <f>SUMIFS(Syn_Lines!$S$2:$S$4838,Syn_Lines!$C$2:$C$4838,$A13,Syn_Lines!$D$2:$D$4838,"ELEC",Syn_Lines!$K$2:$K$4838,0)</f>
        <v/>
      </c>
      <c r="C13" s="25">
        <f>SUMIFS(Syn_Lines!$S$2:$S$4838,Syn_Lines!$C$2:$C$4838,$A13,Syn_Lines!$D$2:$D$4838,"FLEET",Syn_Lines!$K$2:$K$4838,0)</f>
        <v/>
      </c>
      <c r="D13" s="25">
        <f>SUMIFS(Syn_Lines!$S$2:$S$4838,Syn_Lines!$C$2:$C$4838,$A13,Syn_Lines!$D$2:$D$4838,"MRO",Syn_Lines!$K$2:$K$4838,0)</f>
        <v/>
      </c>
      <c r="E13" s="25">
        <f>SUMIFS(Syn_Lines!$S$2:$S$4838,Syn_Lines!$C$2:$C$4838,$A13,Syn_Lines!$D$2:$D$4838,"PPE",Syn_Lines!$K$2:$K$4838,0)</f>
        <v/>
      </c>
      <c r="F13" s="25">
        <f>SUMIFS(Syn_Lines!$S$2:$S$4838,Syn_Lines!$C$2:$C$4838,$A13,Syn_Lines!$D$2:$D$4838,"CHEM",Syn_Lines!$K$2:$K$4838,0)</f>
        <v/>
      </c>
      <c r="G13" s="25">
        <f>SUMIFS(Syn_Lines!$S$2:$S$4838,Syn_Lines!$C$2:$C$4838,$A13,Syn_Lines!$D$2:$D$4838,"IT",Syn_Lines!$K$2:$K$4838,0)</f>
        <v/>
      </c>
      <c r="I13" s="15">
        <f>IF(B$19&gt;0,B13/B$19,0)</f>
        <v/>
      </c>
      <c r="J13" s="15">
        <f>IF(C$19&gt;0,C13/C$19,0)</f>
        <v/>
      </c>
      <c r="K13" s="15">
        <f>IF(D$19&gt;0,D13/D$19,0)</f>
        <v/>
      </c>
      <c r="L13" s="15">
        <f>IF(E$19&gt;0,E13/E$19,0)</f>
        <v/>
      </c>
      <c r="M13" s="15">
        <f>IF(F$19&gt;0,F13/F$19,0)</f>
        <v/>
      </c>
      <c r="N13" s="15">
        <f>IF(G$19&gt;0,G13/G$19,0)</f>
        <v/>
      </c>
      <c r="O13" s="15">
        <f>MAX(I13:N13)</f>
        <v/>
      </c>
      <c r="P13">
        <f>MID(INDEX($I$4:$N$4,MATCH(O13,I13:N13,0)),8,10)</f>
        <v/>
      </c>
      <c r="Q13">
        <f>INDEX($B$20:$G$20,MATCH(O13,I13:N13,0))</f>
        <v/>
      </c>
      <c r="R13" s="15">
        <f>Supplier_Summary!R13</f>
        <v/>
      </c>
      <c r="S13">
        <f>IF(OR(Q13=1,O13&gt;=Assumptions!$C$38,R13&gt;=Assumptions!$C$39),"High",IF(OR(O13&gt;=Assumptions!$C$40,R13&gt;=Assumptions!$C$41),"Medium","Low"))</f>
        <v/>
      </c>
    </row>
    <row r="14">
      <c r="A14" s="3" t="inlineStr">
        <is>
          <t>SUP-10</t>
        </is>
      </c>
      <c r="B14" s="25">
        <f>SUMIFS(Syn_Lines!$S$2:$S$4838,Syn_Lines!$C$2:$C$4838,$A14,Syn_Lines!$D$2:$D$4838,"ELEC",Syn_Lines!$K$2:$K$4838,0)</f>
        <v/>
      </c>
      <c r="C14" s="25">
        <f>SUMIFS(Syn_Lines!$S$2:$S$4838,Syn_Lines!$C$2:$C$4838,$A14,Syn_Lines!$D$2:$D$4838,"FLEET",Syn_Lines!$K$2:$K$4838,0)</f>
        <v/>
      </c>
      <c r="D14" s="25">
        <f>SUMIFS(Syn_Lines!$S$2:$S$4838,Syn_Lines!$C$2:$C$4838,$A14,Syn_Lines!$D$2:$D$4838,"MRO",Syn_Lines!$K$2:$K$4838,0)</f>
        <v/>
      </c>
      <c r="E14" s="25">
        <f>SUMIFS(Syn_Lines!$S$2:$S$4838,Syn_Lines!$C$2:$C$4838,$A14,Syn_Lines!$D$2:$D$4838,"PPE",Syn_Lines!$K$2:$K$4838,0)</f>
        <v/>
      </c>
      <c r="F14" s="25">
        <f>SUMIFS(Syn_Lines!$S$2:$S$4838,Syn_Lines!$C$2:$C$4838,$A14,Syn_Lines!$D$2:$D$4838,"CHEM",Syn_Lines!$K$2:$K$4838,0)</f>
        <v/>
      </c>
      <c r="G14" s="25">
        <f>SUMIFS(Syn_Lines!$S$2:$S$4838,Syn_Lines!$C$2:$C$4838,$A14,Syn_Lines!$D$2:$D$4838,"IT",Syn_Lines!$K$2:$K$4838,0)</f>
        <v/>
      </c>
      <c r="I14" s="15">
        <f>IF(B$19&gt;0,B14/B$19,0)</f>
        <v/>
      </c>
      <c r="J14" s="15">
        <f>IF(C$19&gt;0,C14/C$19,0)</f>
        <v/>
      </c>
      <c r="K14" s="15">
        <f>IF(D$19&gt;0,D14/D$19,0)</f>
        <v/>
      </c>
      <c r="L14" s="15">
        <f>IF(E$19&gt;0,E14/E$19,0)</f>
        <v/>
      </c>
      <c r="M14" s="15">
        <f>IF(F$19&gt;0,F14/F$19,0)</f>
        <v/>
      </c>
      <c r="N14" s="15">
        <f>IF(G$19&gt;0,G14/G$19,0)</f>
        <v/>
      </c>
      <c r="O14" s="15">
        <f>MAX(I14:N14)</f>
        <v/>
      </c>
      <c r="P14">
        <f>MID(INDEX($I$4:$N$4,MATCH(O14,I14:N14,0)),8,10)</f>
        <v/>
      </c>
      <c r="Q14">
        <f>INDEX($B$20:$G$20,MATCH(O14,I14:N14,0))</f>
        <v/>
      </c>
      <c r="R14" s="15">
        <f>Supplier_Summary!R14</f>
        <v/>
      </c>
      <c r="S14">
        <f>IF(OR(Q14=1,O14&gt;=Assumptions!$C$38,R14&gt;=Assumptions!$C$39),"High",IF(OR(O14&gt;=Assumptions!$C$40,R14&gt;=Assumptions!$C$41),"Medium","Low"))</f>
        <v/>
      </c>
    </row>
    <row r="15">
      <c r="A15" s="3" t="inlineStr">
        <is>
          <t>SUP-11</t>
        </is>
      </c>
      <c r="B15" s="25">
        <f>SUMIFS(Syn_Lines!$S$2:$S$4838,Syn_Lines!$C$2:$C$4838,$A15,Syn_Lines!$D$2:$D$4838,"ELEC",Syn_Lines!$K$2:$K$4838,0)</f>
        <v/>
      </c>
      <c r="C15" s="25">
        <f>SUMIFS(Syn_Lines!$S$2:$S$4838,Syn_Lines!$C$2:$C$4838,$A15,Syn_Lines!$D$2:$D$4838,"FLEET",Syn_Lines!$K$2:$K$4838,0)</f>
        <v/>
      </c>
      <c r="D15" s="25">
        <f>SUMIFS(Syn_Lines!$S$2:$S$4838,Syn_Lines!$C$2:$C$4838,$A15,Syn_Lines!$D$2:$D$4838,"MRO",Syn_Lines!$K$2:$K$4838,0)</f>
        <v/>
      </c>
      <c r="E15" s="25">
        <f>SUMIFS(Syn_Lines!$S$2:$S$4838,Syn_Lines!$C$2:$C$4838,$A15,Syn_Lines!$D$2:$D$4838,"PPE",Syn_Lines!$K$2:$K$4838,0)</f>
        <v/>
      </c>
      <c r="F15" s="25">
        <f>SUMIFS(Syn_Lines!$S$2:$S$4838,Syn_Lines!$C$2:$C$4838,$A15,Syn_Lines!$D$2:$D$4838,"CHEM",Syn_Lines!$K$2:$K$4838,0)</f>
        <v/>
      </c>
      <c r="G15" s="25">
        <f>SUMIFS(Syn_Lines!$S$2:$S$4838,Syn_Lines!$C$2:$C$4838,$A15,Syn_Lines!$D$2:$D$4838,"IT",Syn_Lines!$K$2:$K$4838,0)</f>
        <v/>
      </c>
      <c r="I15" s="15">
        <f>IF(B$19&gt;0,B15/B$19,0)</f>
        <v/>
      </c>
      <c r="J15" s="15">
        <f>IF(C$19&gt;0,C15/C$19,0)</f>
        <v/>
      </c>
      <c r="K15" s="15">
        <f>IF(D$19&gt;0,D15/D$19,0)</f>
        <v/>
      </c>
      <c r="L15" s="15">
        <f>IF(E$19&gt;0,E15/E$19,0)</f>
        <v/>
      </c>
      <c r="M15" s="15">
        <f>IF(F$19&gt;0,F15/F$19,0)</f>
        <v/>
      </c>
      <c r="N15" s="15">
        <f>IF(G$19&gt;0,G15/G$19,0)</f>
        <v/>
      </c>
      <c r="O15" s="15">
        <f>MAX(I15:N15)</f>
        <v/>
      </c>
      <c r="P15">
        <f>MID(INDEX($I$4:$N$4,MATCH(O15,I15:N15,0)),8,10)</f>
        <v/>
      </c>
      <c r="Q15">
        <f>INDEX($B$20:$G$20,MATCH(O15,I15:N15,0))</f>
        <v/>
      </c>
      <c r="R15" s="15">
        <f>Supplier_Summary!R15</f>
        <v/>
      </c>
      <c r="S15">
        <f>IF(OR(Q15=1,O15&gt;=Assumptions!$C$38,R15&gt;=Assumptions!$C$39),"High",IF(OR(O15&gt;=Assumptions!$C$40,R15&gt;=Assumptions!$C$41),"Medium","Low"))</f>
        <v/>
      </c>
    </row>
    <row r="16">
      <c r="A16" s="3" t="inlineStr">
        <is>
          <t>SUP-12</t>
        </is>
      </c>
      <c r="B16" s="25">
        <f>SUMIFS(Syn_Lines!$S$2:$S$4838,Syn_Lines!$C$2:$C$4838,$A16,Syn_Lines!$D$2:$D$4838,"ELEC",Syn_Lines!$K$2:$K$4838,0)</f>
        <v/>
      </c>
      <c r="C16" s="25">
        <f>SUMIFS(Syn_Lines!$S$2:$S$4838,Syn_Lines!$C$2:$C$4838,$A16,Syn_Lines!$D$2:$D$4838,"FLEET",Syn_Lines!$K$2:$K$4838,0)</f>
        <v/>
      </c>
      <c r="D16" s="25">
        <f>SUMIFS(Syn_Lines!$S$2:$S$4838,Syn_Lines!$C$2:$C$4838,$A16,Syn_Lines!$D$2:$D$4838,"MRO",Syn_Lines!$K$2:$K$4838,0)</f>
        <v/>
      </c>
      <c r="E16" s="25">
        <f>SUMIFS(Syn_Lines!$S$2:$S$4838,Syn_Lines!$C$2:$C$4838,$A16,Syn_Lines!$D$2:$D$4838,"PPE",Syn_Lines!$K$2:$K$4838,0)</f>
        <v/>
      </c>
      <c r="F16" s="25">
        <f>SUMIFS(Syn_Lines!$S$2:$S$4838,Syn_Lines!$C$2:$C$4838,$A16,Syn_Lines!$D$2:$D$4838,"CHEM",Syn_Lines!$K$2:$K$4838,0)</f>
        <v/>
      </c>
      <c r="G16" s="25">
        <f>SUMIFS(Syn_Lines!$S$2:$S$4838,Syn_Lines!$C$2:$C$4838,$A16,Syn_Lines!$D$2:$D$4838,"IT",Syn_Lines!$K$2:$K$4838,0)</f>
        <v/>
      </c>
      <c r="I16" s="15">
        <f>IF(B$19&gt;0,B16/B$19,0)</f>
        <v/>
      </c>
      <c r="J16" s="15">
        <f>IF(C$19&gt;0,C16/C$19,0)</f>
        <v/>
      </c>
      <c r="K16" s="15">
        <f>IF(D$19&gt;0,D16/D$19,0)</f>
        <v/>
      </c>
      <c r="L16" s="15">
        <f>IF(E$19&gt;0,E16/E$19,0)</f>
        <v/>
      </c>
      <c r="M16" s="15">
        <f>IF(F$19&gt;0,F16/F$19,0)</f>
        <v/>
      </c>
      <c r="N16" s="15">
        <f>IF(G$19&gt;0,G16/G$19,0)</f>
        <v/>
      </c>
      <c r="O16" s="15">
        <f>MAX(I16:N16)</f>
        <v/>
      </c>
      <c r="P16">
        <f>MID(INDEX($I$4:$N$4,MATCH(O16,I16:N16,0)),8,10)</f>
        <v/>
      </c>
      <c r="Q16">
        <f>INDEX($B$20:$G$20,MATCH(O16,I16:N16,0))</f>
        <v/>
      </c>
      <c r="R16" s="15">
        <f>Supplier_Summary!R16</f>
        <v/>
      </c>
      <c r="S16">
        <f>IF(OR(Q16=1,O16&gt;=Assumptions!$C$38,R16&gt;=Assumptions!$C$39),"High",IF(OR(O16&gt;=Assumptions!$C$40,R16&gt;=Assumptions!$C$41),"Medium","Low"))</f>
        <v/>
      </c>
    </row>
    <row r="17">
      <c r="A17" s="3" t="inlineStr">
        <is>
          <t>SUP-13</t>
        </is>
      </c>
      <c r="B17" s="25">
        <f>SUMIFS(Syn_Lines!$S$2:$S$4838,Syn_Lines!$C$2:$C$4838,$A17,Syn_Lines!$D$2:$D$4838,"ELEC",Syn_Lines!$K$2:$K$4838,0)</f>
        <v/>
      </c>
      <c r="C17" s="25">
        <f>SUMIFS(Syn_Lines!$S$2:$S$4838,Syn_Lines!$C$2:$C$4838,$A17,Syn_Lines!$D$2:$D$4838,"FLEET",Syn_Lines!$K$2:$K$4838,0)</f>
        <v/>
      </c>
      <c r="D17" s="25">
        <f>SUMIFS(Syn_Lines!$S$2:$S$4838,Syn_Lines!$C$2:$C$4838,$A17,Syn_Lines!$D$2:$D$4838,"MRO",Syn_Lines!$K$2:$K$4838,0)</f>
        <v/>
      </c>
      <c r="E17" s="25">
        <f>SUMIFS(Syn_Lines!$S$2:$S$4838,Syn_Lines!$C$2:$C$4838,$A17,Syn_Lines!$D$2:$D$4838,"PPE",Syn_Lines!$K$2:$K$4838,0)</f>
        <v/>
      </c>
      <c r="F17" s="25">
        <f>SUMIFS(Syn_Lines!$S$2:$S$4838,Syn_Lines!$C$2:$C$4838,$A17,Syn_Lines!$D$2:$D$4838,"CHEM",Syn_Lines!$K$2:$K$4838,0)</f>
        <v/>
      </c>
      <c r="G17" s="25">
        <f>SUMIFS(Syn_Lines!$S$2:$S$4838,Syn_Lines!$C$2:$C$4838,$A17,Syn_Lines!$D$2:$D$4838,"IT",Syn_Lines!$K$2:$K$4838,0)</f>
        <v/>
      </c>
      <c r="I17" s="15">
        <f>IF(B$19&gt;0,B17/B$19,0)</f>
        <v/>
      </c>
      <c r="J17" s="15">
        <f>IF(C$19&gt;0,C17/C$19,0)</f>
        <v/>
      </c>
      <c r="K17" s="15">
        <f>IF(D$19&gt;0,D17/D$19,0)</f>
        <v/>
      </c>
      <c r="L17" s="15">
        <f>IF(E$19&gt;0,E17/E$19,0)</f>
        <v/>
      </c>
      <c r="M17" s="15">
        <f>IF(F$19&gt;0,F17/F$19,0)</f>
        <v/>
      </c>
      <c r="N17" s="15">
        <f>IF(G$19&gt;0,G17/G$19,0)</f>
        <v/>
      </c>
      <c r="O17" s="15">
        <f>MAX(I17:N17)</f>
        <v/>
      </c>
      <c r="P17">
        <f>MID(INDEX($I$4:$N$4,MATCH(O17,I17:N17,0)),8,10)</f>
        <v/>
      </c>
      <c r="Q17">
        <f>INDEX($B$20:$G$20,MATCH(O17,I17:N17,0))</f>
        <v/>
      </c>
      <c r="R17" s="15">
        <f>Supplier_Summary!R17</f>
        <v/>
      </c>
      <c r="S17">
        <f>IF(OR(Q17=1,O17&gt;=Assumptions!$C$38,R17&gt;=Assumptions!$C$39),"High",IF(OR(O17&gt;=Assumptions!$C$40,R17&gt;=Assumptions!$C$41),"Medium","Low"))</f>
        <v/>
      </c>
    </row>
    <row r="18">
      <c r="A18" s="3" t="inlineStr">
        <is>
          <t>SUP-14</t>
        </is>
      </c>
      <c r="B18" s="25">
        <f>SUMIFS(Syn_Lines!$S$2:$S$4838,Syn_Lines!$C$2:$C$4838,$A18,Syn_Lines!$D$2:$D$4838,"ELEC",Syn_Lines!$K$2:$K$4838,0)</f>
        <v/>
      </c>
      <c r="C18" s="25">
        <f>SUMIFS(Syn_Lines!$S$2:$S$4838,Syn_Lines!$C$2:$C$4838,$A18,Syn_Lines!$D$2:$D$4838,"FLEET",Syn_Lines!$K$2:$K$4838,0)</f>
        <v/>
      </c>
      <c r="D18" s="25">
        <f>SUMIFS(Syn_Lines!$S$2:$S$4838,Syn_Lines!$C$2:$C$4838,$A18,Syn_Lines!$D$2:$D$4838,"MRO",Syn_Lines!$K$2:$K$4838,0)</f>
        <v/>
      </c>
      <c r="E18" s="25">
        <f>SUMIFS(Syn_Lines!$S$2:$S$4838,Syn_Lines!$C$2:$C$4838,$A18,Syn_Lines!$D$2:$D$4838,"PPE",Syn_Lines!$K$2:$K$4838,0)</f>
        <v/>
      </c>
      <c r="F18" s="25">
        <f>SUMIFS(Syn_Lines!$S$2:$S$4838,Syn_Lines!$C$2:$C$4838,$A18,Syn_Lines!$D$2:$D$4838,"CHEM",Syn_Lines!$K$2:$K$4838,0)</f>
        <v/>
      </c>
      <c r="G18" s="25">
        <f>SUMIFS(Syn_Lines!$S$2:$S$4838,Syn_Lines!$C$2:$C$4838,$A18,Syn_Lines!$D$2:$D$4838,"IT",Syn_Lines!$K$2:$K$4838,0)</f>
        <v/>
      </c>
      <c r="I18" s="15">
        <f>IF(B$19&gt;0,B18/B$19,0)</f>
        <v/>
      </c>
      <c r="J18" s="15">
        <f>IF(C$19&gt;0,C18/C$19,0)</f>
        <v/>
      </c>
      <c r="K18" s="15">
        <f>IF(D$19&gt;0,D18/D$19,0)</f>
        <v/>
      </c>
      <c r="L18" s="15">
        <f>IF(E$19&gt;0,E18/E$19,0)</f>
        <v/>
      </c>
      <c r="M18" s="15">
        <f>IF(F$19&gt;0,F18/F$19,0)</f>
        <v/>
      </c>
      <c r="N18" s="15">
        <f>IF(G$19&gt;0,G18/G$19,0)</f>
        <v/>
      </c>
      <c r="O18" s="15">
        <f>MAX(I18:N18)</f>
        <v/>
      </c>
      <c r="P18">
        <f>MID(INDEX($I$4:$N$4,MATCH(O18,I18:N18,0)),8,10)</f>
        <v/>
      </c>
      <c r="Q18">
        <f>INDEX($B$20:$G$20,MATCH(O18,I18:N18,0))</f>
        <v/>
      </c>
      <c r="R18" s="15">
        <f>Supplier_Summary!R18</f>
        <v/>
      </c>
      <c r="S18">
        <f>IF(OR(Q18=1,O18&gt;=Assumptions!$C$38,R18&gt;=Assumptions!$C$39),"High",IF(OR(O18&gt;=Assumptions!$C$40,R18&gt;=Assumptions!$C$41),"Medium","Low"))</f>
        <v/>
      </c>
    </row>
    <row r="19">
      <c r="A19" s="3" t="inlineStr">
        <is>
          <t>Category total</t>
        </is>
      </c>
      <c r="B19" s="25">
        <f>SUM(B5:B18)</f>
        <v/>
      </c>
      <c r="C19" s="25">
        <f>SUM(C5:C18)</f>
        <v/>
      </c>
      <c r="D19" s="25">
        <f>SUM(D5:D18)</f>
        <v/>
      </c>
      <c r="E19" s="25">
        <f>SUM(E5:E18)</f>
        <v/>
      </c>
      <c r="F19" s="25">
        <f>SUM(F5:F18)</f>
        <v/>
      </c>
      <c r="G19" s="25">
        <f>SUM(G5:G18)</f>
        <v/>
      </c>
    </row>
    <row r="20">
      <c r="A20" s="3" t="inlineStr">
        <is>
          <t>Suppliers with spend</t>
        </is>
      </c>
      <c r="B20">
        <f>COUNTIF(B5:B18,"&gt;0")</f>
        <v/>
      </c>
      <c r="C20">
        <f>COUNTIF(C5:C18,"&gt;0")</f>
        <v/>
      </c>
      <c r="D20">
        <f>COUNTIF(D5:D18,"&gt;0")</f>
        <v/>
      </c>
      <c r="E20">
        <f>COUNTIF(E5:E18,"&gt;0")</f>
        <v/>
      </c>
      <c r="F20">
        <f>COUNTIF(F5:F18,"&gt;0")</f>
        <v/>
      </c>
      <c r="G20">
        <f>COUNTIF(G5:G18,"&gt;0")</f>
        <v/>
      </c>
    </row>
  </sheetData>
  <conditionalFormatting sqref="I5:N18">
    <cfRule type="colorScale" priority="1">
      <colorScale>
        <cfvo type="num" val="0"/>
        <cfvo type="num" val="1"/>
        <color rgb="00FFFFFF"/>
        <color rgb="009FB4CC"/>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2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24" customWidth="1" min="2" max="2"/>
    <col width="9" customWidth="1" min="3" max="3"/>
    <col width="20" customWidth="1" min="4" max="4"/>
    <col width="9" customWidth="1" min="5" max="5"/>
    <col width="9" customWidth="1" min="6" max="6"/>
    <col width="10" customWidth="1" min="7" max="7"/>
    <col width="9" customWidth="1" min="8" max="8"/>
    <col width="9" customWidth="1" min="9" max="9"/>
    <col width="9" customWidth="1" min="10" max="10"/>
    <col width="11" customWidth="1" min="11" max="11"/>
    <col width="9" customWidth="1" min="12" max="12"/>
    <col width="9" customWidth="1" min="13" max="13"/>
    <col width="12" customWidth="1" min="14" max="14"/>
    <col width="9" customWidth="1" min="15" max="15"/>
    <col width="18" customWidth="1" min="16" max="16"/>
    <col width="11" customWidth="1" min="17" max="17"/>
    <col width="30" customWidth="1" min="18" max="18"/>
  </cols>
  <sheetData>
    <row r="1">
      <c r="A1" s="1" t="inlineStr">
        <is>
          <t>Supplier performance scorecard</t>
        </is>
      </c>
    </row>
    <row r="2">
      <c r="A2" s="2" t="inlineStr">
        <is>
          <t>SYNTHETIC DEMONSTRATION DATA - not real suppliers or real performance. Score = weighted 0-100 components; see Assumptions.</t>
        </is>
      </c>
    </row>
    <row r="4" ht="45" customHeight="1">
      <c r="A4" s="8" t="inlineStr">
        <is>
          <t>Supplier ID</t>
        </is>
      </c>
      <c r="B4" s="16" t="inlineStr">
        <is>
          <t>Supplier name (XLOOKUP)</t>
        </is>
      </c>
      <c r="C4" s="16" t="inlineStr">
        <is>
          <t>Due lines</t>
        </is>
      </c>
      <c r="D4" s="16" t="inlineStr">
        <is>
          <t>Evidence status</t>
        </is>
      </c>
      <c r="E4" s="16" t="inlineStr">
        <is>
          <t>OTIF rate</t>
        </is>
      </c>
      <c r="F4" s="16" t="inlineStr">
        <is>
          <t>Reject rate</t>
        </is>
      </c>
      <c r="G4" s="16" t="inlineStr">
        <is>
          <t>Lead-time SD used</t>
        </is>
      </c>
      <c r="H4" s="16" t="inlineStr">
        <is>
          <t>Avg days late</t>
        </is>
      </c>
      <c r="I4" s="16" t="inlineStr">
        <is>
          <t>Score: OTIF</t>
        </is>
      </c>
      <c r="J4" s="16" t="inlineStr">
        <is>
          <t>Score: quality</t>
        </is>
      </c>
      <c r="K4" s="16" t="inlineStr">
        <is>
          <t>Score: lead-time consistency</t>
        </is>
      </c>
      <c r="L4" s="16" t="inlineStr">
        <is>
          <t>Score: lateness</t>
        </is>
      </c>
      <c r="M4" s="16" t="inlineStr">
        <is>
          <t>Weight used</t>
        </is>
      </c>
      <c r="N4" s="16" t="inlineStr">
        <is>
          <t>Performance score</t>
        </is>
      </c>
      <c r="O4" s="16" t="inlineStr">
        <is>
          <t>Rank (ranked only)</t>
        </is>
      </c>
      <c r="P4" s="16" t="inlineStr">
        <is>
          <t>Performance tier</t>
        </is>
      </c>
      <c r="Q4" s="16" t="inlineStr">
        <is>
          <t>Dependency risk</t>
        </is>
      </c>
      <c r="R4" s="16" t="inlineStr">
        <is>
          <t>Action quadrant</t>
        </is>
      </c>
    </row>
    <row r="5">
      <c r="A5" s="3" t="inlineStr">
        <is>
          <t>SUP-01</t>
        </is>
      </c>
      <c r="B5">
        <f>XLOOKUP(A5,Syn_Suppliers!$A$5:$A$18,Syn_Suppliers!$B$5:$B$18,"not found")</f>
        <v/>
      </c>
      <c r="C5" s="18">
        <f>Supplier_Summary!B5</f>
        <v/>
      </c>
      <c r="D5">
        <f>IF(C5&gt;=Assumptions!$C$24,"Ranked",IF(C5&gt;=Assumptions!$C$25,"Provisional","Insufficient evidence"))</f>
        <v/>
      </c>
      <c r="E5" s="15">
        <f>Supplier_Summary!D5</f>
        <v/>
      </c>
      <c r="F5" s="24">
        <f>Supplier_Summary!N5</f>
        <v/>
      </c>
      <c r="G5" s="23">
        <f>IF(Supplier_Summary!I5&gt;=Assumptions!$C$26,Supplier_Summary!K5,"")</f>
        <v/>
      </c>
      <c r="H5" s="23">
        <f>Supplier_Summary!H5</f>
        <v/>
      </c>
      <c r="I5" s="28">
        <f>IF(E5="","",MIN(1,MAX(0,(E5-Assumptions!$C$16)/(Assumptions!$C$15-Assumptions!$C$16)))*100)</f>
        <v/>
      </c>
      <c r="J5" s="28">
        <f>IF(F5="","",MIN(1,MAX(0,(Assumptions!$C$18-F5)/(Assumptions!$C$18-Assumptions!$C$17)))*100)</f>
        <v/>
      </c>
      <c r="K5" s="28">
        <f>IF(G5="","",MIN(1,MAX(0,(Assumptions!$C$20-G5)/(Assumptions!$C$20-Assumptions!$C$19)))*100)</f>
        <v/>
      </c>
      <c r="L5" s="28">
        <f>IF(H5="","",MIN(1,MAX(0,(Assumptions!$C$22-H5)/(Assumptions!$C$22-Assumptions!$C$21)))*100)</f>
        <v/>
      </c>
      <c r="M5" s="15">
        <f>IF(I5="",0,Assumptions!$C$10)+IF(J5="",0,Assumptions!$C$11)+IF(K5="",0,Assumptions!$C$12)+IF(L5="",0,Assumptions!$C$13)</f>
        <v/>
      </c>
      <c r="N5" s="28">
        <f>IF(OR(D5="Insufficient evidence",M5=0),"",ROUND((IF(I5="",0,I5*Assumptions!$C$10)+IF(J5="",0,J5*Assumptions!$C$11)+IF(K5="",0,K5*Assumptions!$C$12)+IF(L5="",0,L5*Assumptions!$C$13))/M5,1))</f>
        <v/>
      </c>
      <c r="O5">
        <f>IF(D5="Ranked",1+COUNTIFS($D$5:$D$18,"Ranked",$N$5:$N$18,"&gt;"&amp;N5),"")</f>
        <v/>
      </c>
      <c r="P5">
        <f>IF(N5="","Not scored",IF(N5&gt;=Assumptions!$C$27,"Preferred",IF(N5&gt;=Assumptions!$C$28,"Acceptable",IF(N5&gt;=Assumptions!$C$29,"Improvement needed","At risk"))))</f>
        <v/>
      </c>
      <c r="Q5">
        <f>Dependency!S5</f>
        <v/>
      </c>
      <c r="R5">
        <f>IF(D5="Insufficient evidence","Insufficient evidence",IF(Q5="High",IF(N5&gt;=Assumptions!$C$28,"Strategic - protect and monitor","Critical - act now"),IF(N5&gt;=Assumptions!$C$28,"Maintain","Develop or replace")))</f>
        <v/>
      </c>
    </row>
    <row r="6">
      <c r="A6" s="3" t="inlineStr">
        <is>
          <t>SUP-02</t>
        </is>
      </c>
      <c r="B6">
        <f>XLOOKUP(A6,Syn_Suppliers!$A$5:$A$18,Syn_Suppliers!$B$5:$B$18,"not found")</f>
        <v/>
      </c>
      <c r="C6" s="18">
        <f>Supplier_Summary!B6</f>
        <v/>
      </c>
      <c r="D6">
        <f>IF(C6&gt;=Assumptions!$C$24,"Ranked",IF(C6&gt;=Assumptions!$C$25,"Provisional","Insufficient evidence"))</f>
        <v/>
      </c>
      <c r="E6" s="15">
        <f>Supplier_Summary!D6</f>
        <v/>
      </c>
      <c r="F6" s="24">
        <f>Supplier_Summary!N6</f>
        <v/>
      </c>
      <c r="G6" s="23">
        <f>IF(Supplier_Summary!I6&gt;=Assumptions!$C$26,Supplier_Summary!K6,"")</f>
        <v/>
      </c>
      <c r="H6" s="23">
        <f>Supplier_Summary!H6</f>
        <v/>
      </c>
      <c r="I6" s="28">
        <f>IF(E6="","",MIN(1,MAX(0,(E6-Assumptions!$C$16)/(Assumptions!$C$15-Assumptions!$C$16)))*100)</f>
        <v/>
      </c>
      <c r="J6" s="28">
        <f>IF(F6="","",MIN(1,MAX(0,(Assumptions!$C$18-F6)/(Assumptions!$C$18-Assumptions!$C$17)))*100)</f>
        <v/>
      </c>
      <c r="K6" s="28">
        <f>IF(G6="","",MIN(1,MAX(0,(Assumptions!$C$20-G6)/(Assumptions!$C$20-Assumptions!$C$19)))*100)</f>
        <v/>
      </c>
      <c r="L6" s="28">
        <f>IF(H6="","",MIN(1,MAX(0,(Assumptions!$C$22-H6)/(Assumptions!$C$22-Assumptions!$C$21)))*100)</f>
        <v/>
      </c>
      <c r="M6" s="15">
        <f>IF(I6="",0,Assumptions!$C$10)+IF(J6="",0,Assumptions!$C$11)+IF(K6="",0,Assumptions!$C$12)+IF(L6="",0,Assumptions!$C$13)</f>
        <v/>
      </c>
      <c r="N6" s="28">
        <f>IF(OR(D6="Insufficient evidence",M6=0),"",ROUND((IF(I6="",0,I6*Assumptions!$C$10)+IF(J6="",0,J6*Assumptions!$C$11)+IF(K6="",0,K6*Assumptions!$C$12)+IF(L6="",0,L6*Assumptions!$C$13))/M6,1))</f>
        <v/>
      </c>
      <c r="O6">
        <f>IF(D6="Ranked",1+COUNTIFS($D$5:$D$18,"Ranked",$N$5:$N$18,"&gt;"&amp;N6),"")</f>
        <v/>
      </c>
      <c r="P6">
        <f>IF(N6="","Not scored",IF(N6&gt;=Assumptions!$C$27,"Preferred",IF(N6&gt;=Assumptions!$C$28,"Acceptable",IF(N6&gt;=Assumptions!$C$29,"Improvement needed","At risk"))))</f>
        <v/>
      </c>
      <c r="Q6">
        <f>Dependency!S6</f>
        <v/>
      </c>
      <c r="R6">
        <f>IF(D6="Insufficient evidence","Insufficient evidence",IF(Q6="High",IF(N6&gt;=Assumptions!$C$28,"Strategic - protect and monitor","Critical - act now"),IF(N6&gt;=Assumptions!$C$28,"Maintain","Develop or replace")))</f>
        <v/>
      </c>
    </row>
    <row r="7">
      <c r="A7" s="3" t="inlineStr">
        <is>
          <t>SUP-03</t>
        </is>
      </c>
      <c r="B7">
        <f>XLOOKUP(A7,Syn_Suppliers!$A$5:$A$18,Syn_Suppliers!$B$5:$B$18,"not found")</f>
        <v/>
      </c>
      <c r="C7" s="18">
        <f>Supplier_Summary!B7</f>
        <v/>
      </c>
      <c r="D7">
        <f>IF(C7&gt;=Assumptions!$C$24,"Ranked",IF(C7&gt;=Assumptions!$C$25,"Provisional","Insufficient evidence"))</f>
        <v/>
      </c>
      <c r="E7" s="15">
        <f>Supplier_Summary!D7</f>
        <v/>
      </c>
      <c r="F7" s="24">
        <f>Supplier_Summary!N7</f>
        <v/>
      </c>
      <c r="G7" s="23">
        <f>IF(Supplier_Summary!I7&gt;=Assumptions!$C$26,Supplier_Summary!K7,"")</f>
        <v/>
      </c>
      <c r="H7" s="23">
        <f>Supplier_Summary!H7</f>
        <v/>
      </c>
      <c r="I7" s="28">
        <f>IF(E7="","",MIN(1,MAX(0,(E7-Assumptions!$C$16)/(Assumptions!$C$15-Assumptions!$C$16)))*100)</f>
        <v/>
      </c>
      <c r="J7" s="28">
        <f>IF(F7="","",MIN(1,MAX(0,(Assumptions!$C$18-F7)/(Assumptions!$C$18-Assumptions!$C$17)))*100)</f>
        <v/>
      </c>
      <c r="K7" s="28">
        <f>IF(G7="","",MIN(1,MAX(0,(Assumptions!$C$20-G7)/(Assumptions!$C$20-Assumptions!$C$19)))*100)</f>
        <v/>
      </c>
      <c r="L7" s="28">
        <f>IF(H7="","",MIN(1,MAX(0,(Assumptions!$C$22-H7)/(Assumptions!$C$22-Assumptions!$C$21)))*100)</f>
        <v/>
      </c>
      <c r="M7" s="15">
        <f>IF(I7="",0,Assumptions!$C$10)+IF(J7="",0,Assumptions!$C$11)+IF(K7="",0,Assumptions!$C$12)+IF(L7="",0,Assumptions!$C$13)</f>
        <v/>
      </c>
      <c r="N7" s="28">
        <f>IF(OR(D7="Insufficient evidence",M7=0),"",ROUND((IF(I7="",0,I7*Assumptions!$C$10)+IF(J7="",0,J7*Assumptions!$C$11)+IF(K7="",0,K7*Assumptions!$C$12)+IF(L7="",0,L7*Assumptions!$C$13))/M7,1))</f>
        <v/>
      </c>
      <c r="O7">
        <f>IF(D7="Ranked",1+COUNTIFS($D$5:$D$18,"Ranked",$N$5:$N$18,"&gt;"&amp;N7),"")</f>
        <v/>
      </c>
      <c r="P7">
        <f>IF(N7="","Not scored",IF(N7&gt;=Assumptions!$C$27,"Preferred",IF(N7&gt;=Assumptions!$C$28,"Acceptable",IF(N7&gt;=Assumptions!$C$29,"Improvement needed","At risk"))))</f>
        <v/>
      </c>
      <c r="Q7">
        <f>Dependency!S7</f>
        <v/>
      </c>
      <c r="R7">
        <f>IF(D7="Insufficient evidence","Insufficient evidence",IF(Q7="High",IF(N7&gt;=Assumptions!$C$28,"Strategic - protect and monitor","Critical - act now"),IF(N7&gt;=Assumptions!$C$28,"Maintain","Develop or replace")))</f>
        <v/>
      </c>
    </row>
    <row r="8">
      <c r="A8" s="3" t="inlineStr">
        <is>
          <t>SUP-04</t>
        </is>
      </c>
      <c r="B8">
        <f>XLOOKUP(A8,Syn_Suppliers!$A$5:$A$18,Syn_Suppliers!$B$5:$B$18,"not found")</f>
        <v/>
      </c>
      <c r="C8" s="18">
        <f>Supplier_Summary!B8</f>
        <v/>
      </c>
      <c r="D8">
        <f>IF(C8&gt;=Assumptions!$C$24,"Ranked",IF(C8&gt;=Assumptions!$C$25,"Provisional","Insufficient evidence"))</f>
        <v/>
      </c>
      <c r="E8" s="15">
        <f>Supplier_Summary!D8</f>
        <v/>
      </c>
      <c r="F8" s="24">
        <f>Supplier_Summary!N8</f>
        <v/>
      </c>
      <c r="G8" s="23">
        <f>IF(Supplier_Summary!I8&gt;=Assumptions!$C$26,Supplier_Summary!K8,"")</f>
        <v/>
      </c>
      <c r="H8" s="23">
        <f>Supplier_Summary!H8</f>
        <v/>
      </c>
      <c r="I8" s="28">
        <f>IF(E8="","",MIN(1,MAX(0,(E8-Assumptions!$C$16)/(Assumptions!$C$15-Assumptions!$C$16)))*100)</f>
        <v/>
      </c>
      <c r="J8" s="28">
        <f>IF(F8="","",MIN(1,MAX(0,(Assumptions!$C$18-F8)/(Assumptions!$C$18-Assumptions!$C$17)))*100)</f>
        <v/>
      </c>
      <c r="K8" s="28">
        <f>IF(G8="","",MIN(1,MAX(0,(Assumptions!$C$20-G8)/(Assumptions!$C$20-Assumptions!$C$19)))*100)</f>
        <v/>
      </c>
      <c r="L8" s="28">
        <f>IF(H8="","",MIN(1,MAX(0,(Assumptions!$C$22-H8)/(Assumptions!$C$22-Assumptions!$C$21)))*100)</f>
        <v/>
      </c>
      <c r="M8" s="15">
        <f>IF(I8="",0,Assumptions!$C$10)+IF(J8="",0,Assumptions!$C$11)+IF(K8="",0,Assumptions!$C$12)+IF(L8="",0,Assumptions!$C$13)</f>
        <v/>
      </c>
      <c r="N8" s="28">
        <f>IF(OR(D8="Insufficient evidence",M8=0),"",ROUND((IF(I8="",0,I8*Assumptions!$C$10)+IF(J8="",0,J8*Assumptions!$C$11)+IF(K8="",0,K8*Assumptions!$C$12)+IF(L8="",0,L8*Assumptions!$C$13))/M8,1))</f>
        <v/>
      </c>
      <c r="O8">
        <f>IF(D8="Ranked",1+COUNTIFS($D$5:$D$18,"Ranked",$N$5:$N$18,"&gt;"&amp;N8),"")</f>
        <v/>
      </c>
      <c r="P8">
        <f>IF(N8="","Not scored",IF(N8&gt;=Assumptions!$C$27,"Preferred",IF(N8&gt;=Assumptions!$C$28,"Acceptable",IF(N8&gt;=Assumptions!$C$29,"Improvement needed","At risk"))))</f>
        <v/>
      </c>
      <c r="Q8">
        <f>Dependency!S8</f>
        <v/>
      </c>
      <c r="R8">
        <f>IF(D8="Insufficient evidence","Insufficient evidence",IF(Q8="High",IF(N8&gt;=Assumptions!$C$28,"Strategic - protect and monitor","Critical - act now"),IF(N8&gt;=Assumptions!$C$28,"Maintain","Develop or replace")))</f>
        <v/>
      </c>
    </row>
    <row r="9">
      <c r="A9" s="3" t="inlineStr">
        <is>
          <t>SUP-05</t>
        </is>
      </c>
      <c r="B9">
        <f>XLOOKUP(A9,Syn_Suppliers!$A$5:$A$18,Syn_Suppliers!$B$5:$B$18,"not found")</f>
        <v/>
      </c>
      <c r="C9" s="18">
        <f>Supplier_Summary!B9</f>
        <v/>
      </c>
      <c r="D9">
        <f>IF(C9&gt;=Assumptions!$C$24,"Ranked",IF(C9&gt;=Assumptions!$C$25,"Provisional","Insufficient evidence"))</f>
        <v/>
      </c>
      <c r="E9" s="15">
        <f>Supplier_Summary!D9</f>
        <v/>
      </c>
      <c r="F9" s="24">
        <f>Supplier_Summary!N9</f>
        <v/>
      </c>
      <c r="G9" s="23">
        <f>IF(Supplier_Summary!I9&gt;=Assumptions!$C$26,Supplier_Summary!K9,"")</f>
        <v/>
      </c>
      <c r="H9" s="23">
        <f>Supplier_Summary!H9</f>
        <v/>
      </c>
      <c r="I9" s="28">
        <f>IF(E9="","",MIN(1,MAX(0,(E9-Assumptions!$C$16)/(Assumptions!$C$15-Assumptions!$C$16)))*100)</f>
        <v/>
      </c>
      <c r="J9" s="28">
        <f>IF(F9="","",MIN(1,MAX(0,(Assumptions!$C$18-F9)/(Assumptions!$C$18-Assumptions!$C$17)))*100)</f>
        <v/>
      </c>
      <c r="K9" s="28">
        <f>IF(G9="","",MIN(1,MAX(0,(Assumptions!$C$20-G9)/(Assumptions!$C$20-Assumptions!$C$19)))*100)</f>
        <v/>
      </c>
      <c r="L9" s="28">
        <f>IF(H9="","",MIN(1,MAX(0,(Assumptions!$C$22-H9)/(Assumptions!$C$22-Assumptions!$C$21)))*100)</f>
        <v/>
      </c>
      <c r="M9" s="15">
        <f>IF(I9="",0,Assumptions!$C$10)+IF(J9="",0,Assumptions!$C$11)+IF(K9="",0,Assumptions!$C$12)+IF(L9="",0,Assumptions!$C$13)</f>
        <v/>
      </c>
      <c r="N9" s="28">
        <f>IF(OR(D9="Insufficient evidence",M9=0),"",ROUND((IF(I9="",0,I9*Assumptions!$C$10)+IF(J9="",0,J9*Assumptions!$C$11)+IF(K9="",0,K9*Assumptions!$C$12)+IF(L9="",0,L9*Assumptions!$C$13))/M9,1))</f>
        <v/>
      </c>
      <c r="O9">
        <f>IF(D9="Ranked",1+COUNTIFS($D$5:$D$18,"Ranked",$N$5:$N$18,"&gt;"&amp;N9),"")</f>
        <v/>
      </c>
      <c r="P9">
        <f>IF(N9="","Not scored",IF(N9&gt;=Assumptions!$C$27,"Preferred",IF(N9&gt;=Assumptions!$C$28,"Acceptable",IF(N9&gt;=Assumptions!$C$29,"Improvement needed","At risk"))))</f>
        <v/>
      </c>
      <c r="Q9">
        <f>Dependency!S9</f>
        <v/>
      </c>
      <c r="R9">
        <f>IF(D9="Insufficient evidence","Insufficient evidence",IF(Q9="High",IF(N9&gt;=Assumptions!$C$28,"Strategic - protect and monitor","Critical - act now"),IF(N9&gt;=Assumptions!$C$28,"Maintain","Develop or replace")))</f>
        <v/>
      </c>
    </row>
    <row r="10">
      <c r="A10" s="3" t="inlineStr">
        <is>
          <t>SUP-06</t>
        </is>
      </c>
      <c r="B10">
        <f>XLOOKUP(A10,Syn_Suppliers!$A$5:$A$18,Syn_Suppliers!$B$5:$B$18,"not found")</f>
        <v/>
      </c>
      <c r="C10" s="18">
        <f>Supplier_Summary!B10</f>
        <v/>
      </c>
      <c r="D10">
        <f>IF(C10&gt;=Assumptions!$C$24,"Ranked",IF(C10&gt;=Assumptions!$C$25,"Provisional","Insufficient evidence"))</f>
        <v/>
      </c>
      <c r="E10" s="15">
        <f>Supplier_Summary!D10</f>
        <v/>
      </c>
      <c r="F10" s="24">
        <f>Supplier_Summary!N10</f>
        <v/>
      </c>
      <c r="G10" s="23">
        <f>IF(Supplier_Summary!I10&gt;=Assumptions!$C$26,Supplier_Summary!K10,"")</f>
        <v/>
      </c>
      <c r="H10" s="23">
        <f>Supplier_Summary!H10</f>
        <v/>
      </c>
      <c r="I10" s="28">
        <f>IF(E10="","",MIN(1,MAX(0,(E10-Assumptions!$C$16)/(Assumptions!$C$15-Assumptions!$C$16)))*100)</f>
        <v/>
      </c>
      <c r="J10" s="28">
        <f>IF(F10="","",MIN(1,MAX(0,(Assumptions!$C$18-F10)/(Assumptions!$C$18-Assumptions!$C$17)))*100)</f>
        <v/>
      </c>
      <c r="K10" s="28">
        <f>IF(G10="","",MIN(1,MAX(0,(Assumptions!$C$20-G10)/(Assumptions!$C$20-Assumptions!$C$19)))*100)</f>
        <v/>
      </c>
      <c r="L10" s="28">
        <f>IF(H10="","",MIN(1,MAX(0,(Assumptions!$C$22-H10)/(Assumptions!$C$22-Assumptions!$C$21)))*100)</f>
        <v/>
      </c>
      <c r="M10" s="15">
        <f>IF(I10="",0,Assumptions!$C$10)+IF(J10="",0,Assumptions!$C$11)+IF(K10="",0,Assumptions!$C$12)+IF(L10="",0,Assumptions!$C$13)</f>
        <v/>
      </c>
      <c r="N10" s="28">
        <f>IF(OR(D10="Insufficient evidence",M10=0),"",ROUND((IF(I10="",0,I10*Assumptions!$C$10)+IF(J10="",0,J10*Assumptions!$C$11)+IF(K10="",0,K10*Assumptions!$C$12)+IF(L10="",0,L10*Assumptions!$C$13))/M10,1))</f>
        <v/>
      </c>
      <c r="O10">
        <f>IF(D10="Ranked",1+COUNTIFS($D$5:$D$18,"Ranked",$N$5:$N$18,"&gt;"&amp;N10),"")</f>
        <v/>
      </c>
      <c r="P10">
        <f>IF(N10="","Not scored",IF(N10&gt;=Assumptions!$C$27,"Preferred",IF(N10&gt;=Assumptions!$C$28,"Acceptable",IF(N10&gt;=Assumptions!$C$29,"Improvement needed","At risk"))))</f>
        <v/>
      </c>
      <c r="Q10">
        <f>Dependency!S10</f>
        <v/>
      </c>
      <c r="R10">
        <f>IF(D10="Insufficient evidence","Insufficient evidence",IF(Q10="High",IF(N10&gt;=Assumptions!$C$28,"Strategic - protect and monitor","Critical - act now"),IF(N10&gt;=Assumptions!$C$28,"Maintain","Develop or replace")))</f>
        <v/>
      </c>
    </row>
    <row r="11">
      <c r="A11" s="3" t="inlineStr">
        <is>
          <t>SUP-07</t>
        </is>
      </c>
      <c r="B11">
        <f>XLOOKUP(A11,Syn_Suppliers!$A$5:$A$18,Syn_Suppliers!$B$5:$B$18,"not found")</f>
        <v/>
      </c>
      <c r="C11" s="18">
        <f>Supplier_Summary!B11</f>
        <v/>
      </c>
      <c r="D11">
        <f>IF(C11&gt;=Assumptions!$C$24,"Ranked",IF(C11&gt;=Assumptions!$C$25,"Provisional","Insufficient evidence"))</f>
        <v/>
      </c>
      <c r="E11" s="15">
        <f>Supplier_Summary!D11</f>
        <v/>
      </c>
      <c r="F11" s="24">
        <f>Supplier_Summary!N11</f>
        <v/>
      </c>
      <c r="G11" s="23">
        <f>IF(Supplier_Summary!I11&gt;=Assumptions!$C$26,Supplier_Summary!K11,"")</f>
        <v/>
      </c>
      <c r="H11" s="23">
        <f>Supplier_Summary!H11</f>
        <v/>
      </c>
      <c r="I11" s="28">
        <f>IF(E11="","",MIN(1,MAX(0,(E11-Assumptions!$C$16)/(Assumptions!$C$15-Assumptions!$C$16)))*100)</f>
        <v/>
      </c>
      <c r="J11" s="28">
        <f>IF(F11="","",MIN(1,MAX(0,(Assumptions!$C$18-F11)/(Assumptions!$C$18-Assumptions!$C$17)))*100)</f>
        <v/>
      </c>
      <c r="K11" s="28">
        <f>IF(G11="","",MIN(1,MAX(0,(Assumptions!$C$20-G11)/(Assumptions!$C$20-Assumptions!$C$19)))*100)</f>
        <v/>
      </c>
      <c r="L11" s="28">
        <f>IF(H11="","",MIN(1,MAX(0,(Assumptions!$C$22-H11)/(Assumptions!$C$22-Assumptions!$C$21)))*100)</f>
        <v/>
      </c>
      <c r="M11" s="15">
        <f>IF(I11="",0,Assumptions!$C$10)+IF(J11="",0,Assumptions!$C$11)+IF(K11="",0,Assumptions!$C$12)+IF(L11="",0,Assumptions!$C$13)</f>
        <v/>
      </c>
      <c r="N11" s="28">
        <f>IF(OR(D11="Insufficient evidence",M11=0),"",ROUND((IF(I11="",0,I11*Assumptions!$C$10)+IF(J11="",0,J11*Assumptions!$C$11)+IF(K11="",0,K11*Assumptions!$C$12)+IF(L11="",0,L11*Assumptions!$C$13))/M11,1))</f>
        <v/>
      </c>
      <c r="O11">
        <f>IF(D11="Ranked",1+COUNTIFS($D$5:$D$18,"Ranked",$N$5:$N$18,"&gt;"&amp;N11),"")</f>
        <v/>
      </c>
      <c r="P11">
        <f>IF(N11="","Not scored",IF(N11&gt;=Assumptions!$C$27,"Preferred",IF(N11&gt;=Assumptions!$C$28,"Acceptable",IF(N11&gt;=Assumptions!$C$29,"Improvement needed","At risk"))))</f>
        <v/>
      </c>
      <c r="Q11">
        <f>Dependency!S11</f>
        <v/>
      </c>
      <c r="R11">
        <f>IF(D11="Insufficient evidence","Insufficient evidence",IF(Q11="High",IF(N11&gt;=Assumptions!$C$28,"Strategic - protect and monitor","Critical - act now"),IF(N11&gt;=Assumptions!$C$28,"Maintain","Develop or replace")))</f>
        <v/>
      </c>
    </row>
    <row r="12">
      <c r="A12" s="3" t="inlineStr">
        <is>
          <t>SUP-08</t>
        </is>
      </c>
      <c r="B12">
        <f>XLOOKUP(A12,Syn_Suppliers!$A$5:$A$18,Syn_Suppliers!$B$5:$B$18,"not found")</f>
        <v/>
      </c>
      <c r="C12" s="18">
        <f>Supplier_Summary!B12</f>
        <v/>
      </c>
      <c r="D12">
        <f>IF(C12&gt;=Assumptions!$C$24,"Ranked",IF(C12&gt;=Assumptions!$C$25,"Provisional","Insufficient evidence"))</f>
        <v/>
      </c>
      <c r="E12" s="15">
        <f>Supplier_Summary!D12</f>
        <v/>
      </c>
      <c r="F12" s="24">
        <f>Supplier_Summary!N12</f>
        <v/>
      </c>
      <c r="G12" s="23">
        <f>IF(Supplier_Summary!I12&gt;=Assumptions!$C$26,Supplier_Summary!K12,"")</f>
        <v/>
      </c>
      <c r="H12" s="23">
        <f>Supplier_Summary!H12</f>
        <v/>
      </c>
      <c r="I12" s="28">
        <f>IF(E12="","",MIN(1,MAX(0,(E12-Assumptions!$C$16)/(Assumptions!$C$15-Assumptions!$C$16)))*100)</f>
        <v/>
      </c>
      <c r="J12" s="28">
        <f>IF(F12="","",MIN(1,MAX(0,(Assumptions!$C$18-F12)/(Assumptions!$C$18-Assumptions!$C$17)))*100)</f>
        <v/>
      </c>
      <c r="K12" s="28">
        <f>IF(G12="","",MIN(1,MAX(0,(Assumptions!$C$20-G12)/(Assumptions!$C$20-Assumptions!$C$19)))*100)</f>
        <v/>
      </c>
      <c r="L12" s="28">
        <f>IF(H12="","",MIN(1,MAX(0,(Assumptions!$C$22-H12)/(Assumptions!$C$22-Assumptions!$C$21)))*100)</f>
        <v/>
      </c>
      <c r="M12" s="15">
        <f>IF(I12="",0,Assumptions!$C$10)+IF(J12="",0,Assumptions!$C$11)+IF(K12="",0,Assumptions!$C$12)+IF(L12="",0,Assumptions!$C$13)</f>
        <v/>
      </c>
      <c r="N12" s="28">
        <f>IF(OR(D12="Insufficient evidence",M12=0),"",ROUND((IF(I12="",0,I12*Assumptions!$C$10)+IF(J12="",0,J12*Assumptions!$C$11)+IF(K12="",0,K12*Assumptions!$C$12)+IF(L12="",0,L12*Assumptions!$C$13))/M12,1))</f>
        <v/>
      </c>
      <c r="O12">
        <f>IF(D12="Ranked",1+COUNTIFS($D$5:$D$18,"Ranked",$N$5:$N$18,"&gt;"&amp;N12),"")</f>
        <v/>
      </c>
      <c r="P12">
        <f>IF(N12="","Not scored",IF(N12&gt;=Assumptions!$C$27,"Preferred",IF(N12&gt;=Assumptions!$C$28,"Acceptable",IF(N12&gt;=Assumptions!$C$29,"Improvement needed","At risk"))))</f>
        <v/>
      </c>
      <c r="Q12">
        <f>Dependency!S12</f>
        <v/>
      </c>
      <c r="R12">
        <f>IF(D12="Insufficient evidence","Insufficient evidence",IF(Q12="High",IF(N12&gt;=Assumptions!$C$28,"Strategic - protect and monitor","Critical - act now"),IF(N12&gt;=Assumptions!$C$28,"Maintain","Develop or replace")))</f>
        <v/>
      </c>
    </row>
    <row r="13">
      <c r="A13" s="3" t="inlineStr">
        <is>
          <t>SUP-09</t>
        </is>
      </c>
      <c r="B13">
        <f>XLOOKUP(A13,Syn_Suppliers!$A$5:$A$18,Syn_Suppliers!$B$5:$B$18,"not found")</f>
        <v/>
      </c>
      <c r="C13" s="18">
        <f>Supplier_Summary!B13</f>
        <v/>
      </c>
      <c r="D13">
        <f>IF(C13&gt;=Assumptions!$C$24,"Ranked",IF(C13&gt;=Assumptions!$C$25,"Provisional","Insufficient evidence"))</f>
        <v/>
      </c>
      <c r="E13" s="15">
        <f>Supplier_Summary!D13</f>
        <v/>
      </c>
      <c r="F13" s="24">
        <f>Supplier_Summary!N13</f>
        <v/>
      </c>
      <c r="G13" s="23">
        <f>IF(Supplier_Summary!I13&gt;=Assumptions!$C$26,Supplier_Summary!K13,"")</f>
        <v/>
      </c>
      <c r="H13" s="23">
        <f>Supplier_Summary!H13</f>
        <v/>
      </c>
      <c r="I13" s="28">
        <f>IF(E13="","",MIN(1,MAX(0,(E13-Assumptions!$C$16)/(Assumptions!$C$15-Assumptions!$C$16)))*100)</f>
        <v/>
      </c>
      <c r="J13" s="28">
        <f>IF(F13="","",MIN(1,MAX(0,(Assumptions!$C$18-F13)/(Assumptions!$C$18-Assumptions!$C$17)))*100)</f>
        <v/>
      </c>
      <c r="K13" s="28">
        <f>IF(G13="","",MIN(1,MAX(0,(Assumptions!$C$20-G13)/(Assumptions!$C$20-Assumptions!$C$19)))*100)</f>
        <v/>
      </c>
      <c r="L13" s="28">
        <f>IF(H13="","",MIN(1,MAX(0,(Assumptions!$C$22-H13)/(Assumptions!$C$22-Assumptions!$C$21)))*100)</f>
        <v/>
      </c>
      <c r="M13" s="15">
        <f>IF(I13="",0,Assumptions!$C$10)+IF(J13="",0,Assumptions!$C$11)+IF(K13="",0,Assumptions!$C$12)+IF(L13="",0,Assumptions!$C$13)</f>
        <v/>
      </c>
      <c r="N13" s="28">
        <f>IF(OR(D13="Insufficient evidence",M13=0),"",ROUND((IF(I13="",0,I13*Assumptions!$C$10)+IF(J13="",0,J13*Assumptions!$C$11)+IF(K13="",0,K13*Assumptions!$C$12)+IF(L13="",0,L13*Assumptions!$C$13))/M13,1))</f>
        <v/>
      </c>
      <c r="O13">
        <f>IF(D13="Ranked",1+COUNTIFS($D$5:$D$18,"Ranked",$N$5:$N$18,"&gt;"&amp;N13),"")</f>
        <v/>
      </c>
      <c r="P13">
        <f>IF(N13="","Not scored",IF(N13&gt;=Assumptions!$C$27,"Preferred",IF(N13&gt;=Assumptions!$C$28,"Acceptable",IF(N13&gt;=Assumptions!$C$29,"Improvement needed","At risk"))))</f>
        <v/>
      </c>
      <c r="Q13">
        <f>Dependency!S13</f>
        <v/>
      </c>
      <c r="R13">
        <f>IF(D13="Insufficient evidence","Insufficient evidence",IF(Q13="High",IF(N13&gt;=Assumptions!$C$28,"Strategic - protect and monitor","Critical - act now"),IF(N13&gt;=Assumptions!$C$28,"Maintain","Develop or replace")))</f>
        <v/>
      </c>
    </row>
    <row r="14">
      <c r="A14" s="3" t="inlineStr">
        <is>
          <t>SUP-10</t>
        </is>
      </c>
      <c r="B14">
        <f>XLOOKUP(A14,Syn_Suppliers!$A$5:$A$18,Syn_Suppliers!$B$5:$B$18,"not found")</f>
        <v/>
      </c>
      <c r="C14" s="18">
        <f>Supplier_Summary!B14</f>
        <v/>
      </c>
      <c r="D14">
        <f>IF(C14&gt;=Assumptions!$C$24,"Ranked",IF(C14&gt;=Assumptions!$C$25,"Provisional","Insufficient evidence"))</f>
        <v/>
      </c>
      <c r="E14" s="15">
        <f>Supplier_Summary!D14</f>
        <v/>
      </c>
      <c r="F14" s="24">
        <f>Supplier_Summary!N14</f>
        <v/>
      </c>
      <c r="G14" s="23">
        <f>IF(Supplier_Summary!I14&gt;=Assumptions!$C$26,Supplier_Summary!K14,"")</f>
        <v/>
      </c>
      <c r="H14" s="23">
        <f>Supplier_Summary!H14</f>
        <v/>
      </c>
      <c r="I14" s="28">
        <f>IF(E14="","",MIN(1,MAX(0,(E14-Assumptions!$C$16)/(Assumptions!$C$15-Assumptions!$C$16)))*100)</f>
        <v/>
      </c>
      <c r="J14" s="28">
        <f>IF(F14="","",MIN(1,MAX(0,(Assumptions!$C$18-F14)/(Assumptions!$C$18-Assumptions!$C$17)))*100)</f>
        <v/>
      </c>
      <c r="K14" s="28">
        <f>IF(G14="","",MIN(1,MAX(0,(Assumptions!$C$20-G14)/(Assumptions!$C$20-Assumptions!$C$19)))*100)</f>
        <v/>
      </c>
      <c r="L14" s="28">
        <f>IF(H14="","",MIN(1,MAX(0,(Assumptions!$C$22-H14)/(Assumptions!$C$22-Assumptions!$C$21)))*100)</f>
        <v/>
      </c>
      <c r="M14" s="15">
        <f>IF(I14="",0,Assumptions!$C$10)+IF(J14="",0,Assumptions!$C$11)+IF(K14="",0,Assumptions!$C$12)+IF(L14="",0,Assumptions!$C$13)</f>
        <v/>
      </c>
      <c r="N14" s="28">
        <f>IF(OR(D14="Insufficient evidence",M14=0),"",ROUND((IF(I14="",0,I14*Assumptions!$C$10)+IF(J14="",0,J14*Assumptions!$C$11)+IF(K14="",0,K14*Assumptions!$C$12)+IF(L14="",0,L14*Assumptions!$C$13))/M14,1))</f>
        <v/>
      </c>
      <c r="O14">
        <f>IF(D14="Ranked",1+COUNTIFS($D$5:$D$18,"Ranked",$N$5:$N$18,"&gt;"&amp;N14),"")</f>
        <v/>
      </c>
      <c r="P14">
        <f>IF(N14="","Not scored",IF(N14&gt;=Assumptions!$C$27,"Preferred",IF(N14&gt;=Assumptions!$C$28,"Acceptable",IF(N14&gt;=Assumptions!$C$29,"Improvement needed","At risk"))))</f>
        <v/>
      </c>
      <c r="Q14">
        <f>Dependency!S14</f>
        <v/>
      </c>
      <c r="R14">
        <f>IF(D14="Insufficient evidence","Insufficient evidence",IF(Q14="High",IF(N14&gt;=Assumptions!$C$28,"Strategic - protect and monitor","Critical - act now"),IF(N14&gt;=Assumptions!$C$28,"Maintain","Develop or replace")))</f>
        <v/>
      </c>
    </row>
    <row r="15">
      <c r="A15" s="3" t="inlineStr">
        <is>
          <t>SUP-11</t>
        </is>
      </c>
      <c r="B15">
        <f>XLOOKUP(A15,Syn_Suppliers!$A$5:$A$18,Syn_Suppliers!$B$5:$B$18,"not found")</f>
        <v/>
      </c>
      <c r="C15" s="18">
        <f>Supplier_Summary!B15</f>
        <v/>
      </c>
      <c r="D15">
        <f>IF(C15&gt;=Assumptions!$C$24,"Ranked",IF(C15&gt;=Assumptions!$C$25,"Provisional","Insufficient evidence"))</f>
        <v/>
      </c>
      <c r="E15" s="15">
        <f>Supplier_Summary!D15</f>
        <v/>
      </c>
      <c r="F15" s="24">
        <f>Supplier_Summary!N15</f>
        <v/>
      </c>
      <c r="G15" s="23">
        <f>IF(Supplier_Summary!I15&gt;=Assumptions!$C$26,Supplier_Summary!K15,"")</f>
        <v/>
      </c>
      <c r="H15" s="23">
        <f>Supplier_Summary!H15</f>
        <v/>
      </c>
      <c r="I15" s="28">
        <f>IF(E15="","",MIN(1,MAX(0,(E15-Assumptions!$C$16)/(Assumptions!$C$15-Assumptions!$C$16)))*100)</f>
        <v/>
      </c>
      <c r="J15" s="28">
        <f>IF(F15="","",MIN(1,MAX(0,(Assumptions!$C$18-F15)/(Assumptions!$C$18-Assumptions!$C$17)))*100)</f>
        <v/>
      </c>
      <c r="K15" s="28">
        <f>IF(G15="","",MIN(1,MAX(0,(Assumptions!$C$20-G15)/(Assumptions!$C$20-Assumptions!$C$19)))*100)</f>
        <v/>
      </c>
      <c r="L15" s="28">
        <f>IF(H15="","",MIN(1,MAX(0,(Assumptions!$C$22-H15)/(Assumptions!$C$22-Assumptions!$C$21)))*100)</f>
        <v/>
      </c>
      <c r="M15" s="15">
        <f>IF(I15="",0,Assumptions!$C$10)+IF(J15="",0,Assumptions!$C$11)+IF(K15="",0,Assumptions!$C$12)+IF(L15="",0,Assumptions!$C$13)</f>
        <v/>
      </c>
      <c r="N15" s="28">
        <f>IF(OR(D15="Insufficient evidence",M15=0),"",ROUND((IF(I15="",0,I15*Assumptions!$C$10)+IF(J15="",0,J15*Assumptions!$C$11)+IF(K15="",0,K15*Assumptions!$C$12)+IF(L15="",0,L15*Assumptions!$C$13))/M15,1))</f>
        <v/>
      </c>
      <c r="O15">
        <f>IF(D15="Ranked",1+COUNTIFS($D$5:$D$18,"Ranked",$N$5:$N$18,"&gt;"&amp;N15),"")</f>
        <v/>
      </c>
      <c r="P15">
        <f>IF(N15="","Not scored",IF(N15&gt;=Assumptions!$C$27,"Preferred",IF(N15&gt;=Assumptions!$C$28,"Acceptable",IF(N15&gt;=Assumptions!$C$29,"Improvement needed","At risk"))))</f>
        <v/>
      </c>
      <c r="Q15">
        <f>Dependency!S15</f>
        <v/>
      </c>
      <c r="R15">
        <f>IF(D15="Insufficient evidence","Insufficient evidence",IF(Q15="High",IF(N15&gt;=Assumptions!$C$28,"Strategic - protect and monitor","Critical - act now"),IF(N15&gt;=Assumptions!$C$28,"Maintain","Develop or replace")))</f>
        <v/>
      </c>
    </row>
    <row r="16">
      <c r="A16" s="3" t="inlineStr">
        <is>
          <t>SUP-12</t>
        </is>
      </c>
      <c r="B16">
        <f>XLOOKUP(A16,Syn_Suppliers!$A$5:$A$18,Syn_Suppliers!$B$5:$B$18,"not found")</f>
        <v/>
      </c>
      <c r="C16" s="18">
        <f>Supplier_Summary!B16</f>
        <v/>
      </c>
      <c r="D16">
        <f>IF(C16&gt;=Assumptions!$C$24,"Ranked",IF(C16&gt;=Assumptions!$C$25,"Provisional","Insufficient evidence"))</f>
        <v/>
      </c>
      <c r="E16" s="15">
        <f>Supplier_Summary!D16</f>
        <v/>
      </c>
      <c r="F16" s="24">
        <f>Supplier_Summary!N16</f>
        <v/>
      </c>
      <c r="G16" s="23">
        <f>IF(Supplier_Summary!I16&gt;=Assumptions!$C$26,Supplier_Summary!K16,"")</f>
        <v/>
      </c>
      <c r="H16" s="23">
        <f>Supplier_Summary!H16</f>
        <v/>
      </c>
      <c r="I16" s="28">
        <f>IF(E16="","",MIN(1,MAX(0,(E16-Assumptions!$C$16)/(Assumptions!$C$15-Assumptions!$C$16)))*100)</f>
        <v/>
      </c>
      <c r="J16" s="28">
        <f>IF(F16="","",MIN(1,MAX(0,(Assumptions!$C$18-F16)/(Assumptions!$C$18-Assumptions!$C$17)))*100)</f>
        <v/>
      </c>
      <c r="K16" s="28">
        <f>IF(G16="","",MIN(1,MAX(0,(Assumptions!$C$20-G16)/(Assumptions!$C$20-Assumptions!$C$19)))*100)</f>
        <v/>
      </c>
      <c r="L16" s="28">
        <f>IF(H16="","",MIN(1,MAX(0,(Assumptions!$C$22-H16)/(Assumptions!$C$22-Assumptions!$C$21)))*100)</f>
        <v/>
      </c>
      <c r="M16" s="15">
        <f>IF(I16="",0,Assumptions!$C$10)+IF(J16="",0,Assumptions!$C$11)+IF(K16="",0,Assumptions!$C$12)+IF(L16="",0,Assumptions!$C$13)</f>
        <v/>
      </c>
      <c r="N16" s="28">
        <f>IF(OR(D16="Insufficient evidence",M16=0),"",ROUND((IF(I16="",0,I16*Assumptions!$C$10)+IF(J16="",0,J16*Assumptions!$C$11)+IF(K16="",0,K16*Assumptions!$C$12)+IF(L16="",0,L16*Assumptions!$C$13))/M16,1))</f>
        <v/>
      </c>
      <c r="O16">
        <f>IF(D16="Ranked",1+COUNTIFS($D$5:$D$18,"Ranked",$N$5:$N$18,"&gt;"&amp;N16),"")</f>
        <v/>
      </c>
      <c r="P16">
        <f>IF(N16="","Not scored",IF(N16&gt;=Assumptions!$C$27,"Preferred",IF(N16&gt;=Assumptions!$C$28,"Acceptable",IF(N16&gt;=Assumptions!$C$29,"Improvement needed","At risk"))))</f>
        <v/>
      </c>
      <c r="Q16">
        <f>Dependency!S16</f>
        <v/>
      </c>
      <c r="R16">
        <f>IF(D16="Insufficient evidence","Insufficient evidence",IF(Q16="High",IF(N16&gt;=Assumptions!$C$28,"Strategic - protect and monitor","Critical - act now"),IF(N16&gt;=Assumptions!$C$28,"Maintain","Develop or replace")))</f>
        <v/>
      </c>
    </row>
    <row r="17">
      <c r="A17" s="3" t="inlineStr">
        <is>
          <t>SUP-13</t>
        </is>
      </c>
      <c r="B17">
        <f>XLOOKUP(A17,Syn_Suppliers!$A$5:$A$18,Syn_Suppliers!$B$5:$B$18,"not found")</f>
        <v/>
      </c>
      <c r="C17" s="18">
        <f>Supplier_Summary!B17</f>
        <v/>
      </c>
      <c r="D17">
        <f>IF(C17&gt;=Assumptions!$C$24,"Ranked",IF(C17&gt;=Assumptions!$C$25,"Provisional","Insufficient evidence"))</f>
        <v/>
      </c>
      <c r="E17" s="15">
        <f>Supplier_Summary!D17</f>
        <v/>
      </c>
      <c r="F17" s="24">
        <f>Supplier_Summary!N17</f>
        <v/>
      </c>
      <c r="G17" s="23">
        <f>IF(Supplier_Summary!I17&gt;=Assumptions!$C$26,Supplier_Summary!K17,"")</f>
        <v/>
      </c>
      <c r="H17" s="23">
        <f>Supplier_Summary!H17</f>
        <v/>
      </c>
      <c r="I17" s="28">
        <f>IF(E17="","",MIN(1,MAX(0,(E17-Assumptions!$C$16)/(Assumptions!$C$15-Assumptions!$C$16)))*100)</f>
        <v/>
      </c>
      <c r="J17" s="28">
        <f>IF(F17="","",MIN(1,MAX(0,(Assumptions!$C$18-F17)/(Assumptions!$C$18-Assumptions!$C$17)))*100)</f>
        <v/>
      </c>
      <c r="K17" s="28">
        <f>IF(G17="","",MIN(1,MAX(0,(Assumptions!$C$20-G17)/(Assumptions!$C$20-Assumptions!$C$19)))*100)</f>
        <v/>
      </c>
      <c r="L17" s="28">
        <f>IF(H17="","",MIN(1,MAX(0,(Assumptions!$C$22-H17)/(Assumptions!$C$22-Assumptions!$C$21)))*100)</f>
        <v/>
      </c>
      <c r="M17" s="15">
        <f>IF(I17="",0,Assumptions!$C$10)+IF(J17="",0,Assumptions!$C$11)+IF(K17="",0,Assumptions!$C$12)+IF(L17="",0,Assumptions!$C$13)</f>
        <v/>
      </c>
      <c r="N17" s="28">
        <f>IF(OR(D17="Insufficient evidence",M17=0),"",ROUND((IF(I17="",0,I17*Assumptions!$C$10)+IF(J17="",0,J17*Assumptions!$C$11)+IF(K17="",0,K17*Assumptions!$C$12)+IF(L17="",0,L17*Assumptions!$C$13))/M17,1))</f>
        <v/>
      </c>
      <c r="O17">
        <f>IF(D17="Ranked",1+COUNTIFS($D$5:$D$18,"Ranked",$N$5:$N$18,"&gt;"&amp;N17),"")</f>
        <v/>
      </c>
      <c r="P17">
        <f>IF(N17="","Not scored",IF(N17&gt;=Assumptions!$C$27,"Preferred",IF(N17&gt;=Assumptions!$C$28,"Acceptable",IF(N17&gt;=Assumptions!$C$29,"Improvement needed","At risk"))))</f>
        <v/>
      </c>
      <c r="Q17">
        <f>Dependency!S17</f>
        <v/>
      </c>
      <c r="R17">
        <f>IF(D17="Insufficient evidence","Insufficient evidence",IF(Q17="High",IF(N17&gt;=Assumptions!$C$28,"Strategic - protect and monitor","Critical - act now"),IF(N17&gt;=Assumptions!$C$28,"Maintain","Develop or replace")))</f>
        <v/>
      </c>
    </row>
    <row r="18">
      <c r="A18" s="3" t="inlineStr">
        <is>
          <t>SUP-14</t>
        </is>
      </c>
      <c r="B18">
        <f>XLOOKUP(A18,Syn_Suppliers!$A$5:$A$18,Syn_Suppliers!$B$5:$B$18,"not found")</f>
        <v/>
      </c>
      <c r="C18" s="18">
        <f>Supplier_Summary!B18</f>
        <v/>
      </c>
      <c r="D18">
        <f>IF(C18&gt;=Assumptions!$C$24,"Ranked",IF(C18&gt;=Assumptions!$C$25,"Provisional","Insufficient evidence"))</f>
        <v/>
      </c>
      <c r="E18" s="15">
        <f>Supplier_Summary!D18</f>
        <v/>
      </c>
      <c r="F18" s="24">
        <f>Supplier_Summary!N18</f>
        <v/>
      </c>
      <c r="G18" s="23">
        <f>IF(Supplier_Summary!I18&gt;=Assumptions!$C$26,Supplier_Summary!K18,"")</f>
        <v/>
      </c>
      <c r="H18" s="23">
        <f>Supplier_Summary!H18</f>
        <v/>
      </c>
      <c r="I18" s="28">
        <f>IF(E18="","",MIN(1,MAX(0,(E18-Assumptions!$C$16)/(Assumptions!$C$15-Assumptions!$C$16)))*100)</f>
        <v/>
      </c>
      <c r="J18" s="28">
        <f>IF(F18="","",MIN(1,MAX(0,(Assumptions!$C$18-F18)/(Assumptions!$C$18-Assumptions!$C$17)))*100)</f>
        <v/>
      </c>
      <c r="K18" s="28">
        <f>IF(G18="","",MIN(1,MAX(0,(Assumptions!$C$20-G18)/(Assumptions!$C$20-Assumptions!$C$19)))*100)</f>
        <v/>
      </c>
      <c r="L18" s="28">
        <f>IF(H18="","",MIN(1,MAX(0,(Assumptions!$C$22-H18)/(Assumptions!$C$22-Assumptions!$C$21)))*100)</f>
        <v/>
      </c>
      <c r="M18" s="15">
        <f>IF(I18="",0,Assumptions!$C$10)+IF(J18="",0,Assumptions!$C$11)+IF(K18="",0,Assumptions!$C$12)+IF(L18="",0,Assumptions!$C$13)</f>
        <v/>
      </c>
      <c r="N18" s="28">
        <f>IF(OR(D18="Insufficient evidence",M18=0),"",ROUND((IF(I18="",0,I18*Assumptions!$C$10)+IF(J18="",0,J18*Assumptions!$C$11)+IF(K18="",0,K18*Assumptions!$C$12)+IF(L18="",0,L18*Assumptions!$C$13))/M18,1))</f>
        <v/>
      </c>
      <c r="O18">
        <f>IF(D18="Ranked",1+COUNTIFS($D$5:$D$18,"Ranked",$N$5:$N$18,"&gt;"&amp;N18),"")</f>
        <v/>
      </c>
      <c r="P18">
        <f>IF(N18="","Not scored",IF(N18&gt;=Assumptions!$C$27,"Preferred",IF(N18&gt;=Assumptions!$C$28,"Acceptable",IF(N18&gt;=Assumptions!$C$29,"Improvement needed","At risk"))))</f>
        <v/>
      </c>
      <c r="Q18">
        <f>Dependency!S18</f>
        <v/>
      </c>
      <c r="R18">
        <f>IF(D18="Insufficient evidence","Insufficient evidence",IF(Q18="High",IF(N18&gt;=Assumptions!$C$28,"Strategic - protect and monitor","Critical - act now"),IF(N18&gt;=Assumptions!$C$28,"Maintain","Develop or replace")))</f>
        <v/>
      </c>
    </row>
    <row r="20">
      <c r="A20" s="3" t="inlineStr">
        <is>
          <t>How to read</t>
        </is>
      </c>
    </row>
    <row r="21">
      <c r="A21" s="10" t="inlineStr">
        <is>
          <t>1. Each component is scaled linearly from 0 points (poor value) to 100 points (target value) and clipped; thresholds are on Assumptions.</t>
        </is>
      </c>
    </row>
    <row r="22">
      <c r="A22" s="10" t="inlineStr">
        <is>
          <t>2. Missing components (e.g. fewer completed lines than needed for lead-time variability) are dropped and the remaining weights re-normalised - never scored as poor.</t>
        </is>
      </c>
    </row>
    <row r="23">
      <c r="A23" s="10" t="inlineStr">
        <is>
          <t>3. Suppliers below the ranking threshold are shown as Provisional; below the provisional threshold they are not scored. Equal scores share a rank.</t>
        </is>
      </c>
    </row>
    <row r="24">
      <c r="A24" s="10" t="inlineStr">
        <is>
          <t>4. Dependency risk is assessed separately from performance and combined only in the action quadrant.</t>
        </is>
      </c>
    </row>
  </sheetData>
  <conditionalFormatting sqref="N5:N18">
    <cfRule type="dataBar" priority="1">
      <dataBar>
        <cfvo type="num" val="0"/>
        <cfvo type="num" val="100"/>
        <color rgb="000F766E"/>
      </dataBar>
    </cfRule>
  </conditionalFormatting>
  <conditionalFormatting sqref="P5:P18">
    <cfRule type="expression" priority="2" dxfId="0">
      <formula>P5="At risk"</formula>
    </cfRule>
    <cfRule type="expression" priority="3" dxfId="1">
      <formula>P5="Improvement needed"</formula>
    </cfRule>
    <cfRule type="expression" priority="4" dxfId="2">
      <formula>P5="Preferred"</formula>
    </cfRule>
  </conditionalFormatting>
  <conditionalFormatting sqref="R5:R18">
    <cfRule type="expression" priority="5" dxfId="3">
      <formula>R5="Critical - act now"</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8"/>
  <sheetViews>
    <sheetView showGridLines="0" workbookViewId="0">
      <selection activeCell="A1" sqref="A1"/>
    </sheetView>
  </sheetViews>
  <sheetFormatPr baseColWidth="8" defaultRowHeight="15"/>
  <cols>
    <col width="16" customWidth="1" min="1" max="1"/>
    <col width="11" customWidth="1" min="2" max="2"/>
    <col width="11" customWidth="1" min="3" max="3"/>
    <col width="11" customWidth="1" min="4" max="4"/>
    <col width="12" customWidth="1" min="5" max="5"/>
    <col width="12" customWidth="1" min="6" max="6"/>
  </cols>
  <sheetData>
    <row r="1">
      <c r="A1" s="1" t="inlineStr">
        <is>
          <t>Monthly OTIF (all synthetic suppliers)</t>
        </is>
      </c>
    </row>
    <row r="2">
      <c r="A2" s="2" t="inlineStr">
        <is>
          <t>SYNTHETIC DEMONSTRATION DATA - not real suppliers or real performance. Lines grouped by promised month.</t>
        </is>
      </c>
    </row>
    <row r="4">
      <c r="A4" s="8" t="inlineStr">
        <is>
          <t>Promised month</t>
        </is>
      </c>
      <c r="B4" s="16" t="inlineStr">
        <is>
          <t>Due lines</t>
        </is>
      </c>
      <c r="C4" s="16" t="inlineStr">
        <is>
          <t>OTIF lines</t>
        </is>
      </c>
      <c r="D4" s="16" t="inlineStr">
        <is>
          <t>OTIF rate</t>
        </is>
      </c>
      <c r="E4" s="16" t="inlineStr">
        <is>
          <t>On-time lines</t>
        </is>
      </c>
      <c r="F4" s="16" t="inlineStr">
        <is>
          <t>On-time rate</t>
        </is>
      </c>
    </row>
    <row r="5">
      <c r="A5" s="29" t="n">
        <v>45566</v>
      </c>
      <c r="B5">
        <f>COUNTIFS(Syn_Lines!$AG$2:$AG$4838,A5,Syn_Lines!$U$2:$U$4838,1)</f>
        <v/>
      </c>
      <c r="C5">
        <f>COUNTIFS(Syn_Lines!$AG$2:$AG$4838,A5,Syn_Lines!$X$2:$X$4838,1)</f>
        <v/>
      </c>
      <c r="D5" s="15">
        <f>IF(B5&gt;0,C5/B5,"")</f>
        <v/>
      </c>
      <c r="E5">
        <f>COUNTIFS(Syn_Lines!$AG$2:$AG$4838,A5,Syn_Lines!$V$2:$V$4838,1)</f>
        <v/>
      </c>
      <c r="F5" s="15">
        <f>IF(B5&gt;0,E5/B5,"")</f>
        <v/>
      </c>
    </row>
    <row r="6">
      <c r="A6" s="29" t="n">
        <v>45597</v>
      </c>
      <c r="B6">
        <f>COUNTIFS(Syn_Lines!$AG$2:$AG$4838,A6,Syn_Lines!$U$2:$U$4838,1)</f>
        <v/>
      </c>
      <c r="C6">
        <f>COUNTIFS(Syn_Lines!$AG$2:$AG$4838,A6,Syn_Lines!$X$2:$X$4838,1)</f>
        <v/>
      </c>
      <c r="D6" s="15">
        <f>IF(B6&gt;0,C6/B6,"")</f>
        <v/>
      </c>
      <c r="E6">
        <f>COUNTIFS(Syn_Lines!$AG$2:$AG$4838,A6,Syn_Lines!$V$2:$V$4838,1)</f>
        <v/>
      </c>
      <c r="F6" s="15">
        <f>IF(B6&gt;0,E6/B6,"")</f>
        <v/>
      </c>
    </row>
    <row r="7">
      <c r="A7" s="29" t="n">
        <v>45627</v>
      </c>
      <c r="B7">
        <f>COUNTIFS(Syn_Lines!$AG$2:$AG$4838,A7,Syn_Lines!$U$2:$U$4838,1)</f>
        <v/>
      </c>
      <c r="C7">
        <f>COUNTIFS(Syn_Lines!$AG$2:$AG$4838,A7,Syn_Lines!$X$2:$X$4838,1)</f>
        <v/>
      </c>
      <c r="D7" s="15">
        <f>IF(B7&gt;0,C7/B7,"")</f>
        <v/>
      </c>
      <c r="E7">
        <f>COUNTIFS(Syn_Lines!$AG$2:$AG$4838,A7,Syn_Lines!$V$2:$V$4838,1)</f>
        <v/>
      </c>
      <c r="F7" s="15">
        <f>IF(B7&gt;0,E7/B7,"")</f>
        <v/>
      </c>
    </row>
    <row r="8">
      <c r="A8" s="29" t="n">
        <v>45658</v>
      </c>
      <c r="B8">
        <f>COUNTIFS(Syn_Lines!$AG$2:$AG$4838,A8,Syn_Lines!$U$2:$U$4838,1)</f>
        <v/>
      </c>
      <c r="C8">
        <f>COUNTIFS(Syn_Lines!$AG$2:$AG$4838,A8,Syn_Lines!$X$2:$X$4838,1)</f>
        <v/>
      </c>
      <c r="D8" s="15">
        <f>IF(B8&gt;0,C8/B8,"")</f>
        <v/>
      </c>
      <c r="E8">
        <f>COUNTIFS(Syn_Lines!$AG$2:$AG$4838,A8,Syn_Lines!$V$2:$V$4838,1)</f>
        <v/>
      </c>
      <c r="F8" s="15">
        <f>IF(B8&gt;0,E8/B8,"")</f>
        <v/>
      </c>
    </row>
    <row r="9">
      <c r="A9" s="29" t="n">
        <v>45689</v>
      </c>
      <c r="B9">
        <f>COUNTIFS(Syn_Lines!$AG$2:$AG$4838,A9,Syn_Lines!$U$2:$U$4838,1)</f>
        <v/>
      </c>
      <c r="C9">
        <f>COUNTIFS(Syn_Lines!$AG$2:$AG$4838,A9,Syn_Lines!$X$2:$X$4838,1)</f>
        <v/>
      </c>
      <c r="D9" s="15">
        <f>IF(B9&gt;0,C9/B9,"")</f>
        <v/>
      </c>
      <c r="E9">
        <f>COUNTIFS(Syn_Lines!$AG$2:$AG$4838,A9,Syn_Lines!$V$2:$V$4838,1)</f>
        <v/>
      </c>
      <c r="F9" s="15">
        <f>IF(B9&gt;0,E9/B9,"")</f>
        <v/>
      </c>
    </row>
    <row r="10">
      <c r="A10" s="29" t="n">
        <v>45717</v>
      </c>
      <c r="B10">
        <f>COUNTIFS(Syn_Lines!$AG$2:$AG$4838,A10,Syn_Lines!$U$2:$U$4838,1)</f>
        <v/>
      </c>
      <c r="C10">
        <f>COUNTIFS(Syn_Lines!$AG$2:$AG$4838,A10,Syn_Lines!$X$2:$X$4838,1)</f>
        <v/>
      </c>
      <c r="D10" s="15">
        <f>IF(B10&gt;0,C10/B10,"")</f>
        <v/>
      </c>
      <c r="E10">
        <f>COUNTIFS(Syn_Lines!$AG$2:$AG$4838,A10,Syn_Lines!$V$2:$V$4838,1)</f>
        <v/>
      </c>
      <c r="F10" s="15">
        <f>IF(B10&gt;0,E10/B10,"")</f>
        <v/>
      </c>
    </row>
    <row r="11">
      <c r="A11" s="29" t="n">
        <v>45748</v>
      </c>
      <c r="B11">
        <f>COUNTIFS(Syn_Lines!$AG$2:$AG$4838,A11,Syn_Lines!$U$2:$U$4838,1)</f>
        <v/>
      </c>
      <c r="C11">
        <f>COUNTIFS(Syn_Lines!$AG$2:$AG$4838,A11,Syn_Lines!$X$2:$X$4838,1)</f>
        <v/>
      </c>
      <c r="D11" s="15">
        <f>IF(B11&gt;0,C11/B11,"")</f>
        <v/>
      </c>
      <c r="E11">
        <f>COUNTIFS(Syn_Lines!$AG$2:$AG$4838,A11,Syn_Lines!$V$2:$V$4838,1)</f>
        <v/>
      </c>
      <c r="F11" s="15">
        <f>IF(B11&gt;0,E11/B11,"")</f>
        <v/>
      </c>
    </row>
    <row r="12">
      <c r="A12" s="29" t="n">
        <v>45778</v>
      </c>
      <c r="B12">
        <f>COUNTIFS(Syn_Lines!$AG$2:$AG$4838,A12,Syn_Lines!$U$2:$U$4838,1)</f>
        <v/>
      </c>
      <c r="C12">
        <f>COUNTIFS(Syn_Lines!$AG$2:$AG$4838,A12,Syn_Lines!$X$2:$X$4838,1)</f>
        <v/>
      </c>
      <c r="D12" s="15">
        <f>IF(B12&gt;0,C12/B12,"")</f>
        <v/>
      </c>
      <c r="E12">
        <f>COUNTIFS(Syn_Lines!$AG$2:$AG$4838,A12,Syn_Lines!$V$2:$V$4838,1)</f>
        <v/>
      </c>
      <c r="F12" s="15">
        <f>IF(B12&gt;0,E12/B12,"")</f>
        <v/>
      </c>
    </row>
    <row r="13">
      <c r="A13" s="29" t="n">
        <v>45809</v>
      </c>
      <c r="B13">
        <f>COUNTIFS(Syn_Lines!$AG$2:$AG$4838,A13,Syn_Lines!$U$2:$U$4838,1)</f>
        <v/>
      </c>
      <c r="C13">
        <f>COUNTIFS(Syn_Lines!$AG$2:$AG$4838,A13,Syn_Lines!$X$2:$X$4838,1)</f>
        <v/>
      </c>
      <c r="D13" s="15">
        <f>IF(B13&gt;0,C13/B13,"")</f>
        <v/>
      </c>
      <c r="E13">
        <f>COUNTIFS(Syn_Lines!$AG$2:$AG$4838,A13,Syn_Lines!$V$2:$V$4838,1)</f>
        <v/>
      </c>
      <c r="F13" s="15">
        <f>IF(B13&gt;0,E13/B13,"")</f>
        <v/>
      </c>
    </row>
    <row r="14">
      <c r="A14" s="29" t="n">
        <v>45839</v>
      </c>
      <c r="B14">
        <f>COUNTIFS(Syn_Lines!$AG$2:$AG$4838,A14,Syn_Lines!$U$2:$U$4838,1)</f>
        <v/>
      </c>
      <c r="C14">
        <f>COUNTIFS(Syn_Lines!$AG$2:$AG$4838,A14,Syn_Lines!$X$2:$X$4838,1)</f>
        <v/>
      </c>
      <c r="D14" s="15">
        <f>IF(B14&gt;0,C14/B14,"")</f>
        <v/>
      </c>
      <c r="E14">
        <f>COUNTIFS(Syn_Lines!$AG$2:$AG$4838,A14,Syn_Lines!$V$2:$V$4838,1)</f>
        <v/>
      </c>
      <c r="F14" s="15">
        <f>IF(B14&gt;0,E14/B14,"")</f>
        <v/>
      </c>
    </row>
    <row r="15">
      <c r="A15" s="29" t="n">
        <v>45870</v>
      </c>
      <c r="B15">
        <f>COUNTIFS(Syn_Lines!$AG$2:$AG$4838,A15,Syn_Lines!$U$2:$U$4838,1)</f>
        <v/>
      </c>
      <c r="C15">
        <f>COUNTIFS(Syn_Lines!$AG$2:$AG$4838,A15,Syn_Lines!$X$2:$X$4838,1)</f>
        <v/>
      </c>
      <c r="D15" s="15">
        <f>IF(B15&gt;0,C15/B15,"")</f>
        <v/>
      </c>
      <c r="E15">
        <f>COUNTIFS(Syn_Lines!$AG$2:$AG$4838,A15,Syn_Lines!$V$2:$V$4838,1)</f>
        <v/>
      </c>
      <c r="F15" s="15">
        <f>IF(B15&gt;0,E15/B15,"")</f>
        <v/>
      </c>
    </row>
    <row r="16">
      <c r="A16" s="29" t="n">
        <v>45901</v>
      </c>
      <c r="B16">
        <f>COUNTIFS(Syn_Lines!$AG$2:$AG$4838,A16,Syn_Lines!$U$2:$U$4838,1)</f>
        <v/>
      </c>
      <c r="C16">
        <f>COUNTIFS(Syn_Lines!$AG$2:$AG$4838,A16,Syn_Lines!$X$2:$X$4838,1)</f>
        <v/>
      </c>
      <c r="D16" s="15">
        <f>IF(B16&gt;0,C16/B16,"")</f>
        <v/>
      </c>
      <c r="E16">
        <f>COUNTIFS(Syn_Lines!$AG$2:$AG$4838,A16,Syn_Lines!$V$2:$V$4838,1)</f>
        <v/>
      </c>
      <c r="F16" s="15">
        <f>IF(B16&gt;0,E16/B16,"")</f>
        <v/>
      </c>
    </row>
    <row r="17">
      <c r="A17" s="29" t="n">
        <v>45931</v>
      </c>
      <c r="B17">
        <f>COUNTIFS(Syn_Lines!$AG$2:$AG$4838,A17,Syn_Lines!$U$2:$U$4838,1)</f>
        <v/>
      </c>
      <c r="C17">
        <f>COUNTIFS(Syn_Lines!$AG$2:$AG$4838,A17,Syn_Lines!$X$2:$X$4838,1)</f>
        <v/>
      </c>
      <c r="D17" s="15">
        <f>IF(B17&gt;0,C17/B17,"")</f>
        <v/>
      </c>
      <c r="E17">
        <f>COUNTIFS(Syn_Lines!$AG$2:$AG$4838,A17,Syn_Lines!$V$2:$V$4838,1)</f>
        <v/>
      </c>
      <c r="F17" s="15">
        <f>IF(B17&gt;0,E17/B17,"")</f>
        <v/>
      </c>
    </row>
    <row r="18">
      <c r="A18" s="29" t="n">
        <v>45962</v>
      </c>
      <c r="B18">
        <f>COUNTIFS(Syn_Lines!$AG$2:$AG$4838,A18,Syn_Lines!$U$2:$U$4838,1)</f>
        <v/>
      </c>
      <c r="C18">
        <f>COUNTIFS(Syn_Lines!$AG$2:$AG$4838,A18,Syn_Lines!$X$2:$X$4838,1)</f>
        <v/>
      </c>
      <c r="D18" s="15">
        <f>IF(B18&gt;0,C18/B18,"")</f>
        <v/>
      </c>
      <c r="E18">
        <f>COUNTIFS(Syn_Lines!$AG$2:$AG$4838,A18,Syn_Lines!$V$2:$V$4838,1)</f>
        <v/>
      </c>
      <c r="F18" s="15">
        <f>IF(B18&gt;0,E18/B18,"")</f>
        <v/>
      </c>
    </row>
    <row r="19">
      <c r="A19" s="29" t="n">
        <v>45992</v>
      </c>
      <c r="B19">
        <f>COUNTIFS(Syn_Lines!$AG$2:$AG$4838,A19,Syn_Lines!$U$2:$U$4838,1)</f>
        <v/>
      </c>
      <c r="C19">
        <f>COUNTIFS(Syn_Lines!$AG$2:$AG$4838,A19,Syn_Lines!$X$2:$X$4838,1)</f>
        <v/>
      </c>
      <c r="D19" s="15">
        <f>IF(B19&gt;0,C19/B19,"")</f>
        <v/>
      </c>
      <c r="E19">
        <f>COUNTIFS(Syn_Lines!$AG$2:$AG$4838,A19,Syn_Lines!$V$2:$V$4838,1)</f>
        <v/>
      </c>
      <c r="F19" s="15">
        <f>IF(B19&gt;0,E19/B19,"")</f>
        <v/>
      </c>
    </row>
    <row r="20">
      <c r="A20" s="29" t="n">
        <v>46023</v>
      </c>
      <c r="B20">
        <f>COUNTIFS(Syn_Lines!$AG$2:$AG$4838,A20,Syn_Lines!$U$2:$U$4838,1)</f>
        <v/>
      </c>
      <c r="C20">
        <f>COUNTIFS(Syn_Lines!$AG$2:$AG$4838,A20,Syn_Lines!$X$2:$X$4838,1)</f>
        <v/>
      </c>
      <c r="D20" s="15">
        <f>IF(B20&gt;0,C20/B20,"")</f>
        <v/>
      </c>
      <c r="E20">
        <f>COUNTIFS(Syn_Lines!$AG$2:$AG$4838,A20,Syn_Lines!$V$2:$V$4838,1)</f>
        <v/>
      </c>
      <c r="F20" s="15">
        <f>IF(B20&gt;0,E20/B20,"")</f>
        <v/>
      </c>
    </row>
    <row r="21">
      <c r="A21" s="29" t="n">
        <v>46054</v>
      </c>
      <c r="B21">
        <f>COUNTIFS(Syn_Lines!$AG$2:$AG$4838,A21,Syn_Lines!$U$2:$U$4838,1)</f>
        <v/>
      </c>
      <c r="C21">
        <f>COUNTIFS(Syn_Lines!$AG$2:$AG$4838,A21,Syn_Lines!$X$2:$X$4838,1)</f>
        <v/>
      </c>
      <c r="D21" s="15">
        <f>IF(B21&gt;0,C21/B21,"")</f>
        <v/>
      </c>
      <c r="E21">
        <f>COUNTIFS(Syn_Lines!$AG$2:$AG$4838,A21,Syn_Lines!$V$2:$V$4838,1)</f>
        <v/>
      </c>
      <c r="F21" s="15">
        <f>IF(B21&gt;0,E21/B21,"")</f>
        <v/>
      </c>
    </row>
    <row r="22">
      <c r="A22" s="29" t="n">
        <v>46082</v>
      </c>
      <c r="B22">
        <f>COUNTIFS(Syn_Lines!$AG$2:$AG$4838,A22,Syn_Lines!$U$2:$U$4838,1)</f>
        <v/>
      </c>
      <c r="C22">
        <f>COUNTIFS(Syn_Lines!$AG$2:$AG$4838,A22,Syn_Lines!$X$2:$X$4838,1)</f>
        <v/>
      </c>
      <c r="D22" s="15">
        <f>IF(B22&gt;0,C22/B22,"")</f>
        <v/>
      </c>
      <c r="E22">
        <f>COUNTIFS(Syn_Lines!$AG$2:$AG$4838,A22,Syn_Lines!$V$2:$V$4838,1)</f>
        <v/>
      </c>
      <c r="F22" s="15">
        <f>IF(B22&gt;0,E22/B22,"")</f>
        <v/>
      </c>
    </row>
    <row r="23">
      <c r="A23" s="29" t="n">
        <v>46113</v>
      </c>
      <c r="B23">
        <f>COUNTIFS(Syn_Lines!$AG$2:$AG$4838,A23,Syn_Lines!$U$2:$U$4838,1)</f>
        <v/>
      </c>
      <c r="C23">
        <f>COUNTIFS(Syn_Lines!$AG$2:$AG$4838,A23,Syn_Lines!$X$2:$X$4838,1)</f>
        <v/>
      </c>
      <c r="D23" s="15">
        <f>IF(B23&gt;0,C23/B23,"")</f>
        <v/>
      </c>
      <c r="E23">
        <f>COUNTIFS(Syn_Lines!$AG$2:$AG$4838,A23,Syn_Lines!$V$2:$V$4838,1)</f>
        <v/>
      </c>
      <c r="F23" s="15">
        <f>IF(B23&gt;0,E23/B23,"")</f>
        <v/>
      </c>
    </row>
    <row r="24">
      <c r="A24" s="29" t="n">
        <v>46143</v>
      </c>
      <c r="B24">
        <f>COUNTIFS(Syn_Lines!$AG$2:$AG$4838,A24,Syn_Lines!$U$2:$U$4838,1)</f>
        <v/>
      </c>
      <c r="C24">
        <f>COUNTIFS(Syn_Lines!$AG$2:$AG$4838,A24,Syn_Lines!$X$2:$X$4838,1)</f>
        <v/>
      </c>
      <c r="D24" s="15">
        <f>IF(B24&gt;0,C24/B24,"")</f>
        <v/>
      </c>
      <c r="E24">
        <f>COUNTIFS(Syn_Lines!$AG$2:$AG$4838,A24,Syn_Lines!$V$2:$V$4838,1)</f>
        <v/>
      </c>
      <c r="F24" s="15">
        <f>IF(B24&gt;0,E24/B24,"")</f>
        <v/>
      </c>
    </row>
    <row r="25">
      <c r="A25" s="29" t="n">
        <v>46174</v>
      </c>
      <c r="B25">
        <f>COUNTIFS(Syn_Lines!$AG$2:$AG$4838,A25,Syn_Lines!$U$2:$U$4838,1)</f>
        <v/>
      </c>
      <c r="C25">
        <f>COUNTIFS(Syn_Lines!$AG$2:$AG$4838,A25,Syn_Lines!$X$2:$X$4838,1)</f>
        <v/>
      </c>
      <c r="D25" s="15">
        <f>IF(B25&gt;0,C25/B25,"")</f>
        <v/>
      </c>
      <c r="E25">
        <f>COUNTIFS(Syn_Lines!$AG$2:$AG$4838,A25,Syn_Lines!$V$2:$V$4838,1)</f>
        <v/>
      </c>
      <c r="F25" s="15">
        <f>IF(B25&gt;0,E25/B25,"")</f>
        <v/>
      </c>
    </row>
    <row r="26">
      <c r="A26" s="29" t="n">
        <v>46204</v>
      </c>
      <c r="B26">
        <f>COUNTIFS(Syn_Lines!$AG$2:$AG$4838,A26,Syn_Lines!$U$2:$U$4838,1)</f>
        <v/>
      </c>
      <c r="C26">
        <f>COUNTIFS(Syn_Lines!$AG$2:$AG$4838,A26,Syn_Lines!$X$2:$X$4838,1)</f>
        <v/>
      </c>
      <c r="D26" s="15">
        <f>IF(B26&gt;0,C26/B26,"")</f>
        <v/>
      </c>
      <c r="E26">
        <f>COUNTIFS(Syn_Lines!$AG$2:$AG$4838,A26,Syn_Lines!$V$2:$V$4838,1)</f>
        <v/>
      </c>
      <c r="F26" s="15">
        <f>IF(B26&gt;0,E26/B26,"")</f>
        <v/>
      </c>
    </row>
    <row r="27">
      <c r="A27" s="29" t="n">
        <v>46235</v>
      </c>
      <c r="B27">
        <f>COUNTIFS(Syn_Lines!$AG$2:$AG$4838,A27,Syn_Lines!$U$2:$U$4838,1)</f>
        <v/>
      </c>
      <c r="C27">
        <f>COUNTIFS(Syn_Lines!$AG$2:$AG$4838,A27,Syn_Lines!$X$2:$X$4838,1)</f>
        <v/>
      </c>
      <c r="D27" s="15">
        <f>IF(B27&gt;0,C27/B27,"")</f>
        <v/>
      </c>
      <c r="E27">
        <f>COUNTIFS(Syn_Lines!$AG$2:$AG$4838,A27,Syn_Lines!$V$2:$V$4838,1)</f>
        <v/>
      </c>
      <c r="F27" s="15">
        <f>IF(B27&gt;0,E27/B27,"")</f>
        <v/>
      </c>
    </row>
    <row r="28">
      <c r="A28" s="29" t="n">
        <v>46266</v>
      </c>
      <c r="B28">
        <f>COUNTIFS(Syn_Lines!$AG$2:$AG$4838,A28,Syn_Lines!$U$2:$U$4838,1)</f>
        <v/>
      </c>
      <c r="C28">
        <f>COUNTIFS(Syn_Lines!$AG$2:$AG$4838,A28,Syn_Lines!$X$2:$X$4838,1)</f>
        <v/>
      </c>
      <c r="D28" s="15">
        <f>IF(B28&gt;0,C28/B28,"")</f>
        <v/>
      </c>
      <c r="E28">
        <f>COUNTIFS(Syn_Lines!$AG$2:$AG$4838,A28,Syn_Lines!$V$2:$V$4838,1)</f>
        <v/>
      </c>
      <c r="F28" s="15">
        <f>IF(B28&gt;0,E28/B28,"")</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2"/>
  <sheetViews>
    <sheetView showGridLines="0" workbookViewId="0">
      <selection activeCell="A1" sqref="A1"/>
    </sheetView>
  </sheetViews>
  <sheetFormatPr baseColWidth="8" defaultRowHeight="15"/>
  <cols>
    <col width="16" customWidth="1" min="1" max="1"/>
    <col width="14" customWidth="1" min="2" max="2"/>
    <col width="14" customWidth="1" min="3" max="3"/>
    <col width="14" customWidth="1" min="4" max="4"/>
    <col width="14" customWidth="1" min="5" max="5"/>
    <col width="12" customWidth="1" min="6" max="6"/>
    <col width="14" customWidth="1" min="7" max="7"/>
    <col width="14" customWidth="1" min="8" max="8"/>
    <col width="10" customWidth="1" min="9" max="9"/>
  </cols>
  <sheetData>
    <row r="1">
      <c r="A1" s="1" t="inlineStr">
        <is>
          <t>Supplier exception flags (live) and overdue lines</t>
        </is>
      </c>
    </row>
    <row r="2">
      <c r="A2" s="2" t="inlineStr">
        <is>
          <t>SYNTHETIC DEMONSTRATION DATA - not real suppliers or real performance. Flags recalculate from Supplier_Summary and Assumptions.</t>
        </is>
      </c>
    </row>
    <row r="4" ht="32" customHeight="1">
      <c r="A4" s="8" t="inlineStr">
        <is>
          <t>Supplier ID</t>
        </is>
      </c>
      <c r="B4" s="16" t="inlineStr">
        <is>
          <t>S1 Chronic late</t>
        </is>
      </c>
      <c r="C4" s="16" t="inlineStr">
        <is>
          <t>S2 Deteriorating</t>
        </is>
      </c>
      <c r="D4" s="16" t="inlineStr">
        <is>
          <t>S3 Unstable lead time</t>
        </is>
      </c>
      <c r="E4" s="16" t="inlineStr">
        <is>
          <t>S4 Incomplete deliveries</t>
        </is>
      </c>
      <c r="F4" s="16" t="inlineStr">
        <is>
          <t>S5 Quality</t>
        </is>
      </c>
      <c r="G4" s="16" t="inlineStr">
        <is>
          <t>S6 PPV above contract</t>
        </is>
      </c>
      <c r="H4" s="16" t="inlineStr">
        <is>
          <t>S8 High dependency</t>
        </is>
      </c>
      <c r="I4" s="16" t="inlineStr">
        <is>
          <t>Flags raised</t>
        </is>
      </c>
    </row>
    <row r="5">
      <c r="A5" s="3" t="inlineStr">
        <is>
          <t>SUP-01</t>
        </is>
      </c>
      <c r="B5">
        <f>IF(AND(Supplier_Summary!B5&gt;=Assumptions!$C$32,Supplier_Summary!D5&lt;Assumptions!$C$31),"FLAG","")</f>
        <v/>
      </c>
      <c r="C5">
        <f>IF(AND(Supplier_Summary!V5&gt;=Assumptions!$C$32,Supplier_Summary!X5&gt;=Assumptions!$C$32),IF(Supplier_Summary!Z5&lt;=-Assumptions!$C$36,"FLAG",""),"")</f>
        <v/>
      </c>
      <c r="D5">
        <f>IF(AND(Supplier_Summary!I5&gt;=Assumptions!$C$26,Supplier_Summary!K5&gt;=Assumptions!$C$33),"FLAG","")</f>
        <v/>
      </c>
      <c r="E5">
        <f>IF(AND(Supplier_Summary!B5&gt;=Assumptions!$C$32,Supplier_Summary!F5&lt;Assumptions!$C$34),"FLAG","")</f>
        <v/>
      </c>
      <c r="F5">
        <f>IF(AND(Supplier_Summary!B5&gt;=Assumptions!$C$32,Supplier_Summary!N5&gt;=Assumptions!$C$35),"FLAG","")</f>
        <v/>
      </c>
      <c r="G5">
        <f>IF(Supplier_Summary!Q5&gt;=Assumptions!$C$37,"FLAG","")</f>
        <v/>
      </c>
      <c r="H5">
        <f>IF(Scorecard!Q5="High","FLAG","")</f>
        <v/>
      </c>
      <c r="I5">
        <f>COUNTIF(B5:H5,"FLAG")</f>
        <v/>
      </c>
    </row>
    <row r="6">
      <c r="A6" s="3" t="inlineStr">
        <is>
          <t>SUP-02</t>
        </is>
      </c>
      <c r="B6">
        <f>IF(AND(Supplier_Summary!B6&gt;=Assumptions!$C$32,Supplier_Summary!D6&lt;Assumptions!$C$31),"FLAG","")</f>
        <v/>
      </c>
      <c r="C6">
        <f>IF(AND(Supplier_Summary!V6&gt;=Assumptions!$C$32,Supplier_Summary!X6&gt;=Assumptions!$C$32),IF(Supplier_Summary!Z6&lt;=-Assumptions!$C$36,"FLAG",""),"")</f>
        <v/>
      </c>
      <c r="D6">
        <f>IF(AND(Supplier_Summary!I6&gt;=Assumptions!$C$26,Supplier_Summary!K6&gt;=Assumptions!$C$33),"FLAG","")</f>
        <v/>
      </c>
      <c r="E6">
        <f>IF(AND(Supplier_Summary!B6&gt;=Assumptions!$C$32,Supplier_Summary!F6&lt;Assumptions!$C$34),"FLAG","")</f>
        <v/>
      </c>
      <c r="F6">
        <f>IF(AND(Supplier_Summary!B6&gt;=Assumptions!$C$32,Supplier_Summary!N6&gt;=Assumptions!$C$35),"FLAG","")</f>
        <v/>
      </c>
      <c r="G6">
        <f>IF(Supplier_Summary!Q6&gt;=Assumptions!$C$37,"FLAG","")</f>
        <v/>
      </c>
      <c r="H6">
        <f>IF(Scorecard!Q6="High","FLAG","")</f>
        <v/>
      </c>
      <c r="I6">
        <f>COUNTIF(B6:H6,"FLAG")</f>
        <v/>
      </c>
    </row>
    <row r="7">
      <c r="A7" s="3" t="inlineStr">
        <is>
          <t>SUP-03</t>
        </is>
      </c>
      <c r="B7">
        <f>IF(AND(Supplier_Summary!B7&gt;=Assumptions!$C$32,Supplier_Summary!D7&lt;Assumptions!$C$31),"FLAG","")</f>
        <v/>
      </c>
      <c r="C7">
        <f>IF(AND(Supplier_Summary!V7&gt;=Assumptions!$C$32,Supplier_Summary!X7&gt;=Assumptions!$C$32),IF(Supplier_Summary!Z7&lt;=-Assumptions!$C$36,"FLAG",""),"")</f>
        <v/>
      </c>
      <c r="D7">
        <f>IF(AND(Supplier_Summary!I7&gt;=Assumptions!$C$26,Supplier_Summary!K7&gt;=Assumptions!$C$33),"FLAG","")</f>
        <v/>
      </c>
      <c r="E7">
        <f>IF(AND(Supplier_Summary!B7&gt;=Assumptions!$C$32,Supplier_Summary!F7&lt;Assumptions!$C$34),"FLAG","")</f>
        <v/>
      </c>
      <c r="F7">
        <f>IF(AND(Supplier_Summary!B7&gt;=Assumptions!$C$32,Supplier_Summary!N7&gt;=Assumptions!$C$35),"FLAG","")</f>
        <v/>
      </c>
      <c r="G7">
        <f>IF(Supplier_Summary!Q7&gt;=Assumptions!$C$37,"FLAG","")</f>
        <v/>
      </c>
      <c r="H7">
        <f>IF(Scorecard!Q7="High","FLAG","")</f>
        <v/>
      </c>
      <c r="I7">
        <f>COUNTIF(B7:H7,"FLAG")</f>
        <v/>
      </c>
    </row>
    <row r="8">
      <c r="A8" s="3" t="inlineStr">
        <is>
          <t>SUP-04</t>
        </is>
      </c>
      <c r="B8">
        <f>IF(AND(Supplier_Summary!B8&gt;=Assumptions!$C$32,Supplier_Summary!D8&lt;Assumptions!$C$31),"FLAG","")</f>
        <v/>
      </c>
      <c r="C8">
        <f>IF(AND(Supplier_Summary!V8&gt;=Assumptions!$C$32,Supplier_Summary!X8&gt;=Assumptions!$C$32),IF(Supplier_Summary!Z8&lt;=-Assumptions!$C$36,"FLAG",""),"")</f>
        <v/>
      </c>
      <c r="D8">
        <f>IF(AND(Supplier_Summary!I8&gt;=Assumptions!$C$26,Supplier_Summary!K8&gt;=Assumptions!$C$33),"FLAG","")</f>
        <v/>
      </c>
      <c r="E8">
        <f>IF(AND(Supplier_Summary!B8&gt;=Assumptions!$C$32,Supplier_Summary!F8&lt;Assumptions!$C$34),"FLAG","")</f>
        <v/>
      </c>
      <c r="F8">
        <f>IF(AND(Supplier_Summary!B8&gt;=Assumptions!$C$32,Supplier_Summary!N8&gt;=Assumptions!$C$35),"FLAG","")</f>
        <v/>
      </c>
      <c r="G8">
        <f>IF(Supplier_Summary!Q8&gt;=Assumptions!$C$37,"FLAG","")</f>
        <v/>
      </c>
      <c r="H8">
        <f>IF(Scorecard!Q8="High","FLAG","")</f>
        <v/>
      </c>
      <c r="I8">
        <f>COUNTIF(B8:H8,"FLAG")</f>
        <v/>
      </c>
    </row>
    <row r="9">
      <c r="A9" s="3" t="inlineStr">
        <is>
          <t>SUP-05</t>
        </is>
      </c>
      <c r="B9">
        <f>IF(AND(Supplier_Summary!B9&gt;=Assumptions!$C$32,Supplier_Summary!D9&lt;Assumptions!$C$31),"FLAG","")</f>
        <v/>
      </c>
      <c r="C9">
        <f>IF(AND(Supplier_Summary!V9&gt;=Assumptions!$C$32,Supplier_Summary!X9&gt;=Assumptions!$C$32),IF(Supplier_Summary!Z9&lt;=-Assumptions!$C$36,"FLAG",""),"")</f>
        <v/>
      </c>
      <c r="D9">
        <f>IF(AND(Supplier_Summary!I9&gt;=Assumptions!$C$26,Supplier_Summary!K9&gt;=Assumptions!$C$33),"FLAG","")</f>
        <v/>
      </c>
      <c r="E9">
        <f>IF(AND(Supplier_Summary!B9&gt;=Assumptions!$C$32,Supplier_Summary!F9&lt;Assumptions!$C$34),"FLAG","")</f>
        <v/>
      </c>
      <c r="F9">
        <f>IF(AND(Supplier_Summary!B9&gt;=Assumptions!$C$32,Supplier_Summary!N9&gt;=Assumptions!$C$35),"FLAG","")</f>
        <v/>
      </c>
      <c r="G9">
        <f>IF(Supplier_Summary!Q9&gt;=Assumptions!$C$37,"FLAG","")</f>
        <v/>
      </c>
      <c r="H9">
        <f>IF(Scorecard!Q9="High","FLAG","")</f>
        <v/>
      </c>
      <c r="I9">
        <f>COUNTIF(B9:H9,"FLAG")</f>
        <v/>
      </c>
    </row>
    <row r="10">
      <c r="A10" s="3" t="inlineStr">
        <is>
          <t>SUP-06</t>
        </is>
      </c>
      <c r="B10">
        <f>IF(AND(Supplier_Summary!B10&gt;=Assumptions!$C$32,Supplier_Summary!D10&lt;Assumptions!$C$31),"FLAG","")</f>
        <v/>
      </c>
      <c r="C10">
        <f>IF(AND(Supplier_Summary!V10&gt;=Assumptions!$C$32,Supplier_Summary!X10&gt;=Assumptions!$C$32),IF(Supplier_Summary!Z10&lt;=-Assumptions!$C$36,"FLAG",""),"")</f>
        <v/>
      </c>
      <c r="D10">
        <f>IF(AND(Supplier_Summary!I10&gt;=Assumptions!$C$26,Supplier_Summary!K10&gt;=Assumptions!$C$33),"FLAG","")</f>
        <v/>
      </c>
      <c r="E10">
        <f>IF(AND(Supplier_Summary!B10&gt;=Assumptions!$C$32,Supplier_Summary!F10&lt;Assumptions!$C$34),"FLAG","")</f>
        <v/>
      </c>
      <c r="F10">
        <f>IF(AND(Supplier_Summary!B10&gt;=Assumptions!$C$32,Supplier_Summary!N10&gt;=Assumptions!$C$35),"FLAG","")</f>
        <v/>
      </c>
      <c r="G10">
        <f>IF(Supplier_Summary!Q10&gt;=Assumptions!$C$37,"FLAG","")</f>
        <v/>
      </c>
      <c r="H10">
        <f>IF(Scorecard!Q10="High","FLAG","")</f>
        <v/>
      </c>
      <c r="I10">
        <f>COUNTIF(B10:H10,"FLAG")</f>
        <v/>
      </c>
    </row>
    <row r="11">
      <c r="A11" s="3" t="inlineStr">
        <is>
          <t>SUP-07</t>
        </is>
      </c>
      <c r="B11">
        <f>IF(AND(Supplier_Summary!B11&gt;=Assumptions!$C$32,Supplier_Summary!D11&lt;Assumptions!$C$31),"FLAG","")</f>
        <v/>
      </c>
      <c r="C11">
        <f>IF(AND(Supplier_Summary!V11&gt;=Assumptions!$C$32,Supplier_Summary!X11&gt;=Assumptions!$C$32),IF(Supplier_Summary!Z11&lt;=-Assumptions!$C$36,"FLAG",""),"")</f>
        <v/>
      </c>
      <c r="D11">
        <f>IF(AND(Supplier_Summary!I11&gt;=Assumptions!$C$26,Supplier_Summary!K11&gt;=Assumptions!$C$33),"FLAG","")</f>
        <v/>
      </c>
      <c r="E11">
        <f>IF(AND(Supplier_Summary!B11&gt;=Assumptions!$C$32,Supplier_Summary!F11&lt;Assumptions!$C$34),"FLAG","")</f>
        <v/>
      </c>
      <c r="F11">
        <f>IF(AND(Supplier_Summary!B11&gt;=Assumptions!$C$32,Supplier_Summary!N11&gt;=Assumptions!$C$35),"FLAG","")</f>
        <v/>
      </c>
      <c r="G11">
        <f>IF(Supplier_Summary!Q11&gt;=Assumptions!$C$37,"FLAG","")</f>
        <v/>
      </c>
      <c r="H11">
        <f>IF(Scorecard!Q11="High","FLAG","")</f>
        <v/>
      </c>
      <c r="I11">
        <f>COUNTIF(B11:H11,"FLAG")</f>
        <v/>
      </c>
    </row>
    <row r="12">
      <c r="A12" s="3" t="inlineStr">
        <is>
          <t>SUP-08</t>
        </is>
      </c>
      <c r="B12">
        <f>IF(AND(Supplier_Summary!B12&gt;=Assumptions!$C$32,Supplier_Summary!D12&lt;Assumptions!$C$31),"FLAG","")</f>
        <v/>
      </c>
      <c r="C12">
        <f>IF(AND(Supplier_Summary!V12&gt;=Assumptions!$C$32,Supplier_Summary!X12&gt;=Assumptions!$C$32),IF(Supplier_Summary!Z12&lt;=-Assumptions!$C$36,"FLAG",""),"")</f>
        <v/>
      </c>
      <c r="D12">
        <f>IF(AND(Supplier_Summary!I12&gt;=Assumptions!$C$26,Supplier_Summary!K12&gt;=Assumptions!$C$33),"FLAG","")</f>
        <v/>
      </c>
      <c r="E12">
        <f>IF(AND(Supplier_Summary!B12&gt;=Assumptions!$C$32,Supplier_Summary!F12&lt;Assumptions!$C$34),"FLAG","")</f>
        <v/>
      </c>
      <c r="F12">
        <f>IF(AND(Supplier_Summary!B12&gt;=Assumptions!$C$32,Supplier_Summary!N12&gt;=Assumptions!$C$35),"FLAG","")</f>
        <v/>
      </c>
      <c r="G12">
        <f>IF(Supplier_Summary!Q12&gt;=Assumptions!$C$37,"FLAG","")</f>
        <v/>
      </c>
      <c r="H12">
        <f>IF(Scorecard!Q12="High","FLAG","")</f>
        <v/>
      </c>
      <c r="I12">
        <f>COUNTIF(B12:H12,"FLAG")</f>
        <v/>
      </c>
    </row>
    <row r="13">
      <c r="A13" s="3" t="inlineStr">
        <is>
          <t>SUP-09</t>
        </is>
      </c>
      <c r="B13">
        <f>IF(AND(Supplier_Summary!B13&gt;=Assumptions!$C$32,Supplier_Summary!D13&lt;Assumptions!$C$31),"FLAG","")</f>
        <v/>
      </c>
      <c r="C13">
        <f>IF(AND(Supplier_Summary!V13&gt;=Assumptions!$C$32,Supplier_Summary!X13&gt;=Assumptions!$C$32),IF(Supplier_Summary!Z13&lt;=-Assumptions!$C$36,"FLAG",""),"")</f>
        <v/>
      </c>
      <c r="D13">
        <f>IF(AND(Supplier_Summary!I13&gt;=Assumptions!$C$26,Supplier_Summary!K13&gt;=Assumptions!$C$33),"FLAG","")</f>
        <v/>
      </c>
      <c r="E13">
        <f>IF(AND(Supplier_Summary!B13&gt;=Assumptions!$C$32,Supplier_Summary!F13&lt;Assumptions!$C$34),"FLAG","")</f>
        <v/>
      </c>
      <c r="F13">
        <f>IF(AND(Supplier_Summary!B13&gt;=Assumptions!$C$32,Supplier_Summary!N13&gt;=Assumptions!$C$35),"FLAG","")</f>
        <v/>
      </c>
      <c r="G13">
        <f>IF(Supplier_Summary!Q13&gt;=Assumptions!$C$37,"FLAG","")</f>
        <v/>
      </c>
      <c r="H13">
        <f>IF(Scorecard!Q13="High","FLAG","")</f>
        <v/>
      </c>
      <c r="I13">
        <f>COUNTIF(B13:H13,"FLAG")</f>
        <v/>
      </c>
    </row>
    <row r="14">
      <c r="A14" s="3" t="inlineStr">
        <is>
          <t>SUP-10</t>
        </is>
      </c>
      <c r="B14">
        <f>IF(AND(Supplier_Summary!B14&gt;=Assumptions!$C$32,Supplier_Summary!D14&lt;Assumptions!$C$31),"FLAG","")</f>
        <v/>
      </c>
      <c r="C14">
        <f>IF(AND(Supplier_Summary!V14&gt;=Assumptions!$C$32,Supplier_Summary!X14&gt;=Assumptions!$C$32),IF(Supplier_Summary!Z14&lt;=-Assumptions!$C$36,"FLAG",""),"")</f>
        <v/>
      </c>
      <c r="D14">
        <f>IF(AND(Supplier_Summary!I14&gt;=Assumptions!$C$26,Supplier_Summary!K14&gt;=Assumptions!$C$33),"FLAG","")</f>
        <v/>
      </c>
      <c r="E14">
        <f>IF(AND(Supplier_Summary!B14&gt;=Assumptions!$C$32,Supplier_Summary!F14&lt;Assumptions!$C$34),"FLAG","")</f>
        <v/>
      </c>
      <c r="F14">
        <f>IF(AND(Supplier_Summary!B14&gt;=Assumptions!$C$32,Supplier_Summary!N14&gt;=Assumptions!$C$35),"FLAG","")</f>
        <v/>
      </c>
      <c r="G14">
        <f>IF(Supplier_Summary!Q14&gt;=Assumptions!$C$37,"FLAG","")</f>
        <v/>
      </c>
      <c r="H14">
        <f>IF(Scorecard!Q14="High","FLAG","")</f>
        <v/>
      </c>
      <c r="I14">
        <f>COUNTIF(B14:H14,"FLAG")</f>
        <v/>
      </c>
    </row>
    <row r="15">
      <c r="A15" s="3" t="inlineStr">
        <is>
          <t>SUP-11</t>
        </is>
      </c>
      <c r="B15">
        <f>IF(AND(Supplier_Summary!B15&gt;=Assumptions!$C$32,Supplier_Summary!D15&lt;Assumptions!$C$31),"FLAG","")</f>
        <v/>
      </c>
      <c r="C15">
        <f>IF(AND(Supplier_Summary!V15&gt;=Assumptions!$C$32,Supplier_Summary!X15&gt;=Assumptions!$C$32),IF(Supplier_Summary!Z15&lt;=-Assumptions!$C$36,"FLAG",""),"")</f>
        <v/>
      </c>
      <c r="D15">
        <f>IF(AND(Supplier_Summary!I15&gt;=Assumptions!$C$26,Supplier_Summary!K15&gt;=Assumptions!$C$33),"FLAG","")</f>
        <v/>
      </c>
      <c r="E15">
        <f>IF(AND(Supplier_Summary!B15&gt;=Assumptions!$C$32,Supplier_Summary!F15&lt;Assumptions!$C$34),"FLAG","")</f>
        <v/>
      </c>
      <c r="F15">
        <f>IF(AND(Supplier_Summary!B15&gt;=Assumptions!$C$32,Supplier_Summary!N15&gt;=Assumptions!$C$35),"FLAG","")</f>
        <v/>
      </c>
      <c r="G15">
        <f>IF(Supplier_Summary!Q15&gt;=Assumptions!$C$37,"FLAG","")</f>
        <v/>
      </c>
      <c r="H15">
        <f>IF(Scorecard!Q15="High","FLAG","")</f>
        <v/>
      </c>
      <c r="I15">
        <f>COUNTIF(B15:H15,"FLAG")</f>
        <v/>
      </c>
    </row>
    <row r="16">
      <c r="A16" s="3" t="inlineStr">
        <is>
          <t>SUP-12</t>
        </is>
      </c>
      <c r="B16">
        <f>IF(AND(Supplier_Summary!B16&gt;=Assumptions!$C$32,Supplier_Summary!D16&lt;Assumptions!$C$31),"FLAG","")</f>
        <v/>
      </c>
      <c r="C16">
        <f>IF(AND(Supplier_Summary!V16&gt;=Assumptions!$C$32,Supplier_Summary!X16&gt;=Assumptions!$C$32),IF(Supplier_Summary!Z16&lt;=-Assumptions!$C$36,"FLAG",""),"")</f>
        <v/>
      </c>
      <c r="D16">
        <f>IF(AND(Supplier_Summary!I16&gt;=Assumptions!$C$26,Supplier_Summary!K16&gt;=Assumptions!$C$33),"FLAG","")</f>
        <v/>
      </c>
      <c r="E16">
        <f>IF(AND(Supplier_Summary!B16&gt;=Assumptions!$C$32,Supplier_Summary!F16&lt;Assumptions!$C$34),"FLAG","")</f>
        <v/>
      </c>
      <c r="F16">
        <f>IF(AND(Supplier_Summary!B16&gt;=Assumptions!$C$32,Supplier_Summary!N16&gt;=Assumptions!$C$35),"FLAG","")</f>
        <v/>
      </c>
      <c r="G16">
        <f>IF(Supplier_Summary!Q16&gt;=Assumptions!$C$37,"FLAG","")</f>
        <v/>
      </c>
      <c r="H16">
        <f>IF(Scorecard!Q16="High","FLAG","")</f>
        <v/>
      </c>
      <c r="I16">
        <f>COUNTIF(B16:H16,"FLAG")</f>
        <v/>
      </c>
    </row>
    <row r="17">
      <c r="A17" s="3" t="inlineStr">
        <is>
          <t>SUP-13</t>
        </is>
      </c>
      <c r="B17">
        <f>IF(AND(Supplier_Summary!B17&gt;=Assumptions!$C$32,Supplier_Summary!D17&lt;Assumptions!$C$31),"FLAG","")</f>
        <v/>
      </c>
      <c r="C17">
        <f>IF(AND(Supplier_Summary!V17&gt;=Assumptions!$C$32,Supplier_Summary!X17&gt;=Assumptions!$C$32),IF(Supplier_Summary!Z17&lt;=-Assumptions!$C$36,"FLAG",""),"")</f>
        <v/>
      </c>
      <c r="D17">
        <f>IF(AND(Supplier_Summary!I17&gt;=Assumptions!$C$26,Supplier_Summary!K17&gt;=Assumptions!$C$33),"FLAG","")</f>
        <v/>
      </c>
      <c r="E17">
        <f>IF(AND(Supplier_Summary!B17&gt;=Assumptions!$C$32,Supplier_Summary!F17&lt;Assumptions!$C$34),"FLAG","")</f>
        <v/>
      </c>
      <c r="F17">
        <f>IF(AND(Supplier_Summary!B17&gt;=Assumptions!$C$32,Supplier_Summary!N17&gt;=Assumptions!$C$35),"FLAG","")</f>
        <v/>
      </c>
      <c r="G17">
        <f>IF(Supplier_Summary!Q17&gt;=Assumptions!$C$37,"FLAG","")</f>
        <v/>
      </c>
      <c r="H17">
        <f>IF(Scorecard!Q17="High","FLAG","")</f>
        <v/>
      </c>
      <c r="I17">
        <f>COUNTIF(B17:H17,"FLAG")</f>
        <v/>
      </c>
    </row>
    <row r="18">
      <c r="A18" s="3" t="inlineStr">
        <is>
          <t>SUP-14</t>
        </is>
      </c>
      <c r="B18">
        <f>IF(AND(Supplier_Summary!B18&gt;=Assumptions!$C$32,Supplier_Summary!D18&lt;Assumptions!$C$31),"FLAG","")</f>
        <v/>
      </c>
      <c r="C18">
        <f>IF(AND(Supplier_Summary!V18&gt;=Assumptions!$C$32,Supplier_Summary!X18&gt;=Assumptions!$C$32),IF(Supplier_Summary!Z18&lt;=-Assumptions!$C$36,"FLAG",""),"")</f>
        <v/>
      </c>
      <c r="D18">
        <f>IF(AND(Supplier_Summary!I18&gt;=Assumptions!$C$26,Supplier_Summary!K18&gt;=Assumptions!$C$33),"FLAG","")</f>
        <v/>
      </c>
      <c r="E18">
        <f>IF(AND(Supplier_Summary!B18&gt;=Assumptions!$C$32,Supplier_Summary!F18&lt;Assumptions!$C$34),"FLAG","")</f>
        <v/>
      </c>
      <c r="F18">
        <f>IF(AND(Supplier_Summary!B18&gt;=Assumptions!$C$32,Supplier_Summary!N18&gt;=Assumptions!$C$35),"FLAG","")</f>
        <v/>
      </c>
      <c r="G18">
        <f>IF(Supplier_Summary!Q18&gt;=Assumptions!$C$37,"FLAG","")</f>
        <v/>
      </c>
      <c r="H18">
        <f>IF(Scorecard!Q18="High","FLAG","")</f>
        <v/>
      </c>
      <c r="I18">
        <f>COUNTIF(B18:H18,"FLAG")</f>
        <v/>
      </c>
    </row>
    <row r="21">
      <c r="A21" s="3" t="inlineStr">
        <is>
          <t>S7 Overdue open PO lines (list exported by the pipeline; count check is live)</t>
        </is>
      </c>
    </row>
    <row r="22">
      <c r="A22" t="inlineStr">
        <is>
          <t>Live count of overdue lines:</t>
        </is>
      </c>
      <c r="C22">
        <f>SUM(Syn_Lines!$AA$2:$AA$4838)</f>
        <v/>
      </c>
      <c r="D22" t="n">
        <v>8</v>
      </c>
      <c r="E22">
        <f>IF(C22=D22,"List complete","Re-run pipeline")</f>
        <v/>
      </c>
    </row>
    <row r="24">
      <c r="A24" s="8" t="inlineStr">
        <is>
          <t>PO line</t>
        </is>
      </c>
      <c r="B24" s="8" t="inlineStr">
        <is>
          <t>Supplier</t>
        </is>
      </c>
      <c r="C24" s="8" t="inlineStr">
        <is>
          <t>Item</t>
        </is>
      </c>
      <c r="D24" s="8" t="inlineStr">
        <is>
          <t>Promised</t>
        </is>
      </c>
      <c r="E24" s="8" t="inlineStr">
        <is>
          <t>Ordered</t>
        </is>
      </c>
      <c r="F24" s="8" t="inlineStr">
        <is>
          <t>Received</t>
        </is>
      </c>
      <c r="G24" s="8" t="inlineStr">
        <is>
          <t>Open value</t>
        </is>
      </c>
      <c r="H24" s="8" t="inlineStr">
        <is>
          <t>Days past promise</t>
        </is>
      </c>
    </row>
    <row r="25">
      <c r="A25" t="inlineStr">
        <is>
          <t>SPO-02109-1</t>
        </is>
      </c>
      <c r="B25" t="inlineStr">
        <is>
          <t>SUP-01</t>
        </is>
      </c>
      <c r="C25" t="inlineStr">
        <is>
          <t>ELEC-04</t>
        </is>
      </c>
      <c r="D25" s="17" t="n">
        <v>46173</v>
      </c>
      <c r="E25" t="n">
        <v>26</v>
      </c>
      <c r="F25" t="n">
        <v>0</v>
      </c>
      <c r="G25" s="19" t="n">
        <v>1999.14</v>
      </c>
      <c r="H25" s="18" t="n">
        <v>122</v>
      </c>
    </row>
    <row r="26">
      <c r="A26" t="inlineStr">
        <is>
          <t>SPO-02231-1</t>
        </is>
      </c>
      <c r="B26" t="inlineStr">
        <is>
          <t>SUP-04</t>
        </is>
      </c>
      <c r="C26" t="inlineStr">
        <is>
          <t>FLEET-05</t>
        </is>
      </c>
      <c r="D26" s="17" t="n">
        <v>46202</v>
      </c>
      <c r="E26" t="n">
        <v>13</v>
      </c>
      <c r="F26" t="n">
        <v>0</v>
      </c>
      <c r="G26" s="19" t="n">
        <v>2129.27</v>
      </c>
      <c r="H26" s="18" t="n">
        <v>93</v>
      </c>
    </row>
    <row r="27">
      <c r="A27" t="inlineStr">
        <is>
          <t>SPO-02355-1</t>
        </is>
      </c>
      <c r="B27" t="inlineStr">
        <is>
          <t>SUP-01</t>
        </is>
      </c>
      <c r="C27" t="inlineStr">
        <is>
          <t>ELEC-03</t>
        </is>
      </c>
      <c r="D27" s="17" t="n">
        <v>46244</v>
      </c>
      <c r="E27" t="n">
        <v>29</v>
      </c>
      <c r="F27" t="n">
        <v>0</v>
      </c>
      <c r="G27" s="19" t="n">
        <v>2746.01</v>
      </c>
      <c r="H27" s="18" t="n">
        <v>51</v>
      </c>
    </row>
    <row r="28">
      <c r="A28" t="inlineStr">
        <is>
          <t>SPO-02388-1</t>
        </is>
      </c>
      <c r="B28" t="inlineStr">
        <is>
          <t>SUP-01</t>
        </is>
      </c>
      <c r="C28" t="inlineStr">
        <is>
          <t>ELEC-08</t>
        </is>
      </c>
      <c r="D28" s="17" t="n">
        <v>46253</v>
      </c>
      <c r="E28" t="n">
        <v>38</v>
      </c>
      <c r="F28" t="n">
        <v>0</v>
      </c>
      <c r="G28" s="19" t="n">
        <v>671.84</v>
      </c>
      <c r="H28" s="18" t="n">
        <v>42</v>
      </c>
    </row>
    <row r="29">
      <c r="A29" t="inlineStr">
        <is>
          <t>SPO-02451-1</t>
        </is>
      </c>
      <c r="B29" t="inlineStr">
        <is>
          <t>SUP-01</t>
        </is>
      </c>
      <c r="C29" t="inlineStr">
        <is>
          <t>ELEC-08</t>
        </is>
      </c>
      <c r="D29" s="17" t="n">
        <v>46272</v>
      </c>
      <c r="E29" t="n">
        <v>162</v>
      </c>
      <c r="F29" t="n">
        <v>0</v>
      </c>
      <c r="G29" s="19" t="n">
        <v>2825.28</v>
      </c>
      <c r="H29" s="18" t="n">
        <v>23</v>
      </c>
    </row>
    <row r="30">
      <c r="A30" t="inlineStr">
        <is>
          <t>SPO-02474-1</t>
        </is>
      </c>
      <c r="B30" t="inlineStr">
        <is>
          <t>SUP-01</t>
        </is>
      </c>
      <c r="C30" t="inlineStr">
        <is>
          <t>ELEC-06</t>
        </is>
      </c>
      <c r="D30" s="17" t="n">
        <v>46276</v>
      </c>
      <c r="E30" t="n">
        <v>7</v>
      </c>
      <c r="F30" t="n">
        <v>0</v>
      </c>
      <c r="G30" s="19" t="n">
        <v>1012.83</v>
      </c>
      <c r="H30" s="18" t="n">
        <v>19</v>
      </c>
    </row>
    <row r="31">
      <c r="A31" t="inlineStr">
        <is>
          <t>SPO-02496-1</t>
        </is>
      </c>
      <c r="B31" t="inlineStr">
        <is>
          <t>SUP-01</t>
        </is>
      </c>
      <c r="C31" t="inlineStr">
        <is>
          <t>ELEC-04</t>
        </is>
      </c>
      <c r="D31" s="17" t="n">
        <v>46281</v>
      </c>
      <c r="E31" t="n">
        <v>17</v>
      </c>
      <c r="F31" t="n">
        <v>0</v>
      </c>
      <c r="G31" s="19" t="n">
        <v>1250.18</v>
      </c>
      <c r="H31" s="18" t="n">
        <v>14</v>
      </c>
    </row>
    <row r="32">
      <c r="A32" t="inlineStr">
        <is>
          <t>SPO-02524-1</t>
        </is>
      </c>
      <c r="B32" t="inlineStr">
        <is>
          <t>SUP-14</t>
        </is>
      </c>
      <c r="C32" t="inlineStr">
        <is>
          <t>FLEET-03</t>
        </is>
      </c>
      <c r="D32" s="17" t="n">
        <v>46289</v>
      </c>
      <c r="E32" t="n">
        <v>66</v>
      </c>
      <c r="F32" t="n">
        <v>45</v>
      </c>
      <c r="G32" s="19" t="n">
        <v>434.49</v>
      </c>
      <c r="H32" s="18" t="n">
        <v>6</v>
      </c>
    </row>
  </sheetData>
  <conditionalFormatting sqref="B5:H18">
    <cfRule type="cellIs" priority="1" operator="equal" dxfId="4">
      <formula>"FLAG"</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2"/>
  <sheetViews>
    <sheetView showGridLines="0" workbookViewId="0">
      <selection activeCell="A1" sqref="A1"/>
    </sheetView>
  </sheetViews>
  <sheetFormatPr baseColWidth="8" defaultRowHeight="15"/>
  <cols>
    <col width="44" customWidth="1" min="1" max="1"/>
    <col width="16" customWidth="1" min="2" max="2"/>
    <col width="16" customWidth="1" min="3" max="3"/>
    <col width="16" customWidth="1" min="4" max="4"/>
    <col width="16" customWidth="1" min="5" max="5"/>
    <col width="16" customWidth="1" min="6" max="6"/>
    <col width="14" customWidth="1" min="7" max="7"/>
  </cols>
  <sheetData>
    <row r="1">
      <c r="A1" s="1" t="inlineStr">
        <is>
          <t>What-if scenarios (modelled, not realised savings)</t>
        </is>
      </c>
    </row>
    <row r="2">
      <c r="A2" s="2" t="inlineStr">
        <is>
          <t>SYNTHETIC DEMONSTRATION DATA - not real suppliers or real performance for A and B; C uses observed City of Austin prices.</t>
        </is>
      </c>
    </row>
    <row r="4">
      <c r="A4" s="3" t="inlineStr">
        <is>
          <t>A. Reallocate volume between suppliers (last 12 months of due lines)</t>
        </is>
      </c>
    </row>
    <row r="5">
      <c r="A5" t="inlineStr">
        <is>
          <t>Category</t>
        </is>
      </c>
      <c r="B5" s="30" t="inlineStr">
        <is>
          <t>ELEC</t>
        </is>
      </c>
    </row>
    <row r="6">
      <c r="A6" t="inlineStr">
        <is>
          <t>Move volume from supplier</t>
        </is>
      </c>
      <c r="B6" s="30" t="inlineStr">
        <is>
          <t>SUP-01</t>
        </is>
      </c>
    </row>
    <row r="7">
      <c r="A7" t="inlineStr">
        <is>
          <t>Move volume to supplier</t>
        </is>
      </c>
      <c r="B7" s="30" t="inlineStr">
        <is>
          <t>SUP-02</t>
        </is>
      </c>
    </row>
    <row r="8">
      <c r="A8" t="inlineStr">
        <is>
          <t>Share of volume moved</t>
        </is>
      </c>
      <c r="B8" s="12" t="n">
        <v>0.3</v>
      </c>
    </row>
    <row r="9">
      <c r="A9" t="inlineStr">
        <is>
          <t>Cost per late line (Assumptions)</t>
        </is>
      </c>
      <c r="B9" s="25">
        <f>Assumptions!$C$43</f>
        <v/>
      </c>
    </row>
    <row r="11">
      <c r="A11" s="8" t="inlineStr">
        <is>
          <t>Last 12 months</t>
        </is>
      </c>
      <c r="B11" s="16" t="inlineStr">
        <is>
          <t>From supplier</t>
        </is>
      </c>
      <c r="C11" s="16" t="inlineStr">
        <is>
          <t>To supplier</t>
        </is>
      </c>
    </row>
    <row r="12">
      <c r="A12" t="inlineStr">
        <is>
          <t>Due lines</t>
        </is>
      </c>
      <c r="B12" s="18">
        <f>COUNTIFS(Syn_Lines!$C$2:$C$4838,$B$6,Syn_Lines!$D$2:$D$4838,$B$5,Syn_Lines!$AF$2:$AF$4838,"last_12m",Syn_Lines!$U$2:$U$4838,1)</f>
        <v/>
      </c>
      <c r="C12" s="18">
        <f>COUNTIFS(Syn_Lines!$C$2:$C$4838,$B$7,Syn_Lines!$D$2:$D$4838,$B$5,Syn_Lines!$AF$2:$AF$4838,"last_12m",Syn_Lines!$U$2:$U$4838,1)</f>
        <v/>
      </c>
    </row>
    <row r="13">
      <c r="A13" t="inlineStr">
        <is>
          <t>OTIF lines</t>
        </is>
      </c>
      <c r="B13" s="18">
        <f>COUNTIFS(Syn_Lines!$C$2:$C$4838,$B$6,Syn_Lines!$D$2:$D$4838,$B$5,Syn_Lines!$AF$2:$AF$4838,"last_12m",Syn_Lines!$U$2:$U$4838,1,Syn_Lines!$X$2:$X$4838,1)</f>
        <v/>
      </c>
      <c r="C13" s="18">
        <f>COUNTIFS(Syn_Lines!$C$2:$C$4838,$B$7,Syn_Lines!$D$2:$D$4838,$B$5,Syn_Lines!$AF$2:$AF$4838,"last_12m",Syn_Lines!$U$2:$U$4838,1,Syn_Lines!$X$2:$X$4838,1)</f>
        <v/>
      </c>
    </row>
    <row r="14">
      <c r="A14" t="inlineStr">
        <is>
          <t>Spend</t>
        </is>
      </c>
      <c r="B14" s="25">
        <f>SUMIFS(Syn_Lines!$S$2:$S$4838,Syn_Lines!$C$2:$C$4838,$B$6,Syn_Lines!$D$2:$D$4838,$B$5,Syn_Lines!$AF$2:$AF$4838,"last_12m",Syn_Lines!$K$2:$K$4838,0)</f>
        <v/>
      </c>
      <c r="C14" s="25">
        <f>SUMIFS(Syn_Lines!$S$2:$S$4838,Syn_Lines!$C$2:$C$4838,$B$7,Syn_Lines!$D$2:$D$4838,$B$5,Syn_Lines!$AF$2:$AF$4838,"last_12m",Syn_Lines!$K$2:$K$4838,0)</f>
        <v/>
      </c>
    </row>
    <row r="15">
      <c r="A15" t="inlineStr">
        <is>
          <t>Value at contract price</t>
        </is>
      </c>
      <c r="B15" s="25">
        <f>SUMIFS(Syn_Lines!$T$2:$T$4838,Syn_Lines!$C$2:$C$4838,$B$6,Syn_Lines!$D$2:$D$4838,$B$5,Syn_Lines!$AF$2:$AF$4838,"last_12m",Syn_Lines!$K$2:$K$4838,0)</f>
        <v/>
      </c>
      <c r="C15" s="25">
        <f>SUMIFS(Syn_Lines!$T$2:$T$4838,Syn_Lines!$C$2:$C$4838,$B$7,Syn_Lines!$D$2:$D$4838,$B$5,Syn_Lines!$AF$2:$AF$4838,"last_12m",Syn_Lines!$K$2:$K$4838,0)</f>
        <v/>
      </c>
    </row>
    <row r="16">
      <c r="A16" t="inlineStr">
        <is>
          <t>OTIF rate</t>
        </is>
      </c>
      <c r="B16" s="15">
        <f>IF(B12&gt;0,B13/B12,"")</f>
        <v/>
      </c>
      <c r="C16" s="15">
        <f>IF(C12&gt;0,C13/C12,"")</f>
        <v/>
      </c>
    </row>
    <row r="17">
      <c r="A17" t="inlineStr">
        <is>
          <t>PPV vs contract</t>
        </is>
      </c>
      <c r="B17" s="15">
        <f>IF(B15&gt;0,B14/B15-1,"")</f>
        <v/>
      </c>
      <c r="C17" s="15">
        <f>IF(C15&gt;0,C14/C15-1,"")</f>
        <v/>
      </c>
    </row>
    <row r="19">
      <c r="A19" s="8" t="inlineStr">
        <is>
          <t>Result at the chosen share</t>
        </is>
      </c>
      <c r="B19" s="16" t="inlineStr">
        <is>
          <t>Value</t>
        </is>
      </c>
    </row>
    <row r="20">
      <c r="A20" t="inlineStr">
        <is>
          <t>Lines moved per year</t>
        </is>
      </c>
      <c r="B20" s="23">
        <f>B8*B12</f>
        <v/>
      </c>
    </row>
    <row r="21">
      <c r="A21" t="inlineStr">
        <is>
          <t>Spend moved per year</t>
        </is>
      </c>
      <c r="B21" s="25">
        <f>B8*B14</f>
        <v/>
      </c>
    </row>
    <row r="22">
      <c r="A22" t="inlineStr">
        <is>
          <t>Late lines per year - before</t>
        </is>
      </c>
      <c r="B22" s="23">
        <f>B12*(1-B16)+C12*(1-C16)</f>
        <v/>
      </c>
    </row>
    <row r="23">
      <c r="A23" t="inlineStr">
        <is>
          <t>Late lines per year - after</t>
        </is>
      </c>
      <c r="B23" s="23">
        <f>(1-B8)*B12*(1-B16)+(C12+B8*B12)*(1-C16)</f>
        <v/>
      </c>
    </row>
    <row r="24">
      <c r="A24" t="inlineStr">
        <is>
          <t>Late lines avoided per year</t>
        </is>
      </c>
      <c r="B24" s="23">
        <f>B22-B23</f>
        <v/>
      </c>
    </row>
    <row r="25">
      <c r="A25" t="inlineStr">
        <is>
          <t>Modelled late-handling cost avoided</t>
        </is>
      </c>
      <c r="B25" s="25">
        <f>B24*B9</f>
        <v/>
      </c>
    </row>
    <row r="26">
      <c r="A26" t="inlineStr">
        <is>
          <t>Modelled price impact (+ costs more)</t>
        </is>
      </c>
      <c r="B26" s="25">
        <f>B21*((1+C17)/(1+B17)-1)</f>
        <v/>
      </c>
    </row>
    <row r="27">
      <c r="A27" t="inlineStr">
        <is>
          <t>Net modelled benefit per year</t>
        </is>
      </c>
      <c r="B27" s="25">
        <f>B25-B26</f>
        <v/>
      </c>
    </row>
    <row r="28">
      <c r="A28" s="7" t="inlineStr">
        <is>
          <t>Assumes the receiving supplier keeps its current OTIF and pricing at higher volume; confirm capacity and contract terms first.</t>
        </is>
      </c>
    </row>
    <row r="30">
      <c r="A30" s="8" t="inlineStr">
        <is>
          <t>Sensitivity: share moved</t>
        </is>
      </c>
      <c r="B30" s="16" t="inlineStr">
        <is>
          <t>Late lines avoided</t>
        </is>
      </c>
      <c r="C30" s="16" t="inlineStr">
        <is>
          <t>Cost avoided</t>
        </is>
      </c>
      <c r="D30" s="16" t="inlineStr">
        <is>
          <t>Price impact</t>
        </is>
      </c>
      <c r="E30" s="16" t="inlineStr">
        <is>
          <t>Net benefit</t>
        </is>
      </c>
    </row>
    <row r="31">
      <c r="A31" s="15" t="n">
        <v>0</v>
      </c>
      <c r="B31" s="23">
        <f>A31*B12*(C16-B16)</f>
        <v/>
      </c>
      <c r="C31" s="25">
        <f>B31*$B$9</f>
        <v/>
      </c>
      <c r="D31" s="25">
        <f>A31*$B$14*((1+$C$17)/(1+$B$17)-1)</f>
        <v/>
      </c>
      <c r="E31" s="25">
        <f>C31-D31</f>
        <v/>
      </c>
    </row>
    <row r="32">
      <c r="A32" s="15" t="n">
        <v>0.1</v>
      </c>
      <c r="B32" s="23">
        <f>A32*B12*(C16-B16)</f>
        <v/>
      </c>
      <c r="C32" s="25">
        <f>B32*$B$9</f>
        <v/>
      </c>
      <c r="D32" s="25">
        <f>A32*$B$14*((1+$C$17)/(1+$B$17)-1)</f>
        <v/>
      </c>
      <c r="E32" s="25">
        <f>C32-D32</f>
        <v/>
      </c>
    </row>
    <row r="33">
      <c r="A33" s="15" t="n">
        <v>0.2</v>
      </c>
      <c r="B33" s="23">
        <f>A33*B12*(C16-B16)</f>
        <v/>
      </c>
      <c r="C33" s="25">
        <f>B33*$B$9</f>
        <v/>
      </c>
      <c r="D33" s="25">
        <f>A33*$B$14*((1+$C$17)/(1+$B$17)-1)</f>
        <v/>
      </c>
      <c r="E33" s="25">
        <f>C33-D33</f>
        <v/>
      </c>
    </row>
    <row r="34">
      <c r="A34" s="15" t="n">
        <v>0.3</v>
      </c>
      <c r="B34" s="23">
        <f>A34*B12*(C16-B16)</f>
        <v/>
      </c>
      <c r="C34" s="25">
        <f>B34*$B$9</f>
        <v/>
      </c>
      <c r="D34" s="25">
        <f>A34*$B$14*((1+$C$17)/(1+$B$17)-1)</f>
        <v/>
      </c>
      <c r="E34" s="25">
        <f>C34-D34</f>
        <v/>
      </c>
    </row>
    <row r="35">
      <c r="A35" s="15" t="n">
        <v>0.4</v>
      </c>
      <c r="B35" s="23">
        <f>A35*B12*(C16-B16)</f>
        <v/>
      </c>
      <c r="C35" s="25">
        <f>B35*$B$9</f>
        <v/>
      </c>
      <c r="D35" s="25">
        <f>A35*$B$14*((1+$C$17)/(1+$B$17)-1)</f>
        <v/>
      </c>
      <c r="E35" s="25">
        <f>C35-D35</f>
        <v/>
      </c>
    </row>
    <row r="36">
      <c r="A36" s="15" t="n">
        <v>0.5</v>
      </c>
      <c r="B36" s="23">
        <f>A36*B12*(C16-B16)</f>
        <v/>
      </c>
      <c r="C36" s="25">
        <f>B36*$B$9</f>
        <v/>
      </c>
      <c r="D36" s="25">
        <f>A36*$B$14*((1+$C$17)/(1+$B$17)-1)</f>
        <v/>
      </c>
      <c r="E36" s="25">
        <f>C36-D36</f>
        <v/>
      </c>
    </row>
    <row r="39">
      <c r="A39" s="3" t="inlineStr">
        <is>
          <t>B. Late lines avoided if each ranked supplier reached the OTIF target</t>
        </is>
      </c>
    </row>
    <row r="40">
      <c r="A40" s="8" t="inlineStr">
        <is>
          <t>Supplier</t>
        </is>
      </c>
      <c r="B40" s="16" t="inlineStr">
        <is>
          <t>Due lines last 12m</t>
        </is>
      </c>
      <c r="C40" s="16" t="inlineStr">
        <is>
          <t>OTIF last 12m</t>
        </is>
      </c>
      <c r="D40" s="16" t="inlineStr">
        <is>
          <t>Late lines now</t>
        </is>
      </c>
      <c r="E40" s="16" t="inlineStr">
        <is>
          <t>Late lines at target</t>
        </is>
      </c>
      <c r="F40" s="16" t="inlineStr">
        <is>
          <t>Late lines avoided</t>
        </is>
      </c>
      <c r="G40" s="16" t="inlineStr">
        <is>
          <t>Cost avoided</t>
        </is>
      </c>
    </row>
    <row r="41">
      <c r="A41" t="inlineStr">
        <is>
          <t>SUP-01</t>
        </is>
      </c>
      <c r="B41" s="18">
        <f>Supplier_Summary!X5</f>
        <v/>
      </c>
      <c r="C41" s="15">
        <f>IF(Supplier_Summary!Y5="",Supplier_Summary!D5,Supplier_Summary!Y5)</f>
        <v/>
      </c>
      <c r="D41" s="23">
        <f>B41*(1-C41)</f>
        <v/>
      </c>
      <c r="E41" s="23">
        <f>B41*(1-MAX(C41,Assumptions!$C$15))</f>
        <v/>
      </c>
      <c r="F41" s="23">
        <f>D41-E41</f>
        <v/>
      </c>
      <c r="G41" s="25">
        <f>F41*Assumptions!$C$43</f>
        <v/>
      </c>
    </row>
    <row r="42">
      <c r="A42" t="inlineStr">
        <is>
          <t>SUP-04</t>
        </is>
      </c>
      <c r="B42" s="18">
        <f>Supplier_Summary!X8</f>
        <v/>
      </c>
      <c r="C42" s="15">
        <f>IF(Supplier_Summary!Y8="",Supplier_Summary!D8,Supplier_Summary!Y8)</f>
        <v/>
      </c>
      <c r="D42" s="23">
        <f>B42*(1-C42)</f>
        <v/>
      </c>
      <c r="E42" s="23">
        <f>B42*(1-MAX(C42,Assumptions!$C$15))</f>
        <v/>
      </c>
      <c r="F42" s="23">
        <f>D42-E42</f>
        <v/>
      </c>
      <c r="G42" s="25">
        <f>F42*Assumptions!$C$43</f>
        <v/>
      </c>
    </row>
    <row r="43">
      <c r="A43" t="inlineStr">
        <is>
          <t>SUP-07</t>
        </is>
      </c>
      <c r="B43" s="18">
        <f>Supplier_Summary!X11</f>
        <v/>
      </c>
      <c r="C43" s="15">
        <f>IF(Supplier_Summary!Y11="",Supplier_Summary!D11,Supplier_Summary!Y11)</f>
        <v/>
      </c>
      <c r="D43" s="23">
        <f>B43*(1-C43)</f>
        <v/>
      </c>
      <c r="E43" s="23">
        <f>B43*(1-MAX(C43,Assumptions!$C$15))</f>
        <v/>
      </c>
      <c r="F43" s="23">
        <f>D43-E43</f>
        <v/>
      </c>
      <c r="G43" s="25">
        <f>F43*Assumptions!$C$43</f>
        <v/>
      </c>
    </row>
    <row r="44">
      <c r="A44" t="inlineStr">
        <is>
          <t>SUP-12</t>
        </is>
      </c>
      <c r="B44" s="18">
        <f>Supplier_Summary!X16</f>
        <v/>
      </c>
      <c r="C44" s="15">
        <f>IF(Supplier_Summary!Y16="",Supplier_Summary!D16,Supplier_Summary!Y16)</f>
        <v/>
      </c>
      <c r="D44" s="23">
        <f>B44*(1-C44)</f>
        <v/>
      </c>
      <c r="E44" s="23">
        <f>B44*(1-MAX(C44,Assumptions!$C$15))</f>
        <v/>
      </c>
      <c r="F44" s="23">
        <f>D44-E44</f>
        <v/>
      </c>
      <c r="G44" s="25">
        <f>F44*Assumptions!$C$43</f>
        <v/>
      </c>
    </row>
    <row r="45">
      <c r="A45" t="inlineStr">
        <is>
          <t>SUP-10</t>
        </is>
      </c>
      <c r="B45" s="18">
        <f>Supplier_Summary!X14</f>
        <v/>
      </c>
      <c r="C45" s="15">
        <f>IF(Supplier_Summary!Y14="",Supplier_Summary!D14,Supplier_Summary!Y14)</f>
        <v/>
      </c>
      <c r="D45" s="23">
        <f>B45*(1-C45)</f>
        <v/>
      </c>
      <c r="E45" s="23">
        <f>B45*(1-MAX(C45,Assumptions!$C$15))</f>
        <v/>
      </c>
      <c r="F45" s="23">
        <f>D45-E45</f>
        <v/>
      </c>
      <c r="G45" s="25">
        <f>F45*Assumptions!$C$43</f>
        <v/>
      </c>
    </row>
    <row r="46">
      <c r="A46" t="inlineStr">
        <is>
          <t>SUP-08</t>
        </is>
      </c>
      <c r="B46" s="18">
        <f>Supplier_Summary!X12</f>
        <v/>
      </c>
      <c r="C46" s="15">
        <f>IF(Supplier_Summary!Y12="",Supplier_Summary!D12,Supplier_Summary!Y12)</f>
        <v/>
      </c>
      <c r="D46" s="23">
        <f>B46*(1-C46)</f>
        <v/>
      </c>
      <c r="E46" s="23">
        <f>B46*(1-MAX(C46,Assumptions!$C$15))</f>
        <v/>
      </c>
      <c r="F46" s="23">
        <f>D46-E46</f>
        <v/>
      </c>
      <c r="G46" s="25">
        <f>F46*Assumptions!$C$43</f>
        <v/>
      </c>
    </row>
    <row r="47">
      <c r="A47" t="inlineStr">
        <is>
          <t>SUP-14</t>
        </is>
      </c>
      <c r="B47" s="18">
        <f>Supplier_Summary!X18</f>
        <v/>
      </c>
      <c r="C47" s="15">
        <f>IF(Supplier_Summary!Y18="",Supplier_Summary!D18,Supplier_Summary!Y18)</f>
        <v/>
      </c>
      <c r="D47" s="23">
        <f>B47*(1-C47)</f>
        <v/>
      </c>
      <c r="E47" s="23">
        <f>B47*(1-MAX(C47,Assumptions!$C$15))</f>
        <v/>
      </c>
      <c r="F47" s="23">
        <f>D47-E47</f>
        <v/>
      </c>
      <c r="G47" s="25">
        <f>F47*Assumptions!$C$43</f>
        <v/>
      </c>
    </row>
    <row r="48">
      <c r="A48" t="inlineStr">
        <is>
          <t>SUP-05</t>
        </is>
      </c>
      <c r="B48" s="18">
        <f>Supplier_Summary!X9</f>
        <v/>
      </c>
      <c r="C48" s="15">
        <f>IF(Supplier_Summary!Y9="",Supplier_Summary!D9,Supplier_Summary!Y9)</f>
        <v/>
      </c>
      <c r="D48" s="23">
        <f>B48*(1-C48)</f>
        <v/>
      </c>
      <c r="E48" s="23">
        <f>B48*(1-MAX(C48,Assumptions!$C$15))</f>
        <v/>
      </c>
      <c r="F48" s="23">
        <f>D48-E48</f>
        <v/>
      </c>
      <c r="G48" s="25">
        <f>F48*Assumptions!$C$43</f>
        <v/>
      </c>
    </row>
    <row r="49">
      <c r="A49" t="inlineStr">
        <is>
          <t>SUP-02</t>
        </is>
      </c>
      <c r="B49" s="18">
        <f>Supplier_Summary!X6</f>
        <v/>
      </c>
      <c r="C49" s="15">
        <f>IF(Supplier_Summary!Y6="",Supplier_Summary!D6,Supplier_Summary!Y6)</f>
        <v/>
      </c>
      <c r="D49" s="23">
        <f>B49*(1-C49)</f>
        <v/>
      </c>
      <c r="E49" s="23">
        <f>B49*(1-MAX(C49,Assumptions!$C$15))</f>
        <v/>
      </c>
      <c r="F49" s="23">
        <f>D49-E49</f>
        <v/>
      </c>
      <c r="G49" s="25">
        <f>F49*Assumptions!$C$43</f>
        <v/>
      </c>
    </row>
    <row r="50">
      <c r="A50" t="inlineStr">
        <is>
          <t>SUP-11</t>
        </is>
      </c>
      <c r="B50" s="18">
        <f>Supplier_Summary!X15</f>
        <v/>
      </c>
      <c r="C50" s="15">
        <f>IF(Supplier_Summary!Y15="",Supplier_Summary!D15,Supplier_Summary!Y15)</f>
        <v/>
      </c>
      <c r="D50" s="23">
        <f>B50*(1-C50)</f>
        <v/>
      </c>
      <c r="E50" s="23">
        <f>B50*(1-MAX(C50,Assumptions!$C$15))</f>
        <v/>
      </c>
      <c r="F50" s="23">
        <f>D50-E50</f>
        <v/>
      </c>
      <c r="G50" s="25">
        <f>F50*Assumptions!$C$43</f>
        <v/>
      </c>
    </row>
    <row r="51">
      <c r="A51" t="inlineStr">
        <is>
          <t>SUP-06</t>
        </is>
      </c>
      <c r="B51" s="18">
        <f>Supplier_Summary!X10</f>
        <v/>
      </c>
      <c r="C51" s="15">
        <f>IF(Supplier_Summary!Y10="",Supplier_Summary!D10,Supplier_Summary!Y10)</f>
        <v/>
      </c>
      <c r="D51" s="23">
        <f>B51*(1-C51)</f>
        <v/>
      </c>
      <c r="E51" s="23">
        <f>B51*(1-MAX(C51,Assumptions!$C$15))</f>
        <v/>
      </c>
      <c r="F51" s="23">
        <f>D51-E51</f>
        <v/>
      </c>
      <c r="G51" s="25">
        <f>F51*Assumptions!$C$43</f>
        <v/>
      </c>
    </row>
    <row r="52">
      <c r="A52" t="inlineStr">
        <is>
          <t>SUP-09</t>
        </is>
      </c>
      <c r="B52" s="18">
        <f>Supplier_Summary!X13</f>
        <v/>
      </c>
      <c r="C52" s="15">
        <f>IF(Supplier_Summary!Y13="",Supplier_Summary!D13,Supplier_Summary!Y13)</f>
        <v/>
      </c>
      <c r="D52" s="23">
        <f>B52*(1-C52)</f>
        <v/>
      </c>
      <c r="E52" s="23">
        <f>B52*(1-MAX(C52,Assumptions!$C$15))</f>
        <v/>
      </c>
      <c r="F52" s="23">
        <f>D52-E52</f>
        <v/>
      </c>
      <c r="G52" s="25">
        <f>F52*Assumptions!$C$43</f>
        <v/>
      </c>
    </row>
    <row r="54">
      <c r="A54" s="3" t="inlineStr">
        <is>
          <t>C. Price harmonisation on like-for-like items (OBSERVED City of Austin prices)</t>
        </is>
      </c>
    </row>
    <row r="55">
      <c r="A55" t="inlineStr">
        <is>
          <t>Excess paid above item-year median on flagged lines, FY2022-FY2026 total (pipeline value)</t>
        </is>
      </c>
      <c r="B55" s="25" t="n">
        <v>4764677.87</v>
      </c>
    </row>
    <row r="57">
      <c r="A57" s="8" t="inlineStr">
        <is>
          <t>Capture rate (input)</t>
        </is>
      </c>
      <c r="B57" s="16" t="inlineStr">
        <is>
          <t>Modelled opportunity</t>
        </is>
      </c>
    </row>
    <row r="58">
      <c r="A58" s="31" t="n">
        <v>0.25</v>
      </c>
      <c r="B58" s="25">
        <f>A58*$B$55</f>
        <v/>
      </c>
    </row>
    <row r="59">
      <c r="A59" s="31" t="n">
        <v>0.5</v>
      </c>
      <c r="B59" s="25">
        <f>A59*$B$55</f>
        <v/>
      </c>
    </row>
    <row r="60">
      <c r="A60" s="31" t="n">
        <v>1</v>
      </c>
      <c r="B60" s="25">
        <f>A60*$B$55</f>
        <v/>
      </c>
    </row>
    <row r="62">
      <c r="A62" s="7" t="inlineStr">
        <is>
          <t>Not a savings forecast: price differences may reflect urgency, order size, delivery terms or market timing.</t>
        </is>
      </c>
    </row>
  </sheetData>
  <dataValidations count="2">
    <dataValidation sqref="B6 B7" showDropDown="0" showInputMessage="0" showErrorMessage="0" allowBlank="0" type="list">
      <formula1>=Syn_Suppliers!$A$5:$A$18</formula1>
    </dataValidation>
    <dataValidation sqref="B5" showDropDown="0" showInputMessage="0" showErrorMessage="0" allowBlank="0" type="list">
      <formula1>"ELEC,FLEET,MRO,PPE,CHEM,IT"</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6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5" customWidth="1" min="1" max="1"/>
    <col width="42" customWidth="1" min="2" max="2"/>
    <col width="16" customWidth="1" min="3" max="3"/>
    <col width="9" customWidth="1" min="4" max="4"/>
    <col width="9" customWidth="1" min="5" max="5"/>
    <col width="18" customWidth="1" min="6" max="6"/>
    <col width="10" customWidth="1" min="7" max="7"/>
    <col width="11" customWidth="1" min="8" max="8"/>
    <col width="7" customWidth="1" min="9" max="9"/>
    <col width="8" customWidth="1" min="10" max="10"/>
    <col width="13" customWidth="1" min="11" max="11"/>
    <col width="11" customWidth="1" min="12" max="12"/>
  </cols>
  <sheetData>
    <row r="1">
      <c r="A1" s="1" t="inlineStr">
        <is>
          <t>Vendor spend and concentration</t>
        </is>
      </c>
    </row>
    <row r="2">
      <c r="A2" s="2" t="inlineStr">
        <is>
          <t>OBSERVED DATA - City of Austin purchase orders (data.austintexas.gov), FY2022-FY2026. Top 150 vendors; the rest aggregated.</t>
        </is>
      </c>
    </row>
    <row r="4" ht="32" customHeight="1">
      <c r="A4" s="8" t="inlineStr">
        <is>
          <t>Vendor code</t>
        </is>
      </c>
      <c r="B4" s="8" t="inlineStr">
        <is>
          <t>Vendor name</t>
        </is>
      </c>
      <c r="C4" s="8" t="inlineStr">
        <is>
          <t>Spend (USD)</t>
        </is>
      </c>
      <c r="D4" s="8" t="inlineStr">
        <is>
          <t>POs</t>
        </is>
      </c>
      <c r="E4" s="8" t="inlineStr">
        <is>
          <t>NIGP classes</t>
        </is>
      </c>
      <c r="F4" s="8" t="inlineStr">
        <is>
          <t>Spend on master agreements</t>
        </is>
      </c>
      <c r="G4" s="16" t="inlineStr">
        <is>
          <t>Share of total</t>
        </is>
      </c>
      <c r="H4" s="16" t="inlineStr">
        <is>
          <t>Cumulative share</t>
        </is>
      </c>
      <c r="I4" s="16" t="inlineStr">
        <is>
          <t>Rank</t>
        </is>
      </c>
      <c r="J4" s="16" t="inlineStr">
        <is>
          <t>Pareto class</t>
        </is>
      </c>
      <c r="K4" s="16" t="inlineStr">
        <is>
          <t>Avg PO value</t>
        </is>
      </c>
      <c r="L4" s="16" t="inlineStr">
        <is>
          <t>Agreement share</t>
        </is>
      </c>
    </row>
    <row r="5">
      <c r="A5" t="inlineStr">
        <is>
          <t>V8846A96E19</t>
        </is>
      </c>
      <c r="B5" t="inlineStr">
        <is>
          <t>SILSBEE FORD INC</t>
        </is>
      </c>
      <c r="C5" s="25" t="n">
        <v>85078025.95</v>
      </c>
      <c r="D5" s="18" t="n">
        <v>211</v>
      </c>
      <c r="E5" t="n">
        <v>4</v>
      </c>
      <c r="F5" s="25" t="n">
        <v>85036165.73</v>
      </c>
      <c r="G5" s="15">
        <f>C5/SUM($C$5:$C$155)</f>
        <v/>
      </c>
      <c r="H5" s="15">
        <f>SUM($C$5:C5)/SUM($C$5:$C$155)</f>
        <v/>
      </c>
      <c r="I5">
        <f>RANK.EQ(C5,$C$5:$C$154,0)</f>
        <v/>
      </c>
      <c r="J5">
        <f>IF(H5-G5&lt;0.8,"A",IF(H5-G5&lt;0.95,"B","C"))</f>
        <v/>
      </c>
      <c r="K5" s="25">
        <f>C5/D5</f>
        <v/>
      </c>
      <c r="L5" s="15">
        <f>IF(C5&gt;0,F5/C5,"")</f>
        <v/>
      </c>
    </row>
    <row r="6">
      <c r="A6" t="inlineStr">
        <is>
          <t>VA93920ED48</t>
        </is>
      </c>
      <c r="B6" t="inlineStr">
        <is>
          <t>Pinnacle Petroleum Incorporated</t>
        </is>
      </c>
      <c r="C6" s="25" t="n">
        <v>79789998.06</v>
      </c>
      <c r="D6" s="18" t="n">
        <v>261</v>
      </c>
      <c r="E6" t="n">
        <v>1</v>
      </c>
      <c r="F6" s="25" t="n">
        <v>79789998.06</v>
      </c>
      <c r="G6" s="15">
        <f>C6/SUM($C$5:$C$155)</f>
        <v/>
      </c>
      <c r="H6" s="15">
        <f>SUM($C$5:C6)/SUM($C$5:$C$155)</f>
        <v/>
      </c>
      <c r="I6">
        <f>RANK.EQ(C6,$C$5:$C$154,0)</f>
        <v/>
      </c>
      <c r="J6">
        <f>IF(H6-G6&lt;0.8,"A",IF(H6-G6&lt;0.95,"B","C"))</f>
        <v/>
      </c>
      <c r="K6" s="25">
        <f>C6/D6</f>
        <v/>
      </c>
      <c r="L6" s="15">
        <f>IF(C6&gt;0,F6/C6,"")</f>
        <v/>
      </c>
    </row>
    <row r="7">
      <c r="A7" t="inlineStr">
        <is>
          <t>V7347CB5E42</t>
        </is>
      </c>
      <c r="B7" t="inlineStr">
        <is>
          <t>TECHLINE INC</t>
        </is>
      </c>
      <c r="C7" s="25" t="n">
        <v>59916949.15</v>
      </c>
      <c r="D7" s="18" t="n">
        <v>619</v>
      </c>
      <c r="E7" t="n">
        <v>8</v>
      </c>
      <c r="F7" s="25" t="n">
        <v>59550317.15</v>
      </c>
      <c r="G7" s="15">
        <f>C7/SUM($C$5:$C$155)</f>
        <v/>
      </c>
      <c r="H7" s="15">
        <f>SUM($C$5:C7)/SUM($C$5:$C$155)</f>
        <v/>
      </c>
      <c r="I7">
        <f>RANK.EQ(C7,$C$5:$C$154,0)</f>
        <v/>
      </c>
      <c r="J7">
        <f>IF(H7-G7&lt;0.8,"A",IF(H7-G7&lt;0.95,"B","C"))</f>
        <v/>
      </c>
      <c r="K7" s="25">
        <f>C7/D7</f>
        <v/>
      </c>
      <c r="L7" s="15">
        <f>IF(C7&gt;0,F7/C7,"")</f>
        <v/>
      </c>
    </row>
    <row r="8">
      <c r="A8" t="inlineStr">
        <is>
          <t>V598FFF5984</t>
        </is>
      </c>
      <c r="B8" t="inlineStr">
        <is>
          <t>KBS ELECTRICAL DISTRIBUTORS INC</t>
        </is>
      </c>
      <c r="C8" s="25" t="n">
        <v>53095163.91</v>
      </c>
      <c r="D8" s="18" t="n">
        <v>377</v>
      </c>
      <c r="E8" t="n">
        <v>7</v>
      </c>
      <c r="F8" s="25" t="n">
        <v>52470577.95</v>
      </c>
      <c r="G8" s="15">
        <f>C8/SUM($C$5:$C$155)</f>
        <v/>
      </c>
      <c r="H8" s="15">
        <f>SUM($C$5:C8)/SUM($C$5:$C$155)</f>
        <v/>
      </c>
      <c r="I8">
        <f>RANK.EQ(C8,$C$5:$C$154,0)</f>
        <v/>
      </c>
      <c r="J8">
        <f>IF(H8-G8&lt;0.8,"A",IF(H8-G8&lt;0.95,"B","C"))</f>
        <v/>
      </c>
      <c r="K8" s="25">
        <f>C8/D8</f>
        <v/>
      </c>
      <c r="L8" s="15">
        <f>IF(C8&gt;0,F8/C8,"")</f>
        <v/>
      </c>
    </row>
    <row r="9">
      <c r="A9" t="inlineStr">
        <is>
          <t>V5E4248F5E1</t>
        </is>
      </c>
      <c r="B9" t="inlineStr">
        <is>
          <t>TEXAS ELECTRIC COOPERATIVES</t>
        </is>
      </c>
      <c r="C9" s="25" t="n">
        <v>52670577.79</v>
      </c>
      <c r="D9" s="18" t="n">
        <v>160</v>
      </c>
      <c r="E9" t="n">
        <v>1</v>
      </c>
      <c r="F9" s="25" t="n">
        <v>52661577.79</v>
      </c>
      <c r="G9" s="15">
        <f>C9/SUM($C$5:$C$155)</f>
        <v/>
      </c>
      <c r="H9" s="15">
        <f>SUM($C$5:C9)/SUM($C$5:$C$155)</f>
        <v/>
      </c>
      <c r="I9">
        <f>RANK.EQ(C9,$C$5:$C$154,0)</f>
        <v/>
      </c>
      <c r="J9">
        <f>IF(H9-G9&lt;0.8,"A",IF(H9-G9&lt;0.95,"B","C"))</f>
        <v/>
      </c>
      <c r="K9" s="25">
        <f>C9/D9</f>
        <v/>
      </c>
      <c r="L9" s="15">
        <f>IF(C9&gt;0,F9/C9,"")</f>
        <v/>
      </c>
    </row>
    <row r="10">
      <c r="A10" t="inlineStr">
        <is>
          <t>VA263EE8FC7</t>
        </is>
      </c>
      <c r="B10" t="inlineStr">
        <is>
          <t>MOTOROLA SOLUTIONS INC</t>
        </is>
      </c>
      <c r="C10" s="25" t="n">
        <v>43655133.13</v>
      </c>
      <c r="D10" s="18" t="n">
        <v>310</v>
      </c>
      <c r="E10" t="n">
        <v>1</v>
      </c>
      <c r="F10" s="25" t="n">
        <v>43655133.13</v>
      </c>
      <c r="G10" s="15">
        <f>C10/SUM($C$5:$C$155)</f>
        <v/>
      </c>
      <c r="H10" s="15">
        <f>SUM($C$5:C10)/SUM($C$5:$C$155)</f>
        <v/>
      </c>
      <c r="I10">
        <f>RANK.EQ(C10,$C$5:$C$154,0)</f>
        <v/>
      </c>
      <c r="J10">
        <f>IF(H10-G10&lt;0.8,"A",IF(H10-G10&lt;0.95,"B","C"))</f>
        <v/>
      </c>
      <c r="K10" s="25">
        <f>C10/D10</f>
        <v/>
      </c>
      <c r="L10" s="15">
        <f>IF(C10&gt;0,F10/C10,"")</f>
        <v/>
      </c>
    </row>
    <row r="11">
      <c r="A11" t="inlineStr">
        <is>
          <t>V5AD2837BCD</t>
        </is>
      </c>
      <c r="B11" t="inlineStr">
        <is>
          <t>W W GRAINGER INC</t>
        </is>
      </c>
      <c r="C11" s="25" t="n">
        <v>40845492.74</v>
      </c>
      <c r="D11" s="18" t="n">
        <v>729</v>
      </c>
      <c r="E11" t="n">
        <v>10</v>
      </c>
      <c r="F11" s="25" t="n">
        <v>40816944.64</v>
      </c>
      <c r="G11" s="15">
        <f>C11/SUM($C$5:$C$155)</f>
        <v/>
      </c>
      <c r="H11" s="15">
        <f>SUM($C$5:C11)/SUM($C$5:$C$155)</f>
        <v/>
      </c>
      <c r="I11">
        <f>RANK.EQ(C11,$C$5:$C$154,0)</f>
        <v/>
      </c>
      <c r="J11">
        <f>IF(H11-G11&lt;0.8,"A",IF(H11-G11&lt;0.95,"B","C"))</f>
        <v/>
      </c>
      <c r="K11" s="25">
        <f>C11/D11</f>
        <v/>
      </c>
      <c r="L11" s="15">
        <f>IF(C11&gt;0,F11/C11,"")</f>
        <v/>
      </c>
    </row>
    <row r="12">
      <c r="A12" t="inlineStr">
        <is>
          <t>V0093315844</t>
        </is>
      </c>
      <c r="B12" t="inlineStr">
        <is>
          <t>METRO FIRE APPARATUS SPECIALISTS INC</t>
        </is>
      </c>
      <c r="C12" s="25" t="n">
        <v>40244644.24</v>
      </c>
      <c r="D12" s="18" t="n">
        <v>201</v>
      </c>
      <c r="E12" t="n">
        <v>8</v>
      </c>
      <c r="F12" s="25" t="n">
        <v>40182819.47</v>
      </c>
      <c r="G12" s="15">
        <f>C12/SUM($C$5:$C$155)</f>
        <v/>
      </c>
      <c r="H12" s="15">
        <f>SUM($C$5:C12)/SUM($C$5:$C$155)</f>
        <v/>
      </c>
      <c r="I12">
        <f>RANK.EQ(C12,$C$5:$C$154,0)</f>
        <v/>
      </c>
      <c r="J12">
        <f>IF(H12-G12&lt;0.8,"A",IF(H12-G12&lt;0.95,"B","C"))</f>
        <v/>
      </c>
      <c r="K12" s="25">
        <f>C12/D12</f>
        <v/>
      </c>
      <c r="L12" s="15">
        <f>IF(C12&gt;0,F12/C12,"")</f>
        <v/>
      </c>
    </row>
    <row r="13">
      <c r="A13" t="inlineStr">
        <is>
          <t>VE85F0A772F</t>
        </is>
      </c>
      <c r="B13" t="inlineStr">
        <is>
          <t>Siddons-Martin Emergency Group, LLC</t>
        </is>
      </c>
      <c r="C13" s="25" t="n">
        <v>35566136.44</v>
      </c>
      <c r="D13" s="18" t="n">
        <v>32</v>
      </c>
      <c r="E13" t="n">
        <v>7</v>
      </c>
      <c r="F13" s="25" t="n">
        <v>35526211.39</v>
      </c>
      <c r="G13" s="15">
        <f>C13/SUM($C$5:$C$155)</f>
        <v/>
      </c>
      <c r="H13" s="15">
        <f>SUM($C$5:C13)/SUM($C$5:$C$155)</f>
        <v/>
      </c>
      <c r="I13">
        <f>RANK.EQ(C13,$C$5:$C$154,0)</f>
        <v/>
      </c>
      <c r="J13">
        <f>IF(H13-G13&lt;0.8,"A",IF(H13-G13&lt;0.95,"B","C"))</f>
        <v/>
      </c>
      <c r="K13" s="25">
        <f>C13/D13</f>
        <v/>
      </c>
      <c r="L13" s="15">
        <f>IF(C13&gt;0,F13/C13,"")</f>
        <v/>
      </c>
    </row>
    <row r="14">
      <c r="A14" t="inlineStr">
        <is>
          <t>V0F0A0DF53E</t>
        </is>
      </c>
      <c r="B14" t="inlineStr">
        <is>
          <t>Asphalt Inc LLC</t>
        </is>
      </c>
      <c r="C14" s="25" t="n">
        <v>33407881.58</v>
      </c>
      <c r="D14" s="18" t="n">
        <v>249</v>
      </c>
      <c r="E14" t="n">
        <v>1</v>
      </c>
      <c r="F14" s="25" t="n">
        <v>33407881.58</v>
      </c>
      <c r="G14" s="15">
        <f>C14/SUM($C$5:$C$155)</f>
        <v/>
      </c>
      <c r="H14" s="15">
        <f>SUM($C$5:C14)/SUM($C$5:$C$155)</f>
        <v/>
      </c>
      <c r="I14">
        <f>RANK.EQ(C14,$C$5:$C$154,0)</f>
        <v/>
      </c>
      <c r="J14">
        <f>IF(H14-G14&lt;0.8,"A",IF(H14-G14&lt;0.95,"B","C"))</f>
        <v/>
      </c>
      <c r="K14" s="25">
        <f>C14/D14</f>
        <v/>
      </c>
      <c r="L14" s="15">
        <f>IF(C14&gt;0,F14/C14,"")</f>
        <v/>
      </c>
    </row>
    <row r="15">
      <c r="A15" t="inlineStr">
        <is>
          <t>V55771B0254</t>
        </is>
      </c>
      <c r="B15" t="inlineStr">
        <is>
          <t>DELL MARKETING LP</t>
        </is>
      </c>
      <c r="C15" s="25" t="n">
        <v>29360844.13</v>
      </c>
      <c r="D15" s="18" t="n">
        <v>1594</v>
      </c>
      <c r="E15" t="n">
        <v>10</v>
      </c>
      <c r="F15" s="25" t="n">
        <v>29327373</v>
      </c>
      <c r="G15" s="15">
        <f>C15/SUM($C$5:$C$155)</f>
        <v/>
      </c>
      <c r="H15" s="15">
        <f>SUM($C$5:C15)/SUM($C$5:$C$155)</f>
        <v/>
      </c>
      <c r="I15">
        <f>RANK.EQ(C15,$C$5:$C$154,0)</f>
        <v/>
      </c>
      <c r="J15">
        <f>IF(H15-G15&lt;0.8,"A",IF(H15-G15&lt;0.95,"B","C"))</f>
        <v/>
      </c>
      <c r="K15" s="25">
        <f>C15/D15</f>
        <v/>
      </c>
      <c r="L15" s="15">
        <f>IF(C15&gt;0,F15/C15,"")</f>
        <v/>
      </c>
    </row>
    <row r="16">
      <c r="A16" t="inlineStr">
        <is>
          <t>V7C6965C402</t>
        </is>
      </c>
      <c r="B16" t="inlineStr">
        <is>
          <t>Axon Enterprise, Inc.</t>
        </is>
      </c>
      <c r="C16" s="25" t="n">
        <v>28934527.98</v>
      </c>
      <c r="D16" s="18" t="n">
        <v>29</v>
      </c>
      <c r="E16" t="n">
        <v>3</v>
      </c>
      <c r="F16" s="25" t="n">
        <v>28902777.58</v>
      </c>
      <c r="G16" s="15">
        <f>C16/SUM($C$5:$C$155)</f>
        <v/>
      </c>
      <c r="H16" s="15">
        <f>SUM($C$5:C16)/SUM($C$5:$C$155)</f>
        <v/>
      </c>
      <c r="I16">
        <f>RANK.EQ(C16,$C$5:$C$154,0)</f>
        <v/>
      </c>
      <c r="J16">
        <f>IF(H16-G16&lt;0.8,"A",IF(H16-G16&lt;0.95,"B","C"))</f>
        <v/>
      </c>
      <c r="K16" s="25">
        <f>C16/D16</f>
        <v/>
      </c>
      <c r="L16" s="15">
        <f>IF(C16&gt;0,F16/C16,"")</f>
        <v/>
      </c>
    </row>
    <row r="17">
      <c r="A17" t="inlineStr">
        <is>
          <t>VED79BB984F</t>
        </is>
      </c>
      <c r="B17" t="inlineStr">
        <is>
          <t>RUSH TRUCK CENTERS OF TEXAS LP</t>
        </is>
      </c>
      <c r="C17" s="25" t="n">
        <v>28528244.86</v>
      </c>
      <c r="D17" s="18" t="n">
        <v>28</v>
      </c>
      <c r="E17" t="n">
        <v>2</v>
      </c>
      <c r="F17" s="25" t="n">
        <v>28518749.08</v>
      </c>
      <c r="G17" s="15">
        <f>C17/SUM($C$5:$C$155)</f>
        <v/>
      </c>
      <c r="H17" s="15">
        <f>SUM($C$5:C17)/SUM($C$5:$C$155)</f>
        <v/>
      </c>
      <c r="I17">
        <f>RANK.EQ(C17,$C$5:$C$154,0)</f>
        <v/>
      </c>
      <c r="J17">
        <f>IF(H17-G17&lt;0.8,"A",IF(H17-G17&lt;0.95,"B","C"))</f>
        <v/>
      </c>
      <c r="K17" s="25">
        <f>C17/D17</f>
        <v/>
      </c>
      <c r="L17" s="15">
        <f>IF(C17&gt;0,F17/C17,"")</f>
        <v/>
      </c>
    </row>
    <row r="18">
      <c r="A18" t="inlineStr">
        <is>
          <t>V3F9D050B08</t>
        </is>
      </c>
      <c r="B18" t="inlineStr">
        <is>
          <t>HD Hyundai Electric America Corporation</t>
        </is>
      </c>
      <c r="C18" s="25" t="n">
        <v>27822180</v>
      </c>
      <c r="D18" s="18" t="n">
        <v>6</v>
      </c>
      <c r="E18" t="n">
        <v>1</v>
      </c>
      <c r="F18" s="25" t="n">
        <v>27822180</v>
      </c>
      <c r="G18" s="15">
        <f>C18/SUM($C$5:$C$155)</f>
        <v/>
      </c>
      <c r="H18" s="15">
        <f>SUM($C$5:C18)/SUM($C$5:$C$155)</f>
        <v/>
      </c>
      <c r="I18">
        <f>RANK.EQ(C18,$C$5:$C$154,0)</f>
        <v/>
      </c>
      <c r="J18">
        <f>IF(H18-G18&lt;0.8,"A",IF(H18-G18&lt;0.95,"B","C"))</f>
        <v/>
      </c>
      <c r="K18" s="25">
        <f>C18/D18</f>
        <v/>
      </c>
      <c r="L18" s="15">
        <f>IF(C18&gt;0,F18/C18,"")</f>
        <v/>
      </c>
    </row>
    <row r="19">
      <c r="A19" t="inlineStr">
        <is>
          <t>VCAFC2079EB</t>
        </is>
      </c>
      <c r="B19" t="inlineStr">
        <is>
          <t>CDW LLC</t>
        </is>
      </c>
      <c r="C19" s="25" t="n">
        <v>26381398.55</v>
      </c>
      <c r="D19" s="18" t="n">
        <v>413</v>
      </c>
      <c r="E19" t="n">
        <v>22</v>
      </c>
      <c r="F19" s="25" t="n">
        <v>25270991.29</v>
      </c>
      <c r="G19" s="15">
        <f>C19/SUM($C$5:$C$155)</f>
        <v/>
      </c>
      <c r="H19" s="15">
        <f>SUM($C$5:C19)/SUM($C$5:$C$155)</f>
        <v/>
      </c>
      <c r="I19">
        <f>RANK.EQ(C19,$C$5:$C$154,0)</f>
        <v/>
      </c>
      <c r="J19">
        <f>IF(H19-G19&lt;0.8,"A",IF(H19-G19&lt;0.95,"B","C"))</f>
        <v/>
      </c>
      <c r="K19" s="25">
        <f>C19/D19</f>
        <v/>
      </c>
      <c r="L19" s="15">
        <f>IF(C19&gt;0,F19/C19,"")</f>
        <v/>
      </c>
    </row>
    <row r="20">
      <c r="A20" t="inlineStr">
        <is>
          <t>VE32D505346</t>
        </is>
      </c>
      <c r="B20" t="inlineStr">
        <is>
          <t>Ferguson US Holdings, Inc</t>
        </is>
      </c>
      <c r="C20" s="25" t="n">
        <v>24331888.63</v>
      </c>
      <c r="D20" s="18" t="n">
        <v>387</v>
      </c>
      <c r="E20" t="n">
        <v>11</v>
      </c>
      <c r="F20" s="25" t="n">
        <v>24142169.36</v>
      </c>
      <c r="G20" s="15">
        <f>C20/SUM($C$5:$C$155)</f>
        <v/>
      </c>
      <c r="H20" s="15">
        <f>SUM($C$5:C20)/SUM($C$5:$C$155)</f>
        <v/>
      </c>
      <c r="I20">
        <f>RANK.EQ(C20,$C$5:$C$154,0)</f>
        <v/>
      </c>
      <c r="J20">
        <f>IF(H20-G20&lt;0.8,"A",IF(H20-G20&lt;0.95,"B","C"))</f>
        <v/>
      </c>
      <c r="K20" s="25">
        <f>C20/D20</f>
        <v/>
      </c>
      <c r="L20" s="15">
        <f>IF(C20&gt;0,F20/C20,"")</f>
        <v/>
      </c>
    </row>
    <row r="21">
      <c r="A21" t="inlineStr">
        <is>
          <t>VF686626DAA</t>
        </is>
      </c>
      <c r="B21" t="inlineStr">
        <is>
          <t>LAKE COUNTRY CHEVROLET, INC</t>
        </is>
      </c>
      <c r="C21" s="25" t="n">
        <v>22746067.72</v>
      </c>
      <c r="D21" s="18" t="n">
        <v>137</v>
      </c>
      <c r="E21" t="n">
        <v>2</v>
      </c>
      <c r="F21" s="25" t="n">
        <v>22746067.72</v>
      </c>
      <c r="G21" s="15">
        <f>C21/SUM($C$5:$C$155)</f>
        <v/>
      </c>
      <c r="H21" s="15">
        <f>SUM($C$5:C21)/SUM($C$5:$C$155)</f>
        <v/>
      </c>
      <c r="I21">
        <f>RANK.EQ(C21,$C$5:$C$154,0)</f>
        <v/>
      </c>
      <c r="J21">
        <f>IF(H21-G21&lt;0.8,"A",IF(H21-G21&lt;0.95,"B","C"))</f>
        <v/>
      </c>
      <c r="K21" s="25">
        <f>C21/D21</f>
        <v/>
      </c>
      <c r="L21" s="15">
        <f>IF(C21&gt;0,F21/C21,"")</f>
        <v/>
      </c>
    </row>
    <row r="22">
      <c r="A22" t="inlineStr">
        <is>
          <t>VD442620674</t>
        </is>
      </c>
      <c r="B22" t="inlineStr">
        <is>
          <t>Doggett Freightliner of South Texas, LLC</t>
        </is>
      </c>
      <c r="C22" s="25" t="n">
        <v>21737607.8</v>
      </c>
      <c r="D22" s="18" t="n">
        <v>50</v>
      </c>
      <c r="E22" t="n">
        <v>3</v>
      </c>
      <c r="F22" s="25" t="n">
        <v>21737607.8</v>
      </c>
      <c r="G22" s="15">
        <f>C22/SUM($C$5:$C$155)</f>
        <v/>
      </c>
      <c r="H22" s="15">
        <f>SUM($C$5:C22)/SUM($C$5:$C$155)</f>
        <v/>
      </c>
      <c r="I22">
        <f>RANK.EQ(C22,$C$5:$C$154,0)</f>
        <v/>
      </c>
      <c r="J22">
        <f>IF(H22-G22&lt;0.8,"A",IF(H22-G22&lt;0.95,"B","C"))</f>
        <v/>
      </c>
      <c r="K22" s="25">
        <f>C22/D22</f>
        <v/>
      </c>
      <c r="L22" s="15">
        <f>IF(C22&gt;0,F22/C22,"")</f>
        <v/>
      </c>
    </row>
    <row r="23">
      <c r="A23" t="inlineStr">
        <is>
          <t>VF46732BB96</t>
        </is>
      </c>
      <c r="B23" t="inlineStr">
        <is>
          <t>PRIESTER-MELL &amp; NICHOLSON INC.</t>
        </is>
      </c>
      <c r="C23" s="25" t="n">
        <v>20248285.84</v>
      </c>
      <c r="D23" s="18" t="n">
        <v>95</v>
      </c>
      <c r="E23" t="n">
        <v>2</v>
      </c>
      <c r="F23" s="25" t="n">
        <v>20180538.84</v>
      </c>
      <c r="G23" s="15">
        <f>C23/SUM($C$5:$C$155)</f>
        <v/>
      </c>
      <c r="H23" s="15">
        <f>SUM($C$5:C23)/SUM($C$5:$C$155)</f>
        <v/>
      </c>
      <c r="I23">
        <f>RANK.EQ(C23,$C$5:$C$154,0)</f>
        <v/>
      </c>
      <c r="J23">
        <f>IF(H23-G23&lt;0.8,"A",IF(H23-G23&lt;0.95,"B","C"))</f>
        <v/>
      </c>
      <c r="K23" s="25">
        <f>C23/D23</f>
        <v/>
      </c>
      <c r="L23" s="15">
        <f>IF(C23&gt;0,F23/C23,"")</f>
        <v/>
      </c>
    </row>
    <row r="24">
      <c r="A24" t="inlineStr">
        <is>
          <t>V3699FBF822</t>
        </is>
      </c>
      <c r="B24" t="inlineStr">
        <is>
          <t>Delta Star, Inc.</t>
        </is>
      </c>
      <c r="C24" s="25" t="n">
        <v>20214106</v>
      </c>
      <c r="D24" s="18" t="n">
        <v>13</v>
      </c>
      <c r="E24" t="n">
        <v>1</v>
      </c>
      <c r="F24" s="25" t="n">
        <v>20214106</v>
      </c>
      <c r="G24" s="15">
        <f>C24/SUM($C$5:$C$155)</f>
        <v/>
      </c>
      <c r="H24" s="15">
        <f>SUM($C$5:C24)/SUM($C$5:$C$155)</f>
        <v/>
      </c>
      <c r="I24">
        <f>RANK.EQ(C24,$C$5:$C$154,0)</f>
        <v/>
      </c>
      <c r="J24">
        <f>IF(H24-G24&lt;0.8,"A",IF(H24-G24&lt;0.95,"B","C"))</f>
        <v/>
      </c>
      <c r="K24" s="25">
        <f>C24/D24</f>
        <v/>
      </c>
      <c r="L24" s="15">
        <f>IF(C24&gt;0,F24/C24,"")</f>
        <v/>
      </c>
    </row>
    <row r="25">
      <c r="A25" t="inlineStr">
        <is>
          <t>V7BA8A3908B</t>
        </is>
      </c>
      <c r="B25" t="inlineStr">
        <is>
          <t>LHOIST NORTH AMERICA OF TEXAS, LLC</t>
        </is>
      </c>
      <c r="C25" s="25" t="n">
        <v>19695143.95</v>
      </c>
      <c r="D25" s="18" t="n">
        <v>60</v>
      </c>
      <c r="E25" t="n">
        <v>1</v>
      </c>
      <c r="F25" s="25" t="n">
        <v>15564587.87</v>
      </c>
      <c r="G25" s="15">
        <f>C25/SUM($C$5:$C$155)</f>
        <v/>
      </c>
      <c r="H25" s="15">
        <f>SUM($C$5:C25)/SUM($C$5:$C$155)</f>
        <v/>
      </c>
      <c r="I25">
        <f>RANK.EQ(C25,$C$5:$C$154,0)</f>
        <v/>
      </c>
      <c r="J25">
        <f>IF(H25-G25&lt;0.8,"A",IF(H25-G25&lt;0.95,"B","C"))</f>
        <v/>
      </c>
      <c r="K25" s="25">
        <f>C25/D25</f>
        <v/>
      </c>
      <c r="L25" s="15">
        <f>IF(C25&gt;0,F25/C25,"")</f>
        <v/>
      </c>
    </row>
    <row r="26">
      <c r="A26" t="inlineStr">
        <is>
          <t>V2EEC67E23B</t>
        </is>
      </c>
      <c r="B26" t="inlineStr">
        <is>
          <t>Posillico Civil, Inc</t>
        </is>
      </c>
      <c r="C26" s="25" t="n">
        <v>18982062.83</v>
      </c>
      <c r="D26" s="18" t="n">
        <v>1</v>
      </c>
      <c r="E26" t="n">
        <v>1</v>
      </c>
      <c r="F26" s="25" t="n">
        <v>0</v>
      </c>
      <c r="G26" s="15">
        <f>C26/SUM($C$5:$C$155)</f>
        <v/>
      </c>
      <c r="H26" s="15">
        <f>SUM($C$5:C26)/SUM($C$5:$C$155)</f>
        <v/>
      </c>
      <c r="I26">
        <f>RANK.EQ(C26,$C$5:$C$154,0)</f>
        <v/>
      </c>
      <c r="J26">
        <f>IF(H26-G26&lt;0.8,"A",IF(H26-G26&lt;0.95,"B","C"))</f>
        <v/>
      </c>
      <c r="K26" s="25">
        <f>C26/D26</f>
        <v/>
      </c>
      <c r="L26" s="15">
        <f>IF(C26&gt;0,F26/C26,"")</f>
        <v/>
      </c>
    </row>
    <row r="27">
      <c r="A27" t="inlineStr">
        <is>
          <t>VF537BA9A12</t>
        </is>
      </c>
      <c r="B27" t="inlineStr">
        <is>
          <t>PVS DX INC</t>
        </is>
      </c>
      <c r="C27" s="25" t="n">
        <v>17913110.42</v>
      </c>
      <c r="D27" s="18" t="n">
        <v>106</v>
      </c>
      <c r="E27" t="n">
        <v>2</v>
      </c>
      <c r="F27" s="25" t="n">
        <v>17909482.92</v>
      </c>
      <c r="G27" s="15">
        <f>C27/SUM($C$5:$C$155)</f>
        <v/>
      </c>
      <c r="H27" s="15">
        <f>SUM($C$5:C27)/SUM($C$5:$C$155)</f>
        <v/>
      </c>
      <c r="I27">
        <f>RANK.EQ(C27,$C$5:$C$154,0)</f>
        <v/>
      </c>
      <c r="J27">
        <f>IF(H27-G27&lt;0.8,"A",IF(H27-G27&lt;0.95,"B","C"))</f>
        <v/>
      </c>
      <c r="K27" s="25">
        <f>C27/D27</f>
        <v/>
      </c>
      <c r="L27" s="15">
        <f>IF(C27&gt;0,F27/C27,"")</f>
        <v/>
      </c>
    </row>
    <row r="28">
      <c r="A28" t="inlineStr">
        <is>
          <t>VB1D763A0C1</t>
        </is>
      </c>
      <c r="B28" t="inlineStr">
        <is>
          <t>Galls Parent Holdings, LLC</t>
        </is>
      </c>
      <c r="C28" s="25" t="n">
        <v>17876840.74</v>
      </c>
      <c r="D28" s="18" t="n">
        <v>124</v>
      </c>
      <c r="E28" t="n">
        <v>2</v>
      </c>
      <c r="F28" s="25" t="n">
        <v>17876840.74</v>
      </c>
      <c r="G28" s="15">
        <f>C28/SUM($C$5:$C$155)</f>
        <v/>
      </c>
      <c r="H28" s="15">
        <f>SUM($C$5:C28)/SUM($C$5:$C$155)</f>
        <v/>
      </c>
      <c r="I28">
        <f>RANK.EQ(C28,$C$5:$C$154,0)</f>
        <v/>
      </c>
      <c r="J28">
        <f>IF(H28-G28&lt;0.8,"A",IF(H28-G28&lt;0.95,"B","C"))</f>
        <v/>
      </c>
      <c r="K28" s="25">
        <f>C28/D28</f>
        <v/>
      </c>
      <c r="L28" s="15">
        <f>IF(C28&gt;0,F28/C28,"")</f>
        <v/>
      </c>
    </row>
    <row r="29">
      <c r="A29" t="inlineStr">
        <is>
          <t>VD38BDE0DF9</t>
        </is>
      </c>
      <c r="B29" t="inlineStr">
        <is>
          <t>PREMIER MAGNESIA LLC</t>
        </is>
      </c>
      <c r="C29" s="25" t="n">
        <v>12849443.53</v>
      </c>
      <c r="D29" s="18" t="n">
        <v>63</v>
      </c>
      <c r="E29" t="n">
        <v>1</v>
      </c>
      <c r="F29" s="25" t="n">
        <v>12849443.53</v>
      </c>
      <c r="G29" s="15">
        <f>C29/SUM($C$5:$C$155)</f>
        <v/>
      </c>
      <c r="H29" s="15">
        <f>SUM($C$5:C29)/SUM($C$5:$C$155)</f>
        <v/>
      </c>
      <c r="I29">
        <f>RANK.EQ(C29,$C$5:$C$154,0)</f>
        <v/>
      </c>
      <c r="J29">
        <f>IF(H29-G29&lt;0.8,"A",IF(H29-G29&lt;0.95,"B","C"))</f>
        <v/>
      </c>
      <c r="K29" s="25">
        <f>C29/D29</f>
        <v/>
      </c>
      <c r="L29" s="15">
        <f>IF(C29&gt;0,F29/C29,"")</f>
        <v/>
      </c>
    </row>
    <row r="30">
      <c r="A30" t="inlineStr">
        <is>
          <t>VC719F4F838</t>
        </is>
      </c>
      <c r="B30" t="inlineStr">
        <is>
          <t>FREEIT DATA SOLUTIONS INC</t>
        </is>
      </c>
      <c r="C30" s="25" t="n">
        <v>12271814.22</v>
      </c>
      <c r="D30" s="18" t="n">
        <v>42</v>
      </c>
      <c r="E30" t="n">
        <v>5</v>
      </c>
      <c r="F30" s="25" t="n">
        <v>12216350.16</v>
      </c>
      <c r="G30" s="15">
        <f>C30/SUM($C$5:$C$155)</f>
        <v/>
      </c>
      <c r="H30" s="15">
        <f>SUM($C$5:C30)/SUM($C$5:$C$155)</f>
        <v/>
      </c>
      <c r="I30">
        <f>RANK.EQ(C30,$C$5:$C$154,0)</f>
        <v/>
      </c>
      <c r="J30">
        <f>IF(H30-G30&lt;0.8,"A",IF(H30-G30&lt;0.95,"B","C"))</f>
        <v/>
      </c>
      <c r="K30" s="25">
        <f>C30/D30</f>
        <v/>
      </c>
      <c r="L30" s="15">
        <f>IF(C30&gt;0,F30/C30,"")</f>
        <v/>
      </c>
    </row>
    <row r="31">
      <c r="A31" t="inlineStr">
        <is>
          <t>VA435E8BF6A</t>
        </is>
      </c>
      <c r="B31" t="inlineStr">
        <is>
          <t>LONGHORN INTERNATIONAL TRUCKS LTD</t>
        </is>
      </c>
      <c r="C31" s="25" t="n">
        <v>11114561.56</v>
      </c>
      <c r="D31" s="18" t="n">
        <v>34</v>
      </c>
      <c r="E31" t="n">
        <v>3</v>
      </c>
      <c r="F31" s="25" t="n">
        <v>11114561.56</v>
      </c>
      <c r="G31" s="15">
        <f>C31/SUM($C$5:$C$155)</f>
        <v/>
      </c>
      <c r="H31" s="15">
        <f>SUM($C$5:C31)/SUM($C$5:$C$155)</f>
        <v/>
      </c>
      <c r="I31">
        <f>RANK.EQ(C31,$C$5:$C$154,0)</f>
        <v/>
      </c>
      <c r="J31">
        <f>IF(H31-G31&lt;0.8,"A",IF(H31-G31&lt;0.95,"B","C"))</f>
        <v/>
      </c>
      <c r="K31" s="25">
        <f>C31/D31</f>
        <v/>
      </c>
      <c r="L31" s="15">
        <f>IF(C31&gt;0,F31/C31,"")</f>
        <v/>
      </c>
    </row>
    <row r="32">
      <c r="A32" t="inlineStr">
        <is>
          <t>VAB3A2F54E3</t>
        </is>
      </c>
      <c r="B32" t="inlineStr">
        <is>
          <t>HOME DEPOT USA INC</t>
        </is>
      </c>
      <c r="C32" s="25" t="n">
        <v>10564569.57</v>
      </c>
      <c r="D32" s="18" t="n">
        <v>56</v>
      </c>
      <c r="E32" t="n">
        <v>1</v>
      </c>
      <c r="F32" s="25" t="n">
        <v>10564569.57</v>
      </c>
      <c r="G32" s="15">
        <f>C32/SUM($C$5:$C$155)</f>
        <v/>
      </c>
      <c r="H32" s="15">
        <f>SUM($C$5:C32)/SUM($C$5:$C$155)</f>
        <v/>
      </c>
      <c r="I32">
        <f>RANK.EQ(C32,$C$5:$C$154,0)</f>
        <v/>
      </c>
      <c r="J32">
        <f>IF(H32-G32&lt;0.8,"A",IF(H32-G32&lt;0.95,"B","C"))</f>
        <v/>
      </c>
      <c r="K32" s="25">
        <f>C32/D32</f>
        <v/>
      </c>
      <c r="L32" s="15">
        <f>IF(C32&gt;0,F32/C32,"")</f>
        <v/>
      </c>
    </row>
    <row r="33">
      <c r="A33" t="inlineStr">
        <is>
          <t>V0ABA1EF45F</t>
        </is>
      </c>
      <c r="B33" t="inlineStr">
        <is>
          <t>CONTROL PANELS USA INC</t>
        </is>
      </c>
      <c r="C33" s="25" t="n">
        <v>10560649.56</v>
      </c>
      <c r="D33" s="18" t="n">
        <v>58</v>
      </c>
      <c r="E33" t="n">
        <v>2</v>
      </c>
      <c r="F33" s="25" t="n">
        <v>4218182.46</v>
      </c>
      <c r="G33" s="15">
        <f>C33/SUM($C$5:$C$155)</f>
        <v/>
      </c>
      <c r="H33" s="15">
        <f>SUM($C$5:C33)/SUM($C$5:$C$155)</f>
        <v/>
      </c>
      <c r="I33">
        <f>RANK.EQ(C33,$C$5:$C$154,0)</f>
        <v/>
      </c>
      <c r="J33">
        <f>IF(H33-G33&lt;0.8,"A",IF(H33-G33&lt;0.95,"B","C"))</f>
        <v/>
      </c>
      <c r="K33" s="25">
        <f>C33/D33</f>
        <v/>
      </c>
      <c r="L33" s="15">
        <f>IF(C33&gt;0,F33/C33,"")</f>
        <v/>
      </c>
    </row>
    <row r="34">
      <c r="A34" t="inlineStr">
        <is>
          <t>V3A75F43B10</t>
        </is>
      </c>
      <c r="B34" t="inlineStr">
        <is>
          <t>GTS Technology Solutions, Inc.</t>
        </is>
      </c>
      <c r="C34" s="25" t="n">
        <v>10153844.35</v>
      </c>
      <c r="D34" s="18" t="n">
        <v>193</v>
      </c>
      <c r="E34" t="n">
        <v>13</v>
      </c>
      <c r="F34" s="25" t="n">
        <v>9902984.779999999</v>
      </c>
      <c r="G34" s="15">
        <f>C34/SUM($C$5:$C$155)</f>
        <v/>
      </c>
      <c r="H34" s="15">
        <f>SUM($C$5:C34)/SUM($C$5:$C$155)</f>
        <v/>
      </c>
      <c r="I34">
        <f>RANK.EQ(C34,$C$5:$C$154,0)</f>
        <v/>
      </c>
      <c r="J34">
        <f>IF(H34-G34&lt;0.8,"A",IF(H34-G34&lt;0.95,"B","C"))</f>
        <v/>
      </c>
      <c r="K34" s="25">
        <f>C34/D34</f>
        <v/>
      </c>
      <c r="L34" s="15">
        <f>IF(C34&gt;0,F34/C34,"")</f>
        <v/>
      </c>
    </row>
    <row r="35">
      <c r="A35" t="inlineStr">
        <is>
          <t>VC6241AAED7</t>
        </is>
      </c>
      <c r="B35" t="inlineStr">
        <is>
          <t>Offutt Companies Inc.</t>
        </is>
      </c>
      <c r="C35" s="25" t="n">
        <v>9793066.27</v>
      </c>
      <c r="D35" s="18" t="n">
        <v>69</v>
      </c>
      <c r="E35" t="n">
        <v>4</v>
      </c>
      <c r="F35" s="25" t="n">
        <v>9738477.49</v>
      </c>
      <c r="G35" s="15">
        <f>C35/SUM($C$5:$C$155)</f>
        <v/>
      </c>
      <c r="H35" s="15">
        <f>SUM($C$5:C35)/SUM($C$5:$C$155)</f>
        <v/>
      </c>
      <c r="I35">
        <f>RANK.EQ(C35,$C$5:$C$154,0)</f>
        <v/>
      </c>
      <c r="J35">
        <f>IF(H35-G35&lt;0.8,"A",IF(H35-G35&lt;0.95,"B","C"))</f>
        <v/>
      </c>
      <c r="K35" s="25">
        <f>C35/D35</f>
        <v/>
      </c>
      <c r="L35" s="15">
        <f>IF(C35&gt;0,F35/C35,"")</f>
        <v/>
      </c>
    </row>
    <row r="36">
      <c r="A36" t="inlineStr">
        <is>
          <t>V2EE2BD74A5</t>
        </is>
      </c>
      <c r="B36" t="inlineStr">
        <is>
          <t>WESCO DISTRIBUTION, INC.</t>
        </is>
      </c>
      <c r="C36" s="25" t="n">
        <v>9627108.800000001</v>
      </c>
      <c r="D36" s="18" t="n">
        <v>140</v>
      </c>
      <c r="E36" t="n">
        <v>1</v>
      </c>
      <c r="F36" s="25" t="n">
        <v>9584967.800000001</v>
      </c>
      <c r="G36" s="15">
        <f>C36/SUM($C$5:$C$155)</f>
        <v/>
      </c>
      <c r="H36" s="15">
        <f>SUM($C$5:C36)/SUM($C$5:$C$155)</f>
        <v/>
      </c>
      <c r="I36">
        <f>RANK.EQ(C36,$C$5:$C$154,0)</f>
        <v/>
      </c>
      <c r="J36">
        <f>IF(H36-G36&lt;0.8,"A",IF(H36-G36&lt;0.95,"B","C"))</f>
        <v/>
      </c>
      <c r="K36" s="25">
        <f>C36/D36</f>
        <v/>
      </c>
      <c r="L36" s="15">
        <f>IF(C36&gt;0,F36/C36,"")</f>
        <v/>
      </c>
    </row>
    <row r="37">
      <c r="A37" t="inlineStr">
        <is>
          <t>V1BAFB2A416</t>
        </is>
      </c>
      <c r="B37" t="inlineStr">
        <is>
          <t>CENTRAL TEXAS HEAVY EQUIPMENT COMPANY</t>
        </is>
      </c>
      <c r="C37" s="25" t="n">
        <v>9618374.23</v>
      </c>
      <c r="D37" s="18" t="n">
        <v>65</v>
      </c>
      <c r="E37" t="n">
        <v>9</v>
      </c>
      <c r="F37" s="25" t="n">
        <v>9613611.98</v>
      </c>
      <c r="G37" s="15">
        <f>C37/SUM($C$5:$C$155)</f>
        <v/>
      </c>
      <c r="H37" s="15">
        <f>SUM($C$5:C37)/SUM($C$5:$C$155)</f>
        <v/>
      </c>
      <c r="I37">
        <f>RANK.EQ(C37,$C$5:$C$154,0)</f>
        <v/>
      </c>
      <c r="J37">
        <f>IF(H37-G37&lt;0.8,"A",IF(H37-G37&lt;0.95,"B","C"))</f>
        <v/>
      </c>
      <c r="K37" s="25">
        <f>C37/D37</f>
        <v/>
      </c>
      <c r="L37" s="15">
        <f>IF(C37&gt;0,F37/C37,"")</f>
        <v/>
      </c>
    </row>
    <row r="38">
      <c r="A38" t="inlineStr">
        <is>
          <t>V6F7A75EF87</t>
        </is>
      </c>
      <c r="B38" t="inlineStr">
        <is>
          <t>YOUNGBLOOD AUTOMOTIVE &amp; TIRE LLC</t>
        </is>
      </c>
      <c r="C38" s="25" t="n">
        <v>8881880.189999999</v>
      </c>
      <c r="D38" s="18" t="n">
        <v>90</v>
      </c>
      <c r="E38" t="n">
        <v>2</v>
      </c>
      <c r="F38" s="25" t="n">
        <v>8874816.17</v>
      </c>
      <c r="G38" s="15">
        <f>C38/SUM($C$5:$C$155)</f>
        <v/>
      </c>
      <c r="H38" s="15">
        <f>SUM($C$5:C38)/SUM($C$5:$C$155)</f>
        <v/>
      </c>
      <c r="I38">
        <f>RANK.EQ(C38,$C$5:$C$154,0)</f>
        <v/>
      </c>
      <c r="J38">
        <f>IF(H38-G38&lt;0.8,"A",IF(H38-G38&lt;0.95,"B","C"))</f>
        <v/>
      </c>
      <c r="K38" s="25">
        <f>C38/D38</f>
        <v/>
      </c>
      <c r="L38" s="15">
        <f>IF(C38&gt;0,F38/C38,"")</f>
        <v/>
      </c>
    </row>
    <row r="39">
      <c r="A39" t="inlineStr">
        <is>
          <t>V0F0B10525F</t>
        </is>
      </c>
      <c r="B39" t="inlineStr">
        <is>
          <t>Core &amp; Main LP</t>
        </is>
      </c>
      <c r="C39" s="25" t="n">
        <v>8739324.439999999</v>
      </c>
      <c r="D39" s="18" t="n">
        <v>269</v>
      </c>
      <c r="E39" t="n">
        <v>7</v>
      </c>
      <c r="F39" s="25" t="n">
        <v>8721762.880000001</v>
      </c>
      <c r="G39" s="15">
        <f>C39/SUM($C$5:$C$155)</f>
        <v/>
      </c>
      <c r="H39" s="15">
        <f>SUM($C$5:C39)/SUM($C$5:$C$155)</f>
        <v/>
      </c>
      <c r="I39">
        <f>RANK.EQ(C39,$C$5:$C$154,0)</f>
        <v/>
      </c>
      <c r="J39">
        <f>IF(H39-G39&lt;0.8,"A",IF(H39-G39&lt;0.95,"B","C"))</f>
        <v/>
      </c>
      <c r="K39" s="25">
        <f>C39/D39</f>
        <v/>
      </c>
      <c r="L39" s="15">
        <f>IF(C39&gt;0,F39/C39,"")</f>
        <v/>
      </c>
    </row>
    <row r="40">
      <c r="A40" t="inlineStr">
        <is>
          <t>V0551BF8B83</t>
        </is>
      </c>
      <c r="B40" t="inlineStr">
        <is>
          <t>BOUND TREE MEDICAL L L C</t>
        </is>
      </c>
      <c r="C40" s="25" t="n">
        <v>8731433.449999999</v>
      </c>
      <c r="D40" s="18" t="n">
        <v>698</v>
      </c>
      <c r="E40" t="n">
        <v>7</v>
      </c>
      <c r="F40" s="25" t="n">
        <v>8670422.93</v>
      </c>
      <c r="G40" s="15">
        <f>C40/SUM($C$5:$C$155)</f>
        <v/>
      </c>
      <c r="H40" s="15">
        <f>SUM($C$5:C40)/SUM($C$5:$C$155)</f>
        <v/>
      </c>
      <c r="I40">
        <f>RANK.EQ(C40,$C$5:$C$154,0)</f>
        <v/>
      </c>
      <c r="J40">
        <f>IF(H40-G40&lt;0.8,"A",IF(H40-G40&lt;0.95,"B","C"))</f>
        <v/>
      </c>
      <c r="K40" s="25">
        <f>C40/D40</f>
        <v/>
      </c>
      <c r="L40" s="15">
        <f>IF(C40&gt;0,F40/C40,"")</f>
        <v/>
      </c>
    </row>
    <row r="41">
      <c r="A41" t="inlineStr">
        <is>
          <t>VB206730491</t>
        </is>
      </c>
      <c r="B41" t="inlineStr">
        <is>
          <t>TOTER LLC</t>
        </is>
      </c>
      <c r="C41" s="25" t="n">
        <v>8551846.539999999</v>
      </c>
      <c r="D41" s="18" t="n">
        <v>11</v>
      </c>
      <c r="E41" t="n">
        <v>1</v>
      </c>
      <c r="F41" s="25" t="n">
        <v>8551846.539999999</v>
      </c>
      <c r="G41" s="15">
        <f>C41/SUM($C$5:$C$155)</f>
        <v/>
      </c>
      <c r="H41" s="15">
        <f>SUM($C$5:C41)/SUM($C$5:$C$155)</f>
        <v/>
      </c>
      <c r="I41">
        <f>RANK.EQ(C41,$C$5:$C$154,0)</f>
        <v/>
      </c>
      <c r="J41">
        <f>IF(H41-G41&lt;0.8,"A",IF(H41-G41&lt;0.95,"B","C"))</f>
        <v/>
      </c>
      <c r="K41" s="25">
        <f>C41/D41</f>
        <v/>
      </c>
      <c r="L41" s="15">
        <f>IF(C41&gt;0,F41/C41,"")</f>
        <v/>
      </c>
    </row>
    <row r="42">
      <c r="A42" t="inlineStr">
        <is>
          <t>VD5DC7CDD4A</t>
        </is>
      </c>
      <c r="B42" t="inlineStr">
        <is>
          <t>ERGON ASPHALT &amp; EMULSIONS INC</t>
        </is>
      </c>
      <c r="C42" s="25" t="n">
        <v>8159343.13</v>
      </c>
      <c r="D42" s="18" t="n">
        <v>8</v>
      </c>
      <c r="E42" t="n">
        <v>1</v>
      </c>
      <c r="F42" s="25" t="n">
        <v>8159343.13</v>
      </c>
      <c r="G42" s="15">
        <f>C42/SUM($C$5:$C$155)</f>
        <v/>
      </c>
      <c r="H42" s="15">
        <f>SUM($C$5:C42)/SUM($C$5:$C$155)</f>
        <v/>
      </c>
      <c r="I42">
        <f>RANK.EQ(C42,$C$5:$C$154,0)</f>
        <v/>
      </c>
      <c r="J42">
        <f>IF(H42-G42&lt;0.8,"A",IF(H42-G42&lt;0.95,"B","C"))</f>
        <v/>
      </c>
      <c r="K42" s="25">
        <f>C42/D42</f>
        <v/>
      </c>
      <c r="L42" s="15">
        <f>IF(C42&gt;0,F42/C42,"")</f>
        <v/>
      </c>
    </row>
    <row r="43">
      <c r="A43" t="inlineStr">
        <is>
          <t>V4DE4D1BECB</t>
        </is>
      </c>
      <c r="B43" t="inlineStr">
        <is>
          <t>Holt Truck Centers Of Texas LLC</t>
        </is>
      </c>
      <c r="C43" s="25" t="n">
        <v>7928068.46</v>
      </c>
      <c r="D43" s="18" t="n">
        <v>16</v>
      </c>
      <c r="E43" t="n">
        <v>2</v>
      </c>
      <c r="F43" s="25" t="n">
        <v>7924985.26</v>
      </c>
      <c r="G43" s="15">
        <f>C43/SUM($C$5:$C$155)</f>
        <v/>
      </c>
      <c r="H43" s="15">
        <f>SUM($C$5:C43)/SUM($C$5:$C$155)</f>
        <v/>
      </c>
      <c r="I43">
        <f>RANK.EQ(C43,$C$5:$C$154,0)</f>
        <v/>
      </c>
      <c r="J43">
        <f>IF(H43-G43&lt;0.8,"A",IF(H43-G43&lt;0.95,"B","C"))</f>
        <v/>
      </c>
      <c r="K43" s="25">
        <f>C43/D43</f>
        <v/>
      </c>
      <c r="L43" s="15">
        <f>IF(C43&gt;0,F43/C43,"")</f>
        <v/>
      </c>
    </row>
    <row r="44">
      <c r="A44" t="inlineStr">
        <is>
          <t>V80F21826B6</t>
        </is>
      </c>
      <c r="B44" t="inlineStr">
        <is>
          <t>Garrison Minerals LLC</t>
        </is>
      </c>
      <c r="C44" s="25" t="n">
        <v>7725294.71</v>
      </c>
      <c r="D44" s="18" t="n">
        <v>45</v>
      </c>
      <c r="E44" t="n">
        <v>1</v>
      </c>
      <c r="F44" s="25" t="n">
        <v>7650596.65</v>
      </c>
      <c r="G44" s="15">
        <f>C44/SUM($C$5:$C$155)</f>
        <v/>
      </c>
      <c r="H44" s="15">
        <f>SUM($C$5:C44)/SUM($C$5:$C$155)</f>
        <v/>
      </c>
      <c r="I44">
        <f>RANK.EQ(C44,$C$5:$C$154,0)</f>
        <v/>
      </c>
      <c r="J44">
        <f>IF(H44-G44&lt;0.8,"A",IF(H44-G44&lt;0.95,"B","C"))</f>
        <v/>
      </c>
      <c r="K44" s="25">
        <f>C44/D44</f>
        <v/>
      </c>
      <c r="L44" s="15">
        <f>IF(C44&gt;0,F44/C44,"")</f>
        <v/>
      </c>
    </row>
    <row r="45">
      <c r="A45" t="inlineStr">
        <is>
          <t>V369D15138C</t>
        </is>
      </c>
      <c r="B45" t="inlineStr">
        <is>
          <t>ACLARA TECHNOLOGIES LLC</t>
        </is>
      </c>
      <c r="C45" s="25" t="n">
        <v>7713014.45</v>
      </c>
      <c r="D45" s="18" t="n">
        <v>1</v>
      </c>
      <c r="E45" t="n">
        <v>1</v>
      </c>
      <c r="F45" s="25" t="n">
        <v>7713014.45</v>
      </c>
      <c r="G45" s="15">
        <f>C45/SUM($C$5:$C$155)</f>
        <v/>
      </c>
      <c r="H45" s="15">
        <f>SUM($C$5:C45)/SUM($C$5:$C$155)</f>
        <v/>
      </c>
      <c r="I45">
        <f>RANK.EQ(C45,$C$5:$C$154,0)</f>
        <v/>
      </c>
      <c r="J45">
        <f>IF(H45-G45&lt;0.8,"A",IF(H45-G45&lt;0.95,"B","C"))</f>
        <v/>
      </c>
      <c r="K45" s="25">
        <f>C45/D45</f>
        <v/>
      </c>
      <c r="L45" s="15">
        <f>IF(C45&gt;0,F45/C45,"")</f>
        <v/>
      </c>
    </row>
    <row r="46">
      <c r="A46" t="inlineStr">
        <is>
          <t>V1A23A7B271</t>
        </is>
      </c>
      <c r="B46" t="inlineStr">
        <is>
          <t>OverDrive, Inc.</t>
        </is>
      </c>
      <c r="C46" s="25" t="n">
        <v>7254917.6</v>
      </c>
      <c r="D46" s="18" t="n">
        <v>9</v>
      </c>
      <c r="E46" t="n">
        <v>1</v>
      </c>
      <c r="F46" s="25" t="n">
        <v>7254917.6</v>
      </c>
      <c r="G46" s="15">
        <f>C46/SUM($C$5:$C$155)</f>
        <v/>
      </c>
      <c r="H46" s="15">
        <f>SUM($C$5:C46)/SUM($C$5:$C$155)</f>
        <v/>
      </c>
      <c r="I46">
        <f>RANK.EQ(C46,$C$5:$C$154,0)</f>
        <v/>
      </c>
      <c r="J46">
        <f>IF(H46-G46&lt;0.8,"A",IF(H46-G46&lt;0.95,"B","C"))</f>
        <v/>
      </c>
      <c r="K46" s="25">
        <f>C46/D46</f>
        <v/>
      </c>
      <c r="L46" s="15">
        <f>IF(C46&gt;0,F46/C46,"")</f>
        <v/>
      </c>
    </row>
    <row r="47">
      <c r="A47" t="inlineStr">
        <is>
          <t>V4D1478D3AE</t>
        </is>
      </c>
      <c r="B47" t="inlineStr">
        <is>
          <t>PulseMAC Solutions, LLC</t>
        </is>
      </c>
      <c r="C47" s="25" t="n">
        <v>6889386.25</v>
      </c>
      <c r="D47" s="18" t="n">
        <v>5</v>
      </c>
      <c r="E47" t="n">
        <v>1</v>
      </c>
      <c r="F47" s="25" t="n">
        <v>6779652.5</v>
      </c>
      <c r="G47" s="15">
        <f>C47/SUM($C$5:$C$155)</f>
        <v/>
      </c>
      <c r="H47" s="15">
        <f>SUM($C$5:C47)/SUM($C$5:$C$155)</f>
        <v/>
      </c>
      <c r="I47">
        <f>RANK.EQ(C47,$C$5:$C$154,0)</f>
        <v/>
      </c>
      <c r="J47">
        <f>IF(H47-G47&lt;0.8,"A",IF(H47-G47&lt;0.95,"B","C"))</f>
        <v/>
      </c>
      <c r="K47" s="25">
        <f>C47/D47</f>
        <v/>
      </c>
      <c r="L47" s="15">
        <f>IF(C47&gt;0,F47/C47,"")</f>
        <v/>
      </c>
    </row>
    <row r="48">
      <c r="A48" t="inlineStr">
        <is>
          <t>V7BD6859603</t>
        </is>
      </c>
      <c r="B48" t="inlineStr">
        <is>
          <t>RUTS Construction LLC</t>
        </is>
      </c>
      <c r="C48" s="25" t="n">
        <v>6885706.45</v>
      </c>
      <c r="D48" s="18" t="n">
        <v>18</v>
      </c>
      <c r="E48" t="n">
        <v>1</v>
      </c>
      <c r="F48" s="25" t="n">
        <v>6885706.45</v>
      </c>
      <c r="G48" s="15">
        <f>C48/SUM($C$5:$C$155)</f>
        <v/>
      </c>
      <c r="H48" s="15">
        <f>SUM($C$5:C48)/SUM($C$5:$C$155)</f>
        <v/>
      </c>
      <c r="I48">
        <f>RANK.EQ(C48,$C$5:$C$154,0)</f>
        <v/>
      </c>
      <c r="J48">
        <f>IF(H48-G48&lt;0.8,"A",IF(H48-G48&lt;0.95,"B","C"))</f>
        <v/>
      </c>
      <c r="K48" s="25">
        <f>C48/D48</f>
        <v/>
      </c>
      <c r="L48" s="15">
        <f>IF(C48&gt;0,F48/C48,"")</f>
        <v/>
      </c>
    </row>
    <row r="49">
      <c r="A49" t="inlineStr">
        <is>
          <t>V5B7AEF7EDA</t>
        </is>
      </c>
      <c r="B49" t="inlineStr">
        <is>
          <t>Fujitsu North America Inc.</t>
        </is>
      </c>
      <c r="C49" s="25" t="n">
        <v>6754009.12</v>
      </c>
      <c r="D49" s="18" t="n">
        <v>6</v>
      </c>
      <c r="E49" t="n">
        <v>1</v>
      </c>
      <c r="F49" s="25" t="n">
        <v>6754009.12</v>
      </c>
      <c r="G49" s="15">
        <f>C49/SUM($C$5:$C$155)</f>
        <v/>
      </c>
      <c r="H49" s="15">
        <f>SUM($C$5:C49)/SUM($C$5:$C$155)</f>
        <v/>
      </c>
      <c r="I49">
        <f>RANK.EQ(C49,$C$5:$C$154,0)</f>
        <v/>
      </c>
      <c r="J49">
        <f>IF(H49-G49&lt;0.8,"A",IF(H49-G49&lt;0.95,"B","C"))</f>
        <v/>
      </c>
      <c r="K49" s="25">
        <f>C49/D49</f>
        <v/>
      </c>
      <c r="L49" s="15">
        <f>IF(C49&gt;0,F49/C49,"")</f>
        <v/>
      </c>
    </row>
    <row r="50">
      <c r="A50" t="inlineStr">
        <is>
          <t>V06038BCFB0</t>
        </is>
      </c>
      <c r="B50" t="inlineStr">
        <is>
          <t>POLYDYNE INC</t>
        </is>
      </c>
      <c r="C50" s="25" t="n">
        <v>6618662.98</v>
      </c>
      <c r="D50" s="18" t="n">
        <v>55</v>
      </c>
      <c r="E50" t="n">
        <v>1</v>
      </c>
      <c r="F50" s="25" t="n">
        <v>6618662.98</v>
      </c>
      <c r="G50" s="15">
        <f>C50/SUM($C$5:$C$155)</f>
        <v/>
      </c>
      <c r="H50" s="15">
        <f>SUM($C$5:C50)/SUM($C$5:$C$155)</f>
        <v/>
      </c>
      <c r="I50">
        <f>RANK.EQ(C50,$C$5:$C$154,0)</f>
        <v/>
      </c>
      <c r="J50">
        <f>IF(H50-G50&lt;0.8,"A",IF(H50-G50&lt;0.95,"B","C"))</f>
        <v/>
      </c>
      <c r="K50" s="25">
        <f>C50/D50</f>
        <v/>
      </c>
      <c r="L50" s="15">
        <f>IF(C50&gt;0,F50/C50,"")</f>
        <v/>
      </c>
    </row>
    <row r="51">
      <c r="A51" t="inlineStr">
        <is>
          <t>V6FB4167140</t>
        </is>
      </c>
      <c r="B51" t="inlineStr">
        <is>
          <t>POWELL ELECTRICAL SYSTEMS INC</t>
        </is>
      </c>
      <c r="C51" s="25" t="n">
        <v>6489500.09</v>
      </c>
      <c r="D51" s="18" t="n">
        <v>39</v>
      </c>
      <c r="E51" t="n">
        <v>1</v>
      </c>
      <c r="F51" s="25" t="n">
        <v>6489500.09</v>
      </c>
      <c r="G51" s="15">
        <f>C51/SUM($C$5:$C$155)</f>
        <v/>
      </c>
      <c r="H51" s="15">
        <f>SUM($C$5:C51)/SUM($C$5:$C$155)</f>
        <v/>
      </c>
      <c r="I51">
        <f>RANK.EQ(C51,$C$5:$C$154,0)</f>
        <v/>
      </c>
      <c r="J51">
        <f>IF(H51-G51&lt;0.8,"A",IF(H51-G51&lt;0.95,"B","C"))</f>
        <v/>
      </c>
      <c r="K51" s="25">
        <f>C51/D51</f>
        <v/>
      </c>
      <c r="L51" s="15">
        <f>IF(C51&gt;0,F51/C51,"")</f>
        <v/>
      </c>
    </row>
    <row r="52">
      <c r="A52" t="inlineStr">
        <is>
          <t>V6A6340EF1A</t>
        </is>
      </c>
      <c r="B52" t="inlineStr">
        <is>
          <t>Tony Parent Enterprises, Inc.</t>
        </is>
      </c>
      <c r="C52" s="25" t="n">
        <v>6387792.56</v>
      </c>
      <c r="D52" s="18" t="n">
        <v>217</v>
      </c>
      <c r="E52" t="n">
        <v>1</v>
      </c>
      <c r="F52" s="25" t="n">
        <v>6387792.56</v>
      </c>
      <c r="G52" s="15">
        <f>C52/SUM($C$5:$C$155)</f>
        <v/>
      </c>
      <c r="H52" s="15">
        <f>SUM($C$5:C52)/SUM($C$5:$C$155)</f>
        <v/>
      </c>
      <c r="I52">
        <f>RANK.EQ(C52,$C$5:$C$154,0)</f>
        <v/>
      </c>
      <c r="J52">
        <f>IF(H52-G52&lt;0.8,"A",IF(H52-G52&lt;0.95,"B","C"))</f>
        <v/>
      </c>
      <c r="K52" s="25">
        <f>C52/D52</f>
        <v/>
      </c>
      <c r="L52" s="15">
        <f>IF(C52&gt;0,F52/C52,"")</f>
        <v/>
      </c>
    </row>
    <row r="53">
      <c r="A53" t="inlineStr">
        <is>
          <t>V9E02FEE56C</t>
        </is>
      </c>
      <c r="B53" t="inlineStr">
        <is>
          <t>VULCAN CONSTRUCTION MATERIALS LLC</t>
        </is>
      </c>
      <c r="C53" s="25" t="n">
        <v>5972313.87</v>
      </c>
      <c r="D53" s="18" t="n">
        <v>9</v>
      </c>
      <c r="E53" t="n">
        <v>1</v>
      </c>
      <c r="F53" s="25" t="n">
        <v>5972313.87</v>
      </c>
      <c r="G53" s="15">
        <f>C53/SUM($C$5:$C$155)</f>
        <v/>
      </c>
      <c r="H53" s="15">
        <f>SUM($C$5:C53)/SUM($C$5:$C$155)</f>
        <v/>
      </c>
      <c r="I53">
        <f>RANK.EQ(C53,$C$5:$C$154,0)</f>
        <v/>
      </c>
      <c r="J53">
        <f>IF(H53-G53&lt;0.8,"A",IF(H53-G53&lt;0.95,"B","C"))</f>
        <v/>
      </c>
      <c r="K53" s="25">
        <f>C53/D53</f>
        <v/>
      </c>
      <c r="L53" s="15">
        <f>IF(C53&gt;0,F53/C53,"")</f>
        <v/>
      </c>
    </row>
    <row r="54">
      <c r="A54" t="inlineStr">
        <is>
          <t>V6FA6C1285A</t>
        </is>
      </c>
      <c r="B54" t="inlineStr">
        <is>
          <t>Paradigm Contracting LLC</t>
        </is>
      </c>
      <c r="C54" s="25" t="n">
        <v>5804018.43</v>
      </c>
      <c r="D54" s="18" t="n">
        <v>39</v>
      </c>
      <c r="E54" t="n">
        <v>1</v>
      </c>
      <c r="F54" s="25" t="n">
        <v>5804018.43</v>
      </c>
      <c r="G54" s="15">
        <f>C54/SUM($C$5:$C$155)</f>
        <v/>
      </c>
      <c r="H54" s="15">
        <f>SUM($C$5:C54)/SUM($C$5:$C$155)</f>
        <v/>
      </c>
      <c r="I54">
        <f>RANK.EQ(C54,$C$5:$C$154,0)</f>
        <v/>
      </c>
      <c r="J54">
        <f>IF(H54-G54&lt;0.8,"A",IF(H54-G54&lt;0.95,"B","C"))</f>
        <v/>
      </c>
      <c r="K54" s="25">
        <f>C54/D54</f>
        <v/>
      </c>
      <c r="L54" s="15">
        <f>IF(C54&gt;0,F54/C54,"")</f>
        <v/>
      </c>
    </row>
    <row r="55">
      <c r="A55" t="inlineStr">
        <is>
          <t>VB323A5F903</t>
        </is>
      </c>
      <c r="B55" t="inlineStr">
        <is>
          <t>PROFESSIONAL AMBULANCE SALES &amp; SERVICE</t>
        </is>
      </c>
      <c r="C55" s="25" t="n">
        <v>5676100.5</v>
      </c>
      <c r="D55" s="18" t="n">
        <v>3</v>
      </c>
      <c r="E55" t="n">
        <v>1</v>
      </c>
      <c r="F55" s="25" t="n">
        <v>5676100.5</v>
      </c>
      <c r="G55" s="15">
        <f>C55/SUM($C$5:$C$155)</f>
        <v/>
      </c>
      <c r="H55" s="15">
        <f>SUM($C$5:C55)/SUM($C$5:$C$155)</f>
        <v/>
      </c>
      <c r="I55">
        <f>RANK.EQ(C55,$C$5:$C$154,0)</f>
        <v/>
      </c>
      <c r="J55">
        <f>IF(H55-G55&lt;0.8,"A",IF(H55-G55&lt;0.95,"B","C"))</f>
        <v/>
      </c>
      <c r="K55" s="25">
        <f>C55/D55</f>
        <v/>
      </c>
      <c r="L55" s="15">
        <f>IF(C55&gt;0,F55/C55,"")</f>
        <v/>
      </c>
    </row>
    <row r="56">
      <c r="A56" t="inlineStr">
        <is>
          <t>V31C2BEA8D5</t>
        </is>
      </c>
      <c r="B56" t="inlineStr">
        <is>
          <t>Oracle America Inc</t>
        </is>
      </c>
      <c r="C56" s="25" t="n">
        <v>5611650.4</v>
      </c>
      <c r="D56" s="18" t="n">
        <v>6</v>
      </c>
      <c r="E56" t="n">
        <v>1</v>
      </c>
      <c r="F56" s="25" t="n">
        <v>5611650.4</v>
      </c>
      <c r="G56" s="15">
        <f>C56/SUM($C$5:$C$155)</f>
        <v/>
      </c>
      <c r="H56" s="15">
        <f>SUM($C$5:C56)/SUM($C$5:$C$155)</f>
        <v/>
      </c>
      <c r="I56">
        <f>RANK.EQ(C56,$C$5:$C$154,0)</f>
        <v/>
      </c>
      <c r="J56">
        <f>IF(H56-G56&lt;0.8,"A",IF(H56-G56&lt;0.95,"B","C"))</f>
        <v/>
      </c>
      <c r="K56" s="25">
        <f>C56/D56</f>
        <v/>
      </c>
      <c r="L56" s="15">
        <f>IF(C56&gt;0,F56/C56,"")</f>
        <v/>
      </c>
    </row>
    <row r="57">
      <c r="A57" t="inlineStr">
        <is>
          <t>V3DD4FEAFCD</t>
        </is>
      </c>
      <c r="B57" t="inlineStr">
        <is>
          <t>BADGER METER INC</t>
        </is>
      </c>
      <c r="C57" s="25" t="n">
        <v>5595089.91</v>
      </c>
      <c r="D57" s="18" t="n">
        <v>88</v>
      </c>
      <c r="E57" t="n">
        <v>2</v>
      </c>
      <c r="F57" s="25" t="n">
        <v>5561969.91</v>
      </c>
      <c r="G57" s="15">
        <f>C57/SUM($C$5:$C$155)</f>
        <v/>
      </c>
      <c r="H57" s="15">
        <f>SUM($C$5:C57)/SUM($C$5:$C$155)</f>
        <v/>
      </c>
      <c r="I57">
        <f>RANK.EQ(C57,$C$5:$C$154,0)</f>
        <v/>
      </c>
      <c r="J57">
        <f>IF(H57-G57&lt;0.8,"A",IF(H57-G57&lt;0.95,"B","C"))</f>
        <v/>
      </c>
      <c r="K57" s="25">
        <f>C57/D57</f>
        <v/>
      </c>
      <c r="L57" s="15">
        <f>IF(C57&gt;0,F57/C57,"")</f>
        <v/>
      </c>
    </row>
    <row r="58">
      <c r="A58" t="inlineStr">
        <is>
          <t>VC346110944</t>
        </is>
      </c>
      <c r="B58" t="inlineStr">
        <is>
          <t>Summus Industries, Inc.</t>
        </is>
      </c>
      <c r="C58" s="25" t="n">
        <v>5572926.83</v>
      </c>
      <c r="D58" s="18" t="n">
        <v>38</v>
      </c>
      <c r="E58" t="n">
        <v>1</v>
      </c>
      <c r="F58" s="25" t="n">
        <v>5572926.83</v>
      </c>
      <c r="G58" s="15">
        <f>C58/SUM($C$5:$C$155)</f>
        <v/>
      </c>
      <c r="H58" s="15">
        <f>SUM($C$5:C58)/SUM($C$5:$C$155)</f>
        <v/>
      </c>
      <c r="I58">
        <f>RANK.EQ(C58,$C$5:$C$154,0)</f>
        <v/>
      </c>
      <c r="J58">
        <f>IF(H58-G58&lt;0.8,"A",IF(H58-G58&lt;0.95,"B","C"))</f>
        <v/>
      </c>
      <c r="K58" s="25">
        <f>C58/D58</f>
        <v/>
      </c>
      <c r="L58" s="15">
        <f>IF(C58&gt;0,F58/C58,"")</f>
        <v/>
      </c>
    </row>
    <row r="59">
      <c r="A59" t="inlineStr">
        <is>
          <t>V4DD48B78B2</t>
        </is>
      </c>
      <c r="B59" t="inlineStr">
        <is>
          <t>AUSTIN WHITE LIME CO</t>
        </is>
      </c>
      <c r="C59" s="25" t="n">
        <v>5544087.5</v>
      </c>
      <c r="D59" s="18" t="n">
        <v>69</v>
      </c>
      <c r="E59" t="n">
        <v>1</v>
      </c>
      <c r="F59" s="25" t="n">
        <v>5544087.5</v>
      </c>
      <c r="G59" s="15">
        <f>C59/SUM($C$5:$C$155)</f>
        <v/>
      </c>
      <c r="H59" s="15">
        <f>SUM($C$5:C59)/SUM($C$5:$C$155)</f>
        <v/>
      </c>
      <c r="I59">
        <f>RANK.EQ(C59,$C$5:$C$154,0)</f>
        <v/>
      </c>
      <c r="J59">
        <f>IF(H59-G59&lt;0.8,"A",IF(H59-G59&lt;0.95,"B","C"))</f>
        <v/>
      </c>
      <c r="K59" s="25">
        <f>C59/D59</f>
        <v/>
      </c>
      <c r="L59" s="15">
        <f>IF(C59&gt;0,F59/C59,"")</f>
        <v/>
      </c>
    </row>
    <row r="60">
      <c r="A60" t="inlineStr">
        <is>
          <t>VAAC4A5237D</t>
        </is>
      </c>
      <c r="B60" t="inlineStr">
        <is>
          <t>ACT PIPE &amp; SUPPLY INC</t>
        </is>
      </c>
      <c r="C60" s="25" t="n">
        <v>5415236.25</v>
      </c>
      <c r="D60" s="18" t="n">
        <v>172</v>
      </c>
      <c r="E60" t="n">
        <v>6</v>
      </c>
      <c r="F60" s="25" t="n">
        <v>5401535.35</v>
      </c>
      <c r="G60" s="15">
        <f>C60/SUM($C$5:$C$155)</f>
        <v/>
      </c>
      <c r="H60" s="15">
        <f>SUM($C$5:C60)/SUM($C$5:$C$155)</f>
        <v/>
      </c>
      <c r="I60">
        <f>RANK.EQ(C60,$C$5:$C$154,0)</f>
        <v/>
      </c>
      <c r="J60">
        <f>IF(H60-G60&lt;0.8,"A",IF(H60-G60&lt;0.95,"B","C"))</f>
        <v/>
      </c>
      <c r="K60" s="25">
        <f>C60/D60</f>
        <v/>
      </c>
      <c r="L60" s="15">
        <f>IF(C60&gt;0,F60/C60,"")</f>
        <v/>
      </c>
    </row>
    <row r="61">
      <c r="A61" t="inlineStr">
        <is>
          <t>V8B94E1978B</t>
        </is>
      </c>
      <c r="B61" t="inlineStr">
        <is>
          <t>HELICOPTER SERVICES, INC.</t>
        </is>
      </c>
      <c r="C61" s="25" t="n">
        <v>5408002.74</v>
      </c>
      <c r="D61" s="18" t="n">
        <v>12</v>
      </c>
      <c r="E61" t="n">
        <v>1</v>
      </c>
      <c r="F61" s="25" t="n">
        <v>45646.37</v>
      </c>
      <c r="G61" s="15">
        <f>C61/SUM($C$5:$C$155)</f>
        <v/>
      </c>
      <c r="H61" s="15">
        <f>SUM($C$5:C61)/SUM($C$5:$C$155)</f>
        <v/>
      </c>
      <c r="I61">
        <f>RANK.EQ(C61,$C$5:$C$154,0)</f>
        <v/>
      </c>
      <c r="J61">
        <f>IF(H61-G61&lt;0.8,"A",IF(H61-G61&lt;0.95,"B","C"))</f>
        <v/>
      </c>
      <c r="K61" s="25">
        <f>C61/D61</f>
        <v/>
      </c>
      <c r="L61" s="15">
        <f>IF(C61&gt;0,F61/C61,"")</f>
        <v/>
      </c>
    </row>
    <row r="62">
      <c r="A62" t="inlineStr">
        <is>
          <t>V1698CEF255</t>
        </is>
      </c>
      <c r="B62" t="inlineStr">
        <is>
          <t>ZOLL Medical Corporation</t>
        </is>
      </c>
      <c r="C62" s="25" t="n">
        <v>5387927.74</v>
      </c>
      <c r="D62" s="18" t="n">
        <v>195</v>
      </c>
      <c r="E62" t="n">
        <v>6</v>
      </c>
      <c r="F62" s="25" t="n">
        <v>5378752.05</v>
      </c>
      <c r="G62" s="15">
        <f>C62/SUM($C$5:$C$155)</f>
        <v/>
      </c>
      <c r="H62" s="15">
        <f>SUM($C$5:C62)/SUM($C$5:$C$155)</f>
        <v/>
      </c>
      <c r="I62">
        <f>RANK.EQ(C62,$C$5:$C$154,0)</f>
        <v/>
      </c>
      <c r="J62">
        <f>IF(H62-G62&lt;0.8,"A",IF(H62-G62&lt;0.95,"B","C"))</f>
        <v/>
      </c>
      <c r="K62" s="25">
        <f>C62/D62</f>
        <v/>
      </c>
      <c r="L62" s="15">
        <f>IF(C62&gt;0,F62/C62,"")</f>
        <v/>
      </c>
    </row>
    <row r="63">
      <c r="A63" t="inlineStr">
        <is>
          <t>V4718C43D51</t>
        </is>
      </c>
      <c r="B63" t="inlineStr">
        <is>
          <t>SANTEX TRUCK CENTER LTD</t>
        </is>
      </c>
      <c r="C63" s="25" t="n">
        <v>5040104</v>
      </c>
      <c r="D63" s="18" t="n">
        <v>10</v>
      </c>
      <c r="E63" t="n">
        <v>1</v>
      </c>
      <c r="F63" s="25" t="n">
        <v>5040104</v>
      </c>
      <c r="G63" s="15">
        <f>C63/SUM($C$5:$C$155)</f>
        <v/>
      </c>
      <c r="H63" s="15">
        <f>SUM($C$5:C63)/SUM($C$5:$C$155)</f>
        <v/>
      </c>
      <c r="I63">
        <f>RANK.EQ(C63,$C$5:$C$154,0)</f>
        <v/>
      </c>
      <c r="J63">
        <f>IF(H63-G63&lt;0.8,"A",IF(H63-G63&lt;0.95,"B","C"))</f>
        <v/>
      </c>
      <c r="K63" s="25">
        <f>C63/D63</f>
        <v/>
      </c>
      <c r="L63" s="15">
        <f>IF(C63&gt;0,F63/C63,"")</f>
        <v/>
      </c>
    </row>
    <row r="64">
      <c r="A64" t="inlineStr">
        <is>
          <t>V50570B8697</t>
        </is>
      </c>
      <c r="B64" t="inlineStr">
        <is>
          <t>BTAC Acquisition Corp.</t>
        </is>
      </c>
      <c r="C64" s="25" t="n">
        <v>5030730.31</v>
      </c>
      <c r="D64" s="18" t="n">
        <v>84</v>
      </c>
      <c r="E64" t="n">
        <v>1</v>
      </c>
      <c r="F64" s="25" t="n">
        <v>5030730.31</v>
      </c>
      <c r="G64" s="15">
        <f>C64/SUM($C$5:$C$155)</f>
        <v/>
      </c>
      <c r="H64" s="15">
        <f>SUM($C$5:C64)/SUM($C$5:$C$155)</f>
        <v/>
      </c>
      <c r="I64">
        <f>RANK.EQ(C64,$C$5:$C$154,0)</f>
        <v/>
      </c>
      <c r="J64">
        <f>IF(H64-G64&lt;0.8,"A",IF(H64-G64&lt;0.95,"B","C"))</f>
        <v/>
      </c>
      <c r="K64" s="25">
        <f>C64/D64</f>
        <v/>
      </c>
      <c r="L64" s="15">
        <f>IF(C64&gt;0,F64/C64,"")</f>
        <v/>
      </c>
    </row>
    <row r="65">
      <c r="A65" t="inlineStr">
        <is>
          <t>V612855E185</t>
        </is>
      </c>
      <c r="B65" t="inlineStr">
        <is>
          <t>INSIGHT PUBLIC SECTOR INC</t>
        </is>
      </c>
      <c r="C65" s="25" t="n">
        <v>5021264.57</v>
      </c>
      <c r="D65" s="18" t="n">
        <v>183</v>
      </c>
      <c r="E65" t="n">
        <v>13</v>
      </c>
      <c r="F65" s="25" t="n">
        <v>4315731.29</v>
      </c>
      <c r="G65" s="15">
        <f>C65/SUM($C$5:$C$155)</f>
        <v/>
      </c>
      <c r="H65" s="15">
        <f>SUM($C$5:C65)/SUM($C$5:$C$155)</f>
        <v/>
      </c>
      <c r="I65">
        <f>RANK.EQ(C65,$C$5:$C$154,0)</f>
        <v/>
      </c>
      <c r="J65">
        <f>IF(H65-G65&lt;0.8,"A",IF(H65-G65&lt;0.95,"B","C"))</f>
        <v/>
      </c>
      <c r="K65" s="25">
        <f>C65/D65</f>
        <v/>
      </c>
      <c r="L65" s="15">
        <f>IF(C65&gt;0,F65/C65,"")</f>
        <v/>
      </c>
    </row>
    <row r="66">
      <c r="A66" t="inlineStr">
        <is>
          <t>VFE35B1BBEB</t>
        </is>
      </c>
      <c r="B66" t="inlineStr">
        <is>
          <t>DENUCCI CONSTRUCTORS L L C</t>
        </is>
      </c>
      <c r="C66" s="25" t="n">
        <v>4812701.23</v>
      </c>
      <c r="D66" s="18" t="n">
        <v>13</v>
      </c>
      <c r="E66" t="n">
        <v>1</v>
      </c>
      <c r="F66" s="25" t="n">
        <v>4812701.23</v>
      </c>
      <c r="G66" s="15">
        <f>C66/SUM($C$5:$C$155)</f>
        <v/>
      </c>
      <c r="H66" s="15">
        <f>SUM($C$5:C66)/SUM($C$5:$C$155)</f>
        <v/>
      </c>
      <c r="I66">
        <f>RANK.EQ(C66,$C$5:$C$154,0)</f>
        <v/>
      </c>
      <c r="J66">
        <f>IF(H66-G66&lt;0.8,"A",IF(H66-G66&lt;0.95,"B","C"))</f>
        <v/>
      </c>
      <c r="K66" s="25">
        <f>C66/D66</f>
        <v/>
      </c>
      <c r="L66" s="15">
        <f>IF(C66&gt;0,F66/C66,"")</f>
        <v/>
      </c>
    </row>
    <row r="67">
      <c r="A67" t="inlineStr">
        <is>
          <t>V8DFF73B4C3</t>
        </is>
      </c>
      <c r="B67" t="inlineStr">
        <is>
          <t>Lauren Concrete Inc.</t>
        </is>
      </c>
      <c r="C67" s="25" t="n">
        <v>4760925.13</v>
      </c>
      <c r="D67" s="18" t="n">
        <v>216</v>
      </c>
      <c r="E67" t="n">
        <v>1</v>
      </c>
      <c r="F67" s="25" t="n">
        <v>4760925.13</v>
      </c>
      <c r="G67" s="15">
        <f>C67/SUM($C$5:$C$155)</f>
        <v/>
      </c>
      <c r="H67" s="15">
        <f>SUM($C$5:C67)/SUM($C$5:$C$155)</f>
        <v/>
      </c>
      <c r="I67">
        <f>RANK.EQ(C67,$C$5:$C$154,0)</f>
        <v/>
      </c>
      <c r="J67">
        <f>IF(H67-G67&lt;0.8,"A",IF(H67-G67&lt;0.95,"B","C"))</f>
        <v/>
      </c>
      <c r="K67" s="25">
        <f>C67/D67</f>
        <v/>
      </c>
      <c r="L67" s="15">
        <f>IF(C67&gt;0,F67/C67,"")</f>
        <v/>
      </c>
    </row>
    <row r="68">
      <c r="A68" t="inlineStr">
        <is>
          <t>V1EFA05FA7F</t>
        </is>
      </c>
      <c r="B68" t="inlineStr">
        <is>
          <t>SANTA CLARA CONSTRUCTION LTD</t>
        </is>
      </c>
      <c r="C68" s="25" t="n">
        <v>4758242.17</v>
      </c>
      <c r="D68" s="18" t="n">
        <v>1</v>
      </c>
      <c r="E68" t="n">
        <v>1</v>
      </c>
      <c r="F68" s="25" t="n">
        <v>0</v>
      </c>
      <c r="G68" s="15">
        <f>C68/SUM($C$5:$C$155)</f>
        <v/>
      </c>
      <c r="H68" s="15">
        <f>SUM($C$5:C68)/SUM($C$5:$C$155)</f>
        <v/>
      </c>
      <c r="I68">
        <f>RANK.EQ(C68,$C$5:$C$154,0)</f>
        <v/>
      </c>
      <c r="J68">
        <f>IF(H68-G68&lt;0.8,"A",IF(H68-G68&lt;0.95,"B","C"))</f>
        <v/>
      </c>
      <c r="K68" s="25">
        <f>C68/D68</f>
        <v/>
      </c>
      <c r="L68" s="15">
        <f>IF(C68&gt;0,F68/C68,"")</f>
        <v/>
      </c>
    </row>
    <row r="69">
      <c r="A69" t="inlineStr">
        <is>
          <t>V5C37B90CA3</t>
        </is>
      </c>
      <c r="B69" t="inlineStr">
        <is>
          <t>HEART OF TEXAS MUSIC, INC</t>
        </is>
      </c>
      <c r="C69" s="25" t="n">
        <v>4648519.21</v>
      </c>
      <c r="D69" s="18" t="n">
        <v>51</v>
      </c>
      <c r="E69" t="n">
        <v>3</v>
      </c>
      <c r="F69" s="25" t="n">
        <v>4643142.26</v>
      </c>
      <c r="G69" s="15">
        <f>C69/SUM($C$5:$C$155)</f>
        <v/>
      </c>
      <c r="H69" s="15">
        <f>SUM($C$5:C69)/SUM($C$5:$C$155)</f>
        <v/>
      </c>
      <c r="I69">
        <f>RANK.EQ(C69,$C$5:$C$154,0)</f>
        <v/>
      </c>
      <c r="J69">
        <f>IF(H69-G69&lt;0.8,"A",IF(H69-G69&lt;0.95,"B","C"))</f>
        <v/>
      </c>
      <c r="K69" s="25">
        <f>C69/D69</f>
        <v/>
      </c>
      <c r="L69" s="15">
        <f>IF(C69&gt;0,F69/C69,"")</f>
        <v/>
      </c>
    </row>
    <row r="70">
      <c r="A70" t="inlineStr">
        <is>
          <t>VB718FDA35D</t>
        </is>
      </c>
      <c r="B70" t="inlineStr">
        <is>
          <t>MES I Acquisition Inc</t>
        </is>
      </c>
      <c r="C70" s="25" t="n">
        <v>4628955.17</v>
      </c>
      <c r="D70" s="18" t="n">
        <v>42</v>
      </c>
      <c r="E70" t="n">
        <v>2</v>
      </c>
      <c r="F70" s="25" t="n">
        <v>4624458.38</v>
      </c>
      <c r="G70" s="15">
        <f>C70/SUM($C$5:$C$155)</f>
        <v/>
      </c>
      <c r="H70" s="15">
        <f>SUM($C$5:C70)/SUM($C$5:$C$155)</f>
        <v/>
      </c>
      <c r="I70">
        <f>RANK.EQ(C70,$C$5:$C$154,0)</f>
        <v/>
      </c>
      <c r="J70">
        <f>IF(H70-G70&lt;0.8,"A",IF(H70-G70&lt;0.95,"B","C"))</f>
        <v/>
      </c>
      <c r="K70" s="25">
        <f>C70/D70</f>
        <v/>
      </c>
      <c r="L70" s="15">
        <f>IF(C70&gt;0,F70/C70,"")</f>
        <v/>
      </c>
    </row>
    <row r="71">
      <c r="A71" t="inlineStr">
        <is>
          <t>V225644052C</t>
        </is>
      </c>
      <c r="B71" t="inlineStr">
        <is>
          <t>Condy Holdings LLC</t>
        </is>
      </c>
      <c r="C71" s="25" t="n">
        <v>4555911.44</v>
      </c>
      <c r="D71" s="18" t="n">
        <v>94</v>
      </c>
      <c r="E71" t="n">
        <v>1</v>
      </c>
      <c r="F71" s="25" t="n">
        <v>4555911.44</v>
      </c>
      <c r="G71" s="15">
        <f>C71/SUM($C$5:$C$155)</f>
        <v/>
      </c>
      <c r="H71" s="15">
        <f>SUM($C$5:C71)/SUM($C$5:$C$155)</f>
        <v/>
      </c>
      <c r="I71">
        <f>RANK.EQ(C71,$C$5:$C$154,0)</f>
        <v/>
      </c>
      <c r="J71">
        <f>IF(H71-G71&lt;0.8,"A",IF(H71-G71&lt;0.95,"B","C"))</f>
        <v/>
      </c>
      <c r="K71" s="25">
        <f>C71/D71</f>
        <v/>
      </c>
      <c r="L71" s="15">
        <f>IF(C71&gt;0,F71/C71,"")</f>
        <v/>
      </c>
    </row>
    <row r="72">
      <c r="A72" t="inlineStr">
        <is>
          <t>V112195CA69</t>
        </is>
      </c>
      <c r="B72" t="inlineStr">
        <is>
          <t>MCKESSON MEDICAL-SURGICAL INC</t>
        </is>
      </c>
      <c r="C72" s="25" t="n">
        <v>4510778.84</v>
      </c>
      <c r="D72" s="18" t="n">
        <v>384</v>
      </c>
      <c r="E72" t="n">
        <v>8</v>
      </c>
      <c r="F72" s="25" t="n">
        <v>4493184.31</v>
      </c>
      <c r="G72" s="15">
        <f>C72/SUM($C$5:$C$155)</f>
        <v/>
      </c>
      <c r="H72" s="15">
        <f>SUM($C$5:C72)/SUM($C$5:$C$155)</f>
        <v/>
      </c>
      <c r="I72">
        <f>RANK.EQ(C72,$C$5:$C$154,0)</f>
        <v/>
      </c>
      <c r="J72">
        <f>IF(H72-G72&lt;0.8,"A",IF(H72-G72&lt;0.95,"B","C"))</f>
        <v/>
      </c>
      <c r="K72" s="25">
        <f>C72/D72</f>
        <v/>
      </c>
      <c r="L72" s="15">
        <f>IF(C72&gt;0,F72/C72,"")</f>
        <v/>
      </c>
    </row>
    <row r="73">
      <c r="A73" t="inlineStr">
        <is>
          <t>V0FDF71A2D3</t>
        </is>
      </c>
      <c r="B73" t="inlineStr">
        <is>
          <t>MAGNUM CUSTOM TRAILER MFG CO INC</t>
        </is>
      </c>
      <c r="C73" s="25" t="n">
        <v>4505731.43</v>
      </c>
      <c r="D73" s="18" t="n">
        <v>82</v>
      </c>
      <c r="E73" t="n">
        <v>3</v>
      </c>
      <c r="F73" s="25" t="n">
        <v>4497591.43</v>
      </c>
      <c r="G73" s="15">
        <f>C73/SUM($C$5:$C$155)</f>
        <v/>
      </c>
      <c r="H73" s="15">
        <f>SUM($C$5:C73)/SUM($C$5:$C$155)</f>
        <v/>
      </c>
      <c r="I73">
        <f>RANK.EQ(C73,$C$5:$C$154,0)</f>
        <v/>
      </c>
      <c r="J73">
        <f>IF(H73-G73&lt;0.8,"A",IF(H73-G73&lt;0.95,"B","C"))</f>
        <v/>
      </c>
      <c r="K73" s="25">
        <f>C73/D73</f>
        <v/>
      </c>
      <c r="L73" s="15">
        <f>IF(C73&gt;0,F73/C73,"")</f>
        <v/>
      </c>
    </row>
    <row r="74">
      <c r="A74" t="inlineStr">
        <is>
          <t>VA4F105C319</t>
        </is>
      </c>
      <c r="B74" t="inlineStr">
        <is>
          <t>Delta Fire &amp; Safety Inc</t>
        </is>
      </c>
      <c r="C74" s="25" t="n">
        <v>4490580.6</v>
      </c>
      <c r="D74" s="18" t="n">
        <v>105</v>
      </c>
      <c r="E74" t="n">
        <v>4</v>
      </c>
      <c r="F74" s="25" t="n">
        <v>4405551.7</v>
      </c>
      <c r="G74" s="15">
        <f>C74/SUM($C$5:$C$155)</f>
        <v/>
      </c>
      <c r="H74" s="15">
        <f>SUM($C$5:C74)/SUM($C$5:$C$155)</f>
        <v/>
      </c>
      <c r="I74">
        <f>RANK.EQ(C74,$C$5:$C$154,0)</f>
        <v/>
      </c>
      <c r="J74">
        <f>IF(H74-G74&lt;0.8,"A",IF(H74-G74&lt;0.95,"B","C"))</f>
        <v/>
      </c>
      <c r="K74" s="25">
        <f>C74/D74</f>
        <v/>
      </c>
      <c r="L74" s="15">
        <f>IF(C74&gt;0,F74/C74,"")</f>
        <v/>
      </c>
    </row>
    <row r="75">
      <c r="A75" t="inlineStr">
        <is>
          <t>V10E09D62CB</t>
        </is>
      </c>
      <c r="B75" t="inlineStr">
        <is>
          <t>MARK III SYSTEMS INC</t>
        </is>
      </c>
      <c r="C75" s="25" t="n">
        <v>4386366.86</v>
      </c>
      <c r="D75" s="18" t="n">
        <v>5</v>
      </c>
      <c r="E75" t="n">
        <v>2</v>
      </c>
      <c r="F75" s="25" t="n">
        <v>4373742.86</v>
      </c>
      <c r="G75" s="15">
        <f>C75/SUM($C$5:$C$155)</f>
        <v/>
      </c>
      <c r="H75" s="15">
        <f>SUM($C$5:C75)/SUM($C$5:$C$155)</f>
        <v/>
      </c>
      <c r="I75">
        <f>RANK.EQ(C75,$C$5:$C$154,0)</f>
        <v/>
      </c>
      <c r="J75">
        <f>IF(H75-G75&lt;0.8,"A",IF(H75-G75&lt;0.95,"B","C"))</f>
        <v/>
      </c>
      <c r="K75" s="25">
        <f>C75/D75</f>
        <v/>
      </c>
      <c r="L75" s="15">
        <f>IF(C75&gt;0,F75/C75,"")</f>
        <v/>
      </c>
    </row>
    <row r="76">
      <c r="A76" t="inlineStr">
        <is>
          <t>VF486007F54</t>
        </is>
      </c>
      <c r="B76" t="inlineStr">
        <is>
          <t>MATERA PAPER COMPANY INC</t>
        </is>
      </c>
      <c r="C76" s="25" t="n">
        <v>4339925.2</v>
      </c>
      <c r="D76" s="18" t="n">
        <v>19</v>
      </c>
      <c r="E76" t="n">
        <v>1</v>
      </c>
      <c r="F76" s="25" t="n">
        <v>4339925.2</v>
      </c>
      <c r="G76" s="15">
        <f>C76/SUM($C$5:$C$155)</f>
        <v/>
      </c>
      <c r="H76" s="15">
        <f>SUM($C$5:C76)/SUM($C$5:$C$155)</f>
        <v/>
      </c>
      <c r="I76">
        <f>RANK.EQ(C76,$C$5:$C$154,0)</f>
        <v/>
      </c>
      <c r="J76">
        <f>IF(H76-G76&lt;0.8,"A",IF(H76-G76&lt;0.95,"B","C"))</f>
        <v/>
      </c>
      <c r="K76" s="25">
        <f>C76/D76</f>
        <v/>
      </c>
      <c r="L76" s="15">
        <f>IF(C76&gt;0,F76/C76,"")</f>
        <v/>
      </c>
    </row>
    <row r="77">
      <c r="A77" t="inlineStr">
        <is>
          <t>V08D07292B8</t>
        </is>
      </c>
      <c r="B77" t="inlineStr">
        <is>
          <t>GALLS LLC</t>
        </is>
      </c>
      <c r="C77" s="25" t="n">
        <v>4275753.26</v>
      </c>
      <c r="D77" s="18" t="n">
        <v>43</v>
      </c>
      <c r="E77" t="n">
        <v>2</v>
      </c>
      <c r="F77" s="25" t="n">
        <v>4275753.26</v>
      </c>
      <c r="G77" s="15">
        <f>C77/SUM($C$5:$C$155)</f>
        <v/>
      </c>
      <c r="H77" s="15">
        <f>SUM($C$5:C77)/SUM($C$5:$C$155)</f>
        <v/>
      </c>
      <c r="I77">
        <f>RANK.EQ(C77,$C$5:$C$154,0)</f>
        <v/>
      </c>
      <c r="J77">
        <f>IF(H77-G77&lt;0.8,"A",IF(H77-G77&lt;0.95,"B","C"))</f>
        <v/>
      </c>
      <c r="K77" s="25">
        <f>C77/D77</f>
        <v/>
      </c>
      <c r="L77" s="15">
        <f>IF(C77&gt;0,F77/C77,"")</f>
        <v/>
      </c>
    </row>
    <row r="78">
      <c r="A78" t="inlineStr">
        <is>
          <t>V4FEBD95C4A</t>
        </is>
      </c>
      <c r="B78" t="inlineStr">
        <is>
          <t>COUFAL-PRATER EQUIPMENT LLC</t>
        </is>
      </c>
      <c r="C78" s="25" t="n">
        <v>4261293.29</v>
      </c>
      <c r="D78" s="18" t="n">
        <v>37</v>
      </c>
      <c r="E78" t="n">
        <v>5</v>
      </c>
      <c r="F78" s="25" t="n">
        <v>4246287.24</v>
      </c>
      <c r="G78" s="15">
        <f>C78/SUM($C$5:$C$155)</f>
        <v/>
      </c>
      <c r="H78" s="15">
        <f>SUM($C$5:C78)/SUM($C$5:$C$155)</f>
        <v/>
      </c>
      <c r="I78">
        <f>RANK.EQ(C78,$C$5:$C$154,0)</f>
        <v/>
      </c>
      <c r="J78">
        <f>IF(H78-G78&lt;0.8,"A",IF(H78-G78&lt;0.95,"B","C"))</f>
        <v/>
      </c>
      <c r="K78" s="25">
        <f>C78/D78</f>
        <v/>
      </c>
      <c r="L78" s="15">
        <f>IF(C78&gt;0,F78/C78,"")</f>
        <v/>
      </c>
    </row>
    <row r="79">
      <c r="A79" t="inlineStr">
        <is>
          <t>V32967E0A71</t>
        </is>
      </c>
      <c r="B79" t="inlineStr">
        <is>
          <t>PARADIGM TRAFFIC SYSTEMS INC</t>
        </is>
      </c>
      <c r="C79" s="25" t="n">
        <v>4228747.5</v>
      </c>
      <c r="D79" s="18" t="n">
        <v>40</v>
      </c>
      <c r="E79" t="n">
        <v>4</v>
      </c>
      <c r="F79" s="25" t="n">
        <v>4089611.5</v>
      </c>
      <c r="G79" s="15">
        <f>C79/SUM($C$5:$C$155)</f>
        <v/>
      </c>
      <c r="H79" s="15">
        <f>SUM($C$5:C79)/SUM($C$5:$C$155)</f>
        <v/>
      </c>
      <c r="I79">
        <f>RANK.EQ(C79,$C$5:$C$154,0)</f>
        <v/>
      </c>
      <c r="J79">
        <f>IF(H79-G79&lt;0.8,"A",IF(H79-G79&lt;0.95,"B","C"))</f>
        <v/>
      </c>
      <c r="K79" s="25">
        <f>C79/D79</f>
        <v/>
      </c>
      <c r="L79" s="15">
        <f>IF(C79&gt;0,F79/C79,"")</f>
        <v/>
      </c>
    </row>
    <row r="80">
      <c r="A80" t="inlineStr">
        <is>
          <t>V6ABE1D986D</t>
        </is>
      </c>
      <c r="B80" t="inlineStr">
        <is>
          <t>CONSOLIDATED TRAFFIC CONTROLS INC</t>
        </is>
      </c>
      <c r="C80" s="25" t="n">
        <v>4122642.1</v>
      </c>
      <c r="D80" s="18" t="n">
        <v>131</v>
      </c>
      <c r="E80" t="n">
        <v>9</v>
      </c>
      <c r="F80" s="25" t="n">
        <v>3656874.65</v>
      </c>
      <c r="G80" s="15">
        <f>C80/SUM($C$5:$C$155)</f>
        <v/>
      </c>
      <c r="H80" s="15">
        <f>SUM($C$5:C80)/SUM($C$5:$C$155)</f>
        <v/>
      </c>
      <c r="I80">
        <f>RANK.EQ(C80,$C$5:$C$154,0)</f>
        <v/>
      </c>
      <c r="J80">
        <f>IF(H80-G80&lt;0.8,"A",IF(H80-G80&lt;0.95,"B","C"))</f>
        <v/>
      </c>
      <c r="K80" s="25">
        <f>C80/D80</f>
        <v/>
      </c>
      <c r="L80" s="15">
        <f>IF(C80&gt;0,F80/C80,"")</f>
        <v/>
      </c>
    </row>
    <row r="81">
      <c r="A81" t="inlineStr">
        <is>
          <t>V3447B874A5</t>
        </is>
      </c>
      <c r="B81" t="inlineStr">
        <is>
          <t>Model 1 Commercial Vehicles, Inc</t>
        </is>
      </c>
      <c r="C81" s="25" t="n">
        <v>4116798.26</v>
      </c>
      <c r="D81" s="18" t="n">
        <v>3</v>
      </c>
      <c r="E81" t="n">
        <v>1</v>
      </c>
      <c r="F81" s="25" t="n">
        <v>4116798.26</v>
      </c>
      <c r="G81" s="15">
        <f>C81/SUM($C$5:$C$155)</f>
        <v/>
      </c>
      <c r="H81" s="15">
        <f>SUM($C$5:C81)/SUM($C$5:$C$155)</f>
        <v/>
      </c>
      <c r="I81">
        <f>RANK.EQ(C81,$C$5:$C$154,0)</f>
        <v/>
      </c>
      <c r="J81">
        <f>IF(H81-G81&lt;0.8,"A",IF(H81-G81&lt;0.95,"B","C"))</f>
        <v/>
      </c>
      <c r="K81" s="25">
        <f>C81/D81</f>
        <v/>
      </c>
      <c r="L81" s="15">
        <f>IF(C81&gt;0,F81/C81,"")</f>
        <v/>
      </c>
    </row>
    <row r="82">
      <c r="A82" t="inlineStr">
        <is>
          <t>V4C5C9CD1CD</t>
        </is>
      </c>
      <c r="B82" t="inlineStr">
        <is>
          <t>TEXAN WASTE EQUIPMENT INC</t>
        </is>
      </c>
      <c r="C82" s="25" t="n">
        <v>4069666.92</v>
      </c>
      <c r="D82" s="18" t="n">
        <v>15</v>
      </c>
      <c r="E82" t="n">
        <v>5</v>
      </c>
      <c r="F82" s="25" t="n">
        <v>4051317.79</v>
      </c>
      <c r="G82" s="15">
        <f>C82/SUM($C$5:$C$155)</f>
        <v/>
      </c>
      <c r="H82" s="15">
        <f>SUM($C$5:C82)/SUM($C$5:$C$155)</f>
        <v/>
      </c>
      <c r="I82">
        <f>RANK.EQ(C82,$C$5:$C$154,0)</f>
        <v/>
      </c>
      <c r="J82">
        <f>IF(H82-G82&lt;0.8,"A",IF(H82-G82&lt;0.95,"B","C"))</f>
        <v/>
      </c>
      <c r="K82" s="25">
        <f>C82/D82</f>
        <v/>
      </c>
      <c r="L82" s="15">
        <f>IF(C82&gt;0,F82/C82,"")</f>
        <v/>
      </c>
    </row>
    <row r="83">
      <c r="A83" t="inlineStr">
        <is>
          <t>V72E8CC8093</t>
        </is>
      </c>
      <c r="B83" t="inlineStr">
        <is>
          <t>Texas Lime Company</t>
        </is>
      </c>
      <c r="C83" s="25" t="n">
        <v>3939429.6</v>
      </c>
      <c r="D83" s="18" t="n">
        <v>7</v>
      </c>
      <c r="E83" t="n">
        <v>1</v>
      </c>
      <c r="F83" s="25" t="n">
        <v>3939429.6</v>
      </c>
      <c r="G83" s="15">
        <f>C83/SUM($C$5:$C$155)</f>
        <v/>
      </c>
      <c r="H83" s="15">
        <f>SUM($C$5:C83)/SUM($C$5:$C$155)</f>
        <v/>
      </c>
      <c r="I83">
        <f>RANK.EQ(C83,$C$5:$C$154,0)</f>
        <v/>
      </c>
      <c r="J83">
        <f>IF(H83-G83&lt;0.8,"A",IF(H83-G83&lt;0.95,"B","C"))</f>
        <v/>
      </c>
      <c r="K83" s="25">
        <f>C83/D83</f>
        <v/>
      </c>
      <c r="L83" s="15">
        <f>IF(C83&gt;0,F83/C83,"")</f>
        <v/>
      </c>
    </row>
    <row r="84">
      <c r="A84" t="inlineStr">
        <is>
          <t>V9CB4175743</t>
        </is>
      </c>
      <c r="B84" t="inlineStr">
        <is>
          <t>Alfred Williams &amp; Company</t>
        </is>
      </c>
      <c r="C84" s="25" t="n">
        <v>3933599.16</v>
      </c>
      <c r="D84" s="18" t="n">
        <v>29</v>
      </c>
      <c r="E84" t="n">
        <v>1</v>
      </c>
      <c r="F84" s="25" t="n">
        <v>3209129.14</v>
      </c>
      <c r="G84" s="15">
        <f>C84/SUM($C$5:$C$155)</f>
        <v/>
      </c>
      <c r="H84" s="15">
        <f>SUM($C$5:C84)/SUM($C$5:$C$155)</f>
        <v/>
      </c>
      <c r="I84">
        <f>RANK.EQ(C84,$C$5:$C$154,0)</f>
        <v/>
      </c>
      <c r="J84">
        <f>IF(H84-G84&lt;0.8,"A",IF(H84-G84&lt;0.95,"B","C"))</f>
        <v/>
      </c>
      <c r="K84" s="25">
        <f>C84/D84</f>
        <v/>
      </c>
      <c r="L84" s="15">
        <f>IF(C84&gt;0,F84/C84,"")</f>
        <v/>
      </c>
    </row>
    <row r="85">
      <c r="A85" t="inlineStr">
        <is>
          <t>V9DDF92417F</t>
        </is>
      </c>
      <c r="B85" t="inlineStr">
        <is>
          <t>LEIF JOHNSON FORD II LTD</t>
        </is>
      </c>
      <c r="C85" s="25" t="n">
        <v>3904256.96</v>
      </c>
      <c r="D85" s="18" t="n">
        <v>101</v>
      </c>
      <c r="E85" t="n">
        <v>1</v>
      </c>
      <c r="F85" s="25" t="n">
        <v>3904256.96</v>
      </c>
      <c r="G85" s="15">
        <f>C85/SUM($C$5:$C$155)</f>
        <v/>
      </c>
      <c r="H85" s="15">
        <f>SUM($C$5:C85)/SUM($C$5:$C$155)</f>
        <v/>
      </c>
      <c r="I85">
        <f>RANK.EQ(C85,$C$5:$C$154,0)</f>
        <v/>
      </c>
      <c r="J85">
        <f>IF(H85-G85&lt;0.8,"A",IF(H85-G85&lt;0.95,"B","C"))</f>
        <v/>
      </c>
      <c r="K85" s="25">
        <f>C85/D85</f>
        <v/>
      </c>
      <c r="L85" s="15">
        <f>IF(C85&gt;0,F85/C85,"")</f>
        <v/>
      </c>
    </row>
    <row r="86">
      <c r="A86" t="inlineStr">
        <is>
          <t>VCB94529956</t>
        </is>
      </c>
      <c r="B86" t="inlineStr">
        <is>
          <t>DXI INDUSTRIES INC</t>
        </is>
      </c>
      <c r="C86" s="25" t="n">
        <v>3901178.01</v>
      </c>
      <c r="D86" s="18" t="n">
        <v>90</v>
      </c>
      <c r="E86" t="n">
        <v>1</v>
      </c>
      <c r="F86" s="25" t="n">
        <v>3901178.01</v>
      </c>
      <c r="G86" s="15">
        <f>C86/SUM($C$5:$C$155)</f>
        <v/>
      </c>
      <c r="H86" s="15">
        <f>SUM($C$5:C86)/SUM($C$5:$C$155)</f>
        <v/>
      </c>
      <c r="I86">
        <f>RANK.EQ(C86,$C$5:$C$154,0)</f>
        <v/>
      </c>
      <c r="J86">
        <f>IF(H86-G86&lt;0.8,"A",IF(H86-G86&lt;0.95,"B","C"))</f>
        <v/>
      </c>
      <c r="K86" s="25">
        <f>C86/D86</f>
        <v/>
      </c>
      <c r="L86" s="15">
        <f>IF(C86&gt;0,F86/C86,"")</f>
        <v/>
      </c>
    </row>
    <row r="87">
      <c r="A87" t="inlineStr">
        <is>
          <t>VA3416C6395</t>
        </is>
      </c>
      <c r="B87" t="inlineStr">
        <is>
          <t>COMMUNITY TRUCKING LLC</t>
        </is>
      </c>
      <c r="C87" s="25" t="n">
        <v>3866422.11</v>
      </c>
      <c r="D87" s="18" t="n">
        <v>594</v>
      </c>
      <c r="E87" t="n">
        <v>3</v>
      </c>
      <c r="F87" s="25" t="n">
        <v>3850705.67</v>
      </c>
      <c r="G87" s="15">
        <f>C87/SUM($C$5:$C$155)</f>
        <v/>
      </c>
      <c r="H87" s="15">
        <f>SUM($C$5:C87)/SUM($C$5:$C$155)</f>
        <v/>
      </c>
      <c r="I87">
        <f>RANK.EQ(C87,$C$5:$C$154,0)</f>
        <v/>
      </c>
      <c r="J87">
        <f>IF(H87-G87&lt;0.8,"A",IF(H87-G87&lt;0.95,"B","C"))</f>
        <v/>
      </c>
      <c r="K87" s="25">
        <f>C87/D87</f>
        <v/>
      </c>
      <c r="L87" s="15">
        <f>IF(C87&gt;0,F87/C87,"")</f>
        <v/>
      </c>
    </row>
    <row r="88">
      <c r="A88" t="inlineStr">
        <is>
          <t>V1F6CC572C7</t>
        </is>
      </c>
      <c r="B88" t="inlineStr">
        <is>
          <t>Preferred Technologies, LLC</t>
        </is>
      </c>
      <c r="C88" s="25" t="n">
        <v>3787028.34</v>
      </c>
      <c r="D88" s="18" t="n">
        <v>24</v>
      </c>
      <c r="E88" t="n">
        <v>3</v>
      </c>
      <c r="F88" s="25" t="n">
        <v>3672247.01</v>
      </c>
      <c r="G88" s="15">
        <f>C88/SUM($C$5:$C$155)</f>
        <v/>
      </c>
      <c r="H88" s="15">
        <f>SUM($C$5:C88)/SUM($C$5:$C$155)</f>
        <v/>
      </c>
      <c r="I88">
        <f>RANK.EQ(C88,$C$5:$C$154,0)</f>
        <v/>
      </c>
      <c r="J88">
        <f>IF(H88-G88&lt;0.8,"A",IF(H88-G88&lt;0.95,"B","C"))</f>
        <v/>
      </c>
      <c r="K88" s="25">
        <f>C88/D88</f>
        <v/>
      </c>
      <c r="L88" s="15">
        <f>IF(C88&gt;0,F88/C88,"")</f>
        <v/>
      </c>
    </row>
    <row r="89">
      <c r="A89" t="inlineStr">
        <is>
          <t>VB517625308</t>
        </is>
      </c>
      <c r="B89" t="inlineStr">
        <is>
          <t>TYMCO INC</t>
        </is>
      </c>
      <c r="C89" s="25" t="n">
        <v>3775409.3</v>
      </c>
      <c r="D89" s="18" t="n">
        <v>7</v>
      </c>
      <c r="E89" t="n">
        <v>1</v>
      </c>
      <c r="F89" s="25" t="n">
        <v>3775409.3</v>
      </c>
      <c r="G89" s="15">
        <f>C89/SUM($C$5:$C$155)</f>
        <v/>
      </c>
      <c r="H89" s="15">
        <f>SUM($C$5:C89)/SUM($C$5:$C$155)</f>
        <v/>
      </c>
      <c r="I89">
        <f>RANK.EQ(C89,$C$5:$C$154,0)</f>
        <v/>
      </c>
      <c r="J89">
        <f>IF(H89-G89&lt;0.8,"A",IF(H89-G89&lt;0.95,"B","C"))</f>
        <v/>
      </c>
      <c r="K89" s="25">
        <f>C89/D89</f>
        <v/>
      </c>
      <c r="L89" s="15">
        <f>IF(C89&gt;0,F89/C89,"")</f>
        <v/>
      </c>
    </row>
    <row r="90">
      <c r="A90" t="inlineStr">
        <is>
          <t>VF675A193E1</t>
        </is>
      </c>
      <c r="B90" t="inlineStr">
        <is>
          <t>FACILITIES REHABILITATION INC</t>
        </is>
      </c>
      <c r="C90" s="25" t="n">
        <v>3774900</v>
      </c>
      <c r="D90" s="18" t="n">
        <v>1</v>
      </c>
      <c r="E90" t="n">
        <v>1</v>
      </c>
      <c r="F90" s="25" t="n">
        <v>0</v>
      </c>
      <c r="G90" s="15">
        <f>C90/SUM($C$5:$C$155)</f>
        <v/>
      </c>
      <c r="H90" s="15">
        <f>SUM($C$5:C90)/SUM($C$5:$C$155)</f>
        <v/>
      </c>
      <c r="I90">
        <f>RANK.EQ(C90,$C$5:$C$154,0)</f>
        <v/>
      </c>
      <c r="J90">
        <f>IF(H90-G90&lt;0.8,"A",IF(H90-G90&lt;0.95,"B","C"))</f>
        <v/>
      </c>
      <c r="K90" s="25">
        <f>C90/D90</f>
        <v/>
      </c>
      <c r="L90" s="15">
        <f>IF(C90&gt;0,F90/C90,"")</f>
        <v/>
      </c>
    </row>
    <row r="91">
      <c r="A91" t="inlineStr">
        <is>
          <t>V0FD9E177BD</t>
        </is>
      </c>
      <c r="B91" t="inlineStr">
        <is>
          <t>FORD AUDIO-VIDEO SYSTEMS LLC</t>
        </is>
      </c>
      <c r="C91" s="25" t="n">
        <v>3736571.15</v>
      </c>
      <c r="D91" s="18" t="n">
        <v>60</v>
      </c>
      <c r="E91" t="n">
        <v>3</v>
      </c>
      <c r="F91" s="25" t="n">
        <v>3733404.01</v>
      </c>
      <c r="G91" s="15">
        <f>C91/SUM($C$5:$C$155)</f>
        <v/>
      </c>
      <c r="H91" s="15">
        <f>SUM($C$5:C91)/SUM($C$5:$C$155)</f>
        <v/>
      </c>
      <c r="I91">
        <f>RANK.EQ(C91,$C$5:$C$154,0)</f>
        <v/>
      </c>
      <c r="J91">
        <f>IF(H91-G91&lt;0.8,"A",IF(H91-G91&lt;0.95,"B","C"))</f>
        <v/>
      </c>
      <c r="K91" s="25">
        <f>C91/D91</f>
        <v/>
      </c>
      <c r="L91" s="15">
        <f>IF(C91&gt;0,F91/C91,"")</f>
        <v/>
      </c>
    </row>
    <row r="92">
      <c r="A92" t="inlineStr">
        <is>
          <t>V7F2204288A</t>
        </is>
      </c>
      <c r="B92" t="inlineStr">
        <is>
          <t>GT DISTRIBUTORS INC</t>
        </is>
      </c>
      <c r="C92" s="25" t="n">
        <v>3704056.99</v>
      </c>
      <c r="D92" s="18" t="n">
        <v>127</v>
      </c>
      <c r="E92" t="n">
        <v>6</v>
      </c>
      <c r="F92" s="25" t="n">
        <v>2663492.66</v>
      </c>
      <c r="G92" s="15">
        <f>C92/SUM($C$5:$C$155)</f>
        <v/>
      </c>
      <c r="H92" s="15">
        <f>SUM($C$5:C92)/SUM($C$5:$C$155)</f>
        <v/>
      </c>
      <c r="I92">
        <f>RANK.EQ(C92,$C$5:$C$154,0)</f>
        <v/>
      </c>
      <c r="J92">
        <f>IF(H92-G92&lt;0.8,"A",IF(H92-G92&lt;0.95,"B","C"))</f>
        <v/>
      </c>
      <c r="K92" s="25">
        <f>C92/D92</f>
        <v/>
      </c>
      <c r="L92" s="15">
        <f>IF(C92&gt;0,F92/C92,"")</f>
        <v/>
      </c>
    </row>
    <row r="93">
      <c r="A93" t="inlineStr">
        <is>
          <t>VF9AA529405</t>
        </is>
      </c>
      <c r="B93" t="inlineStr">
        <is>
          <t>SMS LLC</t>
        </is>
      </c>
      <c r="C93" s="25" t="n">
        <v>3602142.91</v>
      </c>
      <c r="D93" s="18" t="n">
        <v>50</v>
      </c>
      <c r="E93" t="n">
        <v>2</v>
      </c>
      <c r="F93" s="25" t="n">
        <v>3600344.71</v>
      </c>
      <c r="G93" s="15">
        <f>C93/SUM($C$5:$C$155)</f>
        <v/>
      </c>
      <c r="H93" s="15">
        <f>SUM($C$5:C93)/SUM($C$5:$C$155)</f>
        <v/>
      </c>
      <c r="I93">
        <f>RANK.EQ(C93,$C$5:$C$154,0)</f>
        <v/>
      </c>
      <c r="J93">
        <f>IF(H93-G93&lt;0.8,"A",IF(H93-G93&lt;0.95,"B","C"))</f>
        <v/>
      </c>
      <c r="K93" s="25">
        <f>C93/D93</f>
        <v/>
      </c>
      <c r="L93" s="15">
        <f>IF(C93&gt;0,F93/C93,"")</f>
        <v/>
      </c>
    </row>
    <row r="94">
      <c r="A94" t="inlineStr">
        <is>
          <t>V132380F206</t>
        </is>
      </c>
      <c r="B94" t="inlineStr">
        <is>
          <t>DPC INDUSTRIES, INC</t>
        </is>
      </c>
      <c r="C94" s="25" t="n">
        <v>3559949.19</v>
      </c>
      <c r="D94" s="18" t="n">
        <v>32</v>
      </c>
      <c r="E94" t="n">
        <v>2</v>
      </c>
      <c r="F94" s="25" t="n">
        <v>3559949.19</v>
      </c>
      <c r="G94" s="15">
        <f>C94/SUM($C$5:$C$155)</f>
        <v/>
      </c>
      <c r="H94" s="15">
        <f>SUM($C$5:C94)/SUM($C$5:$C$155)</f>
        <v/>
      </c>
      <c r="I94">
        <f>RANK.EQ(C94,$C$5:$C$154,0)</f>
        <v/>
      </c>
      <c r="J94">
        <f>IF(H94-G94&lt;0.8,"A",IF(H94-G94&lt;0.95,"B","C"))</f>
        <v/>
      </c>
      <c r="K94" s="25">
        <f>C94/D94</f>
        <v/>
      </c>
      <c r="L94" s="15">
        <f>IF(C94&gt;0,F94/C94,"")</f>
        <v/>
      </c>
    </row>
    <row r="95">
      <c r="A95" t="inlineStr">
        <is>
          <t>V7525EF47E8</t>
        </is>
      </c>
      <c r="B95" t="inlineStr">
        <is>
          <t>ADVANCE STORES COMPANY INC</t>
        </is>
      </c>
      <c r="C95" s="25" t="n">
        <v>3530517.74</v>
      </c>
      <c r="D95" s="18" t="n">
        <v>5</v>
      </c>
      <c r="E95" t="n">
        <v>1</v>
      </c>
      <c r="F95" s="25" t="n">
        <v>3530517.74</v>
      </c>
      <c r="G95" s="15">
        <f>C95/SUM($C$5:$C$155)</f>
        <v/>
      </c>
      <c r="H95" s="15">
        <f>SUM($C$5:C95)/SUM($C$5:$C$155)</f>
        <v/>
      </c>
      <c r="I95">
        <f>RANK.EQ(C95,$C$5:$C$154,0)</f>
        <v/>
      </c>
      <c r="J95">
        <f>IF(H95-G95&lt;0.8,"A",IF(H95-G95&lt;0.95,"B","C"))</f>
        <v/>
      </c>
      <c r="K95" s="25">
        <f>C95/D95</f>
        <v/>
      </c>
      <c r="L95" s="15">
        <f>IF(C95&gt;0,F95/C95,"")</f>
        <v/>
      </c>
    </row>
    <row r="96">
      <c r="A96" t="inlineStr">
        <is>
          <t>V96A3B3B521</t>
        </is>
      </c>
      <c r="B96" t="inlineStr">
        <is>
          <t>SID TOOL CO INC</t>
        </is>
      </c>
      <c r="C96" s="25" t="n">
        <v>3492231.92</v>
      </c>
      <c r="D96" s="18" t="n">
        <v>73</v>
      </c>
      <c r="E96" t="n">
        <v>1</v>
      </c>
      <c r="F96" s="25" t="n">
        <v>3492231.92</v>
      </c>
      <c r="G96" s="15">
        <f>C96/SUM($C$5:$C$155)</f>
        <v/>
      </c>
      <c r="H96" s="15">
        <f>SUM($C$5:C96)/SUM($C$5:$C$155)</f>
        <v/>
      </c>
      <c r="I96">
        <f>RANK.EQ(C96,$C$5:$C$154,0)</f>
        <v/>
      </c>
      <c r="J96">
        <f>IF(H96-G96&lt;0.8,"A",IF(H96-G96&lt;0.95,"B","C"))</f>
        <v/>
      </c>
      <c r="K96" s="25">
        <f>C96/D96</f>
        <v/>
      </c>
      <c r="L96" s="15">
        <f>IF(C96&gt;0,F96/C96,"")</f>
        <v/>
      </c>
    </row>
    <row r="97">
      <c r="A97" t="inlineStr">
        <is>
          <t>V8572B204F6</t>
        </is>
      </c>
      <c r="B97" t="inlineStr">
        <is>
          <t>PRECISION TASK GROUP INC</t>
        </is>
      </c>
      <c r="C97" s="25" t="n">
        <v>3459696.72</v>
      </c>
      <c r="D97" s="18" t="n">
        <v>4</v>
      </c>
      <c r="E97" t="n">
        <v>1</v>
      </c>
      <c r="F97" s="25" t="n">
        <v>3459696.72</v>
      </c>
      <c r="G97" s="15">
        <f>C97/SUM($C$5:$C$155)</f>
        <v/>
      </c>
      <c r="H97" s="15">
        <f>SUM($C$5:C97)/SUM($C$5:$C$155)</f>
        <v/>
      </c>
      <c r="I97">
        <f>RANK.EQ(C97,$C$5:$C$154,0)</f>
        <v/>
      </c>
      <c r="J97">
        <f>IF(H97-G97&lt;0.8,"A",IF(H97-G97&lt;0.95,"B","C"))</f>
        <v/>
      </c>
      <c r="K97" s="25">
        <f>C97/D97</f>
        <v/>
      </c>
      <c r="L97" s="15">
        <f>IF(C97&gt;0,F97/C97,"")</f>
        <v/>
      </c>
    </row>
    <row r="98">
      <c r="A98" t="inlineStr">
        <is>
          <t>V7CE7E1A011</t>
        </is>
      </c>
      <c r="B98" t="inlineStr">
        <is>
          <t>Georgetown Mac Haik Dodge Chrysler Jeep LTD</t>
        </is>
      </c>
      <c r="C98" s="25" t="n">
        <v>3415032.83</v>
      </c>
      <c r="D98" s="18" t="n">
        <v>53</v>
      </c>
      <c r="E98" t="n">
        <v>1</v>
      </c>
      <c r="F98" s="25" t="n">
        <v>3415032.83</v>
      </c>
      <c r="G98" s="15">
        <f>C98/SUM($C$5:$C$155)</f>
        <v/>
      </c>
      <c r="H98" s="15">
        <f>SUM($C$5:C98)/SUM($C$5:$C$155)</f>
        <v/>
      </c>
      <c r="I98">
        <f>RANK.EQ(C98,$C$5:$C$154,0)</f>
        <v/>
      </c>
      <c r="J98">
        <f>IF(H98-G98&lt;0.8,"A",IF(H98-G98&lt;0.95,"B","C"))</f>
        <v/>
      </c>
      <c r="K98" s="25">
        <f>C98/D98</f>
        <v/>
      </c>
      <c r="L98" s="15">
        <f>IF(C98&gt;0,F98/C98,"")</f>
        <v/>
      </c>
    </row>
    <row r="99">
      <c r="A99" t="inlineStr">
        <is>
          <t>V4504682A50</t>
        </is>
      </c>
      <c r="B99" t="inlineStr">
        <is>
          <t>SWARCO McCain, Inc.</t>
        </is>
      </c>
      <c r="C99" s="25" t="n">
        <v>3333281</v>
      </c>
      <c r="D99" s="18" t="n">
        <v>14</v>
      </c>
      <c r="E99" t="n">
        <v>2</v>
      </c>
      <c r="F99" s="25" t="n">
        <v>3299581</v>
      </c>
      <c r="G99" s="15">
        <f>C99/SUM($C$5:$C$155)</f>
        <v/>
      </c>
      <c r="H99" s="15">
        <f>SUM($C$5:C99)/SUM($C$5:$C$155)</f>
        <v/>
      </c>
      <c r="I99">
        <f>RANK.EQ(C99,$C$5:$C$154,0)</f>
        <v/>
      </c>
      <c r="J99">
        <f>IF(H99-G99&lt;0.8,"A",IF(H99-G99&lt;0.95,"B","C"))</f>
        <v/>
      </c>
      <c r="K99" s="25">
        <f>C99/D99</f>
        <v/>
      </c>
      <c r="L99" s="15">
        <f>IF(C99&gt;0,F99/C99,"")</f>
        <v/>
      </c>
    </row>
    <row r="100">
      <c r="A100" t="inlineStr">
        <is>
          <t>V37E6A11FC8</t>
        </is>
      </c>
      <c r="B100" t="inlineStr">
        <is>
          <t>Joe Bland Construction LLC</t>
        </is>
      </c>
      <c r="C100" s="25" t="n">
        <v>3186916.5</v>
      </c>
      <c r="D100" s="18" t="n">
        <v>1</v>
      </c>
      <c r="E100" t="n">
        <v>1</v>
      </c>
      <c r="F100" s="25" t="n">
        <v>3186916.5</v>
      </c>
      <c r="G100" s="15">
        <f>C100/SUM($C$5:$C$155)</f>
        <v/>
      </c>
      <c r="H100" s="15">
        <f>SUM($C$5:C100)/SUM($C$5:$C$155)</f>
        <v/>
      </c>
      <c r="I100">
        <f>RANK.EQ(C100,$C$5:$C$154,0)</f>
        <v/>
      </c>
      <c r="J100">
        <f>IF(H100-G100&lt;0.8,"A",IF(H100-G100&lt;0.95,"B","C"))</f>
        <v/>
      </c>
      <c r="K100" s="25">
        <f>C100/D100</f>
        <v/>
      </c>
      <c r="L100" s="15">
        <f>IF(C100&gt;0,F100/C100,"")</f>
        <v/>
      </c>
    </row>
    <row r="101">
      <c r="A101" t="inlineStr">
        <is>
          <t>V1C68359351</t>
        </is>
      </c>
      <c r="B101" t="inlineStr">
        <is>
          <t>Vendor V1C68359351</t>
        </is>
      </c>
      <c r="C101" s="25" t="n">
        <v>3118250</v>
      </c>
      <c r="D101" s="18" t="n">
        <v>9</v>
      </c>
      <c r="E101" t="n">
        <v>1</v>
      </c>
      <c r="F101" s="25" t="n">
        <v>3118250</v>
      </c>
      <c r="G101" s="15">
        <f>C101/SUM($C$5:$C$155)</f>
        <v/>
      </c>
      <c r="H101" s="15">
        <f>SUM($C$5:C101)/SUM($C$5:$C$155)</f>
        <v/>
      </c>
      <c r="I101">
        <f>RANK.EQ(C101,$C$5:$C$154,0)</f>
        <v/>
      </c>
      <c r="J101">
        <f>IF(H101-G101&lt;0.8,"A",IF(H101-G101&lt;0.95,"B","C"))</f>
        <v/>
      </c>
      <c r="K101" s="25">
        <f>C101/D101</f>
        <v/>
      </c>
      <c r="L101" s="15">
        <f>IF(C101&gt;0,F101/C101,"")</f>
        <v/>
      </c>
    </row>
    <row r="102">
      <c r="A102" t="inlineStr">
        <is>
          <t>VB1F1F2A525</t>
        </is>
      </c>
      <c r="B102" t="inlineStr">
        <is>
          <t>PROFESSIONAL TURF PRODUCTS L P</t>
        </is>
      </c>
      <c r="C102" s="25" t="n">
        <v>3091227.38</v>
      </c>
      <c r="D102" s="18" t="n">
        <v>35</v>
      </c>
      <c r="E102" t="n">
        <v>2</v>
      </c>
      <c r="F102" s="25" t="n">
        <v>3086774.31</v>
      </c>
      <c r="G102" s="15">
        <f>C102/SUM($C$5:$C$155)</f>
        <v/>
      </c>
      <c r="H102" s="15">
        <f>SUM($C$5:C102)/SUM($C$5:$C$155)</f>
        <v/>
      </c>
      <c r="I102">
        <f>RANK.EQ(C102,$C$5:$C$154,0)</f>
        <v/>
      </c>
      <c r="J102">
        <f>IF(H102-G102&lt;0.8,"A",IF(H102-G102&lt;0.95,"B","C"))</f>
        <v/>
      </c>
      <c r="K102" s="25">
        <f>C102/D102</f>
        <v/>
      </c>
      <c r="L102" s="15">
        <f>IF(C102&gt;0,F102/C102,"")</f>
        <v/>
      </c>
    </row>
    <row r="103">
      <c r="A103" t="inlineStr">
        <is>
          <t>VC2A7B2088C</t>
        </is>
      </c>
      <c r="B103" t="inlineStr">
        <is>
          <t>Rosie Imports LLC</t>
        </is>
      </c>
      <c r="C103" s="25" t="n">
        <v>3070559</v>
      </c>
      <c r="D103" s="18" t="n">
        <v>4</v>
      </c>
      <c r="E103" t="n">
        <v>1</v>
      </c>
      <c r="F103" s="25" t="n">
        <v>3070559</v>
      </c>
      <c r="G103" s="15">
        <f>C103/SUM($C$5:$C$155)</f>
        <v/>
      </c>
      <c r="H103" s="15">
        <f>SUM($C$5:C103)/SUM($C$5:$C$155)</f>
        <v/>
      </c>
      <c r="I103">
        <f>RANK.EQ(C103,$C$5:$C$154,0)</f>
        <v/>
      </c>
      <c r="J103">
        <f>IF(H103-G103&lt;0.8,"A",IF(H103-G103&lt;0.95,"B","C"))</f>
        <v/>
      </c>
      <c r="K103" s="25">
        <f>C103/D103</f>
        <v/>
      </c>
      <c r="L103" s="15">
        <f>IF(C103&gt;0,F103/C103,"")</f>
        <v/>
      </c>
    </row>
    <row r="104">
      <c r="A104" t="inlineStr">
        <is>
          <t>V07E35FCE78</t>
        </is>
      </c>
      <c r="B104" t="inlineStr">
        <is>
          <t>Donalson-Hiner Automotive Group, Inc.</t>
        </is>
      </c>
      <c r="C104" s="25" t="n">
        <v>3051371.06</v>
      </c>
      <c r="D104" s="18" t="n">
        <v>27</v>
      </c>
      <c r="E104" t="n">
        <v>1</v>
      </c>
      <c r="F104" s="25" t="n">
        <v>3051371.06</v>
      </c>
      <c r="G104" s="15">
        <f>C104/SUM($C$5:$C$155)</f>
        <v/>
      </c>
      <c r="H104" s="15">
        <f>SUM($C$5:C104)/SUM($C$5:$C$155)</f>
        <v/>
      </c>
      <c r="I104">
        <f>RANK.EQ(C104,$C$5:$C$154,0)</f>
        <v/>
      </c>
      <c r="J104">
        <f>IF(H104-G104&lt;0.8,"A",IF(H104-G104&lt;0.95,"B","C"))</f>
        <v/>
      </c>
      <c r="K104" s="25">
        <f>C104/D104</f>
        <v/>
      </c>
      <c r="L104" s="15">
        <f>IF(C104&gt;0,F104/C104,"")</f>
        <v/>
      </c>
    </row>
    <row r="105">
      <c r="A105" t="inlineStr">
        <is>
          <t>VD03E07E85E</t>
        </is>
      </c>
      <c r="B105" t="inlineStr">
        <is>
          <t>Proforce Marketing, Inc</t>
        </is>
      </c>
      <c r="C105" s="25" t="n">
        <v>3003960.09</v>
      </c>
      <c r="D105" s="18" t="n">
        <v>25</v>
      </c>
      <c r="E105" t="n">
        <v>1</v>
      </c>
      <c r="F105" s="25" t="n">
        <v>2831346.83</v>
      </c>
      <c r="G105" s="15">
        <f>C105/SUM($C$5:$C$155)</f>
        <v/>
      </c>
      <c r="H105" s="15">
        <f>SUM($C$5:C105)/SUM($C$5:$C$155)</f>
        <v/>
      </c>
      <c r="I105">
        <f>RANK.EQ(C105,$C$5:$C$154,0)</f>
        <v/>
      </c>
      <c r="J105">
        <f>IF(H105-G105&lt;0.8,"A",IF(H105-G105&lt;0.95,"B","C"))</f>
        <v/>
      </c>
      <c r="K105" s="25">
        <f>C105/D105</f>
        <v/>
      </c>
      <c r="L105" s="15">
        <f>IF(C105&gt;0,F105/C105,"")</f>
        <v/>
      </c>
    </row>
    <row r="106">
      <c r="A106" t="inlineStr">
        <is>
          <t>V07DEC25B5F</t>
        </is>
      </c>
      <c r="B106" t="inlineStr">
        <is>
          <t>Schuler Contracting, LLC</t>
        </is>
      </c>
      <c r="C106" s="25" t="n">
        <v>2983370.17</v>
      </c>
      <c r="D106" s="18" t="n">
        <v>531</v>
      </c>
      <c r="E106" t="n">
        <v>1</v>
      </c>
      <c r="F106" s="25" t="n">
        <v>2961117.25</v>
      </c>
      <c r="G106" s="15">
        <f>C106/SUM($C$5:$C$155)</f>
        <v/>
      </c>
      <c r="H106" s="15">
        <f>SUM($C$5:C106)/SUM($C$5:$C$155)</f>
        <v/>
      </c>
      <c r="I106">
        <f>RANK.EQ(C106,$C$5:$C$154,0)</f>
        <v/>
      </c>
      <c r="J106">
        <f>IF(H106-G106&lt;0.8,"A",IF(H106-G106&lt;0.95,"B","C"))</f>
        <v/>
      </c>
      <c r="K106" s="25">
        <f>C106/D106</f>
        <v/>
      </c>
      <c r="L106" s="15">
        <f>IF(C106&gt;0,F106/C106,"")</f>
        <v/>
      </c>
    </row>
    <row r="107">
      <c r="A107" t="inlineStr">
        <is>
          <t>V80BE39D1E9</t>
        </is>
      </c>
      <c r="B107" t="inlineStr">
        <is>
          <t>Chastang Enterprises-Houston, LLC</t>
        </is>
      </c>
      <c r="C107" s="25" t="n">
        <v>2945763.2</v>
      </c>
      <c r="D107" s="18" t="n">
        <v>11</v>
      </c>
      <c r="E107" t="n">
        <v>1</v>
      </c>
      <c r="F107" s="25" t="n">
        <v>2886330.2</v>
      </c>
      <c r="G107" s="15">
        <f>C107/SUM($C$5:$C$155)</f>
        <v/>
      </c>
      <c r="H107" s="15">
        <f>SUM($C$5:C107)/SUM($C$5:$C$155)</f>
        <v/>
      </c>
      <c r="I107">
        <f>RANK.EQ(C107,$C$5:$C$154,0)</f>
        <v/>
      </c>
      <c r="J107">
        <f>IF(H107-G107&lt;0.8,"A",IF(H107-G107&lt;0.95,"B","C"))</f>
        <v/>
      </c>
      <c r="K107" s="25">
        <f>C107/D107</f>
        <v/>
      </c>
      <c r="L107" s="15">
        <f>IF(C107&gt;0,F107/C107,"")</f>
        <v/>
      </c>
    </row>
    <row r="108">
      <c r="A108" t="inlineStr">
        <is>
          <t>V0BC617BD10</t>
        </is>
      </c>
      <c r="B108" t="inlineStr">
        <is>
          <t>ENVIRONMENTAL IMPROVEMENTS INC</t>
        </is>
      </c>
      <c r="C108" s="25" t="n">
        <v>2846635.13</v>
      </c>
      <c r="D108" s="18" t="n">
        <v>224</v>
      </c>
      <c r="E108" t="n">
        <v>15</v>
      </c>
      <c r="F108" s="25" t="n">
        <v>1652282.72</v>
      </c>
      <c r="G108" s="15">
        <f>C108/SUM($C$5:$C$155)</f>
        <v/>
      </c>
      <c r="H108" s="15">
        <f>SUM($C$5:C108)/SUM($C$5:$C$155)</f>
        <v/>
      </c>
      <c r="I108">
        <f>RANK.EQ(C108,$C$5:$C$154,0)</f>
        <v/>
      </c>
      <c r="J108">
        <f>IF(H108-G108&lt;0.8,"A",IF(H108-G108&lt;0.95,"B","C"))</f>
        <v/>
      </c>
      <c r="K108" s="25">
        <f>C108/D108</f>
        <v/>
      </c>
      <c r="L108" s="15">
        <f>IF(C108&gt;0,F108/C108,"")</f>
        <v/>
      </c>
    </row>
    <row r="109">
      <c r="A109" t="inlineStr">
        <is>
          <t>VA9062DD6DB</t>
        </is>
      </c>
      <c r="B109" t="inlineStr">
        <is>
          <t>MoboTrex, LLC</t>
        </is>
      </c>
      <c r="C109" s="25" t="n">
        <v>2760254</v>
      </c>
      <c r="D109" s="18" t="n">
        <v>57</v>
      </c>
      <c r="E109" t="n">
        <v>4</v>
      </c>
      <c r="F109" s="25" t="n">
        <v>2623822</v>
      </c>
      <c r="G109" s="15">
        <f>C109/SUM($C$5:$C$155)</f>
        <v/>
      </c>
      <c r="H109" s="15">
        <f>SUM($C$5:C109)/SUM($C$5:$C$155)</f>
        <v/>
      </c>
      <c r="I109">
        <f>RANK.EQ(C109,$C$5:$C$154,0)</f>
        <v/>
      </c>
      <c r="J109">
        <f>IF(H109-G109&lt;0.8,"A",IF(H109-G109&lt;0.95,"B","C"))</f>
        <v/>
      </c>
      <c r="K109" s="25">
        <f>C109/D109</f>
        <v/>
      </c>
      <c r="L109" s="15">
        <f>IF(C109&gt;0,F109/C109,"")</f>
        <v/>
      </c>
    </row>
    <row r="110">
      <c r="A110" t="inlineStr">
        <is>
          <t>V11115DD336</t>
        </is>
      </c>
      <c r="B110" t="inlineStr">
        <is>
          <t>Ingram Industries Inc.</t>
        </is>
      </c>
      <c r="C110" s="25" t="n">
        <v>2741874.41</v>
      </c>
      <c r="D110" s="18" t="n">
        <v>60</v>
      </c>
      <c r="E110" t="n">
        <v>1</v>
      </c>
      <c r="F110" s="25" t="n">
        <v>2741874.41</v>
      </c>
      <c r="G110" s="15">
        <f>C110/SUM($C$5:$C$155)</f>
        <v/>
      </c>
      <c r="H110" s="15">
        <f>SUM($C$5:C110)/SUM($C$5:$C$155)</f>
        <v/>
      </c>
      <c r="I110">
        <f>RANK.EQ(C110,$C$5:$C$154,0)</f>
        <v/>
      </c>
      <c r="J110">
        <f>IF(H110-G110&lt;0.8,"A",IF(H110-G110&lt;0.95,"B","C"))</f>
        <v/>
      </c>
      <c r="K110" s="25">
        <f>C110/D110</f>
        <v/>
      </c>
      <c r="L110" s="15">
        <f>IF(C110&gt;0,F110/C110,"")</f>
        <v/>
      </c>
    </row>
    <row r="111">
      <c r="A111" t="inlineStr">
        <is>
          <t>V79643EE741</t>
        </is>
      </c>
      <c r="B111" t="inlineStr">
        <is>
          <t>Forsythe Brothers Infrastructure, LLC.</t>
        </is>
      </c>
      <c r="C111" s="25" t="n">
        <v>2699009.84</v>
      </c>
      <c r="D111" s="18" t="n">
        <v>34</v>
      </c>
      <c r="E111" t="n">
        <v>2</v>
      </c>
      <c r="F111" s="25" t="n">
        <v>2310181.64</v>
      </c>
      <c r="G111" s="15">
        <f>C111/SUM($C$5:$C$155)</f>
        <v/>
      </c>
      <c r="H111" s="15">
        <f>SUM($C$5:C111)/SUM($C$5:$C$155)</f>
        <v/>
      </c>
      <c r="I111">
        <f>RANK.EQ(C111,$C$5:$C$154,0)</f>
        <v/>
      </c>
      <c r="J111">
        <f>IF(H111-G111&lt;0.8,"A",IF(H111-G111&lt;0.95,"B","C"))</f>
        <v/>
      </c>
      <c r="K111" s="25">
        <f>C111/D111</f>
        <v/>
      </c>
      <c r="L111" s="15">
        <f>IF(C111&gt;0,F111/C111,"")</f>
        <v/>
      </c>
    </row>
    <row r="112">
      <c r="A112" t="inlineStr">
        <is>
          <t>V3A923553A0</t>
        </is>
      </c>
      <c r="B112" t="inlineStr">
        <is>
          <t>A &amp; V Holdings Midco, LLC</t>
        </is>
      </c>
      <c r="C112" s="25" t="n">
        <v>2686395.08</v>
      </c>
      <c r="D112" s="18" t="n">
        <v>100</v>
      </c>
      <c r="E112" t="n">
        <v>3</v>
      </c>
      <c r="F112" s="25" t="n">
        <v>2686395.08</v>
      </c>
      <c r="G112" s="15">
        <f>C112/SUM($C$5:$C$155)</f>
        <v/>
      </c>
      <c r="H112" s="15">
        <f>SUM($C$5:C112)/SUM($C$5:$C$155)</f>
        <v/>
      </c>
      <c r="I112">
        <f>RANK.EQ(C112,$C$5:$C$154,0)</f>
        <v/>
      </c>
      <c r="J112">
        <f>IF(H112-G112&lt;0.8,"A",IF(H112-G112&lt;0.95,"B","C"))</f>
        <v/>
      </c>
      <c r="K112" s="25">
        <f>C112/D112</f>
        <v/>
      </c>
      <c r="L112" s="15">
        <f>IF(C112&gt;0,F112/C112,"")</f>
        <v/>
      </c>
    </row>
    <row r="113">
      <c r="A113" t="inlineStr">
        <is>
          <t>VE14755FDE4</t>
        </is>
      </c>
      <c r="B113" t="inlineStr">
        <is>
          <t>Matous Construction II, Ltd</t>
        </is>
      </c>
      <c r="C113" s="25" t="n">
        <v>2686273</v>
      </c>
      <c r="D113" s="18" t="n">
        <v>1</v>
      </c>
      <c r="E113" t="n">
        <v>1</v>
      </c>
      <c r="F113" s="25" t="n">
        <v>0</v>
      </c>
      <c r="G113" s="15">
        <f>C113/SUM($C$5:$C$155)</f>
        <v/>
      </c>
      <c r="H113" s="15">
        <f>SUM($C$5:C113)/SUM($C$5:$C$155)</f>
        <v/>
      </c>
      <c r="I113">
        <f>RANK.EQ(C113,$C$5:$C$154,0)</f>
        <v/>
      </c>
      <c r="J113">
        <f>IF(H113-G113&lt;0.8,"A",IF(H113-G113&lt;0.95,"B","C"))</f>
        <v/>
      </c>
      <c r="K113" s="25">
        <f>C113/D113</f>
        <v/>
      </c>
      <c r="L113" s="15">
        <f>IF(C113&gt;0,F113/C113,"")</f>
        <v/>
      </c>
    </row>
    <row r="114">
      <c r="A114" t="inlineStr">
        <is>
          <t>V20C2C12778</t>
        </is>
      </c>
      <c r="B114" t="inlineStr">
        <is>
          <t>Houston Barricade and Supply LLC</t>
        </is>
      </c>
      <c r="C114" s="25" t="n">
        <v>2676720.05</v>
      </c>
      <c r="D114" s="18" t="n">
        <v>52</v>
      </c>
      <c r="E114" t="n">
        <v>3</v>
      </c>
      <c r="F114" s="25" t="n">
        <v>2602744.7</v>
      </c>
      <c r="G114" s="15">
        <f>C114/SUM($C$5:$C$155)</f>
        <v/>
      </c>
      <c r="H114" s="15">
        <f>SUM($C$5:C114)/SUM($C$5:$C$155)</f>
        <v/>
      </c>
      <c r="I114">
        <f>RANK.EQ(C114,$C$5:$C$154,0)</f>
        <v/>
      </c>
      <c r="J114">
        <f>IF(H114-G114&lt;0.8,"A",IF(H114-G114&lt;0.95,"B","C"))</f>
        <v/>
      </c>
      <c r="K114" s="25">
        <f>C114/D114</f>
        <v/>
      </c>
      <c r="L114" s="15">
        <f>IF(C114&gt;0,F114/C114,"")</f>
        <v/>
      </c>
    </row>
    <row r="115">
      <c r="A115" t="inlineStr">
        <is>
          <t>VB432835A6F</t>
        </is>
      </c>
      <c r="B115" t="inlineStr">
        <is>
          <t>THIRKETTLE CORPORATION</t>
        </is>
      </c>
      <c r="C115" s="25" t="n">
        <v>2671315.45</v>
      </c>
      <c r="D115" s="18" t="n">
        <v>27</v>
      </c>
      <c r="E115" t="n">
        <v>2</v>
      </c>
      <c r="F115" s="25" t="n">
        <v>2667854.04</v>
      </c>
      <c r="G115" s="15">
        <f>C115/SUM($C$5:$C$155)</f>
        <v/>
      </c>
      <c r="H115" s="15">
        <f>SUM($C$5:C115)/SUM($C$5:$C$155)</f>
        <v/>
      </c>
      <c r="I115">
        <f>RANK.EQ(C115,$C$5:$C$154,0)</f>
        <v/>
      </c>
      <c r="J115">
        <f>IF(H115-G115&lt;0.8,"A",IF(H115-G115&lt;0.95,"B","C"))</f>
        <v/>
      </c>
      <c r="K115" s="25">
        <f>C115/D115</f>
        <v/>
      </c>
      <c r="L115" s="15">
        <f>IF(C115&gt;0,F115/C115,"")</f>
        <v/>
      </c>
    </row>
    <row r="116">
      <c r="A116" t="inlineStr">
        <is>
          <t>VC6AE2C616F</t>
        </is>
      </c>
      <c r="B116" t="inlineStr">
        <is>
          <t>AutoZone Parts Inc.</t>
        </is>
      </c>
      <c r="C116" s="25" t="n">
        <v>2643685.2</v>
      </c>
      <c r="D116" s="18" t="n">
        <v>12</v>
      </c>
      <c r="E116" t="n">
        <v>1</v>
      </c>
      <c r="F116" s="25" t="n">
        <v>2643685.2</v>
      </c>
      <c r="G116" s="15">
        <f>C116/SUM($C$5:$C$155)</f>
        <v/>
      </c>
      <c r="H116" s="15">
        <f>SUM($C$5:C116)/SUM($C$5:$C$155)</f>
        <v/>
      </c>
      <c r="I116">
        <f>RANK.EQ(C116,$C$5:$C$154,0)</f>
        <v/>
      </c>
      <c r="J116">
        <f>IF(H116-G116&lt;0.8,"A",IF(H116-G116&lt;0.95,"B","C"))</f>
        <v/>
      </c>
      <c r="K116" s="25">
        <f>C116/D116</f>
        <v/>
      </c>
      <c r="L116" s="15">
        <f>IF(C116&gt;0,F116/C116,"")</f>
        <v/>
      </c>
    </row>
    <row r="117">
      <c r="A117" t="inlineStr">
        <is>
          <t>VC1F55295B9</t>
        </is>
      </c>
      <c r="B117" t="inlineStr">
        <is>
          <t>Lubricant Product &amp; Supplies LLC</t>
        </is>
      </c>
      <c r="C117" s="25" t="n">
        <v>2597415.29</v>
      </c>
      <c r="D117" s="18" t="n">
        <v>17</v>
      </c>
      <c r="E117" t="n">
        <v>2</v>
      </c>
      <c r="F117" s="25" t="n">
        <v>2596815.41</v>
      </c>
      <c r="G117" s="15">
        <f>C117/SUM($C$5:$C$155)</f>
        <v/>
      </c>
      <c r="H117" s="15">
        <f>SUM($C$5:C117)/SUM($C$5:$C$155)</f>
        <v/>
      </c>
      <c r="I117">
        <f>RANK.EQ(C117,$C$5:$C$154,0)</f>
        <v/>
      </c>
      <c r="J117">
        <f>IF(H117-G117&lt;0.8,"A",IF(H117-G117&lt;0.95,"B","C"))</f>
        <v/>
      </c>
      <c r="K117" s="25">
        <f>C117/D117</f>
        <v/>
      </c>
      <c r="L117" s="15">
        <f>IF(C117&gt;0,F117/C117,"")</f>
        <v/>
      </c>
    </row>
    <row r="118">
      <c r="A118" t="inlineStr">
        <is>
          <t>V34F7042F43</t>
        </is>
      </c>
      <c r="B118" t="inlineStr">
        <is>
          <t>Arq Purification, LLC</t>
        </is>
      </c>
      <c r="C118" s="25" t="n">
        <v>2591114.32</v>
      </c>
      <c r="D118" s="18" t="n">
        <v>88</v>
      </c>
      <c r="E118" t="n">
        <v>1</v>
      </c>
      <c r="F118" s="25" t="n">
        <v>2591114.32</v>
      </c>
      <c r="G118" s="15">
        <f>C118/SUM($C$5:$C$155)</f>
        <v/>
      </c>
      <c r="H118" s="15">
        <f>SUM($C$5:C118)/SUM($C$5:$C$155)</f>
        <v/>
      </c>
      <c r="I118">
        <f>RANK.EQ(C118,$C$5:$C$154,0)</f>
        <v/>
      </c>
      <c r="J118">
        <f>IF(H118-G118&lt;0.8,"A",IF(H118-G118&lt;0.95,"B","C"))</f>
        <v/>
      </c>
      <c r="K118" s="25">
        <f>C118/D118</f>
        <v/>
      </c>
      <c r="L118" s="15">
        <f>IF(C118&gt;0,F118/C118,"")</f>
        <v/>
      </c>
    </row>
    <row r="119">
      <c r="A119" t="inlineStr">
        <is>
          <t>V1BABC571E3</t>
        </is>
      </c>
      <c r="B119" t="inlineStr">
        <is>
          <t>Vermeer Equipment Of Texas LLC</t>
        </is>
      </c>
      <c r="C119" s="25" t="n">
        <v>2588153.98</v>
      </c>
      <c r="D119" s="18" t="n">
        <v>18</v>
      </c>
      <c r="E119" t="n">
        <v>6</v>
      </c>
      <c r="F119" s="25" t="n">
        <v>2541859.79</v>
      </c>
      <c r="G119" s="15">
        <f>C119/SUM($C$5:$C$155)</f>
        <v/>
      </c>
      <c r="H119" s="15">
        <f>SUM($C$5:C119)/SUM($C$5:$C$155)</f>
        <v/>
      </c>
      <c r="I119">
        <f>RANK.EQ(C119,$C$5:$C$154,0)</f>
        <v/>
      </c>
      <c r="J119">
        <f>IF(H119-G119&lt;0.8,"A",IF(H119-G119&lt;0.95,"B","C"))</f>
        <v/>
      </c>
      <c r="K119" s="25">
        <f>C119/D119</f>
        <v/>
      </c>
      <c r="L119" s="15">
        <f>IF(C119&gt;0,F119/C119,"")</f>
        <v/>
      </c>
    </row>
    <row r="120">
      <c r="A120" t="inlineStr">
        <is>
          <t>V48473FE502</t>
        </is>
      </c>
      <c r="B120" t="inlineStr">
        <is>
          <t>RESTEK INC</t>
        </is>
      </c>
      <c r="C120" s="25" t="n">
        <v>2543028.38</v>
      </c>
      <c r="D120" s="18" t="n">
        <v>29</v>
      </c>
      <c r="E120" t="n">
        <v>1</v>
      </c>
      <c r="F120" s="25" t="n">
        <v>2540118.38</v>
      </c>
      <c r="G120" s="15">
        <f>C120/SUM($C$5:$C$155)</f>
        <v/>
      </c>
      <c r="H120" s="15">
        <f>SUM($C$5:C120)/SUM($C$5:$C$155)</f>
        <v/>
      </c>
      <c r="I120">
        <f>RANK.EQ(C120,$C$5:$C$154,0)</f>
        <v/>
      </c>
      <c r="J120">
        <f>IF(H120-G120&lt;0.8,"A",IF(H120-G120&lt;0.95,"B","C"))</f>
        <v/>
      </c>
      <c r="K120" s="25">
        <f>C120/D120</f>
        <v/>
      </c>
      <c r="L120" s="15">
        <f>IF(C120&gt;0,F120/C120,"")</f>
        <v/>
      </c>
    </row>
    <row r="121">
      <c r="A121" t="inlineStr">
        <is>
          <t>V605B5CF086</t>
        </is>
      </c>
      <c r="B121" t="inlineStr">
        <is>
          <t>Sageline Inc</t>
        </is>
      </c>
      <c r="C121" s="25" t="n">
        <v>2487671.85</v>
      </c>
      <c r="D121" s="18" t="n">
        <v>14</v>
      </c>
      <c r="E121" t="n">
        <v>2</v>
      </c>
      <c r="F121" s="25" t="n">
        <v>2487671.85</v>
      </c>
      <c r="G121" s="15">
        <f>C121/SUM($C$5:$C$155)</f>
        <v/>
      </c>
      <c r="H121" s="15">
        <f>SUM($C$5:C121)/SUM($C$5:$C$155)</f>
        <v/>
      </c>
      <c r="I121">
        <f>RANK.EQ(C121,$C$5:$C$154,0)</f>
        <v/>
      </c>
      <c r="J121">
        <f>IF(H121-G121&lt;0.8,"A",IF(H121-G121&lt;0.95,"B","C"))</f>
        <v/>
      </c>
      <c r="K121" s="25">
        <f>C121/D121</f>
        <v/>
      </c>
      <c r="L121" s="15">
        <f>IF(C121&gt;0,F121/C121,"")</f>
        <v/>
      </c>
    </row>
    <row r="122">
      <c r="A122" t="inlineStr">
        <is>
          <t>VF2B40A2F22</t>
        </is>
      </c>
      <c r="B122" t="inlineStr">
        <is>
          <t>HENRY SCHEIN INC</t>
        </is>
      </c>
      <c r="C122" s="25" t="n">
        <v>2478550.17</v>
      </c>
      <c r="D122" s="18" t="n">
        <v>427</v>
      </c>
      <c r="E122" t="n">
        <v>10</v>
      </c>
      <c r="F122" s="25" t="n">
        <v>2423977.35</v>
      </c>
      <c r="G122" s="15">
        <f>C122/SUM($C$5:$C$155)</f>
        <v/>
      </c>
      <c r="H122" s="15">
        <f>SUM($C$5:C122)/SUM($C$5:$C$155)</f>
        <v/>
      </c>
      <c r="I122">
        <f>RANK.EQ(C122,$C$5:$C$154,0)</f>
        <v/>
      </c>
      <c r="J122">
        <f>IF(H122-G122&lt;0.8,"A",IF(H122-G122&lt;0.95,"B","C"))</f>
        <v/>
      </c>
      <c r="K122" s="25">
        <f>C122/D122</f>
        <v/>
      </c>
      <c r="L122" s="15">
        <f>IF(C122&gt;0,F122/C122,"")</f>
        <v/>
      </c>
    </row>
    <row r="123">
      <c r="A123" t="inlineStr">
        <is>
          <t>VDCAEE23D13</t>
        </is>
      </c>
      <c r="B123" t="inlineStr">
        <is>
          <t>Oshkosh AeroTech, LLC</t>
        </is>
      </c>
      <c r="C123" s="25" t="n">
        <v>2441343.14</v>
      </c>
      <c r="D123" s="18" t="n">
        <v>201</v>
      </c>
      <c r="E123" t="n">
        <v>2</v>
      </c>
      <c r="F123" s="25" t="n">
        <v>2441343.14</v>
      </c>
      <c r="G123" s="15">
        <f>C123/SUM($C$5:$C$155)</f>
        <v/>
      </c>
      <c r="H123" s="15">
        <f>SUM($C$5:C123)/SUM($C$5:$C$155)</f>
        <v/>
      </c>
      <c r="I123">
        <f>RANK.EQ(C123,$C$5:$C$154,0)</f>
        <v/>
      </c>
      <c r="J123">
        <f>IF(H123-G123&lt;0.8,"A",IF(H123-G123&lt;0.95,"B","C"))</f>
        <v/>
      </c>
      <c r="K123" s="25">
        <f>C123/D123</f>
        <v/>
      </c>
      <c r="L123" s="15">
        <f>IF(C123&gt;0,F123/C123,"")</f>
        <v/>
      </c>
    </row>
    <row r="124">
      <c r="A124" t="inlineStr">
        <is>
          <t>V353512F334</t>
        </is>
      </c>
      <c r="B124" t="inlineStr">
        <is>
          <t>Tyndale Enterprises Inc.</t>
        </is>
      </c>
      <c r="C124" s="25" t="n">
        <v>2429745.61</v>
      </c>
      <c r="D124" s="18" t="n">
        <v>11</v>
      </c>
      <c r="E124" t="n">
        <v>1</v>
      </c>
      <c r="F124" s="25" t="n">
        <v>2429745.61</v>
      </c>
      <c r="G124" s="15">
        <f>C124/SUM($C$5:$C$155)</f>
        <v/>
      </c>
      <c r="H124" s="15">
        <f>SUM($C$5:C124)/SUM($C$5:$C$155)</f>
        <v/>
      </c>
      <c r="I124">
        <f>RANK.EQ(C124,$C$5:$C$154,0)</f>
        <v/>
      </c>
      <c r="J124">
        <f>IF(H124-G124&lt;0.8,"A",IF(H124-G124&lt;0.95,"B","C"))</f>
        <v/>
      </c>
      <c r="K124" s="25">
        <f>C124/D124</f>
        <v/>
      </c>
      <c r="L124" s="15">
        <f>IF(C124&gt;0,F124/C124,"")</f>
        <v/>
      </c>
    </row>
    <row r="125">
      <c r="A125" t="inlineStr">
        <is>
          <t>V8CC5488E76</t>
        </is>
      </c>
      <c r="B125" t="inlineStr">
        <is>
          <t>ARNOLD OIL COMPANY OF AUSTIN L P</t>
        </is>
      </c>
      <c r="C125" s="25" t="n">
        <v>2360697</v>
      </c>
      <c r="D125" s="18" t="n">
        <v>27</v>
      </c>
      <c r="E125" t="n">
        <v>6</v>
      </c>
      <c r="F125" s="25" t="n">
        <v>2340452.4</v>
      </c>
      <c r="G125" s="15">
        <f>C125/SUM($C$5:$C$155)</f>
        <v/>
      </c>
      <c r="H125" s="15">
        <f>SUM($C$5:C125)/SUM($C$5:$C$155)</f>
        <v/>
      </c>
      <c r="I125">
        <f>RANK.EQ(C125,$C$5:$C$154,0)</f>
        <v/>
      </c>
      <c r="J125">
        <f>IF(H125-G125&lt;0.8,"A",IF(H125-G125&lt;0.95,"B","C"))</f>
        <v/>
      </c>
      <c r="K125" s="25">
        <f>C125/D125</f>
        <v/>
      </c>
      <c r="L125" s="15">
        <f>IF(C125&gt;0,F125/C125,"")</f>
        <v/>
      </c>
    </row>
    <row r="126">
      <c r="A126" t="inlineStr">
        <is>
          <t>V3F9B1DF3E7</t>
        </is>
      </c>
      <c r="B126" t="inlineStr">
        <is>
          <t>CASH CONSTRUCTION CO INC</t>
        </is>
      </c>
      <c r="C126" s="25" t="n">
        <v>2346961.39</v>
      </c>
      <c r="D126" s="18" t="n">
        <v>1</v>
      </c>
      <c r="E126" t="n">
        <v>1</v>
      </c>
      <c r="F126" s="25" t="n">
        <v>0</v>
      </c>
      <c r="G126" s="15">
        <f>C126/SUM($C$5:$C$155)</f>
        <v/>
      </c>
      <c r="H126" s="15">
        <f>SUM($C$5:C126)/SUM($C$5:$C$155)</f>
        <v/>
      </c>
      <c r="I126">
        <f>RANK.EQ(C126,$C$5:$C$154,0)</f>
        <v/>
      </c>
      <c r="J126">
        <f>IF(H126-G126&lt;0.8,"A",IF(H126-G126&lt;0.95,"B","C"))</f>
        <v/>
      </c>
      <c r="K126" s="25">
        <f>C126/D126</f>
        <v/>
      </c>
      <c r="L126" s="15">
        <f>IF(C126&gt;0,F126/C126,"")</f>
        <v/>
      </c>
    </row>
    <row r="127">
      <c r="A127" t="inlineStr">
        <is>
          <t>VFFDAE81751</t>
        </is>
      </c>
      <c r="B127" t="inlineStr">
        <is>
          <t>ENNIS-FLINT, INC.</t>
        </is>
      </c>
      <c r="C127" s="25" t="n">
        <v>2343463.39</v>
      </c>
      <c r="D127" s="18" t="n">
        <v>119</v>
      </c>
      <c r="E127" t="n">
        <v>3</v>
      </c>
      <c r="F127" s="25" t="n">
        <v>2335440.82</v>
      </c>
      <c r="G127" s="15">
        <f>C127/SUM($C$5:$C$155)</f>
        <v/>
      </c>
      <c r="H127" s="15">
        <f>SUM($C$5:C127)/SUM($C$5:$C$155)</f>
        <v/>
      </c>
      <c r="I127">
        <f>RANK.EQ(C127,$C$5:$C$154,0)</f>
        <v/>
      </c>
      <c r="J127">
        <f>IF(H127-G127&lt;0.8,"A",IF(H127-G127&lt;0.95,"B","C"))</f>
        <v/>
      </c>
      <c r="K127" s="25">
        <f>C127/D127</f>
        <v/>
      </c>
      <c r="L127" s="15">
        <f>IF(C127&gt;0,F127/C127,"")</f>
        <v/>
      </c>
    </row>
    <row r="128">
      <c r="A128" t="inlineStr">
        <is>
          <t>V76E0BCA762</t>
        </is>
      </c>
      <c r="B128" t="inlineStr">
        <is>
          <t>Caldwell Country Ford LLC</t>
        </is>
      </c>
      <c r="C128" s="25" t="n">
        <v>2307245</v>
      </c>
      <c r="D128" s="18" t="n">
        <v>7</v>
      </c>
      <c r="E128" t="n">
        <v>1</v>
      </c>
      <c r="F128" s="25" t="n">
        <v>2307245</v>
      </c>
      <c r="G128" s="15">
        <f>C128/SUM($C$5:$C$155)</f>
        <v/>
      </c>
      <c r="H128" s="15">
        <f>SUM($C$5:C128)/SUM($C$5:$C$155)</f>
        <v/>
      </c>
      <c r="I128">
        <f>RANK.EQ(C128,$C$5:$C$154,0)</f>
        <v/>
      </c>
      <c r="J128">
        <f>IF(H128-G128&lt;0.8,"A",IF(H128-G128&lt;0.95,"B","C"))</f>
        <v/>
      </c>
      <c r="K128" s="25">
        <f>C128/D128</f>
        <v/>
      </c>
      <c r="L128" s="15">
        <f>IF(C128&gt;0,F128/C128,"")</f>
        <v/>
      </c>
    </row>
    <row r="129">
      <c r="A129" t="inlineStr">
        <is>
          <t>VC236D6C72F</t>
        </is>
      </c>
      <c r="B129" t="inlineStr">
        <is>
          <t>MUNICIPAL EMERGENCY SERVICES INC</t>
        </is>
      </c>
      <c r="C129" s="25" t="n">
        <v>2260373.87</v>
      </c>
      <c r="D129" s="18" t="n">
        <v>64</v>
      </c>
      <c r="E129" t="n">
        <v>4</v>
      </c>
      <c r="F129" s="25" t="n">
        <v>2159190.39</v>
      </c>
      <c r="G129" s="15">
        <f>C129/SUM($C$5:$C$155)</f>
        <v/>
      </c>
      <c r="H129" s="15">
        <f>SUM($C$5:C129)/SUM($C$5:$C$155)</f>
        <v/>
      </c>
      <c r="I129">
        <f>RANK.EQ(C129,$C$5:$C$154,0)</f>
        <v/>
      </c>
      <c r="J129">
        <f>IF(H129-G129&lt;0.8,"A",IF(H129-G129&lt;0.95,"B","C"))</f>
        <v/>
      </c>
      <c r="K129" s="25">
        <f>C129/D129</f>
        <v/>
      </c>
      <c r="L129" s="15">
        <f>IF(C129&gt;0,F129/C129,"")</f>
        <v/>
      </c>
    </row>
    <row r="130">
      <c r="A130" t="inlineStr">
        <is>
          <t>V20B9197EDA</t>
        </is>
      </c>
      <c r="B130" t="inlineStr">
        <is>
          <t>Linde Inc.</t>
        </is>
      </c>
      <c r="C130" s="25" t="n">
        <v>2228805.09</v>
      </c>
      <c r="D130" s="18" t="n">
        <v>131</v>
      </c>
      <c r="E130" t="n">
        <v>1</v>
      </c>
      <c r="F130" s="25" t="n">
        <v>2228805.09</v>
      </c>
      <c r="G130" s="15">
        <f>C130/SUM($C$5:$C$155)</f>
        <v/>
      </c>
      <c r="H130" s="15">
        <f>SUM($C$5:C130)/SUM($C$5:$C$155)</f>
        <v/>
      </c>
      <c r="I130">
        <f>RANK.EQ(C130,$C$5:$C$154,0)</f>
        <v/>
      </c>
      <c r="J130">
        <f>IF(H130-G130&lt;0.8,"A",IF(H130-G130&lt;0.95,"B","C"))</f>
        <v/>
      </c>
      <c r="K130" s="25">
        <f>C130/D130</f>
        <v/>
      </c>
      <c r="L130" s="15">
        <f>IF(C130&gt;0,F130/C130,"")</f>
        <v/>
      </c>
    </row>
    <row r="131">
      <c r="A131" t="inlineStr">
        <is>
          <t>VE92D51EBBD</t>
        </is>
      </c>
      <c r="B131" t="inlineStr">
        <is>
          <t>ACS Acquisitions, Inc.</t>
        </is>
      </c>
      <c r="C131" s="25" t="n">
        <v>2195528.19</v>
      </c>
      <c r="D131" s="18" t="n">
        <v>6</v>
      </c>
      <c r="E131" t="n">
        <v>1</v>
      </c>
      <c r="F131" s="25" t="n">
        <v>2195528.19</v>
      </c>
      <c r="G131" s="15">
        <f>C131/SUM($C$5:$C$155)</f>
        <v/>
      </c>
      <c r="H131" s="15">
        <f>SUM($C$5:C131)/SUM($C$5:$C$155)</f>
        <v/>
      </c>
      <c r="I131">
        <f>RANK.EQ(C131,$C$5:$C$154,0)</f>
        <v/>
      </c>
      <c r="J131">
        <f>IF(H131-G131&lt;0.8,"A",IF(H131-G131&lt;0.95,"B","C"))</f>
        <v/>
      </c>
      <c r="K131" s="25">
        <f>C131/D131</f>
        <v/>
      </c>
      <c r="L131" s="15">
        <f>IF(C131&gt;0,F131/C131,"")</f>
        <v/>
      </c>
    </row>
    <row r="132">
      <c r="A132" t="inlineStr">
        <is>
          <t>V8EE594C428</t>
        </is>
      </c>
      <c r="B132" t="inlineStr">
        <is>
          <t>USALCO Houston Plant, LLC</t>
        </is>
      </c>
      <c r="C132" s="25" t="n">
        <v>2184446.83</v>
      </c>
      <c r="D132" s="18" t="n">
        <v>106</v>
      </c>
      <c r="E132" t="n">
        <v>1</v>
      </c>
      <c r="F132" s="25" t="n">
        <v>2184446.83</v>
      </c>
      <c r="G132" s="15">
        <f>C132/SUM($C$5:$C$155)</f>
        <v/>
      </c>
      <c r="H132" s="15">
        <f>SUM($C$5:C132)/SUM($C$5:$C$155)</f>
        <v/>
      </c>
      <c r="I132">
        <f>RANK.EQ(C132,$C$5:$C$154,0)</f>
        <v/>
      </c>
      <c r="J132">
        <f>IF(H132-G132&lt;0.8,"A",IF(H132-G132&lt;0.95,"B","C"))</f>
        <v/>
      </c>
      <c r="K132" s="25">
        <f>C132/D132</f>
        <v/>
      </c>
      <c r="L132" s="15">
        <f>IF(C132&gt;0,F132/C132,"")</f>
        <v/>
      </c>
    </row>
    <row r="133">
      <c r="A133" t="inlineStr">
        <is>
          <t>V3D843F5482</t>
        </is>
      </c>
      <c r="B133" t="inlineStr">
        <is>
          <t>AVI-SPL LLC</t>
        </is>
      </c>
      <c r="C133" s="25" t="n">
        <v>2103738.85</v>
      </c>
      <c r="D133" s="18" t="n">
        <v>52</v>
      </c>
      <c r="E133" t="n">
        <v>4</v>
      </c>
      <c r="F133" s="25" t="n">
        <v>2096072.31</v>
      </c>
      <c r="G133" s="15">
        <f>C133/SUM($C$5:$C$155)</f>
        <v/>
      </c>
      <c r="H133" s="15">
        <f>SUM($C$5:C133)/SUM($C$5:$C$155)</f>
        <v/>
      </c>
      <c r="I133">
        <f>RANK.EQ(C133,$C$5:$C$154,0)</f>
        <v/>
      </c>
      <c r="J133">
        <f>IF(H133-G133&lt;0.8,"A",IF(H133-G133&lt;0.95,"B","C"))</f>
        <v/>
      </c>
      <c r="K133" s="25">
        <f>C133/D133</f>
        <v/>
      </c>
      <c r="L133" s="15">
        <f>IF(C133&gt;0,F133/C133,"")</f>
        <v/>
      </c>
    </row>
    <row r="134">
      <c r="A134" t="inlineStr">
        <is>
          <t>V7E4604F8B0</t>
        </is>
      </c>
      <c r="B134" t="inlineStr">
        <is>
          <t>Crown Texas Inc</t>
        </is>
      </c>
      <c r="C134" s="25" t="n">
        <v>2083317.48</v>
      </c>
      <c r="D134" s="18" t="n">
        <v>5</v>
      </c>
      <c r="E134" t="n">
        <v>2</v>
      </c>
      <c r="F134" s="25" t="n">
        <v>2083317.48</v>
      </c>
      <c r="G134" s="15">
        <f>C134/SUM($C$5:$C$155)</f>
        <v/>
      </c>
      <c r="H134" s="15">
        <f>SUM($C$5:C134)/SUM($C$5:$C$155)</f>
        <v/>
      </c>
      <c r="I134">
        <f>RANK.EQ(C134,$C$5:$C$154,0)</f>
        <v/>
      </c>
      <c r="J134">
        <f>IF(H134-G134&lt;0.8,"A",IF(H134-G134&lt;0.95,"B","C"))</f>
        <v/>
      </c>
      <c r="K134" s="25">
        <f>C134/D134</f>
        <v/>
      </c>
      <c r="L134" s="15">
        <f>IF(C134&gt;0,F134/C134,"")</f>
        <v/>
      </c>
    </row>
    <row r="135">
      <c r="A135" t="inlineStr">
        <is>
          <t>V246384982F</t>
        </is>
      </c>
      <c r="B135" t="inlineStr">
        <is>
          <t>Sunbelt Solomon Services, LLC</t>
        </is>
      </c>
      <c r="C135" s="25" t="n">
        <v>2074091</v>
      </c>
      <c r="D135" s="18" t="n">
        <v>6</v>
      </c>
      <c r="E135" t="n">
        <v>1</v>
      </c>
      <c r="F135" s="25" t="n">
        <v>2074091</v>
      </c>
      <c r="G135" s="15">
        <f>C135/SUM($C$5:$C$155)</f>
        <v/>
      </c>
      <c r="H135" s="15">
        <f>SUM($C$5:C135)/SUM($C$5:$C$155)</f>
        <v/>
      </c>
      <c r="I135">
        <f>RANK.EQ(C135,$C$5:$C$154,0)</f>
        <v/>
      </c>
      <c r="J135">
        <f>IF(H135-G135&lt;0.8,"A",IF(H135-G135&lt;0.95,"B","C"))</f>
        <v/>
      </c>
      <c r="K135" s="25">
        <f>C135/D135</f>
        <v/>
      </c>
      <c r="L135" s="15">
        <f>IF(C135&gt;0,F135/C135,"")</f>
        <v/>
      </c>
    </row>
    <row r="136">
      <c r="A136" t="inlineStr">
        <is>
          <t>V72B0D72CD4</t>
        </is>
      </c>
      <c r="B136" t="inlineStr">
        <is>
          <t>DPC INDUSTRIES LIMITED PARTNERSHIP</t>
        </is>
      </c>
      <c r="C136" s="25" t="n">
        <v>2051478.89</v>
      </c>
      <c r="D136" s="18" t="n">
        <v>27</v>
      </c>
      <c r="E136" t="n">
        <v>1</v>
      </c>
      <c r="F136" s="25" t="n">
        <v>2051478.89</v>
      </c>
      <c r="G136" s="15">
        <f>C136/SUM($C$5:$C$155)</f>
        <v/>
      </c>
      <c r="H136" s="15">
        <f>SUM($C$5:C136)/SUM($C$5:$C$155)</f>
        <v/>
      </c>
      <c r="I136">
        <f>RANK.EQ(C136,$C$5:$C$154,0)</f>
        <v/>
      </c>
      <c r="J136">
        <f>IF(H136-G136&lt;0.8,"A",IF(H136-G136&lt;0.95,"B","C"))</f>
        <v/>
      </c>
      <c r="K136" s="25">
        <f>C136/D136</f>
        <v/>
      </c>
      <c r="L136" s="15">
        <f>IF(C136&gt;0,F136/C136,"")</f>
        <v/>
      </c>
    </row>
    <row r="137">
      <c r="A137" t="inlineStr">
        <is>
          <t>VFEAF0442E2</t>
        </is>
      </c>
      <c r="B137" t="inlineStr">
        <is>
          <t>CINTAS CORPORATION NO. 2</t>
        </is>
      </c>
      <c r="C137" s="25" t="n">
        <v>2033341.22</v>
      </c>
      <c r="D137" s="18" t="n">
        <v>127</v>
      </c>
      <c r="E137" t="n">
        <v>2</v>
      </c>
      <c r="F137" s="25" t="n">
        <v>2022414.02</v>
      </c>
      <c r="G137" s="15">
        <f>C137/SUM($C$5:$C$155)</f>
        <v/>
      </c>
      <c r="H137" s="15">
        <f>SUM($C$5:C137)/SUM($C$5:$C$155)</f>
        <v/>
      </c>
      <c r="I137">
        <f>RANK.EQ(C137,$C$5:$C$154,0)</f>
        <v/>
      </c>
      <c r="J137">
        <f>IF(H137-G137&lt;0.8,"A",IF(H137-G137&lt;0.95,"B","C"))</f>
        <v/>
      </c>
      <c r="K137" s="25">
        <f>C137/D137</f>
        <v/>
      </c>
      <c r="L137" s="15">
        <f>IF(C137&gt;0,F137/C137,"")</f>
        <v/>
      </c>
    </row>
    <row r="138">
      <c r="A138" t="inlineStr">
        <is>
          <t>V01D8C2D203</t>
        </is>
      </c>
      <c r="B138" t="inlineStr">
        <is>
          <t>Vulcan Inc</t>
        </is>
      </c>
      <c r="C138" s="25" t="n">
        <v>2032640.51</v>
      </c>
      <c r="D138" s="18" t="n">
        <v>72</v>
      </c>
      <c r="E138" t="n">
        <v>2</v>
      </c>
      <c r="F138" s="25" t="n">
        <v>1968676.85</v>
      </c>
      <c r="G138" s="15">
        <f>C138/SUM($C$5:$C$155)</f>
        <v/>
      </c>
      <c r="H138" s="15">
        <f>SUM($C$5:C138)/SUM($C$5:$C$155)</f>
        <v/>
      </c>
      <c r="I138">
        <f>RANK.EQ(C138,$C$5:$C$154,0)</f>
        <v/>
      </c>
      <c r="J138">
        <f>IF(H138-G138&lt;0.8,"A",IF(H138-G138&lt;0.95,"B","C"))</f>
        <v/>
      </c>
      <c r="K138" s="25">
        <f>C138/D138</f>
        <v/>
      </c>
      <c r="L138" s="15">
        <f>IF(C138&gt;0,F138/C138,"")</f>
        <v/>
      </c>
    </row>
    <row r="139">
      <c r="A139" t="inlineStr">
        <is>
          <t>V28CB724381</t>
        </is>
      </c>
      <c r="B139" t="inlineStr">
        <is>
          <t>SPATCO Energy Solutions, LLC</t>
        </is>
      </c>
      <c r="C139" s="25" t="n">
        <v>1965704</v>
      </c>
      <c r="D139" s="18" t="n">
        <v>8</v>
      </c>
      <c r="E139" t="n">
        <v>1</v>
      </c>
      <c r="F139" s="25" t="n">
        <v>1965704</v>
      </c>
      <c r="G139" s="15">
        <f>C139/SUM($C$5:$C$155)</f>
        <v/>
      </c>
      <c r="H139" s="15">
        <f>SUM($C$5:C139)/SUM($C$5:$C$155)</f>
        <v/>
      </c>
      <c r="I139">
        <f>RANK.EQ(C139,$C$5:$C$154,0)</f>
        <v/>
      </c>
      <c r="J139">
        <f>IF(H139-G139&lt;0.8,"A",IF(H139-G139&lt;0.95,"B","C"))</f>
        <v/>
      </c>
      <c r="K139" s="25">
        <f>C139/D139</f>
        <v/>
      </c>
      <c r="L139" s="15">
        <f>IF(C139&gt;0,F139/C139,"")</f>
        <v/>
      </c>
    </row>
    <row r="140">
      <c r="A140" t="inlineStr">
        <is>
          <t>V912F2A6954</t>
        </is>
      </c>
      <c r="B140" t="inlineStr">
        <is>
          <t>Schneider Electric Smart Grid Solutions, LLC</t>
        </is>
      </c>
      <c r="C140" s="25" t="n">
        <v>1954346.81</v>
      </c>
      <c r="D140" s="18" t="n">
        <v>18</v>
      </c>
      <c r="E140" t="n">
        <v>1</v>
      </c>
      <c r="F140" s="25" t="n">
        <v>1954346.81</v>
      </c>
      <c r="G140" s="15">
        <f>C140/SUM($C$5:$C$155)</f>
        <v/>
      </c>
      <c r="H140" s="15">
        <f>SUM($C$5:C140)/SUM($C$5:$C$155)</f>
        <v/>
      </c>
      <c r="I140">
        <f>RANK.EQ(C140,$C$5:$C$154,0)</f>
        <v/>
      </c>
      <c r="J140">
        <f>IF(H140-G140&lt;0.8,"A",IF(H140-G140&lt;0.95,"B","C"))</f>
        <v/>
      </c>
      <c r="K140" s="25">
        <f>C140/D140</f>
        <v/>
      </c>
      <c r="L140" s="15">
        <f>IF(C140&gt;0,F140/C140,"")</f>
        <v/>
      </c>
    </row>
    <row r="141">
      <c r="A141" t="inlineStr">
        <is>
          <t>VA2A3A86928</t>
        </is>
      </c>
      <c r="B141" t="inlineStr">
        <is>
          <t>MITSUBISHI ELECTRIC POWER PRODUCTS INC</t>
        </is>
      </c>
      <c r="C141" s="25" t="n">
        <v>1932291.2</v>
      </c>
      <c r="D141" s="18" t="n">
        <v>5</v>
      </c>
      <c r="E141" t="n">
        <v>1</v>
      </c>
      <c r="F141" s="25" t="n">
        <v>1932291.2</v>
      </c>
      <c r="G141" s="15">
        <f>C141/SUM($C$5:$C$155)</f>
        <v/>
      </c>
      <c r="H141" s="15">
        <f>SUM($C$5:C141)/SUM($C$5:$C$155)</f>
        <v/>
      </c>
      <c r="I141">
        <f>RANK.EQ(C141,$C$5:$C$154,0)</f>
        <v/>
      </c>
      <c r="J141">
        <f>IF(H141-G141&lt;0.8,"A",IF(H141-G141&lt;0.95,"B","C"))</f>
        <v/>
      </c>
      <c r="K141" s="25">
        <f>C141/D141</f>
        <v/>
      </c>
      <c r="L141" s="15">
        <f>IF(C141&gt;0,F141/C141,"")</f>
        <v/>
      </c>
    </row>
    <row r="142">
      <c r="A142" t="inlineStr">
        <is>
          <t>V713D2199AC</t>
        </is>
      </c>
      <c r="B142" t="inlineStr">
        <is>
          <t>FACILITIES RESOURCE INC</t>
        </is>
      </c>
      <c r="C142" s="25" t="n">
        <v>1905071.04</v>
      </c>
      <c r="D142" s="18" t="n">
        <v>33</v>
      </c>
      <c r="E142" t="n">
        <v>1</v>
      </c>
      <c r="F142" s="25" t="n">
        <v>1875275.2</v>
      </c>
      <c r="G142" s="15">
        <f>C142/SUM($C$5:$C$155)</f>
        <v/>
      </c>
      <c r="H142" s="15">
        <f>SUM($C$5:C142)/SUM($C$5:$C$155)</f>
        <v/>
      </c>
      <c r="I142">
        <f>RANK.EQ(C142,$C$5:$C$154,0)</f>
        <v/>
      </c>
      <c r="J142">
        <f>IF(H142-G142&lt;0.8,"A",IF(H142-G142&lt;0.95,"B","C"))</f>
        <v/>
      </c>
      <c r="K142" s="25">
        <f>C142/D142</f>
        <v/>
      </c>
      <c r="L142" s="15">
        <f>IF(C142&gt;0,F142/C142,"")</f>
        <v/>
      </c>
    </row>
    <row r="143">
      <c r="A143" t="inlineStr">
        <is>
          <t>V1D6026D9C6</t>
        </is>
      </c>
      <c r="B143" t="inlineStr">
        <is>
          <t>WILLIAMS SCOTSMAN INC</t>
        </is>
      </c>
      <c r="C143" s="25" t="n">
        <v>1884687</v>
      </c>
      <c r="D143" s="18" t="n">
        <v>67</v>
      </c>
      <c r="E143" t="n">
        <v>2</v>
      </c>
      <c r="F143" s="25" t="n">
        <v>1876866.47</v>
      </c>
      <c r="G143" s="15">
        <f>C143/SUM($C$5:$C$155)</f>
        <v/>
      </c>
      <c r="H143" s="15">
        <f>SUM($C$5:C143)/SUM($C$5:$C$155)</f>
        <v/>
      </c>
      <c r="I143">
        <f>RANK.EQ(C143,$C$5:$C$154,0)</f>
        <v/>
      </c>
      <c r="J143">
        <f>IF(H143-G143&lt;0.8,"A",IF(H143-G143&lt;0.95,"B","C"))</f>
        <v/>
      </c>
      <c r="K143" s="25">
        <f>C143/D143</f>
        <v/>
      </c>
      <c r="L143" s="15">
        <f>IF(C143&gt;0,F143/C143,"")</f>
        <v/>
      </c>
    </row>
    <row r="144">
      <c r="A144" t="inlineStr">
        <is>
          <t>V70FC65EF44</t>
        </is>
      </c>
      <c r="B144" t="inlineStr">
        <is>
          <t>EWT HOLDINGS III CORP</t>
        </is>
      </c>
      <c r="C144" s="25" t="n">
        <v>1881789.3</v>
      </c>
      <c r="D144" s="18" t="n">
        <v>47</v>
      </c>
      <c r="E144" t="n">
        <v>3</v>
      </c>
      <c r="F144" s="25" t="n">
        <v>1114432.3</v>
      </c>
      <c r="G144" s="15">
        <f>C144/SUM($C$5:$C$155)</f>
        <v/>
      </c>
      <c r="H144" s="15">
        <f>SUM($C$5:C144)/SUM($C$5:$C$155)</f>
        <v/>
      </c>
      <c r="I144">
        <f>RANK.EQ(C144,$C$5:$C$154,0)</f>
        <v/>
      </c>
      <c r="J144">
        <f>IF(H144-G144&lt;0.8,"A",IF(H144-G144&lt;0.95,"B","C"))</f>
        <v/>
      </c>
      <c r="K144" s="25">
        <f>C144/D144</f>
        <v/>
      </c>
      <c r="L144" s="15">
        <f>IF(C144&gt;0,F144/C144,"")</f>
        <v/>
      </c>
    </row>
    <row r="145">
      <c r="A145" t="inlineStr">
        <is>
          <t>V4217ABA4D7</t>
        </is>
      </c>
      <c r="B145" t="inlineStr">
        <is>
          <t>eClinicalWorks, LLC</t>
        </is>
      </c>
      <c r="C145" s="25" t="n">
        <v>1878740.56</v>
      </c>
      <c r="D145" s="18" t="n">
        <v>12</v>
      </c>
      <c r="E145" t="n">
        <v>1</v>
      </c>
      <c r="F145" s="25" t="n">
        <v>1878740.56</v>
      </c>
      <c r="G145" s="15">
        <f>C145/SUM($C$5:$C$155)</f>
        <v/>
      </c>
      <c r="H145" s="15">
        <f>SUM($C$5:C145)/SUM($C$5:$C$155)</f>
        <v/>
      </c>
      <c r="I145">
        <f>RANK.EQ(C145,$C$5:$C$154,0)</f>
        <v/>
      </c>
      <c r="J145">
        <f>IF(H145-G145&lt;0.8,"A",IF(H145-G145&lt;0.95,"B","C"))</f>
        <v/>
      </c>
      <c r="K145" s="25">
        <f>C145/D145</f>
        <v/>
      </c>
      <c r="L145" s="15">
        <f>IF(C145&gt;0,F145/C145,"")</f>
        <v/>
      </c>
    </row>
    <row r="146">
      <c r="A146" t="inlineStr">
        <is>
          <t>V947089E89B</t>
        </is>
      </c>
      <c r="B146" t="inlineStr">
        <is>
          <t>Flowbird America Inc</t>
        </is>
      </c>
      <c r="C146" s="25" t="n">
        <v>1848597.22</v>
      </c>
      <c r="D146" s="18" t="n">
        <v>26</v>
      </c>
      <c r="E146" t="n">
        <v>1</v>
      </c>
      <c r="F146" s="25" t="n">
        <v>1848597.22</v>
      </c>
      <c r="G146" s="15">
        <f>C146/SUM($C$5:$C$155)</f>
        <v/>
      </c>
      <c r="H146" s="15">
        <f>SUM($C$5:C146)/SUM($C$5:$C$155)</f>
        <v/>
      </c>
      <c r="I146">
        <f>RANK.EQ(C146,$C$5:$C$154,0)</f>
        <v/>
      </c>
      <c r="J146">
        <f>IF(H146-G146&lt;0.8,"A",IF(H146-G146&lt;0.95,"B","C"))</f>
        <v/>
      </c>
      <c r="K146" s="25">
        <f>C146/D146</f>
        <v/>
      </c>
      <c r="L146" s="15">
        <f>IF(C146&gt;0,F146/C146,"")</f>
        <v/>
      </c>
    </row>
    <row r="147">
      <c r="A147" t="inlineStr">
        <is>
          <t>V6A7DCDA1F6</t>
        </is>
      </c>
      <c r="B147" t="inlineStr">
        <is>
          <t>Vendor V6A7DCDA1F6</t>
        </is>
      </c>
      <c r="C147" s="25" t="n">
        <v>1832578.45</v>
      </c>
      <c r="D147" s="18" t="n">
        <v>22</v>
      </c>
      <c r="E147" t="n">
        <v>1</v>
      </c>
      <c r="F147" s="25" t="n">
        <v>1832578.45</v>
      </c>
      <c r="G147" s="15">
        <f>C147/SUM($C$5:$C$155)</f>
        <v/>
      </c>
      <c r="H147" s="15">
        <f>SUM($C$5:C147)/SUM($C$5:$C$155)</f>
        <v/>
      </c>
      <c r="I147">
        <f>RANK.EQ(C147,$C$5:$C$154,0)</f>
        <v/>
      </c>
      <c r="J147">
        <f>IF(H147-G147&lt;0.8,"A",IF(H147-G147&lt;0.95,"B","C"))</f>
        <v/>
      </c>
      <c r="K147" s="25">
        <f>C147/D147</f>
        <v/>
      </c>
      <c r="L147" s="15">
        <f>IF(C147&gt;0,F147/C147,"")</f>
        <v/>
      </c>
    </row>
    <row r="148">
      <c r="A148" t="inlineStr">
        <is>
          <t>V4510E9DE9B</t>
        </is>
      </c>
      <c r="B148" t="inlineStr">
        <is>
          <t>Howmedica Osteonics Corp</t>
        </is>
      </c>
      <c r="C148" s="25" t="n">
        <v>1830326.95</v>
      </c>
      <c r="D148" s="18" t="n">
        <v>12</v>
      </c>
      <c r="E148" t="n">
        <v>1</v>
      </c>
      <c r="F148" s="25" t="n">
        <v>1830326.95</v>
      </c>
      <c r="G148" s="15">
        <f>C148/SUM($C$5:$C$155)</f>
        <v/>
      </c>
      <c r="H148" s="15">
        <f>SUM($C$5:C148)/SUM($C$5:$C$155)</f>
        <v/>
      </c>
      <c r="I148">
        <f>RANK.EQ(C148,$C$5:$C$154,0)</f>
        <v/>
      </c>
      <c r="J148">
        <f>IF(H148-G148&lt;0.8,"A",IF(H148-G148&lt;0.95,"B","C"))</f>
        <v/>
      </c>
      <c r="K148" s="25">
        <f>C148/D148</f>
        <v/>
      </c>
      <c r="L148" s="15">
        <f>IF(C148&gt;0,F148/C148,"")</f>
        <v/>
      </c>
    </row>
    <row r="149">
      <c r="A149" t="inlineStr">
        <is>
          <t>VD4E52A1B19</t>
        </is>
      </c>
      <c r="B149" t="inlineStr">
        <is>
          <t>Polaris Sales Inc</t>
        </is>
      </c>
      <c r="C149" s="25" t="n">
        <v>1818072.23</v>
      </c>
      <c r="D149" s="18" t="n">
        <v>35</v>
      </c>
      <c r="E149" t="n">
        <v>1</v>
      </c>
      <c r="F149" s="25" t="n">
        <v>1818072.23</v>
      </c>
      <c r="G149" s="15">
        <f>C149/SUM($C$5:$C$155)</f>
        <v/>
      </c>
      <c r="H149" s="15">
        <f>SUM($C$5:C149)/SUM($C$5:$C$155)</f>
        <v/>
      </c>
      <c r="I149">
        <f>RANK.EQ(C149,$C$5:$C$154,0)</f>
        <v/>
      </c>
      <c r="J149">
        <f>IF(H149-G149&lt;0.8,"A",IF(H149-G149&lt;0.95,"B","C"))</f>
        <v/>
      </c>
      <c r="K149" s="25">
        <f>C149/D149</f>
        <v/>
      </c>
      <c r="L149" s="15">
        <f>IF(C149&gt;0,F149/C149,"")</f>
        <v/>
      </c>
    </row>
    <row r="150">
      <c r="A150" t="inlineStr">
        <is>
          <t>VDE8C5C77E9</t>
        </is>
      </c>
      <c r="B150" t="inlineStr">
        <is>
          <t>Midwest Veterinary Supply, Inc.</t>
        </is>
      </c>
      <c r="C150" s="25" t="n">
        <v>1814720.71</v>
      </c>
      <c r="D150" s="18" t="n">
        <v>8</v>
      </c>
      <c r="E150" t="n">
        <v>1</v>
      </c>
      <c r="F150" s="25" t="n">
        <v>1814720.71</v>
      </c>
      <c r="G150" s="15">
        <f>C150/SUM($C$5:$C$155)</f>
        <v/>
      </c>
      <c r="H150" s="15">
        <f>SUM($C$5:C150)/SUM($C$5:$C$155)</f>
        <v/>
      </c>
      <c r="I150">
        <f>RANK.EQ(C150,$C$5:$C$154,0)</f>
        <v/>
      </c>
      <c r="J150">
        <f>IF(H150-G150&lt;0.8,"A",IF(H150-G150&lt;0.95,"B","C"))</f>
        <v/>
      </c>
      <c r="K150" s="25">
        <f>C150/D150</f>
        <v/>
      </c>
      <c r="L150" s="15">
        <f>IF(C150&gt;0,F150/C150,"")</f>
        <v/>
      </c>
    </row>
    <row r="151">
      <c r="A151" t="inlineStr">
        <is>
          <t>V849EFD018E</t>
        </is>
      </c>
      <c r="B151" t="inlineStr">
        <is>
          <t>Bruckner Truck Sales, Inc</t>
        </is>
      </c>
      <c r="C151" s="25" t="n">
        <v>1786216.5</v>
      </c>
      <c r="D151" s="18" t="n">
        <v>1</v>
      </c>
      <c r="E151" t="n">
        <v>1</v>
      </c>
      <c r="F151" s="25" t="n">
        <v>1786216.5</v>
      </c>
      <c r="G151" s="15">
        <f>C151/SUM($C$5:$C$155)</f>
        <v/>
      </c>
      <c r="H151" s="15">
        <f>SUM($C$5:C151)/SUM($C$5:$C$155)</f>
        <v/>
      </c>
      <c r="I151">
        <f>RANK.EQ(C151,$C$5:$C$154,0)</f>
        <v/>
      </c>
      <c r="J151">
        <f>IF(H151-G151&lt;0.8,"A",IF(H151-G151&lt;0.95,"B","C"))</f>
        <v/>
      </c>
      <c r="K151" s="25">
        <f>C151/D151</f>
        <v/>
      </c>
      <c r="L151" s="15">
        <f>IF(C151&gt;0,F151/C151,"")</f>
        <v/>
      </c>
    </row>
    <row r="152">
      <c r="A152" t="inlineStr">
        <is>
          <t>V1BBBFB6B14</t>
        </is>
      </c>
      <c r="B152" t="inlineStr">
        <is>
          <t>US PEROXIDE, LLC</t>
        </is>
      </c>
      <c r="C152" s="25" t="n">
        <v>1753924.34</v>
      </c>
      <c r="D152" s="18" t="n">
        <v>25</v>
      </c>
      <c r="E152" t="n">
        <v>1</v>
      </c>
      <c r="F152" s="25" t="n">
        <v>1745704.54</v>
      </c>
      <c r="G152" s="15">
        <f>C152/SUM($C$5:$C$155)</f>
        <v/>
      </c>
      <c r="H152" s="15">
        <f>SUM($C$5:C152)/SUM($C$5:$C$155)</f>
        <v/>
      </c>
      <c r="I152">
        <f>RANK.EQ(C152,$C$5:$C$154,0)</f>
        <v/>
      </c>
      <c r="J152">
        <f>IF(H152-G152&lt;0.8,"A",IF(H152-G152&lt;0.95,"B","C"))</f>
        <v/>
      </c>
      <c r="K152" s="25">
        <f>C152/D152</f>
        <v/>
      </c>
      <c r="L152" s="15">
        <f>IF(C152&gt;0,F152/C152,"")</f>
        <v/>
      </c>
    </row>
    <row r="153">
      <c r="A153" t="inlineStr">
        <is>
          <t>V926F036BFB</t>
        </is>
      </c>
      <c r="B153" t="inlineStr">
        <is>
          <t>VIEUX &amp; ASSOCIATES INC</t>
        </is>
      </c>
      <c r="C153" s="25" t="n">
        <v>1746418.81</v>
      </c>
      <c r="D153" s="18" t="n">
        <v>12</v>
      </c>
      <c r="E153" t="n">
        <v>1</v>
      </c>
      <c r="F153" s="25" t="n">
        <v>1746418.81</v>
      </c>
      <c r="G153" s="15">
        <f>C153/SUM($C$5:$C$155)</f>
        <v/>
      </c>
      <c r="H153" s="15">
        <f>SUM($C$5:C153)/SUM($C$5:$C$155)</f>
        <v/>
      </c>
      <c r="I153">
        <f>RANK.EQ(C153,$C$5:$C$154,0)</f>
        <v/>
      </c>
      <c r="J153">
        <f>IF(H153-G153&lt;0.8,"A",IF(H153-G153&lt;0.95,"B","C"))</f>
        <v/>
      </c>
      <c r="K153" s="25">
        <f>C153/D153</f>
        <v/>
      </c>
      <c r="L153" s="15">
        <f>IF(C153&gt;0,F153/C153,"")</f>
        <v/>
      </c>
    </row>
    <row r="154">
      <c r="A154" t="inlineStr">
        <is>
          <t>VB3F8E10AC5</t>
        </is>
      </c>
      <c r="B154" t="inlineStr">
        <is>
          <t>ATLANTIC DIVING SUPPLY INC</t>
        </is>
      </c>
      <c r="C154" s="25" t="n">
        <v>1727613.05</v>
      </c>
      <c r="D154" s="18" t="n">
        <v>40</v>
      </c>
      <c r="E154" t="n">
        <v>3</v>
      </c>
      <c r="F154" s="25" t="n">
        <v>1618499.13</v>
      </c>
      <c r="G154" s="15">
        <f>C154/SUM($C$5:$C$155)</f>
        <v/>
      </c>
      <c r="H154" s="15">
        <f>SUM($C$5:C154)/SUM($C$5:$C$155)</f>
        <v/>
      </c>
      <c r="I154">
        <f>RANK.EQ(C154,$C$5:$C$154,0)</f>
        <v/>
      </c>
      <c r="J154">
        <f>IF(H154-G154&lt;0.8,"A",IF(H154-G154&lt;0.95,"B","C"))</f>
        <v/>
      </c>
      <c r="K154" s="25">
        <f>C154/D154</f>
        <v/>
      </c>
      <c r="L154" s="15">
        <f>IF(C154&gt;0,F154/C154,"")</f>
        <v/>
      </c>
    </row>
    <row r="155">
      <c r="A155" t="inlineStr">
        <is>
          <t>ALL_OTHER</t>
        </is>
      </c>
      <c r="B155" t="inlineStr">
        <is>
          <t>All other vendors (1,785)</t>
        </is>
      </c>
      <c r="C155" s="25" t="n">
        <v>263608577.93</v>
      </c>
      <c r="D155" s="18" t="n">
        <v>16999</v>
      </c>
      <c r="F155" s="25" t="n">
        <v>216463336.02</v>
      </c>
      <c r="G155" s="15">
        <f>C155/SUM($C$5:$C$155)</f>
        <v/>
      </c>
      <c r="K155" s="25">
        <f>C155/D155</f>
        <v/>
      </c>
      <c r="L155" s="15">
        <f>IF(C155&gt;0,F155/C155,"")</f>
        <v/>
      </c>
    </row>
    <row r="156">
      <c r="B156" s="3" t="inlineStr">
        <is>
          <t>Total</t>
        </is>
      </c>
      <c r="C156" s="25">
        <f>SUM(C5:C155)</f>
        <v/>
      </c>
      <c r="D156" s="18">
        <f>SUM(D5:D155)</f>
        <v/>
      </c>
      <c r="F156" s="25">
        <f>SUM(F5:F155)</f>
        <v/>
      </c>
      <c r="L156" s="15">
        <f>F156/C156</f>
        <v/>
      </c>
    </row>
    <row r="158">
      <c r="B158" s="3" t="inlineStr">
        <is>
          <t>Top-10 vendor share (formula)</t>
        </is>
      </c>
      <c r="C158" s="15">
        <f>SUMIFS(G5:G154,I5:I154,"&lt;=10")</f>
        <v/>
      </c>
    </row>
    <row r="159">
      <c r="B159" s="3" t="inlineStr">
        <is>
          <t>Vendors to reach 80% of spend (formula)</t>
        </is>
      </c>
      <c r="C159">
        <f>COUNTIFS(J5:J154,"A")</f>
        <v/>
      </c>
    </row>
    <row r="160">
      <c r="B160" s="3" t="inlineStr">
        <is>
          <t>Vendor HHI, all 1,900+ vendors (pipeline value)</t>
        </is>
      </c>
      <c r="C160" t="n">
        <v>150.5</v>
      </c>
    </row>
  </sheetData>
  <conditionalFormatting sqref="G5:G154">
    <cfRule type="dataBar" priority="1">
      <dataBar>
        <cfvo type="num" val="0"/>
        <cfvo type="max"/>
        <color rgb="001F2A44"/>
      </dataBar>
    </cfRule>
  </conditionalFormatting>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91"/>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8" customWidth="1" min="1" max="1"/>
    <col width="46" customWidth="1" min="2" max="2"/>
    <col width="26" customWidth="1" min="3" max="3"/>
    <col width="15" customWidth="1" min="4" max="4"/>
    <col width="8" customWidth="1" min="5" max="5"/>
    <col width="30" customWidth="1" min="6" max="6"/>
    <col width="10" customWidth="1" min="7" max="7"/>
    <col width="9" customWidth="1" min="8" max="8"/>
    <col width="8" customWidth="1" min="9" max="9"/>
    <col width="15" customWidth="1" min="10" max="10"/>
    <col width="9" customWidth="1" min="11" max="11"/>
    <col width="7" customWidth="1" min="12" max="12"/>
    <col width="20" customWidth="1" min="13" max="13"/>
    <col width="10" customWidth="1" min="14" max="14"/>
  </cols>
  <sheetData>
    <row r="1">
      <c r="A1" s="1" t="inlineStr">
        <is>
          <t>Category spend and supplier dependency</t>
        </is>
      </c>
    </row>
    <row r="2">
      <c r="A2" s="2" t="inlineStr">
        <is>
          <t>OBSERVED DATA - City of Austin purchase orders (data.austintexas.gov), FY2022-FY2026. NIGP classes with spend &gt;= $1,000,000.</t>
        </is>
      </c>
    </row>
    <row r="3">
      <c r="A3" s="3" t="inlineStr">
        <is>
          <t>Thresholds (inputs):</t>
        </is>
      </c>
      <c r="C3" t="inlineStr">
        <is>
          <t>Single-vendor share</t>
        </is>
      </c>
      <c r="D3" s="31" t="n">
        <v>0.9</v>
      </c>
      <c r="E3" t="inlineStr">
        <is>
          <t>HHI highly concentrated</t>
        </is>
      </c>
      <c r="F3" s="32" t="n">
        <v>2500</v>
      </c>
    </row>
    <row r="5" ht="45" customHeight="1">
      <c r="A5" s="8" t="inlineStr">
        <is>
          <t>NIGP class</t>
        </is>
      </c>
      <c r="B5" s="8" t="inlineStr">
        <is>
          <t>Class label</t>
        </is>
      </c>
      <c r="C5" s="8" t="inlineStr">
        <is>
          <t>Spend family</t>
        </is>
      </c>
      <c r="D5" s="8" t="inlineStr">
        <is>
          <t>Spend (USD)</t>
        </is>
      </c>
      <c r="E5" s="8" t="inlineStr">
        <is>
          <t>Vendors</t>
        </is>
      </c>
      <c r="F5" s="8" t="inlineStr">
        <is>
          <t>Top vendor</t>
        </is>
      </c>
      <c r="G5" s="8" t="inlineStr">
        <is>
          <t>Top vendor share</t>
        </is>
      </c>
      <c r="H5" s="8" t="inlineStr">
        <is>
          <t>Top vendor orders</t>
        </is>
      </c>
      <c r="I5" s="8" t="inlineStr">
        <is>
          <t>HHI</t>
        </is>
      </c>
      <c r="J5" s="8" t="inlineStr">
        <is>
          <t>Standalone spend (no master agreement)</t>
        </is>
      </c>
      <c r="K5" s="16" t="inlineStr">
        <is>
          <t>Share of total</t>
        </is>
      </c>
      <c r="L5" s="16" t="inlineStr">
        <is>
          <t>Spend rank</t>
        </is>
      </c>
      <c r="M5" s="16" t="inlineStr">
        <is>
          <t>Dependency flag</t>
        </is>
      </c>
      <c r="N5" s="16" t="inlineStr">
        <is>
          <t>Agreement coverage</t>
        </is>
      </c>
    </row>
    <row r="6">
      <c r="A6" t="inlineStr">
        <is>
          <t>070</t>
        </is>
      </c>
      <c r="B6" t="inlineStr">
        <is>
          <t>070 Automotive Vehicles and Transport Equip (including Trailers)</t>
        </is>
      </c>
      <c r="C6" t="inlineStr">
        <is>
          <t>Fleet vehicles, parts &amp; tires</t>
        </is>
      </c>
      <c r="D6" s="25" t="n">
        <v>287500379.36</v>
      </c>
      <c r="E6" s="18" t="n">
        <v>47</v>
      </c>
      <c r="F6" t="inlineStr">
        <is>
          <t>SILSBEE FORD INC</t>
        </is>
      </c>
      <c r="G6" s="15" t="n">
        <v>0.2958766486477724</v>
      </c>
      <c r="H6" s="18" t="n">
        <v>208</v>
      </c>
      <c r="I6" s="18" t="n">
        <v>1420.9</v>
      </c>
      <c r="J6" s="25" t="n">
        <v>605058.9300000001</v>
      </c>
      <c r="K6" s="15">
        <f>D6/Austin_Vendors!$C$156</f>
        <v/>
      </c>
      <c r="L6">
        <f>RANK.EQ(D6,$D$6:$D$84,0)</f>
        <v/>
      </c>
      <c r="M6">
        <f>IF(G6&gt;=$D$3,"R1 single-vendor",IF(I6&gt;=$F$3,"R2 highly concentrated",""))</f>
        <v/>
      </c>
      <c r="N6" s="15">
        <f>1-J6/D6</f>
        <v/>
      </c>
    </row>
    <row r="7">
      <c r="A7" t="inlineStr">
        <is>
          <t>285</t>
        </is>
      </c>
      <c r="B7" t="inlineStr">
        <is>
          <t>285 Electrical Equipment and Supplies (except Cable and Wire)</t>
        </is>
      </c>
      <c r="C7" t="inlineStr">
        <is>
          <t>Electrical &amp; utility equipment</t>
        </is>
      </c>
      <c r="D7" s="25" t="n">
        <v>260249139.89</v>
      </c>
      <c r="E7" s="18" t="n">
        <v>118</v>
      </c>
      <c r="F7" t="inlineStr">
        <is>
          <t>TEXAS ELECTRIC COOPERATIVES</t>
        </is>
      </c>
      <c r="G7" s="15" t="n">
        <v>0.2023852136927806</v>
      </c>
      <c r="H7" s="18" t="n">
        <v>160</v>
      </c>
      <c r="I7" s="18" t="n">
        <v>1344</v>
      </c>
      <c r="J7" s="25" t="n">
        <v>2227108.03</v>
      </c>
      <c r="K7" s="15">
        <f>D7/Austin_Vendors!$C$156</f>
        <v/>
      </c>
      <c r="L7">
        <f>RANK.EQ(D7,$D$6:$D$84,0)</f>
        <v/>
      </c>
      <c r="M7">
        <f>IF(G7&gt;=$D$3,"R1 single-vendor",IF(I7&gt;=$F$3,"R2 highly concentrated",""))</f>
        <v/>
      </c>
      <c r="N7" s="15">
        <f>1-J7/D7</f>
        <v/>
      </c>
    </row>
    <row r="8">
      <c r="A8" t="inlineStr">
        <is>
          <t>405</t>
        </is>
      </c>
      <c r="B8" t="inlineStr">
        <is>
          <t>405 Fuel, Oil, Grease and Lubricants</t>
        </is>
      </c>
      <c r="C8" t="inlineStr">
        <is>
          <t>Fuel &amp; lubricants</t>
        </is>
      </c>
      <c r="D8" s="25" t="n">
        <v>86487318.81</v>
      </c>
      <c r="E8" s="18" t="n">
        <v>14</v>
      </c>
      <c r="F8" t="inlineStr">
        <is>
          <t>Pinnacle Petroleum Incorporated</t>
        </is>
      </c>
      <c r="G8" s="15" t="n">
        <v>0.9225629740619775</v>
      </c>
      <c r="H8" s="18" t="n">
        <v>261</v>
      </c>
      <c r="I8" s="18" t="n">
        <v>8525</v>
      </c>
      <c r="J8" s="25" t="n">
        <v>42269.41</v>
      </c>
      <c r="K8" s="15">
        <f>D8/Austin_Vendors!$C$156</f>
        <v/>
      </c>
      <c r="L8">
        <f>RANK.EQ(D8,$D$6:$D$84,0)</f>
        <v/>
      </c>
      <c r="M8">
        <f>IF(G8&gt;=$D$3,"R1 single-vendor",IF(I8&gt;=$F$3,"R2 highly concentrated",""))</f>
        <v/>
      </c>
      <c r="N8" s="15">
        <f>1-J8/D8</f>
        <v/>
      </c>
    </row>
    <row r="9">
      <c r="A9" t="inlineStr">
        <is>
          <t>885</t>
        </is>
      </c>
      <c r="B9" t="inlineStr">
        <is>
          <t>885 Ferric Sulfate (feso4)</t>
        </is>
      </c>
      <c r="C9" t="inlineStr">
        <is>
          <t>Water &amp; wastewater treatment</t>
        </is>
      </c>
      <c r="D9" s="25" t="n">
        <v>66313009.79</v>
      </c>
      <c r="E9" s="18" t="n">
        <v>35</v>
      </c>
      <c r="F9" t="inlineStr">
        <is>
          <t>LHOIST NORTH AMERICA OF TEXAS, LLC</t>
        </is>
      </c>
      <c r="G9" s="15" t="n">
        <v>0.2970027150384302</v>
      </c>
      <c r="H9" s="18" t="n">
        <v>60</v>
      </c>
      <c r="I9" s="18" t="n">
        <v>1391.1</v>
      </c>
      <c r="J9" s="25" t="n">
        <v>4296035.92</v>
      </c>
      <c r="K9" s="15">
        <f>D9/Austin_Vendors!$C$156</f>
        <v/>
      </c>
      <c r="L9">
        <f>RANK.EQ(D9,$D$6:$D$84,0)</f>
        <v/>
      </c>
      <c r="M9">
        <f>IF(G9&gt;=$D$3,"R1 single-vendor",IF(I9&gt;=$F$3,"R2 highly concentrated",""))</f>
        <v/>
      </c>
      <c r="N9" s="15">
        <f>1-J9/D9</f>
        <v/>
      </c>
    </row>
    <row r="10">
      <c r="A10" t="inlineStr">
        <is>
          <t>725</t>
        </is>
      </c>
      <c r="B10" t="inlineStr">
        <is>
          <t>725 Radio Communication, Telephone, and Telecommunicat</t>
        </is>
      </c>
      <c r="C10" t="inlineStr">
        <is>
          <t>Radio, telecom &amp; video</t>
        </is>
      </c>
      <c r="D10" s="25" t="n">
        <v>62672624.84</v>
      </c>
      <c r="E10" s="18" t="n">
        <v>65</v>
      </c>
      <c r="F10" t="inlineStr">
        <is>
          <t>MOTOROLA SOLUTIONS INC</t>
        </is>
      </c>
      <c r="G10" s="15" t="n">
        <v>0.6965582380098061</v>
      </c>
      <c r="H10" s="18" t="n">
        <v>310</v>
      </c>
      <c r="I10" s="18" t="n">
        <v>5223.9</v>
      </c>
      <c r="J10" s="25" t="n">
        <v>597977.62</v>
      </c>
      <c r="K10" s="15">
        <f>D10/Austin_Vendors!$C$156</f>
        <v/>
      </c>
      <c r="L10">
        <f>RANK.EQ(D10,$D$6:$D$84,0)</f>
        <v/>
      </c>
      <c r="M10">
        <f>IF(G10&gt;=$D$3,"R1 single-vendor",IF(I10&gt;=$F$3,"R2 highly concentrated",""))</f>
        <v/>
      </c>
      <c r="N10" s="15">
        <f>1-J10/D10</f>
        <v/>
      </c>
    </row>
    <row r="11">
      <c r="A11" t="inlineStr">
        <is>
          <t>204</t>
        </is>
      </c>
      <c r="B11" t="inlineStr">
        <is>
          <t>204 Computer Hardware and Peripherals for Microcompute</t>
        </is>
      </c>
      <c r="C11" t="inlineStr">
        <is>
          <t>IT hardware &amp; software</t>
        </is>
      </c>
      <c r="D11" s="25" t="n">
        <v>59785093.64</v>
      </c>
      <c r="E11" s="18" t="n">
        <v>82</v>
      </c>
      <c r="F11" t="inlineStr">
        <is>
          <t>DELL MARKETING LP</t>
        </is>
      </c>
      <c r="G11" s="15" t="n">
        <v>0.2888703790278114</v>
      </c>
      <c r="H11" s="18" t="n">
        <v>870</v>
      </c>
      <c r="I11" s="18" t="n">
        <v>1873.8</v>
      </c>
      <c r="J11" s="25" t="n">
        <v>2164563.16</v>
      </c>
      <c r="K11" s="15">
        <f>D11/Austin_Vendors!$C$156</f>
        <v/>
      </c>
      <c r="L11">
        <f>RANK.EQ(D11,$D$6:$D$84,0)</f>
        <v/>
      </c>
      <c r="M11">
        <f>IF(G11&gt;=$D$3,"R1 single-vendor",IF(I11&gt;=$F$3,"R2 highly concentrated",""))</f>
        <v/>
      </c>
      <c r="N11" s="15">
        <f>1-J11/D11</f>
        <v/>
      </c>
    </row>
    <row r="12">
      <c r="A12" t="inlineStr">
        <is>
          <t>208</t>
        </is>
      </c>
      <c r="B12" t="inlineStr">
        <is>
          <t>208 Computer Software for Microcomputers (preprogrammed)</t>
        </is>
      </c>
      <c r="C12" t="inlineStr">
        <is>
          <t>IT hardware &amp; software</t>
        </is>
      </c>
      <c r="D12" s="25" t="n">
        <v>55796622.73</v>
      </c>
      <c r="E12" s="18" t="n">
        <v>151</v>
      </c>
      <c r="F12" t="inlineStr">
        <is>
          <t>OverDrive, Inc.</t>
        </is>
      </c>
      <c r="G12" s="15" t="n">
        <v>0.1300243141078012</v>
      </c>
      <c r="H12" s="18" t="n">
        <v>9</v>
      </c>
      <c r="I12" s="18" t="n">
        <v>564.4</v>
      </c>
      <c r="J12" s="25" t="n">
        <v>1273951.7</v>
      </c>
      <c r="K12" s="15">
        <f>D12/Austin_Vendors!$C$156</f>
        <v/>
      </c>
      <c r="L12">
        <f>RANK.EQ(D12,$D$6:$D$84,0)</f>
        <v/>
      </c>
      <c r="M12">
        <f>IF(G12&gt;=$D$3,"R1 single-vendor",IF(I12&gt;=$F$3,"R2 highly concentrated",""))</f>
        <v/>
      </c>
      <c r="N12" s="15">
        <f>1-J12/D12</f>
        <v/>
      </c>
    </row>
    <row r="13">
      <c r="A13" t="inlineStr">
        <is>
          <t>890</t>
        </is>
      </c>
      <c r="B13" t="inlineStr">
        <is>
          <t>890 Water Supply, Groundwater, Sewage Treatment, Related Equip</t>
        </is>
      </c>
      <c r="C13" t="inlineStr">
        <is>
          <t>Water &amp; wastewater treatment</t>
        </is>
      </c>
      <c r="D13" s="25" t="n">
        <v>52811645.78</v>
      </c>
      <c r="E13" s="18" t="n">
        <v>93</v>
      </c>
      <c r="F13" t="inlineStr">
        <is>
          <t>Ferguson US Holdings, Inc</t>
        </is>
      </c>
      <c r="G13" s="15" t="n">
        <v>0.2327759358458683</v>
      </c>
      <c r="H13" s="18" t="n">
        <v>160</v>
      </c>
      <c r="I13" s="18" t="n">
        <v>1138.7</v>
      </c>
      <c r="J13" s="25" t="n">
        <v>6634408.43</v>
      </c>
      <c r="K13" s="15">
        <f>D13/Austin_Vendors!$C$156</f>
        <v/>
      </c>
      <c r="L13">
        <f>RANK.EQ(D13,$D$6:$D$84,0)</f>
        <v/>
      </c>
      <c r="M13">
        <f>IF(G13&gt;=$D$3,"R1 single-vendor",IF(I13&gt;=$F$3,"R2 highly concentrated",""))</f>
        <v/>
      </c>
      <c r="N13" s="15">
        <f>1-J13/D13</f>
        <v/>
      </c>
    </row>
    <row r="14">
      <c r="A14" t="inlineStr">
        <is>
          <t>545</t>
        </is>
      </c>
      <c r="B14" t="inlineStr">
        <is>
          <t>545 Impact Tools, Air Powered (not Road Building)</t>
        </is>
      </c>
      <c r="C14" t="inlineStr">
        <is>
          <t>Heavy equipment &amp; tools</t>
        </is>
      </c>
      <c r="D14" s="25" t="n">
        <v>51790623.58</v>
      </c>
      <c r="E14" s="18" t="n">
        <v>32</v>
      </c>
      <c r="F14" t="inlineStr">
        <is>
          <t>W W GRAINGER INC</t>
        </is>
      </c>
      <c r="G14" s="15" t="n">
        <v>0.628060837687253</v>
      </c>
      <c r="H14" s="18" t="n">
        <v>686</v>
      </c>
      <c r="I14" s="18" t="n">
        <v>4440.8</v>
      </c>
      <c r="J14" s="25" t="n">
        <v>3737679.18</v>
      </c>
      <c r="K14" s="15">
        <f>D14/Austin_Vendors!$C$156</f>
        <v/>
      </c>
      <c r="L14">
        <f>RANK.EQ(D14,$D$6:$D$84,0)</f>
        <v/>
      </c>
      <c r="M14">
        <f>IF(G14&gt;=$D$3,"R1 single-vendor",IF(I14&gt;=$F$3,"R2 highly concentrated",""))</f>
        <v/>
      </c>
      <c r="N14" s="15">
        <f>1-J14/D14</f>
        <v/>
      </c>
    </row>
    <row r="15">
      <c r="A15" t="inlineStr">
        <is>
          <t>206</t>
        </is>
      </c>
      <c r="B15" t="inlineStr">
        <is>
          <t>206 Computer Hardware / Peripherals for Mini/mainframe Computers</t>
        </is>
      </c>
      <c r="C15" t="inlineStr">
        <is>
          <t>IT hardware &amp; software</t>
        </is>
      </c>
      <c r="D15" s="25" t="n">
        <v>42185564.19</v>
      </c>
      <c r="E15" s="18" t="n">
        <v>46</v>
      </c>
      <c r="F15" t="inlineStr">
        <is>
          <t>CONTROL PANELS USA INC</t>
        </is>
      </c>
      <c r="G15" s="15" t="n">
        <v>0.2371316044262202</v>
      </c>
      <c r="H15" s="18" t="n">
        <v>45</v>
      </c>
      <c r="I15" s="18" t="n">
        <v>1470.5</v>
      </c>
      <c r="J15" s="25" t="n">
        <v>7217391.9</v>
      </c>
      <c r="K15" s="15">
        <f>D15/Austin_Vendors!$C$156</f>
        <v/>
      </c>
      <c r="L15">
        <f>RANK.EQ(D15,$D$6:$D$84,0)</f>
        <v/>
      </c>
      <c r="M15">
        <f>IF(G15&gt;=$D$3,"R1 single-vendor",IF(I15&gt;=$F$3,"R2 highly concentrated",""))</f>
        <v/>
      </c>
      <c r="N15" s="15">
        <f>1-J15/D15</f>
        <v/>
      </c>
    </row>
    <row r="16">
      <c r="A16" t="inlineStr">
        <is>
          <t>655</t>
        </is>
      </c>
      <c r="B16" t="inlineStr">
        <is>
          <t>655 Photo Equip - Film and Supplies</t>
        </is>
      </c>
      <c r="C16" t="inlineStr">
        <is>
          <t>Radio, telecom &amp; video</t>
        </is>
      </c>
      <c r="D16" s="25" t="n">
        <v>41904761.76</v>
      </c>
      <c r="E16" s="18" t="n">
        <v>20</v>
      </c>
      <c r="F16" t="inlineStr">
        <is>
          <t>Axon Enterprise, Inc.</t>
        </is>
      </c>
      <c r="G16" s="15" t="n">
        <v>0.5688159741013643</v>
      </c>
      <c r="H16" s="18" t="n">
        <v>19</v>
      </c>
      <c r="I16" s="18" t="n">
        <v>3527</v>
      </c>
      <c r="J16" s="25" t="n">
        <v>181641.46</v>
      </c>
      <c r="K16" s="15">
        <f>D16/Austin_Vendors!$C$156</f>
        <v/>
      </c>
      <c r="L16">
        <f>RANK.EQ(D16,$D$6:$D$84,0)</f>
        <v/>
      </c>
      <c r="M16">
        <f>IF(G16&gt;=$D$3,"R1 single-vendor",IF(I16&gt;=$F$3,"R2 highly concentrated",""))</f>
        <v/>
      </c>
      <c r="N16" s="15">
        <f>1-J16/D16</f>
        <v/>
      </c>
    </row>
    <row r="17">
      <c r="A17" t="inlineStr">
        <is>
          <t>745</t>
        </is>
      </c>
      <c r="B17" t="inlineStr">
        <is>
          <t>745 Asphaltic Concrete, Hot Mix, in Accordance with It</t>
        </is>
      </c>
      <c r="C17" t="inlineStr">
        <is>
          <t>Road &amp; construction materials</t>
        </is>
      </c>
      <c r="D17" s="25" t="n">
        <v>41641930.49</v>
      </c>
      <c r="E17" s="18" t="n">
        <v>7</v>
      </c>
      <c r="F17" t="inlineStr">
        <is>
          <t>Asphalt Inc LLC</t>
        </is>
      </c>
      <c r="G17" s="15" t="n">
        <v>0.802265437430252</v>
      </c>
      <c r="H17" s="18" t="n">
        <v>249</v>
      </c>
      <c r="I17" s="18" t="n">
        <v>6820.2</v>
      </c>
      <c r="J17" s="25" t="n">
        <v>48296.5</v>
      </c>
      <c r="K17" s="15">
        <f>D17/Austin_Vendors!$C$156</f>
        <v/>
      </c>
      <c r="L17">
        <f>RANK.EQ(D17,$D$6:$D$84,0)</f>
        <v/>
      </c>
      <c r="M17">
        <f>IF(G17&gt;=$D$3,"R1 single-vendor",IF(I17&gt;=$F$3,"R2 highly concentrated",""))</f>
        <v/>
      </c>
      <c r="N17" s="15">
        <f>1-J17/D17</f>
        <v/>
      </c>
    </row>
    <row r="18">
      <c r="A18" t="inlineStr">
        <is>
          <t>200</t>
        </is>
      </c>
      <c r="B18" t="inlineStr">
        <is>
          <t>200 Clothing: Athletic / Casual / Dress / Uniform / Wthr / Work</t>
        </is>
      </c>
      <c r="C18" t="inlineStr">
        <is>
          <t>Apparel &amp; PPE</t>
        </is>
      </c>
      <c r="D18" s="25" t="n">
        <v>31574336.8</v>
      </c>
      <c r="E18" s="18" t="n">
        <v>44</v>
      </c>
      <c r="F18" t="inlineStr">
        <is>
          <t>Galls Parent Holdings, LLC</t>
        </is>
      </c>
      <c r="G18" s="15" t="n">
        <v>0.4838392700618814</v>
      </c>
      <c r="H18" s="18" t="n">
        <v>114</v>
      </c>
      <c r="I18" s="18" t="n">
        <v>2717.2</v>
      </c>
      <c r="J18" s="25" t="n">
        <v>316451.82</v>
      </c>
      <c r="K18" s="15">
        <f>D18/Austin_Vendors!$C$156</f>
        <v/>
      </c>
      <c r="L18">
        <f>RANK.EQ(D18,$D$6:$D$84,0)</f>
        <v/>
      </c>
      <c r="M18">
        <f>IF(G18&gt;=$D$3,"R1 single-vendor",IF(I18&gt;=$F$3,"R2 highly concentrated",""))</f>
        <v/>
      </c>
      <c r="N18" s="15">
        <f>1-J18/D18</f>
        <v/>
      </c>
    </row>
    <row r="19">
      <c r="A19" t="inlineStr">
        <is>
          <t>060</t>
        </is>
      </c>
      <c r="B19" t="inlineStr">
        <is>
          <t>060 Automotive Maintenance Items and Repair/replacemen</t>
        </is>
      </c>
      <c r="C19" t="inlineStr">
        <is>
          <t>Fleet vehicles, parts &amp; tires</t>
        </is>
      </c>
      <c r="D19" s="25" t="n">
        <v>29091104.68</v>
      </c>
      <c r="E19" s="18" t="n">
        <v>97</v>
      </c>
      <c r="F19" t="inlineStr">
        <is>
          <t>LEIF JOHNSON FORD II LTD</t>
        </is>
      </c>
      <c r="G19" s="15" t="n">
        <v>0.1342079306697541</v>
      </c>
      <c r="H19" s="18" t="n">
        <v>101</v>
      </c>
      <c r="I19" s="18" t="n">
        <v>747.9</v>
      </c>
      <c r="J19" s="25" t="n">
        <v>443338.38</v>
      </c>
      <c r="K19" s="15">
        <f>D19/Austin_Vendors!$C$156</f>
        <v/>
      </c>
      <c r="L19">
        <f>RANK.EQ(D19,$D$6:$D$84,0)</f>
        <v/>
      </c>
      <c r="M19">
        <f>IF(G19&gt;=$D$3,"R1 single-vendor",IF(I19&gt;=$F$3,"R2 highly concentrated",""))</f>
        <v/>
      </c>
      <c r="N19" s="15">
        <f>1-J19/D19</f>
        <v/>
      </c>
    </row>
    <row r="20">
      <c r="A20" t="inlineStr">
        <is>
          <t>550</t>
        </is>
      </c>
      <c r="B20" t="inlineStr">
        <is>
          <t>550 Parking Meters and Area Control Equipment</t>
        </is>
      </c>
      <c r="C20" t="inlineStr">
        <is>
          <t>Traffic, signage &amp; parking</t>
        </is>
      </c>
      <c r="D20" s="25" t="n">
        <v>27738649.7</v>
      </c>
      <c r="E20" s="18" t="n">
        <v>77</v>
      </c>
      <c r="F20" t="inlineStr">
        <is>
          <t>PARADIGM TRAFFIC SYSTEMS INC</t>
        </is>
      </c>
      <c r="G20" s="15" t="n">
        <v>0.132871914814224</v>
      </c>
      <c r="H20" s="18" t="n">
        <v>29</v>
      </c>
      <c r="I20" s="18" t="n">
        <v>834.2</v>
      </c>
      <c r="J20" s="25" t="n">
        <v>1830763.19</v>
      </c>
      <c r="K20" s="15">
        <f>D20/Austin_Vendors!$C$156</f>
        <v/>
      </c>
      <c r="L20">
        <f>RANK.EQ(D20,$D$6:$D$84,0)</f>
        <v/>
      </c>
      <c r="M20">
        <f>IF(G20&gt;=$D$3,"R1 single-vendor",IF(I20&gt;=$F$3,"R2 highly concentrated",""))</f>
        <v/>
      </c>
      <c r="N20" s="15">
        <f>1-J20/D20</f>
        <v/>
      </c>
    </row>
    <row r="21">
      <c r="A21" t="inlineStr">
        <is>
          <t>750</t>
        </is>
      </c>
      <c r="B21" t="inlineStr">
        <is>
          <t>750 Road and Highway Building Materials (not Asphaltic</t>
        </is>
      </c>
      <c r="C21" t="inlineStr">
        <is>
          <t>Road &amp; construction materials</t>
        </is>
      </c>
      <c r="D21" s="25" t="n">
        <v>25514000.25</v>
      </c>
      <c r="E21" s="18" t="n">
        <v>21</v>
      </c>
      <c r="F21" t="inlineStr">
        <is>
          <t>VULCAN CONSTRUCTION MATERIALS LLC</t>
        </is>
      </c>
      <c r="G21" s="15" t="n">
        <v>0.2340798703253128</v>
      </c>
      <c r="H21" s="18" t="n">
        <v>9</v>
      </c>
      <c r="I21" s="18" t="n">
        <v>1446.9</v>
      </c>
      <c r="J21" s="25" t="n">
        <v>2188954.42</v>
      </c>
      <c r="K21" s="15">
        <f>D21/Austin_Vendors!$C$156</f>
        <v/>
      </c>
      <c r="L21">
        <f>RANK.EQ(D21,$D$6:$D$84,0)</f>
        <v/>
      </c>
      <c r="M21">
        <f>IF(G21&gt;=$D$3,"R1 single-vendor",IF(I21&gt;=$F$3,"R2 highly concentrated",""))</f>
        <v/>
      </c>
      <c r="N21" s="15">
        <f>1-J21/D21</f>
        <v/>
      </c>
    </row>
    <row r="22">
      <c r="A22" t="inlineStr">
        <is>
          <t>269</t>
        </is>
      </c>
      <c r="B22" t="inlineStr">
        <is>
          <t>269 Drugs and Pharmaceuticals</t>
        </is>
      </c>
      <c r="C22" t="inlineStr">
        <is>
          <t>Water &amp; wastewater treatment</t>
        </is>
      </c>
      <c r="D22" s="25" t="n">
        <v>24693887.54</v>
      </c>
      <c r="E22" s="18" t="n">
        <v>26</v>
      </c>
      <c r="F22" t="inlineStr">
        <is>
          <t>PREMIER MAGNESIA LLC</t>
        </is>
      </c>
      <c r="G22" s="15" t="n">
        <v>0.5203491556032251</v>
      </c>
      <c r="H22" s="18" t="n">
        <v>63</v>
      </c>
      <c r="I22" s="18" t="n">
        <v>3788.9</v>
      </c>
      <c r="J22" s="25" t="n">
        <v>246705.57</v>
      </c>
      <c r="K22" s="15">
        <f>D22/Austin_Vendors!$C$156</f>
        <v/>
      </c>
      <c r="L22">
        <f>RANK.EQ(D22,$D$6:$D$84,0)</f>
        <v/>
      </c>
      <c r="M22">
        <f>IF(G22&gt;=$D$3,"R1 single-vendor",IF(I22&gt;=$F$3,"R2 highly concentrated",""))</f>
        <v/>
      </c>
      <c r="N22" s="15">
        <f>1-J22/D22</f>
        <v/>
      </c>
    </row>
    <row r="23">
      <c r="A23" t="inlineStr">
        <is>
          <t>475</t>
        </is>
      </c>
      <c r="B23" t="inlineStr">
        <is>
          <t>475 Hospital, Surgical, and Related Medical Accessorie</t>
        </is>
      </c>
      <c r="C23" t="inlineStr">
        <is>
          <t>Public safety, medical &amp; lab</t>
        </is>
      </c>
      <c r="D23" s="25" t="n">
        <v>22741096.66</v>
      </c>
      <c r="E23" s="18" t="n">
        <v>35</v>
      </c>
      <c r="F23" t="inlineStr">
        <is>
          <t>BOUND TREE MEDICAL L L C</t>
        </is>
      </c>
      <c r="G23" s="15" t="n">
        <v>0.382177308330389</v>
      </c>
      <c r="H23" s="18" t="n">
        <v>674</v>
      </c>
      <c r="I23" s="18" t="n">
        <v>2071.8</v>
      </c>
      <c r="J23" s="25" t="n">
        <v>415061.55</v>
      </c>
      <c r="K23" s="15">
        <f>D23/Austin_Vendors!$C$156</f>
        <v/>
      </c>
      <c r="L23">
        <f>RANK.EQ(D23,$D$6:$D$84,0)</f>
        <v/>
      </c>
      <c r="M23">
        <f>IF(G23&gt;=$D$3,"R1 single-vendor",IF(I23&gt;=$F$3,"R2 highly concentrated",""))</f>
        <v/>
      </c>
      <c r="N23" s="15">
        <f>1-J23/D23</f>
        <v/>
      </c>
    </row>
    <row r="24">
      <c r="A24" t="inlineStr">
        <is>
          <t>570</t>
        </is>
      </c>
      <c r="B24" t="inlineStr">
        <is>
          <t>570 Steel, Reinforcing, Bars and Rods</t>
        </is>
      </c>
      <c r="C24" t="inlineStr">
        <is>
          <t>Road &amp; construction materials</t>
        </is>
      </c>
      <c r="D24" s="25" t="n">
        <v>20971609.93</v>
      </c>
      <c r="E24" s="18" t="n">
        <v>19</v>
      </c>
      <c r="F24" t="inlineStr">
        <is>
          <t>Posillico Civil, Inc</t>
        </is>
      </c>
      <c r="G24" s="15" t="n">
        <v>0.905131408287642</v>
      </c>
      <c r="H24" s="18" t="n">
        <v>1</v>
      </c>
      <c r="I24" s="18" t="n">
        <v>8213.4</v>
      </c>
      <c r="J24" s="25" t="n">
        <v>19314474.7</v>
      </c>
      <c r="K24" s="15">
        <f>D24/Austin_Vendors!$C$156</f>
        <v/>
      </c>
      <c r="L24">
        <f>RANK.EQ(D24,$D$6:$D$84,0)</f>
        <v/>
      </c>
      <c r="M24">
        <f>IF(G24&gt;=$D$3,"R1 single-vendor",IF(I24&gt;=$F$3,"R2 highly concentrated",""))</f>
        <v/>
      </c>
      <c r="N24" s="15">
        <f>1-J24/D24</f>
        <v/>
      </c>
    </row>
    <row r="25">
      <c r="A25" t="inlineStr">
        <is>
          <t>680</t>
        </is>
      </c>
      <c r="B25" t="inlineStr">
        <is>
          <t>680 Police Equipment</t>
        </is>
      </c>
      <c r="C25" t="inlineStr">
        <is>
          <t>Public safety, medical &amp; lab</t>
        </is>
      </c>
      <c r="D25" s="25" t="n">
        <v>20282628.88</v>
      </c>
      <c r="E25" s="18" t="n">
        <v>83</v>
      </c>
      <c r="F25" t="inlineStr">
        <is>
          <t>Preferred Technologies, LLC</t>
        </is>
      </c>
      <c r="G25" s="15" t="n">
        <v>0.1836037567926944</v>
      </c>
      <c r="H25" s="18" t="n">
        <v>20</v>
      </c>
      <c r="I25" s="18" t="n">
        <v>1092.2</v>
      </c>
      <c r="J25" s="25" t="n">
        <v>4467378.26</v>
      </c>
      <c r="K25" s="15">
        <f>D25/Austin_Vendors!$C$156</f>
        <v/>
      </c>
      <c r="L25">
        <f>RANK.EQ(D25,$D$6:$D$84,0)</f>
        <v/>
      </c>
      <c r="M25">
        <f>IF(G25&gt;=$D$3,"R1 single-vendor",IF(I25&gt;=$F$3,"R2 highly concentrated",""))</f>
        <v/>
      </c>
      <c r="N25" s="15">
        <f>1-J25/D25</f>
        <v/>
      </c>
    </row>
    <row r="26">
      <c r="A26" t="inlineStr">
        <is>
          <t>485</t>
        </is>
      </c>
      <c r="B26" t="inlineStr">
        <is>
          <t>485 Janitorial Supplies, General Line</t>
        </is>
      </c>
      <c r="C26" t="inlineStr">
        <is>
          <t>Facilities, MRO &amp; janitorial</t>
        </is>
      </c>
      <c r="D26" s="25" t="n">
        <v>16453838.37</v>
      </c>
      <c r="E26" s="18" t="n">
        <v>21</v>
      </c>
      <c r="F26" t="inlineStr">
        <is>
          <t>Ferguson US Holdings, Inc</t>
        </is>
      </c>
      <c r="G26" s="15" t="n">
        <v>0.6865814386871237</v>
      </c>
      <c r="H26" s="18" t="n">
        <v>177</v>
      </c>
      <c r="I26" s="18" t="n">
        <v>5419.2</v>
      </c>
      <c r="J26" s="25" t="n">
        <v>129746.21</v>
      </c>
      <c r="K26" s="15">
        <f>D26/Austin_Vendors!$C$156</f>
        <v/>
      </c>
      <c r="L26">
        <f>RANK.EQ(D26,$D$6:$D$84,0)</f>
        <v/>
      </c>
      <c r="M26">
        <f>IF(G26&gt;=$D$3,"R1 single-vendor",IF(I26&gt;=$F$3,"R2 highly concentrated",""))</f>
        <v/>
      </c>
      <c r="N26" s="15">
        <f>1-J26/D26</f>
        <v/>
      </c>
    </row>
    <row r="27">
      <c r="A27" t="inlineStr">
        <is>
          <t>340</t>
        </is>
      </c>
      <c r="B27" t="inlineStr">
        <is>
          <t>340 Fire Protection Equipment and Supplies</t>
        </is>
      </c>
      <c r="C27" t="inlineStr">
        <is>
          <t>Public safety, medical &amp; lab</t>
        </is>
      </c>
      <c r="D27" s="25" t="n">
        <v>16158483.35</v>
      </c>
      <c r="E27" s="18" t="n">
        <v>69</v>
      </c>
      <c r="F27" t="inlineStr">
        <is>
          <t>MES I Acquisition Inc</t>
        </is>
      </c>
      <c r="G27" s="15" t="n">
        <v>0.2851695341815604</v>
      </c>
      <c r="H27" s="18" t="n">
        <v>40</v>
      </c>
      <c r="I27" s="18" t="n">
        <v>1324.9</v>
      </c>
      <c r="J27" s="25" t="n">
        <v>946293.98</v>
      </c>
      <c r="K27" s="15">
        <f>D27/Austin_Vendors!$C$156</f>
        <v/>
      </c>
      <c r="L27">
        <f>RANK.EQ(D27,$D$6:$D$84,0)</f>
        <v/>
      </c>
      <c r="M27">
        <f>IF(G27&gt;=$D$3,"R1 single-vendor",IF(I27&gt;=$F$3,"R2 highly concentrated",""))</f>
        <v/>
      </c>
      <c r="N27" s="15">
        <f>1-J27/D27</f>
        <v/>
      </c>
    </row>
    <row r="28">
      <c r="A28" t="inlineStr">
        <is>
          <t>650</t>
        </is>
      </c>
      <c r="B28" t="inlineStr">
        <is>
          <t>650 Park, Playground, Rec Area and Swimming Pool Equip Supplies</t>
        </is>
      </c>
      <c r="C28" t="inlineStr">
        <is>
          <t>Other goods</t>
        </is>
      </c>
      <c r="D28" s="25" t="n">
        <v>15178840.63</v>
      </c>
      <c r="E28" s="18" t="n">
        <v>30</v>
      </c>
      <c r="F28" t="inlineStr">
        <is>
          <t>Paradigm Contracting LLC</t>
        </is>
      </c>
      <c r="G28" s="15" t="n">
        <v>0.3823756090125046</v>
      </c>
      <c r="H28" s="18" t="n">
        <v>39</v>
      </c>
      <c r="I28" s="18" t="n">
        <v>1848.4</v>
      </c>
      <c r="J28" s="25" t="n">
        <v>20813.53</v>
      </c>
      <c r="K28" s="15">
        <f>D28/Austin_Vendors!$C$156</f>
        <v/>
      </c>
      <c r="L28">
        <f>RANK.EQ(D28,$D$6:$D$84,0)</f>
        <v/>
      </c>
      <c r="M28">
        <f>IF(G28&gt;=$D$3,"R1 single-vendor",IF(I28&gt;=$F$3,"R2 highly concentrated",""))</f>
        <v/>
      </c>
      <c r="N28" s="15">
        <f>1-J28/D28</f>
        <v/>
      </c>
    </row>
    <row r="29">
      <c r="A29" t="inlineStr">
        <is>
          <t>760</t>
        </is>
      </c>
      <c r="B29" t="inlineStr">
        <is>
          <t>760 Tractor, Loader, Backhoe, Medi</t>
        </is>
      </c>
      <c r="C29" t="inlineStr">
        <is>
          <t>Heavy equipment &amp; tools</t>
        </is>
      </c>
      <c r="D29" s="25" t="n">
        <v>13031261.56</v>
      </c>
      <c r="E29" s="18" t="n">
        <v>18</v>
      </c>
      <c r="F29" t="inlineStr">
        <is>
          <t>Offutt Companies Inc.</t>
        </is>
      </c>
      <c r="G29" s="15" t="n">
        <v>0.6051607585106289</v>
      </c>
      <c r="H29" s="18" t="n">
        <v>58</v>
      </c>
      <c r="I29" s="18" t="n">
        <v>3922.5</v>
      </c>
      <c r="J29" s="25" t="n">
        <v>187501.73</v>
      </c>
      <c r="K29" s="15">
        <f>D29/Austin_Vendors!$C$156</f>
        <v/>
      </c>
      <c r="L29">
        <f>RANK.EQ(D29,$D$6:$D$84,0)</f>
        <v/>
      </c>
      <c r="M29">
        <f>IF(G29&gt;=$D$3,"R1 single-vendor",IF(I29&gt;=$F$3,"R2 highly concentrated",""))</f>
        <v/>
      </c>
      <c r="N29" s="15">
        <f>1-J29/D29</f>
        <v/>
      </c>
    </row>
    <row r="30">
      <c r="A30" t="inlineStr">
        <is>
          <t>450</t>
        </is>
      </c>
      <c r="B30" t="inlineStr">
        <is>
          <t>450 Hardware and Related Items</t>
        </is>
      </c>
      <c r="C30" t="inlineStr">
        <is>
          <t>Facilities, MRO &amp; janitorial</t>
        </is>
      </c>
      <c r="D30" s="25" t="n">
        <v>12201740.79</v>
      </c>
      <c r="E30" s="18" t="n">
        <v>58</v>
      </c>
      <c r="F30" t="inlineStr">
        <is>
          <t>TOTER LLC</t>
        </is>
      </c>
      <c r="G30" s="15" t="n">
        <v>0.7008710221912523</v>
      </c>
      <c r="H30" s="18" t="n">
        <v>11</v>
      </c>
      <c r="I30" s="18" t="n">
        <v>5152.8</v>
      </c>
      <c r="J30" s="25" t="n">
        <v>444501.52</v>
      </c>
      <c r="K30" s="15">
        <f>D30/Austin_Vendors!$C$156</f>
        <v/>
      </c>
      <c r="L30">
        <f>RANK.EQ(D30,$D$6:$D$84,0)</f>
        <v/>
      </c>
      <c r="M30">
        <f>IF(G30&gt;=$D$3,"R1 single-vendor",IF(I30&gt;=$F$3,"R2 highly concentrated",""))</f>
        <v/>
      </c>
      <c r="N30" s="15">
        <f>1-J30/D30</f>
        <v/>
      </c>
    </row>
    <row r="31">
      <c r="A31" t="inlineStr">
        <is>
          <t>715</t>
        </is>
      </c>
      <c r="B31" t="inlineStr">
        <is>
          <t>715 Publications, A/v Matls, Books, Textbooks</t>
        </is>
      </c>
      <c r="C31" t="inlineStr">
        <is>
          <t>Office, furniture &amp; publications</t>
        </is>
      </c>
      <c r="D31" s="25" t="n">
        <v>11813649.43</v>
      </c>
      <c r="E31" s="18" t="n">
        <v>46</v>
      </c>
      <c r="F31" t="inlineStr">
        <is>
          <t>BTAC Acquisition Corp.</t>
        </is>
      </c>
      <c r="G31" s="15" t="n">
        <v>0.4258404940665317</v>
      </c>
      <c r="H31" s="18" t="n">
        <v>84</v>
      </c>
      <c r="I31" s="18" t="n">
        <v>2615.1</v>
      </c>
      <c r="J31" s="25" t="n">
        <v>388873.77</v>
      </c>
      <c r="K31" s="15">
        <f>D31/Austin_Vendors!$C$156</f>
        <v/>
      </c>
      <c r="L31">
        <f>RANK.EQ(D31,$D$6:$D$84,0)</f>
        <v/>
      </c>
      <c r="M31">
        <f>IF(G31&gt;=$D$3,"R1 single-vendor",IF(I31&gt;=$F$3,"R2 highly concentrated",""))</f>
        <v/>
      </c>
      <c r="N31" s="15">
        <f>1-J31/D31</f>
        <v/>
      </c>
    </row>
    <row r="32">
      <c r="A32" t="inlineStr">
        <is>
          <t>425</t>
        </is>
      </c>
      <c r="B32" t="inlineStr">
        <is>
          <t>425 Furniture: Office</t>
        </is>
      </c>
      <c r="C32" t="inlineStr">
        <is>
          <t>Office, furniture &amp; publications</t>
        </is>
      </c>
      <c r="D32" s="25" t="n">
        <v>11531695.2</v>
      </c>
      <c r="E32" s="18" t="n">
        <v>33</v>
      </c>
      <c r="F32" t="inlineStr">
        <is>
          <t>Alfred Williams &amp; Company</t>
        </is>
      </c>
      <c r="G32" s="15" t="n">
        <v>0.3411119607115526</v>
      </c>
      <c r="H32" s="18" t="n">
        <v>29</v>
      </c>
      <c r="I32" s="18" t="n">
        <v>1798</v>
      </c>
      <c r="J32" s="25" t="n">
        <v>1111971.93</v>
      </c>
      <c r="K32" s="15">
        <f>D32/Austin_Vendors!$C$156</f>
        <v/>
      </c>
      <c r="L32">
        <f>RANK.EQ(D32,$D$6:$D$84,0)</f>
        <v/>
      </c>
      <c r="M32">
        <f>IF(G32&gt;=$D$3,"R1 single-vendor",IF(I32&gt;=$F$3,"R2 highly concentrated",""))</f>
        <v/>
      </c>
      <c r="N32" s="15">
        <f>1-J32/D32</f>
        <v/>
      </c>
    </row>
    <row r="33">
      <c r="A33" t="inlineStr">
        <is>
          <t>245</t>
        </is>
      </c>
      <c r="B33" t="inlineStr">
        <is>
          <t>245 Sodium Hypochlorite, Concentrated, Liquid</t>
        </is>
      </c>
      <c r="C33" t="inlineStr">
        <is>
          <t>Water &amp; wastewater treatment</t>
        </is>
      </c>
      <c r="D33" s="25" t="n">
        <v>11476889.2</v>
      </c>
      <c r="E33" s="18" t="n">
        <v>5</v>
      </c>
      <c r="F33" t="inlineStr">
        <is>
          <t>PVS DX INC</t>
        </is>
      </c>
      <c r="G33" s="15" t="n">
        <v>0.7295481122184224</v>
      </c>
      <c r="H33" s="18" t="n">
        <v>34</v>
      </c>
      <c r="I33" s="18" t="n">
        <v>5895.5</v>
      </c>
      <c r="J33" s="25" t="n">
        <v>1920</v>
      </c>
      <c r="K33" s="15">
        <f>D33/Austin_Vendors!$C$156</f>
        <v/>
      </c>
      <c r="L33">
        <f>RANK.EQ(D33,$D$6:$D$84,0)</f>
        <v/>
      </c>
      <c r="M33">
        <f>IF(G33&gt;=$D$3,"R1 single-vendor",IF(I33&gt;=$F$3,"R2 highly concentrated",""))</f>
        <v/>
      </c>
      <c r="N33" s="15">
        <f>1-J33/D33</f>
        <v/>
      </c>
    </row>
    <row r="34">
      <c r="A34" t="inlineStr">
        <is>
          <t>863</t>
        </is>
      </c>
      <c r="B34" t="inlineStr">
        <is>
          <t>863 Tires and Tubes</t>
        </is>
      </c>
      <c r="C34" t="inlineStr">
        <is>
          <t>Fleet vehicles, parts &amp; tires</t>
        </is>
      </c>
      <c r="D34" s="25" t="n">
        <v>10767513.13</v>
      </c>
      <c r="E34" s="18" t="n">
        <v>5</v>
      </c>
      <c r="F34" t="inlineStr">
        <is>
          <t>YOUNGBLOOD AUTOMOTIVE &amp; TIRE LLC</t>
        </is>
      </c>
      <c r="G34" s="15" t="n">
        <v>0.820637081498502</v>
      </c>
      <c r="H34" s="18" t="n">
        <v>81</v>
      </c>
      <c r="I34" s="18" t="n">
        <v>6924.8</v>
      </c>
      <c r="J34" s="25" t="n">
        <v>20501.2</v>
      </c>
      <c r="K34" s="15">
        <f>D34/Austin_Vendors!$C$156</f>
        <v/>
      </c>
      <c r="L34">
        <f>RANK.EQ(D34,$D$6:$D$84,0)</f>
        <v/>
      </c>
      <c r="M34">
        <f>IF(G34&gt;=$D$3,"R1 single-vendor",IF(I34&gt;=$F$3,"R2 highly concentrated",""))</f>
        <v/>
      </c>
      <c r="N34" s="15">
        <f>1-J34/D34</f>
        <v/>
      </c>
    </row>
    <row r="35">
      <c r="A35" t="inlineStr">
        <is>
          <t>765</t>
        </is>
      </c>
      <c r="B35" t="inlineStr">
        <is>
          <t>765 Road and Highway Equipment</t>
        </is>
      </c>
      <c r="C35" t="inlineStr">
        <is>
          <t>Heavy equipment &amp; tools</t>
        </is>
      </c>
      <c r="D35" s="25" t="n">
        <v>10161385.5</v>
      </c>
      <c r="E35" s="18" t="n">
        <v>35</v>
      </c>
      <c r="F35" t="inlineStr">
        <is>
          <t>TYMCO INC</t>
        </is>
      </c>
      <c r="G35" s="15" t="n">
        <v>0.3715447366896965</v>
      </c>
      <c r="H35" s="18" t="n">
        <v>7</v>
      </c>
      <c r="I35" s="18" t="n">
        <v>1833.9</v>
      </c>
      <c r="J35" s="25" t="n">
        <v>195593.79</v>
      </c>
      <c r="K35" s="15">
        <f>D35/Austin_Vendors!$C$156</f>
        <v/>
      </c>
      <c r="L35">
        <f>RANK.EQ(D35,$D$6:$D$84,0)</f>
        <v/>
      </c>
      <c r="M35">
        <f>IF(G35&gt;=$D$3,"R1 single-vendor",IF(I35&gt;=$F$3,"R2 highly concentrated",""))</f>
        <v/>
      </c>
      <c r="N35" s="15">
        <f>1-J35/D35</f>
        <v/>
      </c>
    </row>
    <row r="36">
      <c r="A36" t="inlineStr">
        <is>
          <t>035</t>
        </is>
      </c>
      <c r="B36" t="inlineStr">
        <is>
          <t>035 Baggage Handling Equipment and Parts</t>
        </is>
      </c>
      <c r="C36" t="inlineStr">
        <is>
          <t>Heavy equipment &amp; tools</t>
        </is>
      </c>
      <c r="D36" s="25" t="n">
        <v>9547345.41</v>
      </c>
      <c r="E36" s="18" t="n">
        <v>44</v>
      </c>
      <c r="F36" t="inlineStr">
        <is>
          <t>HELICOPTER SERVICES, INC.</t>
        </is>
      </c>
      <c r="G36" s="15" t="n">
        <v>0.566440461485304</v>
      </c>
      <c r="H36" s="18" t="n">
        <v>12</v>
      </c>
      <c r="I36" s="18" t="n">
        <v>3424.8</v>
      </c>
      <c r="J36" s="25" t="n">
        <v>7323426.6</v>
      </c>
      <c r="K36" s="15">
        <f>D36/Austin_Vendors!$C$156</f>
        <v/>
      </c>
      <c r="L36">
        <f>RANK.EQ(D36,$D$6:$D$84,0)</f>
        <v/>
      </c>
      <c r="M36">
        <f>IF(G36&gt;=$D$3,"R1 single-vendor",IF(I36&gt;=$F$3,"R2 highly concentrated",""))</f>
        <v/>
      </c>
      <c r="N36" s="15">
        <f>1-J36/D36</f>
        <v/>
      </c>
    </row>
    <row r="37">
      <c r="A37" t="inlineStr">
        <is>
          <t>670</t>
        </is>
      </c>
      <c r="B37" t="inlineStr">
        <is>
          <t>670 Plumbing Equipment, Fixtures, and Supplies</t>
        </is>
      </c>
      <c r="C37" t="inlineStr">
        <is>
          <t>Water &amp; wastewater treatment</t>
        </is>
      </c>
      <c r="D37" s="25" t="n">
        <v>8978505.52</v>
      </c>
      <c r="E37" s="18" t="n">
        <v>46</v>
      </c>
      <c r="F37" t="inlineStr">
        <is>
          <t>RUTS Construction LLC</t>
        </is>
      </c>
      <c r="G37" s="15" t="n">
        <v>0.7669100870586756</v>
      </c>
      <c r="H37" s="18" t="n">
        <v>18</v>
      </c>
      <c r="I37" s="18" t="n">
        <v>5969.7</v>
      </c>
      <c r="J37" s="25" t="n">
        <v>795776.89</v>
      </c>
      <c r="K37" s="15">
        <f>D37/Austin_Vendors!$C$156</f>
        <v/>
      </c>
      <c r="L37">
        <f>RANK.EQ(D37,$D$6:$D$84,0)</f>
        <v/>
      </c>
      <c r="M37">
        <f>IF(G37&gt;=$D$3,"R1 single-vendor",IF(I37&gt;=$F$3,"R2 highly concentrated",""))</f>
        <v/>
      </c>
      <c r="N37" s="15">
        <f>1-J37/D37</f>
        <v/>
      </c>
    </row>
    <row r="38">
      <c r="A38" t="inlineStr">
        <is>
          <t>205</t>
        </is>
      </c>
      <c r="B38" t="inlineStr">
        <is>
          <t>205 Monitors, Color and Monochrome, Environmentally Certified</t>
        </is>
      </c>
      <c r="C38" t="inlineStr">
        <is>
          <t>IT hardware &amp; software</t>
        </is>
      </c>
      <c r="D38" s="25" t="n">
        <v>8870391.85</v>
      </c>
      <c r="E38" s="18" t="n">
        <v>10</v>
      </c>
      <c r="F38" t="inlineStr">
        <is>
          <t>DELL MARKETING LP</t>
        </is>
      </c>
      <c r="G38" s="15" t="n">
        <v>0.9759455361602767</v>
      </c>
      <c r="H38" s="18" t="n">
        <v>961</v>
      </c>
      <c r="I38" s="18" t="n">
        <v>9526.200000000001</v>
      </c>
      <c r="J38" s="25" t="n">
        <v>79410.64</v>
      </c>
      <c r="K38" s="15">
        <f>D38/Austin_Vendors!$C$156</f>
        <v/>
      </c>
      <c r="L38">
        <f>RANK.EQ(D38,$D$6:$D$84,0)</f>
        <v/>
      </c>
      <c r="M38">
        <f>IF(G38&gt;=$D$3,"R1 single-vendor",IF(I38&gt;=$F$3,"R2 highly concentrated",""))</f>
        <v/>
      </c>
      <c r="N38" s="15">
        <f>1-J38/D38</f>
        <v/>
      </c>
    </row>
    <row r="39">
      <c r="A39" t="inlineStr">
        <is>
          <t>445</t>
        </is>
      </c>
      <c r="B39" t="inlineStr">
        <is>
          <t>445 Hand Tools (powered and Non-powered), Accessories</t>
        </is>
      </c>
      <c r="C39" t="inlineStr">
        <is>
          <t>Heavy equipment &amp; tools</t>
        </is>
      </c>
      <c r="D39" s="25" t="n">
        <v>8250436.91</v>
      </c>
      <c r="E39" s="18" t="n">
        <v>24</v>
      </c>
      <c r="F39" t="inlineStr">
        <is>
          <t>W W GRAINGER INC</t>
        </is>
      </c>
      <c r="G39" s="15" t="n">
        <v>0.8989919189625073</v>
      </c>
      <c r="H39" s="18" t="n">
        <v>23</v>
      </c>
      <c r="I39" s="18" t="n">
        <v>8099.4</v>
      </c>
      <c r="J39" s="25" t="n">
        <v>407671.47</v>
      </c>
      <c r="K39" s="15">
        <f>D39/Austin_Vendors!$C$156</f>
        <v/>
      </c>
      <c r="L39">
        <f>RANK.EQ(D39,$D$6:$D$84,0)</f>
        <v/>
      </c>
      <c r="M39">
        <f>IF(G39&gt;=$D$3,"R1 single-vendor",IF(I39&gt;=$F$3,"R2 highly concentrated",""))</f>
        <v/>
      </c>
      <c r="N39" s="15">
        <f>1-J39/D39</f>
        <v/>
      </c>
    </row>
    <row r="40">
      <c r="A40" t="inlineStr">
        <is>
          <t>330</t>
        </is>
      </c>
      <c r="B40" t="inlineStr">
        <is>
          <t>330 Fencing</t>
        </is>
      </c>
      <c r="C40" t="inlineStr">
        <is>
          <t>Road &amp; construction materials</t>
        </is>
      </c>
      <c r="D40" s="25" t="n">
        <v>7670927.99</v>
      </c>
      <c r="E40" s="18" t="n">
        <v>11</v>
      </c>
      <c r="F40" t="inlineStr">
        <is>
          <t>Tony Parent Enterprises, Inc.</t>
        </is>
      </c>
      <c r="G40" s="15" t="n">
        <v>0.8327274833406434</v>
      </c>
      <c r="H40" s="18" t="n">
        <v>217</v>
      </c>
      <c r="I40" s="18" t="n">
        <v>7102.3</v>
      </c>
      <c r="J40" s="25" t="n">
        <v>132263.37</v>
      </c>
      <c r="K40" s="15">
        <f>D40/Austin_Vendors!$C$156</f>
        <v/>
      </c>
      <c r="L40">
        <f>RANK.EQ(D40,$D$6:$D$84,0)</f>
        <v/>
      </c>
      <c r="M40">
        <f>IF(G40&gt;=$D$3,"R1 single-vendor",IF(I40&gt;=$F$3,"R2 highly concentrated",""))</f>
        <v/>
      </c>
      <c r="N40" s="15">
        <f>1-J40/D40</f>
        <v/>
      </c>
    </row>
    <row r="41">
      <c r="A41" t="inlineStr">
        <is>
          <t>465</t>
        </is>
      </c>
      <c r="B41" t="inlineStr">
        <is>
          <t>465 Defibrillator, External, Automatic (aed), Including Parts An</t>
        </is>
      </c>
      <c r="C41" t="inlineStr">
        <is>
          <t>Public safety, medical &amp; lab</t>
        </is>
      </c>
      <c r="D41" s="25" t="n">
        <v>7361979.04</v>
      </c>
      <c r="E41" s="18" t="n">
        <v>21</v>
      </c>
      <c r="F41" t="inlineStr">
        <is>
          <t>ZOLL Medical Corporation</t>
        </is>
      </c>
      <c r="G41" s="15" t="n">
        <v>0.6838472743057415</v>
      </c>
      <c r="H41" s="18" t="n">
        <v>183</v>
      </c>
      <c r="I41" s="18" t="n">
        <v>4937.8</v>
      </c>
      <c r="J41" s="25" t="n">
        <v>352818.48</v>
      </c>
      <c r="K41" s="15">
        <f>D41/Austin_Vendors!$C$156</f>
        <v/>
      </c>
      <c r="L41">
        <f>RANK.EQ(D41,$D$6:$D$84,0)</f>
        <v/>
      </c>
      <c r="M41">
        <f>IF(G41&gt;=$D$3,"R1 single-vendor",IF(I41&gt;=$F$3,"R2 highly concentrated",""))</f>
        <v/>
      </c>
      <c r="N41" s="15">
        <f>1-J41/D41</f>
        <v/>
      </c>
    </row>
    <row r="42">
      <c r="A42" t="inlineStr">
        <is>
          <t>720</t>
        </is>
      </c>
      <c r="B42" t="inlineStr">
        <is>
          <t>720 Pumping Equipment and Accessories</t>
        </is>
      </c>
      <c r="C42" t="inlineStr">
        <is>
          <t>Water &amp; wastewater treatment</t>
        </is>
      </c>
      <c r="D42" s="25" t="n">
        <v>7095753.24</v>
      </c>
      <c r="E42" s="18" t="n">
        <v>57</v>
      </c>
      <c r="F42" t="inlineStr">
        <is>
          <t>Siddons-Martin Emergency Group, LLC</t>
        </is>
      </c>
      <c r="G42" s="15" t="n">
        <v>0.1445998874673381</v>
      </c>
      <c r="H42" s="18" t="n">
        <v>2</v>
      </c>
      <c r="I42" s="18" t="n">
        <v>701.5</v>
      </c>
      <c r="J42" s="25" t="n">
        <v>3453049.68</v>
      </c>
      <c r="K42" s="15">
        <f>D42/Austin_Vendors!$C$156</f>
        <v/>
      </c>
      <c r="L42">
        <f>RANK.EQ(D42,$D$6:$D$84,0)</f>
        <v/>
      </c>
      <c r="M42">
        <f>IF(G42&gt;=$D$3,"R1 single-vendor",IF(I42&gt;=$F$3,"R2 highly concentrated",""))</f>
        <v/>
      </c>
      <c r="N42" s="15">
        <f>1-J42/D42</f>
        <v/>
      </c>
    </row>
    <row r="43">
      <c r="A43" t="inlineStr">
        <is>
          <t>155</t>
        </is>
      </c>
      <c r="B43" t="inlineStr">
        <is>
          <t>155 Sheds, Storage</t>
        </is>
      </c>
      <c r="C43" t="inlineStr">
        <is>
          <t>Road &amp; construction materials</t>
        </is>
      </c>
      <c r="D43" s="25" t="n">
        <v>7026478.46</v>
      </c>
      <c r="E43" s="18" t="n">
        <v>16</v>
      </c>
      <c r="F43" t="inlineStr">
        <is>
          <t>ACS Acquisitions, Inc.</t>
        </is>
      </c>
      <c r="G43" s="15" t="n">
        <v>0.3124649427872864</v>
      </c>
      <c r="H43" s="18" t="n">
        <v>6</v>
      </c>
      <c r="I43" s="18" t="n">
        <v>2621.7</v>
      </c>
      <c r="J43" s="25" t="n">
        <v>732730.2</v>
      </c>
      <c r="K43" s="15">
        <f>D43/Austin_Vendors!$C$156</f>
        <v/>
      </c>
      <c r="L43">
        <f>RANK.EQ(D43,$D$6:$D$84,0)</f>
        <v/>
      </c>
      <c r="M43">
        <f>IF(G43&gt;=$D$3,"R1 single-vendor",IF(I43&gt;=$F$3,"R2 highly concentrated",""))</f>
        <v/>
      </c>
      <c r="N43" s="15">
        <f>1-J43/D43</f>
        <v/>
      </c>
    </row>
    <row r="44">
      <c r="A44" t="inlineStr">
        <is>
          <t>020</t>
        </is>
      </c>
      <c r="B44" t="inlineStr">
        <is>
          <t>020 Irrigation Equipment and Supplies</t>
        </is>
      </c>
      <c r="C44" t="inlineStr">
        <is>
          <t>Heavy equipment &amp; tools</t>
        </is>
      </c>
      <c r="D44" s="25" t="n">
        <v>6958847.96</v>
      </c>
      <c r="E44" s="18" t="n">
        <v>18</v>
      </c>
      <c r="F44" t="inlineStr">
        <is>
          <t>COUFAL-PRATER EQUIPMENT LLC</t>
        </is>
      </c>
      <c r="G44" s="15" t="n">
        <v>0.5071234233431937</v>
      </c>
      <c r="H44" s="18" t="n">
        <v>25</v>
      </c>
      <c r="I44" s="18" t="n">
        <v>3221.2</v>
      </c>
      <c r="J44" s="25" t="n">
        <v>400190.01</v>
      </c>
      <c r="K44" s="15">
        <f>D44/Austin_Vendors!$C$156</f>
        <v/>
      </c>
      <c r="L44">
        <f>RANK.EQ(D44,$D$6:$D$84,0)</f>
        <v/>
      </c>
      <c r="M44">
        <f>IF(G44&gt;=$D$3,"R1 single-vendor",IF(I44&gt;=$F$3,"R2 highly concentrated",""))</f>
        <v/>
      </c>
      <c r="N44" s="15">
        <f>1-J44/D44</f>
        <v/>
      </c>
    </row>
    <row r="45">
      <c r="A45" t="inlineStr">
        <is>
          <t>065</t>
        </is>
      </c>
      <c r="B45" t="inlineStr">
        <is>
          <t>065 Refuse/garbage Collection Bodies and Parts</t>
        </is>
      </c>
      <c r="C45" t="inlineStr">
        <is>
          <t>Fleet vehicles, parts &amp; tires</t>
        </is>
      </c>
      <c r="D45" s="25" t="n">
        <v>6729477.71</v>
      </c>
      <c r="E45" s="18" t="n">
        <v>34</v>
      </c>
      <c r="F45" t="inlineStr">
        <is>
          <t>TEXAN WASTE EQUIPMENT INC</t>
        </is>
      </c>
      <c r="G45" s="15" t="n">
        <v>0.577386788015678</v>
      </c>
      <c r="H45" s="18" t="n">
        <v>8</v>
      </c>
      <c r="I45" s="18" t="n">
        <v>3569.5</v>
      </c>
      <c r="J45" s="25" t="n">
        <v>641069.5600000001</v>
      </c>
      <c r="K45" s="15">
        <f>D45/Austin_Vendors!$C$156</f>
        <v/>
      </c>
      <c r="L45">
        <f>RANK.EQ(D45,$D$6:$D$84,0)</f>
        <v/>
      </c>
      <c r="M45">
        <f>IF(G45&gt;=$D$3,"R1 single-vendor",IF(I45&gt;=$F$3,"R2 highly concentrated",""))</f>
        <v/>
      </c>
      <c r="N45" s="15">
        <f>1-J45/D45</f>
        <v/>
      </c>
    </row>
    <row r="46">
      <c r="A46" t="inlineStr">
        <is>
          <t>658</t>
        </is>
      </c>
      <c r="B46" t="inlineStr">
        <is>
          <t>658 Pipe, Tubing, and Accessories (not Fittings)</t>
        </is>
      </c>
      <c r="C46" t="inlineStr">
        <is>
          <t>Water &amp; wastewater treatment</t>
        </is>
      </c>
      <c r="D46" s="25" t="n">
        <v>6564335.31</v>
      </c>
      <c r="E46" s="18" t="n">
        <v>11</v>
      </c>
      <c r="F46" t="inlineStr">
        <is>
          <t>SANTA CLARA CONSTRUCTION LTD</t>
        </is>
      </c>
      <c r="G46" s="15" t="n">
        <v>0.7248627538497877</v>
      </c>
      <c r="H46" s="18" t="n">
        <v>1</v>
      </c>
      <c r="I46" s="18" t="n">
        <v>5623.7</v>
      </c>
      <c r="J46" s="25" t="n">
        <v>6219961.86</v>
      </c>
      <c r="K46" s="15">
        <f>D46/Austin_Vendors!$C$156</f>
        <v/>
      </c>
      <c r="L46">
        <f>RANK.EQ(D46,$D$6:$D$84,0)</f>
        <v/>
      </c>
      <c r="M46">
        <f>IF(G46&gt;=$D$3,"R1 single-vendor",IF(I46&gt;=$F$3,"R2 highly concentrated",""))</f>
        <v/>
      </c>
      <c r="N46" s="15">
        <f>1-J46/D46</f>
        <v/>
      </c>
    </row>
    <row r="47">
      <c r="A47" t="inlineStr">
        <is>
          <t>190</t>
        </is>
      </c>
      <c r="B47" t="inlineStr">
        <is>
          <t>190 Sodium Phosphates and Polyphosphates</t>
        </is>
      </c>
      <c r="C47" t="inlineStr">
        <is>
          <t>Water &amp; wastewater treatment</t>
        </is>
      </c>
      <c r="D47" s="25" t="n">
        <v>5875144.01</v>
      </c>
      <c r="E47" s="18" t="n">
        <v>9</v>
      </c>
      <c r="F47" t="inlineStr">
        <is>
          <t>Condy Holdings LLC</t>
        </is>
      </c>
      <c r="G47" s="15" t="n">
        <v>0.7754552794357803</v>
      </c>
      <c r="H47" s="18" t="n">
        <v>94</v>
      </c>
      <c r="I47" s="18" t="n">
        <v>6239.5</v>
      </c>
      <c r="J47" s="25" t="n">
        <v>65016.47</v>
      </c>
      <c r="K47" s="15">
        <f>D47/Austin_Vendors!$C$156</f>
        <v/>
      </c>
      <c r="L47">
        <f>RANK.EQ(D47,$D$6:$D$84,0)</f>
        <v/>
      </c>
      <c r="M47">
        <f>IF(G47&gt;=$D$3,"R1 single-vendor",IF(I47&gt;=$F$3,"R2 highly concentrated",""))</f>
        <v/>
      </c>
      <c r="N47" s="15">
        <f>1-J47/D47</f>
        <v/>
      </c>
    </row>
    <row r="48">
      <c r="A48" t="inlineStr">
        <is>
          <t>615</t>
        </is>
      </c>
      <c r="B48" t="inlineStr">
        <is>
          <t>615 Office Supplies, General</t>
        </is>
      </c>
      <c r="C48" t="inlineStr">
        <is>
          <t>Office, furniture &amp; publications</t>
        </is>
      </c>
      <c r="D48" s="25" t="n">
        <v>5591424.55</v>
      </c>
      <c r="E48" s="18" t="n">
        <v>9</v>
      </c>
      <c r="F48" t="inlineStr">
        <is>
          <t>Summus Industries, Inc.</t>
        </is>
      </c>
      <c r="G48" s="15" t="n">
        <v>0.9966917697208307</v>
      </c>
      <c r="H48" s="18" t="n">
        <v>38</v>
      </c>
      <c r="I48" s="18" t="n">
        <v>9934</v>
      </c>
      <c r="J48" s="25" t="n">
        <v>10835.52</v>
      </c>
      <c r="K48" s="15">
        <f>D48/Austin_Vendors!$C$156</f>
        <v/>
      </c>
      <c r="L48">
        <f>RANK.EQ(D48,$D$6:$D$84,0)</f>
        <v/>
      </c>
      <c r="M48">
        <f>IF(G48&gt;=$D$3,"R1 single-vendor",IF(I48&gt;=$F$3,"R2 highly concentrated",""))</f>
        <v/>
      </c>
      <c r="N48" s="15">
        <f>1-J48/D48</f>
        <v/>
      </c>
    </row>
    <row r="49">
      <c r="A49" t="inlineStr">
        <is>
          <t>150</t>
        </is>
      </c>
      <c r="B49" t="inlineStr">
        <is>
          <t>150 Cement, Portland (for Use in Ordinary Construction</t>
        </is>
      </c>
      <c r="C49" t="inlineStr">
        <is>
          <t>Road &amp; construction materials</t>
        </is>
      </c>
      <c r="D49" s="25" t="n">
        <v>5439000.17</v>
      </c>
      <c r="E49" s="18" t="n">
        <v>15</v>
      </c>
      <c r="F49" t="inlineStr">
        <is>
          <t>DENUCCI CONSTRUCTORS L L C</t>
        </is>
      </c>
      <c r="G49" s="15" t="n">
        <v>0.8848503547665819</v>
      </c>
      <c r="H49" s="18" t="n">
        <v>13</v>
      </c>
      <c r="I49" s="18" t="n">
        <v>7921.1</v>
      </c>
      <c r="J49" s="25" t="n">
        <v>84194.72</v>
      </c>
      <c r="K49" s="15">
        <f>D49/Austin_Vendors!$C$156</f>
        <v/>
      </c>
      <c r="L49">
        <f>RANK.EQ(D49,$D$6:$D$84,0)</f>
        <v/>
      </c>
      <c r="M49">
        <f>IF(G49&gt;=$D$3,"R1 single-vendor",IF(I49&gt;=$F$3,"R2 highly concentrated",""))</f>
        <v/>
      </c>
      <c r="N49" s="15">
        <f>1-J49/D49</f>
        <v/>
      </c>
    </row>
    <row r="50">
      <c r="A50" t="inlineStr">
        <is>
          <t>120</t>
        </is>
      </c>
      <c r="B50" t="inlineStr">
        <is>
          <t>120 Boats, Motors, and Marine Equipment</t>
        </is>
      </c>
      <c r="C50" t="inlineStr">
        <is>
          <t>Heavy equipment &amp; tools</t>
        </is>
      </c>
      <c r="D50" s="25" t="n">
        <v>5348677.1</v>
      </c>
      <c r="E50" s="18" t="n">
        <v>20</v>
      </c>
      <c r="F50" t="inlineStr">
        <is>
          <t>Oshkosh AeroTech, LLC</t>
        </is>
      </c>
      <c r="G50" s="15" t="n">
        <v>0.4177325604493866</v>
      </c>
      <c r="H50" s="18" t="n">
        <v>172</v>
      </c>
      <c r="I50" s="18" t="n">
        <v>2854.5</v>
      </c>
      <c r="J50" s="25" t="n">
        <v>199618.64</v>
      </c>
      <c r="K50" s="15">
        <f>D50/Austin_Vendors!$C$156</f>
        <v/>
      </c>
      <c r="L50">
        <f>RANK.EQ(D50,$D$6:$D$84,0)</f>
        <v/>
      </c>
      <c r="M50">
        <f>IF(G50&gt;=$D$3,"R1 single-vendor",IF(I50&gt;=$F$3,"R2 highly concentrated",""))</f>
        <v/>
      </c>
      <c r="N50" s="15">
        <f>1-J50/D50</f>
        <v/>
      </c>
    </row>
    <row r="51">
      <c r="A51" t="inlineStr">
        <is>
          <t>801</t>
        </is>
      </c>
      <c r="B51" t="inlineStr">
        <is>
          <t>801 Signs, Sign Matls, Sign Making Equip, and Related Supplies</t>
        </is>
      </c>
      <c r="C51" t="inlineStr">
        <is>
          <t>Traffic, signage &amp; parking</t>
        </is>
      </c>
      <c r="D51" s="25" t="n">
        <v>5292983.77</v>
      </c>
      <c r="E51" s="18" t="n">
        <v>37</v>
      </c>
      <c r="F51" t="inlineStr">
        <is>
          <t>Vulcan Inc</t>
        </is>
      </c>
      <c r="G51" s="15" t="n">
        <v>0.3838223577247055</v>
      </c>
      <c r="H51" s="18" t="n">
        <v>71</v>
      </c>
      <c r="I51" s="18" t="n">
        <v>2165</v>
      </c>
      <c r="J51" s="25" t="n">
        <v>397528.67</v>
      </c>
      <c r="K51" s="15">
        <f>D51/Austin_Vendors!$C$156</f>
        <v/>
      </c>
      <c r="L51">
        <f>RANK.EQ(D51,$D$6:$D$84,0)</f>
        <v/>
      </c>
      <c r="M51">
        <f>IF(G51&gt;=$D$3,"R1 single-vendor",IF(I51&gt;=$F$3,"R2 highly concentrated",""))</f>
        <v/>
      </c>
      <c r="N51" s="15">
        <f>1-J51/D51</f>
        <v/>
      </c>
    </row>
    <row r="52">
      <c r="A52" t="inlineStr">
        <is>
          <t>840</t>
        </is>
      </c>
      <c r="B52" t="inlineStr">
        <is>
          <t>840 Television Equipment and Accessories</t>
        </is>
      </c>
      <c r="C52" t="inlineStr">
        <is>
          <t>Radio, telecom &amp; video</t>
        </is>
      </c>
      <c r="D52" s="25" t="n">
        <v>4884304.2</v>
      </c>
      <c r="E52" s="18" t="n">
        <v>32</v>
      </c>
      <c r="F52" t="inlineStr">
        <is>
          <t>ITS Plus, Inc.</t>
        </is>
      </c>
      <c r="G52" s="15" t="n">
        <v>0.3376018225891828</v>
      </c>
      <c r="H52" s="18" t="n">
        <v>13</v>
      </c>
      <c r="I52" s="18" t="n">
        <v>1859.2</v>
      </c>
      <c r="J52" s="25" t="n">
        <v>390649.63</v>
      </c>
      <c r="K52" s="15">
        <f>D52/Austin_Vendors!$C$156</f>
        <v/>
      </c>
      <c r="L52">
        <f>RANK.EQ(D52,$D$6:$D$84,0)</f>
        <v/>
      </c>
      <c r="M52">
        <f>IF(G52&gt;=$D$3,"R1 single-vendor",IF(I52&gt;=$F$3,"R2 highly concentrated",""))</f>
        <v/>
      </c>
      <c r="N52" s="15">
        <f>1-J52/D52</f>
        <v/>
      </c>
    </row>
    <row r="53">
      <c r="A53" t="inlineStr">
        <is>
          <t>830</t>
        </is>
      </c>
      <c r="B53" t="inlineStr">
        <is>
          <t>830 Tanks (any Composition): Mobile, Stationary, and U/g Types</t>
        </is>
      </c>
      <c r="C53" t="inlineStr">
        <is>
          <t>Electrical &amp; utility equipment</t>
        </is>
      </c>
      <c r="D53" s="25" t="n">
        <v>4588341.34</v>
      </c>
      <c r="E53" s="18" t="n">
        <v>7</v>
      </c>
      <c r="F53" t="inlineStr">
        <is>
          <t>SPATCO Energy Solutions, LLC</t>
        </is>
      </c>
      <c r="G53" s="15" t="n">
        <v>0.4284127649491745</v>
      </c>
      <c r="H53" s="18" t="n">
        <v>8</v>
      </c>
      <c r="I53" s="18" t="n">
        <v>3218.4</v>
      </c>
      <c r="J53" s="25" t="n">
        <v>1309420.03</v>
      </c>
      <c r="K53" s="15">
        <f>D53/Austin_Vendors!$C$156</f>
        <v/>
      </c>
      <c r="L53">
        <f>RANK.EQ(D53,$D$6:$D$84,0)</f>
        <v/>
      </c>
      <c r="M53">
        <f>IF(G53&gt;=$D$3,"R1 single-vendor",IF(I53&gt;=$F$3,"R2 highly concentrated",""))</f>
        <v/>
      </c>
      <c r="N53" s="15">
        <f>1-J53/D53</f>
        <v/>
      </c>
    </row>
    <row r="54">
      <c r="A54" t="inlineStr">
        <is>
          <t>037</t>
        </is>
      </c>
      <c r="B54" t="inlineStr">
        <is>
          <t>037 Amusement, Decorations, Entertainment, Toys, Etc.</t>
        </is>
      </c>
      <c r="C54" t="inlineStr">
        <is>
          <t>Other goods</t>
        </is>
      </c>
      <c r="D54" s="25" t="n">
        <v>4281845.14</v>
      </c>
      <c r="E54" s="18" t="n">
        <v>41</v>
      </c>
      <c r="F54" t="inlineStr">
        <is>
          <t>GOLF CONNECTIONS, LLC</t>
        </is>
      </c>
      <c r="G54" s="15" t="n">
        <v>0.3558574096399946</v>
      </c>
      <c r="H54" s="18" t="n">
        <v>368</v>
      </c>
      <c r="I54" s="18" t="n">
        <v>2159</v>
      </c>
      <c r="J54" s="25" t="n">
        <v>344828.57</v>
      </c>
      <c r="K54" s="15">
        <f>D54/Austin_Vendors!$C$156</f>
        <v/>
      </c>
      <c r="L54">
        <f>RANK.EQ(D54,$D$6:$D$84,0)</f>
        <v/>
      </c>
      <c r="M54">
        <f>IF(G54&gt;=$D$3,"R1 single-vendor",IF(I54&gt;=$F$3,"R2 highly concentrated",""))</f>
        <v/>
      </c>
      <c r="N54" s="15">
        <f>1-J54/D54</f>
        <v/>
      </c>
    </row>
    <row r="55">
      <c r="A55" t="inlineStr">
        <is>
          <t>560</t>
        </is>
      </c>
      <c r="B55" t="inlineStr">
        <is>
          <t>560 Straps, Tie Down Ratchet W/ "u" Hook</t>
        </is>
      </c>
      <c r="C55" t="inlineStr">
        <is>
          <t>Heavy equipment &amp; tools</t>
        </is>
      </c>
      <c r="D55" s="25" t="n">
        <v>4145407.31</v>
      </c>
      <c r="E55" s="18" t="n">
        <v>20</v>
      </c>
      <c r="F55" t="inlineStr">
        <is>
          <t>AMERICAN MATERIAL HANDLING INC</t>
        </is>
      </c>
      <c r="G55" s="15" t="n">
        <v>0.3956204704043907</v>
      </c>
      <c r="H55" s="18" t="n">
        <v>23</v>
      </c>
      <c r="I55" s="18" t="n">
        <v>3012.6</v>
      </c>
      <c r="J55" s="25" t="n">
        <v>272080.2</v>
      </c>
      <c r="K55" s="15">
        <f>D55/Austin_Vendors!$C$156</f>
        <v/>
      </c>
      <c r="L55">
        <f>RANK.EQ(D55,$D$6:$D$84,0)</f>
        <v/>
      </c>
      <c r="M55">
        <f>IF(G55&gt;=$D$3,"R1 single-vendor",IF(I55&gt;=$F$3,"R2 highly concentrated",""))</f>
        <v/>
      </c>
      <c r="N55" s="15">
        <f>1-J55/D55</f>
        <v/>
      </c>
    </row>
    <row r="56">
      <c r="A56" t="inlineStr">
        <is>
          <t>515</t>
        </is>
      </c>
      <c r="B56" t="inlineStr">
        <is>
          <t>515 Lawn Maint Equip and Accy</t>
        </is>
      </c>
      <c r="C56" t="inlineStr">
        <is>
          <t>Heavy equipment &amp; tools</t>
        </is>
      </c>
      <c r="D56" s="25" t="n">
        <v>3895092.85</v>
      </c>
      <c r="E56" s="18" t="n">
        <v>14</v>
      </c>
      <c r="F56" t="inlineStr">
        <is>
          <t>PROFESSIONAL TURF PRODUCTS L P</t>
        </is>
      </c>
      <c r="G56" s="15" t="n">
        <v>0.7838200673444793</v>
      </c>
      <c r="H56" s="18" t="n">
        <v>33</v>
      </c>
      <c r="I56" s="18" t="n">
        <v>6422.7</v>
      </c>
      <c r="J56" s="25" t="n">
        <v>122636.04</v>
      </c>
      <c r="K56" s="15">
        <f>D56/Austin_Vendors!$C$156</f>
        <v/>
      </c>
      <c r="L56">
        <f>RANK.EQ(D56,$D$6:$D$84,0)</f>
        <v/>
      </c>
      <c r="M56">
        <f>IF(G56&gt;=$D$3,"R1 single-vendor",IF(I56&gt;=$F$3,"R2 highly concentrated",""))</f>
        <v/>
      </c>
      <c r="N56" s="15">
        <f>1-J56/D56</f>
        <v/>
      </c>
    </row>
    <row r="57">
      <c r="A57" t="inlineStr">
        <is>
          <t>207</t>
        </is>
      </c>
      <c r="B57" t="inlineStr">
        <is>
          <t>207 Computer Accessories and Supplies</t>
        </is>
      </c>
      <c r="C57" t="inlineStr">
        <is>
          <t>IT hardware &amp; software</t>
        </is>
      </c>
      <c r="D57" s="25" t="n">
        <v>3688425.82</v>
      </c>
      <c r="E57" s="18" t="n">
        <v>33</v>
      </c>
      <c r="F57" t="inlineStr">
        <is>
          <t>DELL MARKETING LP</t>
        </is>
      </c>
      <c r="G57" s="15" t="n">
        <v>0.6400846798106408</v>
      </c>
      <c r="H57" s="18" t="n">
        <v>402</v>
      </c>
      <c r="I57" s="18" t="n">
        <v>4333.8</v>
      </c>
      <c r="J57" s="25" t="n">
        <v>568554.49</v>
      </c>
      <c r="K57" s="15">
        <f>D57/Austin_Vendors!$C$156</f>
        <v/>
      </c>
      <c r="L57">
        <f>RANK.EQ(D57,$D$6:$D$84,0)</f>
        <v/>
      </c>
      <c r="M57">
        <f>IF(G57&gt;=$D$3,"R1 single-vendor",IF(I57&gt;=$F$3,"R2 highly concentrated",""))</f>
        <v/>
      </c>
      <c r="N57" s="15">
        <f>1-J57/D57</f>
        <v/>
      </c>
    </row>
    <row r="58">
      <c r="A58" t="inlineStr">
        <is>
          <t>430</t>
        </is>
      </c>
      <c r="B58" t="inlineStr">
        <is>
          <t>430 Welding and Industrial Gases: Acetylene, Argon, Ca</t>
        </is>
      </c>
      <c r="C58" t="inlineStr">
        <is>
          <t>Facilities, MRO &amp; janitorial</t>
        </is>
      </c>
      <c r="D58" s="25" t="n">
        <v>3588030.02</v>
      </c>
      <c r="E58" s="18" t="n">
        <v>9</v>
      </c>
      <c r="F58" t="inlineStr">
        <is>
          <t>Linde Inc.</t>
        </is>
      </c>
      <c r="G58" s="15" t="n">
        <v>0.6211779381935049</v>
      </c>
      <c r="H58" s="18" t="n">
        <v>131</v>
      </c>
      <c r="I58" s="18" t="n">
        <v>4869.8</v>
      </c>
      <c r="J58" s="25" t="n">
        <v>48801.75</v>
      </c>
      <c r="K58" s="15">
        <f>D58/Austin_Vendors!$C$156</f>
        <v/>
      </c>
      <c r="L58">
        <f>RANK.EQ(D58,$D$6:$D$84,0)</f>
        <v/>
      </c>
      <c r="M58">
        <f>IF(G58&gt;=$D$3,"R1 single-vendor",IF(I58&gt;=$F$3,"R2 highly concentrated",""))</f>
        <v/>
      </c>
      <c r="N58" s="15">
        <f>1-J58/D58</f>
        <v/>
      </c>
    </row>
    <row r="59">
      <c r="A59" t="inlineStr">
        <is>
          <t>875</t>
        </is>
      </c>
      <c r="B59" t="inlineStr">
        <is>
          <t>875 Veterinary Equip / Supplies</t>
        </is>
      </c>
      <c r="C59" t="inlineStr">
        <is>
          <t>Public safety, medical &amp; lab</t>
        </is>
      </c>
      <c r="D59" s="25" t="n">
        <v>3288017.93</v>
      </c>
      <c r="E59" s="18" t="n">
        <v>7</v>
      </c>
      <c r="F59" t="inlineStr">
        <is>
          <t>Midwest Veterinary Supply, Inc.</t>
        </is>
      </c>
      <c r="G59" s="15" t="n">
        <v>0.5519193473497878</v>
      </c>
      <c r="H59" s="18" t="n">
        <v>8</v>
      </c>
      <c r="I59" s="18" t="n">
        <v>3698.4</v>
      </c>
      <c r="J59" s="25" t="n">
        <v>14527.65</v>
      </c>
      <c r="K59" s="15">
        <f>D59/Austin_Vendors!$C$156</f>
        <v/>
      </c>
      <c r="L59">
        <f>RANK.EQ(D59,$D$6:$D$84,0)</f>
        <v/>
      </c>
      <c r="M59">
        <f>IF(G59&gt;=$D$3,"R1 single-vendor",IF(I59&gt;=$F$3,"R2 highly concentrated",""))</f>
        <v/>
      </c>
      <c r="N59" s="15">
        <f>1-J59/D59</f>
        <v/>
      </c>
    </row>
    <row r="60">
      <c r="A60" t="inlineStr">
        <is>
          <t>055</t>
        </is>
      </c>
      <c r="B60" t="inlineStr">
        <is>
          <t>055 Automotive Accessories for Automobiles, Buses, Tru</t>
        </is>
      </c>
      <c r="C60" t="inlineStr">
        <is>
          <t>Fleet vehicles, parts &amp; tires</t>
        </is>
      </c>
      <c r="D60" s="25" t="n">
        <v>3069449.75</v>
      </c>
      <c r="E60" s="18" t="n">
        <v>31</v>
      </c>
      <c r="F60" t="inlineStr">
        <is>
          <t>Meridian Rapid Defense Group LLC</t>
        </is>
      </c>
      <c r="G60" s="15" t="n">
        <v>0.2546925975901707</v>
      </c>
      <c r="H60" s="18" t="n">
        <v>5</v>
      </c>
      <c r="I60" s="18" t="n">
        <v>1581.1</v>
      </c>
      <c r="J60" s="25" t="n">
        <v>1040404.19</v>
      </c>
      <c r="K60" s="15">
        <f>D60/Austin_Vendors!$C$156</f>
        <v/>
      </c>
      <c r="L60">
        <f>RANK.EQ(D60,$D$6:$D$84,0)</f>
        <v/>
      </c>
      <c r="M60">
        <f>IF(G60&gt;=$D$3,"R1 single-vendor",IF(I60&gt;=$F$3,"R2 highly concentrated",""))</f>
        <v/>
      </c>
      <c r="N60" s="15">
        <f>1-J60/D60</f>
        <v/>
      </c>
    </row>
    <row r="61">
      <c r="A61" t="inlineStr">
        <is>
          <t>175</t>
        </is>
      </c>
      <c r="B61" t="inlineStr">
        <is>
          <t>175 Chemical Laboratory Equipment and Supplies</t>
        </is>
      </c>
      <c r="C61" t="inlineStr">
        <is>
          <t>Public safety, medical &amp; lab</t>
        </is>
      </c>
      <c r="D61" s="25" t="n">
        <v>3061395.14</v>
      </c>
      <c r="E61" s="18" t="n">
        <v>28</v>
      </c>
      <c r="F61" t="inlineStr">
        <is>
          <t>HACH COMPANY</t>
        </is>
      </c>
      <c r="G61" s="15" t="n">
        <v>0.3834996157993508</v>
      </c>
      <c r="H61" s="18" t="n">
        <v>388</v>
      </c>
      <c r="I61" s="18" t="n">
        <v>1865.7</v>
      </c>
      <c r="J61" s="25" t="n">
        <v>717658.48</v>
      </c>
      <c r="K61" s="15">
        <f>D61/Austin_Vendors!$C$156</f>
        <v/>
      </c>
      <c r="L61">
        <f>RANK.EQ(D61,$D$6:$D$84,0)</f>
        <v/>
      </c>
      <c r="M61">
        <f>IF(G61&gt;=$D$3,"R1 single-vendor",IF(I61&gt;=$F$3,"R2 highly concentrated",""))</f>
        <v/>
      </c>
      <c r="N61" s="15">
        <f>1-J61/D61</f>
        <v/>
      </c>
    </row>
    <row r="62">
      <c r="A62" t="inlineStr">
        <is>
          <t>210</t>
        </is>
      </c>
      <c r="B62" t="inlineStr">
        <is>
          <t>210 Box Water Meter High Density Polyethytlene for Single Meter</t>
        </is>
      </c>
      <c r="C62" t="inlineStr">
        <is>
          <t>Water &amp; wastewater treatment</t>
        </is>
      </c>
      <c r="D62" s="25" t="n">
        <v>2990921.54</v>
      </c>
      <c r="E62" s="18" t="n">
        <v>12</v>
      </c>
      <c r="F62" t="inlineStr">
        <is>
          <t>CASH CONSTRUCTION CO INC</t>
        </is>
      </c>
      <c r="G62" s="15" t="n">
        <v>0.7846950709379023</v>
      </c>
      <c r="H62" s="18" t="n">
        <v>1</v>
      </c>
      <c r="I62" s="18" t="n">
        <v>6348.4</v>
      </c>
      <c r="J62" s="25" t="n">
        <v>2594163.53</v>
      </c>
      <c r="K62" s="15">
        <f>D62/Austin_Vendors!$C$156</f>
        <v/>
      </c>
      <c r="L62">
        <f>RANK.EQ(D62,$D$6:$D$84,0)</f>
        <v/>
      </c>
      <c r="M62">
        <f>IF(G62&gt;=$D$3,"R1 single-vendor",IF(I62&gt;=$F$3,"R2 highly concentrated",""))</f>
        <v/>
      </c>
      <c r="N62" s="15">
        <f>1-J62/D62</f>
        <v/>
      </c>
    </row>
    <row r="63">
      <c r="A63" t="inlineStr">
        <is>
          <t>287</t>
        </is>
      </c>
      <c r="B63" t="inlineStr">
        <is>
          <t>287 Electronic Equip, Parts, and Accy</t>
        </is>
      </c>
      <c r="C63" t="inlineStr">
        <is>
          <t>Electrical &amp; utility equipment</t>
        </is>
      </c>
      <c r="D63" s="25" t="n">
        <v>2816958.52</v>
      </c>
      <c r="E63" s="18" t="n">
        <v>27</v>
      </c>
      <c r="F63" t="inlineStr">
        <is>
          <t>INSIGHT PUBLIC SECTOR INC</t>
        </is>
      </c>
      <c r="G63" s="15" t="n">
        <v>0.3994146211283224</v>
      </c>
      <c r="H63" s="18" t="n">
        <v>59</v>
      </c>
      <c r="I63" s="18" t="n">
        <v>2961.8</v>
      </c>
      <c r="J63" s="25" t="n">
        <v>239926</v>
      </c>
      <c r="K63" s="15">
        <f>D63/Austin_Vendors!$C$156</f>
        <v/>
      </c>
      <c r="L63">
        <f>RANK.EQ(D63,$D$6:$D$84,0)</f>
        <v/>
      </c>
      <c r="M63">
        <f>IF(G63&gt;=$D$3,"R1 single-vendor",IF(I63&gt;=$F$3,"R2 highly concentrated",""))</f>
        <v/>
      </c>
      <c r="N63" s="15">
        <f>1-J63/D63</f>
        <v/>
      </c>
    </row>
    <row r="64">
      <c r="A64" t="inlineStr">
        <is>
          <t>805</t>
        </is>
      </c>
      <c r="B64" t="inlineStr">
        <is>
          <t>805 Sporting Goods, Athletic Equip and Athletic Facility Equip</t>
        </is>
      </c>
      <c r="C64" t="inlineStr">
        <is>
          <t>Other goods</t>
        </is>
      </c>
      <c r="D64" s="25" t="n">
        <v>2797858.92</v>
      </c>
      <c r="E64" s="18" t="n">
        <v>19</v>
      </c>
      <c r="F64" t="inlineStr">
        <is>
          <t>ACUSHNET COMPANY</t>
        </is>
      </c>
      <c r="G64" s="15" t="n">
        <v>0.6039736521096638</v>
      </c>
      <c r="H64" s="18" t="n">
        <v>6</v>
      </c>
      <c r="I64" s="18" t="n">
        <v>4155.9</v>
      </c>
      <c r="J64" s="25" t="n">
        <v>146896.7</v>
      </c>
      <c r="K64" s="15">
        <f>D64/Austin_Vendors!$C$156</f>
        <v/>
      </c>
      <c r="L64">
        <f>RANK.EQ(D64,$D$6:$D$84,0)</f>
        <v/>
      </c>
      <c r="M64">
        <f>IF(G64&gt;=$D$3,"R1 single-vendor",IF(I64&gt;=$F$3,"R2 highly concentrated",""))</f>
        <v/>
      </c>
      <c r="N64" s="15">
        <f>1-J64/D64</f>
        <v/>
      </c>
    </row>
    <row r="65">
      <c r="A65" t="inlineStr">
        <is>
          <t>800</t>
        </is>
      </c>
      <c r="B65" t="inlineStr">
        <is>
          <t>800 Shoes and Boots</t>
        </is>
      </c>
      <c r="C65" t="inlineStr">
        <is>
          <t>Apparel &amp; PPE</t>
        </is>
      </c>
      <c r="D65" s="25" t="n">
        <v>2682274.25</v>
      </c>
      <c r="E65" s="18" t="n">
        <v>4</v>
      </c>
      <c r="F65" t="inlineStr">
        <is>
          <t>RED WING BRANDS OF AMERICA INC</t>
        </is>
      </c>
      <c r="G65" s="15" t="n">
        <v>0.5819101495680391</v>
      </c>
      <c r="H65" s="18" t="n">
        <v>834</v>
      </c>
      <c r="I65" s="18" t="n">
        <v>4715.5</v>
      </c>
      <c r="J65" s="25" t="n">
        <v>161957.6</v>
      </c>
      <c r="K65" s="15">
        <f>D65/Austin_Vendors!$C$156</f>
        <v/>
      </c>
      <c r="L65">
        <f>RANK.EQ(D65,$D$6:$D$84,0)</f>
        <v/>
      </c>
      <c r="M65">
        <f>IF(G65&gt;=$D$3,"R1 single-vendor",IF(I65&gt;=$F$3,"R2 highly concentrated",""))</f>
        <v/>
      </c>
      <c r="N65" s="15">
        <f>1-J65/D65</f>
        <v/>
      </c>
    </row>
    <row r="66">
      <c r="A66" t="inlineStr">
        <is>
          <t>220</t>
        </is>
      </c>
      <c r="B66" t="inlineStr">
        <is>
          <t>220 Controlling, Indicating, Measuring Instruments and Supplies</t>
        </is>
      </c>
      <c r="C66" t="inlineStr">
        <is>
          <t>Other goods</t>
        </is>
      </c>
      <c r="D66" s="25" t="n">
        <v>2676906.8</v>
      </c>
      <c r="E66" s="18" t="n">
        <v>48</v>
      </c>
      <c r="F66" t="inlineStr">
        <is>
          <t>HIGH SIERRA ELECTRONICS INC</t>
        </is>
      </c>
      <c r="G66" s="15" t="n">
        <v>0.2699245860931729</v>
      </c>
      <c r="H66" s="18" t="n">
        <v>7</v>
      </c>
      <c r="I66" s="18" t="n">
        <v>1279.8</v>
      </c>
      <c r="J66" s="25" t="n">
        <v>898015.47</v>
      </c>
      <c r="K66" s="15">
        <f>D66/Austin_Vendors!$C$156</f>
        <v/>
      </c>
      <c r="L66">
        <f>RANK.EQ(D66,$D$6:$D$84,0)</f>
        <v/>
      </c>
      <c r="M66">
        <f>IF(G66&gt;=$D$3,"R1 single-vendor",IF(I66&gt;=$F$3,"R2 highly concentrated",""))</f>
        <v/>
      </c>
      <c r="N66" s="15">
        <f>1-J66/D66</f>
        <v/>
      </c>
    </row>
    <row r="67">
      <c r="A67" t="inlineStr">
        <is>
          <t>493</t>
        </is>
      </c>
      <c r="B67" t="inlineStr">
        <is>
          <t>493 Lab Equip, Accy Supplies: Biochem, Chem, Science, Etc.</t>
        </is>
      </c>
      <c r="C67" t="inlineStr">
        <is>
          <t>Public safety, medical &amp; lab</t>
        </is>
      </c>
      <c r="D67" s="25" t="n">
        <v>2570050.8</v>
      </c>
      <c r="E67" s="18" t="n">
        <v>19</v>
      </c>
      <c r="F67" t="inlineStr">
        <is>
          <t>EWT HOLDINGS III CORP</t>
        </is>
      </c>
      <c r="G67" s="15" t="n">
        <v>0.2985765884472011</v>
      </c>
      <c r="H67" s="18" t="n">
        <v>1</v>
      </c>
      <c r="I67" s="18" t="n">
        <v>1759.2</v>
      </c>
      <c r="J67" s="25" t="n">
        <v>1651154.05</v>
      </c>
      <c r="K67" s="15">
        <f>D67/Austin_Vendors!$C$156</f>
        <v/>
      </c>
      <c r="L67">
        <f>RANK.EQ(D67,$D$6:$D$84,0)</f>
        <v/>
      </c>
      <c r="M67">
        <f>IF(G67&gt;=$D$3,"R1 single-vendor",IF(I67&gt;=$F$3,"R2 highly concentrated",""))</f>
        <v/>
      </c>
      <c r="N67" s="15">
        <f>1-J67/D67</f>
        <v/>
      </c>
    </row>
    <row r="68">
      <c r="A68" t="inlineStr">
        <is>
          <t>730</t>
        </is>
      </c>
      <c r="B68" t="inlineStr">
        <is>
          <t>730 Radio Communication and Telecommunication Equip</t>
        </is>
      </c>
      <c r="C68" t="inlineStr">
        <is>
          <t>Radio, telecom &amp; video</t>
        </is>
      </c>
      <c r="D68" s="25" t="n">
        <v>2504503.91</v>
      </c>
      <c r="E68" s="18" t="n">
        <v>13</v>
      </c>
      <c r="F68" t="inlineStr">
        <is>
          <t>Rubicon Global, LLC</t>
        </is>
      </c>
      <c r="G68" s="15" t="n">
        <v>0.5043126285237064</v>
      </c>
      <c r="H68" s="18" t="n">
        <v>3</v>
      </c>
      <c r="I68" s="18" t="n">
        <v>3419.5</v>
      </c>
      <c r="J68" s="25" t="n">
        <v>81142.42999999999</v>
      </c>
      <c r="K68" s="15">
        <f>D68/Austin_Vendors!$C$156</f>
        <v/>
      </c>
      <c r="L68">
        <f>RANK.EQ(D68,$D$6:$D$84,0)</f>
        <v/>
      </c>
      <c r="M68">
        <f>IF(G68&gt;=$D$3,"R1 single-vendor",IF(I68&gt;=$F$3,"R2 highly concentrated",""))</f>
        <v/>
      </c>
      <c r="N68" s="15">
        <f>1-J68/D68</f>
        <v/>
      </c>
    </row>
    <row r="69">
      <c r="A69" t="inlineStr">
        <is>
          <t>325</t>
        </is>
      </c>
      <c r="B69" t="inlineStr">
        <is>
          <t>325 Dog and Cat Food</t>
        </is>
      </c>
      <c r="C69" t="inlineStr">
        <is>
          <t>Other goods</t>
        </is>
      </c>
      <c r="D69" s="25" t="n">
        <v>2460983.27</v>
      </c>
      <c r="E69" s="18" t="n">
        <v>2</v>
      </c>
      <c r="F69" t="inlineStr">
        <is>
          <t>Sageline Inc</t>
        </is>
      </c>
      <c r="G69" s="15" t="n">
        <v>0.9999999959365836</v>
      </c>
      <c r="H69" s="18" t="n">
        <v>13</v>
      </c>
      <c r="I69" s="18" t="n">
        <v>10000</v>
      </c>
      <c r="J69" s="25" t="n">
        <v>0.01</v>
      </c>
      <c r="K69" s="15">
        <f>D69/Austin_Vendors!$C$156</f>
        <v/>
      </c>
      <c r="L69">
        <f>RANK.EQ(D69,$D$6:$D$84,0)</f>
        <v/>
      </c>
      <c r="M69">
        <f>IF(G69&gt;=$D$3,"R1 single-vendor",IF(I69&gt;=$F$3,"R2 highly concentrated",""))</f>
        <v/>
      </c>
      <c r="N69" s="15">
        <f>1-J69/D69</f>
        <v/>
      </c>
    </row>
    <row r="70">
      <c r="A70" t="inlineStr">
        <is>
          <t>031</t>
        </is>
      </c>
      <c r="B70" t="inlineStr">
        <is>
          <t>031 Filters, Air Conditioning/furnace (disposable Type</t>
        </is>
      </c>
      <c r="C70" t="inlineStr">
        <is>
          <t>Facilities, MRO &amp; janitorial</t>
        </is>
      </c>
      <c r="D70" s="25" t="n">
        <v>2458789.51</v>
      </c>
      <c r="E70" s="18" t="n">
        <v>52</v>
      </c>
      <c r="F70" t="inlineStr">
        <is>
          <t>Air Relief Technologies, Inc.</t>
        </is>
      </c>
      <c r="G70" s="15" t="n">
        <v>0.3728613597346932</v>
      </c>
      <c r="H70" s="18" t="n">
        <v>173</v>
      </c>
      <c r="I70" s="18" t="n">
        <v>1657.7</v>
      </c>
      <c r="J70" s="25" t="n">
        <v>1025826.41</v>
      </c>
      <c r="K70" s="15">
        <f>D70/Austin_Vendors!$C$156</f>
        <v/>
      </c>
      <c r="L70">
        <f>RANK.EQ(D70,$D$6:$D$84,0)</f>
        <v/>
      </c>
      <c r="M70">
        <f>IF(G70&gt;=$D$3,"R1 single-vendor",IF(I70&gt;=$F$3,"R2 highly concentrated",""))</f>
        <v/>
      </c>
      <c r="N70" s="15">
        <f>1-J70/D70</f>
        <v/>
      </c>
    </row>
    <row r="71">
      <c r="A71" t="inlineStr">
        <is>
          <t>280</t>
        </is>
      </c>
      <c r="B71" t="inlineStr">
        <is>
          <t>280 Electrical Cables and Wires (not Electronic)</t>
        </is>
      </c>
      <c r="C71" t="inlineStr">
        <is>
          <t>Electrical &amp; utility equipment</t>
        </is>
      </c>
      <c r="D71" s="25" t="n">
        <v>2443245.41</v>
      </c>
      <c r="E71" s="18" t="n">
        <v>28</v>
      </c>
      <c r="F71" t="inlineStr">
        <is>
          <t>Southwire Company, LLC</t>
        </is>
      </c>
      <c r="G71" s="15" t="n">
        <v>0.5030705859383974</v>
      </c>
      <c r="H71" s="18" t="n">
        <v>5</v>
      </c>
      <c r="I71" s="18" t="n">
        <v>3217.8</v>
      </c>
      <c r="J71" s="25" t="n">
        <v>188662.15</v>
      </c>
      <c r="K71" s="15">
        <f>D71/Austin_Vendors!$C$156</f>
        <v/>
      </c>
      <c r="L71">
        <f>RANK.EQ(D71,$D$6:$D$84,0)</f>
        <v/>
      </c>
      <c r="M71">
        <f>IF(G71&gt;=$D$3,"R1 single-vendor",IF(I71&gt;=$F$3,"R2 highly concentrated",""))</f>
        <v/>
      </c>
      <c r="N71" s="15">
        <f>1-J71/D71</f>
        <v/>
      </c>
    </row>
    <row r="72">
      <c r="A72" t="inlineStr">
        <is>
          <t>675</t>
        </is>
      </c>
      <c r="B72" t="inlineStr">
        <is>
          <t>675 Insecticides, Dry</t>
        </is>
      </c>
      <c r="C72" t="inlineStr">
        <is>
          <t>Other goods</t>
        </is>
      </c>
      <c r="D72" s="25" t="n">
        <v>2388509.17</v>
      </c>
      <c r="E72" s="18" t="n">
        <v>6</v>
      </c>
      <c r="F72" t="inlineStr">
        <is>
          <t>Marubeni America Corporation</t>
        </is>
      </c>
      <c r="G72" s="15" t="n">
        <v>0.5175037531884377</v>
      </c>
      <c r="H72" s="18" t="n">
        <v>6</v>
      </c>
      <c r="I72" s="18" t="n">
        <v>3534.2</v>
      </c>
      <c r="J72" s="25" t="n">
        <v>0</v>
      </c>
      <c r="K72" s="15">
        <f>D72/Austin_Vendors!$C$156</f>
        <v/>
      </c>
      <c r="L72">
        <f>RANK.EQ(D72,$D$6:$D$84,0)</f>
        <v/>
      </c>
      <c r="M72">
        <f>IF(G72&gt;=$D$3,"R1 single-vendor",IF(I72&gt;=$F$3,"R2 highly concentrated",""))</f>
        <v/>
      </c>
      <c r="N72" s="15">
        <f>1-J72/D72</f>
        <v/>
      </c>
    </row>
    <row r="73">
      <c r="A73" t="inlineStr">
        <is>
          <t>075</t>
        </is>
      </c>
      <c r="B73" t="inlineStr">
        <is>
          <t>075 Training Aids and Instructional Equip. and Supplie</t>
        </is>
      </c>
      <c r="C73" t="inlineStr">
        <is>
          <t>Other goods</t>
        </is>
      </c>
      <c r="D73" s="25" t="n">
        <v>2294408.61</v>
      </c>
      <c r="E73" s="18" t="n">
        <v>38</v>
      </c>
      <c r="F73" t="inlineStr">
        <is>
          <t>W W GRAINGER INC</t>
        </is>
      </c>
      <c r="G73" s="15" t="n">
        <v>0.1729095106559943</v>
      </c>
      <c r="H73" s="18" t="n">
        <v>3</v>
      </c>
      <c r="I73" s="18" t="n">
        <v>987.9</v>
      </c>
      <c r="J73" s="25" t="n">
        <v>551950.79</v>
      </c>
      <c r="K73" s="15">
        <f>D73/Austin_Vendors!$C$156</f>
        <v/>
      </c>
      <c r="L73">
        <f>RANK.EQ(D73,$D$6:$D$84,0)</f>
        <v/>
      </c>
      <c r="M73">
        <f>IF(G73&gt;=$D$3,"R1 single-vendor",IF(I73&gt;=$F$3,"R2 highly concentrated",""))</f>
        <v/>
      </c>
      <c r="N73" s="15">
        <f>1-J73/D73</f>
        <v/>
      </c>
    </row>
    <row r="74">
      <c r="A74" t="inlineStr">
        <is>
          <t>335</t>
        </is>
      </c>
      <c r="B74" t="inlineStr">
        <is>
          <t>335 Fertilizers and Soil Conditioners</t>
        </is>
      </c>
      <c r="C74" t="inlineStr">
        <is>
          <t>Other goods</t>
        </is>
      </c>
      <c r="D74" s="25" t="n">
        <v>2258141.46</v>
      </c>
      <c r="E74" s="18" t="n">
        <v>4</v>
      </c>
      <c r="F74" t="inlineStr">
        <is>
          <t>Shrieve Chemical Company, LLC</t>
        </is>
      </c>
      <c r="G74" s="15" t="n">
        <v>0.7348134514123841</v>
      </c>
      <c r="H74" s="18" t="n">
        <v>86</v>
      </c>
      <c r="I74" s="18" t="n">
        <v>5840.3</v>
      </c>
      <c r="J74" s="25" t="n">
        <v>0</v>
      </c>
      <c r="K74" s="15">
        <f>D74/Austin_Vendors!$C$156</f>
        <v/>
      </c>
      <c r="L74">
        <f>RANK.EQ(D74,$D$6:$D$84,0)</f>
        <v/>
      </c>
      <c r="M74">
        <f>IF(G74&gt;=$D$3,"R1 single-vendor",IF(I74&gt;=$F$3,"R2 highly concentrated",""))</f>
        <v/>
      </c>
      <c r="N74" s="15">
        <f>1-J74/D74</f>
        <v/>
      </c>
    </row>
    <row r="75">
      <c r="A75" t="inlineStr">
        <is>
          <t>345</t>
        </is>
      </c>
      <c r="B75" t="inlineStr">
        <is>
          <t>345 First Aid and Safety Equipment and Supplies</t>
        </is>
      </c>
      <c r="C75" t="inlineStr">
        <is>
          <t>Public safety, medical &amp; lab</t>
        </is>
      </c>
      <c r="D75" s="25" t="n">
        <v>2219334.53</v>
      </c>
      <c r="E75" s="18" t="n">
        <v>45</v>
      </c>
      <c r="F75" t="inlineStr">
        <is>
          <t>Cornish Medical Electronics Corporation of Texas</t>
        </is>
      </c>
      <c r="G75" s="15" t="n">
        <v>0.26089763042618</v>
      </c>
      <c r="H75" s="18" t="n">
        <v>17</v>
      </c>
      <c r="I75" s="18" t="n">
        <v>1196.4</v>
      </c>
      <c r="J75" s="25" t="n">
        <v>823325.45</v>
      </c>
      <c r="K75" s="15">
        <f>D75/Austin_Vendors!$C$156</f>
        <v/>
      </c>
      <c r="L75">
        <f>RANK.EQ(D75,$D$6:$D$84,0)</f>
        <v/>
      </c>
      <c r="M75">
        <f>IF(G75&gt;=$D$3,"R1 single-vendor",IF(I75&gt;=$F$3,"R2 highly concentrated",""))</f>
        <v/>
      </c>
      <c r="N75" s="15">
        <f>1-J75/D75</f>
        <v/>
      </c>
    </row>
    <row r="76">
      <c r="A76" t="inlineStr">
        <is>
          <t>209</t>
        </is>
      </c>
      <c r="B76" t="inlineStr">
        <is>
          <t>209 Computer Software for Mini/mainframe Computers (preprog)</t>
        </is>
      </c>
      <c r="C76" t="inlineStr">
        <is>
          <t>IT hardware &amp; software</t>
        </is>
      </c>
      <c r="D76" s="25" t="n">
        <v>2138324.26</v>
      </c>
      <c r="E76" s="18" t="n">
        <v>22</v>
      </c>
      <c r="F76" t="inlineStr">
        <is>
          <t>KIMLEY-HORN AND ASSOCIATES, INC</t>
        </is>
      </c>
      <c r="G76" s="15" t="n">
        <v>0.4057967335599513</v>
      </c>
      <c r="H76" s="18" t="n">
        <v>10</v>
      </c>
      <c r="I76" s="18" t="n">
        <v>2668.6</v>
      </c>
      <c r="J76" s="25" t="n">
        <v>152859.83</v>
      </c>
      <c r="K76" s="15">
        <f>D76/Austin_Vendors!$C$156</f>
        <v/>
      </c>
      <c r="L76">
        <f>RANK.EQ(D76,$D$6:$D$84,0)</f>
        <v/>
      </c>
      <c r="M76">
        <f>IF(G76&gt;=$D$3,"R1 single-vendor",IF(I76&gt;=$F$3,"R2 highly concentrated",""))</f>
        <v/>
      </c>
      <c r="N76" s="15">
        <f>1-J76/D76</f>
        <v/>
      </c>
    </row>
    <row r="77">
      <c r="A77" t="inlineStr">
        <is>
          <t>470</t>
        </is>
      </c>
      <c r="B77" t="inlineStr">
        <is>
          <t>470 Hospital / Resident Special Equip for Handicapped / Disabled</t>
        </is>
      </c>
      <c r="C77" t="inlineStr">
        <is>
          <t>Public safety, medical &amp; lab</t>
        </is>
      </c>
      <c r="D77" s="25" t="n">
        <v>1843654.45</v>
      </c>
      <c r="E77" s="18" t="n">
        <v>2</v>
      </c>
      <c r="F77" t="inlineStr">
        <is>
          <t>Howmedica Osteonics Corp</t>
        </is>
      </c>
      <c r="G77" s="15" t="n">
        <v>0.9927711507978081</v>
      </c>
      <c r="H77" s="18" t="n">
        <v>12</v>
      </c>
      <c r="I77" s="18" t="n">
        <v>9856.5</v>
      </c>
      <c r="J77" s="25" t="n">
        <v>13327.5</v>
      </c>
      <c r="K77" s="15">
        <f>D77/Austin_Vendors!$C$156</f>
        <v/>
      </c>
      <c r="L77">
        <f>RANK.EQ(D77,$D$6:$D$84,0)</f>
        <v/>
      </c>
      <c r="M77">
        <f>IF(G77&gt;=$D$3,"R1 single-vendor",IF(I77&gt;=$F$3,"R2 highly concentrated",""))</f>
        <v/>
      </c>
      <c r="N77" s="15">
        <f>1-J77/D77</f>
        <v/>
      </c>
    </row>
    <row r="78">
      <c r="A78" t="inlineStr">
        <is>
          <t>110</t>
        </is>
      </c>
      <c r="B78" t="inlineStr">
        <is>
          <t>110 Parts and Accessories, Conveyor Belt</t>
        </is>
      </c>
      <c r="C78" t="inlineStr">
        <is>
          <t>Facilities, MRO &amp; janitorial</t>
        </is>
      </c>
      <c r="D78" s="25" t="n">
        <v>1756024.46</v>
      </c>
      <c r="E78" s="18" t="n">
        <v>12</v>
      </c>
      <c r="F78" t="inlineStr">
        <is>
          <t>JMR Technology Inc.</t>
        </is>
      </c>
      <c r="G78" s="15" t="n">
        <v>0.4520821993561525</v>
      </c>
      <c r="H78" s="18" t="n">
        <v>99</v>
      </c>
      <c r="I78" s="18" t="n">
        <v>2982</v>
      </c>
      <c r="J78" s="25" t="n">
        <v>95429.75</v>
      </c>
      <c r="K78" s="15">
        <f>D78/Austin_Vendors!$C$156</f>
        <v/>
      </c>
      <c r="L78">
        <f>RANK.EQ(D78,$D$6:$D$84,0)</f>
        <v/>
      </c>
      <c r="M78">
        <f>IF(G78&gt;=$D$3,"R1 single-vendor",IF(I78&gt;=$F$3,"R2 highly concentrated",""))</f>
        <v/>
      </c>
      <c r="N78" s="15">
        <f>1-J78/D78</f>
        <v/>
      </c>
    </row>
    <row r="79">
      <c r="A79" t="inlineStr">
        <is>
          <t>690</t>
        </is>
      </c>
      <c r="B79" t="inlineStr">
        <is>
          <t>690 Transmitters, Pressure</t>
        </is>
      </c>
      <c r="C79" t="inlineStr">
        <is>
          <t>Electrical &amp; utility equipment</t>
        </is>
      </c>
      <c r="D79" s="25" t="n">
        <v>1556000.38</v>
      </c>
      <c r="E79" s="18" t="n">
        <v>14</v>
      </c>
      <c r="F79" t="inlineStr">
        <is>
          <t>Genserve LLC</t>
        </is>
      </c>
      <c r="G79" s="15" t="n">
        <v>0.5953141219669882</v>
      </c>
      <c r="H79" s="18" t="n">
        <v>4</v>
      </c>
      <c r="I79" s="18" t="n">
        <v>4219.2</v>
      </c>
      <c r="J79" s="25" t="n">
        <v>173225.18</v>
      </c>
      <c r="K79" s="15">
        <f>D79/Austin_Vendors!$C$156</f>
        <v/>
      </c>
      <c r="L79">
        <f>RANK.EQ(D79,$D$6:$D$84,0)</f>
        <v/>
      </c>
      <c r="M79">
        <f>IF(G79&gt;=$D$3,"R1 single-vendor",IF(I79&gt;=$F$3,"R2 highly concentrated",""))</f>
        <v/>
      </c>
      <c r="N79" s="15">
        <f>1-J79/D79</f>
        <v/>
      </c>
    </row>
    <row r="80">
      <c r="A80" t="inlineStr">
        <is>
          <t>420</t>
        </is>
      </c>
      <c r="B80" t="inlineStr">
        <is>
          <t>420 Furniture: Cafeteria, Chapel, Dorm, House, Library, School</t>
        </is>
      </c>
      <c r="C80" t="inlineStr">
        <is>
          <t>Office, furniture &amp; publications</t>
        </is>
      </c>
      <c r="D80" s="25" t="n">
        <v>1483013.44</v>
      </c>
      <c r="E80" s="18" t="n">
        <v>16</v>
      </c>
      <c r="F80" t="inlineStr">
        <is>
          <t>Library Interiors Of Texas, LLC</t>
        </is>
      </c>
      <c r="G80" s="15" t="n">
        <v>0.5753666601969568</v>
      </c>
      <c r="H80" s="18" t="n">
        <v>15</v>
      </c>
      <c r="I80" s="18" t="n">
        <v>3738.4</v>
      </c>
      <c r="J80" s="25" t="n">
        <v>120140.99</v>
      </c>
      <c r="K80" s="15">
        <f>D80/Austin_Vendors!$C$156</f>
        <v/>
      </c>
      <c r="L80">
        <f>RANK.EQ(D80,$D$6:$D$84,0)</f>
        <v/>
      </c>
      <c r="M80">
        <f>IF(G80&gt;=$D$3,"R1 single-vendor",IF(I80&gt;=$F$3,"R2 highly concentrated",""))</f>
        <v/>
      </c>
      <c r="N80" s="15">
        <f>1-J80/D80</f>
        <v/>
      </c>
    </row>
    <row r="81">
      <c r="A81" t="inlineStr">
        <is>
          <t>855</t>
        </is>
      </c>
      <c r="B81" t="inlineStr">
        <is>
          <t>855 Stages, Theatre (all Types)</t>
        </is>
      </c>
      <c r="C81" t="inlineStr">
        <is>
          <t>Other goods</t>
        </is>
      </c>
      <c r="D81" s="25" t="n">
        <v>1248867.87</v>
      </c>
      <c r="E81" s="18" t="n">
        <v>9</v>
      </c>
      <c r="F81" t="inlineStr">
        <is>
          <t>Werd Media Labs, LLC</t>
        </is>
      </c>
      <c r="G81" s="15" t="n">
        <v>0.7546580968569556</v>
      </c>
      <c r="H81" s="18" t="n">
        <v>17</v>
      </c>
      <c r="I81" s="18" t="n">
        <v>6127.4</v>
      </c>
      <c r="J81" s="25" t="n">
        <v>306399.62</v>
      </c>
      <c r="K81" s="15">
        <f>D81/Austin_Vendors!$C$156</f>
        <v/>
      </c>
      <c r="L81">
        <f>RANK.EQ(D81,$D$6:$D$84,0)</f>
        <v/>
      </c>
      <c r="M81">
        <f>IF(G81&gt;=$D$3,"R1 single-vendor",IF(I81&gt;=$F$3,"R2 highly concentrated",""))</f>
        <v/>
      </c>
      <c r="N81" s="15">
        <f>1-J81/D81</f>
        <v/>
      </c>
    </row>
    <row r="82">
      <c r="A82" t="inlineStr">
        <is>
          <t>790</t>
        </is>
      </c>
      <c r="B82" t="inlineStr">
        <is>
          <t>790 Top Soil and Fill Dirt (for Mulch See Class 335)</t>
        </is>
      </c>
      <c r="C82" t="inlineStr">
        <is>
          <t>Road &amp; construction materials</t>
        </is>
      </c>
      <c r="D82" s="25" t="n">
        <v>1172267.82</v>
      </c>
      <c r="E82" s="18" t="n">
        <v>13</v>
      </c>
      <c r="F82" t="inlineStr">
        <is>
          <t>MONDO GARDENS</t>
        </is>
      </c>
      <c r="G82" s="15" t="n">
        <v>0.5218957899910619</v>
      </c>
      <c r="H82" s="18" t="n">
        <v>46</v>
      </c>
      <c r="I82" s="18" t="n">
        <v>3237.7</v>
      </c>
      <c r="J82" s="25" t="n">
        <v>231600.66</v>
      </c>
      <c r="K82" s="15">
        <f>D82/Austin_Vendors!$C$156</f>
        <v/>
      </c>
      <c r="L82">
        <f>RANK.EQ(D82,$D$6:$D$84,0)</f>
        <v/>
      </c>
      <c r="M82">
        <f>IF(G82&gt;=$D$3,"R1 single-vendor",IF(I82&gt;=$F$3,"R2 highly concentrated",""))</f>
        <v/>
      </c>
      <c r="N82" s="15">
        <f>1-J82/D82</f>
        <v/>
      </c>
    </row>
    <row r="83">
      <c r="A83" t="inlineStr">
        <is>
          <t>838</t>
        </is>
      </c>
      <c r="B83" t="inlineStr">
        <is>
          <t>838 Parts and Accessories, Telecommunication (panduit or Equal)</t>
        </is>
      </c>
      <c r="C83" t="inlineStr">
        <is>
          <t>Radio, telecom &amp; video</t>
        </is>
      </c>
      <c r="D83" s="25" t="n">
        <v>1091650.07</v>
      </c>
      <c r="E83" s="18" t="n">
        <v>14</v>
      </c>
      <c r="F83" t="inlineStr">
        <is>
          <t>Brymer Communication Services, LLC</t>
        </is>
      </c>
      <c r="G83" s="15" t="n">
        <v>0.6559612642172047</v>
      </c>
      <c r="H83" s="18" t="n">
        <v>87</v>
      </c>
      <c r="I83" s="18" t="n">
        <v>4632.4</v>
      </c>
      <c r="J83" s="25" t="n">
        <v>137349.28</v>
      </c>
      <c r="K83" s="15">
        <f>D83/Austin_Vendors!$C$156</f>
        <v/>
      </c>
      <c r="L83">
        <f>RANK.EQ(D83,$D$6:$D$84,0)</f>
        <v/>
      </c>
      <c r="M83">
        <f>IF(G83&gt;=$D$3,"R1 single-vendor",IF(I83&gt;=$F$3,"R2 highly concentrated",""))</f>
        <v/>
      </c>
      <c r="N83" s="15">
        <f>1-J83/D83</f>
        <v/>
      </c>
    </row>
    <row r="84">
      <c r="A84" t="inlineStr">
        <is>
          <t>625</t>
        </is>
      </c>
      <c r="B84" t="inlineStr">
        <is>
          <t>625 Optical Equipment, Accessories, and Supplies</t>
        </is>
      </c>
      <c r="C84" t="inlineStr">
        <is>
          <t>Other goods</t>
        </is>
      </c>
      <c r="D84" s="25" t="n">
        <v>1016912.96</v>
      </c>
      <c r="E84" s="18" t="n">
        <v>9</v>
      </c>
      <c r="F84" t="inlineStr">
        <is>
          <t>Echo Healthcare, Inc.</t>
        </is>
      </c>
      <c r="G84" s="15" t="n">
        <v>0.7800864294226322</v>
      </c>
      <c r="H84" s="18" t="n">
        <v>1</v>
      </c>
      <c r="I84" s="18" t="n">
        <v>6223.8</v>
      </c>
      <c r="J84" s="25" t="n">
        <v>1016912.96</v>
      </c>
      <c r="K84" s="15">
        <f>D84/Austin_Vendors!$C$156</f>
        <v/>
      </c>
      <c r="L84">
        <f>RANK.EQ(D84,$D$6:$D$84,0)</f>
        <v/>
      </c>
      <c r="M84">
        <f>IF(G84&gt;=$D$3,"R1 single-vendor",IF(I84&gt;=$F$3,"R2 highly concentrated",""))</f>
        <v/>
      </c>
      <c r="N84" s="15">
        <f>1-J84/D84</f>
        <v/>
      </c>
    </row>
    <row r="86">
      <c r="B86" s="3" t="inlineStr">
        <is>
          <t>Summary (formulas)</t>
        </is>
      </c>
    </row>
    <row r="87">
      <c r="B87" t="inlineStr">
        <is>
          <t>Categories screened</t>
        </is>
      </c>
      <c r="D87" s="18">
        <f>COUNTA(A6:A84)</f>
        <v/>
      </c>
    </row>
    <row r="88">
      <c r="B88" t="inlineStr">
        <is>
          <t>R1 single-vendor categories</t>
        </is>
      </c>
      <c r="D88" s="18">
        <f>COUNTIF(M6:M84,"R1*")</f>
        <v/>
      </c>
    </row>
    <row r="89">
      <c r="B89" t="inlineStr">
        <is>
          <t>R2 highly concentrated categories</t>
        </is>
      </c>
      <c r="D89" s="18">
        <f>COUNTIF(M6:M84,"R2*")</f>
        <v/>
      </c>
    </row>
    <row r="90">
      <c r="B90" t="inlineStr">
        <is>
          <t>Spend in R1 categories</t>
        </is>
      </c>
      <c r="D90" s="25">
        <f>SUMIFS(D6:D84,M6:M84,"R1*")</f>
        <v/>
      </c>
    </row>
    <row r="91">
      <c r="B91" t="inlineStr">
        <is>
          <t>Largest category share held by one vendor</t>
        </is>
      </c>
      <c r="D91" s="15">
        <f>MAXIFS(G6:G84,D6:D84,"&gt;="&amp;10000000)</f>
        <v/>
      </c>
    </row>
  </sheetData>
  <conditionalFormatting sqref="M6:M84">
    <cfRule type="expression" priority="1" dxfId="3">
      <formula>LEFT(M6,2)="R1"</formula>
    </cfRule>
    <cfRule type="expression" priority="2" dxfId="1">
      <formula>LEFT(M6,2)="R2"</formula>
    </cfRule>
  </conditionalFormatting>
  <conditionalFormatting sqref="I6:I84">
    <cfRule type="colorScale" priority="3">
      <colorScale>
        <cfvo type="num" val="0"/>
        <cfvo type="num" val="10000"/>
        <color rgb="00FFFFFF"/>
        <color rgb="009FB4CC"/>
      </colorScale>
    </cfRule>
  </conditionalFormatting>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I19"/>
  <sheetViews>
    <sheetView showGridLines="0" workbookViewId="0">
      <selection activeCell="A1" sqref="A1"/>
    </sheetView>
  </sheetViews>
  <sheetFormatPr baseColWidth="8" defaultRowHeight="15"/>
  <cols>
    <col width="3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Spend by family and fiscal year</t>
        </is>
      </c>
    </row>
    <row r="2">
      <c r="A2" s="2" t="inlineStr">
        <is>
          <t>OBSERVED DATA - City of Austin purchase orders (data.austintexas.gov), FY2022-FY2026. Families are an analyst grouping of NIGP classes.</t>
        </is>
      </c>
    </row>
    <row r="4">
      <c r="A4" s="8" t="inlineStr">
        <is>
          <t>Spend family</t>
        </is>
      </c>
      <c r="B4" s="8" t="inlineStr">
        <is>
          <t>FY2022</t>
        </is>
      </c>
      <c r="C4" s="8" t="inlineStr">
        <is>
          <t>FY2023</t>
        </is>
      </c>
      <c r="D4" s="8" t="inlineStr">
        <is>
          <t>FY2024</t>
        </is>
      </c>
      <c r="E4" s="8" t="inlineStr">
        <is>
          <t>FY2025</t>
        </is>
      </c>
      <c r="F4" s="8" t="inlineStr">
        <is>
          <t>FY2026</t>
        </is>
      </c>
      <c r="G4" s="16" t="inlineStr">
        <is>
          <t>Total</t>
        </is>
      </c>
      <c r="H4" s="16" t="inlineStr">
        <is>
          <t>Share</t>
        </is>
      </c>
      <c r="I4" s="16" t="inlineStr">
        <is>
          <t>Change FY2022-FY2026</t>
        </is>
      </c>
    </row>
    <row r="5">
      <c r="A5" t="inlineStr">
        <is>
          <t>Fleet vehicles, parts &amp; tires</t>
        </is>
      </c>
      <c r="B5" s="25" t="n">
        <v>60021613.6</v>
      </c>
      <c r="C5" s="25" t="n">
        <v>64150869.91</v>
      </c>
      <c r="D5" s="25" t="n">
        <v>79814943.83</v>
      </c>
      <c r="E5" s="25" t="n">
        <v>66571900.19</v>
      </c>
      <c r="F5" s="25" t="n">
        <v>68028587.78</v>
      </c>
      <c r="G5" s="25">
        <f>SUM(B5:F5)</f>
        <v/>
      </c>
      <c r="H5" s="15">
        <f>G5/SUM($G$5:$G$18)</f>
        <v/>
      </c>
      <c r="I5" s="15">
        <f>IF(B5&gt;0,F5/B5-1,"")</f>
        <v/>
      </c>
    </row>
    <row r="6">
      <c r="A6" t="inlineStr">
        <is>
          <t>Electrical &amp; utility equipment</t>
        </is>
      </c>
      <c r="B6" s="25" t="n">
        <v>42258824.42</v>
      </c>
      <c r="C6" s="25" t="n">
        <v>72122994.68000001</v>
      </c>
      <c r="D6" s="25" t="n">
        <v>43468580.04</v>
      </c>
      <c r="E6" s="25" t="n">
        <v>49610568.13</v>
      </c>
      <c r="F6" s="25" t="n">
        <v>65038341.01</v>
      </c>
      <c r="G6" s="25">
        <f>SUM(B6:F6)</f>
        <v/>
      </c>
      <c r="H6" s="15">
        <f>G6/SUM($G$5:$G$18)</f>
        <v/>
      </c>
      <c r="I6" s="15">
        <f>IF(B6&gt;0,F6/B6-1,"")</f>
        <v/>
      </c>
    </row>
    <row r="7">
      <c r="A7" t="inlineStr">
        <is>
          <t>Water &amp; wastewater treatment</t>
        </is>
      </c>
      <c r="B7" s="25" t="n">
        <v>23968664.35</v>
      </c>
      <c r="C7" s="25" t="n">
        <v>29730287.08</v>
      </c>
      <c r="D7" s="25" t="n">
        <v>42390456.22</v>
      </c>
      <c r="E7" s="25" t="n">
        <v>44601948.75</v>
      </c>
      <c r="F7" s="25" t="n">
        <v>46897043.35</v>
      </c>
      <c r="G7" s="25">
        <f>SUM(B7:F7)</f>
        <v/>
      </c>
      <c r="H7" s="15">
        <f>G7/SUM($G$5:$G$18)</f>
        <v/>
      </c>
      <c r="I7" s="15">
        <f>IF(B7&gt;0,F7/B7-1,"")</f>
        <v/>
      </c>
    </row>
    <row r="8">
      <c r="A8" t="inlineStr">
        <is>
          <t>IT hardware &amp; software</t>
        </is>
      </c>
      <c r="B8" s="25" t="n">
        <v>40263517.87</v>
      </c>
      <c r="C8" s="25" t="n">
        <v>34038308.59</v>
      </c>
      <c r="D8" s="25" t="n">
        <v>37465075.84</v>
      </c>
      <c r="E8" s="25" t="n">
        <v>31333893.98</v>
      </c>
      <c r="F8" s="25" t="n">
        <v>30107059.78</v>
      </c>
      <c r="G8" s="25">
        <f>SUM(B8:F8)</f>
        <v/>
      </c>
      <c r="H8" s="15">
        <f>G8/SUM($G$5:$G$18)</f>
        <v/>
      </c>
      <c r="I8" s="15">
        <f>IF(B8&gt;0,F8/B8-1,"")</f>
        <v/>
      </c>
    </row>
    <row r="9">
      <c r="A9" t="inlineStr">
        <is>
          <t>Heavy equipment &amp; tools</t>
        </is>
      </c>
      <c r="B9" s="25" t="n">
        <v>17789971.3</v>
      </c>
      <c r="C9" s="25" t="n">
        <v>30620227.36</v>
      </c>
      <c r="D9" s="25" t="n">
        <v>27381805.73</v>
      </c>
      <c r="E9" s="25" t="n">
        <v>17174643.93</v>
      </c>
      <c r="F9" s="25" t="n">
        <v>22152084.94</v>
      </c>
      <c r="G9" s="25">
        <f>SUM(B9:F9)</f>
        <v/>
      </c>
      <c r="H9" s="15">
        <f>G9/SUM($G$5:$G$18)</f>
        <v/>
      </c>
      <c r="I9" s="15">
        <f>IF(B9&gt;0,F9/B9-1,"")</f>
        <v/>
      </c>
    </row>
    <row r="10">
      <c r="A10" t="inlineStr">
        <is>
          <t>Radio, telecom &amp; video</t>
        </is>
      </c>
      <c r="B10" s="25" t="n">
        <v>21111541.71</v>
      </c>
      <c r="C10" s="25" t="n">
        <v>13986157.94</v>
      </c>
      <c r="D10" s="25" t="n">
        <v>17455761.11</v>
      </c>
      <c r="E10" s="25" t="n">
        <v>13949185.69</v>
      </c>
      <c r="F10" s="25" t="n">
        <v>46898431.88</v>
      </c>
      <c r="G10" s="25">
        <f>SUM(B10:F10)</f>
        <v/>
      </c>
      <c r="H10" s="15">
        <f>G10/SUM($G$5:$G$18)</f>
        <v/>
      </c>
      <c r="I10" s="15">
        <f>IF(B10&gt;0,F10/B10-1,"")</f>
        <v/>
      </c>
    </row>
    <row r="11">
      <c r="A11" t="inlineStr">
        <is>
          <t>Road &amp; construction materials</t>
        </is>
      </c>
      <c r="B11" s="25" t="n">
        <v>17678446.91</v>
      </c>
      <c r="C11" s="25" t="n">
        <v>17310246.53</v>
      </c>
      <c r="D11" s="25" t="n">
        <v>15866046.65</v>
      </c>
      <c r="E11" s="25" t="n">
        <v>37768650.07</v>
      </c>
      <c r="F11" s="25" t="n">
        <v>23136832.14</v>
      </c>
      <c r="G11" s="25">
        <f>SUM(B11:F11)</f>
        <v/>
      </c>
      <c r="H11" s="15">
        <f>G11/SUM($G$5:$G$18)</f>
        <v/>
      </c>
      <c r="I11" s="15">
        <f>IF(B11&gt;0,F11/B11-1,"")</f>
        <v/>
      </c>
    </row>
    <row r="12">
      <c r="A12" t="inlineStr">
        <is>
          <t>Fuel &amp; lubricants</t>
        </is>
      </c>
      <c r="B12" s="25" t="n">
        <v>17708718.26</v>
      </c>
      <c r="C12" s="25" t="n">
        <v>18414339.23</v>
      </c>
      <c r="D12" s="25" t="n">
        <v>16604385.17</v>
      </c>
      <c r="E12" s="25" t="n">
        <v>14828212.91</v>
      </c>
      <c r="F12" s="25" t="n">
        <v>19138215.86</v>
      </c>
      <c r="G12" s="25">
        <f>SUM(B12:F12)</f>
        <v/>
      </c>
      <c r="H12" s="15">
        <f>G12/SUM($G$5:$G$18)</f>
        <v/>
      </c>
      <c r="I12" s="15">
        <f>IF(B12&gt;0,F12/B12-1,"")</f>
        <v/>
      </c>
    </row>
    <row r="13">
      <c r="A13" t="inlineStr">
        <is>
          <t>Public safety, medical &amp; lab</t>
        </is>
      </c>
      <c r="B13" s="25" t="n">
        <v>18089271.89</v>
      </c>
      <c r="C13" s="25" t="n">
        <v>13279970.28</v>
      </c>
      <c r="D13" s="25" t="n">
        <v>14630490.59</v>
      </c>
      <c r="E13" s="25" t="n">
        <v>21412994.18</v>
      </c>
      <c r="F13" s="25" t="n">
        <v>14232380.94</v>
      </c>
      <c r="G13" s="25">
        <f>SUM(B13:F13)</f>
        <v/>
      </c>
      <c r="H13" s="15">
        <f>G13/SUM($G$5:$G$18)</f>
        <v/>
      </c>
      <c r="I13" s="15">
        <f>IF(B13&gt;0,F13/B13-1,"")</f>
        <v/>
      </c>
    </row>
    <row r="14">
      <c r="A14" t="inlineStr">
        <is>
          <t>Other goods</t>
        </is>
      </c>
      <c r="B14" s="25" t="n">
        <v>5442799.87</v>
      </c>
      <c r="C14" s="25" t="n">
        <v>6647927.46</v>
      </c>
      <c r="D14" s="25" t="n">
        <v>12960081.52</v>
      </c>
      <c r="E14" s="25" t="n">
        <v>9786105.439999999</v>
      </c>
      <c r="F14" s="25" t="n">
        <v>6925319.15</v>
      </c>
      <c r="G14" s="25">
        <f>SUM(B14:F14)</f>
        <v/>
      </c>
      <c r="H14" s="15">
        <f>G14/SUM($G$5:$G$18)</f>
        <v/>
      </c>
      <c r="I14" s="15">
        <f>IF(B14&gt;0,F14/B14-1,"")</f>
        <v/>
      </c>
    </row>
    <row r="15">
      <c r="A15" t="inlineStr">
        <is>
          <t>Facilities, MRO &amp; janitorial</t>
        </is>
      </c>
      <c r="B15" s="25" t="n">
        <v>6519759.13</v>
      </c>
      <c r="C15" s="25" t="n">
        <v>6882826.29</v>
      </c>
      <c r="D15" s="25" t="n">
        <v>7944581.57</v>
      </c>
      <c r="E15" s="25" t="n">
        <v>8299569</v>
      </c>
      <c r="F15" s="25" t="n">
        <v>9437501.9</v>
      </c>
      <c r="G15" s="25">
        <f>SUM(B15:F15)</f>
        <v/>
      </c>
      <c r="H15" s="15">
        <f>G15/SUM($G$5:$G$18)</f>
        <v/>
      </c>
      <c r="I15" s="15">
        <f>IF(B15&gt;0,F15/B15-1,"")</f>
        <v/>
      </c>
    </row>
    <row r="16">
      <c r="A16" t="inlineStr">
        <is>
          <t>Apparel &amp; PPE</t>
        </is>
      </c>
      <c r="B16" s="25" t="n">
        <v>4301472.49</v>
      </c>
      <c r="C16" s="25" t="n">
        <v>6275803.41</v>
      </c>
      <c r="D16" s="25" t="n">
        <v>5972215.07</v>
      </c>
      <c r="E16" s="25" t="n">
        <v>8792108.35</v>
      </c>
      <c r="F16" s="25" t="n">
        <v>9170414.779999999</v>
      </c>
      <c r="G16" s="25">
        <f>SUM(B16:F16)</f>
        <v/>
      </c>
      <c r="H16" s="15">
        <f>G16/SUM($G$5:$G$18)</f>
        <v/>
      </c>
      <c r="I16" s="15">
        <f>IF(B16&gt;0,F16/B16-1,"")</f>
        <v/>
      </c>
    </row>
    <row r="17">
      <c r="A17" t="inlineStr">
        <is>
          <t>Traffic, signage &amp; parking</t>
        </is>
      </c>
      <c r="B17" s="25" t="n">
        <v>5300665.26</v>
      </c>
      <c r="C17" s="25" t="n">
        <v>5410985.89</v>
      </c>
      <c r="D17" s="25" t="n">
        <v>6804688.39</v>
      </c>
      <c r="E17" s="25" t="n">
        <v>8029453.05</v>
      </c>
      <c r="F17" s="25" t="n">
        <v>7979636</v>
      </c>
      <c r="G17" s="25">
        <f>SUM(B17:F17)</f>
        <v/>
      </c>
      <c r="H17" s="15">
        <f>G17/SUM($G$5:$G$18)</f>
        <v/>
      </c>
      <c r="I17" s="15">
        <f>IF(B17&gt;0,F17/B17-1,"")</f>
        <v/>
      </c>
    </row>
    <row r="18">
      <c r="A18" t="inlineStr">
        <is>
          <t>Office, furniture &amp; publications</t>
        </is>
      </c>
      <c r="B18" s="25" t="n">
        <v>6432962.36</v>
      </c>
      <c r="C18" s="25" t="n">
        <v>7411253.31</v>
      </c>
      <c r="D18" s="25" t="n">
        <v>5626683.83</v>
      </c>
      <c r="E18" s="25" t="n">
        <v>8678746.25</v>
      </c>
      <c r="F18" s="25" t="n">
        <v>3834975.28</v>
      </c>
      <c r="G18" s="25">
        <f>SUM(B18:F18)</f>
        <v/>
      </c>
      <c r="H18" s="15">
        <f>G18/SUM($G$5:$G$18)</f>
        <v/>
      </c>
      <c r="I18" s="15">
        <f>IF(B18&gt;0,F18/B18-1,"")</f>
        <v/>
      </c>
    </row>
    <row r="19">
      <c r="A19" s="3" t="inlineStr">
        <is>
          <t>Total</t>
        </is>
      </c>
      <c r="B19" s="25">
        <f>SUM(B5:B18)</f>
        <v/>
      </c>
      <c r="C19" s="25">
        <f>SUM(C5:C18)</f>
        <v/>
      </c>
      <c r="D19" s="25">
        <f>SUM(D5:D18)</f>
        <v/>
      </c>
      <c r="E19" s="25">
        <f>SUM(E5:E18)</f>
        <v/>
      </c>
      <c r="F19" s="25">
        <f>SUM(F5:F18)</f>
        <v/>
      </c>
      <c r="G19" s="25">
        <f>SUM(G5:G18)</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67"/>
  <sheetViews>
    <sheetView showGridLines="0" workbookViewId="0">
      <selection activeCell="A1" sqref="A1"/>
    </sheetView>
  </sheetViews>
  <sheetFormatPr baseColWidth="8" defaultRowHeight="15"/>
  <cols>
    <col width="70" customWidth="1" min="1" max="1"/>
    <col width="7" customWidth="1" min="2" max="2"/>
    <col width="8" customWidth="1" min="3" max="3"/>
    <col width="8" customWidth="1" min="4" max="4"/>
    <col width="13" customWidth="1" min="5" max="5"/>
    <col width="14" customWidth="1" min="6" max="6"/>
    <col width="14" customWidth="1" min="7" max="7"/>
    <col width="10" customWidth="1" min="8" max="8"/>
    <col width="16" customWidth="1" min="9" max="9"/>
    <col width="10" customWidth="1" min="10" max="10"/>
    <col width="10" customWidth="1" min="11" max="11"/>
  </cols>
  <sheetData>
    <row r="1">
      <c r="A1" s="1" t="inlineStr">
        <is>
          <t>Like-for-like purchase price variance</t>
        </is>
      </c>
    </row>
    <row r="2">
      <c r="A2" s="2" t="inlineStr">
        <is>
          <t>OBSERVED DATA - City of Austin purchase orders (data.austintexas.gov), FY2022-FY2026. Same commodity code + unit + description + fiscal year; &gt;= 4 purchases per item-year.</t>
        </is>
      </c>
    </row>
    <row r="3">
      <c r="A3" t="inlineStr">
        <is>
          <t>Flag ratio (input):</t>
        </is>
      </c>
      <c r="C3" s="33" t="n">
        <v>1.5</v>
      </c>
    </row>
    <row r="5" ht="32" customHeight="1">
      <c r="A5" s="8" t="inlineStr">
        <is>
          <t>Item description (redacted)</t>
        </is>
      </c>
      <c r="B5" s="8" t="inlineStr">
        <is>
          <t>Unit</t>
        </is>
      </c>
      <c r="C5" s="8" t="inlineStr">
        <is>
          <t>FY</t>
        </is>
      </c>
      <c r="D5" s="8" t="inlineStr">
        <is>
          <t>Lines</t>
        </is>
      </c>
      <c r="E5" s="8" t="inlineStr">
        <is>
          <t>Vendors</t>
        </is>
      </c>
      <c r="F5" s="8" t="inlineStr">
        <is>
          <t>Item-year median price</t>
        </is>
      </c>
      <c r="G5" s="8" t="inlineStr">
        <is>
          <t>Max price</t>
        </is>
      </c>
      <c r="H5" s="8" t="inlineStr">
        <is>
          <t>Flagged lines</t>
        </is>
      </c>
      <c r="I5" s="8" t="inlineStr">
        <is>
          <t>Excess vs median (USD)</t>
        </is>
      </c>
      <c r="J5" s="16" t="inlineStr">
        <is>
          <t>Max / median</t>
        </is>
      </c>
      <c r="K5" s="16" t="inlineStr">
        <is>
          <t>Above flag ratio?</t>
        </is>
      </c>
    </row>
    <row r="6">
      <c r="A6" t="inlineStr">
        <is>
          <t>TRANSFORMER, PAD-MOUNTED, 3 PHASE, FEED THRU WITH SWITCH, DEAD FRONT, 208Y/120V, 4W, 300 KVA, 12.7KV, IN ACCORDANCE WITH</t>
        </is>
      </c>
      <c r="B6" t="inlineStr">
        <is>
          <t>EA</t>
        </is>
      </c>
      <c r="C6" s="20" t="n">
        <v>2023</v>
      </c>
      <c r="D6" s="18" t="n">
        <v>8</v>
      </c>
      <c r="E6" s="18" t="n">
        <v>3</v>
      </c>
      <c r="F6" s="19" t="n">
        <v>21233</v>
      </c>
      <c r="G6" s="19" t="n">
        <v>50585</v>
      </c>
      <c r="H6" s="18" t="n">
        <v>2</v>
      </c>
      <c r="I6" s="25" t="n">
        <v>992623</v>
      </c>
      <c r="J6" s="34">
        <f>G6/F6</f>
        <v/>
      </c>
      <c r="K6">
        <f>IF(J6&gt;=$C$3,"Yes","No")</f>
        <v/>
      </c>
    </row>
    <row r="7">
      <c r="A7" t="inlineStr">
        <is>
          <t>TRANSFORMER, DISTRIBUTION, SINGLE PHASE, PAD MOUNT, 50 KVA, 120/240 VOLT, WITH BAYONET FUSING, PER SPEC E-1581 11MAY 18</t>
        </is>
      </c>
      <c r="B7" t="inlineStr">
        <is>
          <t>EA</t>
        </is>
      </c>
      <c r="C7" s="20" t="n">
        <v>2023</v>
      </c>
      <c r="D7" s="18" t="n">
        <v>52</v>
      </c>
      <c r="E7" s="18" t="n">
        <v>4</v>
      </c>
      <c r="F7" s="19" t="n">
        <v>4990</v>
      </c>
      <c r="G7" s="19" t="n">
        <v>9074</v>
      </c>
      <c r="H7" s="18" t="n">
        <v>4</v>
      </c>
      <c r="I7" s="25" t="n">
        <v>892700</v>
      </c>
      <c r="J7" s="34">
        <f>G7/F7</f>
        <v/>
      </c>
      <c r="K7">
        <f>IF(J7&gt;=$C$3,"Yes","No")</f>
        <v/>
      </c>
    </row>
    <row r="8">
      <c r="A8" t="inlineStr">
        <is>
          <t xml:space="preserve">TRANSFORMER, PAD-MOUNTED, 3 PHASE, FEED THRU WITH SWITCH, DEAD FRONT, 208Y/120V, 4W, 500KVA, 12.7KV, IN ACCORDANCE WITH </t>
        </is>
      </c>
      <c r="B8" t="inlineStr">
        <is>
          <t>EA</t>
        </is>
      </c>
      <c r="C8" s="20" t="n">
        <v>2023</v>
      </c>
      <c r="D8" s="18" t="n">
        <v>7</v>
      </c>
      <c r="E8" s="18" t="n">
        <v>3</v>
      </c>
      <c r="F8" s="19" t="n">
        <v>27841</v>
      </c>
      <c r="G8" s="19" t="n">
        <v>54175</v>
      </c>
      <c r="H8" s="18" t="n">
        <v>1</v>
      </c>
      <c r="I8" s="25" t="n">
        <v>632016</v>
      </c>
      <c r="J8" s="34">
        <f>G8/F8</f>
        <v/>
      </c>
      <c r="K8">
        <f>IF(J8&gt;=$C$3,"Yes","No")</f>
        <v/>
      </c>
    </row>
    <row r="9">
      <c r="A9" t="inlineStr">
        <is>
          <t>TRANSFORMER, DISTRIBUTION, SINGLE PHASE, PAD MOUNT, 167 KVA, 120/240 VOLT, OPEN FRONT DESIGN, PER SPEC E-1581 11MAY 18</t>
        </is>
      </c>
      <c r="B9" t="inlineStr">
        <is>
          <t>EA</t>
        </is>
      </c>
      <c r="C9" s="20" t="n">
        <v>2023</v>
      </c>
      <c r="D9" s="18" t="n">
        <v>16</v>
      </c>
      <c r="E9" s="18" t="n">
        <v>3</v>
      </c>
      <c r="F9" s="19" t="n">
        <v>9575</v>
      </c>
      <c r="G9" s="19" t="n">
        <v>15647</v>
      </c>
      <c r="H9" s="18" t="n">
        <v>3</v>
      </c>
      <c r="I9" s="25" t="n">
        <v>597375</v>
      </c>
      <c r="J9" s="34">
        <f>G9/F9</f>
        <v/>
      </c>
      <c r="K9">
        <f>IF(J9&gt;=$C$3,"Yes","No")</f>
        <v/>
      </c>
    </row>
    <row r="10">
      <c r="A10" t="inlineStr">
        <is>
          <t>TRANSFORMER, DISTRIBUTION, SINGLE PHASE, PAD MOUNT, 25 KVA, 120/240 VOLT, WITH BAYONET FUSING, PER SPEC E-1581 11MAY 18</t>
        </is>
      </c>
      <c r="B10" t="inlineStr">
        <is>
          <t>EA</t>
        </is>
      </c>
      <c r="C10" s="20" t="n">
        <v>2023</v>
      </c>
      <c r="D10" s="18" t="n">
        <v>7</v>
      </c>
      <c r="E10" s="18" t="n">
        <v>4</v>
      </c>
      <c r="F10" s="19" t="n">
        <v>3725</v>
      </c>
      <c r="G10" s="19" t="n">
        <v>8216</v>
      </c>
      <c r="H10" s="18" t="n">
        <v>3</v>
      </c>
      <c r="I10" s="25" t="n">
        <v>383300</v>
      </c>
      <c r="J10" s="34">
        <f>G10/F10</f>
        <v/>
      </c>
      <c r="K10">
        <f>IF(J10&gt;=$C$3,"Yes","No")</f>
        <v/>
      </c>
    </row>
    <row r="11">
      <c r="A11" t="inlineStr">
        <is>
          <t>TRANSFORMER, DISTRIBUTION, SINGLE PHASE, PAD MOUNT, 50 KVA, 120/240 VOLT, WITH BAYONET FUSING, PER SPEC E-1581 11MAY 18</t>
        </is>
      </c>
      <c r="B11" t="inlineStr">
        <is>
          <t>EA</t>
        </is>
      </c>
      <c r="C11" s="20" t="n">
        <v>2022</v>
      </c>
      <c r="D11" s="18" t="n">
        <v>48</v>
      </c>
      <c r="E11" s="18" t="n">
        <v>5</v>
      </c>
      <c r="F11" s="19" t="n">
        <v>2317</v>
      </c>
      <c r="G11" s="19" t="n">
        <v>4429.41</v>
      </c>
      <c r="H11" s="18" t="n">
        <v>20</v>
      </c>
      <c r="I11" s="25" t="n">
        <v>320258.41</v>
      </c>
      <c r="J11" s="34">
        <f>G11/F11</f>
        <v/>
      </c>
      <c r="K11">
        <f>IF(J11&gt;=$C$3,"Yes","No")</f>
        <v/>
      </c>
    </row>
    <row r="12">
      <c r="A12" t="inlineStr">
        <is>
          <t>TRANSFORMER, DISTRIBUTION, SINGLE PHASE, POLE MOUNT, DOE, 50KVA, 120/240 VOLT, 3 WIRE, 2 HV BUSHINGS WITH TANK MOUNTED A</t>
        </is>
      </c>
      <c r="B12" t="inlineStr">
        <is>
          <t>EA</t>
        </is>
      </c>
      <c r="C12" s="20" t="n">
        <v>2022</v>
      </c>
      <c r="D12" s="18" t="n">
        <v>72</v>
      </c>
      <c r="E12" s="18" t="n">
        <v>4</v>
      </c>
      <c r="F12" s="19" t="n">
        <v>1734</v>
      </c>
      <c r="G12" s="19" t="n">
        <v>3358.82</v>
      </c>
      <c r="H12" s="18" t="n">
        <v>32</v>
      </c>
      <c r="I12" s="25" t="n">
        <v>217308.4</v>
      </c>
      <c r="J12" s="34">
        <f>G12/F12</f>
        <v/>
      </c>
      <c r="K12">
        <f>IF(J12&gt;=$C$3,"Yes","No")</f>
        <v/>
      </c>
    </row>
    <row r="13">
      <c r="A13" t="inlineStr">
        <is>
          <t>TRANSFORMER, DISTRIBUTION, SINGLE PHASE, POLE MOUNT, DOE, 75KVA, 120/240 VOLT, 3 WIRE, 2 HV BUSHINGS WITH TANK MOUNTED A</t>
        </is>
      </c>
      <c r="B13" t="inlineStr">
        <is>
          <t>EA</t>
        </is>
      </c>
      <c r="C13" s="20" t="n">
        <v>2022</v>
      </c>
      <c r="D13" s="18" t="n">
        <v>35</v>
      </c>
      <c r="E13" s="18" t="n">
        <v>5</v>
      </c>
      <c r="F13" s="19" t="n">
        <v>2520</v>
      </c>
      <c r="G13" s="19" t="n">
        <v>4576.47</v>
      </c>
      <c r="H13" s="18" t="n">
        <v>14</v>
      </c>
      <c r="I13" s="25" t="n">
        <v>97072.94</v>
      </c>
      <c r="J13" s="34">
        <f>G13/F13</f>
        <v/>
      </c>
      <c r="K13">
        <f>IF(J13&gt;=$C$3,"Yes","No")</f>
        <v/>
      </c>
    </row>
    <row r="14">
      <c r="A14" t="inlineStr">
        <is>
          <t xml:space="preserve">TRANSFORMER, DISTRIBUTION, SINGLE PHASE, POLE MOUNT, DOE, 100KVA, 120/240 VOLT, 3 WIRE, 2 HV BUSHINGS WITH TANK MOUNTED </t>
        </is>
      </c>
      <c r="B14" t="inlineStr">
        <is>
          <t>EA</t>
        </is>
      </c>
      <c r="C14" s="20" t="n">
        <v>2023</v>
      </c>
      <c r="D14" s="18" t="n">
        <v>14</v>
      </c>
      <c r="E14" s="18" t="n">
        <v>3</v>
      </c>
      <c r="F14" s="19" t="n">
        <v>6600</v>
      </c>
      <c r="G14" s="19" t="n">
        <v>11450</v>
      </c>
      <c r="H14" s="18" t="n">
        <v>3</v>
      </c>
      <c r="I14" s="25" t="n">
        <v>94106.25</v>
      </c>
      <c r="J14" s="34">
        <f>G14/F14</f>
        <v/>
      </c>
      <c r="K14">
        <f>IF(J14&gt;=$C$3,"Yes","No")</f>
        <v/>
      </c>
    </row>
    <row r="15">
      <c r="A15" t="inlineStr">
        <is>
          <t xml:space="preserve">TRANSFORMER, DISTRIBUTION, SINGLE PHASE, POLE MOUNT, DOE, 100KVA, 120/240 VOLT, 3 WIRE, 2 HV BUSHINGS WITH TANK MOUNTED </t>
        </is>
      </c>
      <c r="B15" t="inlineStr">
        <is>
          <t>EA</t>
        </is>
      </c>
      <c r="C15" s="20" t="n">
        <v>2024</v>
      </c>
      <c r="D15" s="18" t="n">
        <v>22</v>
      </c>
      <c r="E15" s="18" t="n">
        <v>4</v>
      </c>
      <c r="F15" s="19" t="n">
        <v>6595</v>
      </c>
      <c r="G15" s="19" t="n">
        <v>10933.75</v>
      </c>
      <c r="H15" s="18" t="n">
        <v>5</v>
      </c>
      <c r="I15" s="25" t="n">
        <v>89021.25</v>
      </c>
      <c r="J15" s="34">
        <f>G15/F15</f>
        <v/>
      </c>
      <c r="K15">
        <f>IF(J15&gt;=$C$3,"Yes","No")</f>
        <v/>
      </c>
    </row>
    <row r="16">
      <c r="A16" t="inlineStr">
        <is>
          <t>TRANSFORMER, DISTRIBUTION, SINGLE PHASE, POLE MOUNT, DOE, 25KVA, 120/240 VOLT, 3 WIRE, 2 HV BUSHINGS WITH TANK MOUNTED A</t>
        </is>
      </c>
      <c r="B16" t="inlineStr">
        <is>
          <t>EA</t>
        </is>
      </c>
      <c r="C16" s="20" t="n">
        <v>2022</v>
      </c>
      <c r="D16" s="18" t="n">
        <v>74</v>
      </c>
      <c r="E16" s="18" t="n">
        <v>4</v>
      </c>
      <c r="F16" s="19" t="n">
        <v>1385.5</v>
      </c>
      <c r="G16" s="19" t="n">
        <v>2340</v>
      </c>
      <c r="H16" s="18" t="n">
        <v>18</v>
      </c>
      <c r="I16" s="25" t="n">
        <v>87819.5</v>
      </c>
      <c r="J16" s="34">
        <f>G16/F16</f>
        <v/>
      </c>
      <c r="K16">
        <f>IF(J16&gt;=$C$3,"Yes","No")</f>
        <v/>
      </c>
    </row>
    <row r="17">
      <c r="A17" t="inlineStr">
        <is>
          <t>TRANSFORMER, DISTRIBUTION, SINGLE PHASE, POLE MOUNT, DOE, 75KVA, 120/240 VOLT, 3 WIRE, 2 HV BUSHINGS WITH TANK MOUNTED A</t>
        </is>
      </c>
      <c r="B17" t="inlineStr">
        <is>
          <t>EA</t>
        </is>
      </c>
      <c r="C17" s="20" t="n">
        <v>2024</v>
      </c>
      <c r="D17" s="18" t="n">
        <v>33</v>
      </c>
      <c r="E17" s="18" t="n">
        <v>5</v>
      </c>
      <c r="F17" s="19" t="n">
        <v>4985</v>
      </c>
      <c r="G17" s="19" t="n">
        <v>9047.5</v>
      </c>
      <c r="H17" s="18" t="n">
        <v>1</v>
      </c>
      <c r="I17" s="25" t="n">
        <v>60937.5</v>
      </c>
      <c r="J17" s="34">
        <f>G17/F17</f>
        <v/>
      </c>
      <c r="K17">
        <f>IF(J17&gt;=$C$3,"Yes","No")</f>
        <v/>
      </c>
    </row>
    <row r="18">
      <c r="A18" t="inlineStr">
        <is>
          <t>TRANSFORMER, DISTRIBUTION, SINGLE PHASE, POLE MOUNT, DOE, 75KVA, 120/240 VOLT, 3 WIRE, 2 HV BUSHINGS WITH TANK MOUNTED A</t>
        </is>
      </c>
      <c r="B18" t="inlineStr">
        <is>
          <t>EA</t>
        </is>
      </c>
      <c r="C18" s="20" t="n">
        <v>2023</v>
      </c>
      <c r="D18" s="18" t="n">
        <v>20</v>
      </c>
      <c r="E18" s="18" t="n">
        <v>3</v>
      </c>
      <c r="F18" s="19" t="n">
        <v>5100</v>
      </c>
      <c r="G18" s="19" t="n">
        <v>9047.5</v>
      </c>
      <c r="H18" s="18" t="n">
        <v>1</v>
      </c>
      <c r="I18" s="25" t="n">
        <v>59212.5</v>
      </c>
      <c r="J18" s="34">
        <f>G18/F18</f>
        <v/>
      </c>
      <c r="K18">
        <f>IF(J18&gt;=$C$3,"Yes","No")</f>
        <v/>
      </c>
    </row>
    <row r="19">
      <c r="A19" t="inlineStr">
        <is>
          <t>TRANSFORMER, REFURBISHED, DISTRIBUTION, SINGLE PHASE, POLE MOUNT, 100 KVA, 277/480 VOLT, 2 WIRE, 2HV BUSHINGS, WITH TANK</t>
        </is>
      </c>
      <c r="B19" t="inlineStr">
        <is>
          <t>EA</t>
        </is>
      </c>
      <c r="C19" s="20" t="n">
        <v>2024</v>
      </c>
      <c r="D19" s="18" t="n">
        <v>5</v>
      </c>
      <c r="E19" s="18" t="n">
        <v>2</v>
      </c>
      <c r="F19" s="19" t="n">
        <v>1537.84</v>
      </c>
      <c r="G19" s="19" t="n">
        <v>4958</v>
      </c>
      <c r="H19" s="18" t="n">
        <v>2</v>
      </c>
      <c r="I19" s="25" t="n">
        <v>51302.4</v>
      </c>
      <c r="J19" s="34">
        <f>G19/F19</f>
        <v/>
      </c>
      <c r="K19">
        <f>IF(J19&gt;=$C$3,"Yes","No")</f>
        <v/>
      </c>
    </row>
    <row r="20">
      <c r="A20" t="inlineStr">
        <is>
          <t>TRANSFORMER, REFUBISHED, DISTRIBUTION, SINGLE PHASE, POLE MOUNT, 75KVA, 277/480 VOLT, 2 WIRE,2HV BUSHINGS, WITH TANK MOU</t>
        </is>
      </c>
      <c r="B20" t="inlineStr">
        <is>
          <t>EA</t>
        </is>
      </c>
      <c r="C20" s="20" t="n">
        <v>2024</v>
      </c>
      <c r="D20" s="18" t="n">
        <v>6</v>
      </c>
      <c r="E20" s="18" t="n">
        <v>2</v>
      </c>
      <c r="F20" s="19" t="n">
        <v>1344.95</v>
      </c>
      <c r="G20" s="19" t="n">
        <v>4538</v>
      </c>
      <c r="H20" s="18" t="n">
        <v>2</v>
      </c>
      <c r="I20" s="25" t="n">
        <v>47895.75</v>
      </c>
      <c r="J20" s="34">
        <f>G20/F20</f>
        <v/>
      </c>
      <c r="K20">
        <f>IF(J20&gt;=$C$3,"Yes","No")</f>
        <v/>
      </c>
    </row>
    <row r="21">
      <c r="A21" t="inlineStr">
        <is>
          <t>TRANSFORMER, REFURBISHED, DISTRIBUTION, SINGLE PHASE, POLE MOUNT, 50 KVA 277/480 VOLT, 2 WIRE, 2HV BUSHINGS, WITH TANK M</t>
        </is>
      </c>
      <c r="B21" t="inlineStr">
        <is>
          <t>EA</t>
        </is>
      </c>
      <c r="C21" s="20" t="n">
        <v>2024</v>
      </c>
      <c r="D21" s="18" t="n">
        <v>5</v>
      </c>
      <c r="E21" s="18" t="n">
        <v>2</v>
      </c>
      <c r="F21" s="19" t="n">
        <v>1146.52</v>
      </c>
      <c r="G21" s="19" t="n">
        <v>3717</v>
      </c>
      <c r="H21" s="18" t="n">
        <v>2</v>
      </c>
      <c r="I21" s="25" t="n">
        <v>38557.2</v>
      </c>
      <c r="J21" s="34">
        <f>G21/F21</f>
        <v/>
      </c>
      <c r="K21">
        <f>IF(J21&gt;=$C$3,"Yes","No")</f>
        <v/>
      </c>
    </row>
    <row r="22">
      <c r="A22" t="inlineStr">
        <is>
          <t>DETERMINE HIV-1/2 AG/AB CONTROLS KIT</t>
        </is>
      </c>
      <c r="B22" t="inlineStr">
        <is>
          <t>EA</t>
        </is>
      </c>
      <c r="C22" s="20" t="n">
        <v>2025</v>
      </c>
      <c r="D22" s="18" t="n">
        <v>4</v>
      </c>
      <c r="E22" s="18" t="n">
        <v>1</v>
      </c>
      <c r="F22" s="19" t="n">
        <v>117.5</v>
      </c>
      <c r="G22" s="19" t="n">
        <v>200</v>
      </c>
      <c r="H22" s="18" t="n">
        <v>2</v>
      </c>
      <c r="I22" s="25" t="n">
        <v>20212.5</v>
      </c>
      <c r="J22" s="34">
        <f>G22/F22</f>
        <v/>
      </c>
      <c r="K22">
        <f>IF(J22&gt;=$C$3,"Yes","No")</f>
        <v/>
      </c>
    </row>
    <row r="23">
      <c r="A23" t="inlineStr">
        <is>
          <t xml:space="preserve">TRANSFORMER, DISTRIBUTION, SINGLE PHASE, POLE MOUNT, DOE, 100KVA, 277/480 VOLT, 2 WIRE, 2 HV BUSHINGS WITH TANK MOUNTED </t>
        </is>
      </c>
      <c r="B23" t="inlineStr">
        <is>
          <t>EA</t>
        </is>
      </c>
      <c r="C23" s="20" t="n">
        <v>2023</v>
      </c>
      <c r="D23" s="18" t="n">
        <v>7</v>
      </c>
      <c r="E23" s="18" t="n">
        <v>2</v>
      </c>
      <c r="F23" s="19" t="n">
        <v>6400</v>
      </c>
      <c r="G23" s="19" t="n">
        <v>9700</v>
      </c>
      <c r="H23" s="18" t="n">
        <v>1</v>
      </c>
      <c r="I23" s="25" t="n">
        <v>19800</v>
      </c>
      <c r="J23" s="34">
        <f>G23/F23</f>
        <v/>
      </c>
      <c r="K23">
        <f>IF(J23&gt;=$C$3,"Yes","No")</f>
        <v/>
      </c>
    </row>
    <row r="24">
      <c r="A24" t="inlineStr">
        <is>
          <t xml:space="preserve">TRANSFORMER, DISTRIBUTION, SINGLE PHASE, POLE MOUNT, DOE, 167KVA, 120/240 VOLT, 3 WIRE, 2 HV BUSHINGS WITH TANK MOUNTED </t>
        </is>
      </c>
      <c r="B24" t="inlineStr">
        <is>
          <t>EA</t>
        </is>
      </c>
      <c r="C24" s="20" t="n">
        <v>2024</v>
      </c>
      <c r="D24" s="18" t="n">
        <v>11</v>
      </c>
      <c r="E24" s="18" t="n">
        <v>3</v>
      </c>
      <c r="F24" s="19" t="n">
        <v>9050</v>
      </c>
      <c r="G24" s="19" t="n">
        <v>14100</v>
      </c>
      <c r="H24" s="18" t="n">
        <v>2</v>
      </c>
      <c r="I24" s="25" t="n">
        <v>15150</v>
      </c>
      <c r="J24" s="34">
        <f>G24/F24</f>
        <v/>
      </c>
      <c r="K24">
        <f>IF(J24&gt;=$C$3,"Yes","No")</f>
        <v/>
      </c>
    </row>
    <row r="25">
      <c r="A25" t="inlineStr">
        <is>
          <t>TEST PORT AND DOWNSTREAM SHUTOFF VALVE</t>
        </is>
      </c>
      <c r="B25" t="inlineStr">
        <is>
          <t>EA</t>
        </is>
      </c>
      <c r="C25" s="20" t="n">
        <v>2024</v>
      </c>
      <c r="D25" s="18" t="n">
        <v>87</v>
      </c>
      <c r="E25" s="18" t="n">
        <v>1</v>
      </c>
      <c r="F25" s="19" t="n">
        <v>3762</v>
      </c>
      <c r="G25" s="19" t="n">
        <v>6066</v>
      </c>
      <c r="H25" s="18" t="n">
        <v>5</v>
      </c>
      <c r="I25" s="25" t="n">
        <v>13824</v>
      </c>
      <c r="J25" s="34">
        <f>G25/F25</f>
        <v/>
      </c>
      <c r="K25">
        <f>IF(J25&gt;=$C$3,"Yes","No")</f>
        <v/>
      </c>
    </row>
    <row r="26">
      <c r="A26" t="inlineStr">
        <is>
          <t>TEST PORT AND DOWNSTREAM SHUTOFF VALVE</t>
        </is>
      </c>
      <c r="B26" t="inlineStr">
        <is>
          <t>EA</t>
        </is>
      </c>
      <c r="C26" s="20" t="n">
        <v>2023</v>
      </c>
      <c r="D26" s="18" t="n">
        <v>33</v>
      </c>
      <c r="E26" s="18" t="n">
        <v>1</v>
      </c>
      <c r="F26" s="19" t="n">
        <v>3762</v>
      </c>
      <c r="G26" s="19" t="n">
        <v>6066</v>
      </c>
      <c r="H26" s="18" t="n">
        <v>4</v>
      </c>
      <c r="I26" s="25" t="n">
        <v>9216</v>
      </c>
      <c r="J26" s="34">
        <f>G26/F26</f>
        <v/>
      </c>
      <c r="K26">
        <f>IF(J26&gt;=$C$3,"Yes","No")</f>
        <v/>
      </c>
    </row>
    <row r="27">
      <c r="A27" t="inlineStr">
        <is>
          <t xml:space="preserve">TRANSFORMER, DISTRIBUTION, SINGLE PHASE, POLE MOUNT, DOE, 167KVA, 120/240 VOLT, 3 WIRE, 2 HV BUSHINGS WITH TANK MOUNTED </t>
        </is>
      </c>
      <c r="B27" t="inlineStr">
        <is>
          <t>EA</t>
        </is>
      </c>
      <c r="C27" s="20" t="n">
        <v>2023</v>
      </c>
      <c r="D27" s="18" t="n">
        <v>7</v>
      </c>
      <c r="E27" s="18" t="n">
        <v>2</v>
      </c>
      <c r="F27" s="19" t="n">
        <v>9050</v>
      </c>
      <c r="G27" s="19" t="n">
        <v>14100</v>
      </c>
      <c r="H27" s="18" t="n">
        <v>1</v>
      </c>
      <c r="I27" s="25" t="n">
        <v>5050</v>
      </c>
      <c r="J27" s="34">
        <f>G27/F27</f>
        <v/>
      </c>
      <c r="K27">
        <f>IF(J27&gt;=$C$3,"Yes","No")</f>
        <v/>
      </c>
    </row>
    <row r="28">
      <c r="A28" t="inlineStr">
        <is>
          <t>18OZ BLACK, VINYL COATED PVC, 1/2" CLOSED CELL FOAM, W/ GROMMETS SPACED APPROX EVERY 24" AROUND ENTIRE PERIMETER</t>
        </is>
      </c>
      <c r="B28" t="inlineStr">
        <is>
          <t>EA</t>
        </is>
      </c>
      <c r="C28" s="20" t="n">
        <v>2025</v>
      </c>
      <c r="D28" s="18" t="n">
        <v>12</v>
      </c>
      <c r="E28" s="18" t="n">
        <v>1</v>
      </c>
      <c r="F28" s="19" t="n">
        <v>1357.46</v>
      </c>
      <c r="G28" s="19" t="n">
        <v>4009.73</v>
      </c>
      <c r="H28" s="18" t="n">
        <v>3</v>
      </c>
      <c r="I28" s="25" t="n">
        <v>4834.65</v>
      </c>
      <c r="J28" s="34">
        <f>G28/F28</f>
        <v/>
      </c>
      <c r="K28">
        <f>IF(J28&gt;=$C$3,"Yes","No")</f>
        <v/>
      </c>
    </row>
    <row r="29">
      <c r="A29" t="inlineStr">
        <is>
          <t>DELL ECOLOOP URBAN BACKPACK (GRAY)</t>
        </is>
      </c>
      <c r="B29" t="inlineStr">
        <is>
          <t>EA</t>
        </is>
      </c>
      <c r="C29" s="20" t="n">
        <v>2023</v>
      </c>
      <c r="D29" s="18" t="n">
        <v>6</v>
      </c>
      <c r="E29" s="18" t="n">
        <v>1</v>
      </c>
      <c r="F29" s="19" t="n">
        <v>32.99</v>
      </c>
      <c r="G29" s="19" t="n">
        <v>244.74</v>
      </c>
      <c r="H29" s="18" t="n">
        <v>1</v>
      </c>
      <c r="I29" s="25" t="n">
        <v>4235</v>
      </c>
      <c r="J29" s="34">
        <f>G29/F29</f>
        <v/>
      </c>
      <c r="K29">
        <f>IF(J29&gt;=$C$3,"Yes","No")</f>
        <v/>
      </c>
    </row>
    <row r="30">
      <c r="A30" t="inlineStr">
        <is>
          <t>TRANSFORMER GAUGES</t>
        </is>
      </c>
      <c r="B30" t="inlineStr">
        <is>
          <t>EA</t>
        </is>
      </c>
      <c r="C30" s="20" t="n">
        <v>2023</v>
      </c>
      <c r="D30" s="18" t="n">
        <v>5</v>
      </c>
      <c r="E30" s="18" t="n">
        <v>1</v>
      </c>
      <c r="F30" s="19" t="n">
        <v>764.66</v>
      </c>
      <c r="G30" s="19" t="n">
        <v>1198.33</v>
      </c>
      <c r="H30" s="18" t="n">
        <v>1</v>
      </c>
      <c r="I30" s="25" t="n">
        <v>2168.35</v>
      </c>
      <c r="J30" s="34">
        <f>G30/F30</f>
        <v/>
      </c>
      <c r="K30">
        <f>IF(J30&gt;=$C$3,"Yes","No")</f>
        <v/>
      </c>
    </row>
    <row r="31">
      <c r="A31" t="inlineStr">
        <is>
          <t>TRANSFORMER, REFURBISHED, DISTRIBUTION, SINGLE PHASE, POLE MOUNT, 50 KVA, 120/240 VOLT, 3 WIRE, 2 HV BUSHINGS, WITH TANK</t>
        </is>
      </c>
      <c r="B31" t="inlineStr">
        <is>
          <t>EA</t>
        </is>
      </c>
      <c r="C31" s="20" t="n">
        <v>2024</v>
      </c>
      <c r="D31" s="18" t="n">
        <v>18</v>
      </c>
      <c r="E31" s="18" t="n">
        <v>1</v>
      </c>
      <c r="F31" s="19" t="n">
        <v>1165.355</v>
      </c>
      <c r="G31" s="19" t="n">
        <v>1902.92</v>
      </c>
      <c r="H31" s="18" t="n">
        <v>2</v>
      </c>
      <c r="I31" s="25" t="n">
        <v>1424.7</v>
      </c>
      <c r="J31" s="34">
        <f>G31/F31</f>
        <v/>
      </c>
      <c r="K31">
        <f>IF(J31&gt;=$C$3,"Yes","No")</f>
        <v/>
      </c>
    </row>
    <row r="32">
      <c r="A32" t="inlineStr">
        <is>
          <t>TRANSFORMER, REFUBISHED, DISTRIBUTION, SINGLE PHASE,PAD MOUNT, 75 KVA, 120/240 VOLT,7.2KV WITH BAYONET FUSING, SPECS E-1</t>
        </is>
      </c>
      <c r="B32" t="inlineStr">
        <is>
          <t>EA</t>
        </is>
      </c>
      <c r="C32" s="20" t="n">
        <v>2025</v>
      </c>
      <c r="D32" s="18" t="n">
        <v>7</v>
      </c>
      <c r="E32" s="18" t="n">
        <v>1</v>
      </c>
      <c r="F32" s="19" t="n">
        <v>2490.16</v>
      </c>
      <c r="G32" s="19" t="n">
        <v>3911.08</v>
      </c>
      <c r="H32" s="18" t="n">
        <v>1</v>
      </c>
      <c r="I32" s="25" t="n">
        <v>1420.92</v>
      </c>
      <c r="J32" s="34">
        <f>G32/F32</f>
        <v/>
      </c>
      <c r="K32">
        <f>IF(J32&gt;=$C$3,"Yes","No")</f>
        <v/>
      </c>
    </row>
    <row r="33">
      <c r="A33" t="inlineStr">
        <is>
          <t>98-21675-00</t>
        </is>
      </c>
      <c r="B33" t="inlineStr">
        <is>
          <t>EA</t>
        </is>
      </c>
      <c r="C33" s="20" t="n">
        <v>2024</v>
      </c>
      <c r="D33" s="18" t="n">
        <v>19</v>
      </c>
      <c r="E33" s="18" t="n">
        <v>1</v>
      </c>
      <c r="F33" s="19" t="n">
        <v>80.84999999999999</v>
      </c>
      <c r="G33" s="19" t="n">
        <v>160.65</v>
      </c>
      <c r="H33" s="18" t="n">
        <v>7</v>
      </c>
      <c r="I33" s="25" t="n">
        <v>1276.8</v>
      </c>
      <c r="J33" s="34">
        <f>G33/F33</f>
        <v/>
      </c>
      <c r="K33">
        <f>IF(J33&gt;=$C$3,"Yes","No")</f>
        <v/>
      </c>
    </row>
    <row r="34">
      <c r="A34" t="inlineStr">
        <is>
          <t>TELESCOPING VALVE KEY &amp; EXTENSION KIT</t>
        </is>
      </c>
      <c r="B34" t="inlineStr">
        <is>
          <t>EA</t>
        </is>
      </c>
      <c r="C34" s="20" t="n">
        <v>2026</v>
      </c>
      <c r="D34" s="18" t="n">
        <v>5</v>
      </c>
      <c r="E34" s="18" t="n">
        <v>1</v>
      </c>
      <c r="F34" s="19" t="n">
        <v>441</v>
      </c>
      <c r="G34" s="19" t="n">
        <v>1661.1</v>
      </c>
      <c r="H34" s="18" t="n">
        <v>1</v>
      </c>
      <c r="I34" s="25" t="n">
        <v>1220.1</v>
      </c>
      <c r="J34" s="34">
        <f>G34/F34</f>
        <v/>
      </c>
      <c r="K34">
        <f>IF(J34&gt;=$C$3,"Yes","No")</f>
        <v/>
      </c>
    </row>
    <row r="35">
      <c r="A35" t="inlineStr">
        <is>
          <t>98-21675-00</t>
        </is>
      </c>
      <c r="B35" t="inlineStr">
        <is>
          <t>EA</t>
        </is>
      </c>
      <c r="C35" s="20" t="n">
        <v>2025</v>
      </c>
      <c r="D35" s="18" t="n">
        <v>13</v>
      </c>
      <c r="E35" s="18" t="n">
        <v>1</v>
      </c>
      <c r="F35" s="19" t="n">
        <v>80.84999999999999</v>
      </c>
      <c r="G35" s="19" t="n">
        <v>160.65</v>
      </c>
      <c r="H35" s="18" t="n">
        <v>4</v>
      </c>
      <c r="I35" s="25" t="n">
        <v>1117.2</v>
      </c>
      <c r="J35" s="34">
        <f>G35/F35</f>
        <v/>
      </c>
      <c r="K35">
        <f>IF(J35&gt;=$C$3,"Yes","No")</f>
        <v/>
      </c>
    </row>
    <row r="36">
      <c r="A36" t="inlineStr">
        <is>
          <t>TRANSFORMER, DISTRIBUTION, SINGLE PHASE, POLE MOUNT, DOE, 25KVA, 277/480 VOLT, 2 WIRE, 2 HV BUSHINGS WITH TANK MOUNTED A</t>
        </is>
      </c>
      <c r="B36" t="inlineStr">
        <is>
          <t>EA</t>
        </is>
      </c>
      <c r="C36" s="20" t="n">
        <v>2022</v>
      </c>
      <c r="D36" s="18" t="n">
        <v>14</v>
      </c>
      <c r="E36" s="18" t="n">
        <v>3</v>
      </c>
      <c r="F36" s="19" t="n">
        <v>1697</v>
      </c>
      <c r="G36" s="19" t="n">
        <v>2650</v>
      </c>
      <c r="H36" s="18" t="n">
        <v>1</v>
      </c>
      <c r="I36" s="25" t="n">
        <v>953</v>
      </c>
      <c r="J36" s="34">
        <f>G36/F36</f>
        <v/>
      </c>
      <c r="K36">
        <f>IF(J36&gt;=$C$3,"Yes","No")</f>
        <v/>
      </c>
    </row>
    <row r="37">
      <c r="A37" t="inlineStr">
        <is>
          <t>98-21675-00</t>
        </is>
      </c>
      <c r="B37" t="inlineStr">
        <is>
          <t>EA</t>
        </is>
      </c>
      <c r="C37" s="20" t="n">
        <v>2023</v>
      </c>
      <c r="D37" s="18" t="n">
        <v>8</v>
      </c>
      <c r="E37" s="18" t="n">
        <v>1</v>
      </c>
      <c r="F37" s="19" t="n">
        <v>80.84999999999999</v>
      </c>
      <c r="G37" s="19" t="n">
        <v>160.65</v>
      </c>
      <c r="H37" s="18" t="n">
        <v>3</v>
      </c>
      <c r="I37" s="25" t="n">
        <v>718.2</v>
      </c>
      <c r="J37" s="34">
        <f>G37/F37</f>
        <v/>
      </c>
      <c r="K37">
        <f>IF(J37&gt;=$C$3,"Yes","No")</f>
        <v/>
      </c>
    </row>
    <row r="38">
      <c r="A38" t="inlineStr">
        <is>
          <t>PILLOWS DISPOSABLE</t>
        </is>
      </c>
      <c r="B38" t="inlineStr">
        <is>
          <t>CASE</t>
        </is>
      </c>
      <c r="C38" s="20" t="n">
        <v>2022</v>
      </c>
      <c r="D38" s="18" t="n">
        <v>4</v>
      </c>
      <c r="E38" s="18" t="n">
        <v>2</v>
      </c>
      <c r="F38" s="19" t="n">
        <v>26.64</v>
      </c>
      <c r="G38" s="19" t="n">
        <v>63.33</v>
      </c>
      <c r="H38" s="18" t="n">
        <v>1</v>
      </c>
      <c r="I38" s="25" t="n">
        <v>550.35</v>
      </c>
      <c r="J38" s="34">
        <f>G38/F38</f>
        <v/>
      </c>
      <c r="K38">
        <f>IF(J38&gt;=$C$3,"Yes","No")</f>
        <v/>
      </c>
    </row>
    <row r="39">
      <c r="A39" s="7" t="inlineStr">
        <is>
          <t>Top 33 of 33 flagged item-years shown; full list in outputs/tables/obs_price_item_years.csv</t>
        </is>
      </c>
    </row>
    <row r="41">
      <c r="A41" s="3" t="inlineStr">
        <is>
          <t>Year-over-year median price increases of 25% or more (same item, consecutive fiscal years)</t>
        </is>
      </c>
    </row>
    <row r="42">
      <c r="A42" s="8" t="inlineStr">
        <is>
          <t>Item description (redacted)</t>
        </is>
      </c>
      <c r="B42" s="8" t="inlineStr">
        <is>
          <t>Unit</t>
        </is>
      </c>
      <c r="C42" s="8" t="inlineStr">
        <is>
          <t>From FY</t>
        </is>
      </c>
      <c r="D42" s="8" t="inlineStr">
        <is>
          <t>To FY</t>
        </is>
      </c>
      <c r="E42" s="8" t="inlineStr">
        <is>
          <t>Prior median</t>
        </is>
      </c>
      <c r="F42" s="8" t="inlineStr">
        <is>
          <t>New median</t>
        </is>
      </c>
      <c r="G42" s="8" t="inlineStr">
        <is>
          <t>Spend in later year</t>
        </is>
      </c>
      <c r="H42" s="16" t="inlineStr">
        <is>
          <t>Change</t>
        </is>
      </c>
    </row>
    <row r="43">
      <c r="A43" t="inlineStr">
        <is>
          <t>TRANSFORMER, DISTRIBUTION, SINGLE PHASE, POLE MOUNT, DOE, 50KVA, 120/240 VOLT, 3 WIRE, 2 HV BUSHINGS WITH TANK MOUNTED A</t>
        </is>
      </c>
      <c r="B43" t="inlineStr">
        <is>
          <t>EA</t>
        </is>
      </c>
      <c r="C43" s="20" t="n">
        <v>2022</v>
      </c>
      <c r="D43" s="20" t="n">
        <v>2023</v>
      </c>
      <c r="E43" s="19" t="n">
        <v>1734</v>
      </c>
      <c r="F43" s="19" t="n">
        <v>3800</v>
      </c>
      <c r="G43" s="25" t="n">
        <v>2048696.02</v>
      </c>
      <c r="H43" s="15">
        <f>F43/E43-1</f>
        <v/>
      </c>
    </row>
    <row r="44">
      <c r="A44" t="inlineStr">
        <is>
          <t>TRANSFORMER, DISTRIBUTION, SINGLE PHASE, POLE MOUNT, DOE, 25KVA, 120/240 VOLT, 3 WIRE, 2 HV BUSHINGS WITH TANK MOUNTED A</t>
        </is>
      </c>
      <c r="B44" t="inlineStr">
        <is>
          <t>EA</t>
        </is>
      </c>
      <c r="C44" s="20" t="n">
        <v>2022</v>
      </c>
      <c r="D44" s="20" t="n">
        <v>2023</v>
      </c>
      <c r="E44" s="19" t="n">
        <v>1385.5</v>
      </c>
      <c r="F44" s="19" t="n">
        <v>3010</v>
      </c>
      <c r="G44" s="25" t="n">
        <v>1094229.77</v>
      </c>
      <c r="H44" s="15">
        <f>F44/E44-1</f>
        <v/>
      </c>
    </row>
    <row r="45">
      <c r="A45" t="inlineStr">
        <is>
          <t>TRANSFORMER, DISTRIBUTION, SINGLE PHASE, PAD MOUNT, 50 KVA, 120/240 VOLT, WITH BAYONET FUSING, PER SPEC E-1581 11MAY 18</t>
        </is>
      </c>
      <c r="B45" t="inlineStr">
        <is>
          <t>EA</t>
        </is>
      </c>
      <c r="C45" s="20" t="n">
        <v>2022</v>
      </c>
      <c r="D45" s="20" t="n">
        <v>2023</v>
      </c>
      <c r="E45" s="19" t="n">
        <v>2317</v>
      </c>
      <c r="F45" s="19" t="n">
        <v>4990</v>
      </c>
      <c r="G45" s="25" t="n">
        <v>3974203.97</v>
      </c>
      <c r="H45" s="15">
        <f>F45/E45-1</f>
        <v/>
      </c>
    </row>
    <row r="46">
      <c r="A46" t="inlineStr">
        <is>
          <t>98-21675-00</t>
        </is>
      </c>
      <c r="B46" t="inlineStr">
        <is>
          <t>EA</t>
        </is>
      </c>
      <c r="C46" s="20" t="n">
        <v>2025</v>
      </c>
      <c r="D46" s="20" t="n">
        <v>2026</v>
      </c>
      <c r="E46" s="19" t="n">
        <v>80.84999999999999</v>
      </c>
      <c r="F46" s="19" t="n">
        <v>173.5</v>
      </c>
      <c r="G46" s="25" t="n">
        <v>5388.92</v>
      </c>
      <c r="H46" s="15">
        <f>F46/E46-1</f>
        <v/>
      </c>
    </row>
    <row r="47">
      <c r="A47" t="inlineStr">
        <is>
          <t>TRANSFORMER, DISTRIBUTION, SINGLE PHASE, POLE MOUNT, DOE, 75KVA, 120/240 VOLT, 3 WIRE, 2 HV BUSHINGS WITH TANK MOUNTED A</t>
        </is>
      </c>
      <c r="B47" t="inlineStr">
        <is>
          <t>EA</t>
        </is>
      </c>
      <c r="C47" s="20" t="n">
        <v>2022</v>
      </c>
      <c r="D47" s="20" t="n">
        <v>2023</v>
      </c>
      <c r="E47" s="19" t="n">
        <v>2520</v>
      </c>
      <c r="F47" s="19" t="n">
        <v>5100</v>
      </c>
      <c r="G47" s="25" t="n">
        <v>1213303.32</v>
      </c>
      <c r="H47" s="15">
        <f>F47/E47-1</f>
        <v/>
      </c>
    </row>
    <row r="48">
      <c r="A48" t="inlineStr">
        <is>
          <t xml:space="preserve">TRANSFORMER, DISTRIBUTION, SINGLE PHASE, POLE MOUNT, DOE, 167KVA, 277/480 VOLT, 2 WIRE, 2 HV BUSHINGS WITH TANK MOUNTED </t>
        </is>
      </c>
      <c r="B48" t="inlineStr">
        <is>
          <t>EA</t>
        </is>
      </c>
      <c r="C48" s="20" t="n">
        <v>2022</v>
      </c>
      <c r="D48" s="20" t="n">
        <v>2023</v>
      </c>
      <c r="E48" s="19" t="n">
        <v>5426.5</v>
      </c>
      <c r="F48" s="19" t="n">
        <v>10025</v>
      </c>
      <c r="G48" s="25" t="n">
        <v>88100</v>
      </c>
      <c r="H48" s="15">
        <f>F48/E48-1</f>
        <v/>
      </c>
    </row>
    <row r="49">
      <c r="A49" t="inlineStr">
        <is>
          <t>ONE ADDITIONAL SET (QTY 3) OF 2000:5 MULTI-RATIO C800 RELAY ACCURACY CTS, IN ACCORDANCE WITH SPECIFICATION E-1225, SECTI</t>
        </is>
      </c>
      <c r="B49" t="inlineStr">
        <is>
          <t>EA</t>
        </is>
      </c>
      <c r="C49" s="20" t="n">
        <v>2022</v>
      </c>
      <c r="D49" s="20" t="n">
        <v>2023</v>
      </c>
      <c r="E49" s="19" t="n">
        <v>1710</v>
      </c>
      <c r="F49" s="19" t="n">
        <v>2760</v>
      </c>
      <c r="G49" s="25" t="n">
        <v>111160</v>
      </c>
      <c r="H49" s="15">
        <f>F49/E49-1</f>
        <v/>
      </c>
    </row>
    <row r="50">
      <c r="A50" t="inlineStr">
        <is>
          <t>TRANSFORMER, DISTRIBUTION, SINGLE PHASE, PAD MOUNT, 250 KVA, 120/240 VOLT, OPEN FRONT DESIGN, PER SPEC E-1581 11MAY 18</t>
        </is>
      </c>
      <c r="B50" t="inlineStr">
        <is>
          <t>EA</t>
        </is>
      </c>
      <c r="C50" s="20" t="n">
        <v>2022</v>
      </c>
      <c r="D50" s="20" t="n">
        <v>2023</v>
      </c>
      <c r="E50" s="19" t="n">
        <v>11000</v>
      </c>
      <c r="F50" s="19" t="n">
        <v>16187.5</v>
      </c>
      <c r="G50" s="25" t="n">
        <v>166414</v>
      </c>
      <c r="H50" s="15">
        <f>F50/E50-1</f>
        <v/>
      </c>
    </row>
    <row r="51">
      <c r="A51" t="inlineStr">
        <is>
          <t>TRANSFORMER, PAD-MOUNTED, 3 PHASE, FEED THRU SWITCH, DEAD FRONT, 480Y/277V, 4W, 750KVA, 12.7KV, IN ACCORDANCE WITH SPECI</t>
        </is>
      </c>
      <c r="B51" t="inlineStr">
        <is>
          <t>EA</t>
        </is>
      </c>
      <c r="C51" s="20" t="n">
        <v>2022</v>
      </c>
      <c r="D51" s="20" t="n">
        <v>2023</v>
      </c>
      <c r="E51" s="19" t="n">
        <v>23686.5</v>
      </c>
      <c r="F51" s="19" t="n">
        <v>32677.5</v>
      </c>
      <c r="G51" s="25" t="n">
        <v>1205596.62</v>
      </c>
      <c r="H51" s="15">
        <f>F51/E51-1</f>
        <v/>
      </c>
    </row>
    <row r="52">
      <c r="A52" t="inlineStr">
        <is>
          <t>TRANSFORMER, DISTRIBUTION, SINGLE PHASE, PAD MOUNT, 25 KVA, 120/240 VOLT, WITH BAYONET FUSING, PER SPEC E-1581 11MAY 18</t>
        </is>
      </c>
      <c r="B52" t="inlineStr">
        <is>
          <t>EA</t>
        </is>
      </c>
      <c r="C52" s="20" t="n">
        <v>2022</v>
      </c>
      <c r="D52" s="20" t="n">
        <v>2023</v>
      </c>
      <c r="E52" s="19" t="n">
        <v>2722.5</v>
      </c>
      <c r="F52" s="19" t="n">
        <v>3725</v>
      </c>
      <c r="G52" s="25" t="n">
        <v>807348</v>
      </c>
      <c r="H52" s="15">
        <f>F52/E52-1</f>
        <v/>
      </c>
    </row>
    <row r="53">
      <c r="A53" t="inlineStr">
        <is>
          <t>TRANSFORMER, DISTRIBUTION, SINGLE PHASE, PAD MOUNT, 100 KVA, 120/240 VOLT, WITH BAYONET FUSING, PER SPEC E-1581 11MAY 18</t>
        </is>
      </c>
      <c r="B53" t="inlineStr">
        <is>
          <t>EA</t>
        </is>
      </c>
      <c r="C53" s="20" t="n">
        <v>2022</v>
      </c>
      <c r="D53" s="20" t="n">
        <v>2023</v>
      </c>
      <c r="E53" s="19" t="n">
        <v>6700</v>
      </c>
      <c r="F53" s="19" t="n">
        <v>9080</v>
      </c>
      <c r="G53" s="25" t="n">
        <v>2704270</v>
      </c>
      <c r="H53" s="15">
        <f>F53/E53-1</f>
        <v/>
      </c>
    </row>
    <row r="54">
      <c r="A54" t="inlineStr">
        <is>
          <t>TRANSFORMER, DISTRIBUTION, SINGLE PHASE, PAD MOUNT, 75 KVA, 120/240 VOLT, WITH BAYONET FUSING, PER SPEC E-1581 11MAY 18</t>
        </is>
      </c>
      <c r="B54" t="inlineStr">
        <is>
          <t>EA</t>
        </is>
      </c>
      <c r="C54" s="20" t="n">
        <v>2022</v>
      </c>
      <c r="D54" s="20" t="n">
        <v>2023</v>
      </c>
      <c r="E54" s="19" t="n">
        <v>5500</v>
      </c>
      <c r="F54" s="19" t="n">
        <v>7450</v>
      </c>
      <c r="G54" s="25" t="n">
        <v>2640067.52</v>
      </c>
      <c r="H54" s="15">
        <f>F54/E54-1</f>
        <v/>
      </c>
    </row>
    <row r="55">
      <c r="A55" t="inlineStr">
        <is>
          <t xml:space="preserve">TRANSFORMER, DISTRIBUTION, SINGLE PHASE, POLE MOUNT, DOE, 100KVA, 120/240 VOLT, 3 WIRE, 2 HV BUSHINGS WITH TANK MOUNTED </t>
        </is>
      </c>
      <c r="B55" t="inlineStr">
        <is>
          <t>EA</t>
        </is>
      </c>
      <c r="C55" s="20" t="n">
        <v>2022</v>
      </c>
      <c r="D55" s="20" t="n">
        <v>2023</v>
      </c>
      <c r="E55" s="19" t="n">
        <v>5008</v>
      </c>
      <c r="F55" s="19" t="n">
        <v>6600</v>
      </c>
      <c r="G55" s="25" t="n">
        <v>869222.25</v>
      </c>
      <c r="H55" s="15">
        <f>F55/E55-1</f>
        <v/>
      </c>
    </row>
    <row r="56">
      <c r="A56" t="inlineStr">
        <is>
          <t>TRANSFORMER, DISTRIBUTION, SINGLE PHASE, POLE MOUNT, DOE, 50KVA, 277/480 VOLT, 2 WIRE, 2 HV BUSHINGS WITH TANK MOUNTED A</t>
        </is>
      </c>
      <c r="B56" t="inlineStr">
        <is>
          <t>EA</t>
        </is>
      </c>
      <c r="C56" s="20" t="n">
        <v>2023</v>
      </c>
      <c r="D56" s="20" t="n">
        <v>2024</v>
      </c>
      <c r="E56" s="19" t="n">
        <v>3635.29</v>
      </c>
      <c r="F56" s="19" t="n">
        <v>4775</v>
      </c>
      <c r="G56" s="25" t="n">
        <v>44450</v>
      </c>
      <c r="H56" s="15">
        <f>F56/E56-1</f>
        <v/>
      </c>
    </row>
    <row r="57">
      <c r="A57" t="inlineStr">
        <is>
          <t>DELL DOCK- WD19S 90W POWER DELIVERY - 130W AC</t>
        </is>
      </c>
      <c r="B57" t="inlineStr">
        <is>
          <t>EA</t>
        </is>
      </c>
      <c r="C57" s="20" t="n">
        <v>2022</v>
      </c>
      <c r="D57" s="20" t="n">
        <v>2023</v>
      </c>
      <c r="E57" s="19" t="n">
        <v>126</v>
      </c>
      <c r="F57" s="19" t="n">
        <v>164.99</v>
      </c>
      <c r="G57" s="25" t="n">
        <v>8219.700000000001</v>
      </c>
      <c r="H57" s="15">
        <f>F57/E57-1</f>
        <v/>
      </c>
    </row>
    <row r="58">
      <c r="A58" t="inlineStr">
        <is>
          <t xml:space="preserve">TRANSFORMER, DISTRIBUTION, SINGLE PHASE, POLE MOUNT, DOE, 100KVA, 277/480 VOLT, 2 WIRE, 2 HV BUSHINGS WITH TANK MOUNTED </t>
        </is>
      </c>
      <c r="B58" t="inlineStr">
        <is>
          <t>EA</t>
        </is>
      </c>
      <c r="C58" s="20" t="n">
        <v>2022</v>
      </c>
      <c r="D58" s="20" t="n">
        <v>2023</v>
      </c>
      <c r="E58" s="19" t="n">
        <v>4898.5</v>
      </c>
      <c r="F58" s="19" t="n">
        <v>6400</v>
      </c>
      <c r="G58" s="25" t="n">
        <v>119752.95</v>
      </c>
      <c r="H58" s="15">
        <f>F58/E58-1</f>
        <v/>
      </c>
    </row>
    <row r="59">
      <c r="A59" t="inlineStr">
        <is>
          <t>TRANSFORMER, DISTRIBUTION, SINGLE PHASE, PAD MOUNT, 50 KVA, 120/240 VOLT, WITH BAYONET FUSING, PER SPEC E-1581 11MAY 18</t>
        </is>
      </c>
      <c r="B59" t="inlineStr">
        <is>
          <t>EA</t>
        </is>
      </c>
      <c r="C59" s="20" t="n">
        <v>2023</v>
      </c>
      <c r="D59" s="20" t="n">
        <v>2024</v>
      </c>
      <c r="E59" s="19" t="n">
        <v>4990</v>
      </c>
      <c r="F59" s="19" t="n">
        <v>6500</v>
      </c>
      <c r="G59" s="25" t="n">
        <v>1074808</v>
      </c>
      <c r="H59" s="15">
        <f>F59/E59-1</f>
        <v/>
      </c>
    </row>
    <row r="60">
      <c r="A60" t="inlineStr">
        <is>
          <t xml:space="preserve">TRANSFORMER, REFURBISHED, DISTRIBUTION, SINGLE PHASE, POLE MOUNT, 75 KVA 120/140 VOLT, 3 WIRE, 2 HV BUSHINGS, WITH TANK </t>
        </is>
      </c>
      <c r="B60" t="inlineStr">
        <is>
          <t>EA</t>
        </is>
      </c>
      <c r="C60" s="20" t="n">
        <v>2025</v>
      </c>
      <c r="D60" s="20" t="n">
        <v>2026</v>
      </c>
      <c r="E60" s="19" t="n">
        <v>1416.74</v>
      </c>
      <c r="F60" s="19" t="n">
        <v>1840.2</v>
      </c>
      <c r="G60" s="25" t="n">
        <v>8862.17</v>
      </c>
      <c r="H60" s="15">
        <f>F60/E60-1</f>
        <v/>
      </c>
    </row>
    <row r="61">
      <c r="A61" t="inlineStr">
        <is>
          <t xml:space="preserve">TRANSFORMER, DISTRIBUTION, SINGLE PHASE, POLE MOUNT, DOE, 167KVA, 120/240 VOLT, 3 WIRE, 2 HV BUSHINGS WITH TANK MOUNTED </t>
        </is>
      </c>
      <c r="B61" t="inlineStr">
        <is>
          <t>EA</t>
        </is>
      </c>
      <c r="C61" s="20" t="n">
        <v>2022</v>
      </c>
      <c r="D61" s="20" t="n">
        <v>2023</v>
      </c>
      <c r="E61" s="19" t="n">
        <v>7000</v>
      </c>
      <c r="F61" s="19" t="n">
        <v>9050</v>
      </c>
      <c r="G61" s="25" t="n">
        <v>128237.04</v>
      </c>
      <c r="H61" s="15">
        <f>F61/E61-1</f>
        <v/>
      </c>
    </row>
    <row r="62">
      <c r="A62" t="inlineStr">
        <is>
          <t>TRANSFORMER, DISTRIBUTION, SINGLE PHASE, POLE MOUNT, DOE, 10KVA, 120/240 VOLT, 3 WIRE, 2 HV BUSHINGS WITH TANK MOUNTED A</t>
        </is>
      </c>
      <c r="B62" t="inlineStr">
        <is>
          <t>EA</t>
        </is>
      </c>
      <c r="C62" s="20" t="n">
        <v>2022</v>
      </c>
      <c r="D62" s="20" t="n">
        <v>2023</v>
      </c>
      <c r="E62" s="19" t="n">
        <v>1325</v>
      </c>
      <c r="F62" s="19" t="n">
        <v>1700</v>
      </c>
      <c r="G62" s="25" t="n">
        <v>52774.15</v>
      </c>
      <c r="H62" s="15">
        <f>F62/E62-1</f>
        <v/>
      </c>
    </row>
    <row r="63">
      <c r="A63" t="inlineStr">
        <is>
          <t xml:space="preserve">TRANSFORMER, REFURBISHED, DISTRIBUTION, SINGLE PHASE, POLE MOUNT 25 KVA, 120/240 VOLT, 3 WIRE, 2 HV BUSHINGS, WITH TANK </t>
        </is>
      </c>
      <c r="B63" t="inlineStr">
        <is>
          <t>EA</t>
        </is>
      </c>
      <c r="C63" s="20" t="n">
        <v>2024</v>
      </c>
      <c r="D63" s="20" t="n">
        <v>2025</v>
      </c>
      <c r="E63" s="19" t="n">
        <v>772.87</v>
      </c>
      <c r="F63" s="19" t="n">
        <v>988.8200000000001</v>
      </c>
      <c r="G63" s="25" t="n">
        <v>33865.47</v>
      </c>
      <c r="H63" s="15">
        <f>F63/E63-1</f>
        <v/>
      </c>
    </row>
    <row r="64">
      <c r="A64" t="inlineStr">
        <is>
          <t>TRANSFORMER, DISTRIBUTION, SINGLE PHASE, PAD MOUNT, 167 KVA, 120/240 VOLT, OPEN FRONT DESIGN, PER SPEC E-1581 11MAY 18</t>
        </is>
      </c>
      <c r="B64" t="inlineStr">
        <is>
          <t>EA</t>
        </is>
      </c>
      <c r="C64" s="20" t="n">
        <v>2022</v>
      </c>
      <c r="D64" s="20" t="n">
        <v>2023</v>
      </c>
      <c r="E64" s="19" t="n">
        <v>7505</v>
      </c>
      <c r="F64" s="19" t="n">
        <v>9575</v>
      </c>
      <c r="G64" s="25" t="n">
        <v>2087750.47</v>
      </c>
      <c r="H64" s="15">
        <f>F64/E64-1</f>
        <v/>
      </c>
    </row>
    <row r="65">
      <c r="A65" t="inlineStr">
        <is>
          <t>TRANSFORMER, DISTRIBUTION, SINGLE PHASE, POLE MOUNT, DOE, 50KVA, 120/240 VOLT, 3 WIRE, 2 HV BUSHINGS WITH TANK MOUNTED A</t>
        </is>
      </c>
      <c r="B65" t="inlineStr">
        <is>
          <t>EA</t>
        </is>
      </c>
      <c r="C65" s="20" t="n">
        <v>2025</v>
      </c>
      <c r="D65" s="20" t="n">
        <v>2026</v>
      </c>
      <c r="E65" s="19" t="n">
        <v>3400</v>
      </c>
      <c r="F65" s="19" t="n">
        <v>4275</v>
      </c>
      <c r="G65" s="25" t="n">
        <v>91430</v>
      </c>
      <c r="H65" s="15">
        <f>F65/E65-1</f>
        <v/>
      </c>
    </row>
    <row r="67">
      <c r="A67" s="3" t="inlineStr">
        <is>
          <t>Median change across these items (formula):</t>
        </is>
      </c>
      <c r="H67" s="15">
        <f>MEDIAN(H43:H65)</f>
        <v/>
      </c>
    </row>
  </sheetData>
  <conditionalFormatting sqref="H43:H65">
    <cfRule type="dataBar" priority="1">
      <dataBar>
        <cfvo type="num" val="0"/>
        <cfvo type="max"/>
        <color rgb="00B45309"/>
      </dataBar>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2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16" customWidth="1" min="3" max="3"/>
    <col width="26" customWidth="1" min="4" max="4"/>
    <col width="24" customWidth="1" min="5" max="5"/>
    <col width="38" customWidth="1" min="6" max="6"/>
    <col width="34" customWidth="1" min="7" max="7"/>
    <col width="44" customWidth="1" min="8" max="8"/>
    <col width="36" customWidth="1" min="9" max="9"/>
    <col width="16" customWidth="1" min="10" max="10"/>
  </cols>
  <sheetData>
    <row r="1">
      <c r="A1" s="1" t="inlineStr">
        <is>
          <t>Prioritised procurement actions</t>
        </is>
      </c>
    </row>
    <row r="2">
      <c r="A2" s="2" t="inlineStr">
        <is>
          <t>Each row cites its data origin. Synthetic rows illustrate the method; observed rows come from City of Austin data.</t>
        </is>
      </c>
    </row>
    <row r="4">
      <c r="A4" s="8" t="inlineStr">
        <is>
          <t>ID</t>
        </is>
      </c>
      <c r="B4" s="8" t="inlineStr">
        <is>
          <t>Priority</t>
        </is>
      </c>
      <c r="C4" s="8" t="inlineStr">
        <is>
          <t>Data origin</t>
        </is>
      </c>
      <c r="D4" s="8" t="inlineStr">
        <is>
          <t>Supplier or category</t>
        </is>
      </c>
      <c r="E4" s="8" t="inlineStr">
        <is>
          <t>Issue</t>
        </is>
      </c>
      <c r="F4" s="8" t="inlineStr">
        <is>
          <t>Supporting metric</t>
        </is>
      </c>
      <c r="G4" s="8" t="inlineStr">
        <is>
          <t>Business significance</t>
        </is>
      </c>
      <c r="H4" s="8" t="inlineStr">
        <is>
          <t>Recommended action</t>
        </is>
      </c>
      <c r="I4" s="8" t="inlineStr">
        <is>
          <t>Data limitation</t>
        </is>
      </c>
      <c r="J4" s="8" t="inlineStr">
        <is>
          <t>Exception IDs</t>
        </is>
      </c>
    </row>
    <row r="5">
      <c r="A5" s="4" t="inlineStr">
        <is>
          <t>A01</t>
        </is>
      </c>
      <c r="B5" s="4" t="inlineStr">
        <is>
          <t>High</t>
        </is>
      </c>
      <c r="C5" s="4" t="inlineStr">
        <is>
          <t>Observed - City of Austin</t>
        </is>
      </c>
      <c r="D5" s="4" t="inlineStr">
        <is>
          <t>405 Fuel, Oil, Grease and Lubricants</t>
        </is>
      </c>
      <c r="E5" s="4" t="inlineStr">
        <is>
          <t>Single-vendor concentration (exposure to review)</t>
        </is>
      </c>
      <c r="F5" s="4" t="inlineStr">
        <is>
          <t>Top vendor holds 92% of $86.5M FY2022-FY2026 spend (Top vendor: Pinnacle Petroleum Incorporated; 261 orders over 5 FY (recurring); 14 vendors in class)</t>
        </is>
      </c>
      <c r="G5" s="4" t="inlineStr">
        <is>
          <t>An exposure to investigate: if this vendor were disrupted or repriced, the purchasing record shows no other vendor supplying the category at scale.</t>
        </is>
      </c>
      <c r="H5" s="4" t="inlineStr">
        <is>
          <t>Review the award history and confirm whether a tested contingency source (secondary award or backup agreement) exists before the next renewal.</t>
        </is>
      </c>
      <c r="I5" s="4" t="inlineStr">
        <is>
          <t>Concentration is not evidence of a poor or unsuitable vendor and may result from a deliberate competitive award. Award values only: the data contains no delivery or quality records.</t>
        </is>
      </c>
      <c r="J5" s="4" t="inlineStr">
        <is>
          <t>R1-001</t>
        </is>
      </c>
    </row>
    <row r="6">
      <c r="A6" s="4" t="inlineStr">
        <is>
          <t>A02</t>
        </is>
      </c>
      <c r="B6" s="4" t="inlineStr">
        <is>
          <t>High</t>
        </is>
      </c>
      <c r="C6" s="4" t="inlineStr">
        <is>
          <t>Observed - City of Austin</t>
        </is>
      </c>
      <c r="D6" s="4" t="inlineStr">
        <is>
          <t>285 Electrical Equipment and Supplies (except Cable and Wire)</t>
        </is>
      </c>
      <c r="E6" s="4" t="inlineStr">
        <is>
          <t>Sharp year-over-year price increases</t>
        </is>
      </c>
      <c r="F6" s="4" t="inlineStr">
        <is>
          <t>21 comparable item(s) rose &gt;= 25% year over year; median increase 35%; $20.6M spent on them in the later year</t>
        </is>
      </c>
      <c r="G6" s="4" t="inlineStr">
        <is>
          <t>Budget exposure: identical items cost materially more from one year to the next.</t>
        </is>
      </c>
      <c r="H6" s="4" t="inlineStr">
        <is>
          <t>Benchmark against market price indices, use index-linked price-adjustment clauses with caps, and plan forward buys or multi-award agreements for long-lead items.</t>
        </is>
      </c>
      <c r="I6" s="4" t="inlineStr">
        <is>
          <t>Observed price increases may reflect industry-wide shortages (e.g. 2022-23 transformer market) rather than supplier behaviour; specification changes cannot be fully ruled out.</t>
        </is>
      </c>
      <c r="J6" s="4" t="inlineStr">
        <is>
          <t>R6-001, R6-002, R6-003, R6-004, R6-005 ...</t>
        </is>
      </c>
    </row>
    <row r="7">
      <c r="A7" s="4" t="inlineStr">
        <is>
          <t>A03</t>
        </is>
      </c>
      <c r="B7" s="4" t="inlineStr">
        <is>
          <t>High</t>
        </is>
      </c>
      <c r="C7" s="4" t="inlineStr">
        <is>
          <t>Synthetic demonstration</t>
        </is>
      </c>
      <c r="D7" s="4" t="inlineStr">
        <is>
          <t>SUP-01 (Synthetic Supplier 01)</t>
        </is>
      </c>
      <c r="E7" s="4" t="inlineStr">
        <is>
          <t>High-dependency supplier with poor, deteriorating delivery</t>
        </is>
      </c>
      <c r="F7" s="4" t="inlineStr">
        <is>
          <t>Score 44/100 (rank 10); OTIF 93% -&gt; 63%; 74% of category spend</t>
        </is>
      </c>
      <c r="G7" s="4" t="inlineStr">
        <is>
          <t>The largest supplier in its category missed OTIF on 37% of due lines in the last 12 months, so its delays reach many orders.</t>
        </is>
      </c>
      <c r="H7" s="4" t="inlineStr">
        <is>
          <t>Hold a formal performance review with a corrective action plan and a 95% OTIF target; qualify the alternative supplier for part of the volume. Modelled scenario: moving 30% of its ELEC volume to SUP-02 would avoid an estimated 36 late lines a year, if that supplier kept its current OTIF.</t>
        </is>
      </c>
      <c r="I7" s="4" t="inlineStr">
        <is>
          <t>Synthetic data: illustrates the method only. Assumes the alternative supplier can absorb volume at its current OTIF.</t>
        </is>
      </c>
      <c r="J7" s="4" t="inlineStr">
        <is>
          <t>S1-001, S2-001, S3-001, S8-001</t>
        </is>
      </c>
    </row>
    <row r="8">
      <c r="A8" s="4" t="inlineStr">
        <is>
          <t>A04</t>
        </is>
      </c>
      <c r="B8" s="4" t="inlineStr">
        <is>
          <t>High</t>
        </is>
      </c>
      <c r="C8" s="4" t="inlineStr">
        <is>
          <t>Synthetic demonstration</t>
        </is>
      </c>
      <c r="D8" s="4" t="inlineStr">
        <is>
          <t>SUP-04 (Synthetic Supplier 04)</t>
        </is>
      </c>
      <c r="E8" s="4" t="inlineStr">
        <is>
          <t>Chronically late supplier</t>
        </is>
      </c>
      <c r="F8" s="4" t="inlineStr">
        <is>
          <t>OTIF 57%; lead-time SD 20.3 days</t>
        </is>
      </c>
      <c r="G8" s="4" t="inlineStr">
        <is>
          <t>Late deliveries disrupt planned work and force expediting.</t>
        </is>
      </c>
      <c r="H8" s="4" t="inlineStr">
        <is>
          <t>Re-baseline quoted lead times against actual history, require advance shipping notice of delays, and shift volume toward better-performing approved suppliers if no improvement within one quarter.</t>
        </is>
      </c>
      <c r="I8" s="4" t="inlineStr">
        <is>
          <t>Synthetic data: illustrates the method only.</t>
        </is>
      </c>
      <c r="J8" s="4" t="inlineStr">
        <is>
          <t>S1-002</t>
        </is>
      </c>
    </row>
    <row r="9">
      <c r="A9" s="4" t="inlineStr">
        <is>
          <t>A05</t>
        </is>
      </c>
      <c r="B9" s="4" t="inlineStr">
        <is>
          <t>Medium</t>
        </is>
      </c>
      <c r="C9" s="4" t="inlineStr">
        <is>
          <t>Observed - City of Austin</t>
        </is>
      </c>
      <c r="D9" s="4" t="inlineStr">
        <is>
          <t>205 Monitors, Color and Monochrome, Environmentally Certified</t>
        </is>
      </c>
      <c r="E9" s="4" t="inlineStr">
        <is>
          <t>Single-vendor concentration (exposure to review)</t>
        </is>
      </c>
      <c r="F9" s="4" t="inlineStr">
        <is>
          <t>Top vendor holds 98% of $8.9M FY2022-FY2026 spend (Top vendor: DELL MARKETING LP; 961 orders over 5 FY (recurring); 10 vendors in class)</t>
        </is>
      </c>
      <c r="G9" s="4" t="inlineStr">
        <is>
          <t>An exposure to investigate: if this vendor were disrupted or repriced, the purchasing record shows no other vendor supplying the category at scale.</t>
        </is>
      </c>
      <c r="H9" s="4" t="inlineStr">
        <is>
          <t>Review the award history and confirm whether a tested contingency source (secondary award or backup agreement) exists before the next renewal.</t>
        </is>
      </c>
      <c r="I9" s="4" t="inlineStr">
        <is>
          <t>Concentration is not evidence of a poor or unsuitable vendor and may result from a deliberate competitive award. Award values only: the data contains no delivery or quality records.</t>
        </is>
      </c>
      <c r="J9" s="4" t="inlineStr">
        <is>
          <t>R1-003</t>
        </is>
      </c>
    </row>
    <row r="10">
      <c r="A10" s="4" t="inlineStr">
        <is>
          <t>A06</t>
        </is>
      </c>
      <c r="B10" s="4" t="inlineStr">
        <is>
          <t>Medium</t>
        </is>
      </c>
      <c r="C10" s="4" t="inlineStr">
        <is>
          <t>Observed - City of Austin</t>
        </is>
      </c>
      <c r="D10" s="4" t="inlineStr">
        <is>
          <t>615 Office Supplies, General</t>
        </is>
      </c>
      <c r="E10" s="4" t="inlineStr">
        <is>
          <t>Single-vendor concentration (exposure to review)</t>
        </is>
      </c>
      <c r="F10" s="4" t="inlineStr">
        <is>
          <t>Top vendor holds 100% of $5.6M FY2022-FY2026 spend (Top vendor: Summus Industries, Inc.; 38 orders over 5 FY (recurring); 9 vendors in class)</t>
        </is>
      </c>
      <c r="G10" s="4" t="inlineStr">
        <is>
          <t>An exposure to investigate: if this vendor were disrupted or repriced, the purchasing record shows no other vendor supplying the category at scale.</t>
        </is>
      </c>
      <c r="H10" s="4" t="inlineStr">
        <is>
          <t>Review the award history and confirm whether a tested contingency source (secondary award or backup agreement) exists before the next renewal.</t>
        </is>
      </c>
      <c r="I10" s="4" t="inlineStr">
        <is>
          <t>Concentration is not evidence of a poor or unsuitable vendor and may result from a deliberate competitive award. Award values only: the data contains no delivery or quality records.</t>
        </is>
      </c>
      <c r="J10" s="4" t="inlineStr">
        <is>
          <t>R1-004</t>
        </is>
      </c>
    </row>
    <row r="11">
      <c r="A11" s="4" t="inlineStr">
        <is>
          <t>A07</t>
        </is>
      </c>
      <c r="B11" s="4" t="inlineStr">
        <is>
          <t>Medium</t>
        </is>
      </c>
      <c r="C11" s="4" t="inlineStr">
        <is>
          <t>Observed - City of Austin</t>
        </is>
      </c>
      <c r="D11" s="4" t="inlineStr">
        <is>
          <t>325 Dog and Cat Food</t>
        </is>
      </c>
      <c r="E11" s="4" t="inlineStr">
        <is>
          <t>Single-vendor concentration (exposure to review)</t>
        </is>
      </c>
      <c r="F11" s="4" t="inlineStr">
        <is>
          <t>Top vendor holds 100% of $2.5M FY2022-FY2026 spend (Top vendor: Sageline Inc; 13 orders over 5 FY (recurring); 2 vendors in class)</t>
        </is>
      </c>
      <c r="G11" s="4" t="inlineStr">
        <is>
          <t>An exposure to investigate: if this vendor were disrupted or repriced, the purchasing record shows no other vendor supplying the category at scale.</t>
        </is>
      </c>
      <c r="H11" s="4" t="inlineStr">
        <is>
          <t>Review the award history and confirm whether a tested contingency source (secondary award or backup agreement) exists before the next renewal.</t>
        </is>
      </c>
      <c r="I11" s="4" t="inlineStr">
        <is>
          <t>Concentration is not evidence of a poor or unsuitable vendor and may result from a deliberate competitive award. Award values only: the data contains no delivery or quality records.</t>
        </is>
      </c>
      <c r="J11" s="4" t="inlineStr">
        <is>
          <t>R1-005</t>
        </is>
      </c>
    </row>
    <row r="12">
      <c r="A12" s="4" t="inlineStr">
        <is>
          <t>A08</t>
        </is>
      </c>
      <c r="B12" s="4" t="inlineStr">
        <is>
          <t>Medium</t>
        </is>
      </c>
      <c r="C12" s="4" t="inlineStr">
        <is>
          <t>Observed - City of Austin</t>
        </is>
      </c>
      <c r="D12" s="4" t="inlineStr">
        <is>
          <t>470 Hospital / Resident Special Equip for Handicapped / Disabled</t>
        </is>
      </c>
      <c r="E12" s="4" t="inlineStr">
        <is>
          <t>Single-vendor concentration (exposure to review)</t>
        </is>
      </c>
      <c r="F12" s="4" t="inlineStr">
        <is>
          <t>Top vendor holds 99% of $1.8M FY2022-FY2026 spend (Top vendor: Howmedica Osteonics Corp; 12 orders over 5 FY (recurring); 2 vendors in class)</t>
        </is>
      </c>
      <c r="G12" s="4" t="inlineStr">
        <is>
          <t>An exposure to investigate: if this vendor were disrupted or repriced, the purchasing record shows no other vendor supplying the category at scale.</t>
        </is>
      </c>
      <c r="H12" s="4" t="inlineStr">
        <is>
          <t>Review the award history and confirm whether a tested contingency source (secondary award or backup agreement) exists before the next renewal.</t>
        </is>
      </c>
      <c r="I12" s="4" t="inlineStr">
        <is>
          <t>Concentration is not evidence of a poor or unsuitable vendor and may result from a deliberate competitive award. Award values only: the data contains no delivery or quality records.</t>
        </is>
      </c>
      <c r="J12" s="4" t="inlineStr">
        <is>
          <t>R1-006</t>
        </is>
      </c>
    </row>
    <row r="13">
      <c r="A13" s="4" t="inlineStr">
        <is>
          <t>A09</t>
        </is>
      </c>
      <c r="B13" s="4" t="inlineStr">
        <is>
          <t>Medium</t>
        </is>
      </c>
      <c r="C13" s="4" t="inlineStr">
        <is>
          <t>Observed - City of Austin</t>
        </is>
      </c>
      <c r="D13" s="4" t="inlineStr">
        <is>
          <t>33 comparable item-years</t>
        </is>
      </c>
      <c r="E13" s="4" t="inlineStr">
        <is>
          <t>Same-item price dispersion within a fiscal year</t>
        </is>
      </c>
      <c r="F13" s="4" t="inlineStr">
        <is>
          <t>153 lines priced &gt;= 1.5x their item-year median; modelled excess $4.8M over FY2022-FY2026</t>
        </is>
      </c>
      <c r="G13" s="4" t="inlineStr">
        <is>
          <t>Paying different prices for the same item in the same year signals pricing that agreements could standardise.</t>
        </is>
      </c>
      <c r="H13" s="4" t="inlineStr">
        <is>
          <t>Review the largest flagged item-years with buyers; where differences are not explained by urgency, order size or specification, standardise pricing in the governing agreement.</t>
        </is>
      </c>
      <c r="I13" s="4" t="inlineStr">
        <is>
          <t>Covers only the 5% of spend that is like-for-like comparable. The excess is a modelled opportunity, not a realised saving.</t>
        </is>
      </c>
      <c r="J13" s="4" t="inlineStr">
        <is>
          <t>R5-001, R5-002, R5-003, R5-004, R5-005 ...</t>
        </is>
      </c>
    </row>
    <row r="14">
      <c r="A14" s="4" t="inlineStr">
        <is>
          <t>A10</t>
        </is>
      </c>
      <c r="B14" s="4" t="inlineStr">
        <is>
          <t>Medium</t>
        </is>
      </c>
      <c r="C14" s="4" t="inlineStr">
        <is>
          <t>Observed - City of Austin</t>
        </is>
      </c>
      <c r="D14" s="4" t="inlineStr">
        <is>
          <t>Largest highly concentrated categories</t>
        </is>
      </c>
      <c r="E14" s="4" t="inlineStr">
        <is>
          <t>Limited competition in high-spend categories</t>
        </is>
      </c>
      <c r="F14" s="4" t="inlineStr">
        <is>
          <t>46 categories have HHI &gt;= 2,500; largest three ($156.4M): 725 Radio Communication, Telephone, and Telec; 545 Impact Tools, Air Powered (not Road Build; 655 Photo Equip - Film and Supplies</t>
        </is>
      </c>
      <c r="G14" s="4" t="inlineStr">
        <is>
          <t>High concentration reduces negotiating leverage and resilience.</t>
        </is>
      </c>
      <c r="H14" s="4" t="inlineStr">
        <is>
          <t>At the next solicitation, test the market for additional qualified vendors or multiple awards where technically feasible (some categories, such as radio systems, may be locked to a platform).</t>
        </is>
      </c>
      <c r="I14" s="4" t="inlineStr">
        <is>
          <t>HHI is calculated on award value by vendor code; related companies with different codes are counted separately.</t>
        </is>
      </c>
      <c r="J14" s="4" t="inlineStr">
        <is>
          <t>R2-001, R2-002, R2-003</t>
        </is>
      </c>
    </row>
    <row r="15">
      <c r="A15" s="4" t="inlineStr">
        <is>
          <t>A11</t>
        </is>
      </c>
      <c r="B15" s="4" t="inlineStr">
        <is>
          <t>Medium</t>
        </is>
      </c>
      <c r="C15" s="4" t="inlineStr">
        <is>
          <t>Synthetic demonstration</t>
        </is>
      </c>
      <c r="D15" s="4" t="inlineStr">
        <is>
          <t>SUP-07 (Synthetic Supplier 07)</t>
        </is>
      </c>
      <c r="E15" s="4" t="inlineStr">
        <is>
          <t>Chronically late supplier</t>
        </is>
      </c>
      <c r="F15" s="4" t="inlineStr">
        <is>
          <t>OTIF 68%; lead-time SD 5.4 days</t>
        </is>
      </c>
      <c r="G15" s="4" t="inlineStr">
        <is>
          <t>Late deliveries disrupt planned work and force expediting.</t>
        </is>
      </c>
      <c r="H15" s="4" t="inlineStr">
        <is>
          <t>Re-baseline quoted lead times against actual history, require advance shipping notice of delays, and shift volume toward better-performing approved suppliers if no improvement within one quarter.</t>
        </is>
      </c>
      <c r="I15" s="4" t="inlineStr">
        <is>
          <t>Synthetic data: illustrates the method only.</t>
        </is>
      </c>
      <c r="J15" s="4" t="inlineStr">
        <is>
          <t>S1-003</t>
        </is>
      </c>
    </row>
    <row r="16">
      <c r="A16" s="4" t="inlineStr">
        <is>
          <t>A12</t>
        </is>
      </c>
      <c r="B16" s="4" t="inlineStr">
        <is>
          <t>Medium</t>
        </is>
      </c>
      <c r="C16" s="4" t="inlineStr">
        <is>
          <t>Synthetic demonstration</t>
        </is>
      </c>
      <c r="D16" s="4" t="inlineStr">
        <is>
          <t>SUP-07 (Synthetic Supplier 07)</t>
        </is>
      </c>
      <c r="E16" s="4" t="inlineStr">
        <is>
          <t>Recurring incomplete deliveries</t>
        </is>
      </c>
      <c r="F16" s="4" t="inlineStr">
        <is>
          <t>In-full rate: 84.9% (32 lines closed short)</t>
        </is>
      </c>
      <c r="G16" s="4" t="inlineStr">
        <is>
          <t>Short and split shipments leave work orders waiting for remaining quantities.</t>
        </is>
      </c>
      <c r="H16" s="4" t="inlineStr">
        <is>
          <t>Agree a minimum line fill-rate in the contract and require backorder notification at order acknowledgement.</t>
        </is>
      </c>
      <c r="I16" s="4" t="inlineStr">
        <is>
          <t>Synthetic data: illustrates the method only.</t>
        </is>
      </c>
      <c r="J16" s="4" t="inlineStr">
        <is>
          <t>S4-001</t>
        </is>
      </c>
    </row>
    <row r="17">
      <c r="A17" s="4" t="inlineStr">
        <is>
          <t>A13</t>
        </is>
      </c>
      <c r="B17" s="4" t="inlineStr">
        <is>
          <t>Medium</t>
        </is>
      </c>
      <c r="C17" s="4" t="inlineStr">
        <is>
          <t>Synthetic demonstration</t>
        </is>
      </c>
      <c r="D17" s="4" t="inlineStr">
        <is>
          <t>SUP-10 (Synthetic Supplier 10)</t>
        </is>
      </c>
      <c r="E17" s="4" t="inlineStr">
        <is>
          <t>Quality rejections</t>
        </is>
      </c>
      <c r="F17" s="4" t="inlineStr">
        <is>
          <t>Reject rate: 3.2% (785 of 24,286 units rejected)</t>
        </is>
      </c>
      <c r="G17" s="4" t="inlineStr">
        <is>
          <t>Rejected units create rework, returns and stock shortfalls.</t>
        </is>
      </c>
      <c r="H17" s="4" t="inlineStr">
        <is>
          <t>Issue a supplier corrective action request, increase incoming inspection until rejects fall below 2%.</t>
        </is>
      </c>
      <c r="I17" s="4" t="inlineStr">
        <is>
          <t>Synthetic data: illustrates the method only.</t>
        </is>
      </c>
      <c r="J17" s="4" t="inlineStr">
        <is>
          <t>S5-001</t>
        </is>
      </c>
    </row>
    <row r="18">
      <c r="A18" s="4" t="inlineStr">
        <is>
          <t>A14</t>
        </is>
      </c>
      <c r="B18" s="4" t="inlineStr">
        <is>
          <t>Medium</t>
        </is>
      </c>
      <c r="C18" s="4" t="inlineStr">
        <is>
          <t>Synthetic demonstration</t>
        </is>
      </c>
      <c r="D18" s="4" t="inlineStr">
        <is>
          <t>SUP-12 (Synthetic Supplier 12)</t>
        </is>
      </c>
      <c r="E18" s="4" t="inlineStr">
        <is>
          <t>Paid prices above contract</t>
        </is>
      </c>
      <c r="F18" s="4" t="inlineStr">
        <is>
          <t>PPV vs contract: 13.2% ($124,822 paid above contract price)</t>
        </is>
      </c>
      <c r="G18" s="4" t="inlineStr">
        <is>
          <t>Paying above contract price erodes negotiated savings.</t>
        </is>
      </c>
      <c r="H18" s="4" t="inlineStr">
        <is>
          <t>Audit invoices against contract prices and recover overcharges; enforce price-file controls in purchasing.</t>
        </is>
      </c>
      <c r="I18" s="4" t="inlineStr">
        <is>
          <t>Synthetic data: illustrates the method only.</t>
        </is>
      </c>
      <c r="J18" s="4" t="inlineStr">
        <is>
          <t>S6-001</t>
        </is>
      </c>
    </row>
    <row r="19">
      <c r="A19" s="4" t="inlineStr">
        <is>
          <t>A15</t>
        </is>
      </c>
      <c r="B19" s="4" t="inlineStr">
        <is>
          <t>Medium</t>
        </is>
      </c>
      <c r="C19" s="4" t="inlineStr">
        <is>
          <t>Synthetic demonstration</t>
        </is>
      </c>
      <c r="D19" s="4" t="inlineStr">
        <is>
          <t>8 overdue PO lines</t>
        </is>
      </c>
      <c r="E19" s="4" t="inlineStr">
        <is>
          <t>Overdue open purchase-order lines</t>
        </is>
      </c>
      <c r="F19" s="4" t="inlineStr">
        <is>
          <t>8 lines past promised date; oldest 122 days; $13,069 outstanding</t>
        </is>
      </c>
      <c r="G19" s="4" t="inlineStr">
        <is>
          <t>Open overdue lines are unplanned shortages for the requesting department.</t>
        </is>
      </c>
      <c r="H19" s="4" t="inlineStr">
        <is>
          <t>Expedite the oldest lines with suppliers, confirm new dates, and cancel lines that are no longer needed.</t>
        </is>
      </c>
      <c r="I19" s="4" t="inlineStr">
        <is>
          <t>Synthetic data: illustrates the method only.</t>
        </is>
      </c>
      <c r="J19" s="4" t="inlineStr">
        <is>
          <t>S7-001, S7-002, S7-003, S7-004, S7-005 ...</t>
        </is>
      </c>
    </row>
    <row r="20">
      <c r="A20" s="4" t="inlineStr">
        <is>
          <t>A16</t>
        </is>
      </c>
      <c r="B20" s="4" t="inlineStr">
        <is>
          <t>Low</t>
        </is>
      </c>
      <c r="C20" s="4" t="inlineStr">
        <is>
          <t>Observed - City of Austin</t>
        </is>
      </c>
      <c r="D20" s="4" t="inlineStr">
        <is>
          <t>570 Steel, Reinforcing, Bars and Rods</t>
        </is>
      </c>
      <c r="E20" s="4" t="inlineStr">
        <is>
          <t>Single-vendor concentration (exposure to review)</t>
        </is>
      </c>
      <c r="F20" s="4" t="inlineStr">
        <is>
          <t>Top vendor holds 91% of $21.0M FY2022-FY2026 spend (Top vendor: Posillico Civil, Inc; 1 order over 1 FY (few large orders); 19 vendors in class)</t>
        </is>
      </c>
      <c r="G20" s="4" t="inlineStr">
        <is>
          <t>Concentration comes from a few large orders, which suggests project or one-time buys rather than ongoing dependency.</t>
        </is>
      </c>
      <c r="H20" s="4" t="inlineStr">
        <is>
          <t>Verify the orders were one-time purchases; no supply-continuity action unless the demand recurs.</t>
        </is>
      </c>
      <c r="I20" s="4" t="inlineStr">
        <is>
          <t>Concentration is not evidence of a poor or unsuitable vendor and may result from a deliberate competitive award. Award values only: the data contains no delivery or quality records.</t>
        </is>
      </c>
      <c r="J20" s="4" t="inlineStr">
        <is>
          <t>R1-002</t>
        </is>
      </c>
    </row>
    <row r="21">
      <c r="A21" s="4" t="inlineStr">
        <is>
          <t>A17</t>
        </is>
      </c>
      <c r="B21" s="4" t="inlineStr">
        <is>
          <t>Low</t>
        </is>
      </c>
      <c r="C21" s="4" t="inlineStr">
        <is>
          <t>Observed - City of Austin</t>
        </is>
      </c>
      <c r="D21" s="4" t="inlineStr">
        <is>
          <t>Recurring standalone purchasing</t>
        </is>
      </c>
      <c r="E21" s="4" t="inlineStr">
        <is>
          <t>Repeated buying outside master agreements</t>
        </is>
      </c>
      <c r="F21" s="4" t="inlineStr">
        <is>
          <t>47 classes meet the rule; top three: 570 Steel, Reinforcing, Bars and Rods ($19.3M); 035 Baggage Handling Equipment and Parts ($7.3M); 206 Computer Hardware / Peripherals for  ($7.2M)</t>
        </is>
      </c>
      <c r="G21" s="4" t="inlineStr">
        <is>
          <t>Recurring one-off contracts and POs forgo the pricing and administrative efficiency of a term agreement.</t>
        </is>
      </c>
      <c r="H21" s="4" t="inlineStr">
        <is>
          <t>Assess whether recurring standalone demand in these classes can be aggregated into term agreements.</t>
        </is>
      </c>
      <c r="I21" s="4" t="inlineStr">
        <is>
          <t>Many standalone contracts are legitimate one-time purchases or construction-related; this is a screening list.</t>
        </is>
      </c>
      <c r="J21" s="4" t="inlineStr">
        <is>
          <t>R4-001, R4-002, R4-003</t>
        </is>
      </c>
    </row>
    <row r="22">
      <c r="A22" s="4" t="inlineStr">
        <is>
          <t>A18</t>
        </is>
      </c>
      <c r="B22" s="4" t="inlineStr">
        <is>
          <t>Low</t>
        </is>
      </c>
      <c r="C22" s="4" t="inlineStr">
        <is>
          <t>Observed - City of Austin</t>
        </is>
      </c>
      <c r="D22" s="4" t="inlineStr">
        <is>
          <t>SILSBEE FORD INC</t>
        </is>
      </c>
      <c r="E22" s="4" t="inlineStr">
        <is>
          <t>Vendor share of total spend</t>
        </is>
      </c>
      <c r="F22" s="4" t="inlineStr">
        <is>
          <t>5.1% of all FY2022-FY2026 spend ($85.1M)</t>
        </is>
      </c>
      <c r="G22" s="4" t="inlineStr">
        <is>
          <t>Largest single-vendor exposure across the whole portfolio.</t>
        </is>
      </c>
      <c r="H22" s="4" t="inlineStr">
        <is>
          <t>Monitor as part of supplier relationship management; no action indicated by share alone.</t>
        </is>
      </c>
      <c r="I22" s="4" t="inlineStr">
        <is>
          <t>Share alone is not a performance problem.</t>
        </is>
      </c>
      <c r="J22" s="4" t="inlineStr">
        <is>
          <t>R3-001</t>
        </is>
      </c>
    </row>
    <row r="23">
      <c r="A23" s="4" t="inlineStr">
        <is>
          <t>A19</t>
        </is>
      </c>
      <c r="B23" s="4" t="inlineStr">
        <is>
          <t>Low</t>
        </is>
      </c>
      <c r="C23" s="4" t="inlineStr">
        <is>
          <t>Synthetic demonstration</t>
        </is>
      </c>
      <c r="D23" s="4" t="inlineStr">
        <is>
          <t>SUP-09 (Synthetic Supplier 09)</t>
        </is>
      </c>
      <c r="E23" s="4" t="inlineStr">
        <is>
          <t>Good performer with high dependency</t>
        </is>
      </c>
      <c r="F23" s="4" t="inlineStr">
        <is>
          <t>Score 99/100; 100% of category spend; sole supplier</t>
        </is>
      </c>
      <c r="G23" s="4" t="inlineStr">
        <is>
          <t>Performance is good, but the category has little or no fallback if this supplier is disrupted.</t>
        </is>
      </c>
      <c r="H23" s="4" t="inlineStr">
        <is>
          <t>Protect the relationship; document a contingency source and review it annually rather than moving volume.</t>
        </is>
      </c>
      <c r="I23" s="4" t="inlineStr">
        <is>
          <t>Synthetic data: illustrates the method only.</t>
        </is>
      </c>
      <c r="J23" s="4" t="inlineStr">
        <is>
          <t>S8</t>
        </is>
      </c>
    </row>
    <row r="24">
      <c r="A24" s="4" t="inlineStr">
        <is>
          <t>A20</t>
        </is>
      </c>
      <c r="B24" s="4" t="inlineStr">
        <is>
          <t>Low</t>
        </is>
      </c>
      <c r="C24" s="4" t="inlineStr">
        <is>
          <t>Synthetic demonstration</t>
        </is>
      </c>
      <c r="D24" s="4" t="inlineStr">
        <is>
          <t>SUP-12 (Synthetic Supplier 12)</t>
        </is>
      </c>
      <c r="E24" s="4" t="inlineStr">
        <is>
          <t>Good performer with high dependency</t>
        </is>
      </c>
      <c r="F24" s="4" t="inlineStr">
        <is>
          <t>Score 80/100; 96% of category spend</t>
        </is>
      </c>
      <c r="G24" s="4" t="inlineStr">
        <is>
          <t>Performance is good, but the category has little or no fallback if this supplier is disrupted.</t>
        </is>
      </c>
      <c r="H24" s="4" t="inlineStr">
        <is>
          <t>Protect the relationship; document a contingency source and review it annually rather than moving volume.</t>
        </is>
      </c>
      <c r="I24" s="4" t="inlineStr">
        <is>
          <t>Synthetic data: illustrates the method only.</t>
        </is>
      </c>
      <c r="J24" s="4" t="inlineStr">
        <is>
          <t>S8</t>
        </is>
      </c>
    </row>
    <row r="26">
      <c r="A26" s="3" t="inlineStr">
        <is>
          <t>Count by priority (formulas):</t>
        </is>
      </c>
    </row>
    <row r="27">
      <c r="A27" t="inlineStr">
        <is>
          <t>High</t>
        </is>
      </c>
      <c r="B27">
        <f>COUNTIF(B5:B24,"High")</f>
        <v/>
      </c>
    </row>
    <row r="28">
      <c r="A28" t="inlineStr">
        <is>
          <t>Medium</t>
        </is>
      </c>
      <c r="B28">
        <f>COUNTIF(B5:B24,"Medium")</f>
        <v/>
      </c>
    </row>
    <row r="29">
      <c r="A29" t="inlineStr">
        <is>
          <t>Low</t>
        </is>
      </c>
      <c r="B29">
        <f>COUNTIF(B5:B24,"Low")</f>
        <v/>
      </c>
    </row>
  </sheetData>
  <conditionalFormatting sqref="B5:B24">
    <cfRule type="cellIs" priority="1" operator="equal" dxfId="3">
      <formula>"High"</formula>
    </cfRule>
    <cfRule type="cellIs" priority="2" operator="equal" dxfId="1">
      <formula>"Medium"</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46"/>
  <sheetViews>
    <sheetView showGridLines="0" workbookViewId="0">
      <selection activeCell="A1" sqref="A1"/>
    </sheetView>
  </sheetViews>
  <sheetFormatPr baseColWidth="8" defaultRowHeight="15"/>
  <cols>
    <col width="22" customWidth="1" min="1" max="1"/>
    <col width="26" customWidth="1" min="2" max="2"/>
    <col width="8" customWidth="1" min="3" max="3"/>
    <col width="100" customWidth="1" min="4" max="4"/>
  </cols>
  <sheetData>
    <row r="1">
      <c r="A1" s="1" t="inlineStr">
        <is>
          <t>Data dictionary</t>
        </is>
      </c>
    </row>
    <row r="2">
      <c r="A2" s="2" t="inlineStr">
        <is>
          <t>Fields used in this workbook and the SQL database. Origin: O = observed City of Austin, S = synthetic, D = derived.</t>
        </is>
      </c>
    </row>
    <row r="4">
      <c r="A4" s="8" t="inlineStr">
        <is>
          <t>Table / sheet</t>
        </is>
      </c>
      <c r="B4" s="8" t="inlineStr">
        <is>
          <t>Field</t>
        </is>
      </c>
      <c r="C4" s="8" t="inlineStr">
        <is>
          <t>Origin</t>
        </is>
      </c>
      <c r="D4" s="8" t="inlineStr">
        <is>
          <t>Definition</t>
        </is>
      </c>
    </row>
    <row r="5">
      <c r="A5" s="4" t="inlineStr">
        <is>
          <t>obs_po_line</t>
        </is>
      </c>
      <c r="B5" s="4" t="inlineStr">
        <is>
          <t>line_id</t>
        </is>
      </c>
      <c r="C5" s="4" t="inlineStr">
        <is>
          <t>D</t>
        </is>
      </c>
      <c r="D5" s="4" t="inlineStr">
        <is>
          <t>Sequential ID assigned after validation (one row per validated source line).</t>
        </is>
      </c>
    </row>
    <row r="6">
      <c r="A6" s="4" t="inlineStr">
        <is>
          <t>obs_po_line</t>
        </is>
      </c>
      <c r="B6" s="4" t="inlineStr">
        <is>
          <t>source_row</t>
        </is>
      </c>
      <c r="C6" s="4" t="inlineStr">
        <is>
          <t>O</t>
        </is>
      </c>
      <c r="D6" s="4" t="inlineStr">
        <is>
          <t>Row number in the downloaded source file, for audit back to the source.</t>
        </is>
      </c>
    </row>
    <row r="7">
      <c r="A7" s="4" t="inlineStr">
        <is>
          <t>obs_po_line</t>
        </is>
      </c>
      <c r="B7" s="4" t="inlineStr">
        <is>
          <t>purchase_order</t>
        </is>
      </c>
      <c r="C7" s="4" t="inlineStr">
        <is>
          <t>O</t>
        </is>
      </c>
      <c r="D7" s="4" t="inlineStr">
        <is>
          <t>City purchase-order number (PURCHASE_ORDER). Prefix DO = delivery order against a master agreement; CT = contract-type order; PO = standalone purchase order.</t>
        </is>
      </c>
    </row>
    <row r="8">
      <c r="A8" s="4" t="inlineStr">
        <is>
          <t>obs_po_line</t>
        </is>
      </c>
      <c r="B8" s="4" t="inlineStr">
        <is>
          <t>award_date</t>
        </is>
      </c>
      <c r="C8" s="4" t="inlineStr">
        <is>
          <t>O</t>
        </is>
      </c>
      <c r="D8" s="4" t="inlineStr">
        <is>
          <t>Award date of the purchase order (AWARD_DATE). Not a delivery or receipt date.</t>
        </is>
      </c>
    </row>
    <row r="9">
      <c r="A9" s="4" t="inlineStr">
        <is>
          <t>obs_po_line</t>
        </is>
      </c>
      <c r="B9" s="4" t="inlineStr">
        <is>
          <t>fiscal_year</t>
        </is>
      </c>
      <c r="C9" s="4" t="inlineStr">
        <is>
          <t>D</t>
        </is>
      </c>
      <c r="D9" s="4" t="inlineStr">
        <is>
          <t>City of Austin fiscal year (1 Oct - 30 Sep), e.g. FY2026 = Oct 2025 - Sep 2026.</t>
        </is>
      </c>
    </row>
    <row r="10">
      <c r="A10" s="4" t="inlineStr">
        <is>
          <t>obs_po_line</t>
        </is>
      </c>
      <c r="B10" s="4" t="inlineStr">
        <is>
          <t>vendor_code</t>
        </is>
      </c>
      <c r="C10" s="4" t="inlineStr">
        <is>
          <t>D</t>
        </is>
      </c>
      <c r="D10" s="4" t="inlineStr">
        <is>
          <t>Pseudonymous vendor ID: 'V' + first 10 hex characters of SHA-256 of the City vendor code. The vendor key.</t>
        </is>
      </c>
    </row>
    <row r="11">
      <c r="A11" s="4" t="inlineStr">
        <is>
          <t>obs_vendor</t>
        </is>
      </c>
      <c r="B11" s="4" t="inlineStr">
        <is>
          <t>vendor_name</t>
        </is>
      </c>
      <c r="C11" s="4" t="inlineStr">
        <is>
          <t>D</t>
        </is>
      </c>
      <c r="D11" s="4" t="inlineStr">
        <is>
          <t>Business name from the reviewed list (config/reviewed_vendor_names.csv); otherwise 'Vendor &lt;ID&gt;' (name not published).</t>
        </is>
      </c>
    </row>
    <row r="12">
      <c r="A12" s="4" t="inlineStr">
        <is>
          <t>obs_po_line</t>
        </is>
      </c>
      <c r="B12" s="4" t="inlineStr">
        <is>
          <t>commodity_code</t>
        </is>
      </c>
      <c r="C12" s="4" t="inlineStr">
        <is>
          <t>O</t>
        </is>
      </c>
      <c r="D12" s="4" t="inlineStr">
        <is>
          <t>NIGP / COA commodity code (COMMODITY). 11-digit codes identify specific inventory items.</t>
        </is>
      </c>
    </row>
    <row r="13">
      <c r="A13" s="4" t="inlineStr">
        <is>
          <t>obs_po_line</t>
        </is>
      </c>
      <c r="B13" s="4" t="inlineStr">
        <is>
          <t>nigp_class</t>
        </is>
      </c>
      <c r="C13" s="4" t="inlineStr">
        <is>
          <t>D</t>
        </is>
      </c>
      <c r="D13" s="4" t="inlineStr">
        <is>
          <t>First three digits of the commodity code (NIGP class).</t>
        </is>
      </c>
    </row>
    <row r="14">
      <c r="A14" s="4" t="inlineStr">
        <is>
          <t>obs_category</t>
        </is>
      </c>
      <c r="B14" s="4" t="inlineStr">
        <is>
          <t>class_label</t>
        </is>
      </c>
      <c r="C14" s="4" t="inlineStr">
        <is>
          <t>D</t>
        </is>
      </c>
      <c r="D14" s="4" t="inlineStr">
        <is>
          <t>Class title from the source's own 3-digit rows, or the most common item description in the class.</t>
        </is>
      </c>
    </row>
    <row r="15">
      <c r="A15" s="4" t="inlineStr">
        <is>
          <t>obs_category</t>
        </is>
      </c>
      <c r="B15" s="4" t="inlineStr">
        <is>
          <t>spend_family</t>
        </is>
      </c>
      <c r="C15" s="4" t="inlineStr">
        <is>
          <t>D</t>
        </is>
      </c>
      <c r="D15" s="4" t="inlineStr">
        <is>
          <t>Analyst grouping of NIGP classes (config/category_families.toml).</t>
        </is>
      </c>
    </row>
    <row r="16">
      <c r="A16" s="4" t="inlineStr">
        <is>
          <t>obs_po_line</t>
        </is>
      </c>
      <c r="B16" s="4" t="inlineStr">
        <is>
          <t>item_text_key</t>
        </is>
      </c>
      <c r="C16" s="4" t="inlineStr">
        <is>
          <t>D</t>
        </is>
      </c>
      <c r="D16" s="4" t="inlineStr">
        <is>
          <t>SHA-256 of the normalised item text, present only when that text is on the reviewed product list; empty otherwise.</t>
        </is>
      </c>
    </row>
    <row r="17">
      <c r="A17" s="4" t="inlineStr">
        <is>
          <t>obs_po_line</t>
        </is>
      </c>
      <c r="B17" s="4" t="inlineStr">
        <is>
          <t>item_description</t>
        </is>
      </c>
      <c r="C17" s="4" t="inlineStr">
        <is>
          <t>D</t>
        </is>
      </c>
      <c r="D17" s="4" t="inlineStr">
        <is>
          <t>Reviewer-cleaned public label for a reviewed product specification; empty for all other lines.</t>
        </is>
      </c>
    </row>
    <row r="18">
      <c r="A18" s="4" t="inlineStr">
        <is>
          <t>obs_po_line</t>
        </is>
      </c>
      <c r="B18" s="4" t="inlineStr">
        <is>
          <t>item_specific</t>
        </is>
      </c>
      <c r="C18" s="4" t="inlineStr">
        <is>
          <t>D</t>
        </is>
      </c>
      <c r="D18" s="4" t="inlineStr">
        <is>
          <t>True when the line's item text is on the reviewed product list; required for price comparison.</t>
        </is>
      </c>
    </row>
    <row r="19">
      <c r="A19" s="4" t="inlineStr">
        <is>
          <t>obs_po_line</t>
        </is>
      </c>
      <c r="B19" s="4" t="inlineStr">
        <is>
          <t>uom</t>
        </is>
      </c>
      <c r="C19" s="4" t="inlineStr">
        <is>
          <t>O</t>
        </is>
      </c>
      <c r="D19" s="4" t="inlineStr">
        <is>
          <t>Unit of measure (UNIT_OF_MEASURE), normalised. Blank on amount-only lines.</t>
        </is>
      </c>
    </row>
    <row r="20">
      <c r="A20" s="4" t="inlineStr">
        <is>
          <t>obs_po_line</t>
        </is>
      </c>
      <c r="B20" s="4" t="inlineStr">
        <is>
          <t>quantity / unit_price</t>
        </is>
      </c>
      <c r="C20" s="4" t="inlineStr">
        <is>
          <t>O</t>
        </is>
      </c>
      <c r="D20" s="4" t="inlineStr">
        <is>
          <t>Ordered quantity and unit price. Both zero on amount-only lines.</t>
        </is>
      </c>
    </row>
    <row r="21">
      <c r="A21" s="4" t="inlineStr">
        <is>
          <t>obs_po_line</t>
        </is>
      </c>
      <c r="B21" s="4" t="inlineStr">
        <is>
          <t>line_amount</t>
        </is>
      </c>
      <c r="C21" s="4" t="inlineStr">
        <is>
          <t>O</t>
        </is>
      </c>
      <c r="D21" s="4" t="inlineStr">
        <is>
          <t>Line total in USD (ITM_TOT_AM): awarded value, used as 'spend'. Not an invoice or payment.</t>
        </is>
      </c>
    </row>
    <row r="22">
      <c r="A22" s="4" t="inlineStr">
        <is>
          <t>obs_po_line</t>
        </is>
      </c>
      <c r="B22" s="4" t="inlineStr">
        <is>
          <t>line_type</t>
        </is>
      </c>
      <c r="C22" s="4" t="inlineStr">
        <is>
          <t>D</t>
        </is>
      </c>
      <c r="D22" s="4" t="inlineStr">
        <is>
          <t>unit_priced (qty x price reconciles to amount), amount_only (no qty/price) or inconsistent.</t>
        </is>
      </c>
    </row>
    <row r="23">
      <c r="A23" s="4" t="inlineStr">
        <is>
          <t>obs_po_line</t>
        </is>
      </c>
      <c r="B23" s="4" t="inlineStr">
        <is>
          <t>has_master_agreement</t>
        </is>
      </c>
      <c r="C23" s="4" t="inlineStr">
        <is>
          <t>D</t>
        </is>
      </c>
      <c r="D23" s="4" t="inlineStr">
        <is>
          <t>True when the source line references a master agreement (all DO orders; no CT or PO orders). The agreement number itself is not published.</t>
        </is>
      </c>
    </row>
    <row r="24">
      <c r="A24" s="4" t="inlineStr">
        <is>
          <t>obs_po_line</t>
        </is>
      </c>
      <c r="B24" s="4" t="inlineStr">
        <is>
          <t>possible_duplicate</t>
        </is>
      </c>
      <c r="C24" s="4" t="inlineStr">
        <is>
          <t>D</t>
        </is>
      </c>
      <c r="D24" s="4" t="inlineStr">
        <is>
          <t>True for the 2nd+ copy of a row identical on all 21 source columns (detected before columns were dropped; flagged, not removed).</t>
        </is>
      </c>
    </row>
    <row r="25">
      <c r="A25" s="4" t="inlineStr">
        <is>
          <t>obs_po_line</t>
        </is>
      </c>
      <c r="B25" s="4" t="inlineStr">
        <is>
          <t>po_suffix_revision</t>
        </is>
      </c>
      <c r="C25" s="4" t="inlineStr">
        <is>
          <t>D</t>
        </is>
      </c>
      <c r="D25" s="4" t="inlineStr">
        <is>
          <t>PO number ends in letters and its base number also exists (possible follow-on order; retained).</t>
        </is>
      </c>
    </row>
    <row r="26">
      <c r="A26" s="4" t="inlineStr">
        <is>
          <t>syn_po_line</t>
        </is>
      </c>
      <c r="B26" s="4" t="inlineStr">
        <is>
          <t>promised_date</t>
        </is>
      </c>
      <c r="C26" s="4" t="inlineStr">
        <is>
          <t>S</t>
        </is>
      </c>
      <c r="D26" s="4" t="inlineStr">
        <is>
          <t>Supplier-committed delivery date for the line (order date + quoted lead time).</t>
        </is>
      </c>
    </row>
    <row r="27">
      <c r="A27" s="4" t="inlineStr">
        <is>
          <t>syn_po_line</t>
        </is>
      </c>
      <c r="B27" s="4" t="inlineStr">
        <is>
          <t>cancelled</t>
        </is>
      </c>
      <c r="C27" s="4" t="inlineStr">
        <is>
          <t>S</t>
        </is>
      </c>
      <c r="D27" s="4" t="inlineStr">
        <is>
          <t>Line cancelled before any receipt; excluded from delivery, quality and spend metrics.</t>
        </is>
      </c>
    </row>
    <row r="28">
      <c r="A28" s="4" t="inlineStr">
        <is>
          <t>syn_po_line</t>
        </is>
      </c>
      <c r="B28" s="4" t="inlineStr">
        <is>
          <t>short_closed</t>
        </is>
      </c>
      <c r="C28" s="4" t="inlineStr">
        <is>
          <t>S</t>
        </is>
      </c>
      <c r="D28" s="4" t="inlineStr">
        <is>
          <t>Line closed by the buyer with less than the ordered quantity received.</t>
        </is>
      </c>
    </row>
    <row r="29">
      <c r="A29" s="4" t="inlineStr">
        <is>
          <t>syn_goods_receipt</t>
        </is>
      </c>
      <c r="B29" s="4" t="inlineStr">
        <is>
          <t>received_qty / rejected_qty</t>
        </is>
      </c>
      <c r="C29" s="4" t="inlineStr">
        <is>
          <t>S</t>
        </is>
      </c>
      <c r="D29" s="4" t="inlineStr">
        <is>
          <t>Quantity received on a goods receipt and the quantity rejected at inspection.</t>
        </is>
      </c>
    </row>
    <row r="30">
      <c r="A30" s="4" t="inlineStr">
        <is>
          <t>Syn_Lines</t>
        </is>
      </c>
      <c r="B30" s="4" t="inlineStr">
        <is>
          <t>due</t>
        </is>
      </c>
      <c r="C30" s="4" t="inlineStr">
        <is>
          <t>D</t>
        </is>
      </c>
      <c r="D30" s="4" t="inlineStr">
        <is>
          <t>1 if not cancelled and promised on/before the as-of date. Only due lines enter delivery rates.</t>
        </is>
      </c>
    </row>
    <row r="31">
      <c r="A31" s="4" t="inlineStr">
        <is>
          <t>Syn_Lines</t>
        </is>
      </c>
      <c r="B31" s="4" t="inlineStr">
        <is>
          <t>on_time</t>
        </is>
      </c>
      <c r="C31" s="4" t="inlineStr">
        <is>
          <t>D</t>
        </is>
      </c>
      <c r="D31" s="4" t="inlineStr">
        <is>
          <t>1 if a due line had a receipt on/before promised date + grace days.</t>
        </is>
      </c>
    </row>
    <row r="32">
      <c r="A32" s="4" t="inlineStr">
        <is>
          <t>Syn_Lines</t>
        </is>
      </c>
      <c r="B32" s="4" t="inlineStr">
        <is>
          <t>in_full</t>
        </is>
      </c>
      <c r="C32" s="4" t="inlineStr">
        <is>
          <t>D</t>
        </is>
      </c>
      <c r="D32" s="4" t="inlineStr">
        <is>
          <t>1 if a due line's total received quantity reached the ordered quantity (less tolerance).</t>
        </is>
      </c>
    </row>
    <row r="33">
      <c r="A33" s="4" t="inlineStr">
        <is>
          <t>Syn_Lines</t>
        </is>
      </c>
      <c r="B33" s="4" t="inlineStr">
        <is>
          <t>otif</t>
        </is>
      </c>
      <c r="C33" s="4" t="inlineStr">
        <is>
          <t>D</t>
        </is>
      </c>
      <c r="D33" s="4" t="inlineStr">
        <is>
          <t>1 if the quantity received by the promised date + grace reached the ordered quantity. Unreceived due lines are 0.</t>
        </is>
      </c>
    </row>
    <row r="34">
      <c r="A34" s="4" t="inlineStr">
        <is>
          <t>Syn_Lines</t>
        </is>
      </c>
      <c r="B34" s="4" t="inlineStr">
        <is>
          <t>qty_by_promise</t>
        </is>
      </c>
      <c r="C34" s="4" t="inlineStr">
        <is>
          <t>D</t>
        </is>
      </c>
      <c r="D34" s="4" t="inlineStr">
        <is>
          <t>Quantity received on or before promised date + grace.</t>
        </is>
      </c>
    </row>
    <row r="35">
      <c r="A35" s="4" t="inlineStr">
        <is>
          <t>Syn_Lines</t>
        </is>
      </c>
      <c r="B35" s="4" t="inlineStr">
        <is>
          <t>completion_date</t>
        </is>
      </c>
      <c r="C35" s="4" t="inlineStr">
        <is>
          <t>D</t>
        </is>
      </c>
      <c r="D35" s="4" t="inlineStr">
        <is>
          <t>Receipt date when cumulative quantity first reached the ordered quantity; blank if never.</t>
        </is>
      </c>
    </row>
    <row r="36">
      <c r="A36" s="4" t="inlineStr">
        <is>
          <t>Syn_Lines</t>
        </is>
      </c>
      <c r="B36" s="4" t="inlineStr">
        <is>
          <t>days_late</t>
        </is>
      </c>
      <c r="C36" s="4" t="inlineStr">
        <is>
          <t>D</t>
        </is>
      </c>
      <c r="D36" s="4" t="inlineStr">
        <is>
          <t>Completed: completion - promised; short-closed: last receipt - promised; open: as-of - promised; floored at 0; due lines only.</t>
        </is>
      </c>
    </row>
    <row r="37">
      <c r="A37" s="4" t="inlineStr">
        <is>
          <t>Syn_Lines</t>
        </is>
      </c>
      <c r="B37" s="4" t="inlineStr">
        <is>
          <t>lead_time_days</t>
        </is>
      </c>
      <c r="C37" s="4" t="inlineStr">
        <is>
          <t>D</t>
        </is>
      </c>
      <c r="D37" s="4" t="inlineStr">
        <is>
          <t>Order date to completion date, completed lines only.</t>
        </is>
      </c>
    </row>
    <row r="38">
      <c r="A38" s="4" t="inlineStr">
        <is>
          <t>Syn_Lines</t>
        </is>
      </c>
      <c r="B38" s="4" t="inlineStr">
        <is>
          <t>open / overdue</t>
        </is>
      </c>
      <c r="C38" s="4" t="inlineStr">
        <is>
          <t>D</t>
        </is>
      </c>
      <c r="D38" s="4" t="inlineStr">
        <is>
          <t>Open = not cancelled, not short-closed, not complete. Overdue = open and promised before the as-of date.</t>
        </is>
      </c>
    </row>
    <row r="39">
      <c r="A39" s="4" t="inlineStr">
        <is>
          <t>Syn_Lines</t>
        </is>
      </c>
      <c r="B39" s="4" t="inlineStr">
        <is>
          <t>due_period</t>
        </is>
      </c>
      <c r="C39" s="4" t="inlineStr">
        <is>
          <t>D</t>
        </is>
      </c>
      <c r="D39" s="4" t="inlineStr">
        <is>
          <t>prior_12m or last_12m relative to the as-of date, by promised date.</t>
        </is>
      </c>
    </row>
    <row r="40">
      <c r="A40" s="4" t="inlineStr">
        <is>
          <t>Supplier_Summary</t>
        </is>
      </c>
      <c r="B40" s="4" t="inlineStr">
        <is>
          <t>reject_rate</t>
        </is>
      </c>
      <c r="C40" s="4" t="inlineStr">
        <is>
          <t>D</t>
        </is>
      </c>
      <c r="D40" s="4" t="inlineStr">
        <is>
          <t>Rejected quantity / received quantity (non-cancelled lines).</t>
        </is>
      </c>
    </row>
    <row r="41">
      <c r="A41" s="4" t="inlineStr">
        <is>
          <t>Supplier_Summary</t>
        </is>
      </c>
      <c r="B41" s="4" t="inlineStr">
        <is>
          <t>ppv_pct</t>
        </is>
      </c>
      <c r="C41" s="4" t="inlineStr">
        <is>
          <t>D</t>
        </is>
      </c>
      <c r="D41" s="4" t="inlineStr">
        <is>
          <t>Ordered value at paid prices / ordered value at contract (standard) prices - 1.</t>
        </is>
      </c>
    </row>
    <row r="42">
      <c r="A42" s="4" t="inlineStr">
        <is>
          <t>Scorecard</t>
        </is>
      </c>
      <c r="B42" s="4" t="inlineStr">
        <is>
          <t>performance_score</t>
        </is>
      </c>
      <c r="C42" s="4" t="inlineStr">
        <is>
          <t>D</t>
        </is>
      </c>
      <c r="D42" s="4" t="inlineStr">
        <is>
          <t>Weighted average of 0-100 component scores (OTIF 40%, quality 25%, lead-time consistency 20%, lateness 15%), re-weighted when a component is missing.</t>
        </is>
      </c>
    </row>
    <row r="43">
      <c r="A43" s="4" t="inlineStr">
        <is>
          <t>Scorecard</t>
        </is>
      </c>
      <c r="B43" s="4" t="inlineStr">
        <is>
          <t>evidence_status</t>
        </is>
      </c>
      <c r="C43" s="4" t="inlineStr">
        <is>
          <t>D</t>
        </is>
      </c>
      <c r="D43" s="4" t="inlineStr">
        <is>
          <t>Ranked (&gt;= 30 due lines), Provisional (10-29) or Insufficient evidence (&lt; 10, not scored).</t>
        </is>
      </c>
    </row>
    <row r="44">
      <c r="A44" s="4" t="inlineStr">
        <is>
          <t>Dependency</t>
        </is>
      </c>
      <c r="B44" s="4" t="inlineStr">
        <is>
          <t>dependency_risk</t>
        </is>
      </c>
      <c r="C44" s="4" t="inlineStr">
        <is>
          <t>D</t>
        </is>
      </c>
      <c r="D44" s="4" t="inlineStr">
        <is>
          <t>High: sole supplier in category, &gt;= 60% of category spend, or &gt;= 15% of total; Medium: &gt;= 35% / &gt;= 8%; else Low.</t>
        </is>
      </c>
    </row>
    <row r="45">
      <c r="A45" s="4" t="inlineStr">
        <is>
          <t>Austin_Categories</t>
        </is>
      </c>
      <c r="B45" s="4" t="inlineStr">
        <is>
          <t>HHI</t>
        </is>
      </c>
      <c r="C45" s="4" t="inlineStr">
        <is>
          <t>D</t>
        </is>
      </c>
      <c r="D45" s="4" t="inlineStr">
        <is>
          <t>Herfindahl-Hirschman Index of vendor shares in the class (0-10,000); &gt;= 2,500 = highly concentrated.</t>
        </is>
      </c>
    </row>
    <row r="46">
      <c r="A46" s="4" t="inlineStr">
        <is>
          <t>Austin_Prices</t>
        </is>
      </c>
      <c r="B46" s="4" t="inlineStr">
        <is>
          <t>item-year median</t>
        </is>
      </c>
      <c r="C46" s="4" t="inlineStr">
        <is>
          <t>D</t>
        </is>
      </c>
      <c r="D46" s="4" t="inlineStr">
        <is>
          <t>Median unit price of the same commodity code + unit + description in the same fiscal year (&gt;= 4 purchases).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61"/>
  <sheetViews>
    <sheetView showGridLines="0" workbookViewId="0">
      <selection activeCell="A1" sqref="A1"/>
    </sheetView>
  </sheetViews>
  <sheetFormatPr baseColWidth="8" defaultRowHeight="15"/>
  <cols>
    <col width="52" customWidth="1" min="1" max="1"/>
    <col width="18" customWidth="1" min="2" max="2"/>
    <col width="18" customWidth="1" min="3" max="3"/>
    <col width="14" customWidth="1" min="4" max="4"/>
    <col width="10" customWidth="1" min="5" max="5"/>
  </cols>
  <sheetData>
    <row r="1">
      <c r="A1" s="1" t="inlineStr">
        <is>
          <t>Excel vs Python reconciliation</t>
        </is>
      </c>
    </row>
    <row r="2">
      <c r="A2" s="2" t="inlineStr">
        <is>
          <t>Python values are fixed at export; Excel values are live formulas. The test suite recalculates this sheet independently.</t>
        </is>
      </c>
    </row>
    <row r="4">
      <c r="A4" s="8" t="inlineStr">
        <is>
          <t>Check</t>
        </is>
      </c>
      <c r="B4" s="16" t="inlineStr">
        <is>
          <t>Excel (formula)</t>
        </is>
      </c>
      <c r="C4" s="8" t="inlineStr">
        <is>
          <t>Python pipeline</t>
        </is>
      </c>
      <c r="D4" s="16" t="inlineStr">
        <is>
          <t>Difference</t>
        </is>
      </c>
      <c r="E4" s="16" t="inlineStr">
        <is>
          <t>Result</t>
        </is>
      </c>
    </row>
    <row r="5">
      <c r="A5" t="inlineStr">
        <is>
          <t>Synthetic: overall OTIF rate</t>
        </is>
      </c>
      <c r="B5" s="35">
        <f>Supplier_Summary!D19</f>
        <v/>
      </c>
      <c r="C5" s="35" t="n">
        <v>0.8589301121656601</v>
      </c>
      <c r="D5" s="36">
        <f>ABS(B5-C5)</f>
        <v/>
      </c>
      <c r="E5">
        <f>IF(D5&lt;=MAX(0.0005,ABS(C5)*0.000001),"MATCH","CHECK")</f>
        <v/>
      </c>
    </row>
    <row r="6">
      <c r="A6" t="inlineStr">
        <is>
          <t>Synthetic: total spend</t>
        </is>
      </c>
      <c r="B6" s="35">
        <f>Supplier_Summary!O19</f>
        <v/>
      </c>
      <c r="C6" s="35" t="n">
        <v>9170894.289999999</v>
      </c>
      <c r="D6" s="36">
        <f>ABS(B6-C6)</f>
        <v/>
      </c>
      <c r="E6">
        <f>IF(D6&lt;=MAX(0.0005,ABS(C6)*0.000001),"MATCH","CHECK")</f>
        <v/>
      </c>
    </row>
    <row r="7">
      <c r="A7" t="inlineStr">
        <is>
          <t>Synthetic: overdue lines</t>
        </is>
      </c>
      <c r="B7" s="35">
        <f>Exceptions!$C$22</f>
        <v/>
      </c>
      <c r="C7" s="35" t="n">
        <v>8</v>
      </c>
      <c r="D7" s="36">
        <f>ABS(B7-C7)</f>
        <v/>
      </c>
      <c r="E7">
        <f>IF(D7&lt;=MAX(0.0005,ABS(C7)*0.000001),"MATCH","CHECK")</f>
        <v/>
      </c>
    </row>
    <row r="8">
      <c r="A8" t="inlineStr">
        <is>
          <t>Synthetic: reject rate</t>
        </is>
      </c>
      <c r="B8" s="35">
        <f>Supplier_Summary!N19</f>
        <v/>
      </c>
      <c r="C8" s="35" t="n">
        <v>0.004895955956314847</v>
      </c>
      <c r="D8" s="36">
        <f>ABS(B8-C8)</f>
        <v/>
      </c>
      <c r="E8">
        <f>IF(D8&lt;=MAX(0.0005,ABS(C8)*0.000001),"MATCH","CHECK")</f>
        <v/>
      </c>
    </row>
    <row r="9">
      <c r="A9" t="inlineStr">
        <is>
          <t>Score SUP-01</t>
        </is>
      </c>
      <c r="B9" s="35">
        <f>IF(Scorecard!N5="",-1,Scorecard!N5)</f>
        <v/>
      </c>
      <c r="C9" s="35" t="n">
        <v>44.3</v>
      </c>
      <c r="D9" s="36">
        <f>ABS(B9-C9)</f>
        <v/>
      </c>
      <c r="E9">
        <f>IF(D9&lt;=MAX(0.0005,ABS(C9)*0.000001),"MATCH","CHECK")</f>
        <v/>
      </c>
    </row>
    <row r="10">
      <c r="A10" t="inlineStr">
        <is>
          <t>Score SUP-02</t>
        </is>
      </c>
      <c r="B10" s="35">
        <f>IF(Scorecard!N6="",-1,Scorecard!N6)</f>
        <v/>
      </c>
      <c r="C10" s="35" t="n">
        <v>90.2</v>
      </c>
      <c r="D10" s="36">
        <f>ABS(B10-C10)</f>
        <v/>
      </c>
      <c r="E10">
        <f>IF(D10&lt;=MAX(0.0005,ABS(C10)*0.000001),"MATCH","CHECK")</f>
        <v/>
      </c>
    </row>
    <row r="11">
      <c r="A11" t="inlineStr">
        <is>
          <t>Score SUP-03</t>
        </is>
      </c>
      <c r="B11" s="35">
        <f>IF(Scorecard!N7="",-1,Scorecard!N7)</f>
        <v/>
      </c>
      <c r="C11" s="35" t="n">
        <v>-1</v>
      </c>
      <c r="D11" s="36">
        <f>ABS(B11-C11)</f>
        <v/>
      </c>
      <c r="E11">
        <f>IF(D11&lt;=MAX(0.0005,ABS(C11)*0.000001),"MATCH","CHECK")</f>
        <v/>
      </c>
    </row>
    <row r="12">
      <c r="A12" t="inlineStr">
        <is>
          <t>Score SUP-04</t>
        </is>
      </c>
      <c r="B12" s="35">
        <f>IF(Scorecard!N8="",-1,Scorecard!N8)</f>
        <v/>
      </c>
      <c r="C12" s="35" t="n">
        <v>24.8</v>
      </c>
      <c r="D12" s="36">
        <f>ABS(B12-C12)</f>
        <v/>
      </c>
      <c r="E12">
        <f>IF(D12&lt;=MAX(0.0005,ABS(C12)*0.000001),"MATCH","CHECK")</f>
        <v/>
      </c>
    </row>
    <row r="13">
      <c r="A13" t="inlineStr">
        <is>
          <t>Score SUP-05</t>
        </is>
      </c>
      <c r="B13" s="35">
        <f>IF(Scorecard!N9="",-1,Scorecard!N9)</f>
        <v/>
      </c>
      <c r="C13" s="35" t="n">
        <v>91.5</v>
      </c>
      <c r="D13" s="36">
        <f>ABS(B13-C13)</f>
        <v/>
      </c>
      <c r="E13">
        <f>IF(D13&lt;=MAX(0.0005,ABS(C13)*0.000001),"MATCH","CHECK")</f>
        <v/>
      </c>
    </row>
    <row r="14">
      <c r="A14" t="inlineStr">
        <is>
          <t>Score SUP-06</t>
        </is>
      </c>
      <c r="B14" s="35">
        <f>IF(Scorecard!N10="",-1,Scorecard!N10)</f>
        <v/>
      </c>
      <c r="C14" s="35" t="n">
        <v>99.40000000000001</v>
      </c>
      <c r="D14" s="36">
        <f>ABS(B14-C14)</f>
        <v/>
      </c>
      <c r="E14">
        <f>IF(D14&lt;=MAX(0.0005,ABS(C14)*0.000001),"MATCH","CHECK")</f>
        <v/>
      </c>
    </row>
    <row r="15">
      <c r="A15" t="inlineStr">
        <is>
          <t>Score SUP-07</t>
        </is>
      </c>
      <c r="B15" s="35">
        <f>IF(Scorecard!N11="",-1,Scorecard!N11)</f>
        <v/>
      </c>
      <c r="C15" s="35" t="n">
        <v>40.9</v>
      </c>
      <c r="D15" s="36">
        <f>ABS(B15-C15)</f>
        <v/>
      </c>
      <c r="E15">
        <f>IF(D15&lt;=MAX(0.0005,ABS(C15)*0.000001),"MATCH","CHECK")</f>
        <v/>
      </c>
    </row>
    <row r="16">
      <c r="A16" t="inlineStr">
        <is>
          <t>Score SUP-08</t>
        </is>
      </c>
      <c r="B16" s="35">
        <f>IF(Scorecard!N12="",-1,Scorecard!N12)</f>
        <v/>
      </c>
      <c r="C16" s="35" t="n">
        <v>87.40000000000001</v>
      </c>
      <c r="D16" s="36">
        <f>ABS(B16-C16)</f>
        <v/>
      </c>
      <c r="E16">
        <f>IF(D16&lt;=MAX(0.0005,ABS(C16)*0.000001),"MATCH","CHECK")</f>
        <v/>
      </c>
    </row>
    <row r="17">
      <c r="A17" t="inlineStr">
        <is>
          <t>Score SUP-09</t>
        </is>
      </c>
      <c r="B17" s="35">
        <f>IF(Scorecard!N13="",-1,Scorecard!N13)</f>
        <v/>
      </c>
      <c r="C17" s="35" t="n">
        <v>99.40000000000001</v>
      </c>
      <c r="D17" s="36">
        <f>ABS(B17-C17)</f>
        <v/>
      </c>
      <c r="E17">
        <f>IF(D17&lt;=MAX(0.0005,ABS(C17)*0.000001),"MATCH","CHECK")</f>
        <v/>
      </c>
    </row>
    <row r="18">
      <c r="A18" t="inlineStr">
        <is>
          <t>Score SUP-10</t>
        </is>
      </c>
      <c r="B18" s="35">
        <f>IF(Scorecard!N14="",-1,Scorecard!N14)</f>
        <v/>
      </c>
      <c r="C18" s="35" t="n">
        <v>65</v>
      </c>
      <c r="D18" s="36">
        <f>ABS(B18-C18)</f>
        <v/>
      </c>
      <c r="E18">
        <f>IF(D18&lt;=MAX(0.0005,ABS(C18)*0.000001),"MATCH","CHECK")</f>
        <v/>
      </c>
    </row>
    <row r="19">
      <c r="A19" t="inlineStr">
        <is>
          <t>Score SUP-11</t>
        </is>
      </c>
      <c r="B19" s="35">
        <f>IF(Scorecard!N15="",-1,Scorecard!N15)</f>
        <v/>
      </c>
      <c r="C19" s="35" t="n">
        <v>91.3</v>
      </c>
      <c r="D19" s="36">
        <f>ABS(B19-C19)</f>
        <v/>
      </c>
      <c r="E19">
        <f>IF(D19&lt;=MAX(0.0005,ABS(C19)*0.000001),"MATCH","CHECK")</f>
        <v/>
      </c>
    </row>
    <row r="20">
      <c r="A20" t="inlineStr">
        <is>
          <t>Score SUP-12</t>
        </is>
      </c>
      <c r="B20" s="35">
        <f>IF(Scorecard!N16="",-1,Scorecard!N16)</f>
        <v/>
      </c>
      <c r="C20" s="35" t="n">
        <v>79.8</v>
      </c>
      <c r="D20" s="36">
        <f>ABS(B20-C20)</f>
        <v/>
      </c>
      <c r="E20">
        <f>IF(D20&lt;=MAX(0.0005,ABS(C20)*0.000001),"MATCH","CHECK")</f>
        <v/>
      </c>
    </row>
    <row r="21">
      <c r="A21" t="inlineStr">
        <is>
          <t>Score SUP-13</t>
        </is>
      </c>
      <c r="B21" s="35">
        <f>IF(Scorecard!N17="",-1,Scorecard!N17)</f>
        <v/>
      </c>
      <c r="C21" s="35" t="n">
        <v>92</v>
      </c>
      <c r="D21" s="36">
        <f>ABS(B21-C21)</f>
        <v/>
      </c>
      <c r="E21">
        <f>IF(D21&lt;=MAX(0.0005,ABS(C21)*0.000001),"MATCH","CHECK")</f>
        <v/>
      </c>
    </row>
    <row r="22">
      <c r="A22" t="inlineStr">
        <is>
          <t>Score SUP-14</t>
        </is>
      </c>
      <c r="B22" s="35">
        <f>IF(Scorecard!N18="",-1,Scorecard!N18)</f>
        <v/>
      </c>
      <c r="C22" s="35" t="n">
        <v>69.90000000000001</v>
      </c>
      <c r="D22" s="36">
        <f>ABS(B22-C22)</f>
        <v/>
      </c>
      <c r="E22">
        <f>IF(D22&lt;=MAX(0.0005,ABS(C22)*0.000001),"MATCH","CHECK")</f>
        <v/>
      </c>
    </row>
    <row r="23">
      <c r="A23" t="inlineStr">
        <is>
          <t>Rank SUP-01</t>
        </is>
      </c>
      <c r="B23" s="35">
        <f>IF(Scorecard!O5="",-1,Scorecard!O5)</f>
        <v/>
      </c>
      <c r="C23" s="35" t="n">
        <v>10</v>
      </c>
      <c r="D23" s="36">
        <f>ABS(B23-C23)</f>
        <v/>
      </c>
      <c r="E23">
        <f>IF(D23&lt;=MAX(0.0005,ABS(C23)*0.000001),"MATCH","CHECK")</f>
        <v/>
      </c>
    </row>
    <row r="24">
      <c r="A24" t="inlineStr">
        <is>
          <t>Rank SUP-02</t>
        </is>
      </c>
      <c r="B24" s="35">
        <f>IF(Scorecard!O6="",-1,Scorecard!O6)</f>
        <v/>
      </c>
      <c r="C24" s="35" t="n">
        <v>5</v>
      </c>
      <c r="D24" s="36">
        <f>ABS(B24-C24)</f>
        <v/>
      </c>
      <c r="E24">
        <f>IF(D24&lt;=MAX(0.0005,ABS(C24)*0.000001),"MATCH","CHECK")</f>
        <v/>
      </c>
    </row>
    <row r="25">
      <c r="A25" t="inlineStr">
        <is>
          <t>Rank SUP-03</t>
        </is>
      </c>
      <c r="B25" s="35">
        <f>IF(Scorecard!O7="",-1,Scorecard!O7)</f>
        <v/>
      </c>
      <c r="C25" s="35" t="n">
        <v>-1</v>
      </c>
      <c r="D25" s="36">
        <f>ABS(B25-C25)</f>
        <v/>
      </c>
      <c r="E25">
        <f>IF(D25&lt;=MAX(0.0005,ABS(C25)*0.000001),"MATCH","CHECK")</f>
        <v/>
      </c>
    </row>
    <row r="26">
      <c r="A26" t="inlineStr">
        <is>
          <t>Rank SUP-04</t>
        </is>
      </c>
      <c r="B26" s="35">
        <f>IF(Scorecard!O8="",-1,Scorecard!O8)</f>
        <v/>
      </c>
      <c r="C26" s="35" t="n">
        <v>12</v>
      </c>
      <c r="D26" s="36">
        <f>ABS(B26-C26)</f>
        <v/>
      </c>
      <c r="E26">
        <f>IF(D26&lt;=MAX(0.0005,ABS(C26)*0.000001),"MATCH","CHECK")</f>
        <v/>
      </c>
    </row>
    <row r="27">
      <c r="A27" t="inlineStr">
        <is>
          <t>Rank SUP-05</t>
        </is>
      </c>
      <c r="B27" s="35">
        <f>IF(Scorecard!O9="",-1,Scorecard!O9)</f>
        <v/>
      </c>
      <c r="C27" s="35" t="n">
        <v>3</v>
      </c>
      <c r="D27" s="36">
        <f>ABS(B27-C27)</f>
        <v/>
      </c>
      <c r="E27">
        <f>IF(D27&lt;=MAX(0.0005,ABS(C27)*0.000001),"MATCH","CHECK")</f>
        <v/>
      </c>
    </row>
    <row r="28">
      <c r="A28" t="inlineStr">
        <is>
          <t>Rank SUP-06</t>
        </is>
      </c>
      <c r="B28" s="35">
        <f>IF(Scorecard!O10="",-1,Scorecard!O10)</f>
        <v/>
      </c>
      <c r="C28" s="35" t="n">
        <v>1</v>
      </c>
      <c r="D28" s="36">
        <f>ABS(B28-C28)</f>
        <v/>
      </c>
      <c r="E28">
        <f>IF(D28&lt;=MAX(0.0005,ABS(C28)*0.000001),"MATCH","CHECK")</f>
        <v/>
      </c>
    </row>
    <row r="29">
      <c r="A29" t="inlineStr">
        <is>
          <t>Rank SUP-07</t>
        </is>
      </c>
      <c r="B29" s="35">
        <f>IF(Scorecard!O11="",-1,Scorecard!O11)</f>
        <v/>
      </c>
      <c r="C29" s="35" t="n">
        <v>11</v>
      </c>
      <c r="D29" s="36">
        <f>ABS(B29-C29)</f>
        <v/>
      </c>
      <c r="E29">
        <f>IF(D29&lt;=MAX(0.0005,ABS(C29)*0.000001),"MATCH","CHECK")</f>
        <v/>
      </c>
    </row>
    <row r="30">
      <c r="A30" t="inlineStr">
        <is>
          <t>Rank SUP-08</t>
        </is>
      </c>
      <c r="B30" s="35">
        <f>IF(Scorecard!O12="",-1,Scorecard!O12)</f>
        <v/>
      </c>
      <c r="C30" s="35" t="n">
        <v>6</v>
      </c>
      <c r="D30" s="36">
        <f>ABS(B30-C30)</f>
        <v/>
      </c>
      <c r="E30">
        <f>IF(D30&lt;=MAX(0.0005,ABS(C30)*0.000001),"MATCH","CHECK")</f>
        <v/>
      </c>
    </row>
    <row r="31">
      <c r="A31" t="inlineStr">
        <is>
          <t>Rank SUP-09</t>
        </is>
      </c>
      <c r="B31" s="35">
        <f>IF(Scorecard!O13="",-1,Scorecard!O13)</f>
        <v/>
      </c>
      <c r="C31" s="35" t="n">
        <v>1</v>
      </c>
      <c r="D31" s="36">
        <f>ABS(B31-C31)</f>
        <v/>
      </c>
      <c r="E31">
        <f>IF(D31&lt;=MAX(0.0005,ABS(C31)*0.000001),"MATCH","CHECK")</f>
        <v/>
      </c>
    </row>
    <row r="32">
      <c r="A32" t="inlineStr">
        <is>
          <t>Rank SUP-10</t>
        </is>
      </c>
      <c r="B32" s="35">
        <f>IF(Scorecard!O14="",-1,Scorecard!O14)</f>
        <v/>
      </c>
      <c r="C32" s="35" t="n">
        <v>9</v>
      </c>
      <c r="D32" s="36">
        <f>ABS(B32-C32)</f>
        <v/>
      </c>
      <c r="E32">
        <f>IF(D32&lt;=MAX(0.0005,ABS(C32)*0.000001),"MATCH","CHECK")</f>
        <v/>
      </c>
    </row>
    <row r="33">
      <c r="A33" t="inlineStr">
        <is>
          <t>Rank SUP-11</t>
        </is>
      </c>
      <c r="B33" s="35">
        <f>IF(Scorecard!O15="",-1,Scorecard!O15)</f>
        <v/>
      </c>
      <c r="C33" s="35" t="n">
        <v>4</v>
      </c>
      <c r="D33" s="36">
        <f>ABS(B33-C33)</f>
        <v/>
      </c>
      <c r="E33">
        <f>IF(D33&lt;=MAX(0.0005,ABS(C33)*0.000001),"MATCH","CHECK")</f>
        <v/>
      </c>
    </row>
    <row r="34">
      <c r="A34" t="inlineStr">
        <is>
          <t>Rank SUP-12</t>
        </is>
      </c>
      <c r="B34" s="35">
        <f>IF(Scorecard!O16="",-1,Scorecard!O16)</f>
        <v/>
      </c>
      <c r="C34" s="35" t="n">
        <v>7</v>
      </c>
      <c r="D34" s="36">
        <f>ABS(B34-C34)</f>
        <v/>
      </c>
      <c r="E34">
        <f>IF(D34&lt;=MAX(0.0005,ABS(C34)*0.000001),"MATCH","CHECK")</f>
        <v/>
      </c>
    </row>
    <row r="35">
      <c r="A35" t="inlineStr">
        <is>
          <t>Rank SUP-13</t>
        </is>
      </c>
      <c r="B35" s="35">
        <f>IF(Scorecard!O17="",-1,Scorecard!O17)</f>
        <v/>
      </c>
      <c r="C35" s="35" t="n">
        <v>-1</v>
      </c>
      <c r="D35" s="36">
        <f>ABS(B35-C35)</f>
        <v/>
      </c>
      <c r="E35">
        <f>IF(D35&lt;=MAX(0.0005,ABS(C35)*0.000001),"MATCH","CHECK")</f>
        <v/>
      </c>
    </row>
    <row r="36">
      <c r="A36" t="inlineStr">
        <is>
          <t>Rank SUP-14</t>
        </is>
      </c>
      <c r="B36" s="35">
        <f>IF(Scorecard!O18="",-1,Scorecard!O18)</f>
        <v/>
      </c>
      <c r="C36" s="35" t="n">
        <v>8</v>
      </c>
      <c r="D36" s="36">
        <f>ABS(B36-C36)</f>
        <v/>
      </c>
      <c r="E36">
        <f>IF(D36&lt;=MAX(0.0005,ABS(C36)*0.000001),"MATCH","CHECK")</f>
        <v/>
      </c>
    </row>
    <row r="37">
      <c r="A37" t="inlineStr">
        <is>
          <t>OTIF SUP-01</t>
        </is>
      </c>
      <c r="B37" s="35">
        <f>Supplier_Summary!D5</f>
        <v/>
      </c>
      <c r="C37" s="35" t="n">
        <v>0.7892271662763466</v>
      </c>
      <c r="D37" s="36">
        <f>ABS(B37-C37)</f>
        <v/>
      </c>
      <c r="E37">
        <f>IF(D37&lt;=MAX(0.0005,ABS(C37)*0.000001),"MATCH","CHECK")</f>
        <v/>
      </c>
    </row>
    <row r="38">
      <c r="A38" t="inlineStr">
        <is>
          <t>OTIF SUP-02</t>
        </is>
      </c>
      <c r="B38" s="35">
        <f>Supplier_Summary!D6</f>
        <v/>
      </c>
      <c r="C38" s="35" t="n">
        <v>0.9290322580645162</v>
      </c>
      <c r="D38" s="36">
        <f>ABS(B38-C38)</f>
        <v/>
      </c>
      <c r="E38">
        <f>IF(D38&lt;=MAX(0.0005,ABS(C38)*0.000001),"MATCH","CHECK")</f>
        <v/>
      </c>
    </row>
    <row r="39">
      <c r="A39" t="inlineStr">
        <is>
          <t>OTIF SUP-03</t>
        </is>
      </c>
      <c r="B39" s="35">
        <f>Supplier_Summary!D7</f>
        <v/>
      </c>
      <c r="C39" s="35" t="n">
        <v>1</v>
      </c>
      <c r="D39" s="36">
        <f>ABS(B39-C39)</f>
        <v/>
      </c>
      <c r="E39">
        <f>IF(D39&lt;=MAX(0.0005,ABS(C39)*0.000001),"MATCH","CHECK")</f>
        <v/>
      </c>
    </row>
    <row r="40">
      <c r="A40" t="inlineStr">
        <is>
          <t>OTIF SUP-04</t>
        </is>
      </c>
      <c r="B40" s="35">
        <f>Supplier_Summary!D8</f>
        <v/>
      </c>
      <c r="C40" s="35" t="n">
        <v>0.5702479338842975</v>
      </c>
      <c r="D40" s="36">
        <f>ABS(B40-C40)</f>
        <v/>
      </c>
      <c r="E40">
        <f>IF(D40&lt;=MAX(0.0005,ABS(C40)*0.000001),"MATCH","CHECK")</f>
        <v/>
      </c>
    </row>
    <row r="41">
      <c r="A41" t="inlineStr">
        <is>
          <t>OTIF SUP-05</t>
        </is>
      </c>
      <c r="B41" s="35">
        <f>Supplier_Summary!D9</f>
        <v/>
      </c>
      <c r="C41" s="35" t="n">
        <v>0.9287410926365796</v>
      </c>
      <c r="D41" s="36">
        <f>ABS(B41-C41)</f>
        <v/>
      </c>
      <c r="E41">
        <f>IF(D41&lt;=MAX(0.0005,ABS(C41)*0.000001),"MATCH","CHECK")</f>
        <v/>
      </c>
    </row>
    <row r="42">
      <c r="A42" t="inlineStr">
        <is>
          <t>OTIF SUP-06</t>
        </is>
      </c>
      <c r="B42" s="35">
        <f>Supplier_Summary!D10</f>
        <v/>
      </c>
      <c r="C42" s="35" t="n">
        <v>0.9651639344262295</v>
      </c>
      <c r="D42" s="36">
        <f>ABS(B42-C42)</f>
        <v/>
      </c>
      <c r="E42">
        <f>IF(D42&lt;=MAX(0.0005,ABS(C42)*0.000001),"MATCH","CHECK")</f>
        <v/>
      </c>
    </row>
    <row r="43">
      <c r="A43" t="inlineStr">
        <is>
          <t>OTIF SUP-07</t>
        </is>
      </c>
      <c r="B43" s="35">
        <f>Supplier_Summary!D11</f>
        <v/>
      </c>
      <c r="C43" s="35" t="n">
        <v>0.6792452830188679</v>
      </c>
      <c r="D43" s="36">
        <f>ABS(B43-C43)</f>
        <v/>
      </c>
      <c r="E43">
        <f>IF(D43&lt;=MAX(0.0005,ABS(C43)*0.000001),"MATCH","CHECK")</f>
        <v/>
      </c>
    </row>
    <row r="44">
      <c r="A44" t="inlineStr">
        <is>
          <t>OTIF SUP-08</t>
        </is>
      </c>
      <c r="B44" s="35">
        <f>Supplier_Summary!D12</f>
        <v/>
      </c>
      <c r="C44" s="35" t="n">
        <v>0.9159663865546218</v>
      </c>
      <c r="D44" s="36">
        <f>ABS(B44-C44)</f>
        <v/>
      </c>
      <c r="E44">
        <f>IF(D44&lt;=MAX(0.0005,ABS(C44)*0.000001),"MATCH","CHECK")</f>
        <v/>
      </c>
    </row>
    <row r="45">
      <c r="A45" t="inlineStr">
        <is>
          <t>OTIF SUP-09</t>
        </is>
      </c>
      <c r="B45" s="35">
        <f>Supplier_Summary!D13</f>
        <v/>
      </c>
      <c r="C45" s="35" t="n">
        <v>0.9606060606060606</v>
      </c>
      <c r="D45" s="36">
        <f>ABS(B45-C45)</f>
        <v/>
      </c>
      <c r="E45">
        <f>IF(D45&lt;=MAX(0.0005,ABS(C45)*0.000001),"MATCH","CHECK")</f>
        <v/>
      </c>
    </row>
    <row r="46">
      <c r="A46" t="inlineStr">
        <is>
          <t>OTIF SUP-10</t>
        </is>
      </c>
      <c r="B46" s="35">
        <f>Supplier_Summary!D14</f>
        <v/>
      </c>
      <c r="C46" s="35" t="n">
        <v>0.8851674641148325</v>
      </c>
      <c r="D46" s="36">
        <f>ABS(B46-C46)</f>
        <v/>
      </c>
      <c r="E46">
        <f>IF(D46&lt;=MAX(0.0005,ABS(C46)*0.000001),"MATCH","CHECK")</f>
        <v/>
      </c>
    </row>
    <row r="47">
      <c r="A47" t="inlineStr">
        <is>
          <t>OTIF SUP-11</t>
        </is>
      </c>
      <c r="B47" s="35">
        <f>Supplier_Summary!D15</f>
        <v/>
      </c>
      <c r="C47" s="35" t="n">
        <v>0.9281767955801105</v>
      </c>
      <c r="D47" s="36">
        <f>ABS(B47-C47)</f>
        <v/>
      </c>
      <c r="E47">
        <f>IF(D47&lt;=MAX(0.0005,ABS(C47)*0.000001),"MATCH","CHECK")</f>
        <v/>
      </c>
    </row>
    <row r="48">
      <c r="A48" t="inlineStr">
        <is>
          <t>OTIF SUP-12</t>
        </is>
      </c>
      <c r="B48" s="35">
        <f>Supplier_Summary!D16</f>
        <v/>
      </c>
      <c r="C48" s="35" t="n">
        <v>0.8797814207650273</v>
      </c>
      <c r="D48" s="36">
        <f>ABS(B48-C48)</f>
        <v/>
      </c>
      <c r="E48">
        <f>IF(D48&lt;=MAX(0.0005,ABS(C48)*0.000001),"MATCH","CHECK")</f>
        <v/>
      </c>
    </row>
    <row r="49">
      <c r="A49" t="inlineStr">
        <is>
          <t>OTIF SUP-13</t>
        </is>
      </c>
      <c r="B49" s="35">
        <f>Supplier_Summary!D17</f>
        <v/>
      </c>
      <c r="C49" s="35" t="n">
        <v>1</v>
      </c>
      <c r="D49" s="36">
        <f>ABS(B49-C49)</f>
        <v/>
      </c>
      <c r="E49">
        <f>IF(D49&lt;=MAX(0.0005,ABS(C49)*0.000001),"MATCH","CHECK")</f>
        <v/>
      </c>
    </row>
    <row r="50">
      <c r="A50" t="inlineStr">
        <is>
          <t>OTIF SUP-14</t>
        </is>
      </c>
      <c r="B50" s="35">
        <f>Supplier_Summary!D18</f>
        <v/>
      </c>
      <c r="C50" s="35" t="n">
        <v>0.8636363636363636</v>
      </c>
      <c r="D50" s="36">
        <f>ABS(B50-C50)</f>
        <v/>
      </c>
      <c r="E50">
        <f>IF(D50&lt;=MAX(0.0005,ABS(C50)*0.000001),"MATCH","CHECK")</f>
        <v/>
      </c>
    </row>
    <row r="51">
      <c r="A51" t="inlineStr">
        <is>
          <t>Scenario: late lines avoided (30% SUP-01 -&gt; SUP-02)</t>
        </is>
      </c>
      <c r="B51" s="35">
        <f>Scenario!$B$24</f>
        <v/>
      </c>
      <c r="C51" s="35" t="n">
        <v>36.34169884169886</v>
      </c>
      <c r="D51" s="36">
        <f>ABS(B51-C51)</f>
        <v/>
      </c>
      <c r="E51">
        <f>IF(D51&lt;=MAX(0.0005,ABS(C51)*0.000001),"MATCH","CHECK")</f>
        <v/>
      </c>
    </row>
    <row r="52">
      <c r="A52" t="inlineStr">
        <is>
          <t>Scenario: price impact at 30%</t>
        </is>
      </c>
      <c r="B52" s="35">
        <f>Scenario!$B$26</f>
        <v/>
      </c>
      <c r="C52" s="35" t="n">
        <v>-2073.881539749435</v>
      </c>
      <c r="D52" s="36">
        <f>ABS(B52-C52)</f>
        <v/>
      </c>
      <c r="E52">
        <f>IF(D52&lt;=MAX(0.0005,ABS(C52)*0.000001),"MATCH","CHECK")</f>
        <v/>
      </c>
    </row>
    <row r="53">
      <c r="A53" t="inlineStr">
        <is>
          <t>Observed: total spend</t>
        </is>
      </c>
      <c r="B53" s="35">
        <f>Austin_Vendors!$C$156</f>
        <v/>
      </c>
      <c r="C53" s="35" t="n">
        <v>1661371027.65</v>
      </c>
      <c r="D53" s="36">
        <f>ABS(B53-C53)</f>
        <v/>
      </c>
      <c r="E53">
        <f>IF(D53&lt;=MAX(0.0005,ABS(C53)*0.000001),"MATCH","CHECK")</f>
        <v/>
      </c>
    </row>
    <row r="54">
      <c r="A54" t="inlineStr">
        <is>
          <t>Observed: master-agreement share</t>
        </is>
      </c>
      <c r="B54" s="35">
        <f>Austin_Vendors!$L$156</f>
        <v/>
      </c>
      <c r="C54" s="35" t="n">
        <v>0.9364438400076369</v>
      </c>
      <c r="D54" s="36">
        <f>ABS(B54-C54)</f>
        <v/>
      </c>
      <c r="E54">
        <f>IF(D54&lt;=MAX(0.0005,ABS(C54)*0.000001),"MATCH","CHECK")</f>
        <v/>
      </c>
    </row>
    <row r="55">
      <c r="A55" t="inlineStr">
        <is>
          <t>Observed: top-10 vendor share</t>
        </is>
      </c>
      <c r="B55" s="35">
        <f>Austin_Vendors!$C$158</f>
        <v/>
      </c>
      <c r="C55" s="35" t="n">
        <v>0.3155646717467903</v>
      </c>
      <c r="D55" s="36">
        <f>ABS(B55-C55)</f>
        <v/>
      </c>
      <c r="E55">
        <f>IF(D55&lt;=MAX(0.0005,ABS(C55)*0.000001),"MATCH","CHECK")</f>
        <v/>
      </c>
    </row>
    <row r="56">
      <c r="A56" t="inlineStr">
        <is>
          <t>Observed: vendors for 80% of spend</t>
        </is>
      </c>
      <c r="B56" s="35">
        <f>Austin_Vendors!$C$159</f>
        <v/>
      </c>
      <c r="C56" s="35" t="n">
        <v>117</v>
      </c>
      <c r="D56" s="36">
        <f>ABS(B56-C56)</f>
        <v/>
      </c>
      <c r="E56">
        <f>IF(D56&lt;=MAX(0.0005,ABS(C56)*0.000001),"MATCH","CHECK")</f>
        <v/>
      </c>
    </row>
    <row r="57">
      <c r="A57" t="inlineStr">
        <is>
          <t>Observed: family totals = total spend</t>
        </is>
      </c>
      <c r="B57" s="35">
        <f>Austin_Families!$G$19</f>
        <v/>
      </c>
      <c r="C57" s="35" t="n">
        <v>1661371027.65</v>
      </c>
      <c r="D57" s="36">
        <f>ABS(B57-C57)</f>
        <v/>
      </c>
      <c r="E57">
        <f>IF(D57&lt;=MAX(0.0005,ABS(C57)*0.000001),"MATCH","CHECK")</f>
        <v/>
      </c>
    </row>
    <row r="58">
      <c r="A58" t="inlineStr">
        <is>
          <t>Observed: single-vendor (R1) categories</t>
        </is>
      </c>
      <c r="B58" s="35">
        <f>Austin_Categories!$D$88</f>
        <v/>
      </c>
      <c r="C58" s="35" t="n">
        <v>6</v>
      </c>
      <c r="D58" s="36">
        <f>ABS(B58-C58)</f>
        <v/>
      </c>
      <c r="E58">
        <f>IF(D58&lt;=MAX(0.0005,ABS(C58)*0.000001),"MATCH","CHECK")</f>
        <v/>
      </c>
    </row>
    <row r="59">
      <c r="A59" t="inlineStr">
        <is>
          <t>Observed: spend in R1 categories</t>
        </is>
      </c>
      <c r="B59" s="35">
        <f>Austin_Categories!$D$90</f>
        <v/>
      </c>
      <c r="C59" s="35" t="n">
        <v>126225382.86</v>
      </c>
      <c r="D59" s="36">
        <f>ABS(B59-C59)</f>
        <v/>
      </c>
      <c r="E59">
        <f>IF(D59&lt;=MAX(0.0005,ABS(C59)*0.000001),"MATCH","CHECK")</f>
        <v/>
      </c>
    </row>
    <row r="61">
      <c r="A61" s="3" t="inlineStr">
        <is>
          <t>Checks matching</t>
        </is>
      </c>
      <c r="B61">
        <f>COUNTIF(E5:E59,"MATCH")&amp;" of "&amp;COUNTA(A5:A59)</f>
        <v/>
      </c>
    </row>
  </sheetData>
  <conditionalFormatting sqref="E5:E59">
    <cfRule type="cellIs" priority="1" operator="equal" dxfId="2">
      <formula>"MATCH"</formula>
    </cfRule>
    <cfRule type="cellIs" priority="2" operator="equal" dxfId="0">
      <formula>"CHECK"</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2026-10-16T05:56:22Z</dcterms:created>
  <dcterms:modified xsi:type="dcterms:W3CDTF">2026-10-16T05:56:24Z</dcterms:modified>
</cp:coreProperties>
</file>